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IUHYG\Downloads\"/>
    </mc:Choice>
  </mc:AlternateContent>
  <bookViews>
    <workbookView xWindow="0" yWindow="0" windowWidth="16380" windowHeight="8190" tabRatio="500" activeTab="1"/>
  </bookViews>
  <sheets>
    <sheet name="EVALUASI" sheetId="1" r:id="rId1"/>
    <sheet name="PRODUKTIVITAS" sheetId="2" r:id="rId2"/>
    <sheet name="SUMMARY" sheetId="3" r:id="rId3"/>
    <sheet name="TREN" sheetId="4" r:id="rId4"/>
    <sheet name="DETAIL" sheetId="5" r:id="rId5"/>
    <sheet name="KALENDER" sheetId="6" r:id="rId6"/>
    <sheet name="PEMAGANG" sheetId="7" r:id="rId7"/>
    <sheet name="ABSEN" sheetId="8" r:id="rId8"/>
    <sheet name="AKTIVITAS" sheetId="9" r:id="rId9"/>
  </sheets>
  <definedNames>
    <definedName name="_xlnm._FilterDatabase" localSheetId="7" hidden="1">ABSEN!$A$1:$W$4094</definedName>
    <definedName name="_xlnm._FilterDatabase" localSheetId="8" hidden="1">AKTIVITAS!$A$1:$H$3052</definedName>
    <definedName name="_xlnm._FilterDatabase" localSheetId="4" hidden="1">DETAIL!$A$1:$T$137</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3052" i="9" l="1"/>
  <c r="G3052" i="9"/>
  <c r="H3051" i="9"/>
  <c r="G3051" i="9"/>
  <c r="H3050" i="9"/>
  <c r="G3050" i="9"/>
  <c r="H3049" i="9"/>
  <c r="G3049" i="9"/>
  <c r="H3048" i="9"/>
  <c r="G3048" i="9"/>
  <c r="H3047" i="9"/>
  <c r="G3047" i="9"/>
  <c r="H3046" i="9"/>
  <c r="G3046" i="9"/>
  <c r="H3045" i="9"/>
  <c r="G3045" i="9"/>
  <c r="H3044" i="9"/>
  <c r="G3044" i="9"/>
  <c r="H3043" i="9"/>
  <c r="G3043" i="9"/>
  <c r="H3042" i="9"/>
  <c r="G3042" i="9"/>
  <c r="H3041" i="9"/>
  <c r="G3041" i="9"/>
  <c r="H3040" i="9"/>
  <c r="G3040" i="9"/>
  <c r="H3039" i="9"/>
  <c r="G3039" i="9"/>
  <c r="H3038" i="9"/>
  <c r="G3038" i="9"/>
  <c r="H3037" i="9"/>
  <c r="G3037" i="9"/>
  <c r="H3036" i="9"/>
  <c r="G3036" i="9"/>
  <c r="H3035" i="9"/>
  <c r="G3035" i="9"/>
  <c r="H3034" i="9"/>
  <c r="G3034" i="9"/>
  <c r="H3033" i="9"/>
  <c r="G3033" i="9"/>
  <c r="H3032" i="9"/>
  <c r="G3032" i="9"/>
  <c r="H3031" i="9"/>
  <c r="G3031" i="9"/>
  <c r="H3030" i="9"/>
  <c r="G3030" i="9"/>
  <c r="H3029" i="9"/>
  <c r="G3029" i="9"/>
  <c r="H3028" i="9"/>
  <c r="G3028" i="9"/>
  <c r="H3027" i="9"/>
  <c r="G3027" i="9"/>
  <c r="H3026" i="9"/>
  <c r="G3026" i="9"/>
  <c r="H3025" i="9"/>
  <c r="G3025" i="9"/>
  <c r="H3024" i="9"/>
  <c r="G3024" i="9"/>
  <c r="H3023" i="9"/>
  <c r="G3023" i="9"/>
  <c r="H3022" i="9"/>
  <c r="G3022" i="9"/>
  <c r="H3021" i="9"/>
  <c r="G3021" i="9"/>
  <c r="H3020" i="9"/>
  <c r="G3020" i="9"/>
  <c r="H3019" i="9"/>
  <c r="G3019" i="9"/>
  <c r="H3018" i="9"/>
  <c r="G3018" i="9"/>
  <c r="H3017" i="9"/>
  <c r="G3017" i="9"/>
  <c r="H3016" i="9"/>
  <c r="G3016" i="9"/>
  <c r="H3015" i="9"/>
  <c r="G3015" i="9"/>
  <c r="H3014" i="9"/>
  <c r="G3014" i="9"/>
  <c r="H3013" i="9"/>
  <c r="G3013" i="9"/>
  <c r="H3012" i="9"/>
  <c r="G3012" i="9"/>
  <c r="H3011" i="9"/>
  <c r="G3011" i="9"/>
  <c r="H3010" i="9"/>
  <c r="G3010" i="9"/>
  <c r="H3009" i="9"/>
  <c r="G3009" i="9"/>
  <c r="H3008" i="9"/>
  <c r="G3008" i="9"/>
  <c r="H3007" i="9"/>
  <c r="G3007" i="9"/>
  <c r="H3006" i="9"/>
  <c r="G3006" i="9"/>
  <c r="H3005" i="9"/>
  <c r="G3005" i="9"/>
  <c r="H3004" i="9"/>
  <c r="G3004" i="9"/>
  <c r="H3003" i="9"/>
  <c r="G3003" i="9"/>
  <c r="H3002" i="9"/>
  <c r="G3002" i="9"/>
  <c r="H3001" i="9"/>
  <c r="G3001" i="9"/>
  <c r="H3000" i="9"/>
  <c r="G3000" i="9"/>
  <c r="H2999" i="9"/>
  <c r="G2999" i="9"/>
  <c r="H2998" i="9"/>
  <c r="G2998" i="9"/>
  <c r="H2997" i="9"/>
  <c r="G2997" i="9"/>
  <c r="H2996" i="9"/>
  <c r="G2996" i="9"/>
  <c r="H2995" i="9"/>
  <c r="G2995" i="9"/>
  <c r="H2994" i="9"/>
  <c r="G2994" i="9"/>
  <c r="H2993" i="9"/>
  <c r="G2993" i="9"/>
  <c r="H2992" i="9"/>
  <c r="G2992" i="9"/>
  <c r="H2991" i="9"/>
  <c r="G2991" i="9"/>
  <c r="H2990" i="9"/>
  <c r="G2990" i="9"/>
  <c r="H2989" i="9"/>
  <c r="G2989" i="9"/>
  <c r="H2988" i="9"/>
  <c r="G2988" i="9"/>
  <c r="H2987" i="9"/>
  <c r="G2987" i="9"/>
  <c r="H2986" i="9"/>
  <c r="G2986" i="9"/>
  <c r="H2985" i="9"/>
  <c r="G2985" i="9"/>
  <c r="H2984" i="9"/>
  <c r="G2984" i="9"/>
  <c r="H2983" i="9"/>
  <c r="G2983" i="9"/>
  <c r="H2982" i="9"/>
  <c r="G2982" i="9"/>
  <c r="H2981" i="9"/>
  <c r="G2981" i="9"/>
  <c r="H2980" i="9"/>
  <c r="G2980" i="9"/>
  <c r="H2979" i="9"/>
  <c r="G2979" i="9"/>
  <c r="H2978" i="9"/>
  <c r="G2978" i="9"/>
  <c r="H2977" i="9"/>
  <c r="G2977" i="9"/>
  <c r="H2976" i="9"/>
  <c r="G2976" i="9"/>
  <c r="H2975" i="9"/>
  <c r="G2975" i="9"/>
  <c r="H2974" i="9"/>
  <c r="G2974" i="9"/>
  <c r="H2973" i="9"/>
  <c r="G2973" i="9"/>
  <c r="H2972" i="9"/>
  <c r="G2972" i="9"/>
  <c r="H2971" i="9"/>
  <c r="G2971" i="9"/>
  <c r="H2970" i="9"/>
  <c r="G2970" i="9"/>
  <c r="H2969" i="9"/>
  <c r="G2969" i="9"/>
  <c r="H2968" i="9"/>
  <c r="G2968" i="9"/>
  <c r="H2967" i="9"/>
  <c r="G2967" i="9"/>
  <c r="H2966" i="9"/>
  <c r="G2966" i="9"/>
  <c r="H2965" i="9"/>
  <c r="G2965" i="9"/>
  <c r="H2964" i="9"/>
  <c r="G2964" i="9"/>
  <c r="H2963" i="9"/>
  <c r="G2963" i="9"/>
  <c r="H2962" i="9"/>
  <c r="G2962" i="9"/>
  <c r="H2961" i="9"/>
  <c r="G2961" i="9"/>
  <c r="H2960" i="9"/>
  <c r="G2960" i="9"/>
  <c r="H2959" i="9"/>
  <c r="G2959" i="9"/>
  <c r="H2958" i="9"/>
  <c r="G2958" i="9"/>
  <c r="H2957" i="9"/>
  <c r="G2957" i="9"/>
  <c r="H2956" i="9"/>
  <c r="G2956" i="9"/>
  <c r="H2955" i="9"/>
  <c r="G2955" i="9"/>
  <c r="H2954" i="9"/>
  <c r="G2954" i="9"/>
  <c r="H2953" i="9"/>
  <c r="G2953" i="9"/>
  <c r="H2952" i="9"/>
  <c r="G2952" i="9"/>
  <c r="H2951" i="9"/>
  <c r="G2951" i="9"/>
  <c r="H2950" i="9"/>
  <c r="G2950" i="9"/>
  <c r="H2949" i="9"/>
  <c r="G2949" i="9"/>
  <c r="H2948" i="9"/>
  <c r="G2948" i="9"/>
  <c r="H2947" i="9"/>
  <c r="G2947" i="9"/>
  <c r="H2946" i="9"/>
  <c r="G2946" i="9"/>
  <c r="H2945" i="9"/>
  <c r="G2945" i="9"/>
  <c r="H2944" i="9"/>
  <c r="G2944" i="9"/>
  <c r="H2943" i="9"/>
  <c r="G2943" i="9"/>
  <c r="H2942" i="9"/>
  <c r="G2942" i="9"/>
  <c r="H2941" i="9"/>
  <c r="G2941" i="9"/>
  <c r="H2940" i="9"/>
  <c r="G2940" i="9"/>
  <c r="H2939" i="9"/>
  <c r="G2939" i="9"/>
  <c r="H2938" i="9"/>
  <c r="G2938" i="9"/>
  <c r="H2937" i="9"/>
  <c r="G2937" i="9"/>
  <c r="H2936" i="9"/>
  <c r="G2936" i="9"/>
  <c r="H2935" i="9"/>
  <c r="G2935" i="9"/>
  <c r="H2934" i="9"/>
  <c r="G2934" i="9"/>
  <c r="H2933" i="9"/>
  <c r="G2933" i="9"/>
  <c r="H2932" i="9"/>
  <c r="G2932" i="9"/>
  <c r="H2931" i="9"/>
  <c r="G2931" i="9"/>
  <c r="H2930" i="9"/>
  <c r="G2930" i="9"/>
  <c r="H2929" i="9"/>
  <c r="G2929" i="9"/>
  <c r="H2928" i="9"/>
  <c r="G2928" i="9"/>
  <c r="H2927" i="9"/>
  <c r="G2927" i="9"/>
  <c r="H2926" i="9"/>
  <c r="G2926" i="9"/>
  <c r="H2925" i="9"/>
  <c r="G2925" i="9"/>
  <c r="H2924" i="9"/>
  <c r="G2924" i="9"/>
  <c r="H2923" i="9"/>
  <c r="G2923" i="9"/>
  <c r="H2922" i="9"/>
  <c r="G2922" i="9"/>
  <c r="H2921" i="9"/>
  <c r="G2921" i="9"/>
  <c r="H2920" i="9"/>
  <c r="G2920" i="9"/>
  <c r="H2919" i="9"/>
  <c r="G2919" i="9"/>
  <c r="H2918" i="9"/>
  <c r="G2918" i="9"/>
  <c r="H2917" i="9"/>
  <c r="G2917" i="9"/>
  <c r="H2916" i="9"/>
  <c r="G2916" i="9"/>
  <c r="H2915" i="9"/>
  <c r="G2915" i="9"/>
  <c r="H2914" i="9"/>
  <c r="G2914" i="9"/>
  <c r="H2913" i="9"/>
  <c r="G2913" i="9"/>
  <c r="H2912" i="9"/>
  <c r="G2912" i="9"/>
  <c r="H2911" i="9"/>
  <c r="G2911" i="9"/>
  <c r="H2910" i="9"/>
  <c r="G2910" i="9"/>
  <c r="H2909" i="9"/>
  <c r="G2909" i="9"/>
  <c r="H2908" i="9"/>
  <c r="G2908" i="9"/>
  <c r="H2907" i="9"/>
  <c r="G2907" i="9"/>
  <c r="H2906" i="9"/>
  <c r="G2906" i="9"/>
  <c r="H2905" i="9"/>
  <c r="G2905" i="9"/>
  <c r="H2904" i="9"/>
  <c r="G2904" i="9"/>
  <c r="H2903" i="9"/>
  <c r="G2903" i="9"/>
  <c r="H2902" i="9"/>
  <c r="G2902" i="9"/>
  <c r="H2901" i="9"/>
  <c r="G2901" i="9"/>
  <c r="H2900" i="9"/>
  <c r="G2900" i="9"/>
  <c r="H2899" i="9"/>
  <c r="G2899" i="9"/>
  <c r="H2898" i="9"/>
  <c r="G2898" i="9"/>
  <c r="H2897" i="9"/>
  <c r="G2897" i="9"/>
  <c r="H2896" i="9"/>
  <c r="G2896" i="9"/>
  <c r="H2895" i="9"/>
  <c r="G2895" i="9"/>
  <c r="H2894" i="9"/>
  <c r="G2894" i="9"/>
  <c r="H2893" i="9"/>
  <c r="G2893" i="9"/>
  <c r="H2892" i="9"/>
  <c r="G2892" i="9"/>
  <c r="H2891" i="9"/>
  <c r="G2891" i="9"/>
  <c r="H2890" i="9"/>
  <c r="G2890" i="9"/>
  <c r="H2889" i="9"/>
  <c r="G2889" i="9"/>
  <c r="H2888" i="9"/>
  <c r="G2888" i="9"/>
  <c r="H2887" i="9"/>
  <c r="G2887" i="9"/>
  <c r="H2886" i="9"/>
  <c r="G2886" i="9"/>
  <c r="H2885" i="9"/>
  <c r="G2885" i="9"/>
  <c r="H2884" i="9"/>
  <c r="G2884" i="9"/>
  <c r="H2883" i="9"/>
  <c r="G2883" i="9"/>
  <c r="H2882" i="9"/>
  <c r="G2882" i="9"/>
  <c r="H2881" i="9"/>
  <c r="G2881" i="9"/>
  <c r="H2880" i="9"/>
  <c r="G2880" i="9"/>
  <c r="H2879" i="9"/>
  <c r="G2879" i="9"/>
  <c r="H2878" i="9"/>
  <c r="G2878" i="9"/>
  <c r="H2877" i="9"/>
  <c r="G2877" i="9"/>
  <c r="H2876" i="9"/>
  <c r="G2876" i="9"/>
  <c r="H2875" i="9"/>
  <c r="G2875" i="9"/>
  <c r="H2874" i="9"/>
  <c r="G2874" i="9"/>
  <c r="H2873" i="9"/>
  <c r="G2873" i="9"/>
  <c r="H2872" i="9"/>
  <c r="G2872" i="9"/>
  <c r="H2871" i="9"/>
  <c r="G2871" i="9"/>
  <c r="H2870" i="9"/>
  <c r="G2870" i="9"/>
  <c r="H2869" i="9"/>
  <c r="G2869" i="9"/>
  <c r="H2868" i="9"/>
  <c r="G2868" i="9"/>
  <c r="H2867" i="9"/>
  <c r="G2867" i="9"/>
  <c r="H2866" i="9"/>
  <c r="G2866" i="9"/>
  <c r="H2865" i="9"/>
  <c r="G2865" i="9"/>
  <c r="H2864" i="9"/>
  <c r="G2864" i="9"/>
  <c r="H2863" i="9"/>
  <c r="G2863" i="9"/>
  <c r="H2862" i="9"/>
  <c r="G2862" i="9"/>
  <c r="H2861" i="9"/>
  <c r="G2861" i="9"/>
  <c r="H2860" i="9"/>
  <c r="G2860" i="9"/>
  <c r="H2859" i="9"/>
  <c r="G2859" i="9"/>
  <c r="H2858" i="9"/>
  <c r="G2858" i="9"/>
  <c r="H2857" i="9"/>
  <c r="G2857" i="9"/>
  <c r="H2856" i="9"/>
  <c r="G2856" i="9"/>
  <c r="H2855" i="9"/>
  <c r="G2855" i="9"/>
  <c r="H2854" i="9"/>
  <c r="G2854" i="9"/>
  <c r="H2853" i="9"/>
  <c r="G2853" i="9"/>
  <c r="H2852" i="9"/>
  <c r="G2852" i="9"/>
  <c r="H2851" i="9"/>
  <c r="G2851" i="9"/>
  <c r="H2850" i="9"/>
  <c r="G2850" i="9"/>
  <c r="H2849" i="9"/>
  <c r="G2849" i="9"/>
  <c r="H2848" i="9"/>
  <c r="G2848" i="9"/>
  <c r="H2847" i="9"/>
  <c r="G2847" i="9"/>
  <c r="H2846" i="9"/>
  <c r="G2846" i="9"/>
  <c r="H2845" i="9"/>
  <c r="G2845" i="9"/>
  <c r="H2844" i="9"/>
  <c r="G2844" i="9"/>
  <c r="H2843" i="9"/>
  <c r="G2843" i="9"/>
  <c r="H2842" i="9"/>
  <c r="G2842" i="9"/>
  <c r="H2841" i="9"/>
  <c r="G2841" i="9"/>
  <c r="H2840" i="9"/>
  <c r="G2840" i="9"/>
  <c r="H2839" i="9"/>
  <c r="G2839" i="9"/>
  <c r="H2838" i="9"/>
  <c r="G2838" i="9"/>
  <c r="H2837" i="9"/>
  <c r="G2837" i="9"/>
  <c r="H2836" i="9"/>
  <c r="G2836" i="9"/>
  <c r="H2835" i="9"/>
  <c r="G2835" i="9"/>
  <c r="H2834" i="9"/>
  <c r="G2834" i="9"/>
  <c r="H2833" i="9"/>
  <c r="G2833" i="9"/>
  <c r="H2832" i="9"/>
  <c r="G2832" i="9"/>
  <c r="H2831" i="9"/>
  <c r="G2831" i="9"/>
  <c r="H2830" i="9"/>
  <c r="G2830" i="9"/>
  <c r="H2829" i="9"/>
  <c r="G2829" i="9"/>
  <c r="H2828" i="9"/>
  <c r="G2828" i="9"/>
  <c r="H2827" i="9"/>
  <c r="G2827" i="9"/>
  <c r="H2826" i="9"/>
  <c r="G2826" i="9"/>
  <c r="H2825" i="9"/>
  <c r="G2825" i="9"/>
  <c r="H2824" i="9"/>
  <c r="G2824" i="9"/>
  <c r="H2823" i="9"/>
  <c r="G2823" i="9"/>
  <c r="H2822" i="9"/>
  <c r="G2822" i="9"/>
  <c r="H2821" i="9"/>
  <c r="G2821" i="9"/>
  <c r="H2820" i="9"/>
  <c r="G2820" i="9"/>
  <c r="H2819" i="9"/>
  <c r="G2819" i="9"/>
  <c r="H2818" i="9"/>
  <c r="G2818" i="9"/>
  <c r="H2817" i="9"/>
  <c r="G2817" i="9"/>
  <c r="H2816" i="9"/>
  <c r="G2816" i="9"/>
  <c r="H2815" i="9"/>
  <c r="G2815" i="9"/>
  <c r="H2814" i="9"/>
  <c r="G2814" i="9"/>
  <c r="H2813" i="9"/>
  <c r="G2813" i="9"/>
  <c r="H2812" i="9"/>
  <c r="G2812" i="9"/>
  <c r="H2811" i="9"/>
  <c r="G2811" i="9"/>
  <c r="H2810" i="9"/>
  <c r="G2810" i="9"/>
  <c r="H2809" i="9"/>
  <c r="G2809" i="9"/>
  <c r="H2808" i="9"/>
  <c r="G2808" i="9"/>
  <c r="H2807" i="9"/>
  <c r="G2807" i="9"/>
  <c r="H2806" i="9"/>
  <c r="G2806" i="9"/>
  <c r="H2805" i="9"/>
  <c r="G2805" i="9"/>
  <c r="H2804" i="9"/>
  <c r="G2804" i="9"/>
  <c r="H2803" i="9"/>
  <c r="G2803" i="9"/>
  <c r="H2802" i="9"/>
  <c r="G2802" i="9"/>
  <c r="H2801" i="9"/>
  <c r="G2801" i="9"/>
  <c r="H2800" i="9"/>
  <c r="G2800" i="9"/>
  <c r="H2799" i="9"/>
  <c r="G2799" i="9"/>
  <c r="H2798" i="9"/>
  <c r="G2798" i="9"/>
  <c r="H2797" i="9"/>
  <c r="G2797" i="9"/>
  <c r="H2796" i="9"/>
  <c r="G2796" i="9"/>
  <c r="H2795" i="9"/>
  <c r="G2795" i="9"/>
  <c r="H2794" i="9"/>
  <c r="G2794" i="9"/>
  <c r="H2793" i="9"/>
  <c r="G2793" i="9"/>
  <c r="H2792" i="9"/>
  <c r="G2792" i="9"/>
  <c r="H2791" i="9"/>
  <c r="G2791" i="9"/>
  <c r="H2790" i="9"/>
  <c r="G2790" i="9"/>
  <c r="H2789" i="9"/>
  <c r="G2789" i="9"/>
  <c r="H2788" i="9"/>
  <c r="G2788" i="9"/>
  <c r="H2787" i="9"/>
  <c r="G2787" i="9"/>
  <c r="H2786" i="9"/>
  <c r="G2786" i="9"/>
  <c r="H2785" i="9"/>
  <c r="G2785" i="9"/>
  <c r="H2784" i="9"/>
  <c r="G2784" i="9"/>
  <c r="H2783" i="9"/>
  <c r="G2783" i="9"/>
  <c r="H2782" i="9"/>
  <c r="G2782" i="9"/>
  <c r="H2781" i="9"/>
  <c r="G2781" i="9"/>
  <c r="H2780" i="9"/>
  <c r="G2780" i="9"/>
  <c r="H2779" i="9"/>
  <c r="G2779" i="9"/>
  <c r="H2778" i="9"/>
  <c r="G2778" i="9"/>
  <c r="H2777" i="9"/>
  <c r="G2777" i="9"/>
  <c r="H2776" i="9"/>
  <c r="G2776" i="9"/>
  <c r="H2775" i="9"/>
  <c r="G2775" i="9"/>
  <c r="H2774" i="9"/>
  <c r="G2774" i="9"/>
  <c r="H2773" i="9"/>
  <c r="G2773" i="9"/>
  <c r="H2772" i="9"/>
  <c r="G2772" i="9"/>
  <c r="H2771" i="9"/>
  <c r="G2771" i="9"/>
  <c r="H2770" i="9"/>
  <c r="G2770" i="9"/>
  <c r="H2769" i="9"/>
  <c r="G2769" i="9"/>
  <c r="H2768" i="9"/>
  <c r="G2768" i="9"/>
  <c r="H2767" i="9"/>
  <c r="G2767" i="9"/>
  <c r="H2766" i="9"/>
  <c r="G2766" i="9"/>
  <c r="H2765" i="9"/>
  <c r="G2765" i="9"/>
  <c r="H2764" i="9"/>
  <c r="G2764" i="9"/>
  <c r="H2763" i="9"/>
  <c r="G2763" i="9"/>
  <c r="H2762" i="9"/>
  <c r="G2762" i="9"/>
  <c r="H2761" i="9"/>
  <c r="G2761" i="9"/>
  <c r="H2760" i="9"/>
  <c r="G2760" i="9"/>
  <c r="H2759" i="9"/>
  <c r="G2759" i="9"/>
  <c r="H2758" i="9"/>
  <c r="G2758" i="9"/>
  <c r="H2757" i="9"/>
  <c r="G2757" i="9"/>
  <c r="H2756" i="9"/>
  <c r="G2756" i="9"/>
  <c r="H2755" i="9"/>
  <c r="G2755" i="9"/>
  <c r="H2754" i="9"/>
  <c r="G2754" i="9"/>
  <c r="H2753" i="9"/>
  <c r="G2753" i="9"/>
  <c r="H2752" i="9"/>
  <c r="G2752" i="9"/>
  <c r="H2751" i="9"/>
  <c r="G2751" i="9"/>
  <c r="H2750" i="9"/>
  <c r="G2750" i="9"/>
  <c r="H2749" i="9"/>
  <c r="G2749" i="9"/>
  <c r="H2748" i="9"/>
  <c r="G2748" i="9"/>
  <c r="H2747" i="9"/>
  <c r="G2747" i="9"/>
  <c r="H2746" i="9"/>
  <c r="G2746" i="9"/>
  <c r="H2745" i="9"/>
  <c r="G2745" i="9"/>
  <c r="H2744" i="9"/>
  <c r="G2744" i="9"/>
  <c r="H2743" i="9"/>
  <c r="G2743" i="9"/>
  <c r="H2742" i="9"/>
  <c r="G2742" i="9"/>
  <c r="H2741" i="9"/>
  <c r="G2741" i="9"/>
  <c r="H2740" i="9"/>
  <c r="G2740" i="9"/>
  <c r="H2739" i="9"/>
  <c r="G2739" i="9"/>
  <c r="H2738" i="9"/>
  <c r="G2738" i="9"/>
  <c r="H2737" i="9"/>
  <c r="G2737" i="9"/>
  <c r="H2736" i="9"/>
  <c r="G2736" i="9"/>
  <c r="H2735" i="9"/>
  <c r="G2735" i="9"/>
  <c r="H2734" i="9"/>
  <c r="G2734" i="9"/>
  <c r="H2733" i="9"/>
  <c r="G2733" i="9"/>
  <c r="H2732" i="9"/>
  <c r="G2732" i="9"/>
  <c r="H2731" i="9"/>
  <c r="G2731" i="9"/>
  <c r="H2730" i="9"/>
  <c r="G2730" i="9"/>
  <c r="H2729" i="9"/>
  <c r="G2729" i="9"/>
  <c r="H2728" i="9"/>
  <c r="G2728" i="9"/>
  <c r="H2727" i="9"/>
  <c r="G2727" i="9"/>
  <c r="H2726" i="9"/>
  <c r="G2726" i="9"/>
  <c r="H2725" i="9"/>
  <c r="G2725" i="9"/>
  <c r="H2724" i="9"/>
  <c r="G2724" i="9"/>
  <c r="H2723" i="9"/>
  <c r="G2723" i="9"/>
  <c r="H2722" i="9"/>
  <c r="G2722" i="9"/>
  <c r="H2721" i="9"/>
  <c r="G2721" i="9"/>
  <c r="H2720" i="9"/>
  <c r="G2720" i="9"/>
  <c r="H2719" i="9"/>
  <c r="G2719" i="9"/>
  <c r="H2718" i="9"/>
  <c r="G2718" i="9"/>
  <c r="H2717" i="9"/>
  <c r="G2717" i="9"/>
  <c r="H2716" i="9"/>
  <c r="G2716" i="9"/>
  <c r="H2715" i="9"/>
  <c r="G2715" i="9"/>
  <c r="H2714" i="9"/>
  <c r="G2714" i="9"/>
  <c r="H2713" i="9"/>
  <c r="G2713" i="9"/>
  <c r="H2712" i="9"/>
  <c r="G2712" i="9"/>
  <c r="H2711" i="9"/>
  <c r="G2711" i="9"/>
  <c r="H2710" i="9"/>
  <c r="G2710" i="9"/>
  <c r="H2709" i="9"/>
  <c r="G2709" i="9"/>
  <c r="H2708" i="9"/>
  <c r="G2708" i="9"/>
  <c r="H2707" i="9"/>
  <c r="G2707" i="9"/>
  <c r="H2706" i="9"/>
  <c r="G2706" i="9"/>
  <c r="H2705" i="9"/>
  <c r="G2705" i="9"/>
  <c r="H2704" i="9"/>
  <c r="G2704" i="9"/>
  <c r="H2703" i="9"/>
  <c r="G2703" i="9"/>
  <c r="H2702" i="9"/>
  <c r="G2702" i="9"/>
  <c r="H2701" i="9"/>
  <c r="G2701" i="9"/>
  <c r="H2700" i="9"/>
  <c r="G2700" i="9"/>
  <c r="H2699" i="9"/>
  <c r="G2699" i="9"/>
  <c r="H2698" i="9"/>
  <c r="G2698" i="9"/>
  <c r="H2697" i="9"/>
  <c r="G2697" i="9"/>
  <c r="H2696" i="9"/>
  <c r="G2696" i="9"/>
  <c r="H2695" i="9"/>
  <c r="G2695" i="9"/>
  <c r="H2694" i="9"/>
  <c r="G2694" i="9"/>
  <c r="H2693" i="9"/>
  <c r="G2693" i="9"/>
  <c r="H2692" i="9"/>
  <c r="G2692" i="9"/>
  <c r="H2691" i="9"/>
  <c r="G2691" i="9"/>
  <c r="H2690" i="9"/>
  <c r="G2690" i="9"/>
  <c r="H2689" i="9"/>
  <c r="G2689" i="9"/>
  <c r="H2688" i="9"/>
  <c r="G2688" i="9"/>
  <c r="H2687" i="9"/>
  <c r="G2687" i="9"/>
  <c r="H2686" i="9"/>
  <c r="G2686" i="9"/>
  <c r="H2685" i="9"/>
  <c r="G2685" i="9"/>
  <c r="H2684" i="9"/>
  <c r="G2684" i="9"/>
  <c r="H2683" i="9"/>
  <c r="G2683" i="9"/>
  <c r="H2682" i="9"/>
  <c r="G2682" i="9"/>
  <c r="H2681" i="9"/>
  <c r="G2681" i="9"/>
  <c r="H2680" i="9"/>
  <c r="G2680" i="9"/>
  <c r="H2679" i="9"/>
  <c r="G2679" i="9"/>
  <c r="H2678" i="9"/>
  <c r="G2678" i="9"/>
  <c r="H2677" i="9"/>
  <c r="G2677" i="9"/>
  <c r="H2676" i="9"/>
  <c r="G2676" i="9"/>
  <c r="H2675" i="9"/>
  <c r="G2675" i="9"/>
  <c r="H2674" i="9"/>
  <c r="G2674" i="9"/>
  <c r="H2673" i="9"/>
  <c r="G2673" i="9"/>
  <c r="H2672" i="9"/>
  <c r="G2672" i="9"/>
  <c r="H2671" i="9"/>
  <c r="G2671" i="9"/>
  <c r="H2670" i="9"/>
  <c r="G2670" i="9"/>
  <c r="H2669" i="9"/>
  <c r="G2669" i="9"/>
  <c r="H2668" i="9"/>
  <c r="G2668" i="9"/>
  <c r="H2667" i="9"/>
  <c r="G2667" i="9"/>
  <c r="H2666" i="9"/>
  <c r="G2666" i="9"/>
  <c r="H2665" i="9"/>
  <c r="G2665" i="9"/>
  <c r="H2664" i="9"/>
  <c r="G2664" i="9"/>
  <c r="H2663" i="9"/>
  <c r="G2663" i="9"/>
  <c r="H2662" i="9"/>
  <c r="G2662" i="9"/>
  <c r="H2661" i="9"/>
  <c r="G2661" i="9"/>
  <c r="H2660" i="9"/>
  <c r="G2660" i="9"/>
  <c r="H2659" i="9"/>
  <c r="G2659" i="9"/>
  <c r="H2658" i="9"/>
  <c r="G2658" i="9"/>
  <c r="H2657" i="9"/>
  <c r="G2657" i="9"/>
  <c r="H2656" i="9"/>
  <c r="G2656" i="9"/>
  <c r="H2655" i="9"/>
  <c r="G2655" i="9"/>
  <c r="H2654" i="9"/>
  <c r="G2654" i="9"/>
  <c r="H2653" i="9"/>
  <c r="G2653" i="9"/>
  <c r="H2652" i="9"/>
  <c r="G2652" i="9"/>
  <c r="H2651" i="9"/>
  <c r="G2651" i="9"/>
  <c r="H2650" i="9"/>
  <c r="G2650" i="9"/>
  <c r="H2649" i="9"/>
  <c r="G2649" i="9"/>
  <c r="H2648" i="9"/>
  <c r="G2648" i="9"/>
  <c r="H2647" i="9"/>
  <c r="G2647" i="9"/>
  <c r="H2646" i="9"/>
  <c r="G2646" i="9"/>
  <c r="H2645" i="9"/>
  <c r="G2645" i="9"/>
  <c r="H2644" i="9"/>
  <c r="G2644" i="9"/>
  <c r="H2643" i="9"/>
  <c r="G2643" i="9"/>
  <c r="H2642" i="9"/>
  <c r="G2642" i="9"/>
  <c r="H2641" i="9"/>
  <c r="G2641" i="9"/>
  <c r="H2640" i="9"/>
  <c r="G2640" i="9"/>
  <c r="H2639" i="9"/>
  <c r="G2639" i="9"/>
  <c r="H2638" i="9"/>
  <c r="G2638" i="9"/>
  <c r="H2637" i="9"/>
  <c r="G2637" i="9"/>
  <c r="H2636" i="9"/>
  <c r="G2636" i="9"/>
  <c r="H2635" i="9"/>
  <c r="G2635" i="9"/>
  <c r="H2634" i="9"/>
  <c r="G2634" i="9"/>
  <c r="H2633" i="9"/>
  <c r="G2633" i="9"/>
  <c r="H2632" i="9"/>
  <c r="G2632" i="9"/>
  <c r="H2631" i="9"/>
  <c r="G2631" i="9"/>
  <c r="H2630" i="9"/>
  <c r="G2630" i="9"/>
  <c r="H2629" i="9"/>
  <c r="G2629" i="9"/>
  <c r="H2628" i="9"/>
  <c r="G2628" i="9"/>
  <c r="H2627" i="9"/>
  <c r="G2627" i="9"/>
  <c r="H2626" i="9"/>
  <c r="G2626" i="9"/>
  <c r="H2625" i="9"/>
  <c r="G2625" i="9"/>
  <c r="H2624" i="9"/>
  <c r="G2624" i="9"/>
  <c r="H2623" i="9"/>
  <c r="G2623" i="9"/>
  <c r="H2622" i="9"/>
  <c r="G2622" i="9"/>
  <c r="H2621" i="9"/>
  <c r="G2621" i="9"/>
  <c r="H2620" i="9"/>
  <c r="G2620" i="9"/>
  <c r="H2619" i="9"/>
  <c r="G2619" i="9"/>
  <c r="H2618" i="9"/>
  <c r="G2618" i="9"/>
  <c r="H2617" i="9"/>
  <c r="G2617" i="9"/>
  <c r="H2616" i="9"/>
  <c r="G2616" i="9"/>
  <c r="H2615" i="9"/>
  <c r="G2615" i="9"/>
  <c r="H2614" i="9"/>
  <c r="G2614" i="9"/>
  <c r="H2613" i="9"/>
  <c r="G2613" i="9"/>
  <c r="H2612" i="9"/>
  <c r="G2612" i="9"/>
  <c r="H2611" i="9"/>
  <c r="G2611" i="9"/>
  <c r="H2610" i="9"/>
  <c r="G2610" i="9"/>
  <c r="H2609" i="9"/>
  <c r="G2609" i="9"/>
  <c r="H2608" i="9"/>
  <c r="G2608" i="9"/>
  <c r="H2607" i="9"/>
  <c r="G2607" i="9"/>
  <c r="H2606" i="9"/>
  <c r="G2606" i="9"/>
  <c r="H2605" i="9"/>
  <c r="G2605" i="9"/>
  <c r="H2604" i="9"/>
  <c r="G2604" i="9"/>
  <c r="H2603" i="9"/>
  <c r="G2603" i="9"/>
  <c r="H2602" i="9"/>
  <c r="G2602" i="9"/>
  <c r="H2601" i="9"/>
  <c r="G2601" i="9"/>
  <c r="H2600" i="9"/>
  <c r="G2600" i="9"/>
  <c r="H2599" i="9"/>
  <c r="G2599" i="9"/>
  <c r="H2598" i="9"/>
  <c r="G2598" i="9"/>
  <c r="H2597" i="9"/>
  <c r="G2597" i="9"/>
  <c r="H2596" i="9"/>
  <c r="G2596" i="9"/>
  <c r="H2595" i="9"/>
  <c r="G2595" i="9"/>
  <c r="H2594" i="9"/>
  <c r="G2594" i="9"/>
  <c r="H2593" i="9"/>
  <c r="G2593" i="9"/>
  <c r="H2592" i="9"/>
  <c r="G2592" i="9"/>
  <c r="H2591" i="9"/>
  <c r="G2591" i="9"/>
  <c r="H2590" i="9"/>
  <c r="G2590" i="9"/>
  <c r="H2589" i="9"/>
  <c r="G2589" i="9"/>
  <c r="H2588" i="9"/>
  <c r="G2588" i="9"/>
  <c r="H2587" i="9"/>
  <c r="G2587" i="9"/>
  <c r="H2586" i="9"/>
  <c r="G2586" i="9"/>
  <c r="H2585" i="9"/>
  <c r="G2585" i="9"/>
  <c r="H2584" i="9"/>
  <c r="G2584" i="9"/>
  <c r="H2583" i="9"/>
  <c r="G2583" i="9"/>
  <c r="H2582" i="9"/>
  <c r="G2582" i="9"/>
  <c r="H2581" i="9"/>
  <c r="G2581" i="9"/>
  <c r="H2580" i="9"/>
  <c r="G2580" i="9"/>
  <c r="H2579" i="9"/>
  <c r="G2579" i="9"/>
  <c r="H2578" i="9"/>
  <c r="G2578" i="9"/>
  <c r="H2577" i="9"/>
  <c r="G2577" i="9"/>
  <c r="H2576" i="9"/>
  <c r="G2576" i="9"/>
  <c r="H2575" i="9"/>
  <c r="G2575" i="9"/>
  <c r="H2574" i="9"/>
  <c r="G2574" i="9"/>
  <c r="H2573" i="9"/>
  <c r="G2573" i="9"/>
  <c r="H2572" i="9"/>
  <c r="G2572" i="9"/>
  <c r="H2571" i="9"/>
  <c r="G2571" i="9"/>
  <c r="H2570" i="9"/>
  <c r="G2570" i="9"/>
  <c r="H2569" i="9"/>
  <c r="G2569" i="9"/>
  <c r="H2568" i="9"/>
  <c r="G2568" i="9"/>
  <c r="H2567" i="9"/>
  <c r="G2567" i="9"/>
  <c r="H2566" i="9"/>
  <c r="G2566" i="9"/>
  <c r="H2565" i="9"/>
  <c r="G2565" i="9"/>
  <c r="H2564" i="9"/>
  <c r="G2564" i="9"/>
  <c r="H2563" i="9"/>
  <c r="G2563" i="9"/>
  <c r="H2562" i="9"/>
  <c r="G2562" i="9"/>
  <c r="H2561" i="9"/>
  <c r="G2561" i="9"/>
  <c r="H2560" i="9"/>
  <c r="G2560" i="9"/>
  <c r="H2559" i="9"/>
  <c r="G2559" i="9"/>
  <c r="H2558" i="9"/>
  <c r="G2558" i="9"/>
  <c r="H2557" i="9"/>
  <c r="G2557" i="9"/>
  <c r="H2556" i="9"/>
  <c r="G2556" i="9"/>
  <c r="H2555" i="9"/>
  <c r="G2555" i="9"/>
  <c r="H2554" i="9"/>
  <c r="G2554" i="9"/>
  <c r="H2553" i="9"/>
  <c r="G2553" i="9"/>
  <c r="H2552" i="9"/>
  <c r="G2552" i="9"/>
  <c r="H2551" i="9"/>
  <c r="G2551" i="9"/>
  <c r="H2550" i="9"/>
  <c r="G2550" i="9"/>
  <c r="H2549" i="9"/>
  <c r="G2549" i="9"/>
  <c r="H2548" i="9"/>
  <c r="G2548" i="9"/>
  <c r="H2547" i="9"/>
  <c r="G2547" i="9"/>
  <c r="H2546" i="9"/>
  <c r="G2546" i="9"/>
  <c r="H2545" i="9"/>
  <c r="G2545" i="9"/>
  <c r="H2544" i="9"/>
  <c r="G2544" i="9"/>
  <c r="H2543" i="9"/>
  <c r="G2543" i="9"/>
  <c r="H2542" i="9"/>
  <c r="G2542" i="9"/>
  <c r="H2541" i="9"/>
  <c r="G2541" i="9"/>
  <c r="H2540" i="9"/>
  <c r="G2540" i="9"/>
  <c r="H2539" i="9"/>
  <c r="G2539" i="9"/>
  <c r="H2538" i="9"/>
  <c r="G2538" i="9"/>
  <c r="H2537" i="9"/>
  <c r="G2537" i="9"/>
  <c r="H2536" i="9"/>
  <c r="G2536" i="9"/>
  <c r="H2535" i="9"/>
  <c r="G2535" i="9"/>
  <c r="H2534" i="9"/>
  <c r="G2534" i="9"/>
  <c r="H2533" i="9"/>
  <c r="G2533" i="9"/>
  <c r="H2532" i="9"/>
  <c r="G2532" i="9"/>
  <c r="H2531" i="9"/>
  <c r="G2531" i="9"/>
  <c r="H2530" i="9"/>
  <c r="G2530" i="9"/>
  <c r="H2529" i="9"/>
  <c r="G2529" i="9"/>
  <c r="H2528" i="9"/>
  <c r="G2528" i="9"/>
  <c r="H2527" i="9"/>
  <c r="G2527" i="9"/>
  <c r="H2526" i="9"/>
  <c r="G2526" i="9"/>
  <c r="H2525" i="9"/>
  <c r="G2525" i="9"/>
  <c r="H2524" i="9"/>
  <c r="G2524" i="9"/>
  <c r="H2523" i="9"/>
  <c r="G2523" i="9"/>
  <c r="H2522" i="9"/>
  <c r="G2522" i="9"/>
  <c r="H2521" i="9"/>
  <c r="G2521" i="9"/>
  <c r="H2520" i="9"/>
  <c r="G2520" i="9"/>
  <c r="H2519" i="9"/>
  <c r="G2519" i="9"/>
  <c r="H2518" i="9"/>
  <c r="G2518" i="9"/>
  <c r="H2517" i="9"/>
  <c r="G2517" i="9"/>
  <c r="H2516" i="9"/>
  <c r="G2516" i="9"/>
  <c r="H2515" i="9"/>
  <c r="G2515" i="9"/>
  <c r="H2514" i="9"/>
  <c r="G2514" i="9"/>
  <c r="H2513" i="9"/>
  <c r="G2513" i="9"/>
  <c r="H2512" i="9"/>
  <c r="G2512" i="9"/>
  <c r="H2511" i="9"/>
  <c r="G2511" i="9"/>
  <c r="H2510" i="9"/>
  <c r="G2510" i="9"/>
  <c r="H2509" i="9"/>
  <c r="G2509" i="9"/>
  <c r="H2508" i="9"/>
  <c r="G2508" i="9"/>
  <c r="H2507" i="9"/>
  <c r="G2507" i="9"/>
  <c r="H2506" i="9"/>
  <c r="G2506" i="9"/>
  <c r="H2505" i="9"/>
  <c r="G2505" i="9"/>
  <c r="H2504" i="9"/>
  <c r="G2504" i="9"/>
  <c r="H2503" i="9"/>
  <c r="G2503" i="9"/>
  <c r="H2502" i="9"/>
  <c r="G2502" i="9"/>
  <c r="H2501" i="9"/>
  <c r="G2501" i="9"/>
  <c r="H2500" i="9"/>
  <c r="G2500" i="9"/>
  <c r="H2499" i="9"/>
  <c r="G2499" i="9"/>
  <c r="H2498" i="9"/>
  <c r="G2498" i="9"/>
  <c r="H2497" i="9"/>
  <c r="G2497" i="9"/>
  <c r="H2496" i="9"/>
  <c r="G2496" i="9"/>
  <c r="H2495" i="9"/>
  <c r="G2495" i="9"/>
  <c r="H2494" i="9"/>
  <c r="G2494" i="9"/>
  <c r="H2493" i="9"/>
  <c r="G2493" i="9"/>
  <c r="H2492" i="9"/>
  <c r="G2492" i="9"/>
  <c r="H2491" i="9"/>
  <c r="G2491" i="9"/>
  <c r="H2490" i="9"/>
  <c r="G2490" i="9"/>
  <c r="H2489" i="9"/>
  <c r="G2489" i="9"/>
  <c r="H2488" i="9"/>
  <c r="G2488" i="9"/>
  <c r="H2487" i="9"/>
  <c r="G2487" i="9"/>
  <c r="H2486" i="9"/>
  <c r="G2486" i="9"/>
  <c r="H2485" i="9"/>
  <c r="G2485" i="9"/>
  <c r="H2484" i="9"/>
  <c r="G2484" i="9"/>
  <c r="H2483" i="9"/>
  <c r="G2483" i="9"/>
  <c r="H2482" i="9"/>
  <c r="G2482" i="9"/>
  <c r="H2481" i="9"/>
  <c r="G2481" i="9"/>
  <c r="H2480" i="9"/>
  <c r="G2480" i="9"/>
  <c r="H2479" i="9"/>
  <c r="G2479" i="9"/>
  <c r="H2478" i="9"/>
  <c r="G2478" i="9"/>
  <c r="H2477" i="9"/>
  <c r="G2477" i="9"/>
  <c r="H2476" i="9"/>
  <c r="G2476" i="9"/>
  <c r="H2475" i="9"/>
  <c r="G2475" i="9"/>
  <c r="H2474" i="9"/>
  <c r="G2474" i="9"/>
  <c r="H2473" i="9"/>
  <c r="G2473" i="9"/>
  <c r="H2472" i="9"/>
  <c r="G2472" i="9"/>
  <c r="H2471" i="9"/>
  <c r="G2471" i="9"/>
  <c r="H2470" i="9"/>
  <c r="G2470" i="9"/>
  <c r="H2469" i="9"/>
  <c r="G2469" i="9"/>
  <c r="H2468" i="9"/>
  <c r="G2468" i="9"/>
  <c r="H2467" i="9"/>
  <c r="G2467" i="9"/>
  <c r="H2466" i="9"/>
  <c r="G2466" i="9"/>
  <c r="H2465" i="9"/>
  <c r="G2465" i="9"/>
  <c r="H2464" i="9"/>
  <c r="G2464" i="9"/>
  <c r="H2463" i="9"/>
  <c r="G2463" i="9"/>
  <c r="H2462" i="9"/>
  <c r="G2462" i="9"/>
  <c r="H2461" i="9"/>
  <c r="G2461" i="9"/>
  <c r="H2460" i="9"/>
  <c r="G2460" i="9"/>
  <c r="H2459" i="9"/>
  <c r="G2459" i="9"/>
  <c r="H2458" i="9"/>
  <c r="G2458" i="9"/>
  <c r="H2457" i="9"/>
  <c r="G2457" i="9"/>
  <c r="H2456" i="9"/>
  <c r="G2456" i="9"/>
  <c r="H2455" i="9"/>
  <c r="G2455" i="9"/>
  <c r="H2454" i="9"/>
  <c r="G2454" i="9"/>
  <c r="H2453" i="9"/>
  <c r="G2453" i="9"/>
  <c r="H2452" i="9"/>
  <c r="G2452" i="9"/>
  <c r="H2451" i="9"/>
  <c r="G2451" i="9"/>
  <c r="H2450" i="9"/>
  <c r="G2450" i="9"/>
  <c r="H2449" i="9"/>
  <c r="G2449" i="9"/>
  <c r="H2448" i="9"/>
  <c r="G2448" i="9"/>
  <c r="H2447" i="9"/>
  <c r="G2447" i="9"/>
  <c r="H2446" i="9"/>
  <c r="G2446" i="9"/>
  <c r="H2445" i="9"/>
  <c r="G2445" i="9"/>
  <c r="H2444" i="9"/>
  <c r="G2444" i="9"/>
  <c r="H2443" i="9"/>
  <c r="G2443" i="9"/>
  <c r="H2442" i="9"/>
  <c r="G2442" i="9"/>
  <c r="H2441" i="9"/>
  <c r="G2441" i="9"/>
  <c r="H2440" i="9"/>
  <c r="G2440" i="9"/>
  <c r="H2439" i="9"/>
  <c r="G2439" i="9"/>
  <c r="H2438" i="9"/>
  <c r="G2438" i="9"/>
  <c r="H2437" i="9"/>
  <c r="G2437" i="9"/>
  <c r="H2436" i="9"/>
  <c r="G2436" i="9"/>
  <c r="H2435" i="9"/>
  <c r="G2435" i="9"/>
  <c r="H2434" i="9"/>
  <c r="G2434" i="9"/>
  <c r="H2433" i="9"/>
  <c r="G2433" i="9"/>
  <c r="H2432" i="9"/>
  <c r="G2432" i="9"/>
  <c r="H2431" i="9"/>
  <c r="G2431" i="9"/>
  <c r="H2430" i="9"/>
  <c r="G2430" i="9"/>
  <c r="H2429" i="9"/>
  <c r="G2429" i="9"/>
  <c r="H2428" i="9"/>
  <c r="G2428" i="9"/>
  <c r="H2427" i="9"/>
  <c r="G2427" i="9"/>
  <c r="H2426" i="9"/>
  <c r="G2426" i="9"/>
  <c r="H2425" i="9"/>
  <c r="G2425" i="9"/>
  <c r="H2424" i="9"/>
  <c r="G2424" i="9"/>
  <c r="H2423" i="9"/>
  <c r="G2423" i="9"/>
  <c r="H2422" i="9"/>
  <c r="G2422" i="9"/>
  <c r="H2421" i="9"/>
  <c r="G2421" i="9"/>
  <c r="H2420" i="9"/>
  <c r="G2420" i="9"/>
  <c r="H2419" i="9"/>
  <c r="G2419" i="9"/>
  <c r="H2418" i="9"/>
  <c r="G2418" i="9"/>
  <c r="H2417" i="9"/>
  <c r="G2417" i="9"/>
  <c r="H2416" i="9"/>
  <c r="G2416" i="9"/>
  <c r="H2415" i="9"/>
  <c r="G2415" i="9"/>
  <c r="H2414" i="9"/>
  <c r="G2414" i="9"/>
  <c r="H2413" i="9"/>
  <c r="G2413" i="9"/>
  <c r="H2412" i="9"/>
  <c r="G2412" i="9"/>
  <c r="H2411" i="9"/>
  <c r="G2411" i="9"/>
  <c r="H2410" i="9"/>
  <c r="G2410" i="9"/>
  <c r="H2409" i="9"/>
  <c r="G2409" i="9"/>
  <c r="H2408" i="9"/>
  <c r="G2408" i="9"/>
  <c r="H2407" i="9"/>
  <c r="G2407" i="9"/>
  <c r="H2406" i="9"/>
  <c r="G2406" i="9"/>
  <c r="H2405" i="9"/>
  <c r="G2405" i="9"/>
  <c r="H2404" i="9"/>
  <c r="G2404" i="9"/>
  <c r="H2403" i="9"/>
  <c r="G2403" i="9"/>
  <c r="H2402" i="9"/>
  <c r="G2402" i="9"/>
  <c r="H2401" i="9"/>
  <c r="G2401" i="9"/>
  <c r="H2400" i="9"/>
  <c r="G2400" i="9"/>
  <c r="H2399" i="9"/>
  <c r="G2399" i="9"/>
  <c r="H2398" i="9"/>
  <c r="G2398" i="9"/>
  <c r="H2397" i="9"/>
  <c r="G2397" i="9"/>
  <c r="H2396" i="9"/>
  <c r="G2396" i="9"/>
  <c r="H2395" i="9"/>
  <c r="G2395" i="9"/>
  <c r="H2394" i="9"/>
  <c r="G2394" i="9"/>
  <c r="H2393" i="9"/>
  <c r="G2393" i="9"/>
  <c r="H2392" i="9"/>
  <c r="G2392" i="9"/>
  <c r="H2391" i="9"/>
  <c r="G2391" i="9"/>
  <c r="H2390" i="9"/>
  <c r="G2390" i="9"/>
  <c r="H2389" i="9"/>
  <c r="G2389" i="9"/>
  <c r="H2388" i="9"/>
  <c r="G2388" i="9"/>
  <c r="H2387" i="9"/>
  <c r="G2387" i="9"/>
  <c r="H2386" i="9"/>
  <c r="G2386" i="9"/>
  <c r="H2385" i="9"/>
  <c r="G2385" i="9"/>
  <c r="H2384" i="9"/>
  <c r="G2384" i="9"/>
  <c r="H2383" i="9"/>
  <c r="G2383" i="9"/>
  <c r="H2382" i="9"/>
  <c r="G2382" i="9"/>
  <c r="H2381" i="9"/>
  <c r="G2381" i="9"/>
  <c r="H2380" i="9"/>
  <c r="G2380" i="9"/>
  <c r="H2379" i="9"/>
  <c r="G2379" i="9"/>
  <c r="H2378" i="9"/>
  <c r="G2378" i="9"/>
  <c r="H2377" i="9"/>
  <c r="G2377" i="9"/>
  <c r="H2376" i="9"/>
  <c r="G2376" i="9"/>
  <c r="H2375" i="9"/>
  <c r="G2375" i="9"/>
  <c r="H2374" i="9"/>
  <c r="G2374" i="9"/>
  <c r="H2373" i="9"/>
  <c r="G2373" i="9"/>
  <c r="H2372" i="9"/>
  <c r="G2372" i="9"/>
  <c r="H2371" i="9"/>
  <c r="G2371" i="9"/>
  <c r="H2370" i="9"/>
  <c r="G2370" i="9"/>
  <c r="H2369" i="9"/>
  <c r="G2369" i="9"/>
  <c r="H2368" i="9"/>
  <c r="G2368" i="9"/>
  <c r="H2367" i="9"/>
  <c r="G2367" i="9"/>
  <c r="H2366" i="9"/>
  <c r="G2366" i="9"/>
  <c r="H2365" i="9"/>
  <c r="G2365" i="9"/>
  <c r="H2364" i="9"/>
  <c r="G2364" i="9"/>
  <c r="H2363" i="9"/>
  <c r="G2363" i="9"/>
  <c r="H2362" i="9"/>
  <c r="G2362" i="9"/>
  <c r="H2361" i="9"/>
  <c r="G2361" i="9"/>
  <c r="H2360" i="9"/>
  <c r="G2360" i="9"/>
  <c r="H2359" i="9"/>
  <c r="G2359" i="9"/>
  <c r="H2358" i="9"/>
  <c r="G2358" i="9"/>
  <c r="H2357" i="9"/>
  <c r="G2357" i="9"/>
  <c r="H2356" i="9"/>
  <c r="G2356" i="9"/>
  <c r="H2355" i="9"/>
  <c r="G2355" i="9"/>
  <c r="H2354" i="9"/>
  <c r="G2354" i="9"/>
  <c r="H2353" i="9"/>
  <c r="G2353" i="9"/>
  <c r="H2352" i="9"/>
  <c r="G2352" i="9"/>
  <c r="H2351" i="9"/>
  <c r="G2351" i="9"/>
  <c r="H2350" i="9"/>
  <c r="G2350" i="9"/>
  <c r="H2349" i="9"/>
  <c r="G2349" i="9"/>
  <c r="H2348" i="9"/>
  <c r="G2348" i="9"/>
  <c r="H2347" i="9"/>
  <c r="G2347" i="9"/>
  <c r="H2346" i="9"/>
  <c r="G2346" i="9"/>
  <c r="H2345" i="9"/>
  <c r="G2345" i="9"/>
  <c r="H2344" i="9"/>
  <c r="G2344" i="9"/>
  <c r="H2343" i="9"/>
  <c r="G2343" i="9"/>
  <c r="H2342" i="9"/>
  <c r="G2342" i="9"/>
  <c r="H2341" i="9"/>
  <c r="G2341" i="9"/>
  <c r="H2340" i="9"/>
  <c r="G2340" i="9"/>
  <c r="H2339" i="9"/>
  <c r="G2339" i="9"/>
  <c r="H2338" i="9"/>
  <c r="G2338" i="9"/>
  <c r="H2337" i="9"/>
  <c r="G2337" i="9"/>
  <c r="H2336" i="9"/>
  <c r="G2336" i="9"/>
  <c r="H2335" i="9"/>
  <c r="G2335" i="9"/>
  <c r="H2334" i="9"/>
  <c r="G2334" i="9"/>
  <c r="H2333" i="9"/>
  <c r="G2333" i="9"/>
  <c r="H2332" i="9"/>
  <c r="G2332" i="9"/>
  <c r="H2331" i="9"/>
  <c r="G2331" i="9"/>
  <c r="H2330" i="9"/>
  <c r="G2330" i="9"/>
  <c r="H2329" i="9"/>
  <c r="G2329" i="9"/>
  <c r="H2328" i="9"/>
  <c r="G2328" i="9"/>
  <c r="H2327" i="9"/>
  <c r="G2327" i="9"/>
  <c r="H2326" i="9"/>
  <c r="G2326" i="9"/>
  <c r="H2325" i="9"/>
  <c r="G2325" i="9"/>
  <c r="H2324" i="9"/>
  <c r="G2324" i="9"/>
  <c r="H2323" i="9"/>
  <c r="G2323" i="9"/>
  <c r="H2322" i="9"/>
  <c r="G2322" i="9"/>
  <c r="H2321" i="9"/>
  <c r="G2321" i="9"/>
  <c r="H2320" i="9"/>
  <c r="G2320" i="9"/>
  <c r="H2319" i="9"/>
  <c r="G2319" i="9"/>
  <c r="H2318" i="9"/>
  <c r="G2318" i="9"/>
  <c r="H2317" i="9"/>
  <c r="G2317" i="9"/>
  <c r="H2316" i="9"/>
  <c r="G2316" i="9"/>
  <c r="H2315" i="9"/>
  <c r="G2315" i="9"/>
  <c r="H2314" i="9"/>
  <c r="G2314" i="9"/>
  <c r="H2313" i="9"/>
  <c r="G2313" i="9"/>
  <c r="H2312" i="9"/>
  <c r="G2312" i="9"/>
  <c r="H2311" i="9"/>
  <c r="G2311" i="9"/>
  <c r="H2310" i="9"/>
  <c r="G2310" i="9"/>
  <c r="H2309" i="9"/>
  <c r="G2309" i="9"/>
  <c r="H2308" i="9"/>
  <c r="G2308" i="9"/>
  <c r="H2307" i="9"/>
  <c r="G2307" i="9"/>
  <c r="H2306" i="9"/>
  <c r="G2306" i="9"/>
  <c r="H2305" i="9"/>
  <c r="G2305" i="9"/>
  <c r="H2304" i="9"/>
  <c r="G2304" i="9"/>
  <c r="H2303" i="9"/>
  <c r="G2303" i="9"/>
  <c r="H2302" i="9"/>
  <c r="G2302" i="9"/>
  <c r="H2301" i="9"/>
  <c r="G2301" i="9"/>
  <c r="H2300" i="9"/>
  <c r="G2300" i="9"/>
  <c r="H2299" i="9"/>
  <c r="G2299" i="9"/>
  <c r="H2298" i="9"/>
  <c r="G2298" i="9"/>
  <c r="H2297" i="9"/>
  <c r="G2297" i="9"/>
  <c r="H2296" i="9"/>
  <c r="G2296" i="9"/>
  <c r="H2295" i="9"/>
  <c r="G2295" i="9"/>
  <c r="H2294" i="9"/>
  <c r="G2294" i="9"/>
  <c r="H2293" i="9"/>
  <c r="G2293" i="9"/>
  <c r="H2292" i="9"/>
  <c r="G2292" i="9"/>
  <c r="H2291" i="9"/>
  <c r="G2291" i="9"/>
  <c r="H2290" i="9"/>
  <c r="G2290" i="9"/>
  <c r="H2289" i="9"/>
  <c r="G2289" i="9"/>
  <c r="H2288" i="9"/>
  <c r="G2288" i="9"/>
  <c r="H2287" i="9"/>
  <c r="G2287" i="9"/>
  <c r="H2286" i="9"/>
  <c r="G2286" i="9"/>
  <c r="H2285" i="9"/>
  <c r="G2285" i="9"/>
  <c r="H2284" i="9"/>
  <c r="G2284" i="9"/>
  <c r="H2283" i="9"/>
  <c r="G2283" i="9"/>
  <c r="H2282" i="9"/>
  <c r="G2282" i="9"/>
  <c r="H2281" i="9"/>
  <c r="G2281" i="9"/>
  <c r="H2280" i="9"/>
  <c r="G2280" i="9"/>
  <c r="H2279" i="9"/>
  <c r="G2279" i="9"/>
  <c r="H2278" i="9"/>
  <c r="G2278" i="9"/>
  <c r="H2277" i="9"/>
  <c r="G2277" i="9"/>
  <c r="H2276" i="9"/>
  <c r="G2276" i="9"/>
  <c r="H2275" i="9"/>
  <c r="G2275" i="9"/>
  <c r="H2274" i="9"/>
  <c r="G2274" i="9"/>
  <c r="H2273" i="9"/>
  <c r="G2273" i="9"/>
  <c r="H2272" i="9"/>
  <c r="G2272" i="9"/>
  <c r="H2271" i="9"/>
  <c r="G2271" i="9"/>
  <c r="H2270" i="9"/>
  <c r="G2270" i="9"/>
  <c r="H2269" i="9"/>
  <c r="G2269" i="9"/>
  <c r="H2268" i="9"/>
  <c r="G2268" i="9"/>
  <c r="H2267" i="9"/>
  <c r="G2267" i="9"/>
  <c r="H2266" i="9"/>
  <c r="G2266" i="9"/>
  <c r="H2265" i="9"/>
  <c r="G2265" i="9"/>
  <c r="H2264" i="9"/>
  <c r="G2264" i="9"/>
  <c r="H2263" i="9"/>
  <c r="G2263" i="9"/>
  <c r="H2262" i="9"/>
  <c r="G2262" i="9"/>
  <c r="H2261" i="9"/>
  <c r="G2261" i="9"/>
  <c r="H2260" i="9"/>
  <c r="G2260" i="9"/>
  <c r="H2259" i="9"/>
  <c r="G2259" i="9"/>
  <c r="H2258" i="9"/>
  <c r="G2258" i="9"/>
  <c r="H2257" i="9"/>
  <c r="G2257" i="9"/>
  <c r="H2256" i="9"/>
  <c r="G2256" i="9"/>
  <c r="H2255" i="9"/>
  <c r="G2255" i="9"/>
  <c r="H2254" i="9"/>
  <c r="G2254" i="9"/>
  <c r="H2253" i="9"/>
  <c r="G2253" i="9"/>
  <c r="H2252" i="9"/>
  <c r="G2252" i="9"/>
  <c r="H2251" i="9"/>
  <c r="G2251" i="9"/>
  <c r="H2250" i="9"/>
  <c r="G2250" i="9"/>
  <c r="H2249" i="9"/>
  <c r="G2249" i="9"/>
  <c r="H2248" i="9"/>
  <c r="G2248" i="9"/>
  <c r="H2247" i="9"/>
  <c r="G2247" i="9"/>
  <c r="H2246" i="9"/>
  <c r="G2246" i="9"/>
  <c r="H2245" i="9"/>
  <c r="G2245" i="9"/>
  <c r="H2244" i="9"/>
  <c r="G2244" i="9"/>
  <c r="H2243" i="9"/>
  <c r="G2243" i="9"/>
  <c r="H2242" i="9"/>
  <c r="G2242" i="9"/>
  <c r="H2241" i="9"/>
  <c r="G2241" i="9"/>
  <c r="H2240" i="9"/>
  <c r="G2240" i="9"/>
  <c r="H2239" i="9"/>
  <c r="G2239" i="9"/>
  <c r="H2238" i="9"/>
  <c r="G2238" i="9"/>
  <c r="H2237" i="9"/>
  <c r="G2237" i="9"/>
  <c r="H2236" i="9"/>
  <c r="G2236" i="9"/>
  <c r="H2235" i="9"/>
  <c r="G2235" i="9"/>
  <c r="H2234" i="9"/>
  <c r="G2234" i="9"/>
  <c r="H2233" i="9"/>
  <c r="G2233" i="9"/>
  <c r="H2232" i="9"/>
  <c r="G2232" i="9"/>
  <c r="H2231" i="9"/>
  <c r="G2231" i="9"/>
  <c r="H2230" i="9"/>
  <c r="G2230" i="9"/>
  <c r="H2229" i="9"/>
  <c r="G2229" i="9"/>
  <c r="H2228" i="9"/>
  <c r="G2228" i="9"/>
  <c r="H2227" i="9"/>
  <c r="G2227" i="9"/>
  <c r="H2226" i="9"/>
  <c r="G2226" i="9"/>
  <c r="H2225" i="9"/>
  <c r="G2225" i="9"/>
  <c r="H2224" i="9"/>
  <c r="G2224" i="9"/>
  <c r="H2223" i="9"/>
  <c r="G2223" i="9"/>
  <c r="H2222" i="9"/>
  <c r="G2222" i="9"/>
  <c r="H2221" i="9"/>
  <c r="G2221" i="9"/>
  <c r="H2220" i="9"/>
  <c r="G2220" i="9"/>
  <c r="H2219" i="9"/>
  <c r="G2219" i="9"/>
  <c r="H2218" i="9"/>
  <c r="G2218" i="9"/>
  <c r="H2217" i="9"/>
  <c r="G2217" i="9"/>
  <c r="H2216" i="9"/>
  <c r="G2216" i="9"/>
  <c r="H2215" i="9"/>
  <c r="G2215" i="9"/>
  <c r="H2214" i="9"/>
  <c r="G2214" i="9"/>
  <c r="H2213" i="9"/>
  <c r="G2213" i="9"/>
  <c r="H2212" i="9"/>
  <c r="G2212" i="9"/>
  <c r="H2211" i="9"/>
  <c r="G2211" i="9"/>
  <c r="H2210" i="9"/>
  <c r="G2210" i="9"/>
  <c r="H2209" i="9"/>
  <c r="G2209" i="9"/>
  <c r="H2208" i="9"/>
  <c r="G2208" i="9"/>
  <c r="H2207" i="9"/>
  <c r="G2207" i="9"/>
  <c r="H2206" i="9"/>
  <c r="G2206" i="9"/>
  <c r="H2205" i="9"/>
  <c r="G2205" i="9"/>
  <c r="H2204" i="9"/>
  <c r="G2204" i="9"/>
  <c r="H2203" i="9"/>
  <c r="G2203" i="9"/>
  <c r="H2202" i="9"/>
  <c r="G2202" i="9"/>
  <c r="H2201" i="9"/>
  <c r="G2201" i="9"/>
  <c r="H2200" i="9"/>
  <c r="G2200" i="9"/>
  <c r="H2199" i="9"/>
  <c r="G2199" i="9"/>
  <c r="H2198" i="9"/>
  <c r="G2198" i="9"/>
  <c r="H2197" i="9"/>
  <c r="G2197" i="9"/>
  <c r="H2196" i="9"/>
  <c r="G2196" i="9"/>
  <c r="H2195" i="9"/>
  <c r="G2195" i="9"/>
  <c r="H2194" i="9"/>
  <c r="G2194" i="9"/>
  <c r="H2193" i="9"/>
  <c r="G2193" i="9"/>
  <c r="H2192" i="9"/>
  <c r="G2192" i="9"/>
  <c r="H2191" i="9"/>
  <c r="G2191" i="9"/>
  <c r="H2190" i="9"/>
  <c r="G2190" i="9"/>
  <c r="H2189" i="9"/>
  <c r="G2189" i="9"/>
  <c r="H2188" i="9"/>
  <c r="G2188" i="9"/>
  <c r="H2187" i="9"/>
  <c r="G2187" i="9"/>
  <c r="H2186" i="9"/>
  <c r="G2186" i="9"/>
  <c r="H2185" i="9"/>
  <c r="G2185" i="9"/>
  <c r="H2184" i="9"/>
  <c r="G2184" i="9"/>
  <c r="H2183" i="9"/>
  <c r="G2183" i="9"/>
  <c r="H2182" i="9"/>
  <c r="G2182" i="9"/>
  <c r="H2181" i="9"/>
  <c r="G2181" i="9"/>
  <c r="H2180" i="9"/>
  <c r="G2180" i="9"/>
  <c r="H2179" i="9"/>
  <c r="G2179" i="9"/>
  <c r="H2178" i="9"/>
  <c r="G2178" i="9"/>
  <c r="H2177" i="9"/>
  <c r="G2177" i="9"/>
  <c r="H2176" i="9"/>
  <c r="G2176" i="9"/>
  <c r="H2175" i="9"/>
  <c r="G2175" i="9"/>
  <c r="H2174" i="9"/>
  <c r="G2174" i="9"/>
  <c r="H2173" i="9"/>
  <c r="G2173" i="9"/>
  <c r="H2172" i="9"/>
  <c r="G2172" i="9"/>
  <c r="H2171" i="9"/>
  <c r="G2171" i="9"/>
  <c r="H2170" i="9"/>
  <c r="G2170" i="9"/>
  <c r="H2169" i="9"/>
  <c r="G2169" i="9"/>
  <c r="H2168" i="9"/>
  <c r="G2168" i="9"/>
  <c r="H2167" i="9"/>
  <c r="G2167" i="9"/>
  <c r="H2166" i="9"/>
  <c r="G2166" i="9"/>
  <c r="H2165" i="9"/>
  <c r="G2165" i="9"/>
  <c r="H2164" i="9"/>
  <c r="G2164" i="9"/>
  <c r="H2163" i="9"/>
  <c r="G2163" i="9"/>
  <c r="H2162" i="9"/>
  <c r="G2162" i="9"/>
  <c r="H2161" i="9"/>
  <c r="G2161" i="9"/>
  <c r="H2160" i="9"/>
  <c r="G2160" i="9"/>
  <c r="H2159" i="9"/>
  <c r="G2159" i="9"/>
  <c r="H2158" i="9"/>
  <c r="G2158" i="9"/>
  <c r="H2157" i="9"/>
  <c r="G2157" i="9"/>
  <c r="H2156" i="9"/>
  <c r="G2156" i="9"/>
  <c r="H2155" i="9"/>
  <c r="G2155" i="9"/>
  <c r="H2154" i="9"/>
  <c r="G2154" i="9"/>
  <c r="H2153" i="9"/>
  <c r="G2153" i="9"/>
  <c r="H2152" i="9"/>
  <c r="G2152" i="9"/>
  <c r="H2151" i="9"/>
  <c r="G2151" i="9"/>
  <c r="H2150" i="9"/>
  <c r="G2150" i="9"/>
  <c r="H2149" i="9"/>
  <c r="G2149" i="9"/>
  <c r="H2148" i="9"/>
  <c r="G2148" i="9"/>
  <c r="H2147" i="9"/>
  <c r="G2147" i="9"/>
  <c r="H2146" i="9"/>
  <c r="G2146" i="9"/>
  <c r="H2145" i="9"/>
  <c r="G2145" i="9"/>
  <c r="H2144" i="9"/>
  <c r="G2144" i="9"/>
  <c r="H2143" i="9"/>
  <c r="G2143" i="9"/>
  <c r="H2142" i="9"/>
  <c r="G2142" i="9"/>
  <c r="H2141" i="9"/>
  <c r="G2141" i="9"/>
  <c r="H2140" i="9"/>
  <c r="G2140" i="9"/>
  <c r="H2139" i="9"/>
  <c r="G2139" i="9"/>
  <c r="H2138" i="9"/>
  <c r="G2138" i="9"/>
  <c r="H2137" i="9"/>
  <c r="G2137" i="9"/>
  <c r="H2136" i="9"/>
  <c r="G2136" i="9"/>
  <c r="H2135" i="9"/>
  <c r="G2135" i="9"/>
  <c r="H2134" i="9"/>
  <c r="G2134" i="9"/>
  <c r="H2133" i="9"/>
  <c r="G2133" i="9"/>
  <c r="H2132" i="9"/>
  <c r="G2132" i="9"/>
  <c r="H2131" i="9"/>
  <c r="G2131" i="9"/>
  <c r="H2130" i="9"/>
  <c r="G2130" i="9"/>
  <c r="H2129" i="9"/>
  <c r="G2129" i="9"/>
  <c r="H2128" i="9"/>
  <c r="G2128" i="9"/>
  <c r="H2127" i="9"/>
  <c r="G2127" i="9"/>
  <c r="H2126" i="9"/>
  <c r="G2126" i="9"/>
  <c r="H2125" i="9"/>
  <c r="G2125" i="9"/>
  <c r="H2124" i="9"/>
  <c r="G2124" i="9"/>
  <c r="H2123" i="9"/>
  <c r="G2123" i="9"/>
  <c r="H2122" i="9"/>
  <c r="G2122" i="9"/>
  <c r="H2121" i="9"/>
  <c r="G2121" i="9"/>
  <c r="H2120" i="9"/>
  <c r="G2120" i="9"/>
  <c r="H2119" i="9"/>
  <c r="G2119" i="9"/>
  <c r="H2118" i="9"/>
  <c r="G2118" i="9"/>
  <c r="H2117" i="9"/>
  <c r="G2117" i="9"/>
  <c r="H2116" i="9"/>
  <c r="G2116" i="9"/>
  <c r="H2115" i="9"/>
  <c r="G2115" i="9"/>
  <c r="H2114" i="9"/>
  <c r="G2114" i="9"/>
  <c r="H2113" i="9"/>
  <c r="G2113" i="9"/>
  <c r="H2112" i="9"/>
  <c r="G2112" i="9"/>
  <c r="H2111" i="9"/>
  <c r="G2111" i="9"/>
  <c r="H2110" i="9"/>
  <c r="G2110" i="9"/>
  <c r="H2109" i="9"/>
  <c r="G2109" i="9"/>
  <c r="H2108" i="9"/>
  <c r="G2108" i="9"/>
  <c r="H2107" i="9"/>
  <c r="G2107" i="9"/>
  <c r="H2106" i="9"/>
  <c r="G2106" i="9"/>
  <c r="H2105" i="9"/>
  <c r="G2105" i="9"/>
  <c r="H2104" i="9"/>
  <c r="G2104" i="9"/>
  <c r="H2103" i="9"/>
  <c r="G2103" i="9"/>
  <c r="H2102" i="9"/>
  <c r="G2102" i="9"/>
  <c r="H2101" i="9"/>
  <c r="G2101" i="9"/>
  <c r="H2100" i="9"/>
  <c r="G2100" i="9"/>
  <c r="H2099" i="9"/>
  <c r="G2099" i="9"/>
  <c r="H2098" i="9"/>
  <c r="G2098" i="9"/>
  <c r="H2097" i="9"/>
  <c r="G2097" i="9"/>
  <c r="H2096" i="9"/>
  <c r="G2096" i="9"/>
  <c r="H2095" i="9"/>
  <c r="G2095" i="9"/>
  <c r="H2094" i="9"/>
  <c r="G2094" i="9"/>
  <c r="H2093" i="9"/>
  <c r="G2093" i="9"/>
  <c r="H2092" i="9"/>
  <c r="G2092" i="9"/>
  <c r="H2091" i="9"/>
  <c r="G2091" i="9"/>
  <c r="H2090" i="9"/>
  <c r="G2090" i="9"/>
  <c r="H2089" i="9"/>
  <c r="G2089" i="9"/>
  <c r="H2088" i="9"/>
  <c r="G2088" i="9"/>
  <c r="H2087" i="9"/>
  <c r="G2087" i="9"/>
  <c r="H2086" i="9"/>
  <c r="G2086" i="9"/>
  <c r="H2085" i="9"/>
  <c r="G2085" i="9"/>
  <c r="H2084" i="9"/>
  <c r="G2084" i="9"/>
  <c r="H2083" i="9"/>
  <c r="G2083" i="9"/>
  <c r="H2082" i="9"/>
  <c r="G2082" i="9"/>
  <c r="H2081" i="9"/>
  <c r="G2081" i="9"/>
  <c r="H2080" i="9"/>
  <c r="G2080" i="9"/>
  <c r="H2079" i="9"/>
  <c r="G2079" i="9"/>
  <c r="H2078" i="9"/>
  <c r="G2078" i="9"/>
  <c r="H2077" i="9"/>
  <c r="G2077" i="9"/>
  <c r="H2076" i="9"/>
  <c r="G2076" i="9"/>
  <c r="H2075" i="9"/>
  <c r="G2075" i="9"/>
  <c r="H2074" i="9"/>
  <c r="G2074" i="9"/>
  <c r="H2073" i="9"/>
  <c r="G2073" i="9"/>
  <c r="H2072" i="9"/>
  <c r="G2072" i="9"/>
  <c r="H2071" i="9"/>
  <c r="G2071" i="9"/>
  <c r="H2070" i="9"/>
  <c r="G2070" i="9"/>
  <c r="H2069" i="9"/>
  <c r="G2069" i="9"/>
  <c r="H2068" i="9"/>
  <c r="G2068" i="9"/>
  <c r="H2067" i="9"/>
  <c r="G2067" i="9"/>
  <c r="H2066" i="9"/>
  <c r="G2066" i="9"/>
  <c r="H2065" i="9"/>
  <c r="G2065" i="9"/>
  <c r="H2064" i="9"/>
  <c r="G2064" i="9"/>
  <c r="H2063" i="9"/>
  <c r="G2063" i="9"/>
  <c r="H2062" i="9"/>
  <c r="G2062" i="9"/>
  <c r="H2061" i="9"/>
  <c r="G2061" i="9"/>
  <c r="H2060" i="9"/>
  <c r="G2060" i="9"/>
  <c r="H2059" i="9"/>
  <c r="G2059" i="9"/>
  <c r="H2058" i="9"/>
  <c r="G2058" i="9"/>
  <c r="H2057" i="9"/>
  <c r="G2057" i="9"/>
  <c r="H2056" i="9"/>
  <c r="G2056" i="9"/>
  <c r="H2055" i="9"/>
  <c r="G2055" i="9"/>
  <c r="H2054" i="9"/>
  <c r="G2054" i="9"/>
  <c r="H2053" i="9"/>
  <c r="G2053" i="9"/>
  <c r="H2052" i="9"/>
  <c r="G2052" i="9"/>
  <c r="H2051" i="9"/>
  <c r="G2051" i="9"/>
  <c r="H2050" i="9"/>
  <c r="G2050" i="9"/>
  <c r="H2049" i="9"/>
  <c r="G2049" i="9"/>
  <c r="H2048" i="9"/>
  <c r="G2048" i="9"/>
  <c r="H2047" i="9"/>
  <c r="G2047" i="9"/>
  <c r="H2046" i="9"/>
  <c r="G2046" i="9"/>
  <c r="H2045" i="9"/>
  <c r="G2045" i="9"/>
  <c r="H2044" i="9"/>
  <c r="G2044" i="9"/>
  <c r="H2043" i="9"/>
  <c r="G2043" i="9"/>
  <c r="H2042" i="9"/>
  <c r="G2042" i="9"/>
  <c r="H2041" i="9"/>
  <c r="G2041" i="9"/>
  <c r="H2040" i="9"/>
  <c r="G2040" i="9"/>
  <c r="H2039" i="9"/>
  <c r="G2039" i="9"/>
  <c r="H2038" i="9"/>
  <c r="G2038" i="9"/>
  <c r="H2037" i="9"/>
  <c r="G2037" i="9"/>
  <c r="H2036" i="9"/>
  <c r="G2036" i="9"/>
  <c r="H2035" i="9"/>
  <c r="G2035" i="9"/>
  <c r="H2034" i="9"/>
  <c r="G2034" i="9"/>
  <c r="H2033" i="9"/>
  <c r="G2033" i="9"/>
  <c r="H2032" i="9"/>
  <c r="G2032" i="9"/>
  <c r="H2031" i="9"/>
  <c r="G2031" i="9"/>
  <c r="H2030" i="9"/>
  <c r="G2030" i="9"/>
  <c r="H2029" i="9"/>
  <c r="G2029" i="9"/>
  <c r="H2028" i="9"/>
  <c r="G2028" i="9"/>
  <c r="H2027" i="9"/>
  <c r="G2027" i="9"/>
  <c r="H2026" i="9"/>
  <c r="G2026" i="9"/>
  <c r="H2025" i="9"/>
  <c r="G2025" i="9"/>
  <c r="H2024" i="9"/>
  <c r="G2024" i="9"/>
  <c r="H2023" i="9"/>
  <c r="G2023" i="9"/>
  <c r="H2022" i="9"/>
  <c r="G2022" i="9"/>
  <c r="H2021" i="9"/>
  <c r="G2021" i="9"/>
  <c r="H2020" i="9"/>
  <c r="G2020" i="9"/>
  <c r="H2019" i="9"/>
  <c r="G2019" i="9"/>
  <c r="H2018" i="9"/>
  <c r="G2018" i="9"/>
  <c r="H2017" i="9"/>
  <c r="G2017" i="9"/>
  <c r="H2016" i="9"/>
  <c r="G2016" i="9"/>
  <c r="H2015" i="9"/>
  <c r="G2015" i="9"/>
  <c r="H2014" i="9"/>
  <c r="G2014" i="9"/>
  <c r="H2013" i="9"/>
  <c r="G2013" i="9"/>
  <c r="H2012" i="9"/>
  <c r="G2012" i="9"/>
  <c r="H2011" i="9"/>
  <c r="G2011" i="9"/>
  <c r="H2010" i="9"/>
  <c r="G2010" i="9"/>
  <c r="H2009" i="9"/>
  <c r="G2009" i="9"/>
  <c r="H2008" i="9"/>
  <c r="G2008" i="9"/>
  <c r="H2007" i="9"/>
  <c r="G2007" i="9"/>
  <c r="H2006" i="9"/>
  <c r="G2006" i="9"/>
  <c r="H2005" i="9"/>
  <c r="G2005" i="9"/>
  <c r="H2004" i="9"/>
  <c r="G2004" i="9"/>
  <c r="H2003" i="9"/>
  <c r="G2003" i="9"/>
  <c r="H2002" i="9"/>
  <c r="G2002" i="9"/>
  <c r="H2001" i="9"/>
  <c r="G2001" i="9"/>
  <c r="H2000" i="9"/>
  <c r="G2000" i="9"/>
  <c r="H1999" i="9"/>
  <c r="G1999" i="9"/>
  <c r="H1998" i="9"/>
  <c r="G1998" i="9"/>
  <c r="H1997" i="9"/>
  <c r="G1997" i="9"/>
  <c r="H1996" i="9"/>
  <c r="G1996" i="9"/>
  <c r="H1995" i="9"/>
  <c r="G1995" i="9"/>
  <c r="H1994" i="9"/>
  <c r="G1994" i="9"/>
  <c r="H1993" i="9"/>
  <c r="G1993" i="9"/>
  <c r="H1992" i="9"/>
  <c r="G1992" i="9"/>
  <c r="H1991" i="9"/>
  <c r="G1991" i="9"/>
  <c r="H1990" i="9"/>
  <c r="G1990" i="9"/>
  <c r="H1989" i="9"/>
  <c r="G1989" i="9"/>
  <c r="H1988" i="9"/>
  <c r="G1988" i="9"/>
  <c r="H1987" i="9"/>
  <c r="G1987" i="9"/>
  <c r="H1986" i="9"/>
  <c r="G1986" i="9"/>
  <c r="H1985" i="9"/>
  <c r="G1985" i="9"/>
  <c r="H1984" i="9"/>
  <c r="G1984" i="9"/>
  <c r="H1983" i="9"/>
  <c r="G1983" i="9"/>
  <c r="H1982" i="9"/>
  <c r="G1982" i="9"/>
  <c r="H1981" i="9"/>
  <c r="G1981" i="9"/>
  <c r="H1980" i="9"/>
  <c r="G1980" i="9"/>
  <c r="H1979" i="9"/>
  <c r="G1979" i="9"/>
  <c r="H1978" i="9"/>
  <c r="G1978" i="9"/>
  <c r="H1977" i="9"/>
  <c r="G1977" i="9"/>
  <c r="H1976" i="9"/>
  <c r="G1976" i="9"/>
  <c r="H1975" i="9"/>
  <c r="G1975" i="9"/>
  <c r="H1974" i="9"/>
  <c r="G1974" i="9"/>
  <c r="H1973" i="9"/>
  <c r="G1973" i="9"/>
  <c r="H1972" i="9"/>
  <c r="G1972" i="9"/>
  <c r="H1971" i="9"/>
  <c r="G1971" i="9"/>
  <c r="H1970" i="9"/>
  <c r="G1970" i="9"/>
  <c r="H1969" i="9"/>
  <c r="G1969" i="9"/>
  <c r="H1968" i="9"/>
  <c r="G1968" i="9"/>
  <c r="H1967" i="9"/>
  <c r="G1967" i="9"/>
  <c r="H1966" i="9"/>
  <c r="G1966" i="9"/>
  <c r="H1965" i="9"/>
  <c r="G1965" i="9"/>
  <c r="H1964" i="9"/>
  <c r="G1964" i="9"/>
  <c r="H1963" i="9"/>
  <c r="G1963" i="9"/>
  <c r="H1962" i="9"/>
  <c r="G1962" i="9"/>
  <c r="H1961" i="9"/>
  <c r="G1961" i="9"/>
  <c r="H1960" i="9"/>
  <c r="G1960" i="9"/>
  <c r="H1959" i="9"/>
  <c r="G1959" i="9"/>
  <c r="H1958" i="9"/>
  <c r="G1958" i="9"/>
  <c r="H1957" i="9"/>
  <c r="G1957" i="9"/>
  <c r="H1956" i="9"/>
  <c r="G1956" i="9"/>
  <c r="H1955" i="9"/>
  <c r="G1955" i="9"/>
  <c r="H1954" i="9"/>
  <c r="G1954" i="9"/>
  <c r="H1953" i="9"/>
  <c r="G1953" i="9"/>
  <c r="H1952" i="9"/>
  <c r="G1952" i="9"/>
  <c r="H1951" i="9"/>
  <c r="G1951" i="9"/>
  <c r="H1950" i="9"/>
  <c r="G1950" i="9"/>
  <c r="H1949" i="9"/>
  <c r="G1949" i="9"/>
  <c r="H1948" i="9"/>
  <c r="G1948" i="9"/>
  <c r="H1947" i="9"/>
  <c r="G1947" i="9"/>
  <c r="H1946" i="9"/>
  <c r="G1946" i="9"/>
  <c r="H1945" i="9"/>
  <c r="G1945" i="9"/>
  <c r="H1944" i="9"/>
  <c r="G1944" i="9"/>
  <c r="H1943" i="9"/>
  <c r="G1943" i="9"/>
  <c r="H1942" i="9"/>
  <c r="G1942" i="9"/>
  <c r="H1941" i="9"/>
  <c r="G1941" i="9"/>
  <c r="H1940" i="9"/>
  <c r="G1940" i="9"/>
  <c r="H1939" i="9"/>
  <c r="G1939" i="9"/>
  <c r="H1938" i="9"/>
  <c r="G1938" i="9"/>
  <c r="H1937" i="9"/>
  <c r="G1937" i="9"/>
  <c r="H1936" i="9"/>
  <c r="G1936" i="9"/>
  <c r="H1935" i="9"/>
  <c r="G1935" i="9"/>
  <c r="H1934" i="9"/>
  <c r="G1934" i="9"/>
  <c r="H1933" i="9"/>
  <c r="G1933" i="9"/>
  <c r="H1932" i="9"/>
  <c r="G1932" i="9"/>
  <c r="H1931" i="9"/>
  <c r="G1931" i="9"/>
  <c r="H1930" i="9"/>
  <c r="G1930" i="9"/>
  <c r="H1929" i="9"/>
  <c r="G1929" i="9"/>
  <c r="H1928" i="9"/>
  <c r="G1928" i="9"/>
  <c r="H1927" i="9"/>
  <c r="G1927" i="9"/>
  <c r="H1926" i="9"/>
  <c r="G1926" i="9"/>
  <c r="H1925" i="9"/>
  <c r="G1925" i="9"/>
  <c r="H1924" i="9"/>
  <c r="G1924" i="9"/>
  <c r="H1923" i="9"/>
  <c r="G1923" i="9"/>
  <c r="H1922" i="9"/>
  <c r="G1922" i="9"/>
  <c r="H1921" i="9"/>
  <c r="G1921" i="9"/>
  <c r="H1920" i="9"/>
  <c r="G1920" i="9"/>
  <c r="H1919" i="9"/>
  <c r="G1919" i="9"/>
  <c r="H1918" i="9"/>
  <c r="G1918" i="9"/>
  <c r="H1917" i="9"/>
  <c r="G1917" i="9"/>
  <c r="H1916" i="9"/>
  <c r="G1916" i="9"/>
  <c r="H1915" i="9"/>
  <c r="G1915" i="9"/>
  <c r="H1914" i="9"/>
  <c r="G1914" i="9"/>
  <c r="H1913" i="9"/>
  <c r="G1913" i="9"/>
  <c r="H1912" i="9"/>
  <c r="G1912" i="9"/>
  <c r="H1911" i="9"/>
  <c r="G1911" i="9"/>
  <c r="H1910" i="9"/>
  <c r="G1910" i="9"/>
  <c r="H1909" i="9"/>
  <c r="G1909" i="9"/>
  <c r="H1908" i="9"/>
  <c r="G1908" i="9"/>
  <c r="H1907" i="9"/>
  <c r="G1907" i="9"/>
  <c r="H1906" i="9"/>
  <c r="G1906" i="9"/>
  <c r="H1905" i="9"/>
  <c r="G1905" i="9"/>
  <c r="H1904" i="9"/>
  <c r="G1904" i="9"/>
  <c r="H1903" i="9"/>
  <c r="G1903" i="9"/>
  <c r="H1902" i="9"/>
  <c r="G1902" i="9"/>
  <c r="H1901" i="9"/>
  <c r="G1901" i="9"/>
  <c r="H1900" i="9"/>
  <c r="G1900" i="9"/>
  <c r="H1899" i="9"/>
  <c r="G1899" i="9"/>
  <c r="H1898" i="9"/>
  <c r="G1898" i="9"/>
  <c r="H1897" i="9"/>
  <c r="G1897" i="9"/>
  <c r="H1896" i="9"/>
  <c r="G1896" i="9"/>
  <c r="H1895" i="9"/>
  <c r="G1895" i="9"/>
  <c r="H1894" i="9"/>
  <c r="G1894" i="9"/>
  <c r="H1893" i="9"/>
  <c r="G1893" i="9"/>
  <c r="H1892" i="9"/>
  <c r="G1892" i="9"/>
  <c r="H1891" i="9"/>
  <c r="G1891" i="9"/>
  <c r="H1890" i="9"/>
  <c r="G1890" i="9"/>
  <c r="H1889" i="9"/>
  <c r="G1889" i="9"/>
  <c r="H1888" i="9"/>
  <c r="G1888" i="9"/>
  <c r="H1887" i="9"/>
  <c r="G1887" i="9"/>
  <c r="H1886" i="9"/>
  <c r="G1886" i="9"/>
  <c r="H1885" i="9"/>
  <c r="G1885" i="9"/>
  <c r="H1884" i="9"/>
  <c r="G1884" i="9"/>
  <c r="H1883" i="9"/>
  <c r="G1883" i="9"/>
  <c r="H1882" i="9"/>
  <c r="G1882" i="9"/>
  <c r="H1881" i="9"/>
  <c r="G1881" i="9"/>
  <c r="H1880" i="9"/>
  <c r="G1880" i="9"/>
  <c r="H1879" i="9"/>
  <c r="G1879" i="9"/>
  <c r="H1878" i="9"/>
  <c r="G1878" i="9"/>
  <c r="H1877" i="9"/>
  <c r="G1877" i="9"/>
  <c r="H1876" i="9"/>
  <c r="G1876" i="9"/>
  <c r="H1875" i="9"/>
  <c r="G1875" i="9"/>
  <c r="H1874" i="9"/>
  <c r="G1874" i="9"/>
  <c r="H1873" i="9"/>
  <c r="G1873" i="9"/>
  <c r="H1872" i="9"/>
  <c r="G1872" i="9"/>
  <c r="H1871" i="9"/>
  <c r="G1871" i="9"/>
  <c r="H1870" i="9"/>
  <c r="G1870" i="9"/>
  <c r="H1869" i="9"/>
  <c r="G1869" i="9"/>
  <c r="H1868" i="9"/>
  <c r="G1868" i="9"/>
  <c r="H1867" i="9"/>
  <c r="G1867" i="9"/>
  <c r="H1866" i="9"/>
  <c r="G1866" i="9"/>
  <c r="H1865" i="9"/>
  <c r="G1865" i="9"/>
  <c r="H1864" i="9"/>
  <c r="G1864" i="9"/>
  <c r="H1863" i="9"/>
  <c r="G1863" i="9"/>
  <c r="H1862" i="9"/>
  <c r="G1862" i="9"/>
  <c r="H1861" i="9"/>
  <c r="G1861" i="9"/>
  <c r="H1860" i="9"/>
  <c r="G1860" i="9"/>
  <c r="H1859" i="9"/>
  <c r="G1859" i="9"/>
  <c r="H1858" i="9"/>
  <c r="G1858" i="9"/>
  <c r="H1857" i="9"/>
  <c r="G1857" i="9"/>
  <c r="H1856" i="9"/>
  <c r="G1856" i="9"/>
  <c r="H1855" i="9"/>
  <c r="G1855" i="9"/>
  <c r="H1854" i="9"/>
  <c r="G1854" i="9"/>
  <c r="H1853" i="9"/>
  <c r="G1853" i="9"/>
  <c r="H1852" i="9"/>
  <c r="G1852" i="9"/>
  <c r="H1851" i="9"/>
  <c r="G1851" i="9"/>
  <c r="H1850" i="9"/>
  <c r="G1850" i="9"/>
  <c r="H1849" i="9"/>
  <c r="G1849" i="9"/>
  <c r="H1848" i="9"/>
  <c r="G1848" i="9"/>
  <c r="H1847" i="9"/>
  <c r="G1847" i="9"/>
  <c r="H1846" i="9"/>
  <c r="G1846" i="9"/>
  <c r="H1845" i="9"/>
  <c r="G1845" i="9"/>
  <c r="H1844" i="9"/>
  <c r="G1844" i="9"/>
  <c r="H1843" i="9"/>
  <c r="G1843" i="9"/>
  <c r="H1842" i="9"/>
  <c r="G1842" i="9"/>
  <c r="H1841" i="9"/>
  <c r="G1841" i="9"/>
  <c r="H1840" i="9"/>
  <c r="G1840" i="9"/>
  <c r="H1839" i="9"/>
  <c r="G1839" i="9"/>
  <c r="H1838" i="9"/>
  <c r="G1838" i="9"/>
  <c r="H1837" i="9"/>
  <c r="G1837" i="9"/>
  <c r="H1836" i="9"/>
  <c r="G1836" i="9"/>
  <c r="H1835" i="9"/>
  <c r="G1835" i="9"/>
  <c r="H1834" i="9"/>
  <c r="G1834" i="9"/>
  <c r="H1833" i="9"/>
  <c r="G1833" i="9"/>
  <c r="H1832" i="9"/>
  <c r="G1832" i="9"/>
  <c r="H1831" i="9"/>
  <c r="G1831" i="9"/>
  <c r="H1830" i="9"/>
  <c r="G1830" i="9"/>
  <c r="H1829" i="9"/>
  <c r="G1829" i="9"/>
  <c r="H1828" i="9"/>
  <c r="G1828" i="9"/>
  <c r="H1827" i="9"/>
  <c r="G1827" i="9"/>
  <c r="H1826" i="9"/>
  <c r="G1826" i="9"/>
  <c r="H1825" i="9"/>
  <c r="G1825" i="9"/>
  <c r="H1824" i="9"/>
  <c r="G1824" i="9"/>
  <c r="H1823" i="9"/>
  <c r="G1823" i="9"/>
  <c r="H1822" i="9"/>
  <c r="G1822" i="9"/>
  <c r="H1821" i="9"/>
  <c r="G1821" i="9"/>
  <c r="H1820" i="9"/>
  <c r="G1820" i="9"/>
  <c r="H1819" i="9"/>
  <c r="G1819" i="9"/>
  <c r="H1818" i="9"/>
  <c r="G1818" i="9"/>
  <c r="H1817" i="9"/>
  <c r="G1817" i="9"/>
  <c r="H1816" i="9"/>
  <c r="G1816" i="9"/>
  <c r="H1815" i="9"/>
  <c r="G1815" i="9"/>
  <c r="H1814" i="9"/>
  <c r="G1814" i="9"/>
  <c r="H1813" i="9"/>
  <c r="G1813" i="9"/>
  <c r="H1812" i="9"/>
  <c r="G1812" i="9"/>
  <c r="H1811" i="9"/>
  <c r="G1811" i="9"/>
  <c r="H1810" i="9"/>
  <c r="G1810" i="9"/>
  <c r="H1809" i="9"/>
  <c r="G1809" i="9"/>
  <c r="H1808" i="9"/>
  <c r="G1808" i="9"/>
  <c r="H1807" i="9"/>
  <c r="G1807" i="9"/>
  <c r="H1806" i="9"/>
  <c r="G1806" i="9"/>
  <c r="H1805" i="9"/>
  <c r="G1805" i="9"/>
  <c r="H1804" i="9"/>
  <c r="G1804" i="9"/>
  <c r="H1803" i="9"/>
  <c r="G1803" i="9"/>
  <c r="H1802" i="9"/>
  <c r="G1802" i="9"/>
  <c r="H1801" i="9"/>
  <c r="G1801" i="9"/>
  <c r="H1800" i="9"/>
  <c r="G1800" i="9"/>
  <c r="H1799" i="9"/>
  <c r="G1799" i="9"/>
  <c r="H1798" i="9"/>
  <c r="G1798" i="9"/>
  <c r="H1797" i="9"/>
  <c r="G1797" i="9"/>
  <c r="H1796" i="9"/>
  <c r="G1796" i="9"/>
  <c r="H1795" i="9"/>
  <c r="G1795" i="9"/>
  <c r="H1794" i="9"/>
  <c r="G1794" i="9"/>
  <c r="H1793" i="9"/>
  <c r="G1793" i="9"/>
  <c r="H1792" i="9"/>
  <c r="G1792" i="9"/>
  <c r="H1791" i="9"/>
  <c r="G1791" i="9"/>
  <c r="H1790" i="9"/>
  <c r="G1790" i="9"/>
  <c r="H1789" i="9"/>
  <c r="G1789" i="9"/>
  <c r="H1788" i="9"/>
  <c r="G1788" i="9"/>
  <c r="H1787" i="9"/>
  <c r="G1787" i="9"/>
  <c r="H1786" i="9"/>
  <c r="G1786" i="9"/>
  <c r="H1785" i="9"/>
  <c r="G1785" i="9"/>
  <c r="H1784" i="9"/>
  <c r="G1784" i="9"/>
  <c r="H1783" i="9"/>
  <c r="G1783" i="9"/>
  <c r="H1782" i="9"/>
  <c r="G1782" i="9"/>
  <c r="H1781" i="9"/>
  <c r="G1781" i="9"/>
  <c r="H1780" i="9"/>
  <c r="G1780" i="9"/>
  <c r="H1779" i="9"/>
  <c r="G1779" i="9"/>
  <c r="H1778" i="9"/>
  <c r="G1778" i="9"/>
  <c r="H1777" i="9"/>
  <c r="G1777" i="9"/>
  <c r="H1776" i="9"/>
  <c r="G1776" i="9"/>
  <c r="H1775" i="9"/>
  <c r="G1775" i="9"/>
  <c r="H1774" i="9"/>
  <c r="G1774" i="9"/>
  <c r="H1773" i="9"/>
  <c r="G1773" i="9"/>
  <c r="H1772" i="9"/>
  <c r="G1772" i="9"/>
  <c r="H1771" i="9"/>
  <c r="G1771" i="9"/>
  <c r="H1770" i="9"/>
  <c r="G1770" i="9"/>
  <c r="H1769" i="9"/>
  <c r="G1769" i="9"/>
  <c r="H1768" i="9"/>
  <c r="G1768" i="9"/>
  <c r="H1767" i="9"/>
  <c r="G1767" i="9"/>
  <c r="H1766" i="9"/>
  <c r="G1766" i="9"/>
  <c r="H1765" i="9"/>
  <c r="G1765" i="9"/>
  <c r="H1764" i="9"/>
  <c r="G1764" i="9"/>
  <c r="H1763" i="9"/>
  <c r="G1763" i="9"/>
  <c r="H1762" i="9"/>
  <c r="G1762" i="9"/>
  <c r="H1761" i="9"/>
  <c r="G1761" i="9"/>
  <c r="H1760" i="9"/>
  <c r="G1760" i="9"/>
  <c r="H1759" i="9"/>
  <c r="G1759" i="9"/>
  <c r="H1758" i="9"/>
  <c r="G1758" i="9"/>
  <c r="H1757" i="9"/>
  <c r="G1757" i="9"/>
  <c r="H1756" i="9"/>
  <c r="G1756" i="9"/>
  <c r="H1755" i="9"/>
  <c r="G1755" i="9"/>
  <c r="H1754" i="9"/>
  <c r="G1754" i="9"/>
  <c r="H1753" i="9"/>
  <c r="G1753" i="9"/>
  <c r="H1752" i="9"/>
  <c r="G1752" i="9"/>
  <c r="H1751" i="9"/>
  <c r="G1751" i="9"/>
  <c r="H1750" i="9"/>
  <c r="G1750" i="9"/>
  <c r="H1749" i="9"/>
  <c r="G1749" i="9"/>
  <c r="H1748" i="9"/>
  <c r="G1748" i="9"/>
  <c r="H1747" i="9"/>
  <c r="G1747" i="9"/>
  <c r="H1746" i="9"/>
  <c r="G1746" i="9"/>
  <c r="H1745" i="9"/>
  <c r="G1745" i="9"/>
  <c r="H1744" i="9"/>
  <c r="G1744" i="9"/>
  <c r="H1743" i="9"/>
  <c r="G1743" i="9"/>
  <c r="H1742" i="9"/>
  <c r="G1742" i="9"/>
  <c r="H1741" i="9"/>
  <c r="G1741" i="9"/>
  <c r="H1740" i="9"/>
  <c r="G1740" i="9"/>
  <c r="H1739" i="9"/>
  <c r="G1739" i="9"/>
  <c r="H1738" i="9"/>
  <c r="G1738" i="9"/>
  <c r="H1737" i="9"/>
  <c r="G1737" i="9"/>
  <c r="H1736" i="9"/>
  <c r="G1736" i="9"/>
  <c r="H1735" i="9"/>
  <c r="G1735" i="9"/>
  <c r="H1734" i="9"/>
  <c r="G1734" i="9"/>
  <c r="H1733" i="9"/>
  <c r="G1733" i="9"/>
  <c r="H1732" i="9"/>
  <c r="G1732" i="9"/>
  <c r="H1731" i="9"/>
  <c r="G1731" i="9"/>
  <c r="H1730" i="9"/>
  <c r="G1730" i="9"/>
  <c r="H1729" i="9"/>
  <c r="G1729" i="9"/>
  <c r="H1728" i="9"/>
  <c r="G1728" i="9"/>
  <c r="H1727" i="9"/>
  <c r="G1727" i="9"/>
  <c r="H1726" i="9"/>
  <c r="G1726" i="9"/>
  <c r="H1725" i="9"/>
  <c r="G1725" i="9"/>
  <c r="H1724" i="9"/>
  <c r="G1724" i="9"/>
  <c r="H1723" i="9"/>
  <c r="G1723" i="9"/>
  <c r="H1722" i="9"/>
  <c r="G1722" i="9"/>
  <c r="H1721" i="9"/>
  <c r="G1721" i="9"/>
  <c r="H1720" i="9"/>
  <c r="G1720" i="9"/>
  <c r="H1719" i="9"/>
  <c r="G1719" i="9"/>
  <c r="H1718" i="9"/>
  <c r="G1718" i="9"/>
  <c r="H1717" i="9"/>
  <c r="G1717" i="9"/>
  <c r="H1716" i="9"/>
  <c r="G1716" i="9"/>
  <c r="H1715" i="9"/>
  <c r="G1715" i="9"/>
  <c r="H1714" i="9"/>
  <c r="G1714" i="9"/>
  <c r="H1713" i="9"/>
  <c r="G1713" i="9"/>
  <c r="H1712" i="9"/>
  <c r="G1712" i="9"/>
  <c r="H1711" i="9"/>
  <c r="G1711" i="9"/>
  <c r="H1710" i="9"/>
  <c r="G1710" i="9"/>
  <c r="H1709" i="9"/>
  <c r="G1709" i="9"/>
  <c r="H1708" i="9"/>
  <c r="G1708" i="9"/>
  <c r="H1707" i="9"/>
  <c r="G1707" i="9"/>
  <c r="H1706" i="9"/>
  <c r="G1706" i="9"/>
  <c r="H1705" i="9"/>
  <c r="G1705" i="9"/>
  <c r="H1704" i="9"/>
  <c r="G1704" i="9"/>
  <c r="H1703" i="9"/>
  <c r="G1703" i="9"/>
  <c r="H1702" i="9"/>
  <c r="G1702" i="9"/>
  <c r="H1701" i="9"/>
  <c r="G1701" i="9"/>
  <c r="H1700" i="9"/>
  <c r="G1700" i="9"/>
  <c r="H1699" i="9"/>
  <c r="G1699" i="9"/>
  <c r="H1698" i="9"/>
  <c r="G1698" i="9"/>
  <c r="H1697" i="9"/>
  <c r="G1697" i="9"/>
  <c r="H1696" i="9"/>
  <c r="G1696" i="9"/>
  <c r="H1695" i="9"/>
  <c r="G1695" i="9"/>
  <c r="H1694" i="9"/>
  <c r="G1694" i="9"/>
  <c r="H1693" i="9"/>
  <c r="G1693" i="9"/>
  <c r="H1692" i="9"/>
  <c r="G1692" i="9"/>
  <c r="H1691" i="9"/>
  <c r="G1691" i="9"/>
  <c r="H1690" i="9"/>
  <c r="G1690" i="9"/>
  <c r="H1689" i="9"/>
  <c r="G1689" i="9"/>
  <c r="H1688" i="9"/>
  <c r="G1688" i="9"/>
  <c r="H1687" i="9"/>
  <c r="G1687" i="9"/>
  <c r="H1686" i="9"/>
  <c r="G1686" i="9"/>
  <c r="H1685" i="9"/>
  <c r="G1685" i="9"/>
  <c r="H1684" i="9"/>
  <c r="G1684" i="9"/>
  <c r="H1683" i="9"/>
  <c r="G1683" i="9"/>
  <c r="H1682" i="9"/>
  <c r="G1682" i="9"/>
  <c r="H1681" i="9"/>
  <c r="G1681" i="9"/>
  <c r="H1680" i="9"/>
  <c r="G1680" i="9"/>
  <c r="H1679" i="9"/>
  <c r="G1679" i="9"/>
  <c r="H1678" i="9"/>
  <c r="G1678" i="9"/>
  <c r="H1677" i="9"/>
  <c r="G1677" i="9"/>
  <c r="H1676" i="9"/>
  <c r="G1676" i="9"/>
  <c r="H1675" i="9"/>
  <c r="G1675" i="9"/>
  <c r="H1674" i="9"/>
  <c r="G1674" i="9"/>
  <c r="H1673" i="9"/>
  <c r="G1673" i="9"/>
  <c r="H1672" i="9"/>
  <c r="G1672" i="9"/>
  <c r="H1671" i="9"/>
  <c r="G1671" i="9"/>
  <c r="H1670" i="9"/>
  <c r="G1670" i="9"/>
  <c r="H1669" i="9"/>
  <c r="G1669" i="9"/>
  <c r="H1668" i="9"/>
  <c r="G1668" i="9"/>
  <c r="H1667" i="9"/>
  <c r="G1667" i="9"/>
  <c r="H1666" i="9"/>
  <c r="G1666" i="9"/>
  <c r="H1665" i="9"/>
  <c r="G1665" i="9"/>
  <c r="H1664" i="9"/>
  <c r="G1664" i="9"/>
  <c r="H1663" i="9"/>
  <c r="G1663" i="9"/>
  <c r="H1662" i="9"/>
  <c r="G1662" i="9"/>
  <c r="H1661" i="9"/>
  <c r="G1661" i="9"/>
  <c r="H1660" i="9"/>
  <c r="G1660" i="9"/>
  <c r="H1659" i="9"/>
  <c r="G1659" i="9"/>
  <c r="H1658" i="9"/>
  <c r="G1658" i="9"/>
  <c r="H1657" i="9"/>
  <c r="G1657" i="9"/>
  <c r="H1656" i="9"/>
  <c r="G1656" i="9"/>
  <c r="H1655" i="9"/>
  <c r="G1655" i="9"/>
  <c r="H1654" i="9"/>
  <c r="G1654" i="9"/>
  <c r="H1653" i="9"/>
  <c r="G1653" i="9"/>
  <c r="H1652" i="9"/>
  <c r="G1652" i="9"/>
  <c r="H1651" i="9"/>
  <c r="G1651" i="9"/>
  <c r="H1650" i="9"/>
  <c r="G1650" i="9"/>
  <c r="H1649" i="9"/>
  <c r="G1649" i="9"/>
  <c r="H1648" i="9"/>
  <c r="G1648" i="9"/>
  <c r="H1647" i="9"/>
  <c r="G1647" i="9"/>
  <c r="H1646" i="9"/>
  <c r="G1646" i="9"/>
  <c r="H1645" i="9"/>
  <c r="G1645" i="9"/>
  <c r="H1644" i="9"/>
  <c r="G1644" i="9"/>
  <c r="H1643" i="9"/>
  <c r="G1643" i="9"/>
  <c r="H1642" i="9"/>
  <c r="G1642" i="9"/>
  <c r="H1641" i="9"/>
  <c r="G1641" i="9"/>
  <c r="H1640" i="9"/>
  <c r="G1640" i="9"/>
  <c r="H1639" i="9"/>
  <c r="G1639" i="9"/>
  <c r="H1638" i="9"/>
  <c r="G1638" i="9"/>
  <c r="H1637" i="9"/>
  <c r="G1637" i="9"/>
  <c r="H1636" i="9"/>
  <c r="G1636" i="9"/>
  <c r="H1635" i="9"/>
  <c r="G1635" i="9"/>
  <c r="H1634" i="9"/>
  <c r="G1634" i="9"/>
  <c r="H1633" i="9"/>
  <c r="G1633" i="9"/>
  <c r="H1632" i="9"/>
  <c r="G1632" i="9"/>
  <c r="H1631" i="9"/>
  <c r="G1631" i="9"/>
  <c r="H1630" i="9"/>
  <c r="G1630" i="9"/>
  <c r="H1629" i="9"/>
  <c r="G1629" i="9"/>
  <c r="H1628" i="9"/>
  <c r="G1628" i="9"/>
  <c r="H1627" i="9"/>
  <c r="G1627" i="9"/>
  <c r="H1626" i="9"/>
  <c r="G1626" i="9"/>
  <c r="H1625" i="9"/>
  <c r="G1625" i="9"/>
  <c r="H1624" i="9"/>
  <c r="G1624" i="9"/>
  <c r="H1623" i="9"/>
  <c r="G1623" i="9"/>
  <c r="H1622" i="9"/>
  <c r="G1622" i="9"/>
  <c r="H1621" i="9"/>
  <c r="G1621" i="9"/>
  <c r="H1620" i="9"/>
  <c r="G1620" i="9"/>
  <c r="H1619" i="9"/>
  <c r="G1619" i="9"/>
  <c r="H1618" i="9"/>
  <c r="G1618" i="9"/>
  <c r="H1617" i="9"/>
  <c r="G1617" i="9"/>
  <c r="H1616" i="9"/>
  <c r="G1616" i="9"/>
  <c r="H1615" i="9"/>
  <c r="G1615" i="9"/>
  <c r="H1614" i="9"/>
  <c r="G1614" i="9"/>
  <c r="H1613" i="9"/>
  <c r="G1613" i="9"/>
  <c r="H1612" i="9"/>
  <c r="G1612" i="9"/>
  <c r="H1611" i="9"/>
  <c r="G1611" i="9"/>
  <c r="H1610" i="9"/>
  <c r="G1610" i="9"/>
  <c r="H1609" i="9"/>
  <c r="G1609" i="9"/>
  <c r="H1608" i="9"/>
  <c r="G1608" i="9"/>
  <c r="H1607" i="9"/>
  <c r="G1607" i="9"/>
  <c r="H1606" i="9"/>
  <c r="G1606" i="9"/>
  <c r="H1605" i="9"/>
  <c r="G1605" i="9"/>
  <c r="H1604" i="9"/>
  <c r="G1604" i="9"/>
  <c r="H1603" i="9"/>
  <c r="G1603" i="9"/>
  <c r="H1602" i="9"/>
  <c r="G1602" i="9"/>
  <c r="H1601" i="9"/>
  <c r="G1601" i="9"/>
  <c r="H1600" i="9"/>
  <c r="G1600" i="9"/>
  <c r="H1599" i="9"/>
  <c r="G1599" i="9"/>
  <c r="H1598" i="9"/>
  <c r="G1598" i="9"/>
  <c r="H1597" i="9"/>
  <c r="G1597" i="9"/>
  <c r="H1596" i="9"/>
  <c r="G1596" i="9"/>
  <c r="H1595" i="9"/>
  <c r="G1595" i="9"/>
  <c r="H1594" i="9"/>
  <c r="G1594" i="9"/>
  <c r="H1593" i="9"/>
  <c r="G1593" i="9"/>
  <c r="H1592" i="9"/>
  <c r="G1592" i="9"/>
  <c r="H1591" i="9"/>
  <c r="G1591" i="9"/>
  <c r="H1590" i="9"/>
  <c r="G1590" i="9"/>
  <c r="H1589" i="9"/>
  <c r="G1589" i="9"/>
  <c r="H1588" i="9"/>
  <c r="G1588" i="9"/>
  <c r="H1587" i="9"/>
  <c r="G1587" i="9"/>
  <c r="H1586" i="9"/>
  <c r="G1586" i="9"/>
  <c r="H1585" i="9"/>
  <c r="G1585" i="9"/>
  <c r="H1584" i="9"/>
  <c r="G1584" i="9"/>
  <c r="H1583" i="9"/>
  <c r="G1583" i="9"/>
  <c r="H1582" i="9"/>
  <c r="G1582" i="9"/>
  <c r="H1581" i="9"/>
  <c r="G1581" i="9"/>
  <c r="H1580" i="9"/>
  <c r="G1580" i="9"/>
  <c r="H1579" i="9"/>
  <c r="G1579" i="9"/>
  <c r="H1578" i="9"/>
  <c r="G1578" i="9"/>
  <c r="H1577" i="9"/>
  <c r="G1577" i="9"/>
  <c r="H1576" i="9"/>
  <c r="G1576" i="9"/>
  <c r="H1575" i="9"/>
  <c r="G1575" i="9"/>
  <c r="H1574" i="9"/>
  <c r="G1574" i="9"/>
  <c r="H1573" i="9"/>
  <c r="G1573" i="9"/>
  <c r="H1572" i="9"/>
  <c r="G1572" i="9"/>
  <c r="H1571" i="9"/>
  <c r="G1571" i="9"/>
  <c r="H1570" i="9"/>
  <c r="G1570" i="9"/>
  <c r="H1569" i="9"/>
  <c r="G1569" i="9"/>
  <c r="H1568" i="9"/>
  <c r="G1568" i="9"/>
  <c r="H1567" i="9"/>
  <c r="G1567" i="9"/>
  <c r="H1566" i="9"/>
  <c r="G1566" i="9"/>
  <c r="H1565" i="9"/>
  <c r="G1565" i="9"/>
  <c r="H1564" i="9"/>
  <c r="G1564" i="9"/>
  <c r="H1563" i="9"/>
  <c r="G1563" i="9"/>
  <c r="H1562" i="9"/>
  <c r="G1562" i="9"/>
  <c r="H1561" i="9"/>
  <c r="G1561" i="9"/>
  <c r="H1560" i="9"/>
  <c r="G1560" i="9"/>
  <c r="H1559" i="9"/>
  <c r="G1559" i="9"/>
  <c r="H1558" i="9"/>
  <c r="G1558" i="9"/>
  <c r="H1557" i="9"/>
  <c r="G1557" i="9"/>
  <c r="H1556" i="9"/>
  <c r="G1556" i="9"/>
  <c r="H1555" i="9"/>
  <c r="G1555" i="9"/>
  <c r="H1554" i="9"/>
  <c r="G1554" i="9"/>
  <c r="H1553" i="9"/>
  <c r="G1553" i="9"/>
  <c r="H1552" i="9"/>
  <c r="G1552" i="9"/>
  <c r="H1551" i="9"/>
  <c r="G1551" i="9"/>
  <c r="H1550" i="9"/>
  <c r="G1550" i="9"/>
  <c r="H1549" i="9"/>
  <c r="G1549" i="9"/>
  <c r="H1548" i="9"/>
  <c r="G1548" i="9"/>
  <c r="H1547" i="9"/>
  <c r="G1547" i="9"/>
  <c r="H1546" i="9"/>
  <c r="G1546" i="9"/>
  <c r="H1545" i="9"/>
  <c r="G1545" i="9"/>
  <c r="H1544" i="9"/>
  <c r="G1544" i="9"/>
  <c r="H1543" i="9"/>
  <c r="G1543" i="9"/>
  <c r="H1542" i="9"/>
  <c r="G1542" i="9"/>
  <c r="H1541" i="9"/>
  <c r="G1541" i="9"/>
  <c r="H1540" i="9"/>
  <c r="G1540" i="9"/>
  <c r="H1539" i="9"/>
  <c r="G1539" i="9"/>
  <c r="H1538" i="9"/>
  <c r="G1538" i="9"/>
  <c r="H1537" i="9"/>
  <c r="G1537" i="9"/>
  <c r="H1536" i="9"/>
  <c r="G1536" i="9"/>
  <c r="H1535" i="9"/>
  <c r="G1535" i="9"/>
  <c r="H1534" i="9"/>
  <c r="G1534" i="9"/>
  <c r="H1533" i="9"/>
  <c r="G1533" i="9"/>
  <c r="H1532" i="9"/>
  <c r="G1532" i="9"/>
  <c r="H1531" i="9"/>
  <c r="G1531" i="9"/>
  <c r="H1530" i="9"/>
  <c r="G1530" i="9"/>
  <c r="H1529" i="9"/>
  <c r="G1529" i="9"/>
  <c r="H1528" i="9"/>
  <c r="G1528" i="9"/>
  <c r="H1527" i="9"/>
  <c r="G1527" i="9"/>
  <c r="H1526" i="9"/>
  <c r="G1526" i="9"/>
  <c r="H1525" i="9"/>
  <c r="G1525" i="9"/>
  <c r="H1524" i="9"/>
  <c r="G1524" i="9"/>
  <c r="H1523" i="9"/>
  <c r="G1523" i="9"/>
  <c r="H1522" i="9"/>
  <c r="G1522" i="9"/>
  <c r="H1521" i="9"/>
  <c r="G1521" i="9"/>
  <c r="H1520" i="9"/>
  <c r="G1520" i="9"/>
  <c r="H1519" i="9"/>
  <c r="G1519" i="9"/>
  <c r="H1518" i="9"/>
  <c r="G1518" i="9"/>
  <c r="H1517" i="9"/>
  <c r="G1517" i="9"/>
  <c r="H1516" i="9"/>
  <c r="G1516" i="9"/>
  <c r="H1515" i="9"/>
  <c r="G1515" i="9"/>
  <c r="H1514" i="9"/>
  <c r="G1514" i="9"/>
  <c r="H1513" i="9"/>
  <c r="G1513" i="9"/>
  <c r="H1512" i="9"/>
  <c r="G1512" i="9"/>
  <c r="H1511" i="9"/>
  <c r="G1511" i="9"/>
  <c r="H1510" i="9"/>
  <c r="G1510" i="9"/>
  <c r="H1509" i="9"/>
  <c r="G1509" i="9"/>
  <c r="H1508" i="9"/>
  <c r="G1508" i="9"/>
  <c r="H1507" i="9"/>
  <c r="G1507" i="9"/>
  <c r="H1506" i="9"/>
  <c r="G1506" i="9"/>
  <c r="H1505" i="9"/>
  <c r="G1505" i="9"/>
  <c r="H1504" i="9"/>
  <c r="G1504" i="9"/>
  <c r="H1503" i="9"/>
  <c r="G1503" i="9"/>
  <c r="H1502" i="9"/>
  <c r="G1502" i="9"/>
  <c r="H1501" i="9"/>
  <c r="G1501" i="9"/>
  <c r="H1500" i="9"/>
  <c r="G1500" i="9"/>
  <c r="H1499" i="9"/>
  <c r="G1499" i="9"/>
  <c r="H1498" i="9"/>
  <c r="G1498" i="9"/>
  <c r="H1497" i="9"/>
  <c r="G1497" i="9"/>
  <c r="H1496" i="9"/>
  <c r="G1496" i="9"/>
  <c r="H1495" i="9"/>
  <c r="G1495" i="9"/>
  <c r="H1494" i="9"/>
  <c r="G1494" i="9"/>
  <c r="H1493" i="9"/>
  <c r="G1493" i="9"/>
  <c r="H1492" i="9"/>
  <c r="G1492" i="9"/>
  <c r="H1491" i="9"/>
  <c r="G1491" i="9"/>
  <c r="H1490" i="9"/>
  <c r="G1490" i="9"/>
  <c r="H1489" i="9"/>
  <c r="G1489" i="9"/>
  <c r="H1488" i="9"/>
  <c r="G1488" i="9"/>
  <c r="H1487" i="9"/>
  <c r="G1487" i="9"/>
  <c r="H1486" i="9"/>
  <c r="G1486" i="9"/>
  <c r="H1485" i="9"/>
  <c r="G1485" i="9"/>
  <c r="H1484" i="9"/>
  <c r="G1484" i="9"/>
  <c r="H1483" i="9"/>
  <c r="G1483" i="9"/>
  <c r="H1482" i="9"/>
  <c r="G1482" i="9"/>
  <c r="H1481" i="9"/>
  <c r="G1481" i="9"/>
  <c r="H1480" i="9"/>
  <c r="G1480" i="9"/>
  <c r="H1479" i="9"/>
  <c r="G1479" i="9"/>
  <c r="H1478" i="9"/>
  <c r="G1478" i="9"/>
  <c r="H1477" i="9"/>
  <c r="G1477" i="9"/>
  <c r="H1476" i="9"/>
  <c r="G1476" i="9"/>
  <c r="H1475" i="9"/>
  <c r="G1475" i="9"/>
  <c r="H1474" i="9"/>
  <c r="G1474" i="9"/>
  <c r="H1473" i="9"/>
  <c r="G1473" i="9"/>
  <c r="H1472" i="9"/>
  <c r="G1472" i="9"/>
  <c r="H1471" i="9"/>
  <c r="G1471" i="9"/>
  <c r="H1470" i="9"/>
  <c r="G1470" i="9"/>
  <c r="H1469" i="9"/>
  <c r="G1469" i="9"/>
  <c r="H1468" i="9"/>
  <c r="G1468" i="9"/>
  <c r="H1467" i="9"/>
  <c r="G1467" i="9"/>
  <c r="H1466" i="9"/>
  <c r="G1466" i="9"/>
  <c r="H1465" i="9"/>
  <c r="G1465" i="9"/>
  <c r="H1464" i="9"/>
  <c r="G1464" i="9"/>
  <c r="H1463" i="9"/>
  <c r="G1463" i="9"/>
  <c r="H1462" i="9"/>
  <c r="G1462" i="9"/>
  <c r="H1461" i="9"/>
  <c r="G1461" i="9"/>
  <c r="H1460" i="9"/>
  <c r="G1460" i="9"/>
  <c r="H1459" i="9"/>
  <c r="G1459" i="9"/>
  <c r="H1458" i="9"/>
  <c r="G1458" i="9"/>
  <c r="H1457" i="9"/>
  <c r="G1457" i="9"/>
  <c r="H1456" i="9"/>
  <c r="G1456" i="9"/>
  <c r="H1455" i="9"/>
  <c r="G1455" i="9"/>
  <c r="H1454" i="9"/>
  <c r="G1454" i="9"/>
  <c r="H1453" i="9"/>
  <c r="G1453" i="9"/>
  <c r="H1452" i="9"/>
  <c r="G1452" i="9"/>
  <c r="H1451" i="9"/>
  <c r="G1451" i="9"/>
  <c r="H1450" i="9"/>
  <c r="G1450" i="9"/>
  <c r="H1449" i="9"/>
  <c r="G1449" i="9"/>
  <c r="H1448" i="9"/>
  <c r="G1448" i="9"/>
  <c r="H1447" i="9"/>
  <c r="G1447" i="9"/>
  <c r="H1446" i="9"/>
  <c r="G1446" i="9"/>
  <c r="H1445" i="9"/>
  <c r="G1445" i="9"/>
  <c r="H1444" i="9"/>
  <c r="G1444" i="9"/>
  <c r="H1443" i="9"/>
  <c r="G1443" i="9"/>
  <c r="H1442" i="9"/>
  <c r="G1442" i="9"/>
  <c r="H1441" i="9"/>
  <c r="G1441" i="9"/>
  <c r="H1440" i="9"/>
  <c r="G1440" i="9"/>
  <c r="H1439" i="9"/>
  <c r="G1439" i="9"/>
  <c r="H1438" i="9"/>
  <c r="G1438" i="9"/>
  <c r="H1437" i="9"/>
  <c r="G1437" i="9"/>
  <c r="H1436" i="9"/>
  <c r="G1436" i="9"/>
  <c r="H1435" i="9"/>
  <c r="G1435" i="9"/>
  <c r="H1434" i="9"/>
  <c r="G1434" i="9"/>
  <c r="H1433" i="9"/>
  <c r="G1433" i="9"/>
  <c r="H1432" i="9"/>
  <c r="G1432" i="9"/>
  <c r="H1431" i="9"/>
  <c r="G1431" i="9"/>
  <c r="H1430" i="9"/>
  <c r="G1430" i="9"/>
  <c r="H1429" i="9"/>
  <c r="G1429" i="9"/>
  <c r="H1428" i="9"/>
  <c r="G1428" i="9"/>
  <c r="H1427" i="9"/>
  <c r="G1427" i="9"/>
  <c r="H1426" i="9"/>
  <c r="G1426" i="9"/>
  <c r="H1425" i="9"/>
  <c r="G1425" i="9"/>
  <c r="H1424" i="9"/>
  <c r="G1424" i="9"/>
  <c r="H1423" i="9"/>
  <c r="G1423" i="9"/>
  <c r="H1422" i="9"/>
  <c r="G1422" i="9"/>
  <c r="H1421" i="9"/>
  <c r="G1421" i="9"/>
  <c r="H1420" i="9"/>
  <c r="G1420" i="9"/>
  <c r="H1419" i="9"/>
  <c r="G1419" i="9"/>
  <c r="H1418" i="9"/>
  <c r="G1418" i="9"/>
  <c r="H1417" i="9"/>
  <c r="G1417" i="9"/>
  <c r="H1416" i="9"/>
  <c r="G1416" i="9"/>
  <c r="H1415" i="9"/>
  <c r="G1415" i="9"/>
  <c r="H1414" i="9"/>
  <c r="G1414" i="9"/>
  <c r="H1413" i="9"/>
  <c r="G1413" i="9"/>
  <c r="H1412" i="9"/>
  <c r="G1412" i="9"/>
  <c r="H1411" i="9"/>
  <c r="G1411" i="9"/>
  <c r="H1410" i="9"/>
  <c r="G1410" i="9"/>
  <c r="H1409" i="9"/>
  <c r="G1409" i="9"/>
  <c r="H1408" i="9"/>
  <c r="G1408" i="9"/>
  <c r="H1407" i="9"/>
  <c r="G1407" i="9"/>
  <c r="H1406" i="9"/>
  <c r="G1406" i="9"/>
  <c r="H1405" i="9"/>
  <c r="G1405" i="9"/>
  <c r="H1404" i="9"/>
  <c r="G1404" i="9"/>
  <c r="H1403" i="9"/>
  <c r="G1403" i="9"/>
  <c r="H1402" i="9"/>
  <c r="G1402" i="9"/>
  <c r="H1401" i="9"/>
  <c r="G1401" i="9"/>
  <c r="H1400" i="9"/>
  <c r="G1400" i="9"/>
  <c r="H1399" i="9"/>
  <c r="G1399" i="9"/>
  <c r="H1398" i="9"/>
  <c r="G1398" i="9"/>
  <c r="H1397" i="9"/>
  <c r="G1397" i="9"/>
  <c r="H1396" i="9"/>
  <c r="G1396" i="9"/>
  <c r="H1395" i="9"/>
  <c r="G1395" i="9"/>
  <c r="H1394" i="9"/>
  <c r="G1394" i="9"/>
  <c r="H1393" i="9"/>
  <c r="G1393" i="9"/>
  <c r="H1392" i="9"/>
  <c r="G1392" i="9"/>
  <c r="H1391" i="9"/>
  <c r="G1391" i="9"/>
  <c r="H1390" i="9"/>
  <c r="G1390" i="9"/>
  <c r="H1389" i="9"/>
  <c r="G1389" i="9"/>
  <c r="H1388" i="9"/>
  <c r="G1388" i="9"/>
  <c r="H1387" i="9"/>
  <c r="G1387" i="9"/>
  <c r="H1386" i="9"/>
  <c r="G1386" i="9"/>
  <c r="H1385" i="9"/>
  <c r="G1385" i="9"/>
  <c r="H1384" i="9"/>
  <c r="G1384" i="9"/>
  <c r="H1383" i="9"/>
  <c r="G1383" i="9"/>
  <c r="H1382" i="9"/>
  <c r="G1382" i="9"/>
  <c r="H1381" i="9"/>
  <c r="G1381" i="9"/>
  <c r="H1380" i="9"/>
  <c r="G1380" i="9"/>
  <c r="H1379" i="9"/>
  <c r="G1379" i="9"/>
  <c r="H1378" i="9"/>
  <c r="G1378" i="9"/>
  <c r="H1377" i="9"/>
  <c r="G1377" i="9"/>
  <c r="H1376" i="9"/>
  <c r="G1376" i="9"/>
  <c r="H1375" i="9"/>
  <c r="G1375" i="9"/>
  <c r="H1374" i="9"/>
  <c r="G1374" i="9"/>
  <c r="H1373" i="9"/>
  <c r="G1373" i="9"/>
  <c r="H1372" i="9"/>
  <c r="G1372" i="9"/>
  <c r="H1371" i="9"/>
  <c r="G1371" i="9"/>
  <c r="H1370" i="9"/>
  <c r="G1370" i="9"/>
  <c r="H1369" i="9"/>
  <c r="G1369" i="9"/>
  <c r="H1368" i="9"/>
  <c r="G1368" i="9"/>
  <c r="H1367" i="9"/>
  <c r="G1367" i="9"/>
  <c r="H1366" i="9"/>
  <c r="G1366" i="9"/>
  <c r="H1365" i="9"/>
  <c r="G1365" i="9"/>
  <c r="H1364" i="9"/>
  <c r="G1364" i="9"/>
  <c r="H1363" i="9"/>
  <c r="G1363" i="9"/>
  <c r="H1362" i="9"/>
  <c r="G1362" i="9"/>
  <c r="H1361" i="9"/>
  <c r="G1361" i="9"/>
  <c r="H1360" i="9"/>
  <c r="G1360" i="9"/>
  <c r="H1359" i="9"/>
  <c r="G1359" i="9"/>
  <c r="H1358" i="9"/>
  <c r="G1358" i="9"/>
  <c r="H1357" i="9"/>
  <c r="G1357" i="9"/>
  <c r="H1356" i="9"/>
  <c r="G1356" i="9"/>
  <c r="H1355" i="9"/>
  <c r="G1355" i="9"/>
  <c r="H1354" i="9"/>
  <c r="G1354" i="9"/>
  <c r="H1353" i="9"/>
  <c r="G1353" i="9"/>
  <c r="H1352" i="9"/>
  <c r="G1352" i="9"/>
  <c r="H1351" i="9"/>
  <c r="G1351" i="9"/>
  <c r="H1350" i="9"/>
  <c r="G1350" i="9"/>
  <c r="H1349" i="9"/>
  <c r="G1349" i="9"/>
  <c r="H1348" i="9"/>
  <c r="G1348" i="9"/>
  <c r="H1347" i="9"/>
  <c r="G1347" i="9"/>
  <c r="H1346" i="9"/>
  <c r="G1346" i="9"/>
  <c r="H1345" i="9"/>
  <c r="G1345" i="9"/>
  <c r="H1344" i="9"/>
  <c r="G1344" i="9"/>
  <c r="H1343" i="9"/>
  <c r="G1343" i="9"/>
  <c r="H1342" i="9"/>
  <c r="G1342" i="9"/>
  <c r="H1341" i="9"/>
  <c r="G1341" i="9"/>
  <c r="H1340" i="9"/>
  <c r="G1340" i="9"/>
  <c r="H1339" i="9"/>
  <c r="G1339" i="9"/>
  <c r="H1338" i="9"/>
  <c r="G1338" i="9"/>
  <c r="H1337" i="9"/>
  <c r="G1337" i="9"/>
  <c r="H1336" i="9"/>
  <c r="G1336" i="9"/>
  <c r="H1335" i="9"/>
  <c r="G1335" i="9"/>
  <c r="H1334" i="9"/>
  <c r="G1334" i="9"/>
  <c r="H1333" i="9"/>
  <c r="G1333" i="9"/>
  <c r="H1332" i="9"/>
  <c r="G1332" i="9"/>
  <c r="H1331" i="9"/>
  <c r="G1331" i="9"/>
  <c r="H1330" i="9"/>
  <c r="G1330" i="9"/>
  <c r="H1329" i="9"/>
  <c r="G1329" i="9"/>
  <c r="H1328" i="9"/>
  <c r="G1328" i="9"/>
  <c r="H1327" i="9"/>
  <c r="G1327" i="9"/>
  <c r="H1326" i="9"/>
  <c r="G1326" i="9"/>
  <c r="H1325" i="9"/>
  <c r="G1325" i="9"/>
  <c r="H1324" i="9"/>
  <c r="G1324" i="9"/>
  <c r="H1323" i="9"/>
  <c r="G1323" i="9"/>
  <c r="H1322" i="9"/>
  <c r="G1322" i="9"/>
  <c r="H1321" i="9"/>
  <c r="G1321" i="9"/>
  <c r="H1320" i="9"/>
  <c r="G1320" i="9"/>
  <c r="H1319" i="9"/>
  <c r="G1319" i="9"/>
  <c r="H1318" i="9"/>
  <c r="G1318" i="9"/>
  <c r="H1317" i="9"/>
  <c r="G1317" i="9"/>
  <c r="H1316" i="9"/>
  <c r="G1316" i="9"/>
  <c r="H1315" i="9"/>
  <c r="G1315" i="9"/>
  <c r="H1314" i="9"/>
  <c r="G1314" i="9"/>
  <c r="H1313" i="9"/>
  <c r="G1313" i="9"/>
  <c r="H1312" i="9"/>
  <c r="G1312" i="9"/>
  <c r="H1311" i="9"/>
  <c r="G1311" i="9"/>
  <c r="H1310" i="9"/>
  <c r="G1310" i="9"/>
  <c r="H1309" i="9"/>
  <c r="G1309" i="9"/>
  <c r="H1308" i="9"/>
  <c r="G1308" i="9"/>
  <c r="H1307" i="9"/>
  <c r="G1307" i="9"/>
  <c r="H1306" i="9"/>
  <c r="G1306" i="9"/>
  <c r="H1305" i="9"/>
  <c r="G1305" i="9"/>
  <c r="H1304" i="9"/>
  <c r="G1304" i="9"/>
  <c r="H1303" i="9"/>
  <c r="G1303" i="9"/>
  <c r="H1302" i="9"/>
  <c r="G1302" i="9"/>
  <c r="H1301" i="9"/>
  <c r="G1301" i="9"/>
  <c r="H1300" i="9"/>
  <c r="G1300" i="9"/>
  <c r="H1299" i="9"/>
  <c r="G1299" i="9"/>
  <c r="H1298" i="9"/>
  <c r="G1298" i="9"/>
  <c r="H1297" i="9"/>
  <c r="G1297" i="9"/>
  <c r="H1296" i="9"/>
  <c r="G1296" i="9"/>
  <c r="H1295" i="9"/>
  <c r="G1295" i="9"/>
  <c r="H1294" i="9"/>
  <c r="G1294" i="9"/>
  <c r="H1293" i="9"/>
  <c r="G1293" i="9"/>
  <c r="H1292" i="9"/>
  <c r="G1292" i="9"/>
  <c r="H1291" i="9"/>
  <c r="G1291" i="9"/>
  <c r="H1290" i="9"/>
  <c r="G1290" i="9"/>
  <c r="H1289" i="9"/>
  <c r="G1289" i="9"/>
  <c r="H1288" i="9"/>
  <c r="G1288" i="9"/>
  <c r="H1287" i="9"/>
  <c r="G1287" i="9"/>
  <c r="H1286" i="9"/>
  <c r="G1286" i="9"/>
  <c r="H1285" i="9"/>
  <c r="G1285" i="9"/>
  <c r="H1284" i="9"/>
  <c r="G1284" i="9"/>
  <c r="H1283" i="9"/>
  <c r="G1283" i="9"/>
  <c r="H1282" i="9"/>
  <c r="G1282" i="9"/>
  <c r="H1281" i="9"/>
  <c r="G1281" i="9"/>
  <c r="H1280" i="9"/>
  <c r="G1280" i="9"/>
  <c r="H1279" i="9"/>
  <c r="G1279" i="9"/>
  <c r="H1278" i="9"/>
  <c r="G1278" i="9"/>
  <c r="H1277" i="9"/>
  <c r="G1277" i="9"/>
  <c r="H1276" i="9"/>
  <c r="G1276" i="9"/>
  <c r="H1275" i="9"/>
  <c r="G1275" i="9"/>
  <c r="H1274" i="9"/>
  <c r="G1274" i="9"/>
  <c r="H1273" i="9"/>
  <c r="G1273" i="9"/>
  <c r="H1272" i="9"/>
  <c r="G1272" i="9"/>
  <c r="H1271" i="9"/>
  <c r="G1271" i="9"/>
  <c r="H1270" i="9"/>
  <c r="G1270" i="9"/>
  <c r="H1269" i="9"/>
  <c r="G1269" i="9"/>
  <c r="H1268" i="9"/>
  <c r="G1268" i="9"/>
  <c r="H1267" i="9"/>
  <c r="G1267" i="9"/>
  <c r="H1266" i="9"/>
  <c r="G1266" i="9"/>
  <c r="H1265" i="9"/>
  <c r="G1265" i="9"/>
  <c r="H1264" i="9"/>
  <c r="G1264" i="9"/>
  <c r="H1263" i="9"/>
  <c r="G1263" i="9"/>
  <c r="H1262" i="9"/>
  <c r="G1262" i="9"/>
  <c r="H1261" i="9"/>
  <c r="G1261" i="9"/>
  <c r="H1260" i="9"/>
  <c r="G1260" i="9"/>
  <c r="H1259" i="9"/>
  <c r="G1259" i="9"/>
  <c r="H1258" i="9"/>
  <c r="G1258" i="9"/>
  <c r="H1257" i="9"/>
  <c r="G1257" i="9"/>
  <c r="H1256" i="9"/>
  <c r="G1256" i="9"/>
  <c r="H1255" i="9"/>
  <c r="G1255" i="9"/>
  <c r="H1254" i="9"/>
  <c r="G1254" i="9"/>
  <c r="H1253" i="9"/>
  <c r="G1253" i="9"/>
  <c r="H1252" i="9"/>
  <c r="G1252" i="9"/>
  <c r="H1251" i="9"/>
  <c r="G1251" i="9"/>
  <c r="H1250" i="9"/>
  <c r="G1250" i="9"/>
  <c r="H1249" i="9"/>
  <c r="G1249" i="9"/>
  <c r="H1248" i="9"/>
  <c r="G1248" i="9"/>
  <c r="H1247" i="9"/>
  <c r="G1247" i="9"/>
  <c r="H1246" i="9"/>
  <c r="G1246" i="9"/>
  <c r="H1245" i="9"/>
  <c r="G1245" i="9"/>
  <c r="H1244" i="9"/>
  <c r="G1244" i="9"/>
  <c r="H1243" i="9"/>
  <c r="G1243" i="9"/>
  <c r="H1242" i="9"/>
  <c r="G1242" i="9"/>
  <c r="H1241" i="9"/>
  <c r="G1241" i="9"/>
  <c r="H1240" i="9"/>
  <c r="G1240" i="9"/>
  <c r="H1239" i="9"/>
  <c r="G1239" i="9"/>
  <c r="H1238" i="9"/>
  <c r="G1238" i="9"/>
  <c r="H1237" i="9"/>
  <c r="G1237" i="9"/>
  <c r="H1236" i="9"/>
  <c r="G1236" i="9"/>
  <c r="H1235" i="9"/>
  <c r="G1235" i="9"/>
  <c r="H1234" i="9"/>
  <c r="G1234" i="9"/>
  <c r="H1233" i="9"/>
  <c r="G1233" i="9"/>
  <c r="H1232" i="9"/>
  <c r="G1232" i="9"/>
  <c r="H1231" i="9"/>
  <c r="G1231" i="9"/>
  <c r="H1230" i="9"/>
  <c r="G1230" i="9"/>
  <c r="H1229" i="9"/>
  <c r="G1229" i="9"/>
  <c r="H1228" i="9"/>
  <c r="G1228" i="9"/>
  <c r="H1227" i="9"/>
  <c r="G1227" i="9"/>
  <c r="H1226" i="9"/>
  <c r="G1226" i="9"/>
  <c r="H1225" i="9"/>
  <c r="G1225" i="9"/>
  <c r="H1224" i="9"/>
  <c r="G1224" i="9"/>
  <c r="H1223" i="9"/>
  <c r="G1223" i="9"/>
  <c r="H1222" i="9"/>
  <c r="G1222" i="9"/>
  <c r="H1221" i="9"/>
  <c r="G1221" i="9"/>
  <c r="H1220" i="9"/>
  <c r="G1220" i="9"/>
  <c r="H1219" i="9"/>
  <c r="G1219" i="9"/>
  <c r="H1218" i="9"/>
  <c r="G1218" i="9"/>
  <c r="H1217" i="9"/>
  <c r="G1217" i="9"/>
  <c r="H1216" i="9"/>
  <c r="G1216" i="9"/>
  <c r="H1215" i="9"/>
  <c r="G1215" i="9"/>
  <c r="H1214" i="9"/>
  <c r="G1214" i="9"/>
  <c r="H1213" i="9"/>
  <c r="G1213" i="9"/>
  <c r="H1212" i="9"/>
  <c r="G1212" i="9"/>
  <c r="H1211" i="9"/>
  <c r="G1211" i="9"/>
  <c r="H1210" i="9"/>
  <c r="G1210" i="9"/>
  <c r="H1209" i="9"/>
  <c r="G1209" i="9"/>
  <c r="H1208" i="9"/>
  <c r="G1208" i="9"/>
  <c r="H1207" i="9"/>
  <c r="G1207" i="9"/>
  <c r="H1206" i="9"/>
  <c r="G1206" i="9"/>
  <c r="H1205" i="9"/>
  <c r="G1205" i="9"/>
  <c r="H1204" i="9"/>
  <c r="G1204" i="9"/>
  <c r="H1203" i="9"/>
  <c r="G1203" i="9"/>
  <c r="H1202" i="9"/>
  <c r="G1202" i="9"/>
  <c r="H1201" i="9"/>
  <c r="G1201" i="9"/>
  <c r="H1200" i="9"/>
  <c r="G1200" i="9"/>
  <c r="H1199" i="9"/>
  <c r="G1199" i="9"/>
  <c r="H1198" i="9"/>
  <c r="G1198" i="9"/>
  <c r="H1197" i="9"/>
  <c r="G1197" i="9"/>
  <c r="H1196" i="9"/>
  <c r="G1196" i="9"/>
  <c r="H1195" i="9"/>
  <c r="G1195" i="9"/>
  <c r="H1194" i="9"/>
  <c r="G1194" i="9"/>
  <c r="H1193" i="9"/>
  <c r="G1193" i="9"/>
  <c r="H1192" i="9"/>
  <c r="G1192" i="9"/>
  <c r="H1191" i="9"/>
  <c r="G1191" i="9"/>
  <c r="H1190" i="9"/>
  <c r="G1190" i="9"/>
  <c r="H1189" i="9"/>
  <c r="G1189" i="9"/>
  <c r="H1188" i="9"/>
  <c r="G1188" i="9"/>
  <c r="H1187" i="9"/>
  <c r="G1187" i="9"/>
  <c r="H1186" i="9"/>
  <c r="G1186" i="9"/>
  <c r="H1185" i="9"/>
  <c r="G1185" i="9"/>
  <c r="H1184" i="9"/>
  <c r="G1184" i="9"/>
  <c r="H1183" i="9"/>
  <c r="G1183" i="9"/>
  <c r="H1182" i="9"/>
  <c r="G1182" i="9"/>
  <c r="H1181" i="9"/>
  <c r="G1181" i="9"/>
  <c r="H1180" i="9"/>
  <c r="G1180" i="9"/>
  <c r="H1179" i="9"/>
  <c r="G1179" i="9"/>
  <c r="H1178" i="9"/>
  <c r="G1178" i="9"/>
  <c r="H1177" i="9"/>
  <c r="G1177" i="9"/>
  <c r="H1176" i="9"/>
  <c r="G1176" i="9"/>
  <c r="H1175" i="9"/>
  <c r="G1175" i="9"/>
  <c r="H1174" i="9"/>
  <c r="G1174" i="9"/>
  <c r="H1173" i="9"/>
  <c r="G1173" i="9"/>
  <c r="H1172" i="9"/>
  <c r="G1172" i="9"/>
  <c r="H1171" i="9"/>
  <c r="G1171" i="9"/>
  <c r="H1170" i="9"/>
  <c r="G1170" i="9"/>
  <c r="H1169" i="9"/>
  <c r="G1169" i="9"/>
  <c r="H1168" i="9"/>
  <c r="G1168" i="9"/>
  <c r="H1167" i="9"/>
  <c r="G1167" i="9"/>
  <c r="H1166" i="9"/>
  <c r="G1166" i="9"/>
  <c r="H1165" i="9"/>
  <c r="G1165" i="9"/>
  <c r="H1164" i="9"/>
  <c r="G1164" i="9"/>
  <c r="H1163" i="9"/>
  <c r="G1163" i="9"/>
  <c r="H1162" i="9"/>
  <c r="G1162" i="9"/>
  <c r="H1161" i="9"/>
  <c r="G1161" i="9"/>
  <c r="H1160" i="9"/>
  <c r="G1160" i="9"/>
  <c r="H1159" i="9"/>
  <c r="G1159" i="9"/>
  <c r="H1158" i="9"/>
  <c r="G1158" i="9"/>
  <c r="H1157" i="9"/>
  <c r="G1157" i="9"/>
  <c r="H1156" i="9"/>
  <c r="G1156" i="9"/>
  <c r="H1155" i="9"/>
  <c r="G1155" i="9"/>
  <c r="H1154" i="9"/>
  <c r="G1154" i="9"/>
  <c r="H1153" i="9"/>
  <c r="G1153" i="9"/>
  <c r="H1152" i="9"/>
  <c r="G1152" i="9"/>
  <c r="H1151" i="9"/>
  <c r="G1151" i="9"/>
  <c r="H1150" i="9"/>
  <c r="G1150" i="9"/>
  <c r="H1149" i="9"/>
  <c r="G1149" i="9"/>
  <c r="H1148" i="9"/>
  <c r="G1148" i="9"/>
  <c r="H1147" i="9"/>
  <c r="G1147" i="9"/>
  <c r="H1146" i="9"/>
  <c r="G1146" i="9"/>
  <c r="H1145" i="9"/>
  <c r="G1145" i="9"/>
  <c r="H1144" i="9"/>
  <c r="G1144" i="9"/>
  <c r="H1143" i="9"/>
  <c r="G1143" i="9"/>
  <c r="H1142" i="9"/>
  <c r="G1142" i="9"/>
  <c r="H1141" i="9"/>
  <c r="G1141" i="9"/>
  <c r="H1140" i="9"/>
  <c r="G1140" i="9"/>
  <c r="H1139" i="9"/>
  <c r="G1139" i="9"/>
  <c r="H1138" i="9"/>
  <c r="G1138" i="9"/>
  <c r="H1137" i="9"/>
  <c r="G1137" i="9"/>
  <c r="H1136" i="9"/>
  <c r="G1136" i="9"/>
  <c r="H1135" i="9"/>
  <c r="G1135" i="9"/>
  <c r="H1134" i="9"/>
  <c r="G1134" i="9"/>
  <c r="H1133" i="9"/>
  <c r="G1133" i="9"/>
  <c r="H1132" i="9"/>
  <c r="G1132" i="9"/>
  <c r="H1131" i="9"/>
  <c r="G1131" i="9"/>
  <c r="H1130" i="9"/>
  <c r="G1130" i="9"/>
  <c r="H1129" i="9"/>
  <c r="G1129" i="9"/>
  <c r="H1128" i="9"/>
  <c r="G1128" i="9"/>
  <c r="H1127" i="9"/>
  <c r="G1127" i="9"/>
  <c r="H1126" i="9"/>
  <c r="G1126" i="9"/>
  <c r="H1125" i="9"/>
  <c r="G1125" i="9"/>
  <c r="H1124" i="9"/>
  <c r="G1124" i="9"/>
  <c r="H1123" i="9"/>
  <c r="G1123" i="9"/>
  <c r="H1122" i="9"/>
  <c r="G1122" i="9"/>
  <c r="H1121" i="9"/>
  <c r="G1121" i="9"/>
  <c r="H1120" i="9"/>
  <c r="G1120" i="9"/>
  <c r="H1119" i="9"/>
  <c r="G1119" i="9"/>
  <c r="H1118" i="9"/>
  <c r="G1118" i="9"/>
  <c r="H1117" i="9"/>
  <c r="G1117" i="9"/>
  <c r="H1116" i="9"/>
  <c r="G1116" i="9"/>
  <c r="H1115" i="9"/>
  <c r="G1115" i="9"/>
  <c r="H1114" i="9"/>
  <c r="G1114" i="9"/>
  <c r="H1113" i="9"/>
  <c r="G1113" i="9"/>
  <c r="H1112" i="9"/>
  <c r="G1112" i="9"/>
  <c r="H1111" i="9"/>
  <c r="G1111" i="9"/>
  <c r="H1110" i="9"/>
  <c r="G1110" i="9"/>
  <c r="H1109" i="9"/>
  <c r="G1109" i="9"/>
  <c r="H1108" i="9"/>
  <c r="G1108" i="9"/>
  <c r="H1107" i="9"/>
  <c r="G1107" i="9"/>
  <c r="H1106" i="9"/>
  <c r="G1106" i="9"/>
  <c r="H1105" i="9"/>
  <c r="G1105" i="9"/>
  <c r="H1104" i="9"/>
  <c r="G1104" i="9"/>
  <c r="H1103" i="9"/>
  <c r="G1103" i="9"/>
  <c r="H1102" i="9"/>
  <c r="G1102" i="9"/>
  <c r="H1101" i="9"/>
  <c r="G1101" i="9"/>
  <c r="H1100" i="9"/>
  <c r="G1100" i="9"/>
  <c r="H1099" i="9"/>
  <c r="G1099" i="9"/>
  <c r="H1098" i="9"/>
  <c r="G1098" i="9"/>
  <c r="H1097" i="9"/>
  <c r="G1097" i="9"/>
  <c r="H1096" i="9"/>
  <c r="G1096" i="9"/>
  <c r="H1095" i="9"/>
  <c r="G1095" i="9"/>
  <c r="H1094" i="9"/>
  <c r="G1094" i="9"/>
  <c r="H1093" i="9"/>
  <c r="G1093" i="9"/>
  <c r="H1092" i="9"/>
  <c r="G1092" i="9"/>
  <c r="H1091" i="9"/>
  <c r="G1091" i="9"/>
  <c r="H1090" i="9"/>
  <c r="G1090" i="9"/>
  <c r="H1089" i="9"/>
  <c r="G1089" i="9"/>
  <c r="H1088" i="9"/>
  <c r="G1088" i="9"/>
  <c r="H1087" i="9"/>
  <c r="G1087" i="9"/>
  <c r="H1086" i="9"/>
  <c r="G1086" i="9"/>
  <c r="H1085" i="9"/>
  <c r="G1085" i="9"/>
  <c r="H1084" i="9"/>
  <c r="G1084" i="9"/>
  <c r="H1083" i="9"/>
  <c r="G1083" i="9"/>
  <c r="H1082" i="9"/>
  <c r="G1082" i="9"/>
  <c r="H1081" i="9"/>
  <c r="G1081" i="9"/>
  <c r="H1080" i="9"/>
  <c r="G1080" i="9"/>
  <c r="H1079" i="9"/>
  <c r="G1079" i="9"/>
  <c r="H1078" i="9"/>
  <c r="G1078" i="9"/>
  <c r="H1077" i="9"/>
  <c r="G1077" i="9"/>
  <c r="H1076" i="9"/>
  <c r="G1076" i="9"/>
  <c r="H1075" i="9"/>
  <c r="G1075" i="9"/>
  <c r="H1074" i="9"/>
  <c r="G1074" i="9"/>
  <c r="H1073" i="9"/>
  <c r="G1073" i="9"/>
  <c r="H1072" i="9"/>
  <c r="G1072" i="9"/>
  <c r="H1071" i="9"/>
  <c r="G1071" i="9"/>
  <c r="H1070" i="9"/>
  <c r="G1070" i="9"/>
  <c r="H1069" i="9"/>
  <c r="G1069" i="9"/>
  <c r="H1068" i="9"/>
  <c r="G1068" i="9"/>
  <c r="H1067" i="9"/>
  <c r="G1067" i="9"/>
  <c r="H1066" i="9"/>
  <c r="G1066" i="9"/>
  <c r="H1065" i="9"/>
  <c r="G1065" i="9"/>
  <c r="H1064" i="9"/>
  <c r="G1064" i="9"/>
  <c r="H1063" i="9"/>
  <c r="G1063" i="9"/>
  <c r="H1062" i="9"/>
  <c r="G1062" i="9"/>
  <c r="H1061" i="9"/>
  <c r="G1061" i="9"/>
  <c r="H1060" i="9"/>
  <c r="G1060" i="9"/>
  <c r="H1059" i="9"/>
  <c r="G1059" i="9"/>
  <c r="H1058" i="9"/>
  <c r="G1058" i="9"/>
  <c r="H1057" i="9"/>
  <c r="G1057" i="9"/>
  <c r="H1056" i="9"/>
  <c r="G1056" i="9"/>
  <c r="H1055" i="9"/>
  <c r="G1055" i="9"/>
  <c r="H1054" i="9"/>
  <c r="G1054" i="9"/>
  <c r="H1053" i="9"/>
  <c r="G1053" i="9"/>
  <c r="H1052" i="9"/>
  <c r="G1052" i="9"/>
  <c r="H1051" i="9"/>
  <c r="G1051" i="9"/>
  <c r="H1050" i="9"/>
  <c r="G1050" i="9"/>
  <c r="H1049" i="9"/>
  <c r="G1049" i="9"/>
  <c r="H1048" i="9"/>
  <c r="G1048" i="9"/>
  <c r="H1047" i="9"/>
  <c r="G1047" i="9"/>
  <c r="H1046" i="9"/>
  <c r="G1046" i="9"/>
  <c r="H1045" i="9"/>
  <c r="G1045" i="9"/>
  <c r="H1044" i="9"/>
  <c r="G1044" i="9"/>
  <c r="H1043" i="9"/>
  <c r="G1043" i="9"/>
  <c r="H1042" i="9"/>
  <c r="G1042" i="9"/>
  <c r="H1041" i="9"/>
  <c r="G1041" i="9"/>
  <c r="H1040" i="9"/>
  <c r="G1040" i="9"/>
  <c r="H1039" i="9"/>
  <c r="G1039" i="9"/>
  <c r="H1038" i="9"/>
  <c r="G1038" i="9"/>
  <c r="H1037" i="9"/>
  <c r="G1037" i="9"/>
  <c r="H1036" i="9"/>
  <c r="G1036" i="9"/>
  <c r="H1035" i="9"/>
  <c r="G1035" i="9"/>
  <c r="H1034" i="9"/>
  <c r="G1034" i="9"/>
  <c r="H1033" i="9"/>
  <c r="G1033" i="9"/>
  <c r="H1032" i="9"/>
  <c r="G1032" i="9"/>
  <c r="H1031" i="9"/>
  <c r="G1031" i="9"/>
  <c r="H1030" i="9"/>
  <c r="G1030" i="9"/>
  <c r="H1029" i="9"/>
  <c r="G1029" i="9"/>
  <c r="H1028" i="9"/>
  <c r="G1028" i="9"/>
  <c r="H1027" i="9"/>
  <c r="G1027" i="9"/>
  <c r="H1026" i="9"/>
  <c r="G1026" i="9"/>
  <c r="H1025" i="9"/>
  <c r="G1025" i="9"/>
  <c r="H1024" i="9"/>
  <c r="G1024" i="9"/>
  <c r="H1023" i="9"/>
  <c r="G1023" i="9"/>
  <c r="H1022" i="9"/>
  <c r="G1022" i="9"/>
  <c r="H1021" i="9"/>
  <c r="G1021" i="9"/>
  <c r="H1020" i="9"/>
  <c r="G1020" i="9"/>
  <c r="H1019" i="9"/>
  <c r="G1019" i="9"/>
  <c r="H1018" i="9"/>
  <c r="G1018" i="9"/>
  <c r="H1017" i="9"/>
  <c r="G1017" i="9"/>
  <c r="H1016" i="9"/>
  <c r="G1016" i="9"/>
  <c r="H1015" i="9"/>
  <c r="G1015" i="9"/>
  <c r="H1014" i="9"/>
  <c r="G1014" i="9"/>
  <c r="H1013" i="9"/>
  <c r="G1013" i="9"/>
  <c r="H1012" i="9"/>
  <c r="G1012" i="9"/>
  <c r="H1011" i="9"/>
  <c r="G1011" i="9"/>
  <c r="H1010" i="9"/>
  <c r="G1010" i="9"/>
  <c r="H1009" i="9"/>
  <c r="G1009" i="9"/>
  <c r="H1008" i="9"/>
  <c r="G1008" i="9"/>
  <c r="H1007" i="9"/>
  <c r="G1007" i="9"/>
  <c r="H1006" i="9"/>
  <c r="G1006" i="9"/>
  <c r="H1005" i="9"/>
  <c r="G1005" i="9"/>
  <c r="H1004" i="9"/>
  <c r="G1004" i="9"/>
  <c r="H1003" i="9"/>
  <c r="G1003" i="9"/>
  <c r="H1002" i="9"/>
  <c r="G1002" i="9"/>
  <c r="H1001" i="9"/>
  <c r="G1001" i="9"/>
  <c r="H1000" i="9"/>
  <c r="G1000" i="9"/>
  <c r="H999" i="9"/>
  <c r="G999" i="9"/>
  <c r="H998" i="9"/>
  <c r="G998" i="9"/>
  <c r="H997" i="9"/>
  <c r="G997" i="9"/>
  <c r="H996" i="9"/>
  <c r="G996" i="9"/>
  <c r="H995" i="9"/>
  <c r="G995" i="9"/>
  <c r="H994" i="9"/>
  <c r="G994" i="9"/>
  <c r="H993" i="9"/>
  <c r="G993" i="9"/>
  <c r="H992" i="9"/>
  <c r="G992" i="9"/>
  <c r="H991" i="9"/>
  <c r="G991" i="9"/>
  <c r="H990" i="9"/>
  <c r="G990" i="9"/>
  <c r="H989" i="9"/>
  <c r="G989" i="9"/>
  <c r="H988" i="9"/>
  <c r="G988" i="9"/>
  <c r="H987" i="9"/>
  <c r="G987" i="9"/>
  <c r="H986" i="9"/>
  <c r="G986" i="9"/>
  <c r="H985" i="9"/>
  <c r="G985" i="9"/>
  <c r="H984" i="9"/>
  <c r="G984" i="9"/>
  <c r="H983" i="9"/>
  <c r="G983" i="9"/>
  <c r="H982" i="9"/>
  <c r="G982" i="9"/>
  <c r="H981" i="9"/>
  <c r="G981" i="9"/>
  <c r="H980" i="9"/>
  <c r="G980" i="9"/>
  <c r="H979" i="9"/>
  <c r="G979" i="9"/>
  <c r="H978" i="9"/>
  <c r="G978" i="9"/>
  <c r="H977" i="9"/>
  <c r="G977" i="9"/>
  <c r="H976" i="9"/>
  <c r="G976" i="9"/>
  <c r="H975" i="9"/>
  <c r="G975" i="9"/>
  <c r="H974" i="9"/>
  <c r="G974" i="9"/>
  <c r="H973" i="9"/>
  <c r="G973" i="9"/>
  <c r="H972" i="9"/>
  <c r="G972" i="9"/>
  <c r="H971" i="9"/>
  <c r="G971" i="9"/>
  <c r="H970" i="9"/>
  <c r="G970" i="9"/>
  <c r="H969" i="9"/>
  <c r="G969" i="9"/>
  <c r="H968" i="9"/>
  <c r="G968" i="9"/>
  <c r="H967" i="9"/>
  <c r="G967" i="9"/>
  <c r="H966" i="9"/>
  <c r="G966" i="9"/>
  <c r="H965" i="9"/>
  <c r="G965" i="9"/>
  <c r="H964" i="9"/>
  <c r="G964" i="9"/>
  <c r="H963" i="9"/>
  <c r="G963" i="9"/>
  <c r="H962" i="9"/>
  <c r="G962" i="9"/>
  <c r="H961" i="9"/>
  <c r="G961" i="9"/>
  <c r="H960" i="9"/>
  <c r="G960" i="9"/>
  <c r="H959" i="9"/>
  <c r="G959" i="9"/>
  <c r="H958" i="9"/>
  <c r="G958" i="9"/>
  <c r="H957" i="9"/>
  <c r="G957" i="9"/>
  <c r="H956" i="9"/>
  <c r="G956" i="9"/>
  <c r="H955" i="9"/>
  <c r="G955" i="9"/>
  <c r="H954" i="9"/>
  <c r="G954" i="9"/>
  <c r="H953" i="9"/>
  <c r="G953" i="9"/>
  <c r="H952" i="9"/>
  <c r="G952" i="9"/>
  <c r="H951" i="9"/>
  <c r="G951" i="9"/>
  <c r="H950" i="9"/>
  <c r="G950" i="9"/>
  <c r="H949" i="9"/>
  <c r="G949" i="9"/>
  <c r="H948" i="9"/>
  <c r="G948" i="9"/>
  <c r="H947" i="9"/>
  <c r="G947" i="9"/>
  <c r="H946" i="9"/>
  <c r="G946" i="9"/>
  <c r="H945" i="9"/>
  <c r="G945" i="9"/>
  <c r="H944" i="9"/>
  <c r="G944" i="9"/>
  <c r="H943" i="9"/>
  <c r="G943" i="9"/>
  <c r="H942" i="9"/>
  <c r="G942" i="9"/>
  <c r="H941" i="9"/>
  <c r="G941" i="9"/>
  <c r="H940" i="9"/>
  <c r="G940" i="9"/>
  <c r="H939" i="9"/>
  <c r="G939" i="9"/>
  <c r="H938" i="9"/>
  <c r="G938" i="9"/>
  <c r="H937" i="9"/>
  <c r="G937" i="9"/>
  <c r="H936" i="9"/>
  <c r="G936" i="9"/>
  <c r="H935" i="9"/>
  <c r="G935" i="9"/>
  <c r="H934" i="9"/>
  <c r="G934" i="9"/>
  <c r="H933" i="9"/>
  <c r="G933" i="9"/>
  <c r="H932" i="9"/>
  <c r="G932" i="9"/>
  <c r="H931" i="9"/>
  <c r="G931" i="9"/>
  <c r="H930" i="9"/>
  <c r="G930" i="9"/>
  <c r="H929" i="9"/>
  <c r="G929" i="9"/>
  <c r="H928" i="9"/>
  <c r="G928" i="9"/>
  <c r="H927" i="9"/>
  <c r="G927" i="9"/>
  <c r="H926" i="9"/>
  <c r="G926" i="9"/>
  <c r="H925" i="9"/>
  <c r="G925" i="9"/>
  <c r="H924" i="9"/>
  <c r="G924" i="9"/>
  <c r="H923" i="9"/>
  <c r="G923" i="9"/>
  <c r="H922" i="9"/>
  <c r="G922" i="9"/>
  <c r="H921" i="9"/>
  <c r="G921" i="9"/>
  <c r="H920" i="9"/>
  <c r="G920" i="9"/>
  <c r="H919" i="9"/>
  <c r="G919" i="9"/>
  <c r="H918" i="9"/>
  <c r="G918" i="9"/>
  <c r="H917" i="9"/>
  <c r="G917" i="9"/>
  <c r="H916" i="9"/>
  <c r="G916" i="9"/>
  <c r="H915" i="9"/>
  <c r="G915" i="9"/>
  <c r="H914" i="9"/>
  <c r="G914" i="9"/>
  <c r="H913" i="9"/>
  <c r="G913" i="9"/>
  <c r="H912" i="9"/>
  <c r="G912" i="9"/>
  <c r="H911" i="9"/>
  <c r="G911" i="9"/>
  <c r="H910" i="9"/>
  <c r="G910" i="9"/>
  <c r="H909" i="9"/>
  <c r="G909" i="9"/>
  <c r="H908" i="9"/>
  <c r="G908" i="9"/>
  <c r="H907" i="9"/>
  <c r="G907" i="9"/>
  <c r="H906" i="9"/>
  <c r="G906" i="9"/>
  <c r="H905" i="9"/>
  <c r="G905" i="9"/>
  <c r="H904" i="9"/>
  <c r="G904" i="9"/>
  <c r="H903" i="9"/>
  <c r="G903" i="9"/>
  <c r="H902" i="9"/>
  <c r="G902" i="9"/>
  <c r="H901" i="9"/>
  <c r="G901" i="9"/>
  <c r="H900" i="9"/>
  <c r="G900" i="9"/>
  <c r="H899" i="9"/>
  <c r="G899" i="9"/>
  <c r="H898" i="9"/>
  <c r="G898" i="9"/>
  <c r="H897" i="9"/>
  <c r="G897" i="9"/>
  <c r="H896" i="9"/>
  <c r="G896" i="9"/>
  <c r="H895" i="9"/>
  <c r="G895" i="9"/>
  <c r="H894" i="9"/>
  <c r="G894" i="9"/>
  <c r="H893" i="9"/>
  <c r="G893" i="9"/>
  <c r="H892" i="9"/>
  <c r="G892" i="9"/>
  <c r="H891" i="9"/>
  <c r="G891" i="9"/>
  <c r="H890" i="9"/>
  <c r="G890" i="9"/>
  <c r="H889" i="9"/>
  <c r="G889" i="9"/>
  <c r="H888" i="9"/>
  <c r="G888" i="9"/>
  <c r="H887" i="9"/>
  <c r="G887" i="9"/>
  <c r="H886" i="9"/>
  <c r="G886" i="9"/>
  <c r="H885" i="9"/>
  <c r="G885" i="9"/>
  <c r="H884" i="9"/>
  <c r="G884" i="9"/>
  <c r="H883" i="9"/>
  <c r="G883" i="9"/>
  <c r="H882" i="9"/>
  <c r="G882" i="9"/>
  <c r="H881" i="9"/>
  <c r="G881" i="9"/>
  <c r="H880" i="9"/>
  <c r="G880" i="9"/>
  <c r="H879" i="9"/>
  <c r="G879" i="9"/>
  <c r="H878" i="9"/>
  <c r="G878" i="9"/>
  <c r="H877" i="9"/>
  <c r="G877" i="9"/>
  <c r="H876" i="9"/>
  <c r="G876" i="9"/>
  <c r="H875" i="9"/>
  <c r="G875" i="9"/>
  <c r="H874" i="9"/>
  <c r="G874" i="9"/>
  <c r="H873" i="9"/>
  <c r="G873" i="9"/>
  <c r="H872" i="9"/>
  <c r="G872" i="9"/>
  <c r="H871" i="9"/>
  <c r="G871" i="9"/>
  <c r="H870" i="9"/>
  <c r="G870" i="9"/>
  <c r="H869" i="9"/>
  <c r="G869" i="9"/>
  <c r="H868" i="9"/>
  <c r="G868" i="9"/>
  <c r="H867" i="9"/>
  <c r="G867" i="9"/>
  <c r="H866" i="9"/>
  <c r="G866" i="9"/>
  <c r="H865" i="9"/>
  <c r="G865" i="9"/>
  <c r="H864" i="9"/>
  <c r="G864" i="9"/>
  <c r="H863" i="9"/>
  <c r="G863" i="9"/>
  <c r="H862" i="9"/>
  <c r="G862" i="9"/>
  <c r="H861" i="9"/>
  <c r="G861" i="9"/>
  <c r="H860" i="9"/>
  <c r="G860" i="9"/>
  <c r="H859" i="9"/>
  <c r="G859" i="9"/>
  <c r="H858" i="9"/>
  <c r="G858" i="9"/>
  <c r="H857" i="9"/>
  <c r="G857" i="9"/>
  <c r="H856" i="9"/>
  <c r="G856" i="9"/>
  <c r="H855" i="9"/>
  <c r="G855" i="9"/>
  <c r="H854" i="9"/>
  <c r="G854" i="9"/>
  <c r="H853" i="9"/>
  <c r="G853" i="9"/>
  <c r="H852" i="9"/>
  <c r="G852" i="9"/>
  <c r="H851" i="9"/>
  <c r="G851" i="9"/>
  <c r="H850" i="9"/>
  <c r="G850" i="9"/>
  <c r="H849" i="9"/>
  <c r="G849" i="9"/>
  <c r="H848" i="9"/>
  <c r="G848" i="9"/>
  <c r="H847" i="9"/>
  <c r="G847" i="9"/>
  <c r="H846" i="9"/>
  <c r="G846" i="9"/>
  <c r="H845" i="9"/>
  <c r="G845" i="9"/>
  <c r="H844" i="9"/>
  <c r="G844" i="9"/>
  <c r="H843" i="9"/>
  <c r="G843" i="9"/>
  <c r="H842" i="9"/>
  <c r="G842" i="9"/>
  <c r="H841" i="9"/>
  <c r="G841" i="9"/>
  <c r="H840" i="9"/>
  <c r="G840" i="9"/>
  <c r="H839" i="9"/>
  <c r="G839" i="9"/>
  <c r="H838" i="9"/>
  <c r="G838" i="9"/>
  <c r="H837" i="9"/>
  <c r="G837" i="9"/>
  <c r="H836" i="9"/>
  <c r="G836" i="9"/>
  <c r="H835" i="9"/>
  <c r="G835" i="9"/>
  <c r="H834" i="9"/>
  <c r="G834" i="9"/>
  <c r="H833" i="9"/>
  <c r="G833" i="9"/>
  <c r="H832" i="9"/>
  <c r="G832" i="9"/>
  <c r="H831" i="9"/>
  <c r="G831" i="9"/>
  <c r="H830" i="9"/>
  <c r="G830" i="9"/>
  <c r="H829" i="9"/>
  <c r="G829" i="9"/>
  <c r="H828" i="9"/>
  <c r="G828" i="9"/>
  <c r="H827" i="9"/>
  <c r="G827" i="9"/>
  <c r="H826" i="9"/>
  <c r="G826" i="9"/>
  <c r="H825" i="9"/>
  <c r="G825" i="9"/>
  <c r="H824" i="9"/>
  <c r="G824" i="9"/>
  <c r="H823" i="9"/>
  <c r="G823" i="9"/>
  <c r="H822" i="9"/>
  <c r="G822" i="9"/>
  <c r="H821" i="9"/>
  <c r="G821" i="9"/>
  <c r="H820" i="9"/>
  <c r="G820" i="9"/>
  <c r="H819" i="9"/>
  <c r="G819" i="9"/>
  <c r="H818" i="9"/>
  <c r="G818" i="9"/>
  <c r="H817" i="9"/>
  <c r="G817" i="9"/>
  <c r="H816" i="9"/>
  <c r="G816" i="9"/>
  <c r="H815" i="9"/>
  <c r="G815" i="9"/>
  <c r="H814" i="9"/>
  <c r="G814" i="9"/>
  <c r="H813" i="9"/>
  <c r="G813" i="9"/>
  <c r="H812" i="9"/>
  <c r="G812" i="9"/>
  <c r="H811" i="9"/>
  <c r="G811" i="9"/>
  <c r="H810" i="9"/>
  <c r="G810" i="9"/>
  <c r="H809" i="9"/>
  <c r="G809" i="9"/>
  <c r="H808" i="9"/>
  <c r="G808" i="9"/>
  <c r="H807" i="9"/>
  <c r="G807" i="9"/>
  <c r="H806" i="9"/>
  <c r="G806" i="9"/>
  <c r="H805" i="9"/>
  <c r="G805" i="9"/>
  <c r="H804" i="9"/>
  <c r="G804" i="9"/>
  <c r="H803" i="9"/>
  <c r="G803" i="9"/>
  <c r="H802" i="9"/>
  <c r="G802" i="9"/>
  <c r="H801" i="9"/>
  <c r="G801" i="9"/>
  <c r="H800" i="9"/>
  <c r="G800" i="9"/>
  <c r="H799" i="9"/>
  <c r="G799" i="9"/>
  <c r="H798" i="9"/>
  <c r="G798" i="9"/>
  <c r="H797" i="9"/>
  <c r="G797" i="9"/>
  <c r="H796" i="9"/>
  <c r="G796" i="9"/>
  <c r="H795" i="9"/>
  <c r="G795" i="9"/>
  <c r="H794" i="9"/>
  <c r="G794" i="9"/>
  <c r="H793" i="9"/>
  <c r="G793" i="9"/>
  <c r="H792" i="9"/>
  <c r="G792" i="9"/>
  <c r="H791" i="9"/>
  <c r="G791" i="9"/>
  <c r="H790" i="9"/>
  <c r="G790" i="9"/>
  <c r="H789" i="9"/>
  <c r="G789" i="9"/>
  <c r="H788" i="9"/>
  <c r="G788" i="9"/>
  <c r="H787" i="9"/>
  <c r="G787" i="9"/>
  <c r="H786" i="9"/>
  <c r="G786" i="9"/>
  <c r="H785" i="9"/>
  <c r="G785" i="9"/>
  <c r="H784" i="9"/>
  <c r="G784" i="9"/>
  <c r="H783" i="9"/>
  <c r="G783" i="9"/>
  <c r="H782" i="9"/>
  <c r="G782" i="9"/>
  <c r="H781" i="9"/>
  <c r="G781" i="9"/>
  <c r="H780" i="9"/>
  <c r="G780" i="9"/>
  <c r="H779" i="9"/>
  <c r="G779" i="9"/>
  <c r="H778" i="9"/>
  <c r="G778" i="9"/>
  <c r="H777" i="9"/>
  <c r="G777" i="9"/>
  <c r="H776" i="9"/>
  <c r="G776" i="9"/>
  <c r="H775" i="9"/>
  <c r="G775" i="9"/>
  <c r="H774" i="9"/>
  <c r="G774" i="9"/>
  <c r="H773" i="9"/>
  <c r="G773" i="9"/>
  <c r="H772" i="9"/>
  <c r="G772" i="9"/>
  <c r="H771" i="9"/>
  <c r="G771" i="9"/>
  <c r="H770" i="9"/>
  <c r="G770" i="9"/>
  <c r="H769" i="9"/>
  <c r="G769" i="9"/>
  <c r="H768" i="9"/>
  <c r="G768" i="9"/>
  <c r="H767" i="9"/>
  <c r="G767" i="9"/>
  <c r="H766" i="9"/>
  <c r="G766" i="9"/>
  <c r="H765" i="9"/>
  <c r="G765" i="9"/>
  <c r="H764" i="9"/>
  <c r="G764" i="9"/>
  <c r="H763" i="9"/>
  <c r="G763" i="9"/>
  <c r="H762" i="9"/>
  <c r="G762" i="9"/>
  <c r="H761" i="9"/>
  <c r="G761" i="9"/>
  <c r="H760" i="9"/>
  <c r="G760" i="9"/>
  <c r="H759" i="9"/>
  <c r="G759" i="9"/>
  <c r="H758" i="9"/>
  <c r="G758" i="9"/>
  <c r="H757" i="9"/>
  <c r="G757" i="9"/>
  <c r="H756" i="9"/>
  <c r="G756" i="9"/>
  <c r="H755" i="9"/>
  <c r="G755" i="9"/>
  <c r="H754" i="9"/>
  <c r="G754" i="9"/>
  <c r="H753" i="9"/>
  <c r="G753" i="9"/>
  <c r="H752" i="9"/>
  <c r="G752" i="9"/>
  <c r="H751" i="9"/>
  <c r="G751" i="9"/>
  <c r="H750" i="9"/>
  <c r="G750" i="9"/>
  <c r="H749" i="9"/>
  <c r="G749" i="9"/>
  <c r="H748" i="9"/>
  <c r="G748" i="9"/>
  <c r="H747" i="9"/>
  <c r="G747" i="9"/>
  <c r="H746" i="9"/>
  <c r="G746" i="9"/>
  <c r="H745" i="9"/>
  <c r="G745" i="9"/>
  <c r="H744" i="9"/>
  <c r="G744" i="9"/>
  <c r="H743" i="9"/>
  <c r="G743" i="9"/>
  <c r="H742" i="9"/>
  <c r="G742" i="9"/>
  <c r="H741" i="9"/>
  <c r="G741" i="9"/>
  <c r="H740" i="9"/>
  <c r="G740" i="9"/>
  <c r="H739" i="9"/>
  <c r="G739" i="9"/>
  <c r="H738" i="9"/>
  <c r="G738" i="9"/>
  <c r="H737" i="9"/>
  <c r="G737" i="9"/>
  <c r="H736" i="9"/>
  <c r="G736" i="9"/>
  <c r="H735" i="9"/>
  <c r="G735" i="9"/>
  <c r="H734" i="9"/>
  <c r="G734" i="9"/>
  <c r="H733" i="9"/>
  <c r="G733" i="9"/>
  <c r="H732" i="9"/>
  <c r="G732" i="9"/>
  <c r="H731" i="9"/>
  <c r="G731" i="9"/>
  <c r="H730" i="9"/>
  <c r="G730" i="9"/>
  <c r="H729" i="9"/>
  <c r="G729" i="9"/>
  <c r="H728" i="9"/>
  <c r="G728" i="9"/>
  <c r="H727" i="9"/>
  <c r="G727" i="9"/>
  <c r="H726" i="9"/>
  <c r="G726" i="9"/>
  <c r="H725" i="9"/>
  <c r="G725" i="9"/>
  <c r="H724" i="9"/>
  <c r="G724" i="9"/>
  <c r="H723" i="9"/>
  <c r="G723" i="9"/>
  <c r="H722" i="9"/>
  <c r="G722" i="9"/>
  <c r="H721" i="9"/>
  <c r="G721" i="9"/>
  <c r="H720" i="9"/>
  <c r="G720" i="9"/>
  <c r="H719" i="9"/>
  <c r="G719" i="9"/>
  <c r="H718" i="9"/>
  <c r="G718" i="9"/>
  <c r="H717" i="9"/>
  <c r="G717" i="9"/>
  <c r="H716" i="9"/>
  <c r="G716" i="9"/>
  <c r="H715" i="9"/>
  <c r="G715" i="9"/>
  <c r="H714" i="9"/>
  <c r="G714" i="9"/>
  <c r="H713" i="9"/>
  <c r="G713" i="9"/>
  <c r="H712" i="9"/>
  <c r="G712" i="9"/>
  <c r="H711" i="9"/>
  <c r="G711" i="9"/>
  <c r="H710" i="9"/>
  <c r="G710" i="9"/>
  <c r="H709" i="9"/>
  <c r="G709" i="9"/>
  <c r="H708" i="9"/>
  <c r="G708" i="9"/>
  <c r="H707" i="9"/>
  <c r="G707" i="9"/>
  <c r="H706" i="9"/>
  <c r="G706" i="9"/>
  <c r="H705" i="9"/>
  <c r="G705" i="9"/>
  <c r="H704" i="9"/>
  <c r="G704" i="9"/>
  <c r="H703" i="9"/>
  <c r="G703" i="9"/>
  <c r="H702" i="9"/>
  <c r="G702" i="9"/>
  <c r="H701" i="9"/>
  <c r="G701" i="9"/>
  <c r="H700" i="9"/>
  <c r="G700" i="9"/>
  <c r="H699" i="9"/>
  <c r="G699" i="9"/>
  <c r="H698" i="9"/>
  <c r="G698" i="9"/>
  <c r="H697" i="9"/>
  <c r="G697" i="9"/>
  <c r="H696" i="9"/>
  <c r="G696" i="9"/>
  <c r="H695" i="9"/>
  <c r="G695" i="9"/>
  <c r="H694" i="9"/>
  <c r="G694" i="9"/>
  <c r="H693" i="9"/>
  <c r="G693" i="9"/>
  <c r="H692" i="9"/>
  <c r="G692" i="9"/>
  <c r="H691" i="9"/>
  <c r="G691" i="9"/>
  <c r="H690" i="9"/>
  <c r="G690" i="9"/>
  <c r="H689" i="9"/>
  <c r="G689" i="9"/>
  <c r="H688" i="9"/>
  <c r="G688" i="9"/>
  <c r="H687" i="9"/>
  <c r="G687" i="9"/>
  <c r="H686" i="9"/>
  <c r="G686" i="9"/>
  <c r="H685" i="9"/>
  <c r="G685" i="9"/>
  <c r="H684" i="9"/>
  <c r="G684" i="9"/>
  <c r="H683" i="9"/>
  <c r="G683" i="9"/>
  <c r="H682" i="9"/>
  <c r="G682" i="9"/>
  <c r="H681" i="9"/>
  <c r="G681" i="9"/>
  <c r="H680" i="9"/>
  <c r="G680" i="9"/>
  <c r="H679" i="9"/>
  <c r="G679" i="9"/>
  <c r="H678" i="9"/>
  <c r="G678" i="9"/>
  <c r="H677" i="9"/>
  <c r="G677" i="9"/>
  <c r="H676" i="9"/>
  <c r="G676" i="9"/>
  <c r="H675" i="9"/>
  <c r="G675" i="9"/>
  <c r="H674" i="9"/>
  <c r="G674" i="9"/>
  <c r="H673" i="9"/>
  <c r="G673" i="9"/>
  <c r="H672" i="9"/>
  <c r="G672" i="9"/>
  <c r="H671" i="9"/>
  <c r="G671" i="9"/>
  <c r="H670" i="9"/>
  <c r="G670" i="9"/>
  <c r="H669" i="9"/>
  <c r="G669" i="9"/>
  <c r="H668" i="9"/>
  <c r="G668" i="9"/>
  <c r="H667" i="9"/>
  <c r="G667" i="9"/>
  <c r="H666" i="9"/>
  <c r="G666" i="9"/>
  <c r="H665" i="9"/>
  <c r="G665" i="9"/>
  <c r="H664" i="9"/>
  <c r="G664" i="9"/>
  <c r="H663" i="9"/>
  <c r="G663" i="9"/>
  <c r="H662" i="9"/>
  <c r="G662" i="9"/>
  <c r="H661" i="9"/>
  <c r="G661" i="9"/>
  <c r="H660" i="9"/>
  <c r="G660" i="9"/>
  <c r="H659" i="9"/>
  <c r="G659" i="9"/>
  <c r="H658" i="9"/>
  <c r="G658" i="9"/>
  <c r="H657" i="9"/>
  <c r="G657" i="9"/>
  <c r="H656" i="9"/>
  <c r="G656" i="9"/>
  <c r="H655" i="9"/>
  <c r="G655" i="9"/>
  <c r="H654" i="9"/>
  <c r="G654" i="9"/>
  <c r="H653" i="9"/>
  <c r="G653" i="9"/>
  <c r="H652" i="9"/>
  <c r="G652" i="9"/>
  <c r="H651" i="9"/>
  <c r="G651" i="9"/>
  <c r="H650" i="9"/>
  <c r="G650" i="9"/>
  <c r="H649" i="9"/>
  <c r="G649" i="9"/>
  <c r="H648" i="9"/>
  <c r="G648" i="9"/>
  <c r="H647" i="9"/>
  <c r="G647" i="9"/>
  <c r="H646" i="9"/>
  <c r="G646" i="9"/>
  <c r="H645" i="9"/>
  <c r="G645" i="9"/>
  <c r="H644" i="9"/>
  <c r="G644" i="9"/>
  <c r="H643" i="9"/>
  <c r="G643" i="9"/>
  <c r="H642" i="9"/>
  <c r="G642" i="9"/>
  <c r="H641" i="9"/>
  <c r="G641" i="9"/>
  <c r="H640" i="9"/>
  <c r="G640" i="9"/>
  <c r="H639" i="9"/>
  <c r="G639" i="9"/>
  <c r="H638" i="9"/>
  <c r="G638" i="9"/>
  <c r="H637" i="9"/>
  <c r="G637" i="9"/>
  <c r="H636" i="9"/>
  <c r="G636" i="9"/>
  <c r="H635" i="9"/>
  <c r="G635" i="9"/>
  <c r="H634" i="9"/>
  <c r="G634" i="9"/>
  <c r="H633" i="9"/>
  <c r="G633" i="9"/>
  <c r="H632" i="9"/>
  <c r="G632" i="9"/>
  <c r="H631" i="9"/>
  <c r="G631" i="9"/>
  <c r="H630" i="9"/>
  <c r="G630" i="9"/>
  <c r="H629" i="9"/>
  <c r="G629" i="9"/>
  <c r="H628" i="9"/>
  <c r="G628" i="9"/>
  <c r="H627" i="9"/>
  <c r="G627" i="9"/>
  <c r="H626" i="9"/>
  <c r="G626" i="9"/>
  <c r="H625" i="9"/>
  <c r="G625" i="9"/>
  <c r="H624" i="9"/>
  <c r="G624" i="9"/>
  <c r="H623" i="9"/>
  <c r="G623" i="9"/>
  <c r="H622" i="9"/>
  <c r="G622" i="9"/>
  <c r="H621" i="9"/>
  <c r="G621" i="9"/>
  <c r="H620" i="9"/>
  <c r="G620" i="9"/>
  <c r="H619" i="9"/>
  <c r="G619" i="9"/>
  <c r="H618" i="9"/>
  <c r="G618" i="9"/>
  <c r="H617" i="9"/>
  <c r="G617" i="9"/>
  <c r="H616" i="9"/>
  <c r="G616" i="9"/>
  <c r="H615" i="9"/>
  <c r="G615" i="9"/>
  <c r="H614" i="9"/>
  <c r="G614" i="9"/>
  <c r="H613" i="9"/>
  <c r="G613" i="9"/>
  <c r="H612" i="9"/>
  <c r="G612" i="9"/>
  <c r="H611" i="9"/>
  <c r="G611" i="9"/>
  <c r="H610" i="9"/>
  <c r="G610" i="9"/>
  <c r="H609" i="9"/>
  <c r="G609" i="9"/>
  <c r="H608" i="9"/>
  <c r="G608" i="9"/>
  <c r="H607" i="9"/>
  <c r="G607" i="9"/>
  <c r="H606" i="9"/>
  <c r="G606" i="9"/>
  <c r="H605" i="9"/>
  <c r="G605" i="9"/>
  <c r="H604" i="9"/>
  <c r="G604" i="9"/>
  <c r="H603" i="9"/>
  <c r="G603" i="9"/>
  <c r="H602" i="9"/>
  <c r="G602" i="9"/>
  <c r="H601" i="9"/>
  <c r="G601" i="9"/>
  <c r="H600" i="9"/>
  <c r="G600" i="9"/>
  <c r="H599" i="9"/>
  <c r="G599" i="9"/>
  <c r="H598" i="9"/>
  <c r="G598" i="9"/>
  <c r="H597" i="9"/>
  <c r="G597" i="9"/>
  <c r="H596" i="9"/>
  <c r="G596" i="9"/>
  <c r="H595" i="9"/>
  <c r="G595" i="9"/>
  <c r="H594" i="9"/>
  <c r="G594" i="9"/>
  <c r="H593" i="9"/>
  <c r="G593" i="9"/>
  <c r="H592" i="9"/>
  <c r="G592" i="9"/>
  <c r="H591" i="9"/>
  <c r="G591" i="9"/>
  <c r="H590" i="9"/>
  <c r="G590" i="9"/>
  <c r="H589" i="9"/>
  <c r="G589" i="9"/>
  <c r="H588" i="9"/>
  <c r="G588" i="9"/>
  <c r="H587" i="9"/>
  <c r="G587" i="9"/>
  <c r="H586" i="9"/>
  <c r="G586" i="9"/>
  <c r="H585" i="9"/>
  <c r="G585" i="9"/>
  <c r="H584" i="9"/>
  <c r="G584" i="9"/>
  <c r="H583" i="9"/>
  <c r="G583" i="9"/>
  <c r="H582" i="9"/>
  <c r="G582" i="9"/>
  <c r="H581" i="9"/>
  <c r="G581" i="9"/>
  <c r="H580" i="9"/>
  <c r="G580" i="9"/>
  <c r="H579" i="9"/>
  <c r="G579" i="9"/>
  <c r="H578" i="9"/>
  <c r="G578" i="9"/>
  <c r="H577" i="9"/>
  <c r="G577" i="9"/>
  <c r="H576" i="9"/>
  <c r="G576" i="9"/>
  <c r="H575" i="9"/>
  <c r="G575" i="9"/>
  <c r="H574" i="9"/>
  <c r="G574" i="9"/>
  <c r="H573" i="9"/>
  <c r="G573" i="9"/>
  <c r="H572" i="9"/>
  <c r="G572" i="9"/>
  <c r="H571" i="9"/>
  <c r="G571" i="9"/>
  <c r="H570" i="9"/>
  <c r="G570" i="9"/>
  <c r="H569" i="9"/>
  <c r="G569" i="9"/>
  <c r="H568" i="9"/>
  <c r="G568" i="9"/>
  <c r="H567" i="9"/>
  <c r="G567" i="9"/>
  <c r="H566" i="9"/>
  <c r="G566" i="9"/>
  <c r="H565" i="9"/>
  <c r="G565" i="9"/>
  <c r="H564" i="9"/>
  <c r="G564" i="9"/>
  <c r="H563" i="9"/>
  <c r="G563" i="9"/>
  <c r="H562" i="9"/>
  <c r="G562" i="9"/>
  <c r="H561" i="9"/>
  <c r="G561" i="9"/>
  <c r="H560" i="9"/>
  <c r="G560" i="9"/>
  <c r="H559" i="9"/>
  <c r="G559" i="9"/>
  <c r="H558" i="9"/>
  <c r="G558" i="9"/>
  <c r="H557" i="9"/>
  <c r="G557" i="9"/>
  <c r="H556" i="9"/>
  <c r="G556" i="9"/>
  <c r="H555" i="9"/>
  <c r="G555" i="9"/>
  <c r="H554" i="9"/>
  <c r="G554" i="9"/>
  <c r="H553" i="9"/>
  <c r="G553" i="9"/>
  <c r="H552" i="9"/>
  <c r="G552" i="9"/>
  <c r="H551" i="9"/>
  <c r="G551" i="9"/>
  <c r="H550" i="9"/>
  <c r="G550" i="9"/>
  <c r="H549" i="9"/>
  <c r="G549" i="9"/>
  <c r="H548" i="9"/>
  <c r="G548" i="9"/>
  <c r="H547" i="9"/>
  <c r="G547" i="9"/>
  <c r="H546" i="9"/>
  <c r="G546" i="9"/>
  <c r="H545" i="9"/>
  <c r="G545" i="9"/>
  <c r="H544" i="9"/>
  <c r="G544" i="9"/>
  <c r="H543" i="9"/>
  <c r="G543" i="9"/>
  <c r="H542" i="9"/>
  <c r="G542" i="9"/>
  <c r="H541" i="9"/>
  <c r="G541" i="9"/>
  <c r="H540" i="9"/>
  <c r="G540" i="9"/>
  <c r="H539" i="9"/>
  <c r="G539" i="9"/>
  <c r="H538" i="9"/>
  <c r="G538" i="9"/>
  <c r="H537" i="9"/>
  <c r="G537" i="9"/>
  <c r="H536" i="9"/>
  <c r="G536" i="9"/>
  <c r="H535" i="9"/>
  <c r="G535" i="9"/>
  <c r="H534" i="9"/>
  <c r="G534" i="9"/>
  <c r="H533" i="9"/>
  <c r="G533" i="9"/>
  <c r="H532" i="9"/>
  <c r="G532" i="9"/>
  <c r="H531" i="9"/>
  <c r="G531" i="9"/>
  <c r="H530" i="9"/>
  <c r="G530" i="9"/>
  <c r="H529" i="9"/>
  <c r="G529" i="9"/>
  <c r="H528" i="9"/>
  <c r="G528" i="9"/>
  <c r="H527" i="9"/>
  <c r="G527" i="9"/>
  <c r="H526" i="9"/>
  <c r="G526" i="9"/>
  <c r="H525" i="9"/>
  <c r="G525" i="9"/>
  <c r="H524" i="9"/>
  <c r="G524" i="9"/>
  <c r="H523" i="9"/>
  <c r="G523" i="9"/>
  <c r="H522" i="9"/>
  <c r="G522" i="9"/>
  <c r="H521" i="9"/>
  <c r="G521" i="9"/>
  <c r="H520" i="9"/>
  <c r="G520" i="9"/>
  <c r="H519" i="9"/>
  <c r="G519" i="9"/>
  <c r="H518" i="9"/>
  <c r="G518" i="9"/>
  <c r="H517" i="9"/>
  <c r="G517" i="9"/>
  <c r="H516" i="9"/>
  <c r="G516" i="9"/>
  <c r="H515" i="9"/>
  <c r="G515" i="9"/>
  <c r="H514" i="9"/>
  <c r="G514" i="9"/>
  <c r="H513" i="9"/>
  <c r="G513" i="9"/>
  <c r="H512" i="9"/>
  <c r="G512" i="9"/>
  <c r="H511" i="9"/>
  <c r="G511" i="9"/>
  <c r="H510" i="9"/>
  <c r="G510" i="9"/>
  <c r="H509" i="9"/>
  <c r="G509" i="9"/>
  <c r="H508" i="9"/>
  <c r="G508" i="9"/>
  <c r="H507" i="9"/>
  <c r="G507" i="9"/>
  <c r="H506" i="9"/>
  <c r="G506" i="9"/>
  <c r="H505" i="9"/>
  <c r="G505" i="9"/>
  <c r="H504" i="9"/>
  <c r="G504" i="9"/>
  <c r="H503" i="9"/>
  <c r="G503" i="9"/>
  <c r="H502" i="9"/>
  <c r="G502" i="9"/>
  <c r="H501" i="9"/>
  <c r="G501" i="9"/>
  <c r="H500" i="9"/>
  <c r="G500" i="9"/>
  <c r="H499" i="9"/>
  <c r="G499" i="9"/>
  <c r="H498" i="9"/>
  <c r="G498" i="9"/>
  <c r="H497" i="9"/>
  <c r="G497" i="9"/>
  <c r="H496" i="9"/>
  <c r="G496" i="9"/>
  <c r="H495" i="9"/>
  <c r="G495" i="9"/>
  <c r="H494" i="9"/>
  <c r="G494" i="9"/>
  <c r="H493" i="9"/>
  <c r="G493" i="9"/>
  <c r="H492" i="9"/>
  <c r="G492" i="9"/>
  <c r="H491" i="9"/>
  <c r="G491" i="9"/>
  <c r="H490" i="9"/>
  <c r="G490" i="9"/>
  <c r="H489" i="9"/>
  <c r="G489" i="9"/>
  <c r="H488" i="9"/>
  <c r="G488" i="9"/>
  <c r="H487" i="9"/>
  <c r="G487" i="9"/>
  <c r="H486" i="9"/>
  <c r="G486" i="9"/>
  <c r="H485" i="9"/>
  <c r="G485" i="9"/>
  <c r="H484" i="9"/>
  <c r="G484" i="9"/>
  <c r="H483" i="9"/>
  <c r="G483" i="9"/>
  <c r="H482" i="9"/>
  <c r="G482" i="9"/>
  <c r="H481" i="9"/>
  <c r="G481" i="9"/>
  <c r="H480" i="9"/>
  <c r="G480" i="9"/>
  <c r="H479" i="9"/>
  <c r="G479" i="9"/>
  <c r="H478" i="9"/>
  <c r="G478" i="9"/>
  <c r="H477" i="9"/>
  <c r="G477" i="9"/>
  <c r="H476" i="9"/>
  <c r="G476" i="9"/>
  <c r="H475" i="9"/>
  <c r="G475" i="9"/>
  <c r="H474" i="9"/>
  <c r="G474" i="9"/>
  <c r="H473" i="9"/>
  <c r="G473" i="9"/>
  <c r="H472" i="9"/>
  <c r="G472" i="9"/>
  <c r="H471" i="9"/>
  <c r="G471" i="9"/>
  <c r="H470" i="9"/>
  <c r="G470" i="9"/>
  <c r="H469" i="9"/>
  <c r="G469" i="9"/>
  <c r="H468" i="9"/>
  <c r="G468" i="9"/>
  <c r="H467" i="9"/>
  <c r="G467" i="9"/>
  <c r="H466" i="9"/>
  <c r="G466" i="9"/>
  <c r="H465" i="9"/>
  <c r="G465" i="9"/>
  <c r="H464" i="9"/>
  <c r="G464" i="9"/>
  <c r="H463" i="9"/>
  <c r="G463" i="9"/>
  <c r="H462" i="9"/>
  <c r="G462" i="9"/>
  <c r="H461" i="9"/>
  <c r="G461" i="9"/>
  <c r="H460" i="9"/>
  <c r="G460" i="9"/>
  <c r="H459" i="9"/>
  <c r="G459" i="9"/>
  <c r="H458" i="9"/>
  <c r="G458" i="9"/>
  <c r="H457" i="9"/>
  <c r="G457" i="9"/>
  <c r="H456" i="9"/>
  <c r="G456" i="9"/>
  <c r="H455" i="9"/>
  <c r="G455" i="9"/>
  <c r="H454" i="9"/>
  <c r="G454" i="9"/>
  <c r="H453" i="9"/>
  <c r="G453" i="9"/>
  <c r="H452" i="9"/>
  <c r="G452" i="9"/>
  <c r="H451" i="9"/>
  <c r="G451" i="9"/>
  <c r="H450" i="9"/>
  <c r="G450" i="9"/>
  <c r="H449" i="9"/>
  <c r="G449" i="9"/>
  <c r="H448" i="9"/>
  <c r="G448" i="9"/>
  <c r="H447" i="9"/>
  <c r="G447" i="9"/>
  <c r="H446" i="9"/>
  <c r="G446" i="9"/>
  <c r="H445" i="9"/>
  <c r="G445" i="9"/>
  <c r="H444" i="9"/>
  <c r="G444" i="9"/>
  <c r="H443" i="9"/>
  <c r="G443" i="9"/>
  <c r="H442" i="9"/>
  <c r="G442" i="9"/>
  <c r="H441" i="9"/>
  <c r="G441" i="9"/>
  <c r="H440" i="9"/>
  <c r="G440" i="9"/>
  <c r="H439" i="9"/>
  <c r="G439" i="9"/>
  <c r="H438" i="9"/>
  <c r="G438" i="9"/>
  <c r="H437" i="9"/>
  <c r="G437" i="9"/>
  <c r="H436" i="9"/>
  <c r="G436" i="9"/>
  <c r="H435" i="9"/>
  <c r="G435" i="9"/>
  <c r="H434" i="9"/>
  <c r="G434" i="9"/>
  <c r="H433" i="9"/>
  <c r="G433" i="9"/>
  <c r="H432" i="9"/>
  <c r="G432" i="9"/>
  <c r="H431" i="9"/>
  <c r="G431" i="9"/>
  <c r="H430" i="9"/>
  <c r="G430" i="9"/>
  <c r="H429" i="9"/>
  <c r="G429" i="9"/>
  <c r="H428" i="9"/>
  <c r="G428" i="9"/>
  <c r="H427" i="9"/>
  <c r="G427" i="9"/>
  <c r="H426" i="9"/>
  <c r="G426" i="9"/>
  <c r="H425" i="9"/>
  <c r="G425" i="9"/>
  <c r="H424" i="9"/>
  <c r="G424" i="9"/>
  <c r="H423" i="9"/>
  <c r="G423" i="9"/>
  <c r="H422" i="9"/>
  <c r="G422" i="9"/>
  <c r="H421" i="9"/>
  <c r="G421" i="9"/>
  <c r="H420" i="9"/>
  <c r="G420" i="9"/>
  <c r="H419" i="9"/>
  <c r="G419" i="9"/>
  <c r="H418" i="9"/>
  <c r="G418" i="9"/>
  <c r="H417" i="9"/>
  <c r="G417" i="9"/>
  <c r="H416" i="9"/>
  <c r="G416" i="9"/>
  <c r="H415" i="9"/>
  <c r="G415" i="9"/>
  <c r="H414" i="9"/>
  <c r="G414" i="9"/>
  <c r="H413" i="9"/>
  <c r="G413" i="9"/>
  <c r="H412" i="9"/>
  <c r="G412" i="9"/>
  <c r="H411" i="9"/>
  <c r="G411" i="9"/>
  <c r="H410" i="9"/>
  <c r="G410" i="9"/>
  <c r="H409" i="9"/>
  <c r="G409" i="9"/>
  <c r="H408" i="9"/>
  <c r="G408" i="9"/>
  <c r="H407" i="9"/>
  <c r="G407" i="9"/>
  <c r="H406" i="9"/>
  <c r="G406" i="9"/>
  <c r="H405" i="9"/>
  <c r="G405" i="9"/>
  <c r="H404" i="9"/>
  <c r="G404" i="9"/>
  <c r="H403" i="9"/>
  <c r="G403" i="9"/>
  <c r="H402" i="9"/>
  <c r="G402" i="9"/>
  <c r="H401" i="9"/>
  <c r="G401" i="9"/>
  <c r="H400" i="9"/>
  <c r="G400" i="9"/>
  <c r="H399" i="9"/>
  <c r="G399" i="9"/>
  <c r="H398" i="9"/>
  <c r="G398" i="9"/>
  <c r="H397" i="9"/>
  <c r="G397" i="9"/>
  <c r="H396" i="9"/>
  <c r="G396" i="9"/>
  <c r="H395" i="9"/>
  <c r="G395" i="9"/>
  <c r="H394" i="9"/>
  <c r="G394" i="9"/>
  <c r="H393" i="9"/>
  <c r="G393" i="9"/>
  <c r="H392" i="9"/>
  <c r="G392" i="9"/>
  <c r="H391" i="9"/>
  <c r="G391" i="9"/>
  <c r="H390" i="9"/>
  <c r="G390" i="9"/>
  <c r="H389" i="9"/>
  <c r="G389" i="9"/>
  <c r="H388" i="9"/>
  <c r="G388" i="9"/>
  <c r="H387" i="9"/>
  <c r="G387" i="9"/>
  <c r="H386" i="9"/>
  <c r="G386" i="9"/>
  <c r="H385" i="9"/>
  <c r="G385" i="9"/>
  <c r="H384" i="9"/>
  <c r="G384" i="9"/>
  <c r="H383" i="9"/>
  <c r="G383" i="9"/>
  <c r="H382" i="9"/>
  <c r="G382" i="9"/>
  <c r="H381" i="9"/>
  <c r="G381" i="9"/>
  <c r="H380" i="9"/>
  <c r="G380" i="9"/>
  <c r="H379" i="9"/>
  <c r="G379" i="9"/>
  <c r="H378" i="9"/>
  <c r="G378" i="9"/>
  <c r="H377" i="9"/>
  <c r="G377" i="9"/>
  <c r="H376" i="9"/>
  <c r="G376" i="9"/>
  <c r="H375" i="9"/>
  <c r="G375" i="9"/>
  <c r="H374" i="9"/>
  <c r="G374" i="9"/>
  <c r="H373" i="9"/>
  <c r="G373" i="9"/>
  <c r="H372" i="9"/>
  <c r="G372" i="9"/>
  <c r="H371" i="9"/>
  <c r="G371" i="9"/>
  <c r="H370" i="9"/>
  <c r="G370" i="9"/>
  <c r="H369" i="9"/>
  <c r="G369" i="9"/>
  <c r="H368" i="9"/>
  <c r="G368" i="9"/>
  <c r="H367" i="9"/>
  <c r="G367" i="9"/>
  <c r="H366" i="9"/>
  <c r="G366" i="9"/>
  <c r="H365" i="9"/>
  <c r="G365" i="9"/>
  <c r="H364" i="9"/>
  <c r="G364" i="9"/>
  <c r="H363" i="9"/>
  <c r="G363" i="9"/>
  <c r="H362" i="9"/>
  <c r="G362" i="9"/>
  <c r="H361" i="9"/>
  <c r="G361" i="9"/>
  <c r="H360" i="9"/>
  <c r="G360" i="9"/>
  <c r="H359" i="9"/>
  <c r="G359" i="9"/>
  <c r="H358" i="9"/>
  <c r="G358" i="9"/>
  <c r="H357" i="9"/>
  <c r="G357" i="9"/>
  <c r="H356" i="9"/>
  <c r="G356" i="9"/>
  <c r="H355" i="9"/>
  <c r="G355" i="9"/>
  <c r="H354" i="9"/>
  <c r="G354" i="9"/>
  <c r="H353" i="9"/>
  <c r="G353" i="9"/>
  <c r="H352" i="9"/>
  <c r="G352" i="9"/>
  <c r="H351" i="9"/>
  <c r="G351" i="9"/>
  <c r="H350" i="9"/>
  <c r="G350" i="9"/>
  <c r="H349" i="9"/>
  <c r="G349" i="9"/>
  <c r="H348" i="9"/>
  <c r="G348" i="9"/>
  <c r="H347" i="9"/>
  <c r="G347" i="9"/>
  <c r="H346" i="9"/>
  <c r="G346" i="9"/>
  <c r="H345" i="9"/>
  <c r="G345" i="9"/>
  <c r="H344" i="9"/>
  <c r="G344" i="9"/>
  <c r="H343" i="9"/>
  <c r="G343" i="9"/>
  <c r="H342" i="9"/>
  <c r="G342" i="9"/>
  <c r="H341" i="9"/>
  <c r="G341" i="9"/>
  <c r="H340" i="9"/>
  <c r="G340" i="9"/>
  <c r="H339" i="9"/>
  <c r="G339" i="9"/>
  <c r="H338" i="9"/>
  <c r="G338" i="9"/>
  <c r="H337" i="9"/>
  <c r="G337" i="9"/>
  <c r="H336" i="9"/>
  <c r="G336" i="9"/>
  <c r="H335" i="9"/>
  <c r="G335" i="9"/>
  <c r="H334" i="9"/>
  <c r="G334" i="9"/>
  <c r="H333" i="9"/>
  <c r="G333" i="9"/>
  <c r="H332" i="9"/>
  <c r="G332" i="9"/>
  <c r="H331" i="9"/>
  <c r="G331" i="9"/>
  <c r="H330" i="9"/>
  <c r="G330" i="9"/>
  <c r="H329" i="9"/>
  <c r="G329" i="9"/>
  <c r="H328" i="9"/>
  <c r="G328" i="9"/>
  <c r="H327" i="9"/>
  <c r="G327" i="9"/>
  <c r="H326" i="9"/>
  <c r="G326" i="9"/>
  <c r="H325" i="9"/>
  <c r="G325" i="9"/>
  <c r="H324" i="9"/>
  <c r="G324" i="9"/>
  <c r="H323" i="9"/>
  <c r="G323" i="9"/>
  <c r="H322" i="9"/>
  <c r="G322" i="9"/>
  <c r="H321" i="9"/>
  <c r="G321" i="9"/>
  <c r="H320" i="9"/>
  <c r="G320" i="9"/>
  <c r="H319" i="9"/>
  <c r="G319" i="9"/>
  <c r="H318" i="9"/>
  <c r="G318" i="9"/>
  <c r="H317" i="9"/>
  <c r="G317" i="9"/>
  <c r="H316" i="9"/>
  <c r="G316" i="9"/>
  <c r="H315" i="9"/>
  <c r="G315" i="9"/>
  <c r="H314" i="9"/>
  <c r="G314" i="9"/>
  <c r="H313" i="9"/>
  <c r="G313" i="9"/>
  <c r="H312" i="9"/>
  <c r="G312" i="9"/>
  <c r="H311" i="9"/>
  <c r="G311" i="9"/>
  <c r="H310" i="9"/>
  <c r="G310" i="9"/>
  <c r="H309" i="9"/>
  <c r="G309" i="9"/>
  <c r="H308" i="9"/>
  <c r="G308" i="9"/>
  <c r="H307" i="9"/>
  <c r="G307" i="9"/>
  <c r="H306" i="9"/>
  <c r="G306" i="9"/>
  <c r="H305" i="9"/>
  <c r="G305" i="9"/>
  <c r="H304" i="9"/>
  <c r="G304" i="9"/>
  <c r="H303" i="9"/>
  <c r="G303" i="9"/>
  <c r="H302" i="9"/>
  <c r="G302" i="9"/>
  <c r="H301" i="9"/>
  <c r="G301" i="9"/>
  <c r="H300" i="9"/>
  <c r="G300" i="9"/>
  <c r="H299" i="9"/>
  <c r="G299" i="9"/>
  <c r="H298" i="9"/>
  <c r="G298" i="9"/>
  <c r="H297" i="9"/>
  <c r="G297" i="9"/>
  <c r="H296" i="9"/>
  <c r="G296" i="9"/>
  <c r="H295" i="9"/>
  <c r="G295" i="9"/>
  <c r="H294" i="9"/>
  <c r="G294" i="9"/>
  <c r="H293" i="9"/>
  <c r="G293" i="9"/>
  <c r="H292" i="9"/>
  <c r="G292" i="9"/>
  <c r="H291" i="9"/>
  <c r="G291" i="9"/>
  <c r="H290" i="9"/>
  <c r="G290" i="9"/>
  <c r="H289" i="9"/>
  <c r="G289" i="9"/>
  <c r="H288" i="9"/>
  <c r="G288" i="9"/>
  <c r="H287" i="9"/>
  <c r="G287" i="9"/>
  <c r="H286" i="9"/>
  <c r="G286" i="9"/>
  <c r="H285" i="9"/>
  <c r="G285" i="9"/>
  <c r="H284" i="9"/>
  <c r="G284" i="9"/>
  <c r="H283" i="9"/>
  <c r="G283" i="9"/>
  <c r="H282" i="9"/>
  <c r="G282" i="9"/>
  <c r="H281" i="9"/>
  <c r="G281" i="9"/>
  <c r="H280" i="9"/>
  <c r="G280" i="9"/>
  <c r="H279" i="9"/>
  <c r="G279" i="9"/>
  <c r="H278" i="9"/>
  <c r="G278" i="9"/>
  <c r="H277" i="9"/>
  <c r="G277" i="9"/>
  <c r="H276" i="9"/>
  <c r="G276" i="9"/>
  <c r="H275" i="9"/>
  <c r="G275" i="9"/>
  <c r="H274" i="9"/>
  <c r="G274" i="9"/>
  <c r="H273" i="9"/>
  <c r="G273" i="9"/>
  <c r="H272" i="9"/>
  <c r="G272" i="9"/>
  <c r="H271" i="9"/>
  <c r="G271" i="9"/>
  <c r="H270" i="9"/>
  <c r="G270" i="9"/>
  <c r="H269" i="9"/>
  <c r="G269" i="9"/>
  <c r="H268" i="9"/>
  <c r="G268" i="9"/>
  <c r="H267" i="9"/>
  <c r="G267" i="9"/>
  <c r="H266" i="9"/>
  <c r="G266" i="9"/>
  <c r="H265" i="9"/>
  <c r="G265" i="9"/>
  <c r="H264" i="9"/>
  <c r="G264" i="9"/>
  <c r="H263" i="9"/>
  <c r="G263" i="9"/>
  <c r="H262" i="9"/>
  <c r="G262" i="9"/>
  <c r="H261" i="9"/>
  <c r="G261" i="9"/>
  <c r="H260" i="9"/>
  <c r="G260" i="9"/>
  <c r="H259" i="9"/>
  <c r="G259" i="9"/>
  <c r="H258" i="9"/>
  <c r="G258" i="9"/>
  <c r="H257" i="9"/>
  <c r="G257" i="9"/>
  <c r="H256" i="9"/>
  <c r="G256" i="9"/>
  <c r="H255" i="9"/>
  <c r="G255" i="9"/>
  <c r="H254" i="9"/>
  <c r="G254" i="9"/>
  <c r="H253" i="9"/>
  <c r="G253" i="9"/>
  <c r="H252" i="9"/>
  <c r="G252" i="9"/>
  <c r="H251" i="9"/>
  <c r="G251" i="9"/>
  <c r="H250" i="9"/>
  <c r="G250" i="9"/>
  <c r="H249" i="9"/>
  <c r="G249" i="9"/>
  <c r="H248" i="9"/>
  <c r="G248" i="9"/>
  <c r="H247" i="9"/>
  <c r="G247" i="9"/>
  <c r="H246" i="9"/>
  <c r="G246" i="9"/>
  <c r="H245" i="9"/>
  <c r="G245" i="9"/>
  <c r="H244" i="9"/>
  <c r="G244" i="9"/>
  <c r="H243" i="9"/>
  <c r="G243" i="9"/>
  <c r="H242" i="9"/>
  <c r="G242" i="9"/>
  <c r="H241" i="9"/>
  <c r="G241" i="9"/>
  <c r="H240" i="9"/>
  <c r="G240" i="9"/>
  <c r="H239" i="9"/>
  <c r="G239" i="9"/>
  <c r="H238" i="9"/>
  <c r="G238" i="9"/>
  <c r="H237" i="9"/>
  <c r="G237" i="9"/>
  <c r="H236" i="9"/>
  <c r="G236" i="9"/>
  <c r="H235" i="9"/>
  <c r="G235" i="9"/>
  <c r="H234" i="9"/>
  <c r="G234" i="9"/>
  <c r="H233" i="9"/>
  <c r="G233" i="9"/>
  <c r="H232" i="9"/>
  <c r="G232" i="9"/>
  <c r="H231" i="9"/>
  <c r="G231" i="9"/>
  <c r="H230" i="9"/>
  <c r="G230" i="9"/>
  <c r="H229" i="9"/>
  <c r="G229" i="9"/>
  <c r="H228" i="9"/>
  <c r="G228" i="9"/>
  <c r="H227" i="9"/>
  <c r="G227" i="9"/>
  <c r="H226" i="9"/>
  <c r="G226" i="9"/>
  <c r="H225" i="9"/>
  <c r="G225" i="9"/>
  <c r="H224" i="9"/>
  <c r="G224" i="9"/>
  <c r="H223" i="9"/>
  <c r="G223" i="9"/>
  <c r="H222" i="9"/>
  <c r="G222" i="9"/>
  <c r="H221" i="9"/>
  <c r="G221" i="9"/>
  <c r="H220" i="9"/>
  <c r="G220" i="9"/>
  <c r="H219" i="9"/>
  <c r="G219" i="9"/>
  <c r="H218" i="9"/>
  <c r="G218" i="9"/>
  <c r="H217" i="9"/>
  <c r="G217" i="9"/>
  <c r="H216" i="9"/>
  <c r="G216" i="9"/>
  <c r="H215" i="9"/>
  <c r="G215" i="9"/>
  <c r="H214" i="9"/>
  <c r="G214" i="9"/>
  <c r="H213" i="9"/>
  <c r="G213" i="9"/>
  <c r="H212" i="9"/>
  <c r="G212" i="9"/>
  <c r="H211" i="9"/>
  <c r="G211" i="9"/>
  <c r="H210" i="9"/>
  <c r="G210" i="9"/>
  <c r="H209" i="9"/>
  <c r="G209" i="9"/>
  <c r="H208" i="9"/>
  <c r="G208" i="9"/>
  <c r="H207" i="9"/>
  <c r="G207" i="9"/>
  <c r="H206" i="9"/>
  <c r="G206" i="9"/>
  <c r="H205" i="9"/>
  <c r="G205" i="9"/>
  <c r="H204" i="9"/>
  <c r="G204" i="9"/>
  <c r="H203" i="9"/>
  <c r="G203" i="9"/>
  <c r="H202" i="9"/>
  <c r="G202" i="9"/>
  <c r="H201" i="9"/>
  <c r="G201" i="9"/>
  <c r="H200" i="9"/>
  <c r="G200" i="9"/>
  <c r="H199" i="9"/>
  <c r="G199" i="9"/>
  <c r="H198" i="9"/>
  <c r="G198" i="9"/>
  <c r="H197" i="9"/>
  <c r="G197" i="9"/>
  <c r="H196" i="9"/>
  <c r="G196" i="9"/>
  <c r="H195" i="9"/>
  <c r="G195" i="9"/>
  <c r="H194" i="9"/>
  <c r="G194" i="9"/>
  <c r="H193" i="9"/>
  <c r="G193" i="9"/>
  <c r="H192" i="9"/>
  <c r="G192" i="9"/>
  <c r="H191" i="9"/>
  <c r="G191" i="9"/>
  <c r="H190" i="9"/>
  <c r="G190" i="9"/>
  <c r="H189" i="9"/>
  <c r="G189" i="9"/>
  <c r="H188" i="9"/>
  <c r="G188" i="9"/>
  <c r="H187" i="9"/>
  <c r="G187" i="9"/>
  <c r="H186" i="9"/>
  <c r="G186" i="9"/>
  <c r="H185" i="9"/>
  <c r="G185" i="9"/>
  <c r="H184" i="9"/>
  <c r="G184" i="9"/>
  <c r="H183" i="9"/>
  <c r="G183" i="9"/>
  <c r="H182" i="9"/>
  <c r="G182" i="9"/>
  <c r="H181" i="9"/>
  <c r="G181" i="9"/>
  <c r="H180" i="9"/>
  <c r="G180" i="9"/>
  <c r="H179" i="9"/>
  <c r="G179" i="9"/>
  <c r="H178" i="9"/>
  <c r="G178" i="9"/>
  <c r="H177" i="9"/>
  <c r="G177" i="9"/>
  <c r="H176" i="9"/>
  <c r="G176" i="9"/>
  <c r="H175" i="9"/>
  <c r="G175" i="9"/>
  <c r="H174" i="9"/>
  <c r="G174" i="9"/>
  <c r="H173" i="9"/>
  <c r="G173" i="9"/>
  <c r="H172" i="9"/>
  <c r="G172" i="9"/>
  <c r="H171" i="9"/>
  <c r="G171" i="9"/>
  <c r="H170" i="9"/>
  <c r="G170" i="9"/>
  <c r="H169" i="9"/>
  <c r="G169" i="9"/>
  <c r="H168" i="9"/>
  <c r="G168" i="9"/>
  <c r="H167" i="9"/>
  <c r="G167" i="9"/>
  <c r="H166" i="9"/>
  <c r="G166" i="9"/>
  <c r="H165" i="9"/>
  <c r="G165" i="9"/>
  <c r="H164" i="9"/>
  <c r="G164" i="9"/>
  <c r="H163" i="9"/>
  <c r="G163" i="9"/>
  <c r="H162" i="9"/>
  <c r="G162" i="9"/>
  <c r="H161" i="9"/>
  <c r="G161" i="9"/>
  <c r="H160" i="9"/>
  <c r="G160" i="9"/>
  <c r="H159" i="9"/>
  <c r="G159" i="9"/>
  <c r="H158" i="9"/>
  <c r="G158" i="9"/>
  <c r="H157" i="9"/>
  <c r="G157" i="9"/>
  <c r="H156" i="9"/>
  <c r="G156" i="9"/>
  <c r="H155" i="9"/>
  <c r="G155" i="9"/>
  <c r="H154" i="9"/>
  <c r="G154" i="9"/>
  <c r="H153" i="9"/>
  <c r="G153" i="9"/>
  <c r="H152" i="9"/>
  <c r="G152" i="9"/>
  <c r="H151" i="9"/>
  <c r="G151" i="9"/>
  <c r="H150" i="9"/>
  <c r="G150" i="9"/>
  <c r="H149" i="9"/>
  <c r="G149" i="9"/>
  <c r="H148" i="9"/>
  <c r="G148" i="9"/>
  <c r="H147" i="9"/>
  <c r="G147" i="9"/>
  <c r="H146" i="9"/>
  <c r="G146" i="9"/>
  <c r="H145" i="9"/>
  <c r="G145" i="9"/>
  <c r="H144" i="9"/>
  <c r="G144" i="9"/>
  <c r="H143" i="9"/>
  <c r="G143" i="9"/>
  <c r="H142" i="9"/>
  <c r="G142" i="9"/>
  <c r="H141" i="9"/>
  <c r="G141" i="9"/>
  <c r="H140" i="9"/>
  <c r="G140" i="9"/>
  <c r="H139" i="9"/>
  <c r="G139" i="9"/>
  <c r="H138" i="9"/>
  <c r="G138" i="9"/>
  <c r="H137" i="9"/>
  <c r="G137" i="9"/>
  <c r="H136" i="9"/>
  <c r="G136" i="9"/>
  <c r="H135" i="9"/>
  <c r="G135" i="9"/>
  <c r="H134" i="9"/>
  <c r="G134" i="9"/>
  <c r="H133" i="9"/>
  <c r="G133" i="9"/>
  <c r="H132" i="9"/>
  <c r="G132" i="9"/>
  <c r="H131" i="9"/>
  <c r="G131" i="9"/>
  <c r="H130" i="9"/>
  <c r="G130" i="9"/>
  <c r="H129" i="9"/>
  <c r="G129" i="9"/>
  <c r="H128" i="9"/>
  <c r="G128" i="9"/>
  <c r="H127" i="9"/>
  <c r="G127" i="9"/>
  <c r="H126" i="9"/>
  <c r="G126" i="9"/>
  <c r="H125" i="9"/>
  <c r="G125" i="9"/>
  <c r="H124" i="9"/>
  <c r="G124" i="9"/>
  <c r="H123" i="9"/>
  <c r="G123" i="9"/>
  <c r="H122" i="9"/>
  <c r="G122" i="9"/>
  <c r="H121" i="9"/>
  <c r="G121" i="9"/>
  <c r="H120" i="9"/>
  <c r="G120" i="9"/>
  <c r="H119" i="9"/>
  <c r="G119" i="9"/>
  <c r="H118" i="9"/>
  <c r="G118" i="9"/>
  <c r="H117" i="9"/>
  <c r="G117" i="9"/>
  <c r="H116" i="9"/>
  <c r="G116" i="9"/>
  <c r="H115" i="9"/>
  <c r="G115" i="9"/>
  <c r="H114" i="9"/>
  <c r="G114" i="9"/>
  <c r="H113" i="9"/>
  <c r="G113" i="9"/>
  <c r="H112" i="9"/>
  <c r="G112" i="9"/>
  <c r="H111" i="9"/>
  <c r="G111" i="9"/>
  <c r="H110" i="9"/>
  <c r="G110" i="9"/>
  <c r="H109" i="9"/>
  <c r="G109" i="9"/>
  <c r="H108" i="9"/>
  <c r="G108" i="9"/>
  <c r="H107" i="9"/>
  <c r="G107" i="9"/>
  <c r="H106" i="9"/>
  <c r="G106" i="9"/>
  <c r="H105" i="9"/>
  <c r="G105" i="9"/>
  <c r="H104" i="9"/>
  <c r="G104" i="9"/>
  <c r="H103" i="9"/>
  <c r="G103" i="9"/>
  <c r="H102" i="9"/>
  <c r="G102" i="9"/>
  <c r="H101" i="9"/>
  <c r="G101" i="9"/>
  <c r="H100" i="9"/>
  <c r="G100" i="9"/>
  <c r="H99" i="9"/>
  <c r="G99" i="9"/>
  <c r="H98" i="9"/>
  <c r="G98" i="9"/>
  <c r="H97" i="9"/>
  <c r="G97" i="9"/>
  <c r="H96" i="9"/>
  <c r="G96" i="9"/>
  <c r="H95" i="9"/>
  <c r="G95" i="9"/>
  <c r="H94" i="9"/>
  <c r="G94" i="9"/>
  <c r="H93" i="9"/>
  <c r="G93" i="9"/>
  <c r="H92" i="9"/>
  <c r="G92" i="9"/>
  <c r="H91" i="9"/>
  <c r="G91" i="9"/>
  <c r="H90" i="9"/>
  <c r="G90" i="9"/>
  <c r="H89" i="9"/>
  <c r="G89" i="9"/>
  <c r="H88" i="9"/>
  <c r="G88" i="9"/>
  <c r="H87" i="9"/>
  <c r="G87" i="9"/>
  <c r="H86" i="9"/>
  <c r="G86" i="9"/>
  <c r="H85" i="9"/>
  <c r="G85" i="9"/>
  <c r="H84" i="9"/>
  <c r="G84" i="9"/>
  <c r="H83" i="9"/>
  <c r="G83" i="9"/>
  <c r="H82" i="9"/>
  <c r="G82" i="9"/>
  <c r="H81" i="9"/>
  <c r="G81" i="9"/>
  <c r="H80" i="9"/>
  <c r="G80" i="9"/>
  <c r="H79" i="9"/>
  <c r="G79" i="9"/>
  <c r="H78" i="9"/>
  <c r="G78" i="9"/>
  <c r="H77" i="9"/>
  <c r="G77" i="9"/>
  <c r="H76" i="9"/>
  <c r="G76" i="9"/>
  <c r="H75" i="9"/>
  <c r="G75" i="9"/>
  <c r="H74" i="9"/>
  <c r="G74" i="9"/>
  <c r="H73" i="9"/>
  <c r="G73" i="9"/>
  <c r="H72" i="9"/>
  <c r="G72" i="9"/>
  <c r="H71" i="9"/>
  <c r="G71" i="9"/>
  <c r="H70" i="9"/>
  <c r="G70" i="9"/>
  <c r="H69" i="9"/>
  <c r="G69" i="9"/>
  <c r="H68" i="9"/>
  <c r="G68" i="9"/>
  <c r="H67" i="9"/>
  <c r="G67" i="9"/>
  <c r="H66" i="9"/>
  <c r="G66" i="9"/>
  <c r="H65" i="9"/>
  <c r="G65" i="9"/>
  <c r="H64" i="9"/>
  <c r="G64" i="9"/>
  <c r="H63" i="9"/>
  <c r="G63" i="9"/>
  <c r="H62" i="9"/>
  <c r="G62" i="9"/>
  <c r="H61" i="9"/>
  <c r="G61" i="9"/>
  <c r="H60" i="9"/>
  <c r="G60" i="9"/>
  <c r="H59" i="9"/>
  <c r="G59" i="9"/>
  <c r="H58" i="9"/>
  <c r="G58" i="9"/>
  <c r="H57" i="9"/>
  <c r="G57" i="9"/>
  <c r="H56" i="9"/>
  <c r="G56" i="9"/>
  <c r="H55" i="9"/>
  <c r="G55" i="9"/>
  <c r="H54" i="9"/>
  <c r="G54" i="9"/>
  <c r="H53" i="9"/>
  <c r="G53" i="9"/>
  <c r="H52" i="9"/>
  <c r="G52" i="9"/>
  <c r="H51" i="9"/>
  <c r="G51" i="9"/>
  <c r="H50" i="9"/>
  <c r="G50" i="9"/>
  <c r="H49" i="9"/>
  <c r="G49" i="9"/>
  <c r="H48" i="9"/>
  <c r="G48" i="9"/>
  <c r="H47" i="9"/>
  <c r="G47" i="9"/>
  <c r="H46" i="9"/>
  <c r="G46" i="9"/>
  <c r="H45" i="9"/>
  <c r="G45" i="9"/>
  <c r="H44" i="9"/>
  <c r="G44" i="9"/>
  <c r="H43" i="9"/>
  <c r="G43" i="9"/>
  <c r="H42" i="9"/>
  <c r="G42" i="9"/>
  <c r="H41" i="9"/>
  <c r="G41" i="9"/>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H9" i="9"/>
  <c r="G9" i="9"/>
  <c r="H8" i="9"/>
  <c r="G8" i="9"/>
  <c r="H7" i="9"/>
  <c r="G7" i="9"/>
  <c r="H6" i="9"/>
  <c r="G6" i="9"/>
  <c r="H5" i="9"/>
  <c r="G5" i="9"/>
  <c r="H4" i="9"/>
  <c r="G4" i="9"/>
  <c r="H3" i="9"/>
  <c r="G3" i="9"/>
  <c r="H2" i="9"/>
  <c r="G2" i="9"/>
  <c r="N4094" i="8"/>
  <c r="L4094" i="8"/>
  <c r="N4093" i="8"/>
  <c r="L4093" i="8"/>
  <c r="N4092" i="8"/>
  <c r="L4092" i="8"/>
  <c r="N4091" i="8"/>
  <c r="L4091" i="8"/>
  <c r="N4090" i="8"/>
  <c r="L4090" i="8"/>
  <c r="N4089" i="8"/>
  <c r="L4089" i="8"/>
  <c r="N4088" i="8"/>
  <c r="L4088" i="8"/>
  <c r="N4087" i="8"/>
  <c r="L4087" i="8"/>
  <c r="N4086" i="8"/>
  <c r="L4086" i="8"/>
  <c r="N4085" i="8"/>
  <c r="L4085" i="8"/>
  <c r="N4084" i="8"/>
  <c r="L4084" i="8"/>
  <c r="N4083" i="8"/>
  <c r="L4083" i="8"/>
  <c r="N4082" i="8"/>
  <c r="L4082" i="8"/>
  <c r="N4081" i="8"/>
  <c r="L4081" i="8"/>
  <c r="N4080" i="8"/>
  <c r="L4080" i="8"/>
  <c r="N4079" i="8"/>
  <c r="L4079" i="8"/>
  <c r="N4078" i="8"/>
  <c r="L4078" i="8"/>
  <c r="N4077" i="8"/>
  <c r="L4077" i="8"/>
  <c r="N4076" i="8"/>
  <c r="L4076" i="8"/>
  <c r="N4075" i="8"/>
  <c r="L4075" i="8"/>
  <c r="N4074" i="8"/>
  <c r="L4074" i="8"/>
  <c r="N4073" i="8"/>
  <c r="L4073" i="8"/>
  <c r="N4072" i="8"/>
  <c r="L4072" i="8"/>
  <c r="N4071" i="8"/>
  <c r="L4071" i="8"/>
  <c r="N4070" i="8"/>
  <c r="L4070" i="8"/>
  <c r="N4069" i="8"/>
  <c r="L4069" i="8"/>
  <c r="N4068" i="8"/>
  <c r="L4068" i="8"/>
  <c r="N4067" i="8"/>
  <c r="L4067" i="8"/>
  <c r="N4066" i="8"/>
  <c r="L4066" i="8"/>
  <c r="N4065" i="8"/>
  <c r="L4065" i="8"/>
  <c r="N4064" i="8"/>
  <c r="L4064" i="8"/>
  <c r="N4063" i="8"/>
  <c r="L4063" i="8"/>
  <c r="N4062" i="8"/>
  <c r="L4062" i="8"/>
  <c r="N4061" i="8"/>
  <c r="L4061" i="8"/>
  <c r="N4060" i="8"/>
  <c r="L4060" i="8"/>
  <c r="N4059" i="8"/>
  <c r="L4059" i="8"/>
  <c r="N4058" i="8"/>
  <c r="L4058" i="8"/>
  <c r="N4057" i="8"/>
  <c r="L4057" i="8"/>
  <c r="N4056" i="8"/>
  <c r="L4056" i="8"/>
  <c r="N4055" i="8"/>
  <c r="L4055" i="8"/>
  <c r="N4054" i="8"/>
  <c r="L4054" i="8"/>
  <c r="N4053" i="8"/>
  <c r="L4053" i="8"/>
  <c r="N4052" i="8"/>
  <c r="L4052" i="8"/>
  <c r="N4051" i="8"/>
  <c r="L4051" i="8"/>
  <c r="N4050" i="8"/>
  <c r="L4050" i="8"/>
  <c r="N4049" i="8"/>
  <c r="L4049" i="8"/>
  <c r="N4048" i="8"/>
  <c r="L4048" i="8"/>
  <c r="N4047" i="8"/>
  <c r="L4047" i="8"/>
  <c r="N4046" i="8"/>
  <c r="L4046" i="8"/>
  <c r="N4045" i="8"/>
  <c r="L4045" i="8"/>
  <c r="N4044" i="8"/>
  <c r="L4044" i="8"/>
  <c r="N4043" i="8"/>
  <c r="L4043" i="8"/>
  <c r="N4042" i="8"/>
  <c r="L4042" i="8"/>
  <c r="N4041" i="8"/>
  <c r="L4041" i="8"/>
  <c r="N4040" i="8"/>
  <c r="L4040" i="8"/>
  <c r="N4039" i="8"/>
  <c r="L4039" i="8"/>
  <c r="N4038" i="8"/>
  <c r="L4038" i="8"/>
  <c r="N4037" i="8"/>
  <c r="L4037" i="8"/>
  <c r="N4036" i="8"/>
  <c r="L4036" i="8"/>
  <c r="N4035" i="8"/>
  <c r="L4035" i="8"/>
  <c r="N4034" i="8"/>
  <c r="L4034" i="8"/>
  <c r="N4033" i="8"/>
  <c r="L4033" i="8"/>
  <c r="N4032" i="8"/>
  <c r="L4032" i="8"/>
  <c r="N4031" i="8"/>
  <c r="L4031" i="8"/>
  <c r="N4030" i="8"/>
  <c r="L4030" i="8"/>
  <c r="N4029" i="8"/>
  <c r="L4029" i="8"/>
  <c r="N4028" i="8"/>
  <c r="L4028" i="8"/>
  <c r="N4027" i="8"/>
  <c r="L4027" i="8"/>
  <c r="N4026" i="8"/>
  <c r="L4026" i="8"/>
  <c r="N4025" i="8"/>
  <c r="L4025" i="8"/>
  <c r="N4024" i="8"/>
  <c r="L4024" i="8"/>
  <c r="N4023" i="8"/>
  <c r="L4023" i="8"/>
  <c r="N4022" i="8"/>
  <c r="L4022" i="8"/>
  <c r="N4021" i="8"/>
  <c r="L4021" i="8"/>
  <c r="N4020" i="8"/>
  <c r="L4020" i="8"/>
  <c r="N4019" i="8"/>
  <c r="L4019" i="8"/>
  <c r="N4018" i="8"/>
  <c r="L4018" i="8"/>
  <c r="N4017" i="8"/>
  <c r="L4017" i="8"/>
  <c r="N4016" i="8"/>
  <c r="L4016" i="8"/>
  <c r="N4015" i="8"/>
  <c r="L4015" i="8"/>
  <c r="N4014" i="8"/>
  <c r="L4014" i="8"/>
  <c r="N4013" i="8"/>
  <c r="L4013" i="8"/>
  <c r="N4012" i="8"/>
  <c r="L4012" i="8"/>
  <c r="N4011" i="8"/>
  <c r="L4011" i="8"/>
  <c r="N4010" i="8"/>
  <c r="L4010" i="8"/>
  <c r="N4009" i="8"/>
  <c r="L4009" i="8"/>
  <c r="N4008" i="8"/>
  <c r="L4008" i="8"/>
  <c r="N4007" i="8"/>
  <c r="L4007" i="8"/>
  <c r="N4006" i="8"/>
  <c r="L4006" i="8"/>
  <c r="N4005" i="8"/>
  <c r="L4005" i="8"/>
  <c r="N4004" i="8"/>
  <c r="L4004" i="8"/>
  <c r="N4003" i="8"/>
  <c r="L4003" i="8"/>
  <c r="N4002" i="8"/>
  <c r="L4002" i="8"/>
  <c r="O4001" i="8"/>
  <c r="N4001" i="8"/>
  <c r="L4001" i="8"/>
  <c r="O4000" i="8"/>
  <c r="N4000" i="8"/>
  <c r="L4000" i="8"/>
  <c r="N3999" i="8"/>
  <c r="L3999" i="8"/>
  <c r="O3998" i="8"/>
  <c r="N3998" i="8"/>
  <c r="L3998" i="8"/>
  <c r="N3997" i="8"/>
  <c r="L3997" i="8"/>
  <c r="O3996" i="8"/>
  <c r="N3996" i="8"/>
  <c r="L3996" i="8"/>
  <c r="N3995" i="8"/>
  <c r="L3995" i="8"/>
  <c r="O3994" i="8"/>
  <c r="N3994" i="8"/>
  <c r="L3994" i="8"/>
  <c r="O3993" i="8"/>
  <c r="N3993" i="8"/>
  <c r="L3993" i="8"/>
  <c r="N3992" i="8"/>
  <c r="L3992" i="8"/>
  <c r="O3991" i="8"/>
  <c r="N3991" i="8"/>
  <c r="L3991" i="8"/>
  <c r="N3990" i="8"/>
  <c r="L3990" i="8"/>
  <c r="O3989" i="8"/>
  <c r="N3989" i="8"/>
  <c r="L3989" i="8"/>
  <c r="N3988" i="8"/>
  <c r="L3988" i="8"/>
  <c r="O3987" i="8"/>
  <c r="N3987" i="8"/>
  <c r="L3987" i="8"/>
  <c r="N3986" i="8"/>
  <c r="L3986" i="8"/>
  <c r="O3985" i="8"/>
  <c r="N3985" i="8"/>
  <c r="L3985" i="8"/>
  <c r="N3984" i="8"/>
  <c r="L3984" i="8"/>
  <c r="O3983" i="8"/>
  <c r="N3983" i="8"/>
  <c r="L3983" i="8"/>
  <c r="N3982" i="8"/>
  <c r="L3982" i="8"/>
  <c r="O3981" i="8"/>
  <c r="N3981" i="8"/>
  <c r="L3981" i="8"/>
  <c r="N3980" i="8"/>
  <c r="L3980" i="8"/>
  <c r="O3979" i="8"/>
  <c r="N3979" i="8"/>
  <c r="L3979" i="8"/>
  <c r="N3978" i="8"/>
  <c r="L3978" i="8"/>
  <c r="O3977" i="8"/>
  <c r="N3977" i="8"/>
  <c r="L3977" i="8"/>
  <c r="N3976" i="8"/>
  <c r="L3976" i="8"/>
  <c r="O3975" i="8"/>
  <c r="N3975" i="8"/>
  <c r="L3975" i="8"/>
  <c r="N3974" i="8"/>
  <c r="L3974" i="8"/>
  <c r="O3973" i="8"/>
  <c r="N3973" i="8"/>
  <c r="L3973" i="8"/>
  <c r="N3972" i="8"/>
  <c r="L3972" i="8"/>
  <c r="O3971" i="8"/>
  <c r="N3971" i="8"/>
  <c r="L3971" i="8"/>
  <c r="N3970" i="8"/>
  <c r="L3970" i="8"/>
  <c r="O3969" i="8"/>
  <c r="N3969" i="8"/>
  <c r="L3969" i="8"/>
  <c r="N3968" i="8"/>
  <c r="L3968" i="8"/>
  <c r="O3967" i="8"/>
  <c r="N3967" i="8"/>
  <c r="L3967" i="8"/>
  <c r="N3966" i="8"/>
  <c r="L3966" i="8"/>
  <c r="O3965" i="8"/>
  <c r="N3965" i="8"/>
  <c r="L3965" i="8"/>
  <c r="N3964" i="8"/>
  <c r="L3964" i="8"/>
  <c r="O3963" i="8"/>
  <c r="N3963" i="8"/>
  <c r="L3963" i="8"/>
  <c r="N3962" i="8"/>
  <c r="L3962" i="8"/>
  <c r="O3961" i="8"/>
  <c r="N3961" i="8"/>
  <c r="L3961" i="8"/>
  <c r="N3960" i="8"/>
  <c r="L3960" i="8"/>
  <c r="O3959" i="8"/>
  <c r="N3959" i="8"/>
  <c r="L3959" i="8"/>
  <c r="N3958" i="8"/>
  <c r="L3958" i="8"/>
  <c r="O3957" i="8"/>
  <c r="N3957" i="8"/>
  <c r="L3957" i="8"/>
  <c r="N3956" i="8"/>
  <c r="L3956" i="8"/>
  <c r="O3955" i="8"/>
  <c r="N3955" i="8"/>
  <c r="L3955" i="8"/>
  <c r="N3954" i="8"/>
  <c r="L3954" i="8"/>
  <c r="O3953" i="8"/>
  <c r="N3953" i="8"/>
  <c r="L3953" i="8"/>
  <c r="N3952" i="8"/>
  <c r="L3952" i="8"/>
  <c r="O3951" i="8"/>
  <c r="N3951" i="8"/>
  <c r="L3951" i="8"/>
  <c r="O3950" i="8"/>
  <c r="N3950" i="8"/>
  <c r="L3950" i="8"/>
  <c r="N3949" i="8"/>
  <c r="L3949" i="8"/>
  <c r="O3948" i="8"/>
  <c r="N3948" i="8"/>
  <c r="L3948" i="8"/>
  <c r="N3947" i="8"/>
  <c r="L3947" i="8"/>
  <c r="O3946" i="8"/>
  <c r="N3946" i="8"/>
  <c r="L3946" i="8"/>
  <c r="N3945" i="8"/>
  <c r="L3945" i="8"/>
  <c r="O3944" i="8"/>
  <c r="N3944" i="8"/>
  <c r="L3944" i="8"/>
  <c r="N3943" i="8"/>
  <c r="L3943" i="8"/>
  <c r="O3942" i="8"/>
  <c r="N3942" i="8"/>
  <c r="L3942" i="8"/>
  <c r="O3941" i="8"/>
  <c r="N3941" i="8"/>
  <c r="L3941" i="8"/>
  <c r="N3940" i="8"/>
  <c r="L3940" i="8"/>
  <c r="O3939" i="8"/>
  <c r="N3939" i="8"/>
  <c r="L3939" i="8"/>
  <c r="N3938" i="8"/>
  <c r="L3938" i="8"/>
  <c r="O3937" i="8"/>
  <c r="N3937" i="8"/>
  <c r="L3937" i="8"/>
  <c r="N3936" i="8"/>
  <c r="L3936" i="8"/>
  <c r="O3935" i="8"/>
  <c r="N3935" i="8"/>
  <c r="L3935" i="8"/>
  <c r="O3934" i="8"/>
  <c r="N3934" i="8"/>
  <c r="L3934" i="8"/>
  <c r="N3933" i="8"/>
  <c r="L3933" i="8"/>
  <c r="O3932" i="8"/>
  <c r="N3932" i="8"/>
  <c r="L3932" i="8"/>
  <c r="N3931" i="8"/>
  <c r="L3931" i="8"/>
  <c r="O3930" i="8"/>
  <c r="N3930" i="8"/>
  <c r="L3930" i="8"/>
  <c r="O3929" i="8"/>
  <c r="N3929" i="8"/>
  <c r="L3929" i="8"/>
  <c r="N3928" i="8"/>
  <c r="L3928" i="8"/>
  <c r="O3927" i="8"/>
  <c r="N3927" i="8"/>
  <c r="L3927" i="8"/>
  <c r="N3926" i="8"/>
  <c r="L3926" i="8"/>
  <c r="O3925" i="8"/>
  <c r="N3925" i="8"/>
  <c r="L3925" i="8"/>
  <c r="O3924" i="8"/>
  <c r="N3924" i="8"/>
  <c r="L3924" i="8"/>
  <c r="N3923" i="8"/>
  <c r="L3923" i="8"/>
  <c r="O3922" i="8"/>
  <c r="N3922" i="8"/>
  <c r="L3922" i="8"/>
  <c r="N3921" i="8"/>
  <c r="L3921" i="8"/>
  <c r="O3920" i="8"/>
  <c r="N3920" i="8"/>
  <c r="L3920" i="8"/>
  <c r="N3919" i="8"/>
  <c r="L3919" i="8"/>
  <c r="O3918" i="8"/>
  <c r="N3918" i="8"/>
  <c r="L3918" i="8"/>
  <c r="N3917" i="8"/>
  <c r="L3917" i="8"/>
  <c r="O3916" i="8"/>
  <c r="N3916" i="8"/>
  <c r="L3916" i="8"/>
  <c r="N3915" i="8"/>
  <c r="L3915" i="8"/>
  <c r="N3914" i="8"/>
  <c r="L3914" i="8"/>
  <c r="O3913" i="8"/>
  <c r="N3913" i="8"/>
  <c r="L3913" i="8"/>
  <c r="N3912" i="8"/>
  <c r="L3912" i="8"/>
  <c r="O3911" i="8"/>
  <c r="N3911" i="8"/>
  <c r="L3911" i="8"/>
  <c r="N3910" i="8"/>
  <c r="L3910" i="8"/>
  <c r="O3909" i="8"/>
  <c r="N3909" i="8"/>
  <c r="L3909" i="8"/>
  <c r="N3908" i="8"/>
  <c r="L3908" i="8"/>
  <c r="O3907" i="8"/>
  <c r="N3907" i="8"/>
  <c r="L3907" i="8"/>
  <c r="N3906" i="8"/>
  <c r="L3906" i="8"/>
  <c r="N3905" i="8"/>
  <c r="L3905" i="8"/>
  <c r="O3904" i="8"/>
  <c r="N3904" i="8"/>
  <c r="L3904" i="8"/>
  <c r="N3903" i="8"/>
  <c r="L3903" i="8"/>
  <c r="O3902" i="8"/>
  <c r="N3902" i="8"/>
  <c r="L3902" i="8"/>
  <c r="N3901" i="8"/>
  <c r="L3901" i="8"/>
  <c r="O3900" i="8"/>
  <c r="N3900" i="8"/>
  <c r="L3900" i="8"/>
  <c r="N3899" i="8"/>
  <c r="L3899" i="8"/>
  <c r="O3898" i="8"/>
  <c r="N3898" i="8"/>
  <c r="L3898" i="8"/>
  <c r="N3897" i="8"/>
  <c r="L3897" i="8"/>
  <c r="O3896" i="8"/>
  <c r="N3896" i="8"/>
  <c r="L3896" i="8"/>
  <c r="O3895" i="8"/>
  <c r="N3895" i="8"/>
  <c r="L3895" i="8"/>
  <c r="N3894" i="8"/>
  <c r="L3894" i="8"/>
  <c r="N3893" i="8"/>
  <c r="L3893" i="8"/>
  <c r="O3892" i="8"/>
  <c r="N3892" i="8"/>
  <c r="L3892" i="8"/>
  <c r="N3891" i="8"/>
  <c r="L3891" i="8"/>
  <c r="O3890" i="8"/>
  <c r="N3890" i="8"/>
  <c r="L3890" i="8"/>
  <c r="N3889" i="8"/>
  <c r="L3889" i="8"/>
  <c r="O3888" i="8"/>
  <c r="N3888" i="8"/>
  <c r="L3888" i="8"/>
  <c r="N3887" i="8"/>
  <c r="L3887" i="8"/>
  <c r="O3886" i="8"/>
  <c r="N3886" i="8"/>
  <c r="L3886" i="8"/>
  <c r="N3885" i="8"/>
  <c r="L3885" i="8"/>
  <c r="O3884" i="8"/>
  <c r="N3884" i="8"/>
  <c r="L3884" i="8"/>
  <c r="N3883" i="8"/>
  <c r="L3883" i="8"/>
  <c r="O3882" i="8"/>
  <c r="N3882" i="8"/>
  <c r="L3882" i="8"/>
  <c r="N3881" i="8"/>
  <c r="L3881" i="8"/>
  <c r="O3880" i="8"/>
  <c r="N3880" i="8"/>
  <c r="L3880" i="8"/>
  <c r="N3879" i="8"/>
  <c r="L3879" i="8"/>
  <c r="O3878" i="8"/>
  <c r="N3878" i="8"/>
  <c r="L3878" i="8"/>
  <c r="N3877" i="8"/>
  <c r="L3877" i="8"/>
  <c r="O3876" i="8"/>
  <c r="N3876" i="8"/>
  <c r="L3876" i="8"/>
  <c r="N3875" i="8"/>
  <c r="L3875" i="8"/>
  <c r="O3874" i="8"/>
  <c r="N3874" i="8"/>
  <c r="L3874" i="8"/>
  <c r="N3873" i="8"/>
  <c r="L3873" i="8"/>
  <c r="O3872" i="8"/>
  <c r="N3872" i="8"/>
  <c r="L3872" i="8"/>
  <c r="O3871" i="8"/>
  <c r="N3871" i="8"/>
  <c r="L3871" i="8"/>
  <c r="N3870" i="8"/>
  <c r="L3870" i="8"/>
  <c r="O3869" i="8"/>
  <c r="N3869" i="8"/>
  <c r="L3869" i="8"/>
  <c r="N3868" i="8"/>
  <c r="L3868" i="8"/>
  <c r="O3867" i="8"/>
  <c r="N3867" i="8"/>
  <c r="L3867" i="8"/>
  <c r="N3866" i="8"/>
  <c r="L3866" i="8"/>
  <c r="O3865" i="8"/>
  <c r="N3865" i="8"/>
  <c r="L3865" i="8"/>
  <c r="O3864" i="8"/>
  <c r="N3864" i="8"/>
  <c r="L3864" i="8"/>
  <c r="N3863" i="8"/>
  <c r="L3863" i="8"/>
  <c r="O3862" i="8"/>
  <c r="N3862" i="8"/>
  <c r="L3862" i="8"/>
  <c r="N3861" i="8"/>
  <c r="L3861" i="8"/>
  <c r="O3860" i="8"/>
  <c r="N3860" i="8"/>
  <c r="L3860" i="8"/>
  <c r="N3859" i="8"/>
  <c r="L3859" i="8"/>
  <c r="O3858" i="8"/>
  <c r="N3858" i="8"/>
  <c r="L3858" i="8"/>
  <c r="N3857" i="8"/>
  <c r="L3857" i="8"/>
  <c r="O3856" i="8"/>
  <c r="N3856" i="8"/>
  <c r="L3856" i="8"/>
  <c r="N3855" i="8"/>
  <c r="L3855" i="8"/>
  <c r="O3854" i="8"/>
  <c r="N3854" i="8"/>
  <c r="L3854" i="8"/>
  <c r="N3853" i="8"/>
  <c r="L3853" i="8"/>
  <c r="O3852" i="8"/>
  <c r="N3852" i="8"/>
  <c r="L3852" i="8"/>
  <c r="N3851" i="8"/>
  <c r="L3851" i="8"/>
  <c r="O3850" i="8"/>
  <c r="N3850" i="8"/>
  <c r="L3850" i="8"/>
  <c r="N3849" i="8"/>
  <c r="L3849" i="8"/>
  <c r="O3848" i="8"/>
  <c r="N3848" i="8"/>
  <c r="L3848" i="8"/>
  <c r="N3847" i="8"/>
  <c r="L3847" i="8"/>
  <c r="O3846" i="8"/>
  <c r="N3846" i="8"/>
  <c r="L3846" i="8"/>
  <c r="N3845" i="8"/>
  <c r="L3845" i="8"/>
  <c r="O3844" i="8"/>
  <c r="N3844" i="8"/>
  <c r="L3844" i="8"/>
  <c r="N3843" i="8"/>
  <c r="L3843" i="8"/>
  <c r="N3842" i="8"/>
  <c r="L3842" i="8"/>
  <c r="N3841" i="8"/>
  <c r="L3841" i="8"/>
  <c r="N3840" i="8"/>
  <c r="L3840" i="8"/>
  <c r="N3839" i="8"/>
  <c r="L3839" i="8"/>
  <c r="N3838" i="8"/>
  <c r="L3838" i="8"/>
  <c r="N3837" i="8"/>
  <c r="L3837" i="8"/>
  <c r="N3836" i="8"/>
  <c r="L3836" i="8"/>
  <c r="N3835" i="8"/>
  <c r="L3835" i="8"/>
  <c r="N3834" i="8"/>
  <c r="L3834" i="8"/>
  <c r="N3833" i="8"/>
  <c r="L3833" i="8"/>
  <c r="N3832" i="8"/>
  <c r="L3832" i="8"/>
  <c r="N3831" i="8"/>
  <c r="L3831" i="8"/>
  <c r="N3830" i="8"/>
  <c r="L3830" i="8"/>
  <c r="N3829" i="8"/>
  <c r="L3829" i="8"/>
  <c r="N3828" i="8"/>
  <c r="L3828" i="8"/>
  <c r="N3827" i="8"/>
  <c r="L3827" i="8"/>
  <c r="N3826" i="8"/>
  <c r="L3826" i="8"/>
  <c r="N3825" i="8"/>
  <c r="L3825" i="8"/>
  <c r="N3824" i="8"/>
  <c r="L3824" i="8"/>
  <c r="N3823" i="8"/>
  <c r="L3823" i="8"/>
  <c r="N3822" i="8"/>
  <c r="L3822" i="8"/>
  <c r="N3821" i="8"/>
  <c r="L3821" i="8"/>
  <c r="N3820" i="8"/>
  <c r="L3820" i="8"/>
  <c r="N3819" i="8"/>
  <c r="L3819" i="8"/>
  <c r="N3818" i="8"/>
  <c r="L3818" i="8"/>
  <c r="N3817" i="8"/>
  <c r="L3817" i="8"/>
  <c r="N3816" i="8"/>
  <c r="L3816" i="8"/>
  <c r="N3815" i="8"/>
  <c r="L3815" i="8"/>
  <c r="N3814" i="8"/>
  <c r="L3814" i="8"/>
  <c r="N3813" i="8"/>
  <c r="L3813" i="8"/>
  <c r="N3812" i="8"/>
  <c r="L3812" i="8"/>
  <c r="N3811" i="8"/>
  <c r="L3811" i="8"/>
  <c r="N3810" i="8"/>
  <c r="L3810" i="8"/>
  <c r="N3809" i="8"/>
  <c r="L3809" i="8"/>
  <c r="N3808" i="8"/>
  <c r="L3808" i="8"/>
  <c r="N3807" i="8"/>
  <c r="L3807" i="8"/>
  <c r="N3806" i="8"/>
  <c r="L3806" i="8"/>
  <c r="N3805" i="8"/>
  <c r="L3805" i="8"/>
  <c r="N3804" i="8"/>
  <c r="L3804" i="8"/>
  <c r="N3803" i="8"/>
  <c r="L3803" i="8"/>
  <c r="N3802" i="8"/>
  <c r="L3802" i="8"/>
  <c r="N3801" i="8"/>
  <c r="L3801" i="8"/>
  <c r="N3800" i="8"/>
  <c r="L3800" i="8"/>
  <c r="N3799" i="8"/>
  <c r="L3799" i="8"/>
  <c r="N3798" i="8"/>
  <c r="L3798" i="8"/>
  <c r="N3797" i="8"/>
  <c r="L3797" i="8"/>
  <c r="N3796" i="8"/>
  <c r="L3796" i="8"/>
  <c r="N3795" i="8"/>
  <c r="L3795" i="8"/>
  <c r="N3794" i="8"/>
  <c r="L3794" i="8"/>
  <c r="N3793" i="8"/>
  <c r="L3793" i="8"/>
  <c r="N3792" i="8"/>
  <c r="L3792" i="8"/>
  <c r="N3791" i="8"/>
  <c r="L3791" i="8"/>
  <c r="N3790" i="8"/>
  <c r="L3790" i="8"/>
  <c r="N3789" i="8"/>
  <c r="L3789" i="8"/>
  <c r="N3788" i="8"/>
  <c r="L3788" i="8"/>
  <c r="N3787" i="8"/>
  <c r="L3787" i="8"/>
  <c r="N3786" i="8"/>
  <c r="L3786" i="8"/>
  <c r="N3785" i="8"/>
  <c r="L3785" i="8"/>
  <c r="N3784" i="8"/>
  <c r="L3784" i="8"/>
  <c r="N3783" i="8"/>
  <c r="L3783" i="8"/>
  <c r="N3782" i="8"/>
  <c r="L3782" i="8"/>
  <c r="N3781" i="8"/>
  <c r="L3781" i="8"/>
  <c r="N3780" i="8"/>
  <c r="L3780" i="8"/>
  <c r="N3779" i="8"/>
  <c r="L3779" i="8"/>
  <c r="N3778" i="8"/>
  <c r="L3778" i="8"/>
  <c r="N3777" i="8"/>
  <c r="L3777" i="8"/>
  <c r="N3776" i="8"/>
  <c r="L3776" i="8"/>
  <c r="N3775" i="8"/>
  <c r="L3775" i="8"/>
  <c r="N3774" i="8"/>
  <c r="L3774" i="8"/>
  <c r="N3773" i="8"/>
  <c r="L3773" i="8"/>
  <c r="N3772" i="8"/>
  <c r="L3772" i="8"/>
  <c r="N3771" i="8"/>
  <c r="L3771" i="8"/>
  <c r="N3770" i="8"/>
  <c r="L3770" i="8"/>
  <c r="N3769" i="8"/>
  <c r="L3769" i="8"/>
  <c r="N3768" i="8"/>
  <c r="L3768" i="8"/>
  <c r="N3767" i="8"/>
  <c r="L3767" i="8"/>
  <c r="N3766" i="8"/>
  <c r="L3766" i="8"/>
  <c r="N3765" i="8"/>
  <c r="L3765" i="8"/>
  <c r="N3764" i="8"/>
  <c r="L3764" i="8"/>
  <c r="N3763" i="8"/>
  <c r="L3763" i="8"/>
  <c r="N3762" i="8"/>
  <c r="L3762" i="8"/>
  <c r="N3761" i="8"/>
  <c r="L3761" i="8"/>
  <c r="N3760" i="8"/>
  <c r="L3760" i="8"/>
  <c r="N3759" i="8"/>
  <c r="L3759" i="8"/>
  <c r="N3758" i="8"/>
  <c r="L3758" i="8"/>
  <c r="N3757" i="8"/>
  <c r="L3757" i="8"/>
  <c r="N3756" i="8"/>
  <c r="L3756" i="8"/>
  <c r="N3755" i="8"/>
  <c r="L3755" i="8"/>
  <c r="N3754" i="8"/>
  <c r="L3754" i="8"/>
  <c r="N3753" i="8"/>
  <c r="L3753" i="8"/>
  <c r="N3752" i="8"/>
  <c r="L3752" i="8"/>
  <c r="N3751" i="8"/>
  <c r="L3751" i="8"/>
  <c r="N3750" i="8"/>
  <c r="L3750" i="8"/>
  <c r="N3749" i="8"/>
  <c r="L3749" i="8"/>
  <c r="N3748" i="8"/>
  <c r="L3748" i="8"/>
  <c r="N3747" i="8"/>
  <c r="L3747" i="8"/>
  <c r="N3746" i="8"/>
  <c r="L3746" i="8"/>
  <c r="N3745" i="8"/>
  <c r="L3745" i="8"/>
  <c r="N3744" i="8"/>
  <c r="L3744" i="8"/>
  <c r="N3743" i="8"/>
  <c r="L3743" i="8"/>
  <c r="N3742" i="8"/>
  <c r="L3742" i="8"/>
  <c r="N3741" i="8"/>
  <c r="L3741" i="8"/>
  <c r="N3740" i="8"/>
  <c r="L3740" i="8"/>
  <c r="N3739" i="8"/>
  <c r="L3739" i="8"/>
  <c r="N3738" i="8"/>
  <c r="L3738" i="8"/>
  <c r="N3737" i="8"/>
  <c r="L3737" i="8"/>
  <c r="N3736" i="8"/>
  <c r="L3736" i="8"/>
  <c r="N3735" i="8"/>
  <c r="L3735" i="8"/>
  <c r="N3734" i="8"/>
  <c r="L3734" i="8"/>
  <c r="N3733" i="8"/>
  <c r="L3733" i="8"/>
  <c r="N3732" i="8"/>
  <c r="L3732" i="8"/>
  <c r="N3731" i="8"/>
  <c r="L3731" i="8"/>
  <c r="N3730" i="8"/>
  <c r="L3730" i="8"/>
  <c r="N3729" i="8"/>
  <c r="L3729" i="8"/>
  <c r="N3728" i="8"/>
  <c r="L3728" i="8"/>
  <c r="N3727" i="8"/>
  <c r="L3727" i="8"/>
  <c r="N3726" i="8"/>
  <c r="L3726" i="8"/>
  <c r="N3725" i="8"/>
  <c r="L3725" i="8"/>
  <c r="N3724" i="8"/>
  <c r="L3724" i="8"/>
  <c r="N3723" i="8"/>
  <c r="L3723" i="8"/>
  <c r="N3722" i="8"/>
  <c r="L3722" i="8"/>
  <c r="N3721" i="8"/>
  <c r="L3721" i="8"/>
  <c r="N3720" i="8"/>
  <c r="L3720" i="8"/>
  <c r="N3719" i="8"/>
  <c r="L3719" i="8"/>
  <c r="N3718" i="8"/>
  <c r="L3718" i="8"/>
  <c r="N3717" i="8"/>
  <c r="L3717" i="8"/>
  <c r="N3716" i="8"/>
  <c r="L3716" i="8"/>
  <c r="N3715" i="8"/>
  <c r="L3715" i="8"/>
  <c r="N3714" i="8"/>
  <c r="L3714" i="8"/>
  <c r="N3713" i="8"/>
  <c r="L3713" i="8"/>
  <c r="N3712" i="8"/>
  <c r="L3712" i="8"/>
  <c r="N3711" i="8"/>
  <c r="L3711" i="8"/>
  <c r="N3710" i="8"/>
  <c r="L3710" i="8"/>
  <c r="N3709" i="8"/>
  <c r="L3709" i="8"/>
  <c r="N3708" i="8"/>
  <c r="L3708" i="8"/>
  <c r="N3707" i="8"/>
  <c r="L3707" i="8"/>
  <c r="N3706" i="8"/>
  <c r="L3706" i="8"/>
  <c r="N3705" i="8"/>
  <c r="L3705" i="8"/>
  <c r="N3704" i="8"/>
  <c r="L3704" i="8"/>
  <c r="N3703" i="8"/>
  <c r="L3703" i="8"/>
  <c r="N3702" i="8"/>
  <c r="L3702" i="8"/>
  <c r="N3701" i="8"/>
  <c r="L3701" i="8"/>
  <c r="N3700" i="8"/>
  <c r="L3700" i="8"/>
  <c r="N3699" i="8"/>
  <c r="L3699" i="8"/>
  <c r="N3698" i="8"/>
  <c r="L3698" i="8"/>
  <c r="N3697" i="8"/>
  <c r="L3697" i="8"/>
  <c r="N3696" i="8"/>
  <c r="L3696" i="8"/>
  <c r="N3695" i="8"/>
  <c r="L3695" i="8"/>
  <c r="N3694" i="8"/>
  <c r="L3694" i="8"/>
  <c r="N3693" i="8"/>
  <c r="L3693" i="8"/>
  <c r="N3692" i="8"/>
  <c r="L3692" i="8"/>
  <c r="N3691" i="8"/>
  <c r="L3691" i="8"/>
  <c r="N3690" i="8"/>
  <c r="L3690" i="8"/>
  <c r="N3689" i="8"/>
  <c r="L3689" i="8"/>
  <c r="N3688" i="8"/>
  <c r="L3688" i="8"/>
  <c r="N3687" i="8"/>
  <c r="L3687" i="8"/>
  <c r="N3686" i="8"/>
  <c r="L3686" i="8"/>
  <c r="N3685" i="8"/>
  <c r="L3685" i="8"/>
  <c r="N3684" i="8"/>
  <c r="L3684" i="8"/>
  <c r="N3683" i="8"/>
  <c r="L3683" i="8"/>
  <c r="N3682" i="8"/>
  <c r="L3682" i="8"/>
  <c r="N3681" i="8"/>
  <c r="L3681" i="8"/>
  <c r="N3680" i="8"/>
  <c r="L3680" i="8"/>
  <c r="N3679" i="8"/>
  <c r="L3679" i="8"/>
  <c r="N3678" i="8"/>
  <c r="L3678" i="8"/>
  <c r="N3677" i="8"/>
  <c r="L3677" i="8"/>
  <c r="N3676" i="8"/>
  <c r="L3676" i="8"/>
  <c r="N3675" i="8"/>
  <c r="L3675" i="8"/>
  <c r="N3674" i="8"/>
  <c r="L3674" i="8"/>
  <c r="N3673" i="8"/>
  <c r="L3673" i="8"/>
  <c r="N3672" i="8"/>
  <c r="L3672" i="8"/>
  <c r="N3671" i="8"/>
  <c r="L3671" i="8"/>
  <c r="N3670" i="8"/>
  <c r="L3670" i="8"/>
  <c r="N3669" i="8"/>
  <c r="L3669" i="8"/>
  <c r="N3668" i="8"/>
  <c r="L3668" i="8"/>
  <c r="N3667" i="8"/>
  <c r="L3667" i="8"/>
  <c r="N3666" i="8"/>
  <c r="L3666" i="8"/>
  <c r="N3665" i="8"/>
  <c r="L3665" i="8"/>
  <c r="N3664" i="8"/>
  <c r="L3664" i="8"/>
  <c r="N3663" i="8"/>
  <c r="L3663" i="8"/>
  <c r="N3662" i="8"/>
  <c r="L3662" i="8"/>
  <c r="N3661" i="8"/>
  <c r="L3661" i="8"/>
  <c r="N3660" i="8"/>
  <c r="L3660" i="8"/>
  <c r="N3659" i="8"/>
  <c r="L3659" i="8"/>
  <c r="N3658" i="8"/>
  <c r="L3658" i="8"/>
  <c r="N3657" i="8"/>
  <c r="L3657" i="8"/>
  <c r="N3656" i="8"/>
  <c r="L3656" i="8"/>
  <c r="N3655" i="8"/>
  <c r="L3655" i="8"/>
  <c r="N3654" i="8"/>
  <c r="L3654" i="8"/>
  <c r="N3653" i="8"/>
  <c r="L3653" i="8"/>
  <c r="N3652" i="8"/>
  <c r="L3652" i="8"/>
  <c r="N3651" i="8"/>
  <c r="L3651" i="8"/>
  <c r="N3650" i="8"/>
  <c r="L3650" i="8"/>
  <c r="N3649" i="8"/>
  <c r="L3649" i="8"/>
  <c r="N3648" i="8"/>
  <c r="L3648" i="8"/>
  <c r="N3647" i="8"/>
  <c r="L3647" i="8"/>
  <c r="N3646" i="8"/>
  <c r="L3646" i="8"/>
  <c r="N3645" i="8"/>
  <c r="L3645" i="8"/>
  <c r="N3644" i="8"/>
  <c r="L3644" i="8"/>
  <c r="N3643" i="8"/>
  <c r="L3643" i="8"/>
  <c r="N3642" i="8"/>
  <c r="L3642" i="8"/>
  <c r="N3641" i="8"/>
  <c r="L3641" i="8"/>
  <c r="N3640" i="8"/>
  <c r="L3640" i="8"/>
  <c r="N3639" i="8"/>
  <c r="L3639" i="8"/>
  <c r="N3638" i="8"/>
  <c r="L3638" i="8"/>
  <c r="N3637" i="8"/>
  <c r="L3637" i="8"/>
  <c r="N3636" i="8"/>
  <c r="L3636" i="8"/>
  <c r="N3635" i="8"/>
  <c r="L3635" i="8"/>
  <c r="N3634" i="8"/>
  <c r="L3634" i="8"/>
  <c r="N3633" i="8"/>
  <c r="L3633" i="8"/>
  <c r="N3632" i="8"/>
  <c r="L3632" i="8"/>
  <c r="N3631" i="8"/>
  <c r="L3631" i="8"/>
  <c r="N3630" i="8"/>
  <c r="L3630" i="8"/>
  <c r="N3629" i="8"/>
  <c r="L3629" i="8"/>
  <c r="N3628" i="8"/>
  <c r="L3628" i="8"/>
  <c r="N3627" i="8"/>
  <c r="L3627" i="8"/>
  <c r="N3626" i="8"/>
  <c r="L3626" i="8"/>
  <c r="N3625" i="8"/>
  <c r="L3625" i="8"/>
  <c r="N3624" i="8"/>
  <c r="L3624" i="8"/>
  <c r="N3623" i="8"/>
  <c r="L3623" i="8"/>
  <c r="N3622" i="8"/>
  <c r="L3622" i="8"/>
  <c r="N3621" i="8"/>
  <c r="L3621" i="8"/>
  <c r="N3620" i="8"/>
  <c r="L3620" i="8"/>
  <c r="N3619" i="8"/>
  <c r="L3619" i="8"/>
  <c r="N3618" i="8"/>
  <c r="L3618" i="8"/>
  <c r="N3617" i="8"/>
  <c r="L3617" i="8"/>
  <c r="N3616" i="8"/>
  <c r="L3616" i="8"/>
  <c r="N3615" i="8"/>
  <c r="L3615" i="8"/>
  <c r="N3614" i="8"/>
  <c r="L3614" i="8"/>
  <c r="N3613" i="8"/>
  <c r="L3613" i="8"/>
  <c r="N3612" i="8"/>
  <c r="L3612" i="8"/>
  <c r="N3611" i="8"/>
  <c r="L3611" i="8"/>
  <c r="N3610" i="8"/>
  <c r="L3610" i="8"/>
  <c r="N3609" i="8"/>
  <c r="L3609" i="8"/>
  <c r="N3608" i="8"/>
  <c r="L3608" i="8"/>
  <c r="N3607" i="8"/>
  <c r="L3607" i="8"/>
  <c r="N3606" i="8"/>
  <c r="L3606" i="8"/>
  <c r="N3605" i="8"/>
  <c r="L3605" i="8"/>
  <c r="N3604" i="8"/>
  <c r="L3604" i="8"/>
  <c r="N3603" i="8"/>
  <c r="L3603" i="8"/>
  <c r="N3602" i="8"/>
  <c r="L3602" i="8"/>
  <c r="N3601" i="8"/>
  <c r="L3601" i="8"/>
  <c r="N3600" i="8"/>
  <c r="L3600" i="8"/>
  <c r="N3599" i="8"/>
  <c r="L3599" i="8"/>
  <c r="N3598" i="8"/>
  <c r="L3598" i="8"/>
  <c r="N3597" i="8"/>
  <c r="L3597" i="8"/>
  <c r="N3596" i="8"/>
  <c r="L3596" i="8"/>
  <c r="N3595" i="8"/>
  <c r="L3595" i="8"/>
  <c r="N3594" i="8"/>
  <c r="L3594" i="8"/>
  <c r="N3593" i="8"/>
  <c r="L3593" i="8"/>
  <c r="N3592" i="8"/>
  <c r="L3592" i="8"/>
  <c r="N3591" i="8"/>
  <c r="L3591" i="8"/>
  <c r="N3590" i="8"/>
  <c r="L3590" i="8"/>
  <c r="N3589" i="8"/>
  <c r="L3589" i="8"/>
  <c r="N3588" i="8"/>
  <c r="L3588" i="8"/>
  <c r="N3587" i="8"/>
  <c r="L3587" i="8"/>
  <c r="N3586" i="8"/>
  <c r="L3586" i="8"/>
  <c r="N3585" i="8"/>
  <c r="L3585" i="8"/>
  <c r="N3584" i="8"/>
  <c r="L3584" i="8"/>
  <c r="N3583" i="8"/>
  <c r="L3583" i="8"/>
  <c r="N3582" i="8"/>
  <c r="L3582" i="8"/>
  <c r="N3581" i="8"/>
  <c r="L3581" i="8"/>
  <c r="N3580" i="8"/>
  <c r="L3580" i="8"/>
  <c r="N3579" i="8"/>
  <c r="L3579" i="8"/>
  <c r="N3578" i="8"/>
  <c r="L3578" i="8"/>
  <c r="N3577" i="8"/>
  <c r="L3577" i="8"/>
  <c r="N3576" i="8"/>
  <c r="L3576" i="8"/>
  <c r="N3575" i="8"/>
  <c r="L3575" i="8"/>
  <c r="N3574" i="8"/>
  <c r="L3574" i="8"/>
  <c r="N3573" i="8"/>
  <c r="L3573" i="8"/>
  <c r="N3572" i="8"/>
  <c r="L3572" i="8"/>
  <c r="N3571" i="8"/>
  <c r="L3571" i="8"/>
  <c r="N3570" i="8"/>
  <c r="L3570" i="8"/>
  <c r="N3569" i="8"/>
  <c r="L3569" i="8"/>
  <c r="N3568" i="8"/>
  <c r="L3568" i="8"/>
  <c r="N3567" i="8"/>
  <c r="L3567" i="8"/>
  <c r="N3566" i="8"/>
  <c r="L3566" i="8"/>
  <c r="N3565" i="8"/>
  <c r="L3565" i="8"/>
  <c r="N3564" i="8"/>
  <c r="L3564" i="8"/>
  <c r="N3563" i="8"/>
  <c r="L3563" i="8"/>
  <c r="N3562" i="8"/>
  <c r="L3562" i="8"/>
  <c r="N3561" i="8"/>
  <c r="L3561" i="8"/>
  <c r="N3560" i="8"/>
  <c r="L3560" i="8"/>
  <c r="N3559" i="8"/>
  <c r="L3559" i="8"/>
  <c r="N3558" i="8"/>
  <c r="L3558" i="8"/>
  <c r="N3557" i="8"/>
  <c r="L3557" i="8"/>
  <c r="N3556" i="8"/>
  <c r="L3556" i="8"/>
  <c r="N3555" i="8"/>
  <c r="L3555" i="8"/>
  <c r="N3554" i="8"/>
  <c r="L3554" i="8"/>
  <c r="N3553" i="8"/>
  <c r="L3553" i="8"/>
  <c r="N3552" i="8"/>
  <c r="L3552" i="8"/>
  <c r="N3551" i="8"/>
  <c r="L3551" i="8"/>
  <c r="N3550" i="8"/>
  <c r="L3550" i="8"/>
  <c r="N3549" i="8"/>
  <c r="L3549" i="8"/>
  <c r="N3548" i="8"/>
  <c r="L3548" i="8"/>
  <c r="N3547" i="8"/>
  <c r="L3547" i="8"/>
  <c r="N3546" i="8"/>
  <c r="L3546" i="8"/>
  <c r="N3545" i="8"/>
  <c r="L3545" i="8"/>
  <c r="N3544" i="8"/>
  <c r="L3544" i="8"/>
  <c r="N3543" i="8"/>
  <c r="L3543" i="8"/>
  <c r="N3542" i="8"/>
  <c r="L3542" i="8"/>
  <c r="N3541" i="8"/>
  <c r="L3541" i="8"/>
  <c r="N3540" i="8"/>
  <c r="L3540" i="8"/>
  <c r="N3539" i="8"/>
  <c r="L3539" i="8"/>
  <c r="N3538" i="8"/>
  <c r="L3538" i="8"/>
  <c r="N3537" i="8"/>
  <c r="L3537" i="8"/>
  <c r="N3536" i="8"/>
  <c r="L3536" i="8"/>
  <c r="N3535" i="8"/>
  <c r="L3535" i="8"/>
  <c r="N3534" i="8"/>
  <c r="L3534" i="8"/>
  <c r="N3533" i="8"/>
  <c r="L3533" i="8"/>
  <c r="N3532" i="8"/>
  <c r="L3532" i="8"/>
  <c r="N3531" i="8"/>
  <c r="L3531" i="8"/>
  <c r="N3530" i="8"/>
  <c r="L3530" i="8"/>
  <c r="N3529" i="8"/>
  <c r="L3529" i="8"/>
  <c r="N3528" i="8"/>
  <c r="L3528" i="8"/>
  <c r="N3527" i="8"/>
  <c r="L3527" i="8"/>
  <c r="N3526" i="8"/>
  <c r="L3526" i="8"/>
  <c r="N3525" i="8"/>
  <c r="L3525" i="8"/>
  <c r="N3524" i="8"/>
  <c r="L3524" i="8"/>
  <c r="N3523" i="8"/>
  <c r="L3523" i="8"/>
  <c r="N3522" i="8"/>
  <c r="L3522" i="8"/>
  <c r="N3521" i="8"/>
  <c r="L3521" i="8"/>
  <c r="N3520" i="8"/>
  <c r="L3520" i="8"/>
  <c r="N3519" i="8"/>
  <c r="L3519" i="8"/>
  <c r="N3518" i="8"/>
  <c r="L3518" i="8"/>
  <c r="N3517" i="8"/>
  <c r="L3517" i="8"/>
  <c r="N3516" i="8"/>
  <c r="L3516" i="8"/>
  <c r="N3515" i="8"/>
  <c r="L3515" i="8"/>
  <c r="N3514" i="8"/>
  <c r="L3514" i="8"/>
  <c r="N3513" i="8"/>
  <c r="L3513" i="8"/>
  <c r="N3512" i="8"/>
  <c r="L3512" i="8"/>
  <c r="N3511" i="8"/>
  <c r="L3511" i="8"/>
  <c r="N3510" i="8"/>
  <c r="L3510" i="8"/>
  <c r="N3509" i="8"/>
  <c r="L3509" i="8"/>
  <c r="N3508" i="8"/>
  <c r="L3508" i="8"/>
  <c r="N3507" i="8"/>
  <c r="L3507" i="8"/>
  <c r="N3506" i="8"/>
  <c r="L3506" i="8"/>
  <c r="N3505" i="8"/>
  <c r="L3505" i="8"/>
  <c r="N3504" i="8"/>
  <c r="L3504" i="8"/>
  <c r="N3503" i="8"/>
  <c r="L3503" i="8"/>
  <c r="N3502" i="8"/>
  <c r="L3502" i="8"/>
  <c r="N3501" i="8"/>
  <c r="L3501" i="8"/>
  <c r="N3500" i="8"/>
  <c r="L3500" i="8"/>
  <c r="N3499" i="8"/>
  <c r="L3499" i="8"/>
  <c r="N3498" i="8"/>
  <c r="L3498" i="8"/>
  <c r="N3497" i="8"/>
  <c r="L3497" i="8"/>
  <c r="N3496" i="8"/>
  <c r="L3496" i="8"/>
  <c r="N3495" i="8"/>
  <c r="L3495" i="8"/>
  <c r="N3494" i="8"/>
  <c r="L3494" i="8"/>
  <c r="N3493" i="8"/>
  <c r="L3493" i="8"/>
  <c r="N3492" i="8"/>
  <c r="L3492" i="8"/>
  <c r="N3491" i="8"/>
  <c r="L3491" i="8"/>
  <c r="N3490" i="8"/>
  <c r="L3490" i="8"/>
  <c r="N3489" i="8"/>
  <c r="L3489" i="8"/>
  <c r="N3488" i="8"/>
  <c r="L3488" i="8"/>
  <c r="N3487" i="8"/>
  <c r="L3487" i="8"/>
  <c r="N3486" i="8"/>
  <c r="L3486" i="8"/>
  <c r="N3485" i="8"/>
  <c r="L3485" i="8"/>
  <c r="N3484" i="8"/>
  <c r="L3484" i="8"/>
  <c r="N3483" i="8"/>
  <c r="L3483" i="8"/>
  <c r="N3482" i="8"/>
  <c r="L3482" i="8"/>
  <c r="N3481" i="8"/>
  <c r="L3481" i="8"/>
  <c r="N3480" i="8"/>
  <c r="L3480" i="8"/>
  <c r="N3479" i="8"/>
  <c r="L3479" i="8"/>
  <c r="N3478" i="8"/>
  <c r="L3478" i="8"/>
  <c r="N3477" i="8"/>
  <c r="L3477" i="8"/>
  <c r="N3476" i="8"/>
  <c r="L3476" i="8"/>
  <c r="N3475" i="8"/>
  <c r="L3475" i="8"/>
  <c r="N3474" i="8"/>
  <c r="L3474" i="8"/>
  <c r="N3473" i="8"/>
  <c r="L3473" i="8"/>
  <c r="N3472" i="8"/>
  <c r="L3472" i="8"/>
  <c r="N3471" i="8"/>
  <c r="L3471" i="8"/>
  <c r="N3470" i="8"/>
  <c r="L3470" i="8"/>
  <c r="N3469" i="8"/>
  <c r="L3469" i="8"/>
  <c r="N3468" i="8"/>
  <c r="L3468" i="8"/>
  <c r="N3467" i="8"/>
  <c r="L3467" i="8"/>
  <c r="N3466" i="8"/>
  <c r="L3466" i="8"/>
  <c r="N3465" i="8"/>
  <c r="L3465" i="8"/>
  <c r="N3464" i="8"/>
  <c r="L3464" i="8"/>
  <c r="N3463" i="8"/>
  <c r="L3463" i="8"/>
  <c r="N3462" i="8"/>
  <c r="L3462" i="8"/>
  <c r="N3461" i="8"/>
  <c r="L3461" i="8"/>
  <c r="N3460" i="8"/>
  <c r="L3460" i="8"/>
  <c r="N3459" i="8"/>
  <c r="L3459" i="8"/>
  <c r="N3458" i="8"/>
  <c r="L3458" i="8"/>
  <c r="N3457" i="8"/>
  <c r="L3457" i="8"/>
  <c r="N3456" i="8"/>
  <c r="L3456" i="8"/>
  <c r="N3455" i="8"/>
  <c r="L3455" i="8"/>
  <c r="N3454" i="8"/>
  <c r="L3454" i="8"/>
  <c r="N3453" i="8"/>
  <c r="L3453" i="8"/>
  <c r="N3452" i="8"/>
  <c r="L3452" i="8"/>
  <c r="N3451" i="8"/>
  <c r="L3451" i="8"/>
  <c r="N3450" i="8"/>
  <c r="L3450" i="8"/>
  <c r="N3449" i="8"/>
  <c r="L3449" i="8"/>
  <c r="N3448" i="8"/>
  <c r="L3448" i="8"/>
  <c r="N3447" i="8"/>
  <c r="L3447" i="8"/>
  <c r="N3446" i="8"/>
  <c r="L3446" i="8"/>
  <c r="N3445" i="8"/>
  <c r="L3445" i="8"/>
  <c r="N3444" i="8"/>
  <c r="L3444" i="8"/>
  <c r="N3443" i="8"/>
  <c r="L3443" i="8"/>
  <c r="N3442" i="8"/>
  <c r="L3442" i="8"/>
  <c r="N3441" i="8"/>
  <c r="L3441" i="8"/>
  <c r="N3440" i="8"/>
  <c r="L3440" i="8"/>
  <c r="N3439" i="8"/>
  <c r="L3439" i="8"/>
  <c r="N3438" i="8"/>
  <c r="L3438" i="8"/>
  <c r="N3437" i="8"/>
  <c r="L3437" i="8"/>
  <c r="N3436" i="8"/>
  <c r="L3436" i="8"/>
  <c r="N3435" i="8"/>
  <c r="L3435" i="8"/>
  <c r="N3434" i="8"/>
  <c r="L3434" i="8"/>
  <c r="N3433" i="8"/>
  <c r="L3433" i="8"/>
  <c r="N3432" i="8"/>
  <c r="L3432" i="8"/>
  <c r="N3431" i="8"/>
  <c r="L3431" i="8"/>
  <c r="N3430" i="8"/>
  <c r="L3430" i="8"/>
  <c r="N3429" i="8"/>
  <c r="L3429" i="8"/>
  <c r="N3428" i="8"/>
  <c r="L3428" i="8"/>
  <c r="N3427" i="8"/>
  <c r="L3427" i="8"/>
  <c r="N3426" i="8"/>
  <c r="L3426" i="8"/>
  <c r="N3425" i="8"/>
  <c r="L3425" i="8"/>
  <c r="N3424" i="8"/>
  <c r="L3424" i="8"/>
  <c r="N3423" i="8"/>
  <c r="L3423" i="8"/>
  <c r="N3422" i="8"/>
  <c r="L3422" i="8"/>
  <c r="N3421" i="8"/>
  <c r="L3421" i="8"/>
  <c r="N3420" i="8"/>
  <c r="L3420" i="8"/>
  <c r="N3419" i="8"/>
  <c r="L3419" i="8"/>
  <c r="N3418" i="8"/>
  <c r="L3418" i="8"/>
  <c r="N3417" i="8"/>
  <c r="L3417" i="8"/>
  <c r="N3416" i="8"/>
  <c r="L3416" i="8"/>
  <c r="N3415" i="8"/>
  <c r="L3415" i="8"/>
  <c r="N3414" i="8"/>
  <c r="L3414" i="8"/>
  <c r="N3413" i="8"/>
  <c r="L3413" i="8"/>
  <c r="N3412" i="8"/>
  <c r="L3412" i="8"/>
  <c r="N3411" i="8"/>
  <c r="L3411" i="8"/>
  <c r="N3410" i="8"/>
  <c r="L3410" i="8"/>
  <c r="N3409" i="8"/>
  <c r="L3409" i="8"/>
  <c r="N3408" i="8"/>
  <c r="L3408" i="8"/>
  <c r="N3407" i="8"/>
  <c r="L3407" i="8"/>
  <c r="N3406" i="8"/>
  <c r="L3406" i="8"/>
  <c r="N3405" i="8"/>
  <c r="L3405" i="8"/>
  <c r="N3404" i="8"/>
  <c r="L3404" i="8"/>
  <c r="N3403" i="8"/>
  <c r="L3403" i="8"/>
  <c r="N3402" i="8"/>
  <c r="L3402" i="8"/>
  <c r="N3401" i="8"/>
  <c r="L3401" i="8"/>
  <c r="N3400" i="8"/>
  <c r="L3400" i="8"/>
  <c r="N3399" i="8"/>
  <c r="L3399" i="8"/>
  <c r="N3398" i="8"/>
  <c r="L3398" i="8"/>
  <c r="N3397" i="8"/>
  <c r="L3397" i="8"/>
  <c r="N3396" i="8"/>
  <c r="L3396" i="8"/>
  <c r="N3395" i="8"/>
  <c r="L3395" i="8"/>
  <c r="N3394" i="8"/>
  <c r="L3394" i="8"/>
  <c r="N3393" i="8"/>
  <c r="L3393" i="8"/>
  <c r="N3392" i="8"/>
  <c r="L3392" i="8"/>
  <c r="N3391" i="8"/>
  <c r="L3391" i="8"/>
  <c r="N3390" i="8"/>
  <c r="L3390" i="8"/>
  <c r="N3389" i="8"/>
  <c r="L3389" i="8"/>
  <c r="N3388" i="8"/>
  <c r="L3388" i="8"/>
  <c r="N3387" i="8"/>
  <c r="L3387" i="8"/>
  <c r="N3386" i="8"/>
  <c r="L3386" i="8"/>
  <c r="N3385" i="8"/>
  <c r="L3385" i="8"/>
  <c r="N3384" i="8"/>
  <c r="L3384" i="8"/>
  <c r="N3383" i="8"/>
  <c r="L3383" i="8"/>
  <c r="N3382" i="8"/>
  <c r="L3382" i="8"/>
  <c r="N3381" i="8"/>
  <c r="L3381" i="8"/>
  <c r="N3380" i="8"/>
  <c r="L3380" i="8"/>
  <c r="N3379" i="8"/>
  <c r="L3379" i="8"/>
  <c r="N3378" i="8"/>
  <c r="L3378" i="8"/>
  <c r="N3377" i="8"/>
  <c r="L3377" i="8"/>
  <c r="N3376" i="8"/>
  <c r="L3376" i="8"/>
  <c r="N3375" i="8"/>
  <c r="L3375" i="8"/>
  <c r="N3374" i="8"/>
  <c r="L3374" i="8"/>
  <c r="N3373" i="8"/>
  <c r="L3373" i="8"/>
  <c r="N3372" i="8"/>
  <c r="L3372" i="8"/>
  <c r="N3371" i="8"/>
  <c r="L3371" i="8"/>
  <c r="N3370" i="8"/>
  <c r="L3370" i="8"/>
  <c r="N3369" i="8"/>
  <c r="L3369" i="8"/>
  <c r="N3368" i="8"/>
  <c r="L3368" i="8"/>
  <c r="N3367" i="8"/>
  <c r="L3367" i="8"/>
  <c r="N3366" i="8"/>
  <c r="L3366" i="8"/>
  <c r="N3365" i="8"/>
  <c r="L3365" i="8"/>
  <c r="N3364" i="8"/>
  <c r="L3364" i="8"/>
  <c r="N3363" i="8"/>
  <c r="L3363" i="8"/>
  <c r="N3362" i="8"/>
  <c r="L3362" i="8"/>
  <c r="N3361" i="8"/>
  <c r="L3361" i="8"/>
  <c r="N3360" i="8"/>
  <c r="L3360" i="8"/>
  <c r="N3359" i="8"/>
  <c r="L3359" i="8"/>
  <c r="N3358" i="8"/>
  <c r="L3358" i="8"/>
  <c r="N3357" i="8"/>
  <c r="L3357" i="8"/>
  <c r="N3356" i="8"/>
  <c r="L3356" i="8"/>
  <c r="N3355" i="8"/>
  <c r="L3355" i="8"/>
  <c r="N3354" i="8"/>
  <c r="L3354" i="8"/>
  <c r="N3353" i="8"/>
  <c r="L3353" i="8"/>
  <c r="N3352" i="8"/>
  <c r="L3352" i="8"/>
  <c r="N3351" i="8"/>
  <c r="L3351" i="8"/>
  <c r="N3350" i="8"/>
  <c r="L3350" i="8"/>
  <c r="N3349" i="8"/>
  <c r="L3349" i="8"/>
  <c r="N3348" i="8"/>
  <c r="L3348" i="8"/>
  <c r="N3347" i="8"/>
  <c r="L3347" i="8"/>
  <c r="N3346" i="8"/>
  <c r="L3346" i="8"/>
  <c r="N3345" i="8"/>
  <c r="L3345" i="8"/>
  <c r="N3344" i="8"/>
  <c r="L3344" i="8"/>
  <c r="N3343" i="8"/>
  <c r="L3343" i="8"/>
  <c r="N3342" i="8"/>
  <c r="L3342" i="8"/>
  <c r="N3341" i="8"/>
  <c r="L3341" i="8"/>
  <c r="N3340" i="8"/>
  <c r="L3340" i="8"/>
  <c r="N3339" i="8"/>
  <c r="L3339" i="8"/>
  <c r="N3338" i="8"/>
  <c r="L3338" i="8"/>
  <c r="N3337" i="8"/>
  <c r="L3337" i="8"/>
  <c r="N3336" i="8"/>
  <c r="L3336" i="8"/>
  <c r="N3335" i="8"/>
  <c r="L3335" i="8"/>
  <c r="N3334" i="8"/>
  <c r="L3334" i="8"/>
  <c r="N3333" i="8"/>
  <c r="L3333" i="8"/>
  <c r="N3332" i="8"/>
  <c r="L3332" i="8"/>
  <c r="N3331" i="8"/>
  <c r="L3331" i="8"/>
  <c r="N3330" i="8"/>
  <c r="L3330" i="8"/>
  <c r="N3329" i="8"/>
  <c r="L3329" i="8"/>
  <c r="N3328" i="8"/>
  <c r="L3328" i="8"/>
  <c r="N3327" i="8"/>
  <c r="L3327" i="8"/>
  <c r="N3326" i="8"/>
  <c r="L3326" i="8"/>
  <c r="N3325" i="8"/>
  <c r="L3325" i="8"/>
  <c r="N3324" i="8"/>
  <c r="L3324" i="8"/>
  <c r="N3323" i="8"/>
  <c r="L3323" i="8"/>
  <c r="N3322" i="8"/>
  <c r="L3322" i="8"/>
  <c r="N3321" i="8"/>
  <c r="L3321" i="8"/>
  <c r="N3320" i="8"/>
  <c r="L3320" i="8"/>
  <c r="N3319" i="8"/>
  <c r="L3319" i="8"/>
  <c r="N3318" i="8"/>
  <c r="L3318" i="8"/>
  <c r="V3317" i="8"/>
  <c r="N3317" i="8"/>
  <c r="L3317" i="8"/>
  <c r="V3316" i="8"/>
  <c r="N3316" i="8"/>
  <c r="L3316" i="8"/>
  <c r="V3315" i="8"/>
  <c r="N3315" i="8"/>
  <c r="L3315" i="8"/>
  <c r="V3314" i="8"/>
  <c r="N3314" i="8"/>
  <c r="L3314" i="8"/>
  <c r="V3313" i="8"/>
  <c r="N3313" i="8"/>
  <c r="L3313" i="8"/>
  <c r="V3312" i="8"/>
  <c r="N3312" i="8"/>
  <c r="L3312" i="8"/>
  <c r="V3311" i="8"/>
  <c r="N3311" i="8"/>
  <c r="L3311" i="8"/>
  <c r="V3310" i="8"/>
  <c r="N3310" i="8"/>
  <c r="L3310" i="8"/>
  <c r="V3309" i="8"/>
  <c r="N3309" i="8"/>
  <c r="L3309" i="8"/>
  <c r="V3308" i="8"/>
  <c r="N3308" i="8"/>
  <c r="L3308" i="8"/>
  <c r="V3307" i="8"/>
  <c r="N3307" i="8"/>
  <c r="L3307" i="8"/>
  <c r="V3306" i="8"/>
  <c r="N3306" i="8"/>
  <c r="L3306" i="8"/>
  <c r="V3305" i="8"/>
  <c r="N3305" i="8"/>
  <c r="L3305" i="8"/>
  <c r="V3304" i="8"/>
  <c r="N3304" i="8"/>
  <c r="L3304" i="8"/>
  <c r="V3303" i="8"/>
  <c r="N3303" i="8"/>
  <c r="L3303" i="8"/>
  <c r="V3302" i="8"/>
  <c r="N3302" i="8"/>
  <c r="L3302" i="8"/>
  <c r="V3301" i="8"/>
  <c r="N3301" i="8"/>
  <c r="L3301" i="8"/>
  <c r="V3300" i="8"/>
  <c r="N3300" i="8"/>
  <c r="L3300" i="8"/>
  <c r="V3299" i="8"/>
  <c r="N3299" i="8"/>
  <c r="L3299" i="8"/>
  <c r="V3298" i="8"/>
  <c r="N3298" i="8"/>
  <c r="L3298" i="8"/>
  <c r="V3297" i="8"/>
  <c r="N3297" i="8"/>
  <c r="L3297" i="8"/>
  <c r="V3296" i="8"/>
  <c r="N3296" i="8"/>
  <c r="L3296" i="8"/>
  <c r="V3295" i="8"/>
  <c r="N3295" i="8"/>
  <c r="L3295" i="8"/>
  <c r="V3294" i="8"/>
  <c r="N3294" i="8"/>
  <c r="L3294" i="8"/>
  <c r="V3293" i="8"/>
  <c r="N3293" i="8"/>
  <c r="L3293" i="8"/>
  <c r="V3292" i="8"/>
  <c r="N3292" i="8"/>
  <c r="L3292" i="8"/>
  <c r="V3291" i="8"/>
  <c r="N3291" i="8"/>
  <c r="L3291" i="8"/>
  <c r="V3290" i="8"/>
  <c r="N3290" i="8"/>
  <c r="L3290" i="8"/>
  <c r="V3289" i="8"/>
  <c r="N3289" i="8"/>
  <c r="L3289" i="8"/>
  <c r="V3288" i="8"/>
  <c r="N3288" i="8"/>
  <c r="L3288" i="8"/>
  <c r="V3287" i="8"/>
  <c r="N3287" i="8"/>
  <c r="L3287" i="8"/>
  <c r="V3286" i="8"/>
  <c r="N3286" i="8"/>
  <c r="L3286" i="8"/>
  <c r="V3285" i="8"/>
  <c r="N3285" i="8"/>
  <c r="L3285" i="8"/>
  <c r="V3284" i="8"/>
  <c r="N3284" i="8"/>
  <c r="L3284" i="8"/>
  <c r="V3283" i="8"/>
  <c r="N3283" i="8"/>
  <c r="L3283" i="8"/>
  <c r="V3282" i="8"/>
  <c r="N3282" i="8"/>
  <c r="L3282" i="8"/>
  <c r="V3281" i="8"/>
  <c r="N3281" i="8"/>
  <c r="L3281" i="8"/>
  <c r="V3280" i="8"/>
  <c r="N3280" i="8"/>
  <c r="L3280" i="8"/>
  <c r="V3279" i="8"/>
  <c r="N3279" i="8"/>
  <c r="L3279" i="8"/>
  <c r="V3278" i="8"/>
  <c r="N3278" i="8"/>
  <c r="L3278" i="8"/>
  <c r="V3277" i="8"/>
  <c r="N3277" i="8"/>
  <c r="L3277" i="8"/>
  <c r="V3276" i="8"/>
  <c r="N3276" i="8"/>
  <c r="L3276" i="8"/>
  <c r="V3275" i="8"/>
  <c r="N3275" i="8"/>
  <c r="L3275" i="8"/>
  <c r="V3274" i="8"/>
  <c r="N3274" i="8"/>
  <c r="L3274" i="8"/>
  <c r="V3273" i="8"/>
  <c r="N3273" i="8"/>
  <c r="L3273" i="8"/>
  <c r="V3272" i="8"/>
  <c r="N3272" i="8"/>
  <c r="L3272" i="8"/>
  <c r="V3271" i="8"/>
  <c r="N3271" i="8"/>
  <c r="L3271" i="8"/>
  <c r="V3270" i="8"/>
  <c r="N3270" i="8"/>
  <c r="L3270" i="8"/>
  <c r="V3269" i="8"/>
  <c r="N3269" i="8"/>
  <c r="L3269" i="8"/>
  <c r="V3268" i="8"/>
  <c r="N3268" i="8"/>
  <c r="L3268" i="8"/>
  <c r="V3267" i="8"/>
  <c r="N3267" i="8"/>
  <c r="L3267" i="8"/>
  <c r="V3266" i="8"/>
  <c r="N3266" i="8"/>
  <c r="L3266" i="8"/>
  <c r="V3265" i="8"/>
  <c r="N3265" i="8"/>
  <c r="L3265" i="8"/>
  <c r="V3264" i="8"/>
  <c r="N3264" i="8"/>
  <c r="L3264" i="8"/>
  <c r="V3263" i="8"/>
  <c r="N3263" i="8"/>
  <c r="L3263" i="8"/>
  <c r="V3262" i="8"/>
  <c r="N3262" i="8"/>
  <c r="L3262" i="8"/>
  <c r="V3261" i="8"/>
  <c r="N3261" i="8"/>
  <c r="L3261" i="8"/>
  <c r="V3260" i="8"/>
  <c r="N3260" i="8"/>
  <c r="L3260" i="8"/>
  <c r="V3259" i="8"/>
  <c r="N3259" i="8"/>
  <c r="L3259" i="8"/>
  <c r="V3258" i="8"/>
  <c r="N3258" i="8"/>
  <c r="L3258" i="8"/>
  <c r="V3257" i="8"/>
  <c r="N3257" i="8"/>
  <c r="L3257" i="8"/>
  <c r="V3256" i="8"/>
  <c r="N3256" i="8"/>
  <c r="L3256" i="8"/>
  <c r="V3255" i="8"/>
  <c r="N3255" i="8"/>
  <c r="L3255" i="8"/>
  <c r="V3254" i="8"/>
  <c r="N3254" i="8"/>
  <c r="L3254" i="8"/>
  <c r="V3253" i="8"/>
  <c r="N3253" i="8"/>
  <c r="L3253" i="8"/>
  <c r="V3252" i="8"/>
  <c r="N3252" i="8"/>
  <c r="L3252" i="8"/>
  <c r="V3251" i="8"/>
  <c r="N3251" i="8"/>
  <c r="L3251" i="8"/>
  <c r="V3250" i="8"/>
  <c r="N3250" i="8"/>
  <c r="L3250" i="8"/>
  <c r="V3249" i="8"/>
  <c r="N3249" i="8"/>
  <c r="L3249" i="8"/>
  <c r="V3248" i="8"/>
  <c r="N3248" i="8"/>
  <c r="L3248" i="8"/>
  <c r="V3247" i="8"/>
  <c r="N3247" i="8"/>
  <c r="L3247" i="8"/>
  <c r="V3246" i="8"/>
  <c r="N3246" i="8"/>
  <c r="L3246" i="8"/>
  <c r="V3245" i="8"/>
  <c r="N3245" i="8"/>
  <c r="L3245" i="8"/>
  <c r="V3244" i="8"/>
  <c r="N3244" i="8"/>
  <c r="L3244" i="8"/>
  <c r="V3243" i="8"/>
  <c r="N3243" i="8"/>
  <c r="L3243" i="8"/>
  <c r="V3242" i="8"/>
  <c r="N3242" i="8"/>
  <c r="L3242" i="8"/>
  <c r="V3241" i="8"/>
  <c r="N3241" i="8"/>
  <c r="L3241" i="8"/>
  <c r="V3240" i="8"/>
  <c r="N3240" i="8"/>
  <c r="L3240" i="8"/>
  <c r="V3239" i="8"/>
  <c r="N3239" i="8"/>
  <c r="L3239" i="8"/>
  <c r="V3238" i="8"/>
  <c r="N3238" i="8"/>
  <c r="L3238" i="8"/>
  <c r="V3237" i="8"/>
  <c r="N3237" i="8"/>
  <c r="L3237" i="8"/>
  <c r="V3236" i="8"/>
  <c r="N3236" i="8"/>
  <c r="L3236" i="8"/>
  <c r="V3235" i="8"/>
  <c r="N3235" i="8"/>
  <c r="L3235" i="8"/>
  <c r="V3234" i="8"/>
  <c r="N3234" i="8"/>
  <c r="L3234" i="8"/>
  <c r="V3233" i="8"/>
  <c r="N3233" i="8"/>
  <c r="L3233" i="8"/>
  <c r="V3232" i="8"/>
  <c r="N3232" i="8"/>
  <c r="L3232" i="8"/>
  <c r="V3231" i="8"/>
  <c r="N3231" i="8"/>
  <c r="L3231" i="8"/>
  <c r="V3230" i="8"/>
  <c r="N3230" i="8"/>
  <c r="L3230" i="8"/>
  <c r="V3229" i="8"/>
  <c r="N3229" i="8"/>
  <c r="L3229" i="8"/>
  <c r="V3228" i="8"/>
  <c r="N3228" i="8"/>
  <c r="L3228" i="8"/>
  <c r="V3227" i="8"/>
  <c r="N3227" i="8"/>
  <c r="L3227" i="8"/>
  <c r="V3226" i="8"/>
  <c r="N3226" i="8"/>
  <c r="L3226" i="8"/>
  <c r="V3225" i="8"/>
  <c r="N3225" i="8"/>
  <c r="L3225" i="8"/>
  <c r="V3224" i="8"/>
  <c r="N3224" i="8"/>
  <c r="L3224" i="8"/>
  <c r="V3223" i="8"/>
  <c r="N3223" i="8"/>
  <c r="L3223" i="8"/>
  <c r="V3222" i="8"/>
  <c r="N3222" i="8"/>
  <c r="L3222" i="8"/>
  <c r="V3221" i="8"/>
  <c r="N3221" i="8"/>
  <c r="L3221" i="8"/>
  <c r="V3220" i="8"/>
  <c r="N3220" i="8"/>
  <c r="L3220" i="8"/>
  <c r="V3219" i="8"/>
  <c r="N3219" i="8"/>
  <c r="L3219" i="8"/>
  <c r="V3218" i="8"/>
  <c r="N3218" i="8"/>
  <c r="L3218" i="8"/>
  <c r="V3217" i="8"/>
  <c r="N3217" i="8"/>
  <c r="L3217" i="8"/>
  <c r="V3216" i="8"/>
  <c r="N3216" i="8"/>
  <c r="L3216" i="8"/>
  <c r="V3215" i="8"/>
  <c r="N3215" i="8"/>
  <c r="L3215" i="8"/>
  <c r="V3214" i="8"/>
  <c r="N3214" i="8"/>
  <c r="L3214" i="8"/>
  <c r="V3213" i="8"/>
  <c r="N3213" i="8"/>
  <c r="L3213" i="8"/>
  <c r="V3212" i="8"/>
  <c r="N3212" i="8"/>
  <c r="L3212" i="8"/>
  <c r="V3211" i="8"/>
  <c r="N3211" i="8"/>
  <c r="L3211" i="8"/>
  <c r="V3210" i="8"/>
  <c r="N3210" i="8"/>
  <c r="L3210" i="8"/>
  <c r="V3209" i="8"/>
  <c r="N3209" i="8"/>
  <c r="L3209" i="8"/>
  <c r="V3208" i="8"/>
  <c r="N3208" i="8"/>
  <c r="L3208" i="8"/>
  <c r="V3207" i="8"/>
  <c r="N3207" i="8"/>
  <c r="L3207" i="8"/>
  <c r="V3206" i="8"/>
  <c r="N3206" i="8"/>
  <c r="L3206" i="8"/>
  <c r="V3205" i="8"/>
  <c r="N3205" i="8"/>
  <c r="L3205" i="8"/>
  <c r="V3204" i="8"/>
  <c r="N3204" i="8"/>
  <c r="L3204" i="8"/>
  <c r="V3203" i="8"/>
  <c r="N3203" i="8"/>
  <c r="L3203" i="8"/>
  <c r="V3202" i="8"/>
  <c r="N3202" i="8"/>
  <c r="L3202" i="8"/>
  <c r="V3201" i="8"/>
  <c r="N3201" i="8"/>
  <c r="L3201" i="8"/>
  <c r="V3200" i="8"/>
  <c r="N3200" i="8"/>
  <c r="L3200" i="8"/>
  <c r="V3199" i="8"/>
  <c r="N3199" i="8"/>
  <c r="L3199" i="8"/>
  <c r="V3198" i="8"/>
  <c r="N3198" i="8"/>
  <c r="L3198" i="8"/>
  <c r="V3197" i="8"/>
  <c r="N3197" i="8"/>
  <c r="L3197" i="8"/>
  <c r="N3196" i="8"/>
  <c r="L3196" i="8"/>
  <c r="N3195" i="8"/>
  <c r="L3195" i="8"/>
  <c r="N3194" i="8"/>
  <c r="L3194" i="8"/>
  <c r="N3193" i="8"/>
  <c r="L3193" i="8"/>
  <c r="N3192" i="8"/>
  <c r="L3192" i="8"/>
  <c r="N3191" i="8"/>
  <c r="L3191" i="8"/>
  <c r="N3190" i="8"/>
  <c r="L3190" i="8"/>
  <c r="N3189" i="8"/>
  <c r="L3189" i="8"/>
  <c r="N3188" i="8"/>
  <c r="L3188" i="8"/>
  <c r="N3187" i="8"/>
  <c r="L3187" i="8"/>
  <c r="N3186" i="8"/>
  <c r="L3186" i="8"/>
  <c r="N3185" i="8"/>
  <c r="L3185" i="8"/>
  <c r="N3184" i="8"/>
  <c r="L3184" i="8"/>
  <c r="N3183" i="8"/>
  <c r="L3183" i="8"/>
  <c r="N3182" i="8"/>
  <c r="L3182" i="8"/>
  <c r="N3181" i="8"/>
  <c r="L3181" i="8"/>
  <c r="N3180" i="8"/>
  <c r="L3180" i="8"/>
  <c r="N3179" i="8"/>
  <c r="L3179" i="8"/>
  <c r="N3178" i="8"/>
  <c r="L3178" i="8"/>
  <c r="N3177" i="8"/>
  <c r="L3177" i="8"/>
  <c r="N3176" i="8"/>
  <c r="L3176" i="8"/>
  <c r="N3175" i="8"/>
  <c r="L3175" i="8"/>
  <c r="N3174" i="8"/>
  <c r="L3174" i="8"/>
  <c r="N3173" i="8"/>
  <c r="L3173" i="8"/>
  <c r="N3172" i="8"/>
  <c r="L3172" i="8"/>
  <c r="N3171" i="8"/>
  <c r="L3171" i="8"/>
  <c r="N3170" i="8"/>
  <c r="L3170" i="8"/>
  <c r="N3169" i="8"/>
  <c r="L3169" i="8"/>
  <c r="N3168" i="8"/>
  <c r="L3168" i="8"/>
  <c r="N3167" i="8"/>
  <c r="L3167" i="8"/>
  <c r="N3166" i="8"/>
  <c r="L3166" i="8"/>
  <c r="N3165" i="8"/>
  <c r="L3165" i="8"/>
  <c r="O3164" i="8"/>
  <c r="N3164" i="8"/>
  <c r="L3164" i="8"/>
  <c r="N3163" i="8"/>
  <c r="L3163" i="8"/>
  <c r="O3162" i="8"/>
  <c r="N3162" i="8"/>
  <c r="L3162" i="8"/>
  <c r="N3161" i="8"/>
  <c r="L3161" i="8"/>
  <c r="O3160" i="8"/>
  <c r="N3160" i="8"/>
  <c r="L3160" i="8"/>
  <c r="N3159" i="8"/>
  <c r="L3159" i="8"/>
  <c r="O3158" i="8"/>
  <c r="N3158" i="8"/>
  <c r="L3158" i="8"/>
  <c r="N3157" i="8"/>
  <c r="L3157" i="8"/>
  <c r="O3156" i="8"/>
  <c r="N3156" i="8"/>
  <c r="L3156" i="8"/>
  <c r="N3155" i="8"/>
  <c r="L3155" i="8"/>
  <c r="O3154" i="8"/>
  <c r="N3154" i="8"/>
  <c r="L3154" i="8"/>
  <c r="N3153" i="8"/>
  <c r="L3153" i="8"/>
  <c r="O3152" i="8"/>
  <c r="N3152" i="8"/>
  <c r="L3152" i="8"/>
  <c r="O3151" i="8"/>
  <c r="N3151" i="8"/>
  <c r="L3151" i="8"/>
  <c r="N3150" i="8"/>
  <c r="L3150" i="8"/>
  <c r="O3149" i="8"/>
  <c r="N3149" i="8"/>
  <c r="L3149" i="8"/>
  <c r="N3148" i="8"/>
  <c r="L3148" i="8"/>
  <c r="O3147" i="8"/>
  <c r="N3147" i="8"/>
  <c r="L3147" i="8"/>
  <c r="N3146" i="8"/>
  <c r="L3146" i="8"/>
  <c r="O3145" i="8"/>
  <c r="N3145" i="8"/>
  <c r="L3145" i="8"/>
  <c r="N3144" i="8"/>
  <c r="L3144" i="8"/>
  <c r="O3143" i="8"/>
  <c r="N3143" i="8"/>
  <c r="L3143" i="8"/>
  <c r="O3142" i="8"/>
  <c r="N3142" i="8"/>
  <c r="L3142" i="8"/>
  <c r="N3141" i="8"/>
  <c r="L3141" i="8"/>
  <c r="N3140" i="8"/>
  <c r="L3140" i="8"/>
  <c r="O3139" i="8"/>
  <c r="N3139" i="8"/>
  <c r="L3139" i="8"/>
  <c r="N3138" i="8"/>
  <c r="L3138" i="8"/>
  <c r="N3137" i="8"/>
  <c r="L3137" i="8"/>
  <c r="O3136" i="8"/>
  <c r="N3136" i="8"/>
  <c r="L3136" i="8"/>
  <c r="N3135" i="8"/>
  <c r="L3135" i="8"/>
  <c r="O3134" i="8"/>
  <c r="N3134" i="8"/>
  <c r="L3134" i="8"/>
  <c r="N3133" i="8"/>
  <c r="L3133" i="8"/>
  <c r="O3132" i="8"/>
  <c r="N3132" i="8"/>
  <c r="L3132" i="8"/>
  <c r="O3131" i="8"/>
  <c r="N3131" i="8"/>
  <c r="L3131" i="8"/>
  <c r="N3130" i="8"/>
  <c r="L3130" i="8"/>
  <c r="O3129" i="8"/>
  <c r="N3129" i="8"/>
  <c r="L3129" i="8"/>
  <c r="N3128" i="8"/>
  <c r="L3128" i="8"/>
  <c r="O3127" i="8"/>
  <c r="N3127" i="8"/>
  <c r="L3127" i="8"/>
  <c r="N3126" i="8"/>
  <c r="L3126" i="8"/>
  <c r="O3125" i="8"/>
  <c r="N3125" i="8"/>
  <c r="L3125" i="8"/>
  <c r="N3124" i="8"/>
  <c r="L3124" i="8"/>
  <c r="N3123" i="8"/>
  <c r="L3123" i="8"/>
  <c r="O3122" i="8"/>
  <c r="N3122" i="8"/>
  <c r="L3122" i="8"/>
  <c r="N3121" i="8"/>
  <c r="L3121" i="8"/>
  <c r="O3120" i="8"/>
  <c r="N3120" i="8"/>
  <c r="L3120" i="8"/>
  <c r="N3119" i="8"/>
  <c r="L3119" i="8"/>
  <c r="O3118" i="8"/>
  <c r="N3118" i="8"/>
  <c r="L3118" i="8"/>
  <c r="N3117" i="8"/>
  <c r="L3117" i="8"/>
  <c r="O3116" i="8"/>
  <c r="N3116" i="8"/>
  <c r="L3116" i="8"/>
  <c r="N3115" i="8"/>
  <c r="L3115" i="8"/>
  <c r="O3114" i="8"/>
  <c r="N3114" i="8"/>
  <c r="L3114" i="8"/>
  <c r="N3113" i="8"/>
  <c r="L3113" i="8"/>
  <c r="O3112" i="8"/>
  <c r="N3112" i="8"/>
  <c r="L3112" i="8"/>
  <c r="N3111" i="8"/>
  <c r="L3111" i="8"/>
  <c r="O3110" i="8"/>
  <c r="N3110" i="8"/>
  <c r="L3110" i="8"/>
  <c r="N3109" i="8"/>
  <c r="L3109" i="8"/>
  <c r="O3108" i="8"/>
  <c r="N3108" i="8"/>
  <c r="L3108" i="8"/>
  <c r="N3107" i="8"/>
  <c r="L3107" i="8"/>
  <c r="O3106" i="8"/>
  <c r="N3106" i="8"/>
  <c r="L3106" i="8"/>
  <c r="N3105" i="8"/>
  <c r="L3105" i="8"/>
  <c r="O3104" i="8"/>
  <c r="N3104" i="8"/>
  <c r="L3104" i="8"/>
  <c r="N3103" i="8"/>
  <c r="L3103" i="8"/>
  <c r="O3102" i="8"/>
  <c r="N3102" i="8"/>
  <c r="L3102" i="8"/>
  <c r="N3101" i="8"/>
  <c r="L3101" i="8"/>
  <c r="O3100" i="8"/>
  <c r="N3100" i="8"/>
  <c r="L3100" i="8"/>
  <c r="N3099" i="8"/>
  <c r="L3099" i="8"/>
  <c r="O3098" i="8"/>
  <c r="N3098" i="8"/>
  <c r="L3098" i="8"/>
  <c r="N3097" i="8"/>
  <c r="L3097" i="8"/>
  <c r="O3096" i="8"/>
  <c r="N3096" i="8"/>
  <c r="L3096" i="8"/>
  <c r="N3095" i="8"/>
  <c r="L3095" i="8"/>
  <c r="O3094" i="8"/>
  <c r="N3094" i="8"/>
  <c r="L3094" i="8"/>
  <c r="N3093" i="8"/>
  <c r="L3093" i="8"/>
  <c r="O3092" i="8"/>
  <c r="N3092" i="8"/>
  <c r="L3092" i="8"/>
  <c r="N3091" i="8"/>
  <c r="L3091" i="8"/>
  <c r="O3090" i="8"/>
  <c r="N3090" i="8"/>
  <c r="L3090" i="8"/>
  <c r="N3089" i="8"/>
  <c r="L3089" i="8"/>
  <c r="O3088" i="8"/>
  <c r="N3088" i="8"/>
  <c r="L3088" i="8"/>
  <c r="N3087" i="8"/>
  <c r="L3087" i="8"/>
  <c r="O3086" i="8"/>
  <c r="N3086" i="8"/>
  <c r="L3086" i="8"/>
  <c r="N3085" i="8"/>
  <c r="L3085" i="8"/>
  <c r="O3084" i="8"/>
  <c r="N3084" i="8"/>
  <c r="L3084" i="8"/>
  <c r="N3083" i="8"/>
  <c r="L3083" i="8"/>
  <c r="O3082" i="8"/>
  <c r="N3082" i="8"/>
  <c r="L3082" i="8"/>
  <c r="N3081" i="8"/>
  <c r="L3081" i="8"/>
  <c r="O3080" i="8"/>
  <c r="N3080" i="8"/>
  <c r="L3080" i="8"/>
  <c r="N3079" i="8"/>
  <c r="L3079" i="8"/>
  <c r="O3078" i="8"/>
  <c r="N3078" i="8"/>
  <c r="L3078" i="8"/>
  <c r="N3077" i="8"/>
  <c r="L3077" i="8"/>
  <c r="O3076" i="8"/>
  <c r="N3076" i="8"/>
  <c r="L3076" i="8"/>
  <c r="N3075" i="8"/>
  <c r="L3075" i="8"/>
  <c r="O3074" i="8"/>
  <c r="N3074" i="8"/>
  <c r="L3074" i="8"/>
  <c r="N3073" i="8"/>
  <c r="L3073" i="8"/>
  <c r="O3072" i="8"/>
  <c r="N3072" i="8"/>
  <c r="L3072" i="8"/>
  <c r="N3071" i="8"/>
  <c r="L3071" i="8"/>
  <c r="O3070" i="8"/>
  <c r="N3070" i="8"/>
  <c r="L3070" i="8"/>
  <c r="N3069" i="8"/>
  <c r="L3069" i="8"/>
  <c r="O3068" i="8"/>
  <c r="N3068" i="8"/>
  <c r="L3068" i="8"/>
  <c r="N3067" i="8"/>
  <c r="L3067" i="8"/>
  <c r="O3066" i="8"/>
  <c r="N3066" i="8"/>
  <c r="L3066" i="8"/>
  <c r="N3065" i="8"/>
  <c r="L3065" i="8"/>
  <c r="O3064" i="8"/>
  <c r="N3064" i="8"/>
  <c r="L3064" i="8"/>
  <c r="O3063" i="8"/>
  <c r="N3063" i="8"/>
  <c r="L3063" i="8"/>
  <c r="N3062" i="8"/>
  <c r="L3062" i="8"/>
  <c r="O3061" i="8"/>
  <c r="N3061" i="8"/>
  <c r="L3061" i="8"/>
  <c r="N3060" i="8"/>
  <c r="L3060" i="8"/>
  <c r="O3059" i="8"/>
  <c r="N3059" i="8"/>
  <c r="L3059" i="8"/>
  <c r="N3058" i="8"/>
  <c r="L3058" i="8"/>
  <c r="O3057" i="8"/>
  <c r="N3057" i="8"/>
  <c r="L3057" i="8"/>
  <c r="N3056" i="8"/>
  <c r="L3056" i="8"/>
  <c r="O3055" i="8"/>
  <c r="N3055" i="8"/>
  <c r="L3055" i="8"/>
  <c r="N3054" i="8"/>
  <c r="L3054" i="8"/>
  <c r="O3053" i="8"/>
  <c r="N3053" i="8"/>
  <c r="L3053" i="8"/>
  <c r="N3052" i="8"/>
  <c r="L3052" i="8"/>
  <c r="O3051" i="8"/>
  <c r="N3051" i="8"/>
  <c r="L3051" i="8"/>
  <c r="N3050" i="8"/>
  <c r="L3050" i="8"/>
  <c r="O3049" i="8"/>
  <c r="N3049" i="8"/>
  <c r="L3049" i="8"/>
  <c r="N3048" i="8"/>
  <c r="L3048" i="8"/>
  <c r="O3047" i="8"/>
  <c r="N3047" i="8"/>
  <c r="L3047" i="8"/>
  <c r="N3046" i="8"/>
  <c r="L3046" i="8"/>
  <c r="O3045" i="8"/>
  <c r="N3045" i="8"/>
  <c r="L3045" i="8"/>
  <c r="O3044" i="8"/>
  <c r="N3044" i="8"/>
  <c r="L3044" i="8"/>
  <c r="N3043" i="8"/>
  <c r="L3043" i="8"/>
  <c r="O3042" i="8"/>
  <c r="N3042" i="8"/>
  <c r="L3042" i="8"/>
  <c r="N3041" i="8"/>
  <c r="L3041" i="8"/>
  <c r="O3040" i="8"/>
  <c r="N3040" i="8"/>
  <c r="L3040" i="8"/>
  <c r="N3039" i="8"/>
  <c r="L3039" i="8"/>
  <c r="O3038" i="8"/>
  <c r="N3038" i="8"/>
  <c r="L3038" i="8"/>
  <c r="N3037" i="8"/>
  <c r="L3037" i="8"/>
  <c r="O3036" i="8"/>
  <c r="N3036" i="8"/>
  <c r="L3036" i="8"/>
  <c r="N3035" i="8"/>
  <c r="L3035" i="8"/>
  <c r="O3034" i="8"/>
  <c r="N3034" i="8"/>
  <c r="L3034" i="8"/>
  <c r="N3033" i="8"/>
  <c r="L3033" i="8"/>
  <c r="O3032" i="8"/>
  <c r="N3032" i="8"/>
  <c r="L3032" i="8"/>
  <c r="N3031" i="8"/>
  <c r="L3031" i="8"/>
  <c r="O3030" i="8"/>
  <c r="N3030" i="8"/>
  <c r="L3030" i="8"/>
  <c r="N3029" i="8"/>
  <c r="L3029" i="8"/>
  <c r="O3028" i="8"/>
  <c r="N3028" i="8"/>
  <c r="L3028" i="8"/>
  <c r="N3027" i="8"/>
  <c r="L3027" i="8"/>
  <c r="O3026" i="8"/>
  <c r="N3026" i="8"/>
  <c r="L3026" i="8"/>
  <c r="N3025" i="8"/>
  <c r="L3025" i="8"/>
  <c r="O3024" i="8"/>
  <c r="N3024" i="8"/>
  <c r="L3024" i="8"/>
  <c r="N3023" i="8"/>
  <c r="L3023" i="8"/>
  <c r="O3022" i="8"/>
  <c r="N3022" i="8"/>
  <c r="L3022" i="8"/>
  <c r="N3021" i="8"/>
  <c r="L3021" i="8"/>
  <c r="O3020" i="8"/>
  <c r="N3020" i="8"/>
  <c r="L3020" i="8"/>
  <c r="O3019" i="8"/>
  <c r="N3019" i="8"/>
  <c r="L3019" i="8"/>
  <c r="N3018" i="8"/>
  <c r="L3018" i="8"/>
  <c r="O3017" i="8"/>
  <c r="N3017" i="8"/>
  <c r="L3017" i="8"/>
  <c r="N3016" i="8"/>
  <c r="L3016" i="8"/>
  <c r="O3015" i="8"/>
  <c r="N3015" i="8"/>
  <c r="L3015" i="8"/>
  <c r="N3014" i="8"/>
  <c r="L3014" i="8"/>
  <c r="O3013" i="8"/>
  <c r="N3013" i="8"/>
  <c r="L3013" i="8"/>
  <c r="O3012" i="8"/>
  <c r="N3012" i="8"/>
  <c r="L3012" i="8"/>
  <c r="O3011" i="8"/>
  <c r="N3011" i="8"/>
  <c r="L3011" i="8"/>
  <c r="N3010" i="8"/>
  <c r="L3010" i="8"/>
  <c r="O3009" i="8"/>
  <c r="N3009" i="8"/>
  <c r="L3009" i="8"/>
  <c r="N3008" i="8"/>
  <c r="L3008" i="8"/>
  <c r="O3007" i="8"/>
  <c r="N3007" i="8"/>
  <c r="L3007" i="8"/>
  <c r="N3006" i="8"/>
  <c r="L3006" i="8"/>
  <c r="O3005" i="8"/>
  <c r="N3005" i="8"/>
  <c r="L3005" i="8"/>
  <c r="N3004" i="8"/>
  <c r="L3004" i="8"/>
  <c r="O3003" i="8"/>
  <c r="N3003" i="8"/>
  <c r="L3003" i="8"/>
  <c r="N3002" i="8"/>
  <c r="L3002" i="8"/>
  <c r="O3001" i="8"/>
  <c r="N3001" i="8"/>
  <c r="L3001" i="8"/>
  <c r="N3000" i="8"/>
  <c r="L3000" i="8"/>
  <c r="O2999" i="8"/>
  <c r="N2999" i="8"/>
  <c r="L2999" i="8"/>
  <c r="N2998" i="8"/>
  <c r="L2998" i="8"/>
  <c r="O2997" i="8"/>
  <c r="N2997" i="8"/>
  <c r="L2997" i="8"/>
  <c r="N2996" i="8"/>
  <c r="L2996" i="8"/>
  <c r="O2995" i="8"/>
  <c r="N2995" i="8"/>
  <c r="L2995" i="8"/>
  <c r="N2994" i="8"/>
  <c r="L2994" i="8"/>
  <c r="O2993" i="8"/>
  <c r="N2993" i="8"/>
  <c r="L2993" i="8"/>
  <c r="N2992" i="8"/>
  <c r="L2992" i="8"/>
  <c r="O2991" i="8"/>
  <c r="N2991" i="8"/>
  <c r="L2991" i="8"/>
  <c r="N2990" i="8"/>
  <c r="L2990" i="8"/>
  <c r="O2989" i="8"/>
  <c r="N2989" i="8"/>
  <c r="L2989" i="8"/>
  <c r="N2988" i="8"/>
  <c r="L2988" i="8"/>
  <c r="O2987" i="8"/>
  <c r="N2987" i="8"/>
  <c r="L2987" i="8"/>
  <c r="N2986" i="8"/>
  <c r="L2986" i="8"/>
  <c r="O2985" i="8"/>
  <c r="N2985" i="8"/>
  <c r="L2985" i="8"/>
  <c r="N2984" i="8"/>
  <c r="L2984" i="8"/>
  <c r="O2983" i="8"/>
  <c r="N2983" i="8"/>
  <c r="L2983" i="8"/>
  <c r="O2982" i="8"/>
  <c r="N2982" i="8"/>
  <c r="L2982" i="8"/>
  <c r="N2981" i="8"/>
  <c r="L2981" i="8"/>
  <c r="O2980" i="8"/>
  <c r="N2980" i="8"/>
  <c r="L2980" i="8"/>
  <c r="N2979" i="8"/>
  <c r="L2979" i="8"/>
  <c r="O2978" i="8"/>
  <c r="N2978" i="8"/>
  <c r="L2978" i="8"/>
  <c r="N2977" i="8"/>
  <c r="L2977" i="8"/>
  <c r="O2976" i="8"/>
  <c r="N2976" i="8"/>
  <c r="L2976" i="8"/>
  <c r="N2975" i="8"/>
  <c r="L2975" i="8"/>
  <c r="O2974" i="8"/>
  <c r="N2974" i="8"/>
  <c r="L2974" i="8"/>
  <c r="N2973" i="8"/>
  <c r="L2973" i="8"/>
  <c r="O2972" i="8"/>
  <c r="N2972" i="8"/>
  <c r="L2972" i="8"/>
  <c r="N2971" i="8"/>
  <c r="L2971" i="8"/>
  <c r="O2970" i="8"/>
  <c r="N2970" i="8"/>
  <c r="L2970" i="8"/>
  <c r="O2969" i="8"/>
  <c r="N2969" i="8"/>
  <c r="L2969" i="8"/>
  <c r="N2968" i="8"/>
  <c r="L2968" i="8"/>
  <c r="O2967" i="8"/>
  <c r="N2967" i="8"/>
  <c r="L2967" i="8"/>
  <c r="N2966" i="8"/>
  <c r="L2966" i="8"/>
  <c r="O2965" i="8"/>
  <c r="N2965" i="8"/>
  <c r="L2965" i="8"/>
  <c r="N2964" i="8"/>
  <c r="L2964" i="8"/>
  <c r="O2963" i="8"/>
  <c r="N2963" i="8"/>
  <c r="L2963" i="8"/>
  <c r="N2962" i="8"/>
  <c r="L2962" i="8"/>
  <c r="O2961" i="8"/>
  <c r="N2961" i="8"/>
  <c r="L2961" i="8"/>
  <c r="N2960" i="8"/>
  <c r="L2960" i="8"/>
  <c r="O2959" i="8"/>
  <c r="N2959" i="8"/>
  <c r="L2959" i="8"/>
  <c r="N2958" i="8"/>
  <c r="L2958" i="8"/>
  <c r="O2957" i="8"/>
  <c r="N2957" i="8"/>
  <c r="L2957" i="8"/>
  <c r="N2956" i="8"/>
  <c r="L2956" i="8"/>
  <c r="O2955" i="8"/>
  <c r="N2955" i="8"/>
  <c r="L2955" i="8"/>
  <c r="N2954" i="8"/>
  <c r="L2954" i="8"/>
  <c r="O2953" i="8"/>
  <c r="N2953" i="8"/>
  <c r="L2953" i="8"/>
  <c r="N2952" i="8"/>
  <c r="L2952" i="8"/>
  <c r="O2951" i="8"/>
  <c r="N2951" i="8"/>
  <c r="L2951" i="8"/>
  <c r="N2950" i="8"/>
  <c r="L2950" i="8"/>
  <c r="N2949" i="8"/>
  <c r="L2949" i="8"/>
  <c r="N2948" i="8"/>
  <c r="L2948" i="8"/>
  <c r="N2947" i="8"/>
  <c r="L2947" i="8"/>
  <c r="N2946" i="8"/>
  <c r="L2946" i="8"/>
  <c r="N2945" i="8"/>
  <c r="L2945" i="8"/>
  <c r="N2944" i="8"/>
  <c r="L2944" i="8"/>
  <c r="N2943" i="8"/>
  <c r="L2943" i="8"/>
  <c r="N2942" i="8"/>
  <c r="L2942" i="8"/>
  <c r="N2941" i="8"/>
  <c r="L2941" i="8"/>
  <c r="N2940" i="8"/>
  <c r="L2940" i="8"/>
  <c r="N2939" i="8"/>
  <c r="L2939" i="8"/>
  <c r="N2938" i="8"/>
  <c r="L2938" i="8"/>
  <c r="N2937" i="8"/>
  <c r="L2937" i="8"/>
  <c r="N2936" i="8"/>
  <c r="L2936" i="8"/>
  <c r="N2935" i="8"/>
  <c r="L2935" i="8"/>
  <c r="N2934" i="8"/>
  <c r="L2934" i="8"/>
  <c r="N2933" i="8"/>
  <c r="L2933" i="8"/>
  <c r="N2932" i="8"/>
  <c r="L2932" i="8"/>
  <c r="N2931" i="8"/>
  <c r="L2931" i="8"/>
  <c r="N2930" i="8"/>
  <c r="L2930" i="8"/>
  <c r="N2929" i="8"/>
  <c r="L2929" i="8"/>
  <c r="N2928" i="8"/>
  <c r="L2928" i="8"/>
  <c r="N2927" i="8"/>
  <c r="L2927" i="8"/>
  <c r="N2926" i="8"/>
  <c r="L2926" i="8"/>
  <c r="N2925" i="8"/>
  <c r="L2925" i="8"/>
  <c r="N2924" i="8"/>
  <c r="L2924" i="8"/>
  <c r="N2923" i="8"/>
  <c r="L2923" i="8"/>
  <c r="N2922" i="8"/>
  <c r="L2922" i="8"/>
  <c r="N2921" i="8"/>
  <c r="L2921" i="8"/>
  <c r="N2920" i="8"/>
  <c r="L2920" i="8"/>
  <c r="N2919" i="8"/>
  <c r="L2919" i="8"/>
  <c r="N2918" i="8"/>
  <c r="L2918" i="8"/>
  <c r="N2917" i="8"/>
  <c r="L2917" i="8"/>
  <c r="N2916" i="8"/>
  <c r="L2916" i="8"/>
  <c r="N2915" i="8"/>
  <c r="L2915" i="8"/>
  <c r="N2914" i="8"/>
  <c r="L2914" i="8"/>
  <c r="N2913" i="8"/>
  <c r="L2913" i="8"/>
  <c r="N2912" i="8"/>
  <c r="L2912" i="8"/>
  <c r="N2911" i="8"/>
  <c r="L2911" i="8"/>
  <c r="N2910" i="8"/>
  <c r="L2910" i="8"/>
  <c r="N2909" i="8"/>
  <c r="L2909" i="8"/>
  <c r="N2908" i="8"/>
  <c r="L2908" i="8"/>
  <c r="N2907" i="8"/>
  <c r="L2907" i="8"/>
  <c r="N2906" i="8"/>
  <c r="L2906" i="8"/>
  <c r="N2905" i="8"/>
  <c r="L2905" i="8"/>
  <c r="N2904" i="8"/>
  <c r="L2904" i="8"/>
  <c r="N2903" i="8"/>
  <c r="L2903" i="8"/>
  <c r="N2902" i="8"/>
  <c r="L2902" i="8"/>
  <c r="N2901" i="8"/>
  <c r="L2901" i="8"/>
  <c r="N2900" i="8"/>
  <c r="L2900" i="8"/>
  <c r="N2899" i="8"/>
  <c r="L2899" i="8"/>
  <c r="N2898" i="8"/>
  <c r="L2898" i="8"/>
  <c r="N2897" i="8"/>
  <c r="L2897" i="8"/>
  <c r="N2896" i="8"/>
  <c r="L2896" i="8"/>
  <c r="N2895" i="8"/>
  <c r="L2895" i="8"/>
  <c r="N2894" i="8"/>
  <c r="L2894" i="8"/>
  <c r="N2893" i="8"/>
  <c r="L2893" i="8"/>
  <c r="N2892" i="8"/>
  <c r="L2892" i="8"/>
  <c r="N2891" i="8"/>
  <c r="L2891" i="8"/>
  <c r="N2890" i="8"/>
  <c r="L2890" i="8"/>
  <c r="N2889" i="8"/>
  <c r="L2889" i="8"/>
  <c r="N2888" i="8"/>
  <c r="L2888" i="8"/>
  <c r="N2887" i="8"/>
  <c r="L2887" i="8"/>
  <c r="N2886" i="8"/>
  <c r="L2886" i="8"/>
  <c r="N2885" i="8"/>
  <c r="L2885" i="8"/>
  <c r="N2884" i="8"/>
  <c r="L2884" i="8"/>
  <c r="N2883" i="8"/>
  <c r="L2883" i="8"/>
  <c r="N2882" i="8"/>
  <c r="L2882" i="8"/>
  <c r="N2881" i="8"/>
  <c r="L2881" i="8"/>
  <c r="N2880" i="8"/>
  <c r="L2880" i="8"/>
  <c r="N2879" i="8"/>
  <c r="L2879" i="8"/>
  <c r="N2878" i="8"/>
  <c r="L2878" i="8"/>
  <c r="N2877" i="8"/>
  <c r="L2877" i="8"/>
  <c r="N2876" i="8"/>
  <c r="L2876" i="8"/>
  <c r="N2875" i="8"/>
  <c r="L2875" i="8"/>
  <c r="N2874" i="8"/>
  <c r="L2874" i="8"/>
  <c r="N2873" i="8"/>
  <c r="L2873" i="8"/>
  <c r="N2872" i="8"/>
  <c r="L2872" i="8"/>
  <c r="N2871" i="8"/>
  <c r="L2871" i="8"/>
  <c r="N2870" i="8"/>
  <c r="L2870" i="8"/>
  <c r="N2869" i="8"/>
  <c r="L2869" i="8"/>
  <c r="N2868" i="8"/>
  <c r="L2868" i="8"/>
  <c r="N2867" i="8"/>
  <c r="L2867" i="8"/>
  <c r="N2866" i="8"/>
  <c r="L2866" i="8"/>
  <c r="N2865" i="8"/>
  <c r="L2865" i="8"/>
  <c r="N2864" i="8"/>
  <c r="L2864" i="8"/>
  <c r="N2863" i="8"/>
  <c r="L2863" i="8"/>
  <c r="N2862" i="8"/>
  <c r="L2862" i="8"/>
  <c r="N2861" i="8"/>
  <c r="L2861" i="8"/>
  <c r="N2860" i="8"/>
  <c r="L2860" i="8"/>
  <c r="N2859" i="8"/>
  <c r="L2859" i="8"/>
  <c r="N2858" i="8"/>
  <c r="L2858" i="8"/>
  <c r="N2857" i="8"/>
  <c r="L2857" i="8"/>
  <c r="N2856" i="8"/>
  <c r="L2856" i="8"/>
  <c r="N2855" i="8"/>
  <c r="L2855" i="8"/>
  <c r="N2854" i="8"/>
  <c r="L2854" i="8"/>
  <c r="N2853" i="8"/>
  <c r="L2853" i="8"/>
  <c r="N2852" i="8"/>
  <c r="L2852" i="8"/>
  <c r="N2851" i="8"/>
  <c r="L2851" i="8"/>
  <c r="N2850" i="8"/>
  <c r="L2850" i="8"/>
  <c r="N2849" i="8"/>
  <c r="L2849" i="8"/>
  <c r="N2848" i="8"/>
  <c r="L2848" i="8"/>
  <c r="N2847" i="8"/>
  <c r="L2847" i="8"/>
  <c r="N2846" i="8"/>
  <c r="L2846" i="8"/>
  <c r="N2845" i="8"/>
  <c r="L2845" i="8"/>
  <c r="N2844" i="8"/>
  <c r="L2844" i="8"/>
  <c r="N2843" i="8"/>
  <c r="L2843" i="8"/>
  <c r="N2842" i="8"/>
  <c r="L2842" i="8"/>
  <c r="N2841" i="8"/>
  <c r="L2841" i="8"/>
  <c r="N2840" i="8"/>
  <c r="L2840" i="8"/>
  <c r="N2839" i="8"/>
  <c r="L2839" i="8"/>
  <c r="N2838" i="8"/>
  <c r="L2838" i="8"/>
  <c r="N2837" i="8"/>
  <c r="L2837" i="8"/>
  <c r="N2836" i="8"/>
  <c r="L2836" i="8"/>
  <c r="N2835" i="8"/>
  <c r="L2835" i="8"/>
  <c r="N2834" i="8"/>
  <c r="L2834" i="8"/>
  <c r="N2833" i="8"/>
  <c r="L2833" i="8"/>
  <c r="N2832" i="8"/>
  <c r="L2832" i="8"/>
  <c r="N2831" i="8"/>
  <c r="L2831" i="8"/>
  <c r="N2830" i="8"/>
  <c r="L2830" i="8"/>
  <c r="N2829" i="8"/>
  <c r="L2829" i="8"/>
  <c r="N2828" i="8"/>
  <c r="L2828" i="8"/>
  <c r="N2827" i="8"/>
  <c r="L2827" i="8"/>
  <c r="N2826" i="8"/>
  <c r="L2826" i="8"/>
  <c r="N2825" i="8"/>
  <c r="L2825" i="8"/>
  <c r="N2824" i="8"/>
  <c r="L2824" i="8"/>
  <c r="N2823" i="8"/>
  <c r="L2823" i="8"/>
  <c r="N2822" i="8"/>
  <c r="L2822" i="8"/>
  <c r="N2821" i="8"/>
  <c r="L2821" i="8"/>
  <c r="N2820" i="8"/>
  <c r="L2820" i="8"/>
  <c r="N2819" i="8"/>
  <c r="L2819" i="8"/>
  <c r="N2818" i="8"/>
  <c r="L2818" i="8"/>
  <c r="N2817" i="8"/>
  <c r="L2817" i="8"/>
  <c r="N2816" i="8"/>
  <c r="L2816" i="8"/>
  <c r="N2815" i="8"/>
  <c r="L2815" i="8"/>
  <c r="N2814" i="8"/>
  <c r="L2814" i="8"/>
  <c r="N2813" i="8"/>
  <c r="L2813" i="8"/>
  <c r="N2812" i="8"/>
  <c r="L2812" i="8"/>
  <c r="N2811" i="8"/>
  <c r="L2811" i="8"/>
  <c r="N2810" i="8"/>
  <c r="L2810" i="8"/>
  <c r="N2809" i="8"/>
  <c r="L2809" i="8"/>
  <c r="N2808" i="8"/>
  <c r="L2808" i="8"/>
  <c r="N2807" i="8"/>
  <c r="L2807" i="8"/>
  <c r="N2806" i="8"/>
  <c r="L2806" i="8"/>
  <c r="N2805" i="8"/>
  <c r="L2805" i="8"/>
  <c r="N2804" i="8"/>
  <c r="L2804" i="8"/>
  <c r="N2803" i="8"/>
  <c r="L2803" i="8"/>
  <c r="N2802" i="8"/>
  <c r="L2802" i="8"/>
  <c r="N2801" i="8"/>
  <c r="L2801" i="8"/>
  <c r="N2800" i="8"/>
  <c r="L2800" i="8"/>
  <c r="N2799" i="8"/>
  <c r="L2799" i="8"/>
  <c r="N2798" i="8"/>
  <c r="L2798" i="8"/>
  <c r="N2797" i="8"/>
  <c r="L2797" i="8"/>
  <c r="N2796" i="8"/>
  <c r="L2796" i="8"/>
  <c r="N2795" i="8"/>
  <c r="L2795" i="8"/>
  <c r="N2794" i="8"/>
  <c r="L2794" i="8"/>
  <c r="N2793" i="8"/>
  <c r="L2793" i="8"/>
  <c r="N2792" i="8"/>
  <c r="L2792" i="8"/>
  <c r="N2791" i="8"/>
  <c r="L2791" i="8"/>
  <c r="N2790" i="8"/>
  <c r="L2790" i="8"/>
  <c r="N2789" i="8"/>
  <c r="L2789" i="8"/>
  <c r="N2788" i="8"/>
  <c r="L2788" i="8"/>
  <c r="N2787" i="8"/>
  <c r="L2787" i="8"/>
  <c r="N2786" i="8"/>
  <c r="L2786" i="8"/>
  <c r="N2785" i="8"/>
  <c r="L2785" i="8"/>
  <c r="N2784" i="8"/>
  <c r="L2784" i="8"/>
  <c r="N2783" i="8"/>
  <c r="L2783" i="8"/>
  <c r="N2782" i="8"/>
  <c r="L2782" i="8"/>
  <c r="N2781" i="8"/>
  <c r="L2781" i="8"/>
  <c r="N2780" i="8"/>
  <c r="L2780" i="8"/>
  <c r="N2779" i="8"/>
  <c r="L2779" i="8"/>
  <c r="N2778" i="8"/>
  <c r="L2778" i="8"/>
  <c r="N2777" i="8"/>
  <c r="L2777" i="8"/>
  <c r="N2776" i="8"/>
  <c r="L2776" i="8"/>
  <c r="N2775" i="8"/>
  <c r="L2775" i="8"/>
  <c r="N2774" i="8"/>
  <c r="L2774" i="8"/>
  <c r="N2773" i="8"/>
  <c r="L2773" i="8"/>
  <c r="N2772" i="8"/>
  <c r="L2772" i="8"/>
  <c r="N2771" i="8"/>
  <c r="L2771" i="8"/>
  <c r="N2770" i="8"/>
  <c r="L2770" i="8"/>
  <c r="N2769" i="8"/>
  <c r="L2769" i="8"/>
  <c r="N2768" i="8"/>
  <c r="L2768" i="8"/>
  <c r="N2767" i="8"/>
  <c r="L2767" i="8"/>
  <c r="N2766" i="8"/>
  <c r="L2766" i="8"/>
  <c r="N2765" i="8"/>
  <c r="L2765" i="8"/>
  <c r="N2764" i="8"/>
  <c r="L2764" i="8"/>
  <c r="N2763" i="8"/>
  <c r="L2763" i="8"/>
  <c r="N2762" i="8"/>
  <c r="L2762" i="8"/>
  <c r="N2761" i="8"/>
  <c r="L2761" i="8"/>
  <c r="N2760" i="8"/>
  <c r="L2760" i="8"/>
  <c r="N2759" i="8"/>
  <c r="L2759" i="8"/>
  <c r="N2758" i="8"/>
  <c r="L2758" i="8"/>
  <c r="N2757" i="8"/>
  <c r="L2757" i="8"/>
  <c r="N2756" i="8"/>
  <c r="L2756" i="8"/>
  <c r="N2755" i="8"/>
  <c r="L2755" i="8"/>
  <c r="N2754" i="8"/>
  <c r="L2754" i="8"/>
  <c r="N2753" i="8"/>
  <c r="L2753" i="8"/>
  <c r="N2752" i="8"/>
  <c r="L2752" i="8"/>
  <c r="N2751" i="8"/>
  <c r="L2751" i="8"/>
  <c r="N2750" i="8"/>
  <c r="L2750" i="8"/>
  <c r="N2749" i="8"/>
  <c r="L2749" i="8"/>
  <c r="N2748" i="8"/>
  <c r="L2748" i="8"/>
  <c r="N2747" i="8"/>
  <c r="L2747" i="8"/>
  <c r="N2746" i="8"/>
  <c r="L2746" i="8"/>
  <c r="N2745" i="8"/>
  <c r="L2745" i="8"/>
  <c r="N2744" i="8"/>
  <c r="L2744" i="8"/>
  <c r="N2743" i="8"/>
  <c r="L2743" i="8"/>
  <c r="V2742" i="8"/>
  <c r="N2742" i="8"/>
  <c r="L2742" i="8"/>
  <c r="V2741" i="8"/>
  <c r="N2741" i="8"/>
  <c r="L2741" i="8"/>
  <c r="V2740" i="8"/>
  <c r="N2740" i="8"/>
  <c r="L2740" i="8"/>
  <c r="V2739" i="8"/>
  <c r="N2739" i="8"/>
  <c r="L2739" i="8"/>
  <c r="V2738" i="8"/>
  <c r="N2738" i="8"/>
  <c r="L2738" i="8"/>
  <c r="V2737" i="8"/>
  <c r="N2737" i="8"/>
  <c r="L2737" i="8"/>
  <c r="V2736" i="8"/>
  <c r="N2736" i="8"/>
  <c r="L2736" i="8"/>
  <c r="V2735" i="8"/>
  <c r="N2735" i="8"/>
  <c r="L2735" i="8"/>
  <c r="V2734" i="8"/>
  <c r="N2734" i="8"/>
  <c r="L2734" i="8"/>
  <c r="V2733" i="8"/>
  <c r="N2733" i="8"/>
  <c r="L2733" i="8"/>
  <c r="V2732" i="8"/>
  <c r="N2732" i="8"/>
  <c r="L2732" i="8"/>
  <c r="V2731" i="8"/>
  <c r="N2731" i="8"/>
  <c r="L2731" i="8"/>
  <c r="V2730" i="8"/>
  <c r="N2730" i="8"/>
  <c r="L2730" i="8"/>
  <c r="V2729" i="8"/>
  <c r="N2729" i="8"/>
  <c r="L2729" i="8"/>
  <c r="V2728" i="8"/>
  <c r="N2728" i="8"/>
  <c r="L2728" i="8"/>
  <c r="V2727" i="8"/>
  <c r="N2727" i="8"/>
  <c r="L2727" i="8"/>
  <c r="V2726" i="8"/>
  <c r="N2726" i="8"/>
  <c r="L2726" i="8"/>
  <c r="V2725" i="8"/>
  <c r="N2725" i="8"/>
  <c r="L2725" i="8"/>
  <c r="V2724" i="8"/>
  <c r="N2724" i="8"/>
  <c r="L2724" i="8"/>
  <c r="V2723" i="8"/>
  <c r="N2723" i="8"/>
  <c r="L2723" i="8"/>
  <c r="V2722" i="8"/>
  <c r="N2722" i="8"/>
  <c r="L2722" i="8"/>
  <c r="V2721" i="8"/>
  <c r="N2721" i="8"/>
  <c r="L2721" i="8"/>
  <c r="V2720" i="8"/>
  <c r="N2720" i="8"/>
  <c r="L2720" i="8"/>
  <c r="V2719" i="8"/>
  <c r="N2719" i="8"/>
  <c r="L2719" i="8"/>
  <c r="V2718" i="8"/>
  <c r="N2718" i="8"/>
  <c r="L2718" i="8"/>
  <c r="V2717" i="8"/>
  <c r="N2717" i="8"/>
  <c r="L2717" i="8"/>
  <c r="V2716" i="8"/>
  <c r="N2716" i="8"/>
  <c r="L2716" i="8"/>
  <c r="V2715" i="8"/>
  <c r="N2715" i="8"/>
  <c r="L2715" i="8"/>
  <c r="V2714" i="8"/>
  <c r="N2714" i="8"/>
  <c r="L2714" i="8"/>
  <c r="V2713" i="8"/>
  <c r="N2713" i="8"/>
  <c r="L2713" i="8"/>
  <c r="V2712" i="8"/>
  <c r="N2712" i="8"/>
  <c r="L2712" i="8"/>
  <c r="V2711" i="8"/>
  <c r="N2711" i="8"/>
  <c r="L2711" i="8"/>
  <c r="V2710" i="8"/>
  <c r="N2710" i="8"/>
  <c r="L2710" i="8"/>
  <c r="V2709" i="8"/>
  <c r="N2709" i="8"/>
  <c r="L2709" i="8"/>
  <c r="V2708" i="8"/>
  <c r="N2708" i="8"/>
  <c r="L2708" i="8"/>
  <c r="V2707" i="8"/>
  <c r="N2707" i="8"/>
  <c r="L2707" i="8"/>
  <c r="V2706" i="8"/>
  <c r="N2706" i="8"/>
  <c r="L2706" i="8"/>
  <c r="V2705" i="8"/>
  <c r="N2705" i="8"/>
  <c r="L2705" i="8"/>
  <c r="V2704" i="8"/>
  <c r="N2704" i="8"/>
  <c r="L2704" i="8"/>
  <c r="V2703" i="8"/>
  <c r="N2703" i="8"/>
  <c r="L2703" i="8"/>
  <c r="V2702" i="8"/>
  <c r="N2702" i="8"/>
  <c r="L2702" i="8"/>
  <c r="V2701" i="8"/>
  <c r="N2701" i="8"/>
  <c r="L2701" i="8"/>
  <c r="V2700" i="8"/>
  <c r="N2700" i="8"/>
  <c r="L2700" i="8"/>
  <c r="V2699" i="8"/>
  <c r="N2699" i="8"/>
  <c r="L2699" i="8"/>
  <c r="V2698" i="8"/>
  <c r="N2698" i="8"/>
  <c r="L2698" i="8"/>
  <c r="V2697" i="8"/>
  <c r="N2697" i="8"/>
  <c r="L2697" i="8"/>
  <c r="V2696" i="8"/>
  <c r="N2696" i="8"/>
  <c r="L2696" i="8"/>
  <c r="V2695" i="8"/>
  <c r="N2695" i="8"/>
  <c r="L2695" i="8"/>
  <c r="V2694" i="8"/>
  <c r="N2694" i="8"/>
  <c r="L2694" i="8"/>
  <c r="V2693" i="8"/>
  <c r="N2693" i="8"/>
  <c r="L2693" i="8"/>
  <c r="V2692" i="8"/>
  <c r="N2692" i="8"/>
  <c r="L2692" i="8"/>
  <c r="V2691" i="8"/>
  <c r="N2691" i="8"/>
  <c r="L2691" i="8"/>
  <c r="V2690" i="8"/>
  <c r="N2690" i="8"/>
  <c r="L2690" i="8"/>
  <c r="V2689" i="8"/>
  <c r="N2689" i="8"/>
  <c r="L2689" i="8"/>
  <c r="V2688" i="8"/>
  <c r="N2688" i="8"/>
  <c r="L2688" i="8"/>
  <c r="V2687" i="8"/>
  <c r="N2687" i="8"/>
  <c r="L2687" i="8"/>
  <c r="V2686" i="8"/>
  <c r="N2686" i="8"/>
  <c r="L2686" i="8"/>
  <c r="V2685" i="8"/>
  <c r="N2685" i="8"/>
  <c r="L2685" i="8"/>
  <c r="V2684" i="8"/>
  <c r="N2684" i="8"/>
  <c r="L2684" i="8"/>
  <c r="V2683" i="8"/>
  <c r="N2683" i="8"/>
  <c r="L2683" i="8"/>
  <c r="V2682" i="8"/>
  <c r="N2682" i="8"/>
  <c r="L2682" i="8"/>
  <c r="V2681" i="8"/>
  <c r="N2681" i="8"/>
  <c r="L2681" i="8"/>
  <c r="V2680" i="8"/>
  <c r="N2680" i="8"/>
  <c r="L2680" i="8"/>
  <c r="V2679" i="8"/>
  <c r="N2679" i="8"/>
  <c r="L2679" i="8"/>
  <c r="V2678" i="8"/>
  <c r="N2678" i="8"/>
  <c r="L2678" i="8"/>
  <c r="V2677" i="8"/>
  <c r="N2677" i="8"/>
  <c r="L2677" i="8"/>
  <c r="V2676" i="8"/>
  <c r="N2676" i="8"/>
  <c r="L2676" i="8"/>
  <c r="V2675" i="8"/>
  <c r="N2675" i="8"/>
  <c r="L2675" i="8"/>
  <c r="V2674" i="8"/>
  <c r="N2674" i="8"/>
  <c r="L2674" i="8"/>
  <c r="V2673" i="8"/>
  <c r="N2673" i="8"/>
  <c r="L2673" i="8"/>
  <c r="V2672" i="8"/>
  <c r="N2672" i="8"/>
  <c r="L2672" i="8"/>
  <c r="V2671" i="8"/>
  <c r="N2671" i="8"/>
  <c r="L2671" i="8"/>
  <c r="V2670" i="8"/>
  <c r="N2670" i="8"/>
  <c r="L2670" i="8"/>
  <c r="V2669" i="8"/>
  <c r="N2669" i="8"/>
  <c r="L2669" i="8"/>
  <c r="V2668" i="8"/>
  <c r="N2668" i="8"/>
  <c r="L2668" i="8"/>
  <c r="V2667" i="8"/>
  <c r="N2667" i="8"/>
  <c r="L2667" i="8"/>
  <c r="V2666" i="8"/>
  <c r="N2666" i="8"/>
  <c r="L2666" i="8"/>
  <c r="V2665" i="8"/>
  <c r="N2665" i="8"/>
  <c r="L2665" i="8"/>
  <c r="V2664" i="8"/>
  <c r="N2664" i="8"/>
  <c r="L2664" i="8"/>
  <c r="V2663" i="8"/>
  <c r="N2663" i="8"/>
  <c r="L2663" i="8"/>
  <c r="V2662" i="8"/>
  <c r="N2662" i="8"/>
  <c r="L2662" i="8"/>
  <c r="V2661" i="8"/>
  <c r="N2661" i="8"/>
  <c r="L2661" i="8"/>
  <c r="V2660" i="8"/>
  <c r="N2660" i="8"/>
  <c r="L2660" i="8"/>
  <c r="V2659" i="8"/>
  <c r="N2659" i="8"/>
  <c r="L2659" i="8"/>
  <c r="V2658" i="8"/>
  <c r="N2658" i="8"/>
  <c r="L2658" i="8"/>
  <c r="V2657" i="8"/>
  <c r="N2657" i="8"/>
  <c r="L2657" i="8"/>
  <c r="V2656" i="8"/>
  <c r="N2656" i="8"/>
  <c r="L2656" i="8"/>
  <c r="V2655" i="8"/>
  <c r="N2655" i="8"/>
  <c r="L2655" i="8"/>
  <c r="V2654" i="8"/>
  <c r="N2654" i="8"/>
  <c r="L2654" i="8"/>
  <c r="V2653" i="8"/>
  <c r="N2653" i="8"/>
  <c r="L2653" i="8"/>
  <c r="V2652" i="8"/>
  <c r="N2652" i="8"/>
  <c r="L2652" i="8"/>
  <c r="V2651" i="8"/>
  <c r="N2651" i="8"/>
  <c r="L2651" i="8"/>
  <c r="V2650" i="8"/>
  <c r="N2650" i="8"/>
  <c r="L2650" i="8"/>
  <c r="V2649" i="8"/>
  <c r="N2649" i="8"/>
  <c r="L2649" i="8"/>
  <c r="V2648" i="8"/>
  <c r="N2648" i="8"/>
  <c r="L2648" i="8"/>
  <c r="V2647" i="8"/>
  <c r="N2647" i="8"/>
  <c r="L2647" i="8"/>
  <c r="V2646" i="8"/>
  <c r="N2646" i="8"/>
  <c r="L2646" i="8"/>
  <c r="V2645" i="8"/>
  <c r="N2645" i="8"/>
  <c r="L2645" i="8"/>
  <c r="V2644" i="8"/>
  <c r="N2644" i="8"/>
  <c r="L2644" i="8"/>
  <c r="N2643" i="8"/>
  <c r="L2643" i="8"/>
  <c r="N2642" i="8"/>
  <c r="L2642" i="8"/>
  <c r="N2641" i="8"/>
  <c r="L2641" i="8"/>
  <c r="N2640" i="8"/>
  <c r="L2640" i="8"/>
  <c r="N2639" i="8"/>
  <c r="L2639" i="8"/>
  <c r="N2638" i="8"/>
  <c r="L2638" i="8"/>
  <c r="N2637" i="8"/>
  <c r="L2637" i="8"/>
  <c r="N2636" i="8"/>
  <c r="L2636" i="8"/>
  <c r="N2635" i="8"/>
  <c r="L2635" i="8"/>
  <c r="N2634" i="8"/>
  <c r="L2634" i="8"/>
  <c r="N2633" i="8"/>
  <c r="L2633" i="8"/>
  <c r="N2632" i="8"/>
  <c r="L2632" i="8"/>
  <c r="N2631" i="8"/>
  <c r="L2631" i="8"/>
  <c r="N2630" i="8"/>
  <c r="L2630" i="8"/>
  <c r="N2629" i="8"/>
  <c r="L2629" i="8"/>
  <c r="N2628" i="8"/>
  <c r="L2628" i="8"/>
  <c r="N2627" i="8"/>
  <c r="L2627" i="8"/>
  <c r="N2626" i="8"/>
  <c r="L2626" i="8"/>
  <c r="N2625" i="8"/>
  <c r="L2625" i="8"/>
  <c r="N2624" i="8"/>
  <c r="L2624" i="8"/>
  <c r="N2623" i="8"/>
  <c r="L2623" i="8"/>
  <c r="N2622" i="8"/>
  <c r="L2622" i="8"/>
  <c r="N2621" i="8"/>
  <c r="L2621" i="8"/>
  <c r="N2620" i="8"/>
  <c r="L2620" i="8"/>
  <c r="N2619" i="8"/>
  <c r="L2619" i="8"/>
  <c r="N2618" i="8"/>
  <c r="L2618" i="8"/>
  <c r="N2617" i="8"/>
  <c r="L2617" i="8"/>
  <c r="N2616" i="8"/>
  <c r="L2616" i="8"/>
  <c r="N2615" i="8"/>
  <c r="L2615" i="8"/>
  <c r="N2614" i="8"/>
  <c r="L2614" i="8"/>
  <c r="N2613" i="8"/>
  <c r="L2613" i="8"/>
  <c r="N2612" i="8"/>
  <c r="L2612" i="8"/>
  <c r="N2611" i="8"/>
  <c r="L2611" i="8"/>
  <c r="N2610" i="8"/>
  <c r="L2610" i="8"/>
  <c r="N2609" i="8"/>
  <c r="L2609" i="8"/>
  <c r="N2608" i="8"/>
  <c r="L2608" i="8"/>
  <c r="N2607" i="8"/>
  <c r="L2607" i="8"/>
  <c r="N2606" i="8"/>
  <c r="L2606" i="8"/>
  <c r="N2605" i="8"/>
  <c r="L2605" i="8"/>
  <c r="N2604" i="8"/>
  <c r="L2604" i="8"/>
  <c r="N2603" i="8"/>
  <c r="L2603" i="8"/>
  <c r="N2602" i="8"/>
  <c r="L2602" i="8"/>
  <c r="N2601" i="8"/>
  <c r="L2601" i="8"/>
  <c r="N2600" i="8"/>
  <c r="L2600" i="8"/>
  <c r="N2599" i="8"/>
  <c r="L2599" i="8"/>
  <c r="N2598" i="8"/>
  <c r="L2598" i="8"/>
  <c r="N2597" i="8"/>
  <c r="L2597" i="8"/>
  <c r="N2596" i="8"/>
  <c r="L2596" i="8"/>
  <c r="N2595" i="8"/>
  <c r="L2595" i="8"/>
  <c r="N2594" i="8"/>
  <c r="L2594" i="8"/>
  <c r="N2593" i="8"/>
  <c r="L2593" i="8"/>
  <c r="N2592" i="8"/>
  <c r="L2592" i="8"/>
  <c r="N2591" i="8"/>
  <c r="L2591" i="8"/>
  <c r="N2590" i="8"/>
  <c r="L2590" i="8"/>
  <c r="N2589" i="8"/>
  <c r="L2589" i="8"/>
  <c r="N2588" i="8"/>
  <c r="L2588" i="8"/>
  <c r="N2587" i="8"/>
  <c r="L2587" i="8"/>
  <c r="N2586" i="8"/>
  <c r="L2586" i="8"/>
  <c r="N2585" i="8"/>
  <c r="L2585" i="8"/>
  <c r="N2584" i="8"/>
  <c r="L2584" i="8"/>
  <c r="N2583" i="8"/>
  <c r="L2583" i="8"/>
  <c r="N2582" i="8"/>
  <c r="L2582" i="8"/>
  <c r="N2581" i="8"/>
  <c r="L2581" i="8"/>
  <c r="N2580" i="8"/>
  <c r="L2580" i="8"/>
  <c r="N2579" i="8"/>
  <c r="L2579" i="8"/>
  <c r="N2578" i="8"/>
  <c r="L2578" i="8"/>
  <c r="N2577" i="8"/>
  <c r="L2577" i="8"/>
  <c r="N2576" i="8"/>
  <c r="L2576" i="8"/>
  <c r="N2575" i="8"/>
  <c r="L2575" i="8"/>
  <c r="N2574" i="8"/>
  <c r="L2574" i="8"/>
  <c r="N2573" i="8"/>
  <c r="L2573" i="8"/>
  <c r="N2572" i="8"/>
  <c r="L2572" i="8"/>
  <c r="N2571" i="8"/>
  <c r="L2571" i="8"/>
  <c r="N2570" i="8"/>
  <c r="L2570" i="8"/>
  <c r="N2569" i="8"/>
  <c r="L2569" i="8"/>
  <c r="N2568" i="8"/>
  <c r="L2568" i="8"/>
  <c r="N2567" i="8"/>
  <c r="L2567" i="8"/>
  <c r="N2566" i="8"/>
  <c r="L2566" i="8"/>
  <c r="N2565" i="8"/>
  <c r="L2565" i="8"/>
  <c r="N2564" i="8"/>
  <c r="L2564" i="8"/>
  <c r="N2563" i="8"/>
  <c r="L2563" i="8"/>
  <c r="N2562" i="8"/>
  <c r="L2562" i="8"/>
  <c r="N2561" i="8"/>
  <c r="L2561" i="8"/>
  <c r="N2560" i="8"/>
  <c r="L2560" i="8"/>
  <c r="N2559" i="8"/>
  <c r="L2559" i="8"/>
  <c r="N2558" i="8"/>
  <c r="L2558" i="8"/>
  <c r="N2557" i="8"/>
  <c r="L2557" i="8"/>
  <c r="N2556" i="8"/>
  <c r="L2556" i="8"/>
  <c r="N2555" i="8"/>
  <c r="L2555" i="8"/>
  <c r="N2554" i="8"/>
  <c r="L2554" i="8"/>
  <c r="N2553" i="8"/>
  <c r="L2553" i="8"/>
  <c r="N2552" i="8"/>
  <c r="L2552" i="8"/>
  <c r="N2551" i="8"/>
  <c r="L2551" i="8"/>
  <c r="N2550" i="8"/>
  <c r="L2550" i="8"/>
  <c r="N2549" i="8"/>
  <c r="L2549" i="8"/>
  <c r="N2548" i="8"/>
  <c r="L2548" i="8"/>
  <c r="N2547" i="8"/>
  <c r="L2547" i="8"/>
  <c r="N2546" i="8"/>
  <c r="L2546" i="8"/>
  <c r="N2545" i="8"/>
  <c r="L2545" i="8"/>
  <c r="N2544" i="8"/>
  <c r="L2544" i="8"/>
  <c r="N2543" i="8"/>
  <c r="L2543" i="8"/>
  <c r="N2542" i="8"/>
  <c r="L2542" i="8"/>
  <c r="N2541" i="8"/>
  <c r="L2541" i="8"/>
  <c r="N2540" i="8"/>
  <c r="L2540" i="8"/>
  <c r="N2539" i="8"/>
  <c r="L2539" i="8"/>
  <c r="N2538" i="8"/>
  <c r="L2538" i="8"/>
  <c r="N2537" i="8"/>
  <c r="L2537" i="8"/>
  <c r="N2536" i="8"/>
  <c r="L2536" i="8"/>
  <c r="N2535" i="8"/>
  <c r="L2535" i="8"/>
  <c r="N2534" i="8"/>
  <c r="L2534" i="8"/>
  <c r="N2533" i="8"/>
  <c r="L2533" i="8"/>
  <c r="N2532" i="8"/>
  <c r="L2532" i="8"/>
  <c r="N2531" i="8"/>
  <c r="L2531" i="8"/>
  <c r="N2530" i="8"/>
  <c r="L2530" i="8"/>
  <c r="N2529" i="8"/>
  <c r="L2529" i="8"/>
  <c r="N2528" i="8"/>
  <c r="L2528" i="8"/>
  <c r="N2527" i="8"/>
  <c r="L2527" i="8"/>
  <c r="N2526" i="8"/>
  <c r="L2526" i="8"/>
  <c r="N2525" i="8"/>
  <c r="L2525" i="8"/>
  <c r="N2524" i="8"/>
  <c r="L2524" i="8"/>
  <c r="N2523" i="8"/>
  <c r="L2523" i="8"/>
  <c r="N2522" i="8"/>
  <c r="L2522" i="8"/>
  <c r="N2521" i="8"/>
  <c r="L2521" i="8"/>
  <c r="N2520" i="8"/>
  <c r="L2520" i="8"/>
  <c r="N2519" i="8"/>
  <c r="L2519" i="8"/>
  <c r="N2518" i="8"/>
  <c r="L2518" i="8"/>
  <c r="N2517" i="8"/>
  <c r="L2517" i="8"/>
  <c r="N2516" i="8"/>
  <c r="L2516" i="8"/>
  <c r="N2515" i="8"/>
  <c r="L2515" i="8"/>
  <c r="N2514" i="8"/>
  <c r="L2514" i="8"/>
  <c r="N2513" i="8"/>
  <c r="L2513" i="8"/>
  <c r="N2512" i="8"/>
  <c r="L2512" i="8"/>
  <c r="N2511" i="8"/>
  <c r="L2511" i="8"/>
  <c r="N2510" i="8"/>
  <c r="L2510" i="8"/>
  <c r="N2509" i="8"/>
  <c r="L2509" i="8"/>
  <c r="N2508" i="8"/>
  <c r="L2508" i="8"/>
  <c r="N2507" i="8"/>
  <c r="L2507" i="8"/>
  <c r="N2506" i="8"/>
  <c r="L2506" i="8"/>
  <c r="N2505" i="8"/>
  <c r="L2505" i="8"/>
  <c r="N2504" i="8"/>
  <c r="L2504" i="8"/>
  <c r="N2503" i="8"/>
  <c r="L2503" i="8"/>
  <c r="N2502" i="8"/>
  <c r="L2502" i="8"/>
  <c r="N2501" i="8"/>
  <c r="L2501" i="8"/>
  <c r="N2500" i="8"/>
  <c r="L2500" i="8"/>
  <c r="N2499" i="8"/>
  <c r="L2499" i="8"/>
  <c r="N2498" i="8"/>
  <c r="L2498" i="8"/>
  <c r="N2497" i="8"/>
  <c r="L2497" i="8"/>
  <c r="N2496" i="8"/>
  <c r="L2496" i="8"/>
  <c r="N2495" i="8"/>
  <c r="L2495" i="8"/>
  <c r="N2494" i="8"/>
  <c r="L2494" i="8"/>
  <c r="N2493" i="8"/>
  <c r="L2493" i="8"/>
  <c r="N2492" i="8"/>
  <c r="L2492" i="8"/>
  <c r="N2491" i="8"/>
  <c r="L2491" i="8"/>
  <c r="N2490" i="8"/>
  <c r="L2490" i="8"/>
  <c r="N2489" i="8"/>
  <c r="L2489" i="8"/>
  <c r="N2488" i="8"/>
  <c r="L2488" i="8"/>
  <c r="N2487" i="8"/>
  <c r="L2487" i="8"/>
  <c r="N2486" i="8"/>
  <c r="L2486" i="8"/>
  <c r="N2485" i="8"/>
  <c r="L2485" i="8"/>
  <c r="N2484" i="8"/>
  <c r="L2484" i="8"/>
  <c r="N2483" i="8"/>
  <c r="L2483" i="8"/>
  <c r="N2482" i="8"/>
  <c r="L2482" i="8"/>
  <c r="N2481" i="8"/>
  <c r="L2481" i="8"/>
  <c r="N2480" i="8"/>
  <c r="L2480" i="8"/>
  <c r="N2479" i="8"/>
  <c r="L2479" i="8"/>
  <c r="N2478" i="8"/>
  <c r="L2478" i="8"/>
  <c r="N2477" i="8"/>
  <c r="L2477" i="8"/>
  <c r="N2476" i="8"/>
  <c r="L2476" i="8"/>
  <c r="N2475" i="8"/>
  <c r="L2475" i="8"/>
  <c r="N2474" i="8"/>
  <c r="L2474" i="8"/>
  <c r="N2473" i="8"/>
  <c r="L2473" i="8"/>
  <c r="N2472" i="8"/>
  <c r="L2472" i="8"/>
  <c r="N2471" i="8"/>
  <c r="L2471" i="8"/>
  <c r="N2470" i="8"/>
  <c r="L2470" i="8"/>
  <c r="N2469" i="8"/>
  <c r="L2469" i="8"/>
  <c r="N2468" i="8"/>
  <c r="L2468" i="8"/>
  <c r="N2467" i="8"/>
  <c r="L2467" i="8"/>
  <c r="N2466" i="8"/>
  <c r="L2466" i="8"/>
  <c r="N2465" i="8"/>
  <c r="L2465" i="8"/>
  <c r="N2464" i="8"/>
  <c r="L2464" i="8"/>
  <c r="N2463" i="8"/>
  <c r="L2463" i="8"/>
  <c r="N2462" i="8"/>
  <c r="L2462" i="8"/>
  <c r="N2461" i="8"/>
  <c r="L2461" i="8"/>
  <c r="N2460" i="8"/>
  <c r="L2460" i="8"/>
  <c r="N2459" i="8"/>
  <c r="L2459" i="8"/>
  <c r="N2458" i="8"/>
  <c r="L2458" i="8"/>
  <c r="N2457" i="8"/>
  <c r="L2457" i="8"/>
  <c r="N2456" i="8"/>
  <c r="L2456" i="8"/>
  <c r="N2455" i="8"/>
  <c r="L2455" i="8"/>
  <c r="N2454" i="8"/>
  <c r="L2454" i="8"/>
  <c r="N2453" i="8"/>
  <c r="L2453" i="8"/>
  <c r="N2452" i="8"/>
  <c r="L2452" i="8"/>
  <c r="N2451" i="8"/>
  <c r="L2451" i="8"/>
  <c r="N2450" i="8"/>
  <c r="L2450" i="8"/>
  <c r="N2449" i="8"/>
  <c r="L2449" i="8"/>
  <c r="N2448" i="8"/>
  <c r="L2448" i="8"/>
  <c r="N2447" i="8"/>
  <c r="L2447" i="8"/>
  <c r="N2446" i="8"/>
  <c r="L2446" i="8"/>
  <c r="N2445" i="8"/>
  <c r="L2445" i="8"/>
  <c r="N2444" i="8"/>
  <c r="L2444" i="8"/>
  <c r="N2443" i="8"/>
  <c r="L2443" i="8"/>
  <c r="N2442" i="8"/>
  <c r="L2442" i="8"/>
  <c r="N2441" i="8"/>
  <c r="L2441" i="8"/>
  <c r="N2440" i="8"/>
  <c r="L2440" i="8"/>
  <c r="N2439" i="8"/>
  <c r="L2439" i="8"/>
  <c r="N2438" i="8"/>
  <c r="L2438" i="8"/>
  <c r="N2437" i="8"/>
  <c r="L2437" i="8"/>
  <c r="N2436" i="8"/>
  <c r="L2436" i="8"/>
  <c r="N2435" i="8"/>
  <c r="L2435" i="8"/>
  <c r="N2434" i="8"/>
  <c r="L2434" i="8"/>
  <c r="N2433" i="8"/>
  <c r="L2433" i="8"/>
  <c r="N2432" i="8"/>
  <c r="L2432" i="8"/>
  <c r="N2431" i="8"/>
  <c r="L2431" i="8"/>
  <c r="N2430" i="8"/>
  <c r="L2430" i="8"/>
  <c r="N2429" i="8"/>
  <c r="L2429" i="8"/>
  <c r="N2428" i="8"/>
  <c r="L2428" i="8"/>
  <c r="N2427" i="8"/>
  <c r="L2427" i="8"/>
  <c r="N2426" i="8"/>
  <c r="L2426" i="8"/>
  <c r="N2425" i="8"/>
  <c r="L2425" i="8"/>
  <c r="N2424" i="8"/>
  <c r="L2424" i="8"/>
  <c r="N2423" i="8"/>
  <c r="L2423" i="8"/>
  <c r="N2422" i="8"/>
  <c r="L2422" i="8"/>
  <c r="N2421" i="8"/>
  <c r="L2421" i="8"/>
  <c r="N2420" i="8"/>
  <c r="L2420" i="8"/>
  <c r="N2419" i="8"/>
  <c r="L2419" i="8"/>
  <c r="N2418" i="8"/>
  <c r="L2418" i="8"/>
  <c r="N2417" i="8"/>
  <c r="L2417" i="8"/>
  <c r="N2416" i="8"/>
  <c r="L2416" i="8"/>
  <c r="N2415" i="8"/>
  <c r="L2415" i="8"/>
  <c r="N2414" i="8"/>
  <c r="L2414" i="8"/>
  <c r="N2413" i="8"/>
  <c r="L2413" i="8"/>
  <c r="N2412" i="8"/>
  <c r="L2412" i="8"/>
  <c r="N2411" i="8"/>
  <c r="L2411" i="8"/>
  <c r="N2410" i="8"/>
  <c r="L2410" i="8"/>
  <c r="N2409" i="8"/>
  <c r="L2409" i="8"/>
  <c r="N2408" i="8"/>
  <c r="L2408" i="8"/>
  <c r="N2407" i="8"/>
  <c r="L2407" i="8"/>
  <c r="N2406" i="8"/>
  <c r="L2406" i="8"/>
  <c r="N2405" i="8"/>
  <c r="L2405" i="8"/>
  <c r="N2404" i="8"/>
  <c r="L2404" i="8"/>
  <c r="N2403" i="8"/>
  <c r="L2403" i="8"/>
  <c r="N2402" i="8"/>
  <c r="L2402" i="8"/>
  <c r="N2401" i="8"/>
  <c r="L2401" i="8"/>
  <c r="N2400" i="8"/>
  <c r="L2400" i="8"/>
  <c r="N2399" i="8"/>
  <c r="L2399" i="8"/>
  <c r="N2398" i="8"/>
  <c r="L2398" i="8"/>
  <c r="N2397" i="8"/>
  <c r="L2397" i="8"/>
  <c r="N2396" i="8"/>
  <c r="L2396" i="8"/>
  <c r="N2395" i="8"/>
  <c r="L2395" i="8"/>
  <c r="N2394" i="8"/>
  <c r="L2394" i="8"/>
  <c r="N2393" i="8"/>
  <c r="L2393" i="8"/>
  <c r="N2392" i="8"/>
  <c r="L2392" i="8"/>
  <c r="N2391" i="8"/>
  <c r="L2391" i="8"/>
  <c r="N2390" i="8"/>
  <c r="L2390" i="8"/>
  <c r="N2389" i="8"/>
  <c r="L2389" i="8"/>
  <c r="N2388" i="8"/>
  <c r="L2388" i="8"/>
  <c r="N2387" i="8"/>
  <c r="L2387" i="8"/>
  <c r="N2386" i="8"/>
  <c r="L2386" i="8"/>
  <c r="N2385" i="8"/>
  <c r="L2385" i="8"/>
  <c r="N2384" i="8"/>
  <c r="L2384" i="8"/>
  <c r="N2383" i="8"/>
  <c r="L2383" i="8"/>
  <c r="N2382" i="8"/>
  <c r="L2382" i="8"/>
  <c r="N2381" i="8"/>
  <c r="L2381" i="8"/>
  <c r="N2380" i="8"/>
  <c r="L2380" i="8"/>
  <c r="N2379" i="8"/>
  <c r="L2379" i="8"/>
  <c r="N2378" i="8"/>
  <c r="L2378" i="8"/>
  <c r="N2377" i="8"/>
  <c r="L2377" i="8"/>
  <c r="N2376" i="8"/>
  <c r="L2376" i="8"/>
  <c r="N2375" i="8"/>
  <c r="L2375" i="8"/>
  <c r="N2374" i="8"/>
  <c r="L2374" i="8"/>
  <c r="N2373" i="8"/>
  <c r="L2373" i="8"/>
  <c r="N2372" i="8"/>
  <c r="L2372" i="8"/>
  <c r="N2371" i="8"/>
  <c r="L2371" i="8"/>
  <c r="N2370" i="8"/>
  <c r="L2370" i="8"/>
  <c r="N2369" i="8"/>
  <c r="L2369" i="8"/>
  <c r="N2368" i="8"/>
  <c r="L2368" i="8"/>
  <c r="N2367" i="8"/>
  <c r="L2367" i="8"/>
  <c r="N2366" i="8"/>
  <c r="L2366" i="8"/>
  <c r="N2365" i="8"/>
  <c r="L2365" i="8"/>
  <c r="N2364" i="8"/>
  <c r="L2364" i="8"/>
  <c r="N2363" i="8"/>
  <c r="L2363" i="8"/>
  <c r="N2362" i="8"/>
  <c r="L2362" i="8"/>
  <c r="N2361" i="8"/>
  <c r="L2361" i="8"/>
  <c r="N2360" i="8"/>
  <c r="L2360" i="8"/>
  <c r="N2359" i="8"/>
  <c r="L2359" i="8"/>
  <c r="N2358" i="8"/>
  <c r="L2358" i="8"/>
  <c r="N2357" i="8"/>
  <c r="L2357" i="8"/>
  <c r="N2356" i="8"/>
  <c r="L2356" i="8"/>
  <c r="N2355" i="8"/>
  <c r="L2355" i="8"/>
  <c r="N2354" i="8"/>
  <c r="L2354" i="8"/>
  <c r="N2353" i="8"/>
  <c r="L2353" i="8"/>
  <c r="N2352" i="8"/>
  <c r="L2352" i="8"/>
  <c r="N2351" i="8"/>
  <c r="L2351" i="8"/>
  <c r="N2350" i="8"/>
  <c r="L2350" i="8"/>
  <c r="N2349" i="8"/>
  <c r="L2349" i="8"/>
  <c r="N2348" i="8"/>
  <c r="L2348" i="8"/>
  <c r="N2347" i="8"/>
  <c r="L2347" i="8"/>
  <c r="N2346" i="8"/>
  <c r="L2346" i="8"/>
  <c r="N2345" i="8"/>
  <c r="L2345" i="8"/>
  <c r="N2344" i="8"/>
  <c r="L2344" i="8"/>
  <c r="N2343" i="8"/>
  <c r="L2343" i="8"/>
  <c r="N2342" i="8"/>
  <c r="L2342" i="8"/>
  <c r="N2341" i="8"/>
  <c r="L2341" i="8"/>
  <c r="N2340" i="8"/>
  <c r="L2340" i="8"/>
  <c r="N2339" i="8"/>
  <c r="L2339" i="8"/>
  <c r="N2338" i="8"/>
  <c r="L2338" i="8"/>
  <c r="N2337" i="8"/>
  <c r="L2337" i="8"/>
  <c r="N2336" i="8"/>
  <c r="L2336" i="8"/>
  <c r="N2335" i="8"/>
  <c r="L2335" i="8"/>
  <c r="N2334" i="8"/>
  <c r="L2334" i="8"/>
  <c r="N2333" i="8"/>
  <c r="L2333" i="8"/>
  <c r="N2332" i="8"/>
  <c r="L2332" i="8"/>
  <c r="N2331" i="8"/>
  <c r="L2331" i="8"/>
  <c r="N2330" i="8"/>
  <c r="L2330" i="8"/>
  <c r="N2329" i="8"/>
  <c r="L2329" i="8"/>
  <c r="N2328" i="8"/>
  <c r="L2328" i="8"/>
  <c r="N2327" i="8"/>
  <c r="L2327" i="8"/>
  <c r="N2326" i="8"/>
  <c r="L2326" i="8"/>
  <c r="N2325" i="8"/>
  <c r="L2325" i="8"/>
  <c r="N2324" i="8"/>
  <c r="L2324" i="8"/>
  <c r="N2323" i="8"/>
  <c r="L2323" i="8"/>
  <c r="N2322" i="8"/>
  <c r="L2322" i="8"/>
  <c r="N2321" i="8"/>
  <c r="L2321" i="8"/>
  <c r="N2320" i="8"/>
  <c r="L2320" i="8"/>
  <c r="N2319" i="8"/>
  <c r="L2319" i="8"/>
  <c r="N2318" i="8"/>
  <c r="L2318" i="8"/>
  <c r="N2317" i="8"/>
  <c r="L2317" i="8"/>
  <c r="V2316" i="8"/>
  <c r="T2316" i="8"/>
  <c r="N2316" i="8"/>
  <c r="L2316" i="8"/>
  <c r="V2315" i="8"/>
  <c r="T2315" i="8"/>
  <c r="N2315" i="8"/>
  <c r="L2315" i="8"/>
  <c r="V2314" i="8"/>
  <c r="T2314" i="8"/>
  <c r="N2314" i="8"/>
  <c r="L2314" i="8"/>
  <c r="V2313" i="8"/>
  <c r="T2313" i="8"/>
  <c r="N2313" i="8"/>
  <c r="L2313" i="8"/>
  <c r="V2312" i="8"/>
  <c r="T2312" i="8"/>
  <c r="N2312" i="8"/>
  <c r="L2312" i="8"/>
  <c r="V2311" i="8"/>
  <c r="T2311" i="8"/>
  <c r="N2311" i="8"/>
  <c r="L2311" i="8"/>
  <c r="V2310" i="8"/>
  <c r="T2310" i="8"/>
  <c r="N2310" i="8"/>
  <c r="L2310" i="8"/>
  <c r="V2309" i="8"/>
  <c r="T2309" i="8"/>
  <c r="N2309" i="8"/>
  <c r="L2309" i="8"/>
  <c r="V2308" i="8"/>
  <c r="T2308" i="8"/>
  <c r="N2308" i="8"/>
  <c r="L2308" i="8"/>
  <c r="V2307" i="8"/>
  <c r="T2307" i="8"/>
  <c r="N2307" i="8"/>
  <c r="L2307" i="8"/>
  <c r="V2306" i="8"/>
  <c r="T2306" i="8"/>
  <c r="N2306" i="8"/>
  <c r="L2306" i="8"/>
  <c r="V2305" i="8"/>
  <c r="T2305" i="8"/>
  <c r="N2305" i="8"/>
  <c r="L2305" i="8"/>
  <c r="V2304" i="8"/>
  <c r="T2304" i="8"/>
  <c r="N2304" i="8"/>
  <c r="L2304" i="8"/>
  <c r="V2303" i="8"/>
  <c r="T2303" i="8"/>
  <c r="N2303" i="8"/>
  <c r="L2303" i="8"/>
  <c r="V2302" i="8"/>
  <c r="T2302" i="8"/>
  <c r="N2302" i="8"/>
  <c r="L2302" i="8"/>
  <c r="V2301" i="8"/>
  <c r="T2301" i="8"/>
  <c r="N2301" i="8"/>
  <c r="L2301" i="8"/>
  <c r="V2300" i="8"/>
  <c r="T2300" i="8"/>
  <c r="N2300" i="8"/>
  <c r="L2300" i="8"/>
  <c r="V2299" i="8"/>
  <c r="T2299" i="8"/>
  <c r="N2299" i="8"/>
  <c r="L2299" i="8"/>
  <c r="V2298" i="8"/>
  <c r="T2298" i="8"/>
  <c r="N2298" i="8"/>
  <c r="L2298" i="8"/>
  <c r="V2297" i="8"/>
  <c r="T2297" i="8"/>
  <c r="N2297" i="8"/>
  <c r="L2297" i="8"/>
  <c r="V2296" i="8"/>
  <c r="T2296" i="8"/>
  <c r="N2296" i="8"/>
  <c r="L2296" i="8"/>
  <c r="V2295" i="8"/>
  <c r="T2295" i="8"/>
  <c r="N2295" i="8"/>
  <c r="L2295" i="8"/>
  <c r="V2294" i="8"/>
  <c r="T2294" i="8"/>
  <c r="N2294" i="8"/>
  <c r="L2294" i="8"/>
  <c r="V2293" i="8"/>
  <c r="T2293" i="8"/>
  <c r="N2293" i="8"/>
  <c r="L2293" i="8"/>
  <c r="V2292" i="8"/>
  <c r="T2292" i="8"/>
  <c r="N2292" i="8"/>
  <c r="L2292" i="8"/>
  <c r="V2291" i="8"/>
  <c r="T2291" i="8"/>
  <c r="N2291" i="8"/>
  <c r="L2291" i="8"/>
  <c r="V2290" i="8"/>
  <c r="T2290" i="8"/>
  <c r="N2290" i="8"/>
  <c r="L2290" i="8"/>
  <c r="V2289" i="8"/>
  <c r="T2289" i="8"/>
  <c r="N2289" i="8"/>
  <c r="L2289" i="8"/>
  <c r="V2288" i="8"/>
  <c r="T2288" i="8"/>
  <c r="N2288" i="8"/>
  <c r="L2288" i="8"/>
  <c r="V2287" i="8"/>
  <c r="T2287" i="8"/>
  <c r="N2287" i="8"/>
  <c r="L2287" i="8"/>
  <c r="V2286" i="8"/>
  <c r="T2286" i="8"/>
  <c r="N2286" i="8"/>
  <c r="L2286" i="8"/>
  <c r="V2285" i="8"/>
  <c r="T2285" i="8"/>
  <c r="N2285" i="8"/>
  <c r="L2285" i="8"/>
  <c r="V2284" i="8"/>
  <c r="T2284" i="8"/>
  <c r="N2284" i="8"/>
  <c r="L2284" i="8"/>
  <c r="V2283" i="8"/>
  <c r="T2283" i="8"/>
  <c r="N2283" i="8"/>
  <c r="L2283" i="8"/>
  <c r="V2282" i="8"/>
  <c r="T2282" i="8"/>
  <c r="N2282" i="8"/>
  <c r="L2282" i="8"/>
  <c r="V2281" i="8"/>
  <c r="T2281" i="8"/>
  <c r="N2281" i="8"/>
  <c r="L2281" i="8"/>
  <c r="V2280" i="8"/>
  <c r="T2280" i="8"/>
  <c r="N2280" i="8"/>
  <c r="L2280" i="8"/>
  <c r="V2279" i="8"/>
  <c r="T2279" i="8"/>
  <c r="N2279" i="8"/>
  <c r="L2279" i="8"/>
  <c r="V2278" i="8"/>
  <c r="T2278" i="8"/>
  <c r="N2278" i="8"/>
  <c r="L2278" i="8"/>
  <c r="V2277" i="8"/>
  <c r="T2277" i="8"/>
  <c r="N2277" i="8"/>
  <c r="L2277" i="8"/>
  <c r="V2276" i="8"/>
  <c r="T2276" i="8"/>
  <c r="N2276" i="8"/>
  <c r="L2276" i="8"/>
  <c r="V2275" i="8"/>
  <c r="T2275" i="8"/>
  <c r="N2275" i="8"/>
  <c r="L2275" i="8"/>
  <c r="V2274" i="8"/>
  <c r="T2274" i="8"/>
  <c r="N2274" i="8"/>
  <c r="L2274" i="8"/>
  <c r="V2273" i="8"/>
  <c r="T2273" i="8"/>
  <c r="N2273" i="8"/>
  <c r="L2273" i="8"/>
  <c r="V2272" i="8"/>
  <c r="T2272" i="8"/>
  <c r="N2272" i="8"/>
  <c r="L2272" i="8"/>
  <c r="V2271" i="8"/>
  <c r="T2271" i="8"/>
  <c r="N2271" i="8"/>
  <c r="L2271" i="8"/>
  <c r="V2270" i="8"/>
  <c r="T2270" i="8"/>
  <c r="N2270" i="8"/>
  <c r="L2270" i="8"/>
  <c r="V2269" i="8"/>
  <c r="T2269" i="8"/>
  <c r="N2269" i="8"/>
  <c r="L2269" i="8"/>
  <c r="V2268" i="8"/>
  <c r="T2268" i="8"/>
  <c r="N2268" i="8"/>
  <c r="L2268" i="8"/>
  <c r="V2267" i="8"/>
  <c r="T2267" i="8"/>
  <c r="N2267" i="8"/>
  <c r="L2267" i="8"/>
  <c r="V2266" i="8"/>
  <c r="T2266" i="8"/>
  <c r="N2266" i="8"/>
  <c r="L2266" i="8"/>
  <c r="V2265" i="8"/>
  <c r="T2265" i="8"/>
  <c r="N2265" i="8"/>
  <c r="L2265" i="8"/>
  <c r="V2264" i="8"/>
  <c r="T2264" i="8"/>
  <c r="N2264" i="8"/>
  <c r="L2264" i="8"/>
  <c r="V2263" i="8"/>
  <c r="T2263" i="8"/>
  <c r="N2263" i="8"/>
  <c r="L2263" i="8"/>
  <c r="V2262" i="8"/>
  <c r="T2262" i="8"/>
  <c r="N2262" i="8"/>
  <c r="L2262" i="8"/>
  <c r="V2261" i="8"/>
  <c r="T2261" i="8"/>
  <c r="N2261" i="8"/>
  <c r="L2261" i="8"/>
  <c r="V2260" i="8"/>
  <c r="T2260" i="8"/>
  <c r="N2260" i="8"/>
  <c r="L2260" i="8"/>
  <c r="V2259" i="8"/>
  <c r="T2259" i="8"/>
  <c r="N2259" i="8"/>
  <c r="L2259" i="8"/>
  <c r="V2258" i="8"/>
  <c r="T2258" i="8"/>
  <c r="N2258" i="8"/>
  <c r="L2258" i="8"/>
  <c r="V2257" i="8"/>
  <c r="T2257" i="8"/>
  <c r="N2257" i="8"/>
  <c r="L2257" i="8"/>
  <c r="V2256" i="8"/>
  <c r="T2256" i="8"/>
  <c r="N2256" i="8"/>
  <c r="L2256" i="8"/>
  <c r="V2255" i="8"/>
  <c r="T2255" i="8"/>
  <c r="N2255" i="8"/>
  <c r="L2255" i="8"/>
  <c r="V2254" i="8"/>
  <c r="T2254" i="8"/>
  <c r="N2254" i="8"/>
  <c r="L2254" i="8"/>
  <c r="V2253" i="8"/>
  <c r="T2253" i="8"/>
  <c r="N2253" i="8"/>
  <c r="L2253" i="8"/>
  <c r="V2252" i="8"/>
  <c r="T2252" i="8"/>
  <c r="N2252" i="8"/>
  <c r="L2252" i="8"/>
  <c r="V2251" i="8"/>
  <c r="T2251" i="8"/>
  <c r="N2251" i="8"/>
  <c r="L2251" i="8"/>
  <c r="V2250" i="8"/>
  <c r="T2250" i="8"/>
  <c r="N2250" i="8"/>
  <c r="L2250" i="8"/>
  <c r="V2249" i="8"/>
  <c r="T2249" i="8"/>
  <c r="N2249" i="8"/>
  <c r="L2249" i="8"/>
  <c r="V2248" i="8"/>
  <c r="T2248" i="8"/>
  <c r="N2248" i="8"/>
  <c r="L2248" i="8"/>
  <c r="V2247" i="8"/>
  <c r="T2247" i="8"/>
  <c r="N2247" i="8"/>
  <c r="L2247" i="8"/>
  <c r="V2246" i="8"/>
  <c r="T2246" i="8"/>
  <c r="N2246" i="8"/>
  <c r="L2246" i="8"/>
  <c r="V2245" i="8"/>
  <c r="T2245" i="8"/>
  <c r="N2245" i="8"/>
  <c r="L2245" i="8"/>
  <c r="V2244" i="8"/>
  <c r="T2244" i="8"/>
  <c r="N2244" i="8"/>
  <c r="L2244" i="8"/>
  <c r="V2243" i="8"/>
  <c r="T2243" i="8"/>
  <c r="N2243" i="8"/>
  <c r="L2243" i="8"/>
  <c r="V2242" i="8"/>
  <c r="T2242" i="8"/>
  <c r="N2242" i="8"/>
  <c r="L2242" i="8"/>
  <c r="V2241" i="8"/>
  <c r="T2241" i="8"/>
  <c r="N2241" i="8"/>
  <c r="L2241" i="8"/>
  <c r="V2240" i="8"/>
  <c r="T2240" i="8"/>
  <c r="N2240" i="8"/>
  <c r="L2240" i="8"/>
  <c r="V2239" i="8"/>
  <c r="T2239" i="8"/>
  <c r="N2239" i="8"/>
  <c r="L2239" i="8"/>
  <c r="V2238" i="8"/>
  <c r="T2238" i="8"/>
  <c r="N2238" i="8"/>
  <c r="L2238" i="8"/>
  <c r="V2237" i="8"/>
  <c r="T2237" i="8"/>
  <c r="N2237" i="8"/>
  <c r="L2237" i="8"/>
  <c r="V2236" i="8"/>
  <c r="T2236" i="8"/>
  <c r="N2236" i="8"/>
  <c r="L2236" i="8"/>
  <c r="V2235" i="8"/>
  <c r="T2235" i="8"/>
  <c r="N2235" i="8"/>
  <c r="L2235" i="8"/>
  <c r="V2234" i="8"/>
  <c r="T2234" i="8"/>
  <c r="N2234" i="8"/>
  <c r="L2234" i="8"/>
  <c r="V2233" i="8"/>
  <c r="T2233" i="8"/>
  <c r="N2233" i="8"/>
  <c r="L2233" i="8"/>
  <c r="V2232" i="8"/>
  <c r="T2232" i="8"/>
  <c r="N2232" i="8"/>
  <c r="L2232" i="8"/>
  <c r="V2231" i="8"/>
  <c r="T2231" i="8"/>
  <c r="N2231" i="8"/>
  <c r="L2231" i="8"/>
  <c r="V2230" i="8"/>
  <c r="T2230" i="8"/>
  <c r="N2230" i="8"/>
  <c r="L2230" i="8"/>
  <c r="V2229" i="8"/>
  <c r="T2229" i="8"/>
  <c r="N2229" i="8"/>
  <c r="L2229" i="8"/>
  <c r="V2228" i="8"/>
  <c r="T2228" i="8"/>
  <c r="N2228" i="8"/>
  <c r="L2228" i="8"/>
  <c r="V2227" i="8"/>
  <c r="T2227" i="8"/>
  <c r="N2227" i="8"/>
  <c r="L2227" i="8"/>
  <c r="V2226" i="8"/>
  <c r="T2226" i="8"/>
  <c r="N2226" i="8"/>
  <c r="L2226" i="8"/>
  <c r="V2225" i="8"/>
  <c r="T2225" i="8"/>
  <c r="N2225" i="8"/>
  <c r="L2225" i="8"/>
  <c r="V2224" i="8"/>
  <c r="T2224" i="8"/>
  <c r="N2224" i="8"/>
  <c r="L2224" i="8"/>
  <c r="V2223" i="8"/>
  <c r="T2223" i="8"/>
  <c r="N2223" i="8"/>
  <c r="L2223" i="8"/>
  <c r="V2222" i="8"/>
  <c r="T2222" i="8"/>
  <c r="N2222" i="8"/>
  <c r="L2222" i="8"/>
  <c r="V2221" i="8"/>
  <c r="T2221" i="8"/>
  <c r="N2221" i="8"/>
  <c r="L2221" i="8"/>
  <c r="V2220" i="8"/>
  <c r="T2220" i="8"/>
  <c r="N2220" i="8"/>
  <c r="L2220" i="8"/>
  <c r="V2219" i="8"/>
  <c r="T2219" i="8"/>
  <c r="N2219" i="8"/>
  <c r="L2219" i="8"/>
  <c r="V2218" i="8"/>
  <c r="T2218" i="8"/>
  <c r="N2218" i="8"/>
  <c r="L2218" i="8"/>
  <c r="V2217" i="8"/>
  <c r="T2217" i="8"/>
  <c r="N2217" i="8"/>
  <c r="L2217" i="8"/>
  <c r="V2216" i="8"/>
  <c r="T2216" i="8"/>
  <c r="N2216" i="8"/>
  <c r="L2216" i="8"/>
  <c r="V2215" i="8"/>
  <c r="T2215" i="8"/>
  <c r="N2215" i="8"/>
  <c r="L2215" i="8"/>
  <c r="V2214" i="8"/>
  <c r="T2214" i="8"/>
  <c r="N2214" i="8"/>
  <c r="L2214" i="8"/>
  <c r="V2213" i="8"/>
  <c r="T2213" i="8"/>
  <c r="N2213" i="8"/>
  <c r="L2213" i="8"/>
  <c r="V2212" i="8"/>
  <c r="T2212" i="8"/>
  <c r="N2212" i="8"/>
  <c r="L2212" i="8"/>
  <c r="V2211" i="8"/>
  <c r="T2211" i="8"/>
  <c r="N2211" i="8"/>
  <c r="L2211" i="8"/>
  <c r="V2210" i="8"/>
  <c r="T2210" i="8"/>
  <c r="N2210" i="8"/>
  <c r="L2210" i="8"/>
  <c r="V2209" i="8"/>
  <c r="T2209" i="8"/>
  <c r="N2209" i="8"/>
  <c r="L2209" i="8"/>
  <c r="V2208" i="8"/>
  <c r="T2208" i="8"/>
  <c r="N2208" i="8"/>
  <c r="L2208" i="8"/>
  <c r="V2207" i="8"/>
  <c r="T2207" i="8"/>
  <c r="N2207" i="8"/>
  <c r="L2207" i="8"/>
  <c r="V2206" i="8"/>
  <c r="T2206" i="8"/>
  <c r="N2206" i="8"/>
  <c r="L2206" i="8"/>
  <c r="V2205" i="8"/>
  <c r="T2205" i="8"/>
  <c r="N2205" i="8"/>
  <c r="L2205" i="8"/>
  <c r="V2204" i="8"/>
  <c r="T2204" i="8"/>
  <c r="N2204" i="8"/>
  <c r="L2204" i="8"/>
  <c r="V2203" i="8"/>
  <c r="T2203" i="8"/>
  <c r="N2203" i="8"/>
  <c r="L2203" i="8"/>
  <c r="V2202" i="8"/>
  <c r="T2202" i="8"/>
  <c r="N2202" i="8"/>
  <c r="L2202" i="8"/>
  <c r="V2201" i="8"/>
  <c r="T2201" i="8"/>
  <c r="N2201" i="8"/>
  <c r="L2201" i="8"/>
  <c r="V2200" i="8"/>
  <c r="T2200" i="8"/>
  <c r="N2200" i="8"/>
  <c r="L2200" i="8"/>
  <c r="V2199" i="8"/>
  <c r="T2199" i="8"/>
  <c r="N2199" i="8"/>
  <c r="L2199" i="8"/>
  <c r="V2198" i="8"/>
  <c r="T2198" i="8"/>
  <c r="N2198" i="8"/>
  <c r="L2198" i="8"/>
  <c r="V2197" i="8"/>
  <c r="T2197" i="8"/>
  <c r="N2197" i="8"/>
  <c r="L2197" i="8"/>
  <c r="V2196" i="8"/>
  <c r="T2196" i="8"/>
  <c r="N2196" i="8"/>
  <c r="L2196" i="8"/>
  <c r="V2195" i="8"/>
  <c r="T2195" i="8"/>
  <c r="N2195" i="8"/>
  <c r="L2195" i="8"/>
  <c r="V2194" i="8"/>
  <c r="T2194" i="8"/>
  <c r="N2194" i="8"/>
  <c r="L2194" i="8"/>
  <c r="V2193" i="8"/>
  <c r="T2193" i="8"/>
  <c r="N2193" i="8"/>
  <c r="L2193" i="8"/>
  <c r="V2192" i="8"/>
  <c r="T2192" i="8"/>
  <c r="N2192" i="8"/>
  <c r="L2192" i="8"/>
  <c r="V2191" i="8"/>
  <c r="T2191" i="8"/>
  <c r="N2191" i="8"/>
  <c r="L2191" i="8"/>
  <c r="V2190" i="8"/>
  <c r="T2190" i="8"/>
  <c r="N2190" i="8"/>
  <c r="L2190" i="8"/>
  <c r="V2189" i="8"/>
  <c r="T2189" i="8"/>
  <c r="N2189" i="8"/>
  <c r="L2189" i="8"/>
  <c r="V2188" i="8"/>
  <c r="T2188" i="8"/>
  <c r="N2188" i="8"/>
  <c r="L2188" i="8"/>
  <c r="V2187" i="8"/>
  <c r="T2187" i="8"/>
  <c r="N2187" i="8"/>
  <c r="L2187" i="8"/>
  <c r="V2186" i="8"/>
  <c r="T2186" i="8"/>
  <c r="N2186" i="8"/>
  <c r="L2186" i="8"/>
  <c r="V2185" i="8"/>
  <c r="T2185" i="8"/>
  <c r="N2185" i="8"/>
  <c r="L2185" i="8"/>
  <c r="V2184" i="8"/>
  <c r="T2184" i="8"/>
  <c r="N2184" i="8"/>
  <c r="L2184" i="8"/>
  <c r="V2183" i="8"/>
  <c r="T2183" i="8"/>
  <c r="N2183" i="8"/>
  <c r="L2183" i="8"/>
  <c r="V2182" i="8"/>
  <c r="T2182" i="8"/>
  <c r="N2182" i="8"/>
  <c r="L2182" i="8"/>
  <c r="V2181" i="8"/>
  <c r="T2181" i="8"/>
  <c r="N2181" i="8"/>
  <c r="L2181" i="8"/>
  <c r="V2180" i="8"/>
  <c r="T2180" i="8"/>
  <c r="N2180" i="8"/>
  <c r="L2180" i="8"/>
  <c r="V2179" i="8"/>
  <c r="T2179" i="8"/>
  <c r="N2179" i="8"/>
  <c r="L2179" i="8"/>
  <c r="V2178" i="8"/>
  <c r="T2178" i="8"/>
  <c r="N2178" i="8"/>
  <c r="L2178" i="8"/>
  <c r="V2177" i="8"/>
  <c r="T2177" i="8"/>
  <c r="N2177" i="8"/>
  <c r="L2177" i="8"/>
  <c r="V2176" i="8"/>
  <c r="T2176" i="8"/>
  <c r="N2176" i="8"/>
  <c r="L2176" i="8"/>
  <c r="V2175" i="8"/>
  <c r="T2175" i="8"/>
  <c r="N2175" i="8"/>
  <c r="L2175" i="8"/>
  <c r="V2174" i="8"/>
  <c r="T2174" i="8"/>
  <c r="N2174" i="8"/>
  <c r="L2174" i="8"/>
  <c r="V2173" i="8"/>
  <c r="T2173" i="8"/>
  <c r="N2173" i="8"/>
  <c r="L2173" i="8"/>
  <c r="V2172" i="8"/>
  <c r="T2172" i="8"/>
  <c r="N2172" i="8"/>
  <c r="L2172" i="8"/>
  <c r="V2171" i="8"/>
  <c r="T2171" i="8"/>
  <c r="N2171" i="8"/>
  <c r="L2171" i="8"/>
  <c r="V2170" i="8"/>
  <c r="T2170" i="8"/>
  <c r="N2170" i="8"/>
  <c r="L2170" i="8"/>
  <c r="V2169" i="8"/>
  <c r="T2169" i="8"/>
  <c r="N2169" i="8"/>
  <c r="L2169" i="8"/>
  <c r="V2168" i="8"/>
  <c r="T2168" i="8"/>
  <c r="N2168" i="8"/>
  <c r="L2168" i="8"/>
  <c r="V2167" i="8"/>
  <c r="T2167" i="8"/>
  <c r="N2167" i="8"/>
  <c r="L2167" i="8"/>
  <c r="V2166" i="8"/>
  <c r="T2166" i="8"/>
  <c r="N2166" i="8"/>
  <c r="L2166" i="8"/>
  <c r="V2165" i="8"/>
  <c r="T2165" i="8"/>
  <c r="N2165" i="8"/>
  <c r="L2165" i="8"/>
  <c r="V2164" i="8"/>
  <c r="T2164" i="8"/>
  <c r="N2164" i="8"/>
  <c r="L2164" i="8"/>
  <c r="V2163" i="8"/>
  <c r="T2163" i="8"/>
  <c r="N2163" i="8"/>
  <c r="L2163" i="8"/>
  <c r="V2162" i="8"/>
  <c r="T2162" i="8"/>
  <c r="N2162" i="8"/>
  <c r="L2162" i="8"/>
  <c r="V2161" i="8"/>
  <c r="T2161" i="8"/>
  <c r="N2161" i="8"/>
  <c r="L2161" i="8"/>
  <c r="V2160" i="8"/>
  <c r="T2160" i="8"/>
  <c r="N2160" i="8"/>
  <c r="L2160" i="8"/>
  <c r="V2159" i="8"/>
  <c r="T2159" i="8"/>
  <c r="N2159" i="8"/>
  <c r="L2159" i="8"/>
  <c r="V2158" i="8"/>
  <c r="T2158" i="8"/>
  <c r="N2158" i="8"/>
  <c r="L2158" i="8"/>
  <c r="V2157" i="8"/>
  <c r="T2157" i="8"/>
  <c r="N2157" i="8"/>
  <c r="L2157" i="8"/>
  <c r="V2156" i="8"/>
  <c r="T2156" i="8"/>
  <c r="N2156" i="8"/>
  <c r="L2156" i="8"/>
  <c r="V2155" i="8"/>
  <c r="T2155" i="8"/>
  <c r="N2155" i="8"/>
  <c r="L2155" i="8"/>
  <c r="V2154" i="8"/>
  <c r="T2154" i="8"/>
  <c r="N2154" i="8"/>
  <c r="L2154" i="8"/>
  <c r="V2153" i="8"/>
  <c r="T2153" i="8"/>
  <c r="N2153" i="8"/>
  <c r="L2153" i="8"/>
  <c r="V2152" i="8"/>
  <c r="T2152" i="8"/>
  <c r="N2152" i="8"/>
  <c r="L2152" i="8"/>
  <c r="V2151" i="8"/>
  <c r="T2151" i="8"/>
  <c r="N2151" i="8"/>
  <c r="L2151" i="8"/>
  <c r="V2150" i="8"/>
  <c r="T2150" i="8"/>
  <c r="N2150" i="8"/>
  <c r="L2150" i="8"/>
  <c r="V2149" i="8"/>
  <c r="T2149" i="8"/>
  <c r="N2149" i="8"/>
  <c r="L2149" i="8"/>
  <c r="V2148" i="8"/>
  <c r="T2148" i="8"/>
  <c r="N2148" i="8"/>
  <c r="L2148" i="8"/>
  <c r="V2147" i="8"/>
  <c r="T2147" i="8"/>
  <c r="N2147" i="8"/>
  <c r="L2147" i="8"/>
  <c r="V2146" i="8"/>
  <c r="T2146" i="8"/>
  <c r="N2146" i="8"/>
  <c r="L2146" i="8"/>
  <c r="V2145" i="8"/>
  <c r="T2145" i="8"/>
  <c r="N2145" i="8"/>
  <c r="L2145" i="8"/>
  <c r="V2144" i="8"/>
  <c r="T2144" i="8"/>
  <c r="N2144" i="8"/>
  <c r="L2144" i="8"/>
  <c r="V2143" i="8"/>
  <c r="T2143" i="8"/>
  <c r="N2143" i="8"/>
  <c r="L2143" i="8"/>
  <c r="V2142" i="8"/>
  <c r="T2142" i="8"/>
  <c r="N2142" i="8"/>
  <c r="L2142" i="8"/>
  <c r="V2141" i="8"/>
  <c r="T2141" i="8"/>
  <c r="N2141" i="8"/>
  <c r="L2141" i="8"/>
  <c r="V2140" i="8"/>
  <c r="T2140" i="8"/>
  <c r="N2140" i="8"/>
  <c r="L2140" i="8"/>
  <c r="V2139" i="8"/>
  <c r="T2139" i="8"/>
  <c r="N2139" i="8"/>
  <c r="L2139" i="8"/>
  <c r="V2138" i="8"/>
  <c r="T2138" i="8"/>
  <c r="N2138" i="8"/>
  <c r="L2138" i="8"/>
  <c r="V2137" i="8"/>
  <c r="T2137" i="8"/>
  <c r="N2137" i="8"/>
  <c r="L2137" i="8"/>
  <c r="V2136" i="8"/>
  <c r="T2136" i="8"/>
  <c r="N2136" i="8"/>
  <c r="L2136" i="8"/>
  <c r="V2135" i="8"/>
  <c r="T2135" i="8"/>
  <c r="N2135" i="8"/>
  <c r="L2135" i="8"/>
  <c r="V2134" i="8"/>
  <c r="T2134" i="8"/>
  <c r="N2134" i="8"/>
  <c r="L2134" i="8"/>
  <c r="V2133" i="8"/>
  <c r="T2133" i="8"/>
  <c r="N2133" i="8"/>
  <c r="L2133" i="8"/>
  <c r="V2132" i="8"/>
  <c r="T2132" i="8"/>
  <c r="N2132" i="8"/>
  <c r="L2132" i="8"/>
  <c r="V2131" i="8"/>
  <c r="T2131" i="8"/>
  <c r="N2131" i="8"/>
  <c r="L2131" i="8"/>
  <c r="V2130" i="8"/>
  <c r="T2130" i="8"/>
  <c r="N2130" i="8"/>
  <c r="L2130" i="8"/>
  <c r="V2129" i="8"/>
  <c r="T2129" i="8"/>
  <c r="N2129" i="8"/>
  <c r="L2129" i="8"/>
  <c r="V2128" i="8"/>
  <c r="T2128" i="8"/>
  <c r="N2128" i="8"/>
  <c r="L2128" i="8"/>
  <c r="V2127" i="8"/>
  <c r="T2127" i="8"/>
  <c r="N2127" i="8"/>
  <c r="L2127" i="8"/>
  <c r="V2126" i="8"/>
  <c r="T2126" i="8"/>
  <c r="N2126" i="8"/>
  <c r="L2126" i="8"/>
  <c r="N2125" i="8"/>
  <c r="L2125" i="8"/>
  <c r="N2124" i="8"/>
  <c r="L2124" i="8"/>
  <c r="N2123" i="8"/>
  <c r="L2123" i="8"/>
  <c r="N2122" i="8"/>
  <c r="L2122" i="8"/>
  <c r="N2121" i="8"/>
  <c r="L2121" i="8"/>
  <c r="N2120" i="8"/>
  <c r="L2120" i="8"/>
  <c r="N2119" i="8"/>
  <c r="L2119" i="8"/>
  <c r="N2118" i="8"/>
  <c r="L2118" i="8"/>
  <c r="N2117" i="8"/>
  <c r="L2117" i="8"/>
  <c r="N2116" i="8"/>
  <c r="L2116" i="8"/>
  <c r="N2115" i="8"/>
  <c r="L2115" i="8"/>
  <c r="N2114" i="8"/>
  <c r="L2114" i="8"/>
  <c r="N2113" i="8"/>
  <c r="L2113" i="8"/>
  <c r="N2112" i="8"/>
  <c r="L2112" i="8"/>
  <c r="N2111" i="8"/>
  <c r="L2111" i="8"/>
  <c r="N2110" i="8"/>
  <c r="L2110" i="8"/>
  <c r="N2109" i="8"/>
  <c r="L2109" i="8"/>
  <c r="N2108" i="8"/>
  <c r="L2108" i="8"/>
  <c r="N2107" i="8"/>
  <c r="L2107" i="8"/>
  <c r="N2106" i="8"/>
  <c r="L2106" i="8"/>
  <c r="N2105" i="8"/>
  <c r="L2105" i="8"/>
  <c r="N2104" i="8"/>
  <c r="L2104" i="8"/>
  <c r="N2103" i="8"/>
  <c r="L2103" i="8"/>
  <c r="N2102" i="8"/>
  <c r="L2102" i="8"/>
  <c r="N2101" i="8"/>
  <c r="L2101" i="8"/>
  <c r="N2100" i="8"/>
  <c r="L2100" i="8"/>
  <c r="N2099" i="8"/>
  <c r="L2099" i="8"/>
  <c r="N2098" i="8"/>
  <c r="L2098" i="8"/>
  <c r="N2097" i="8"/>
  <c r="L2097" i="8"/>
  <c r="N2096" i="8"/>
  <c r="L2096" i="8"/>
  <c r="N2095" i="8"/>
  <c r="L2095" i="8"/>
  <c r="N2094" i="8"/>
  <c r="L2094" i="8"/>
  <c r="N2093" i="8"/>
  <c r="L2093" i="8"/>
  <c r="N2092" i="8"/>
  <c r="L2092" i="8"/>
  <c r="N2091" i="8"/>
  <c r="L2091" i="8"/>
  <c r="N2090" i="8"/>
  <c r="L2090" i="8"/>
  <c r="N2089" i="8"/>
  <c r="L2089" i="8"/>
  <c r="N2088" i="8"/>
  <c r="L2088" i="8"/>
  <c r="N2087" i="8"/>
  <c r="L2087" i="8"/>
  <c r="N2086" i="8"/>
  <c r="L2086" i="8"/>
  <c r="N2085" i="8"/>
  <c r="L2085" i="8"/>
  <c r="N2084" i="8"/>
  <c r="L2084" i="8"/>
  <c r="N2083" i="8"/>
  <c r="L2083" i="8"/>
  <c r="N2082" i="8"/>
  <c r="L2082" i="8"/>
  <c r="N2081" i="8"/>
  <c r="L2081" i="8"/>
  <c r="N2080" i="8"/>
  <c r="L2080" i="8"/>
  <c r="N2079" i="8"/>
  <c r="L2079" i="8"/>
  <c r="N2078" i="8"/>
  <c r="L2078" i="8"/>
  <c r="N2077" i="8"/>
  <c r="L2077" i="8"/>
  <c r="N2076" i="8"/>
  <c r="L2076" i="8"/>
  <c r="N2075" i="8"/>
  <c r="L2075" i="8"/>
  <c r="N2074" i="8"/>
  <c r="L2074" i="8"/>
  <c r="N2073" i="8"/>
  <c r="L2073" i="8"/>
  <c r="N2072" i="8"/>
  <c r="L2072" i="8"/>
  <c r="N2071" i="8"/>
  <c r="L2071" i="8"/>
  <c r="N2070" i="8"/>
  <c r="L2070" i="8"/>
  <c r="N2069" i="8"/>
  <c r="L2069" i="8"/>
  <c r="N2068" i="8"/>
  <c r="L2068" i="8"/>
  <c r="N2067" i="8"/>
  <c r="L2067" i="8"/>
  <c r="N2066" i="8"/>
  <c r="L2066" i="8"/>
  <c r="N2065" i="8"/>
  <c r="L2065" i="8"/>
  <c r="N2064" i="8"/>
  <c r="L2064" i="8"/>
  <c r="N2063" i="8"/>
  <c r="L2063" i="8"/>
  <c r="N2062" i="8"/>
  <c r="L2062" i="8"/>
  <c r="N2061" i="8"/>
  <c r="L2061" i="8"/>
  <c r="N2060" i="8"/>
  <c r="L2060" i="8"/>
  <c r="N2059" i="8"/>
  <c r="L2059" i="8"/>
  <c r="N2058" i="8"/>
  <c r="L2058" i="8"/>
  <c r="N2057" i="8"/>
  <c r="L2057" i="8"/>
  <c r="N2056" i="8"/>
  <c r="L2056" i="8"/>
  <c r="N2055" i="8"/>
  <c r="L2055" i="8"/>
  <c r="N2054" i="8"/>
  <c r="L2054" i="8"/>
  <c r="N2053" i="8"/>
  <c r="L2053" i="8"/>
  <c r="N2052" i="8"/>
  <c r="L2052" i="8"/>
  <c r="N2051" i="8"/>
  <c r="L2051" i="8"/>
  <c r="N2050" i="8"/>
  <c r="L2050" i="8"/>
  <c r="N2049" i="8"/>
  <c r="L2049" i="8"/>
  <c r="N2048" i="8"/>
  <c r="L2048" i="8"/>
  <c r="N2047" i="8"/>
  <c r="L2047" i="8"/>
  <c r="N2046" i="8"/>
  <c r="L2046" i="8"/>
  <c r="N2045" i="8"/>
  <c r="L2045" i="8"/>
  <c r="N2044" i="8"/>
  <c r="L2044" i="8"/>
  <c r="N2043" i="8"/>
  <c r="L2043" i="8"/>
  <c r="N2042" i="8"/>
  <c r="L2042" i="8"/>
  <c r="N2041" i="8"/>
  <c r="L2041" i="8"/>
  <c r="N2040" i="8"/>
  <c r="L2040" i="8"/>
  <c r="N2039" i="8"/>
  <c r="L2039" i="8"/>
  <c r="N2038" i="8"/>
  <c r="L2038" i="8"/>
  <c r="N2037" i="8"/>
  <c r="L2037" i="8"/>
  <c r="N2036" i="8"/>
  <c r="L2036" i="8"/>
  <c r="N2035" i="8"/>
  <c r="L2035" i="8"/>
  <c r="N2034" i="8"/>
  <c r="L2034" i="8"/>
  <c r="N2033" i="8"/>
  <c r="L2033" i="8"/>
  <c r="N2032" i="8"/>
  <c r="L2032" i="8"/>
  <c r="N2031" i="8"/>
  <c r="L2031" i="8"/>
  <c r="N2030" i="8"/>
  <c r="L2030" i="8"/>
  <c r="N2029" i="8"/>
  <c r="L2029" i="8"/>
  <c r="N2028" i="8"/>
  <c r="L2028" i="8"/>
  <c r="N2027" i="8"/>
  <c r="L2027" i="8"/>
  <c r="N2026" i="8"/>
  <c r="L2026" i="8"/>
  <c r="N2025" i="8"/>
  <c r="L2025" i="8"/>
  <c r="N2024" i="8"/>
  <c r="L2024" i="8"/>
  <c r="N2023" i="8"/>
  <c r="L2023" i="8"/>
  <c r="N2022" i="8"/>
  <c r="L2022" i="8"/>
  <c r="N2021" i="8"/>
  <c r="L2021" i="8"/>
  <c r="N2020" i="8"/>
  <c r="L2020" i="8"/>
  <c r="N2019" i="8"/>
  <c r="L2019" i="8"/>
  <c r="N2018" i="8"/>
  <c r="L2018" i="8"/>
  <c r="N2017" i="8"/>
  <c r="L2017" i="8"/>
  <c r="N2016" i="8"/>
  <c r="L2016" i="8"/>
  <c r="N2015" i="8"/>
  <c r="L2015" i="8"/>
  <c r="N2014" i="8"/>
  <c r="L2014" i="8"/>
  <c r="N2013" i="8"/>
  <c r="L2013" i="8"/>
  <c r="N2012" i="8"/>
  <c r="L2012" i="8"/>
  <c r="N2011" i="8"/>
  <c r="L2011" i="8"/>
  <c r="N2010" i="8"/>
  <c r="L2010" i="8"/>
  <c r="N2009" i="8"/>
  <c r="L2009" i="8"/>
  <c r="N2008" i="8"/>
  <c r="L2008" i="8"/>
  <c r="N2007" i="8"/>
  <c r="L2007" i="8"/>
  <c r="N2006" i="8"/>
  <c r="L2006" i="8"/>
  <c r="N2005" i="8"/>
  <c r="L2005" i="8"/>
  <c r="N2004" i="8"/>
  <c r="L2004" i="8"/>
  <c r="N2003" i="8"/>
  <c r="L2003" i="8"/>
  <c r="N2002" i="8"/>
  <c r="L2002" i="8"/>
  <c r="N2001" i="8"/>
  <c r="L2001" i="8"/>
  <c r="N2000" i="8"/>
  <c r="L2000" i="8"/>
  <c r="N1999" i="8"/>
  <c r="L1999" i="8"/>
  <c r="N1998" i="8"/>
  <c r="L1998" i="8"/>
  <c r="N1997" i="8"/>
  <c r="L1997" i="8"/>
  <c r="N1996" i="8"/>
  <c r="L1996" i="8"/>
  <c r="N1995" i="8"/>
  <c r="L1995" i="8"/>
  <c r="N1994" i="8"/>
  <c r="L1994" i="8"/>
  <c r="N1993" i="8"/>
  <c r="L1993" i="8"/>
  <c r="N1992" i="8"/>
  <c r="L1992" i="8"/>
  <c r="N1991" i="8"/>
  <c r="L1991" i="8"/>
  <c r="N1990" i="8"/>
  <c r="L1990" i="8"/>
  <c r="N1989" i="8"/>
  <c r="L1989" i="8"/>
  <c r="N1988" i="8"/>
  <c r="L1988" i="8"/>
  <c r="N1987" i="8"/>
  <c r="L1987" i="8"/>
  <c r="N1986" i="8"/>
  <c r="L1986" i="8"/>
  <c r="N1985" i="8"/>
  <c r="L1985" i="8"/>
  <c r="N1984" i="8"/>
  <c r="L1984" i="8"/>
  <c r="N1983" i="8"/>
  <c r="L1983" i="8"/>
  <c r="N1982" i="8"/>
  <c r="L1982" i="8"/>
  <c r="N1981" i="8"/>
  <c r="L1981" i="8"/>
  <c r="N1980" i="8"/>
  <c r="L1980" i="8"/>
  <c r="N1979" i="8"/>
  <c r="L1979" i="8"/>
  <c r="N1978" i="8"/>
  <c r="L1978" i="8"/>
  <c r="N1977" i="8"/>
  <c r="L1977" i="8"/>
  <c r="N1976" i="8"/>
  <c r="L1976" i="8"/>
  <c r="N1975" i="8"/>
  <c r="L1975" i="8"/>
  <c r="N1974" i="8"/>
  <c r="L1974" i="8"/>
  <c r="N1973" i="8"/>
  <c r="L1973" i="8"/>
  <c r="N1972" i="8"/>
  <c r="L1972" i="8"/>
  <c r="N1971" i="8"/>
  <c r="L1971" i="8"/>
  <c r="N1970" i="8"/>
  <c r="L1970" i="8"/>
  <c r="N1969" i="8"/>
  <c r="L1969" i="8"/>
  <c r="N1968" i="8"/>
  <c r="L1968" i="8"/>
  <c r="N1967" i="8"/>
  <c r="L1967" i="8"/>
  <c r="N1966" i="8"/>
  <c r="L1966" i="8"/>
  <c r="N1965" i="8"/>
  <c r="L1965" i="8"/>
  <c r="N1964" i="8"/>
  <c r="L1964" i="8"/>
  <c r="N1963" i="8"/>
  <c r="L1963" i="8"/>
  <c r="N1962" i="8"/>
  <c r="L1962" i="8"/>
  <c r="N1961" i="8"/>
  <c r="L1961" i="8"/>
  <c r="N1960" i="8"/>
  <c r="L1960" i="8"/>
  <c r="N1959" i="8"/>
  <c r="L1959" i="8"/>
  <c r="N1958" i="8"/>
  <c r="L1958" i="8"/>
  <c r="N1957" i="8"/>
  <c r="L1957" i="8"/>
  <c r="N1956" i="8"/>
  <c r="L1956" i="8"/>
  <c r="N1955" i="8"/>
  <c r="L1955" i="8"/>
  <c r="N1954" i="8"/>
  <c r="L1954" i="8"/>
  <c r="N1953" i="8"/>
  <c r="L1953" i="8"/>
  <c r="N1952" i="8"/>
  <c r="L1952" i="8"/>
  <c r="N1951" i="8"/>
  <c r="L1951" i="8"/>
  <c r="N1950" i="8"/>
  <c r="L1950" i="8"/>
  <c r="N1949" i="8"/>
  <c r="L1949" i="8"/>
  <c r="N1948" i="8"/>
  <c r="L1948" i="8"/>
  <c r="N1947" i="8"/>
  <c r="L1947" i="8"/>
  <c r="N1946" i="8"/>
  <c r="L1946" i="8"/>
  <c r="V1945" i="8"/>
  <c r="T1945" i="8"/>
  <c r="N1945" i="8"/>
  <c r="L1945" i="8"/>
  <c r="V1944" i="8"/>
  <c r="T1944" i="8"/>
  <c r="N1944" i="8"/>
  <c r="L1944" i="8"/>
  <c r="V1943" i="8"/>
  <c r="T1943" i="8"/>
  <c r="N1943" i="8"/>
  <c r="L1943" i="8"/>
  <c r="V1942" i="8"/>
  <c r="T1942" i="8"/>
  <c r="N1942" i="8"/>
  <c r="L1942" i="8"/>
  <c r="V1941" i="8"/>
  <c r="T1941" i="8"/>
  <c r="N1941" i="8"/>
  <c r="L1941" i="8"/>
  <c r="V1940" i="8"/>
  <c r="T1940" i="8"/>
  <c r="N1940" i="8"/>
  <c r="L1940" i="8"/>
  <c r="V1939" i="8"/>
  <c r="T1939" i="8"/>
  <c r="N1939" i="8"/>
  <c r="L1939" i="8"/>
  <c r="V1938" i="8"/>
  <c r="T1938" i="8"/>
  <c r="N1938" i="8"/>
  <c r="L1938" i="8"/>
  <c r="V1937" i="8"/>
  <c r="T1937" i="8"/>
  <c r="N1937" i="8"/>
  <c r="L1937" i="8"/>
  <c r="V1936" i="8"/>
  <c r="T1936" i="8"/>
  <c r="N1936" i="8"/>
  <c r="L1936" i="8"/>
  <c r="V1935" i="8"/>
  <c r="T1935" i="8"/>
  <c r="N1935" i="8"/>
  <c r="L1935" i="8"/>
  <c r="V1934" i="8"/>
  <c r="T1934" i="8"/>
  <c r="N1934" i="8"/>
  <c r="L1934" i="8"/>
  <c r="V1933" i="8"/>
  <c r="T1933" i="8"/>
  <c r="N1933" i="8"/>
  <c r="L1933" i="8"/>
  <c r="V1932" i="8"/>
  <c r="T1932" i="8"/>
  <c r="N1932" i="8"/>
  <c r="L1932" i="8"/>
  <c r="V1931" i="8"/>
  <c r="T1931" i="8"/>
  <c r="N1931" i="8"/>
  <c r="L1931" i="8"/>
  <c r="V1930" i="8"/>
  <c r="T1930" i="8"/>
  <c r="N1930" i="8"/>
  <c r="L1930" i="8"/>
  <c r="V1929" i="8"/>
  <c r="T1929" i="8"/>
  <c r="N1929" i="8"/>
  <c r="L1929" i="8"/>
  <c r="V1928" i="8"/>
  <c r="T1928" i="8"/>
  <c r="N1928" i="8"/>
  <c r="L1928" i="8"/>
  <c r="V1927" i="8"/>
  <c r="T1927" i="8"/>
  <c r="N1927" i="8"/>
  <c r="L1927" i="8"/>
  <c r="V1926" i="8"/>
  <c r="T1926" i="8"/>
  <c r="N1926" i="8"/>
  <c r="L1926" i="8"/>
  <c r="V1925" i="8"/>
  <c r="T1925" i="8"/>
  <c r="N1925" i="8"/>
  <c r="L1925" i="8"/>
  <c r="V1924" i="8"/>
  <c r="T1924" i="8"/>
  <c r="N1924" i="8"/>
  <c r="L1924" i="8"/>
  <c r="V1923" i="8"/>
  <c r="T1923" i="8"/>
  <c r="N1923" i="8"/>
  <c r="L1923" i="8"/>
  <c r="V1922" i="8"/>
  <c r="T1922" i="8"/>
  <c r="N1922" i="8"/>
  <c r="L1922" i="8"/>
  <c r="V1921" i="8"/>
  <c r="T1921" i="8"/>
  <c r="N1921" i="8"/>
  <c r="L1921" i="8"/>
  <c r="V1920" i="8"/>
  <c r="T1920" i="8"/>
  <c r="N1920" i="8"/>
  <c r="L1920" i="8"/>
  <c r="V1919" i="8"/>
  <c r="T1919" i="8"/>
  <c r="N1919" i="8"/>
  <c r="L1919" i="8"/>
  <c r="V1918" i="8"/>
  <c r="T1918" i="8"/>
  <c r="N1918" i="8"/>
  <c r="L1918" i="8"/>
  <c r="V1917" i="8"/>
  <c r="T1917" i="8"/>
  <c r="N1917" i="8"/>
  <c r="L1917" i="8"/>
  <c r="V1916" i="8"/>
  <c r="T1916" i="8"/>
  <c r="N1916" i="8"/>
  <c r="L1916" i="8"/>
  <c r="V1915" i="8"/>
  <c r="T1915" i="8"/>
  <c r="N1915" i="8"/>
  <c r="L1915" i="8"/>
  <c r="V1914" i="8"/>
  <c r="T1914" i="8"/>
  <c r="N1914" i="8"/>
  <c r="L1914" i="8"/>
  <c r="V1913" i="8"/>
  <c r="T1913" i="8"/>
  <c r="N1913" i="8"/>
  <c r="L1913" i="8"/>
  <c r="V1912" i="8"/>
  <c r="T1912" i="8"/>
  <c r="N1912" i="8"/>
  <c r="L1912" i="8"/>
  <c r="V1911" i="8"/>
  <c r="T1911" i="8"/>
  <c r="N1911" i="8"/>
  <c r="L1911" i="8"/>
  <c r="V1910" i="8"/>
  <c r="T1910" i="8"/>
  <c r="N1910" i="8"/>
  <c r="L1910" i="8"/>
  <c r="V1909" i="8"/>
  <c r="T1909" i="8"/>
  <c r="N1909" i="8"/>
  <c r="L1909" i="8"/>
  <c r="V1908" i="8"/>
  <c r="T1908" i="8"/>
  <c r="N1908" i="8"/>
  <c r="L1908" i="8"/>
  <c r="V1907" i="8"/>
  <c r="T1907" i="8"/>
  <c r="N1907" i="8"/>
  <c r="L1907" i="8"/>
  <c r="V1906" i="8"/>
  <c r="T1906" i="8"/>
  <c r="N1906" i="8"/>
  <c r="L1906" i="8"/>
  <c r="V1905" i="8"/>
  <c r="T1905" i="8"/>
  <c r="N1905" i="8"/>
  <c r="L1905" i="8"/>
  <c r="V1904" i="8"/>
  <c r="T1904" i="8"/>
  <c r="N1904" i="8"/>
  <c r="L1904" i="8"/>
  <c r="V1903" i="8"/>
  <c r="T1903" i="8"/>
  <c r="N1903" i="8"/>
  <c r="L1903" i="8"/>
  <c r="V1902" i="8"/>
  <c r="T1902" i="8"/>
  <c r="N1902" i="8"/>
  <c r="L1902" i="8"/>
  <c r="V1901" i="8"/>
  <c r="T1901" i="8"/>
  <c r="N1901" i="8"/>
  <c r="L1901" i="8"/>
  <c r="V1900" i="8"/>
  <c r="T1900" i="8"/>
  <c r="N1900" i="8"/>
  <c r="L1900" i="8"/>
  <c r="V1899" i="8"/>
  <c r="T1899" i="8"/>
  <c r="N1899" i="8"/>
  <c r="L1899" i="8"/>
  <c r="V1898" i="8"/>
  <c r="T1898" i="8"/>
  <c r="N1898" i="8"/>
  <c r="L1898" i="8"/>
  <c r="V1897" i="8"/>
  <c r="T1897" i="8"/>
  <c r="N1897" i="8"/>
  <c r="L1897" i="8"/>
  <c r="V1896" i="8"/>
  <c r="T1896" i="8"/>
  <c r="N1896" i="8"/>
  <c r="L1896" i="8"/>
  <c r="V1895" i="8"/>
  <c r="T1895" i="8"/>
  <c r="N1895" i="8"/>
  <c r="L1895" i="8"/>
  <c r="V1894" i="8"/>
  <c r="T1894" i="8"/>
  <c r="N1894" i="8"/>
  <c r="L1894" i="8"/>
  <c r="V1893" i="8"/>
  <c r="T1893" i="8"/>
  <c r="N1893" i="8"/>
  <c r="L1893" i="8"/>
  <c r="V1892" i="8"/>
  <c r="T1892" i="8"/>
  <c r="N1892" i="8"/>
  <c r="L1892" i="8"/>
  <c r="V1891" i="8"/>
  <c r="T1891" i="8"/>
  <c r="N1891" i="8"/>
  <c r="L1891" i="8"/>
  <c r="V1890" i="8"/>
  <c r="T1890" i="8"/>
  <c r="N1890" i="8"/>
  <c r="L1890" i="8"/>
  <c r="V1889" i="8"/>
  <c r="T1889" i="8"/>
  <c r="N1889" i="8"/>
  <c r="L1889" i="8"/>
  <c r="V1888" i="8"/>
  <c r="T1888" i="8"/>
  <c r="N1888" i="8"/>
  <c r="L1888" i="8"/>
  <c r="V1887" i="8"/>
  <c r="T1887" i="8"/>
  <c r="N1887" i="8"/>
  <c r="L1887" i="8"/>
  <c r="V1886" i="8"/>
  <c r="N1886" i="8"/>
  <c r="T1886" i="8" s="1"/>
  <c r="L1886" i="8"/>
  <c r="V1885" i="8"/>
  <c r="N1885" i="8"/>
  <c r="T1885" i="8" s="1"/>
  <c r="L1885" i="8"/>
  <c r="V1884" i="8"/>
  <c r="N1884" i="8"/>
  <c r="T1884" i="8" s="1"/>
  <c r="L1884" i="8"/>
  <c r="V1883" i="8"/>
  <c r="N1883" i="8"/>
  <c r="T1883" i="8" s="1"/>
  <c r="L1883" i="8"/>
  <c r="V1882" i="8"/>
  <c r="N1882" i="8"/>
  <c r="T1882" i="8" s="1"/>
  <c r="L1882" i="8"/>
  <c r="V1881" i="8"/>
  <c r="N1881" i="8"/>
  <c r="T1881" i="8" s="1"/>
  <c r="L1881" i="8"/>
  <c r="V1880" i="8"/>
  <c r="N1880" i="8"/>
  <c r="T1880" i="8" s="1"/>
  <c r="L1880" i="8"/>
  <c r="V1879" i="8"/>
  <c r="N1879" i="8"/>
  <c r="T1879" i="8" s="1"/>
  <c r="L1879" i="8"/>
  <c r="V1878" i="8"/>
  <c r="N1878" i="8"/>
  <c r="T1878" i="8" s="1"/>
  <c r="L1878" i="8"/>
  <c r="V1877" i="8"/>
  <c r="N1877" i="8"/>
  <c r="T1877" i="8" s="1"/>
  <c r="L1877" i="8"/>
  <c r="V1876" i="8"/>
  <c r="N1876" i="8"/>
  <c r="T1876" i="8" s="1"/>
  <c r="L1876" i="8"/>
  <c r="V1875" i="8"/>
  <c r="N1875" i="8"/>
  <c r="T1875" i="8" s="1"/>
  <c r="L1875" i="8"/>
  <c r="V1874" i="8"/>
  <c r="N1874" i="8"/>
  <c r="T1874" i="8" s="1"/>
  <c r="L1874" i="8"/>
  <c r="V1873" i="8"/>
  <c r="N1873" i="8"/>
  <c r="T1873" i="8" s="1"/>
  <c r="L1873" i="8"/>
  <c r="V1872" i="8"/>
  <c r="N1872" i="8"/>
  <c r="T1872" i="8" s="1"/>
  <c r="L1872" i="8"/>
  <c r="V1871" i="8"/>
  <c r="N1871" i="8"/>
  <c r="T1871" i="8" s="1"/>
  <c r="L1871" i="8"/>
  <c r="V1870" i="8"/>
  <c r="N1870" i="8"/>
  <c r="T1870" i="8" s="1"/>
  <c r="L1870" i="8"/>
  <c r="V1869" i="8"/>
  <c r="N1869" i="8"/>
  <c r="T1869" i="8" s="1"/>
  <c r="L1869" i="8"/>
  <c r="V1868" i="8"/>
  <c r="N1868" i="8"/>
  <c r="T1868" i="8" s="1"/>
  <c r="L1868" i="8"/>
  <c r="V1867" i="8"/>
  <c r="N1867" i="8"/>
  <c r="T1867" i="8" s="1"/>
  <c r="L1867" i="8"/>
  <c r="V1866" i="8"/>
  <c r="N1866" i="8"/>
  <c r="T1866" i="8" s="1"/>
  <c r="L1866" i="8"/>
  <c r="V1865" i="8"/>
  <c r="N1865" i="8"/>
  <c r="T1865" i="8" s="1"/>
  <c r="L1865" i="8"/>
  <c r="V1864" i="8"/>
  <c r="N1864" i="8"/>
  <c r="T1864" i="8" s="1"/>
  <c r="L1864" i="8"/>
  <c r="V1863" i="8"/>
  <c r="N1863" i="8"/>
  <c r="T1863" i="8" s="1"/>
  <c r="L1863" i="8"/>
  <c r="V1862" i="8"/>
  <c r="N1862" i="8"/>
  <c r="T1862" i="8" s="1"/>
  <c r="L1862" i="8"/>
  <c r="V1861" i="8"/>
  <c r="N1861" i="8"/>
  <c r="T1861" i="8" s="1"/>
  <c r="L1861" i="8"/>
  <c r="V1860" i="8"/>
  <c r="N1860" i="8"/>
  <c r="T1860" i="8" s="1"/>
  <c r="L1860" i="8"/>
  <c r="V1859" i="8"/>
  <c r="N1859" i="8"/>
  <c r="T1859" i="8" s="1"/>
  <c r="L1859" i="8"/>
  <c r="V1858" i="8"/>
  <c r="N1858" i="8"/>
  <c r="T1858" i="8" s="1"/>
  <c r="L1858" i="8"/>
  <c r="V1857" i="8"/>
  <c r="N1857" i="8"/>
  <c r="T1857" i="8" s="1"/>
  <c r="L1857" i="8"/>
  <c r="V1856" i="8"/>
  <c r="N1856" i="8"/>
  <c r="T1856" i="8" s="1"/>
  <c r="L1856" i="8"/>
  <c r="V1855" i="8"/>
  <c r="N1855" i="8"/>
  <c r="T1855" i="8" s="1"/>
  <c r="L1855" i="8"/>
  <c r="V1854" i="8"/>
  <c r="N1854" i="8"/>
  <c r="T1854" i="8" s="1"/>
  <c r="L1854" i="8"/>
  <c r="V1853" i="8"/>
  <c r="N1853" i="8"/>
  <c r="T1853" i="8" s="1"/>
  <c r="L1853" i="8"/>
  <c r="V1852" i="8"/>
  <c r="N1852" i="8"/>
  <c r="T1852" i="8" s="1"/>
  <c r="L1852" i="8"/>
  <c r="V1851" i="8"/>
  <c r="N1851" i="8"/>
  <c r="T1851" i="8" s="1"/>
  <c r="L1851" i="8"/>
  <c r="V1850" i="8"/>
  <c r="N1850" i="8"/>
  <c r="T1850" i="8" s="1"/>
  <c r="L1850" i="8"/>
  <c r="V1849" i="8"/>
  <c r="N1849" i="8"/>
  <c r="T1849" i="8" s="1"/>
  <c r="L1849" i="8"/>
  <c r="V1848" i="8"/>
  <c r="N1848" i="8"/>
  <c r="T1848" i="8" s="1"/>
  <c r="L1848" i="8"/>
  <c r="V1847" i="8"/>
  <c r="N1847" i="8"/>
  <c r="T1847" i="8" s="1"/>
  <c r="L1847" i="8"/>
  <c r="V1846" i="8"/>
  <c r="N1846" i="8"/>
  <c r="T1846" i="8" s="1"/>
  <c r="L1846" i="8"/>
  <c r="V1845" i="8"/>
  <c r="N1845" i="8"/>
  <c r="T1845" i="8" s="1"/>
  <c r="L1845" i="8"/>
  <c r="V1844" i="8"/>
  <c r="N1844" i="8"/>
  <c r="T1844" i="8" s="1"/>
  <c r="L1844" i="8"/>
  <c r="V1843" i="8"/>
  <c r="N1843" i="8"/>
  <c r="T1843" i="8" s="1"/>
  <c r="L1843" i="8"/>
  <c r="V1842" i="8"/>
  <c r="N1842" i="8"/>
  <c r="T1842" i="8" s="1"/>
  <c r="L1842" i="8"/>
  <c r="V1841" i="8"/>
  <c r="N1841" i="8"/>
  <c r="T1841" i="8" s="1"/>
  <c r="L1841" i="8"/>
  <c r="N1840" i="8"/>
  <c r="L1840" i="8"/>
  <c r="N1839" i="8"/>
  <c r="L1839" i="8"/>
  <c r="N1838" i="8"/>
  <c r="L1838" i="8"/>
  <c r="N1837" i="8"/>
  <c r="L1837" i="8"/>
  <c r="N1836" i="8"/>
  <c r="L1836" i="8"/>
  <c r="N1835" i="8"/>
  <c r="L1835" i="8"/>
  <c r="N1834" i="8"/>
  <c r="L1834" i="8"/>
  <c r="N1833" i="8"/>
  <c r="L1833" i="8"/>
  <c r="N1832" i="8"/>
  <c r="L1832" i="8"/>
  <c r="N1831" i="8"/>
  <c r="L1831" i="8"/>
  <c r="N1830" i="8"/>
  <c r="L1830" i="8"/>
  <c r="N1829" i="8"/>
  <c r="L1829" i="8"/>
  <c r="N1828" i="8"/>
  <c r="L1828" i="8"/>
  <c r="N1827" i="8"/>
  <c r="L1827" i="8"/>
  <c r="N1826" i="8"/>
  <c r="L1826" i="8"/>
  <c r="N1825" i="8"/>
  <c r="L1825" i="8"/>
  <c r="N1824" i="8"/>
  <c r="L1824" i="8"/>
  <c r="N1823" i="8"/>
  <c r="L1823" i="8"/>
  <c r="N1822" i="8"/>
  <c r="L1822" i="8"/>
  <c r="N1821" i="8"/>
  <c r="L1821" i="8"/>
  <c r="N1820" i="8"/>
  <c r="L1820" i="8"/>
  <c r="N1819" i="8"/>
  <c r="L1819" i="8"/>
  <c r="N1818" i="8"/>
  <c r="L1818" i="8"/>
  <c r="N1817" i="8"/>
  <c r="L1817" i="8"/>
  <c r="N1816" i="8"/>
  <c r="L1816" i="8"/>
  <c r="N1815" i="8"/>
  <c r="L1815" i="8"/>
  <c r="N1814" i="8"/>
  <c r="L1814" i="8"/>
  <c r="N1813" i="8"/>
  <c r="L1813" i="8"/>
  <c r="N1812" i="8"/>
  <c r="L1812" i="8"/>
  <c r="N1811" i="8"/>
  <c r="L1811" i="8"/>
  <c r="N1810" i="8"/>
  <c r="L1810" i="8"/>
  <c r="N1809" i="8"/>
  <c r="L1809" i="8"/>
  <c r="N1808" i="8"/>
  <c r="L1808" i="8"/>
  <c r="N1807" i="8"/>
  <c r="L1807" i="8"/>
  <c r="N1806" i="8"/>
  <c r="L1806" i="8"/>
  <c r="N1805" i="8"/>
  <c r="L1805" i="8"/>
  <c r="N1804" i="8"/>
  <c r="L1804" i="8"/>
  <c r="N1803" i="8"/>
  <c r="L1803" i="8"/>
  <c r="N1802" i="8"/>
  <c r="L1802" i="8"/>
  <c r="N1801" i="8"/>
  <c r="L1801" i="8"/>
  <c r="N1800" i="8"/>
  <c r="L1800" i="8"/>
  <c r="N1799" i="8"/>
  <c r="L1799" i="8"/>
  <c r="N1798" i="8"/>
  <c r="L1798" i="8"/>
  <c r="N1797" i="8"/>
  <c r="L1797" i="8"/>
  <c r="N1796" i="8"/>
  <c r="L1796" i="8"/>
  <c r="N1795" i="8"/>
  <c r="L1795" i="8"/>
  <c r="N1794" i="8"/>
  <c r="L1794" i="8"/>
  <c r="N1793" i="8"/>
  <c r="L1793" i="8"/>
  <c r="N1792" i="8"/>
  <c r="L1792" i="8"/>
  <c r="N1791" i="8"/>
  <c r="L1791" i="8"/>
  <c r="N1790" i="8"/>
  <c r="L1790" i="8"/>
  <c r="N1789" i="8"/>
  <c r="L1789" i="8"/>
  <c r="N1788" i="8"/>
  <c r="L1788" i="8"/>
  <c r="N1787" i="8"/>
  <c r="L1787" i="8"/>
  <c r="N1786" i="8"/>
  <c r="L1786" i="8"/>
  <c r="N1785" i="8"/>
  <c r="L1785" i="8"/>
  <c r="N1784" i="8"/>
  <c r="L1784" i="8"/>
  <c r="N1783" i="8"/>
  <c r="L1783" i="8"/>
  <c r="N1782" i="8"/>
  <c r="L1782" i="8"/>
  <c r="N1781" i="8"/>
  <c r="L1781" i="8"/>
  <c r="N1780" i="8"/>
  <c r="L1780" i="8"/>
  <c r="N1779" i="8"/>
  <c r="L1779" i="8"/>
  <c r="N1778" i="8"/>
  <c r="L1778" i="8"/>
  <c r="N1777" i="8"/>
  <c r="L1777" i="8"/>
  <c r="N1776" i="8"/>
  <c r="L1776" i="8"/>
  <c r="N1775" i="8"/>
  <c r="L1775" i="8"/>
  <c r="N1774" i="8"/>
  <c r="L1774" i="8"/>
  <c r="N1773" i="8"/>
  <c r="L1773" i="8"/>
  <c r="N1772" i="8"/>
  <c r="L1772" i="8"/>
  <c r="N1771" i="8"/>
  <c r="L1771" i="8"/>
  <c r="N1770" i="8"/>
  <c r="L1770" i="8"/>
  <c r="N1769" i="8"/>
  <c r="L1769" i="8"/>
  <c r="N1768" i="8"/>
  <c r="L1768" i="8"/>
  <c r="N1767" i="8"/>
  <c r="L1767" i="8"/>
  <c r="N1766" i="8"/>
  <c r="L1766" i="8"/>
  <c r="N1765" i="8"/>
  <c r="L1765" i="8"/>
  <c r="N1764" i="8"/>
  <c r="L1764" i="8"/>
  <c r="N1763" i="8"/>
  <c r="L1763" i="8"/>
  <c r="N1762" i="8"/>
  <c r="L1762" i="8"/>
  <c r="N1761" i="8"/>
  <c r="L1761" i="8"/>
  <c r="N1760" i="8"/>
  <c r="L1760" i="8"/>
  <c r="N1759" i="8"/>
  <c r="L1759" i="8"/>
  <c r="N1758" i="8"/>
  <c r="L1758" i="8"/>
  <c r="N1757" i="8"/>
  <c r="L1757" i="8"/>
  <c r="N1756" i="8"/>
  <c r="L1756" i="8"/>
  <c r="N1755" i="8"/>
  <c r="L1755" i="8"/>
  <c r="N1754" i="8"/>
  <c r="L1754" i="8"/>
  <c r="N1753" i="8"/>
  <c r="L1753" i="8"/>
  <c r="N1752" i="8"/>
  <c r="L1752" i="8"/>
  <c r="N1751" i="8"/>
  <c r="L1751" i="8"/>
  <c r="N1750" i="8"/>
  <c r="L1750" i="8"/>
  <c r="N1749" i="8"/>
  <c r="L1749" i="8"/>
  <c r="N1748" i="8"/>
  <c r="L1748" i="8"/>
  <c r="N1747" i="8"/>
  <c r="L1747" i="8"/>
  <c r="N1746" i="8"/>
  <c r="L1746" i="8"/>
  <c r="N1745" i="8"/>
  <c r="L1745" i="8"/>
  <c r="N1744" i="8"/>
  <c r="L1744" i="8"/>
  <c r="N1743" i="8"/>
  <c r="L1743" i="8"/>
  <c r="N1742" i="8"/>
  <c r="L1742" i="8"/>
  <c r="N1741" i="8"/>
  <c r="L1741" i="8"/>
  <c r="N1740" i="8"/>
  <c r="L1740" i="8"/>
  <c r="N1739" i="8"/>
  <c r="L1739" i="8"/>
  <c r="N1738" i="8"/>
  <c r="L1738" i="8"/>
  <c r="N1737" i="8"/>
  <c r="L1737" i="8"/>
  <c r="N1736" i="8"/>
  <c r="L1736" i="8"/>
  <c r="N1735" i="8"/>
  <c r="L1735" i="8"/>
  <c r="N1734" i="8"/>
  <c r="L1734" i="8"/>
  <c r="N1733" i="8"/>
  <c r="L1733" i="8"/>
  <c r="N1732" i="8"/>
  <c r="L1732" i="8"/>
  <c r="N1731" i="8"/>
  <c r="L1731" i="8"/>
  <c r="N1730" i="8"/>
  <c r="L1730" i="8"/>
  <c r="N1729" i="8"/>
  <c r="L1729" i="8"/>
  <c r="N1728" i="8"/>
  <c r="L1728" i="8"/>
  <c r="N1727" i="8"/>
  <c r="L1727" i="8"/>
  <c r="N1726" i="8"/>
  <c r="L1726" i="8"/>
  <c r="N1725" i="8"/>
  <c r="L1725" i="8"/>
  <c r="N1724" i="8"/>
  <c r="L1724" i="8"/>
  <c r="N1723" i="8"/>
  <c r="L1723" i="8"/>
  <c r="N1722" i="8"/>
  <c r="L1722" i="8"/>
  <c r="N1721" i="8"/>
  <c r="L1721" i="8"/>
  <c r="N1720" i="8"/>
  <c r="L1720" i="8"/>
  <c r="N1719" i="8"/>
  <c r="L1719" i="8"/>
  <c r="N1718" i="8"/>
  <c r="L1718" i="8"/>
  <c r="N1717" i="8"/>
  <c r="L1717" i="8"/>
  <c r="N1716" i="8"/>
  <c r="L1716" i="8"/>
  <c r="N1715" i="8"/>
  <c r="L1715" i="8"/>
  <c r="N1714" i="8"/>
  <c r="L1714" i="8"/>
  <c r="N1713" i="8"/>
  <c r="L1713" i="8"/>
  <c r="N1712" i="8"/>
  <c r="L1712" i="8"/>
  <c r="N1711" i="8"/>
  <c r="L1711" i="8"/>
  <c r="N1710" i="8"/>
  <c r="L1710" i="8"/>
  <c r="N1709" i="8"/>
  <c r="L1709" i="8"/>
  <c r="N1708" i="8"/>
  <c r="L1708" i="8"/>
  <c r="N1707" i="8"/>
  <c r="L1707" i="8"/>
  <c r="N1706" i="8"/>
  <c r="L1706" i="8"/>
  <c r="N1705" i="8"/>
  <c r="L1705" i="8"/>
  <c r="N1704" i="8"/>
  <c r="L1704" i="8"/>
  <c r="N1703" i="8"/>
  <c r="L1703" i="8"/>
  <c r="N1702" i="8"/>
  <c r="L1702" i="8"/>
  <c r="N1701" i="8"/>
  <c r="L1701" i="8"/>
  <c r="N1700" i="8"/>
  <c r="L1700" i="8"/>
  <c r="N1699" i="8"/>
  <c r="L1699" i="8"/>
  <c r="N1698" i="8"/>
  <c r="L1698" i="8"/>
  <c r="N1697" i="8"/>
  <c r="L1697" i="8"/>
  <c r="N1696" i="8"/>
  <c r="L1696" i="8"/>
  <c r="N1695" i="8"/>
  <c r="L1695" i="8"/>
  <c r="N1694" i="8"/>
  <c r="L1694" i="8"/>
  <c r="N1693" i="8"/>
  <c r="L1693" i="8"/>
  <c r="N1692" i="8"/>
  <c r="L1692" i="8"/>
  <c r="N1691" i="8"/>
  <c r="L1691" i="8"/>
  <c r="N1690" i="8"/>
  <c r="L1690" i="8"/>
  <c r="N1689" i="8"/>
  <c r="L1689" i="8"/>
  <c r="N1688" i="8"/>
  <c r="L1688" i="8"/>
  <c r="N1687" i="8"/>
  <c r="L1687" i="8"/>
  <c r="N1686" i="8"/>
  <c r="L1686" i="8"/>
  <c r="N1685" i="8"/>
  <c r="L1685" i="8"/>
  <c r="N1684" i="8"/>
  <c r="L1684" i="8"/>
  <c r="N1683" i="8"/>
  <c r="L1683" i="8"/>
  <c r="N1682" i="8"/>
  <c r="L1682" i="8"/>
  <c r="N1681" i="8"/>
  <c r="L1681" i="8"/>
  <c r="N1680" i="8"/>
  <c r="L1680" i="8"/>
  <c r="N1679" i="8"/>
  <c r="L1679" i="8"/>
  <c r="N1678" i="8"/>
  <c r="L1678" i="8"/>
  <c r="N1677" i="8"/>
  <c r="L1677" i="8"/>
  <c r="N1676" i="8"/>
  <c r="L1676" i="8"/>
  <c r="N1675" i="8"/>
  <c r="L1675" i="8"/>
  <c r="N1674" i="8"/>
  <c r="L1674" i="8"/>
  <c r="N1673" i="8"/>
  <c r="L1673" i="8"/>
  <c r="N1672" i="8"/>
  <c r="L1672" i="8"/>
  <c r="N1671" i="8"/>
  <c r="L1671" i="8"/>
  <c r="N1670" i="8"/>
  <c r="L1670" i="8"/>
  <c r="N1669" i="8"/>
  <c r="L1669" i="8"/>
  <c r="N1668" i="8"/>
  <c r="L1668" i="8"/>
  <c r="N1667" i="8"/>
  <c r="L1667" i="8"/>
  <c r="N1666" i="8"/>
  <c r="L1666" i="8"/>
  <c r="N1665" i="8"/>
  <c r="L1665" i="8"/>
  <c r="N1664" i="8"/>
  <c r="L1664" i="8"/>
  <c r="N1663" i="8"/>
  <c r="L1663" i="8"/>
  <c r="N1662" i="8"/>
  <c r="L1662" i="8"/>
  <c r="N1661" i="8"/>
  <c r="L1661" i="8"/>
  <c r="N1660" i="8"/>
  <c r="L1660" i="8"/>
  <c r="N1659" i="8"/>
  <c r="L1659" i="8"/>
  <c r="N1658" i="8"/>
  <c r="L1658" i="8"/>
  <c r="N1657" i="8"/>
  <c r="L1657" i="8"/>
  <c r="N1656" i="8"/>
  <c r="L1656" i="8"/>
  <c r="N1655" i="8"/>
  <c r="L1655" i="8"/>
  <c r="N1654" i="8"/>
  <c r="L1654" i="8"/>
  <c r="N1653" i="8"/>
  <c r="L1653" i="8"/>
  <c r="N1652" i="8"/>
  <c r="L1652" i="8"/>
  <c r="N1651" i="8"/>
  <c r="L1651" i="8"/>
  <c r="N1650" i="8"/>
  <c r="L1650" i="8"/>
  <c r="N1649" i="8"/>
  <c r="L1649" i="8"/>
  <c r="N1648" i="8"/>
  <c r="L1648" i="8"/>
  <c r="N1647" i="8"/>
  <c r="L1647" i="8"/>
  <c r="N1646" i="8"/>
  <c r="L1646" i="8"/>
  <c r="N1645" i="8"/>
  <c r="L1645" i="8"/>
  <c r="N1644" i="8"/>
  <c r="L1644" i="8"/>
  <c r="N1643" i="8"/>
  <c r="L1643" i="8"/>
  <c r="N1642" i="8"/>
  <c r="L1642" i="8"/>
  <c r="N1641" i="8"/>
  <c r="L1641" i="8"/>
  <c r="N1640" i="8"/>
  <c r="L1640" i="8"/>
  <c r="N1639" i="8"/>
  <c r="L1639" i="8"/>
  <c r="N1638" i="8"/>
  <c r="L1638" i="8"/>
  <c r="N1637" i="8"/>
  <c r="L1637" i="8"/>
  <c r="N1636" i="8"/>
  <c r="L1636" i="8"/>
  <c r="N1635" i="8"/>
  <c r="L1635" i="8"/>
  <c r="N1634" i="8"/>
  <c r="L1634" i="8"/>
  <c r="N1633" i="8"/>
  <c r="L1633" i="8"/>
  <c r="N1632" i="8"/>
  <c r="L1632" i="8"/>
  <c r="N1631" i="8"/>
  <c r="L1631" i="8"/>
  <c r="N1630" i="8"/>
  <c r="L1630" i="8"/>
  <c r="N1629" i="8"/>
  <c r="L1629" i="8"/>
  <c r="N1628" i="8"/>
  <c r="L1628" i="8"/>
  <c r="N1627" i="8"/>
  <c r="L1627" i="8"/>
  <c r="N1626" i="8"/>
  <c r="L1626" i="8"/>
  <c r="N1625" i="8"/>
  <c r="L1625" i="8"/>
  <c r="N1624" i="8"/>
  <c r="L1624" i="8"/>
  <c r="N1623" i="8"/>
  <c r="L1623" i="8"/>
  <c r="N1622" i="8"/>
  <c r="L1622" i="8"/>
  <c r="N1621" i="8"/>
  <c r="L1621" i="8"/>
  <c r="N1620" i="8"/>
  <c r="L1620" i="8"/>
  <c r="N1619" i="8"/>
  <c r="L1619" i="8"/>
  <c r="N1618" i="8"/>
  <c r="L1618" i="8"/>
  <c r="N1617" i="8"/>
  <c r="L1617" i="8"/>
  <c r="N1616" i="8"/>
  <c r="L1616" i="8"/>
  <c r="N1615" i="8"/>
  <c r="L1615" i="8"/>
  <c r="N1614" i="8"/>
  <c r="L1614" i="8"/>
  <c r="N1613" i="8"/>
  <c r="L1613" i="8"/>
  <c r="N1612" i="8"/>
  <c r="L1612" i="8"/>
  <c r="N1611" i="8"/>
  <c r="L1611" i="8"/>
  <c r="N1610" i="8"/>
  <c r="L1610" i="8"/>
  <c r="N1609" i="8"/>
  <c r="L1609" i="8"/>
  <c r="N1608" i="8"/>
  <c r="L1608" i="8"/>
  <c r="N1607" i="8"/>
  <c r="L1607" i="8"/>
  <c r="N1606" i="8"/>
  <c r="L1606" i="8"/>
  <c r="N1605" i="8"/>
  <c r="L1605" i="8"/>
  <c r="N1604" i="8"/>
  <c r="L1604" i="8"/>
  <c r="N1603" i="8"/>
  <c r="L1603" i="8"/>
  <c r="N1602" i="8"/>
  <c r="L1602" i="8"/>
  <c r="N1601" i="8"/>
  <c r="L1601" i="8"/>
  <c r="N1600" i="8"/>
  <c r="L1600" i="8"/>
  <c r="N1599" i="8"/>
  <c r="L1599" i="8"/>
  <c r="N1598" i="8"/>
  <c r="L1598" i="8"/>
  <c r="N1597" i="8"/>
  <c r="L1597" i="8"/>
  <c r="N1596" i="8"/>
  <c r="L1596" i="8"/>
  <c r="N1595" i="8"/>
  <c r="L1595" i="8"/>
  <c r="N1594" i="8"/>
  <c r="L1594" i="8"/>
  <c r="N1593" i="8"/>
  <c r="L1593" i="8"/>
  <c r="N1592" i="8"/>
  <c r="L1592" i="8"/>
  <c r="N1591" i="8"/>
  <c r="L1591" i="8"/>
  <c r="N1590" i="8"/>
  <c r="L1590" i="8"/>
  <c r="N1589" i="8"/>
  <c r="L1589" i="8"/>
  <c r="N1588" i="8"/>
  <c r="L1588" i="8"/>
  <c r="N1587" i="8"/>
  <c r="L1587" i="8"/>
  <c r="N1586" i="8"/>
  <c r="L1586" i="8"/>
  <c r="N1585" i="8"/>
  <c r="L1585" i="8"/>
  <c r="N1584" i="8"/>
  <c r="L1584" i="8"/>
  <c r="N1583" i="8"/>
  <c r="L1583" i="8"/>
  <c r="N1582" i="8"/>
  <c r="L1582" i="8"/>
  <c r="N1581" i="8"/>
  <c r="L1581" i="8"/>
  <c r="N1580" i="8"/>
  <c r="L1580" i="8"/>
  <c r="N1579" i="8"/>
  <c r="L1579" i="8"/>
  <c r="N1578" i="8"/>
  <c r="L1578" i="8"/>
  <c r="N1577" i="8"/>
  <c r="L1577" i="8"/>
  <c r="N1576" i="8"/>
  <c r="L1576" i="8"/>
  <c r="N1575" i="8"/>
  <c r="L1575" i="8"/>
  <c r="N1574" i="8"/>
  <c r="L1574" i="8"/>
  <c r="N1573" i="8"/>
  <c r="L1573" i="8"/>
  <c r="N1572" i="8"/>
  <c r="L1572" i="8"/>
  <c r="N1571" i="8"/>
  <c r="L1571" i="8"/>
  <c r="N1570" i="8"/>
  <c r="L1570" i="8"/>
  <c r="N1569" i="8"/>
  <c r="L1569" i="8"/>
  <c r="N1568" i="8"/>
  <c r="L1568" i="8"/>
  <c r="N1567" i="8"/>
  <c r="L1567" i="8"/>
  <c r="N1566" i="8"/>
  <c r="L1566" i="8"/>
  <c r="N1565" i="8"/>
  <c r="L1565" i="8"/>
  <c r="N1564" i="8"/>
  <c r="L1564" i="8"/>
  <c r="N1563" i="8"/>
  <c r="L1563" i="8"/>
  <c r="N1562" i="8"/>
  <c r="L1562" i="8"/>
  <c r="N1561" i="8"/>
  <c r="L1561" i="8"/>
  <c r="N1560" i="8"/>
  <c r="L1560" i="8"/>
  <c r="N1559" i="8"/>
  <c r="L1559" i="8"/>
  <c r="N1558" i="8"/>
  <c r="L1558" i="8"/>
  <c r="N1557" i="8"/>
  <c r="L1557" i="8"/>
  <c r="N1556" i="8"/>
  <c r="L1556" i="8"/>
  <c r="N1555" i="8"/>
  <c r="L1555" i="8"/>
  <c r="N1554" i="8"/>
  <c r="L1554" i="8"/>
  <c r="N1553" i="8"/>
  <c r="L1553" i="8"/>
  <c r="N1552" i="8"/>
  <c r="L1552" i="8"/>
  <c r="N1551" i="8"/>
  <c r="L1551" i="8"/>
  <c r="N1550" i="8"/>
  <c r="L1550" i="8"/>
  <c r="N1549" i="8"/>
  <c r="L1549" i="8"/>
  <c r="N1548" i="8"/>
  <c r="L1548" i="8"/>
  <c r="N1547" i="8"/>
  <c r="L1547" i="8"/>
  <c r="N1546" i="8"/>
  <c r="L1546" i="8"/>
  <c r="N1545" i="8"/>
  <c r="L1545" i="8"/>
  <c r="N1544" i="8"/>
  <c r="L1544" i="8"/>
  <c r="N1543" i="8"/>
  <c r="L1543" i="8"/>
  <c r="N1542" i="8"/>
  <c r="L1542" i="8"/>
  <c r="N1541" i="8"/>
  <c r="L1541" i="8"/>
  <c r="N1540" i="8"/>
  <c r="L1540" i="8"/>
  <c r="N1539" i="8"/>
  <c r="L1539" i="8"/>
  <c r="N1538" i="8"/>
  <c r="L1538" i="8"/>
  <c r="N1537" i="8"/>
  <c r="L1537" i="8"/>
  <c r="N1536" i="8"/>
  <c r="L1536" i="8"/>
  <c r="N1535" i="8"/>
  <c r="L1535" i="8"/>
  <c r="N1534" i="8"/>
  <c r="L1534" i="8"/>
  <c r="N1533" i="8"/>
  <c r="L1533" i="8"/>
  <c r="N1532" i="8"/>
  <c r="L1532" i="8"/>
  <c r="N1531" i="8"/>
  <c r="L1531" i="8"/>
  <c r="N1530" i="8"/>
  <c r="L1530" i="8"/>
  <c r="N1529" i="8"/>
  <c r="L1529" i="8"/>
  <c r="N1528" i="8"/>
  <c r="L1528" i="8"/>
  <c r="N1527" i="8"/>
  <c r="L1527" i="8"/>
  <c r="N1526" i="8"/>
  <c r="L1526" i="8"/>
  <c r="N1525" i="8"/>
  <c r="L1525" i="8"/>
  <c r="N1524" i="8"/>
  <c r="L1524" i="8"/>
  <c r="N1523" i="8"/>
  <c r="L1523" i="8"/>
  <c r="N1522" i="8"/>
  <c r="L1522" i="8"/>
  <c r="N1521" i="8"/>
  <c r="L1521" i="8"/>
  <c r="N1520" i="8"/>
  <c r="L1520" i="8"/>
  <c r="N1519" i="8"/>
  <c r="L1519" i="8"/>
  <c r="N1518" i="8"/>
  <c r="L1518" i="8"/>
  <c r="N1517" i="8"/>
  <c r="L1517" i="8"/>
  <c r="N1516" i="8"/>
  <c r="L1516" i="8"/>
  <c r="N1515" i="8"/>
  <c r="L1515" i="8"/>
  <c r="N1514" i="8"/>
  <c r="L1514" i="8"/>
  <c r="N1513" i="8"/>
  <c r="L1513" i="8"/>
  <c r="N1512" i="8"/>
  <c r="L1512" i="8"/>
  <c r="N1511" i="8"/>
  <c r="L1511" i="8"/>
  <c r="N1510" i="8"/>
  <c r="L1510" i="8"/>
  <c r="N1509" i="8"/>
  <c r="L1509" i="8"/>
  <c r="N1508" i="8"/>
  <c r="L1508" i="8"/>
  <c r="N1507" i="8"/>
  <c r="L1507" i="8"/>
  <c r="N1506" i="8"/>
  <c r="L1506" i="8"/>
  <c r="N1505" i="8"/>
  <c r="L1505" i="8"/>
  <c r="N1504" i="8"/>
  <c r="L1504" i="8"/>
  <c r="N1503" i="8"/>
  <c r="L1503" i="8"/>
  <c r="N1502" i="8"/>
  <c r="L1502" i="8"/>
  <c r="N1501" i="8"/>
  <c r="L1501" i="8"/>
  <c r="N1500" i="8"/>
  <c r="L1500" i="8"/>
  <c r="N1499" i="8"/>
  <c r="L1499" i="8"/>
  <c r="N1498" i="8"/>
  <c r="L1498" i="8"/>
  <c r="N1497" i="8"/>
  <c r="L1497" i="8"/>
  <c r="N1496" i="8"/>
  <c r="L1496" i="8"/>
  <c r="N1495" i="8"/>
  <c r="L1495" i="8"/>
  <c r="N1494" i="8"/>
  <c r="L1494" i="8"/>
  <c r="N1493" i="8"/>
  <c r="L1493" i="8"/>
  <c r="N1492" i="8"/>
  <c r="L1492" i="8"/>
  <c r="N1491" i="8"/>
  <c r="L1491" i="8"/>
  <c r="N1490" i="8"/>
  <c r="L1490" i="8"/>
  <c r="N1489" i="8"/>
  <c r="L1489" i="8"/>
  <c r="N1488" i="8"/>
  <c r="L1488" i="8"/>
  <c r="N1487" i="8"/>
  <c r="L1487" i="8"/>
  <c r="N1486" i="8"/>
  <c r="L1486" i="8"/>
  <c r="N1485" i="8"/>
  <c r="L1485" i="8"/>
  <c r="N1484" i="8"/>
  <c r="L1484" i="8"/>
  <c r="N1483" i="8"/>
  <c r="L1483" i="8"/>
  <c r="N1482" i="8"/>
  <c r="L1482" i="8"/>
  <c r="N1481" i="8"/>
  <c r="L1481" i="8"/>
  <c r="N1480" i="8"/>
  <c r="L1480" i="8"/>
  <c r="N1479" i="8"/>
  <c r="L1479" i="8"/>
  <c r="N1478" i="8"/>
  <c r="L1478" i="8"/>
  <c r="N1477" i="8"/>
  <c r="L1477" i="8"/>
  <c r="N1476" i="8"/>
  <c r="L1476" i="8"/>
  <c r="N1475" i="8"/>
  <c r="L1475" i="8"/>
  <c r="N1474" i="8"/>
  <c r="L1474" i="8"/>
  <c r="N1473" i="8"/>
  <c r="L1473" i="8"/>
  <c r="N1472" i="8"/>
  <c r="L1472" i="8"/>
  <c r="N1471" i="8"/>
  <c r="L1471" i="8"/>
  <c r="N1470" i="8"/>
  <c r="L1470" i="8"/>
  <c r="N1469" i="8"/>
  <c r="L1469" i="8"/>
  <c r="N1468" i="8"/>
  <c r="L1468" i="8"/>
  <c r="N1467" i="8"/>
  <c r="L1467" i="8"/>
  <c r="N1466" i="8"/>
  <c r="L1466" i="8"/>
  <c r="N1465" i="8"/>
  <c r="L1465" i="8"/>
  <c r="N1464" i="8"/>
  <c r="L1464" i="8"/>
  <c r="N1463" i="8"/>
  <c r="L1463" i="8"/>
  <c r="N1462" i="8"/>
  <c r="L1462" i="8"/>
  <c r="N1461" i="8"/>
  <c r="L1461" i="8"/>
  <c r="N1460" i="8"/>
  <c r="L1460" i="8"/>
  <c r="N1459" i="8"/>
  <c r="L1459" i="8"/>
  <c r="N1458" i="8"/>
  <c r="L1458" i="8"/>
  <c r="N1457" i="8"/>
  <c r="L1457" i="8"/>
  <c r="N1456" i="8"/>
  <c r="L1456" i="8"/>
  <c r="N1455" i="8"/>
  <c r="L1455" i="8"/>
  <c r="N1454" i="8"/>
  <c r="L1454" i="8"/>
  <c r="N1453" i="8"/>
  <c r="L1453" i="8"/>
  <c r="N1452" i="8"/>
  <c r="L1452" i="8"/>
  <c r="N1451" i="8"/>
  <c r="L1451" i="8"/>
  <c r="N1450" i="8"/>
  <c r="L1450" i="8"/>
  <c r="N1449" i="8"/>
  <c r="L1449" i="8"/>
  <c r="N1448" i="8"/>
  <c r="L1448" i="8"/>
  <c r="N1447" i="8"/>
  <c r="L1447" i="8"/>
  <c r="N1446" i="8"/>
  <c r="L1446" i="8"/>
  <c r="N1445" i="8"/>
  <c r="L1445" i="8"/>
  <c r="N1444" i="8"/>
  <c r="L1444" i="8"/>
  <c r="N1443" i="8"/>
  <c r="L1443" i="8"/>
  <c r="N1442" i="8"/>
  <c r="L1442" i="8"/>
  <c r="N1441" i="8"/>
  <c r="L1441" i="8"/>
  <c r="N1440" i="8"/>
  <c r="L1440" i="8"/>
  <c r="N1439" i="8"/>
  <c r="L1439" i="8"/>
  <c r="N1438" i="8"/>
  <c r="L1438" i="8"/>
  <c r="N1437" i="8"/>
  <c r="L1437" i="8"/>
  <c r="N1436" i="8"/>
  <c r="L1436" i="8"/>
  <c r="N1435" i="8"/>
  <c r="L1435" i="8"/>
  <c r="N1434" i="8"/>
  <c r="L1434" i="8"/>
  <c r="N1433" i="8"/>
  <c r="L1433" i="8"/>
  <c r="N1432" i="8"/>
  <c r="L1432" i="8"/>
  <c r="N1431" i="8"/>
  <c r="L1431" i="8"/>
  <c r="N1430" i="8"/>
  <c r="L1430" i="8"/>
  <c r="N1429" i="8"/>
  <c r="L1429" i="8"/>
  <c r="N1428" i="8"/>
  <c r="L1428" i="8"/>
  <c r="N1427" i="8"/>
  <c r="L1427" i="8"/>
  <c r="N1426" i="8"/>
  <c r="L1426" i="8"/>
  <c r="N1425" i="8"/>
  <c r="L1425" i="8"/>
  <c r="N1424" i="8"/>
  <c r="L1424" i="8"/>
  <c r="N1423" i="8"/>
  <c r="L1423" i="8"/>
  <c r="N1422" i="8"/>
  <c r="L1422" i="8"/>
  <c r="N1421" i="8"/>
  <c r="L1421" i="8"/>
  <c r="N1420" i="8"/>
  <c r="L1420" i="8"/>
  <c r="N1419" i="8"/>
  <c r="L1419" i="8"/>
  <c r="N1418" i="8"/>
  <c r="L1418" i="8"/>
  <c r="N1417" i="8"/>
  <c r="L1417" i="8"/>
  <c r="N1416" i="8"/>
  <c r="L1416" i="8"/>
  <c r="N1415" i="8"/>
  <c r="L1415" i="8"/>
  <c r="N1414" i="8"/>
  <c r="L1414" i="8"/>
  <c r="N1413" i="8"/>
  <c r="L1413" i="8"/>
  <c r="N1412" i="8"/>
  <c r="L1412" i="8"/>
  <c r="N1411" i="8"/>
  <c r="L1411" i="8"/>
  <c r="N1410" i="8"/>
  <c r="L1410" i="8"/>
  <c r="N1409" i="8"/>
  <c r="L1409" i="8"/>
  <c r="N1408" i="8"/>
  <c r="L1408" i="8"/>
  <c r="N1407" i="8"/>
  <c r="L1407" i="8"/>
  <c r="N1406" i="8"/>
  <c r="L1406" i="8"/>
  <c r="N1405" i="8"/>
  <c r="L1405" i="8"/>
  <c r="N1404" i="8"/>
  <c r="L1404" i="8"/>
  <c r="N1403" i="8"/>
  <c r="L1403" i="8"/>
  <c r="N1402" i="8"/>
  <c r="L1402" i="8"/>
  <c r="N1401" i="8"/>
  <c r="L1401" i="8"/>
  <c r="N1400" i="8"/>
  <c r="L1400" i="8"/>
  <c r="N1399" i="8"/>
  <c r="L1399" i="8"/>
  <c r="N1398" i="8"/>
  <c r="L1398" i="8"/>
  <c r="N1397" i="8"/>
  <c r="L1397" i="8"/>
  <c r="N1396" i="8"/>
  <c r="L1396" i="8"/>
  <c r="N1395" i="8"/>
  <c r="L1395" i="8"/>
  <c r="N1394" i="8"/>
  <c r="L1394" i="8"/>
  <c r="N1393" i="8"/>
  <c r="L1393" i="8"/>
  <c r="N1392" i="8"/>
  <c r="L1392" i="8"/>
  <c r="N1391" i="8"/>
  <c r="L1391" i="8"/>
  <c r="N1390" i="8"/>
  <c r="L1390" i="8"/>
  <c r="N1389" i="8"/>
  <c r="L1389" i="8"/>
  <c r="N1388" i="8"/>
  <c r="L1388" i="8"/>
  <c r="N1387" i="8"/>
  <c r="L1387" i="8"/>
  <c r="N1386" i="8"/>
  <c r="L1386" i="8"/>
  <c r="N1385" i="8"/>
  <c r="L1385" i="8"/>
  <c r="N1384" i="8"/>
  <c r="L1384" i="8"/>
  <c r="N1383" i="8"/>
  <c r="L1383" i="8"/>
  <c r="N1382" i="8"/>
  <c r="L1382" i="8"/>
  <c r="N1381" i="8"/>
  <c r="L1381" i="8"/>
  <c r="N1380" i="8"/>
  <c r="L1380" i="8"/>
  <c r="N1379" i="8"/>
  <c r="L1379" i="8"/>
  <c r="N1378" i="8"/>
  <c r="L1378" i="8"/>
  <c r="N1377" i="8"/>
  <c r="L1377" i="8"/>
  <c r="N1376" i="8"/>
  <c r="L1376" i="8"/>
  <c r="N1375" i="8"/>
  <c r="L1375" i="8"/>
  <c r="N1374" i="8"/>
  <c r="L1374" i="8"/>
  <c r="N1373" i="8"/>
  <c r="L1373" i="8"/>
  <c r="N1372" i="8"/>
  <c r="L1372" i="8"/>
  <c r="N1371" i="8"/>
  <c r="L1371" i="8"/>
  <c r="N1370" i="8"/>
  <c r="L1370" i="8"/>
  <c r="N1369" i="8"/>
  <c r="L1369" i="8"/>
  <c r="N1368" i="8"/>
  <c r="L1368" i="8"/>
  <c r="N1367" i="8"/>
  <c r="L1367" i="8"/>
  <c r="N1366" i="8"/>
  <c r="L1366" i="8"/>
  <c r="N1365" i="8"/>
  <c r="L1365" i="8"/>
  <c r="N1364" i="8"/>
  <c r="L1364" i="8"/>
  <c r="N1363" i="8"/>
  <c r="L1363" i="8"/>
  <c r="N1362" i="8"/>
  <c r="L1362" i="8"/>
  <c r="N1361" i="8"/>
  <c r="L1361" i="8"/>
  <c r="N1360" i="8"/>
  <c r="L1360" i="8"/>
  <c r="N1359" i="8"/>
  <c r="L1359" i="8"/>
  <c r="N1358" i="8"/>
  <c r="L1358" i="8"/>
  <c r="N1357" i="8"/>
  <c r="L1357" i="8"/>
  <c r="N1356" i="8"/>
  <c r="L1356" i="8"/>
  <c r="N1355" i="8"/>
  <c r="L1355" i="8"/>
  <c r="N1354" i="8"/>
  <c r="L1354" i="8"/>
  <c r="N1353" i="8"/>
  <c r="L1353" i="8"/>
  <c r="N1352" i="8"/>
  <c r="L1352" i="8"/>
  <c r="N1351" i="8"/>
  <c r="L1351" i="8"/>
  <c r="N1350" i="8"/>
  <c r="L1350" i="8"/>
  <c r="N1349" i="8"/>
  <c r="L1349" i="8"/>
  <c r="N1348" i="8"/>
  <c r="L1348" i="8"/>
  <c r="N1347" i="8"/>
  <c r="L1347" i="8"/>
  <c r="N1346" i="8"/>
  <c r="L1346" i="8"/>
  <c r="N1345" i="8"/>
  <c r="L1345" i="8"/>
  <c r="N1344" i="8"/>
  <c r="L1344" i="8"/>
  <c r="N1343" i="8"/>
  <c r="L1343" i="8"/>
  <c r="N1342" i="8"/>
  <c r="L1342" i="8"/>
  <c r="N1341" i="8"/>
  <c r="L1341" i="8"/>
  <c r="N1340" i="8"/>
  <c r="L1340" i="8"/>
  <c r="N1339" i="8"/>
  <c r="L1339" i="8"/>
  <c r="N1338" i="8"/>
  <c r="L1338" i="8"/>
  <c r="N1337" i="8"/>
  <c r="L1337" i="8"/>
  <c r="N1336" i="8"/>
  <c r="L1336" i="8"/>
  <c r="N1335" i="8"/>
  <c r="L1335" i="8"/>
  <c r="N1334" i="8"/>
  <c r="L1334" i="8"/>
  <c r="N1333" i="8"/>
  <c r="L1333" i="8"/>
  <c r="N1332" i="8"/>
  <c r="L1332" i="8"/>
  <c r="N1331" i="8"/>
  <c r="L1331" i="8"/>
  <c r="N1330" i="8"/>
  <c r="L1330" i="8"/>
  <c r="N1329" i="8"/>
  <c r="L1329" i="8"/>
  <c r="N1328" i="8"/>
  <c r="L1328" i="8"/>
  <c r="N1327" i="8"/>
  <c r="L1327" i="8"/>
  <c r="N1326" i="8"/>
  <c r="L1326" i="8"/>
  <c r="N1325" i="8"/>
  <c r="L1325" i="8"/>
  <c r="N1324" i="8"/>
  <c r="L1324" i="8"/>
  <c r="N1323" i="8"/>
  <c r="L1323" i="8"/>
  <c r="N1322" i="8"/>
  <c r="L1322" i="8"/>
  <c r="N1321" i="8"/>
  <c r="L1321" i="8"/>
  <c r="N1320" i="8"/>
  <c r="L1320" i="8"/>
  <c r="N1319" i="8"/>
  <c r="L1319" i="8"/>
  <c r="N1318" i="8"/>
  <c r="L1318" i="8"/>
  <c r="N1317" i="8"/>
  <c r="L1317" i="8"/>
  <c r="N1316" i="8"/>
  <c r="L1316" i="8"/>
  <c r="N1315" i="8"/>
  <c r="L1315" i="8"/>
  <c r="N1314" i="8"/>
  <c r="L1314" i="8"/>
  <c r="N1313" i="8"/>
  <c r="L1313" i="8"/>
  <c r="N1312" i="8"/>
  <c r="L1312" i="8"/>
  <c r="N1311" i="8"/>
  <c r="L1311" i="8"/>
  <c r="N1310" i="8"/>
  <c r="L1310" i="8"/>
  <c r="N1309" i="8"/>
  <c r="L1309" i="8"/>
  <c r="N1308" i="8"/>
  <c r="L1308" i="8"/>
  <c r="N1307" i="8"/>
  <c r="L1307" i="8"/>
  <c r="N1306" i="8"/>
  <c r="L1306" i="8"/>
  <c r="N1305" i="8"/>
  <c r="L1305" i="8"/>
  <c r="N1304" i="8"/>
  <c r="L1304" i="8"/>
  <c r="N1303" i="8"/>
  <c r="L1303" i="8"/>
  <c r="N1302" i="8"/>
  <c r="L1302" i="8"/>
  <c r="N1301" i="8"/>
  <c r="L1301" i="8"/>
  <c r="N1300" i="8"/>
  <c r="L1300" i="8"/>
  <c r="N1299" i="8"/>
  <c r="L1299" i="8"/>
  <c r="N1298" i="8"/>
  <c r="L1298" i="8"/>
  <c r="N1297" i="8"/>
  <c r="L1297" i="8"/>
  <c r="N1296" i="8"/>
  <c r="L1296" i="8"/>
  <c r="N1295" i="8"/>
  <c r="L1295" i="8"/>
  <c r="N1294" i="8"/>
  <c r="L1294" i="8"/>
  <c r="N1293" i="8"/>
  <c r="L1293" i="8"/>
  <c r="N1292" i="8"/>
  <c r="L1292" i="8"/>
  <c r="N1291" i="8"/>
  <c r="L1291" i="8"/>
  <c r="N1290" i="8"/>
  <c r="L1290" i="8"/>
  <c r="N1289" i="8"/>
  <c r="L1289" i="8"/>
  <c r="N1288" i="8"/>
  <c r="L1288" i="8"/>
  <c r="N1287" i="8"/>
  <c r="L1287" i="8"/>
  <c r="N1286" i="8"/>
  <c r="L1286" i="8"/>
  <c r="N1285" i="8"/>
  <c r="L1285" i="8"/>
  <c r="N1284" i="8"/>
  <c r="L1284" i="8"/>
  <c r="N1283" i="8"/>
  <c r="L1283" i="8"/>
  <c r="N1282" i="8"/>
  <c r="L1282" i="8"/>
  <c r="N1281" i="8"/>
  <c r="L1281" i="8"/>
  <c r="N1280" i="8"/>
  <c r="L1280" i="8"/>
  <c r="N1279" i="8"/>
  <c r="L1279" i="8"/>
  <c r="N1278" i="8"/>
  <c r="L1278" i="8"/>
  <c r="N1277" i="8"/>
  <c r="L1277" i="8"/>
  <c r="N1276" i="8"/>
  <c r="L1276" i="8"/>
  <c r="N1275" i="8"/>
  <c r="L1275" i="8"/>
  <c r="N1274" i="8"/>
  <c r="L1274" i="8"/>
  <c r="N1273" i="8"/>
  <c r="L1273" i="8"/>
  <c r="N1272" i="8"/>
  <c r="L1272" i="8"/>
  <c r="N1271" i="8"/>
  <c r="L1271" i="8"/>
  <c r="N1270" i="8"/>
  <c r="L1270" i="8"/>
  <c r="N1269" i="8"/>
  <c r="L1269" i="8"/>
  <c r="N1268" i="8"/>
  <c r="L1268" i="8"/>
  <c r="N1267" i="8"/>
  <c r="L1267" i="8"/>
  <c r="N1266" i="8"/>
  <c r="L1266" i="8"/>
  <c r="N1265" i="8"/>
  <c r="L1265" i="8"/>
  <c r="N1264" i="8"/>
  <c r="L1264" i="8"/>
  <c r="N1263" i="8"/>
  <c r="L1263" i="8"/>
  <c r="N1262" i="8"/>
  <c r="L1262" i="8"/>
  <c r="N1261" i="8"/>
  <c r="L1261" i="8"/>
  <c r="N1260" i="8"/>
  <c r="L1260" i="8"/>
  <c r="N1259" i="8"/>
  <c r="L1259" i="8"/>
  <c r="N1258" i="8"/>
  <c r="L1258" i="8"/>
  <c r="N1257" i="8"/>
  <c r="L1257" i="8"/>
  <c r="N1256" i="8"/>
  <c r="L1256" i="8"/>
  <c r="N1255" i="8"/>
  <c r="L1255" i="8"/>
  <c r="N1254" i="8"/>
  <c r="L1254" i="8"/>
  <c r="N1253" i="8"/>
  <c r="L1253" i="8"/>
  <c r="N1252" i="8"/>
  <c r="L1252" i="8"/>
  <c r="N1251" i="8"/>
  <c r="L1251" i="8"/>
  <c r="N1250" i="8"/>
  <c r="L1250" i="8"/>
  <c r="N1249" i="8"/>
  <c r="L1249" i="8"/>
  <c r="N1248" i="8"/>
  <c r="L1248" i="8"/>
  <c r="N1247" i="8"/>
  <c r="L1247" i="8"/>
  <c r="N1246" i="8"/>
  <c r="L1246" i="8"/>
  <c r="N1245" i="8"/>
  <c r="L1245" i="8"/>
  <c r="N1244" i="8"/>
  <c r="L1244" i="8"/>
  <c r="N1243" i="8"/>
  <c r="L1243" i="8"/>
  <c r="N1242" i="8"/>
  <c r="L1242" i="8"/>
  <c r="N1241" i="8"/>
  <c r="L1241" i="8"/>
  <c r="N1240" i="8"/>
  <c r="L1240" i="8"/>
  <c r="N1239" i="8"/>
  <c r="L1239" i="8"/>
  <c r="N1238" i="8"/>
  <c r="L1238" i="8"/>
  <c r="N1237" i="8"/>
  <c r="L1237" i="8"/>
  <c r="N1236" i="8"/>
  <c r="L1236" i="8"/>
  <c r="N1235" i="8"/>
  <c r="L1235" i="8"/>
  <c r="N1234" i="8"/>
  <c r="L1234" i="8"/>
  <c r="N1233" i="8"/>
  <c r="L1233" i="8"/>
  <c r="N1232" i="8"/>
  <c r="L1232" i="8"/>
  <c r="N1231" i="8"/>
  <c r="L1231" i="8"/>
  <c r="N1230" i="8"/>
  <c r="L1230" i="8"/>
  <c r="N1229" i="8"/>
  <c r="L1229" i="8"/>
  <c r="N1228" i="8"/>
  <c r="L1228" i="8"/>
  <c r="N1227" i="8"/>
  <c r="L1227" i="8"/>
  <c r="N1226" i="8"/>
  <c r="L1226" i="8"/>
  <c r="N1225" i="8"/>
  <c r="L1225" i="8"/>
  <c r="N1224" i="8"/>
  <c r="L1224" i="8"/>
  <c r="N1223" i="8"/>
  <c r="L1223" i="8"/>
  <c r="N1222" i="8"/>
  <c r="L1222" i="8"/>
  <c r="N1221" i="8"/>
  <c r="L1221" i="8"/>
  <c r="N1220" i="8"/>
  <c r="L1220" i="8"/>
  <c r="N1219" i="8"/>
  <c r="L1219" i="8"/>
  <c r="N1218" i="8"/>
  <c r="L1218" i="8"/>
  <c r="N1217" i="8"/>
  <c r="L1217" i="8"/>
  <c r="N1216" i="8"/>
  <c r="L1216" i="8"/>
  <c r="N1215" i="8"/>
  <c r="L1215" i="8"/>
  <c r="N1214" i="8"/>
  <c r="L1214" i="8"/>
  <c r="N1213" i="8"/>
  <c r="L1213" i="8"/>
  <c r="N1212" i="8"/>
  <c r="L1212" i="8"/>
  <c r="N1211" i="8"/>
  <c r="L1211" i="8"/>
  <c r="N1210" i="8"/>
  <c r="L1210" i="8"/>
  <c r="N1209" i="8"/>
  <c r="L1209" i="8"/>
  <c r="N1208" i="8"/>
  <c r="L1208" i="8"/>
  <c r="N1207" i="8"/>
  <c r="L1207" i="8"/>
  <c r="N1206" i="8"/>
  <c r="L1206" i="8"/>
  <c r="N1205" i="8"/>
  <c r="L1205" i="8"/>
  <c r="N1204" i="8"/>
  <c r="L1204" i="8"/>
  <c r="N1203" i="8"/>
  <c r="L1203" i="8"/>
  <c r="N1202" i="8"/>
  <c r="L1202" i="8"/>
  <c r="N1201" i="8"/>
  <c r="L1201" i="8"/>
  <c r="N1200" i="8"/>
  <c r="L1200" i="8"/>
  <c r="N1199" i="8"/>
  <c r="L1199" i="8"/>
  <c r="N1198" i="8"/>
  <c r="L1198" i="8"/>
  <c r="N1197" i="8"/>
  <c r="L1197" i="8"/>
  <c r="N1196" i="8"/>
  <c r="L1196" i="8"/>
  <c r="N1195" i="8"/>
  <c r="L1195" i="8"/>
  <c r="N1194" i="8"/>
  <c r="L1194" i="8"/>
  <c r="N1193" i="8"/>
  <c r="L1193" i="8"/>
  <c r="N1192" i="8"/>
  <c r="L1192" i="8"/>
  <c r="N1191" i="8"/>
  <c r="L1191" i="8"/>
  <c r="N1190" i="8"/>
  <c r="L1190" i="8"/>
  <c r="N1189" i="8"/>
  <c r="L1189" i="8"/>
  <c r="N1188" i="8"/>
  <c r="L1188" i="8"/>
  <c r="N1187" i="8"/>
  <c r="L1187" i="8"/>
  <c r="N1186" i="8"/>
  <c r="L1186" i="8"/>
  <c r="N1185" i="8"/>
  <c r="L1185" i="8"/>
  <c r="N1184" i="8"/>
  <c r="L1184" i="8"/>
  <c r="N1183" i="8"/>
  <c r="L1183" i="8"/>
  <c r="N1182" i="8"/>
  <c r="L1182" i="8"/>
  <c r="N1181" i="8"/>
  <c r="L1181" i="8"/>
  <c r="N1180" i="8"/>
  <c r="L1180" i="8"/>
  <c r="N1179" i="8"/>
  <c r="L1179" i="8"/>
  <c r="N1178" i="8"/>
  <c r="L1178" i="8"/>
  <c r="N1177" i="8"/>
  <c r="L1177" i="8"/>
  <c r="N1176" i="8"/>
  <c r="L1176" i="8"/>
  <c r="N1175" i="8"/>
  <c r="L1175" i="8"/>
  <c r="N1174" i="8"/>
  <c r="L1174" i="8"/>
  <c r="N1173" i="8"/>
  <c r="L1173" i="8"/>
  <c r="N1172" i="8"/>
  <c r="L1172" i="8"/>
  <c r="N1171" i="8"/>
  <c r="L1171" i="8"/>
  <c r="N1170" i="8"/>
  <c r="L1170" i="8"/>
  <c r="N1169" i="8"/>
  <c r="L1169" i="8"/>
  <c r="N1168" i="8"/>
  <c r="L1168" i="8"/>
  <c r="N1167" i="8"/>
  <c r="L1167" i="8"/>
  <c r="N1166" i="8"/>
  <c r="L1166" i="8"/>
  <c r="N1165" i="8"/>
  <c r="L1165" i="8"/>
  <c r="N1164" i="8"/>
  <c r="L1164" i="8"/>
  <c r="N1163" i="8"/>
  <c r="L1163" i="8"/>
  <c r="N1162" i="8"/>
  <c r="L1162" i="8"/>
  <c r="N1161" i="8"/>
  <c r="L1161" i="8"/>
  <c r="N1160" i="8"/>
  <c r="L1160" i="8"/>
  <c r="N1159" i="8"/>
  <c r="L1159" i="8"/>
  <c r="N1158" i="8"/>
  <c r="L1158" i="8"/>
  <c r="N1157" i="8"/>
  <c r="L1157" i="8"/>
  <c r="N1156" i="8"/>
  <c r="L1156" i="8"/>
  <c r="N1155" i="8"/>
  <c r="L1155" i="8"/>
  <c r="N1154" i="8"/>
  <c r="L1154" i="8"/>
  <c r="N1153" i="8"/>
  <c r="L1153" i="8"/>
  <c r="N1152" i="8"/>
  <c r="L1152" i="8"/>
  <c r="N1151" i="8"/>
  <c r="L1151" i="8"/>
  <c r="N1150" i="8"/>
  <c r="L1150" i="8"/>
  <c r="N1149" i="8"/>
  <c r="L1149" i="8"/>
  <c r="N1148" i="8"/>
  <c r="L1148" i="8"/>
  <c r="N1147" i="8"/>
  <c r="L1147" i="8"/>
  <c r="N1146" i="8"/>
  <c r="L1146" i="8"/>
  <c r="N1145" i="8"/>
  <c r="L1145" i="8"/>
  <c r="N1144" i="8"/>
  <c r="L1144" i="8"/>
  <c r="N1143" i="8"/>
  <c r="L1143" i="8"/>
  <c r="N1142" i="8"/>
  <c r="L1142" i="8"/>
  <c r="N1141" i="8"/>
  <c r="L1141" i="8"/>
  <c r="N1140" i="8"/>
  <c r="L1140" i="8"/>
  <c r="N1139" i="8"/>
  <c r="L1139" i="8"/>
  <c r="N1138" i="8"/>
  <c r="L1138" i="8"/>
  <c r="N1137" i="8"/>
  <c r="L1137" i="8"/>
  <c r="N1136" i="8"/>
  <c r="L1136" i="8"/>
  <c r="N1135" i="8"/>
  <c r="L1135" i="8"/>
  <c r="N1134" i="8"/>
  <c r="L1134" i="8"/>
  <c r="N1133" i="8"/>
  <c r="L1133" i="8"/>
  <c r="N1132" i="8"/>
  <c r="L1132" i="8"/>
  <c r="N1131" i="8"/>
  <c r="L1131" i="8"/>
  <c r="N1130" i="8"/>
  <c r="L1130" i="8"/>
  <c r="N1129" i="8"/>
  <c r="L1129" i="8"/>
  <c r="N1128" i="8"/>
  <c r="L1128" i="8"/>
  <c r="N1127" i="8"/>
  <c r="L1127" i="8"/>
  <c r="N1126" i="8"/>
  <c r="L1126" i="8"/>
  <c r="N1125" i="8"/>
  <c r="L1125" i="8"/>
  <c r="N1124" i="8"/>
  <c r="L1124" i="8"/>
  <c r="N1123" i="8"/>
  <c r="L1123" i="8"/>
  <c r="N1122" i="8"/>
  <c r="L1122" i="8"/>
  <c r="N1121" i="8"/>
  <c r="L1121" i="8"/>
  <c r="N1120" i="8"/>
  <c r="L1120" i="8"/>
  <c r="O1119" i="8"/>
  <c r="N1119" i="8"/>
  <c r="L1119" i="8"/>
  <c r="N1118" i="8"/>
  <c r="L1118" i="8"/>
  <c r="O1117" i="8"/>
  <c r="N1117" i="8"/>
  <c r="L1117" i="8"/>
  <c r="N1116" i="8"/>
  <c r="L1116" i="8"/>
  <c r="O1115" i="8"/>
  <c r="N1115" i="8"/>
  <c r="L1115" i="8"/>
  <c r="N1114" i="8"/>
  <c r="L1114" i="8"/>
  <c r="O1113" i="8"/>
  <c r="N1113" i="8"/>
  <c r="L1113" i="8"/>
  <c r="N1112" i="8"/>
  <c r="L1112" i="8"/>
  <c r="O1111" i="8"/>
  <c r="N1111" i="8"/>
  <c r="L1111" i="8"/>
  <c r="N1110" i="8"/>
  <c r="L1110" i="8"/>
  <c r="O1109" i="8"/>
  <c r="N1109" i="8"/>
  <c r="L1109" i="8"/>
  <c r="N1108" i="8"/>
  <c r="L1108" i="8"/>
  <c r="O1107" i="8"/>
  <c r="N1107" i="8"/>
  <c r="L1107" i="8"/>
  <c r="N1106" i="8"/>
  <c r="L1106" i="8"/>
  <c r="O1105" i="8"/>
  <c r="N1105" i="8"/>
  <c r="L1105" i="8"/>
  <c r="N1104" i="8"/>
  <c r="L1104" i="8"/>
  <c r="O1103" i="8"/>
  <c r="N1103" i="8"/>
  <c r="L1103" i="8"/>
  <c r="N1102" i="8"/>
  <c r="L1102" i="8"/>
  <c r="O1101" i="8"/>
  <c r="N1101" i="8"/>
  <c r="L1101" i="8"/>
  <c r="N1100" i="8"/>
  <c r="L1100" i="8"/>
  <c r="O1099" i="8"/>
  <c r="N1099" i="8"/>
  <c r="L1099" i="8"/>
  <c r="N1098" i="8"/>
  <c r="L1098" i="8"/>
  <c r="O1097" i="8"/>
  <c r="N1097" i="8"/>
  <c r="L1097" i="8"/>
  <c r="N1096" i="8"/>
  <c r="L1096" i="8"/>
  <c r="O1095" i="8"/>
  <c r="N1095" i="8"/>
  <c r="L1095" i="8"/>
  <c r="N1094" i="8"/>
  <c r="L1094" i="8"/>
  <c r="O1093" i="8"/>
  <c r="N1093" i="8"/>
  <c r="L1093" i="8"/>
  <c r="N1092" i="8"/>
  <c r="L1092" i="8"/>
  <c r="O1091" i="8"/>
  <c r="N1091" i="8"/>
  <c r="L1091" i="8"/>
  <c r="N1090" i="8"/>
  <c r="L1090" i="8"/>
  <c r="O1089" i="8"/>
  <c r="N1089" i="8"/>
  <c r="L1089" i="8"/>
  <c r="N1088" i="8"/>
  <c r="L1088" i="8"/>
  <c r="O1087" i="8"/>
  <c r="N1087" i="8"/>
  <c r="L1087" i="8"/>
  <c r="N1086" i="8"/>
  <c r="L1086" i="8"/>
  <c r="O1085" i="8"/>
  <c r="N1085" i="8"/>
  <c r="L1085" i="8"/>
  <c r="N1084" i="8"/>
  <c r="L1084" i="8"/>
  <c r="O1083" i="8"/>
  <c r="N1083" i="8"/>
  <c r="L1083" i="8"/>
  <c r="O1082" i="8"/>
  <c r="N1082" i="8"/>
  <c r="L1082" i="8"/>
  <c r="N1081" i="8"/>
  <c r="L1081" i="8"/>
  <c r="O1080" i="8"/>
  <c r="N1080" i="8"/>
  <c r="L1080" i="8"/>
  <c r="N1079" i="8"/>
  <c r="L1079" i="8"/>
  <c r="O1078" i="8"/>
  <c r="N1078" i="8"/>
  <c r="L1078" i="8"/>
  <c r="N1077" i="8"/>
  <c r="L1077" i="8"/>
  <c r="O1076" i="8"/>
  <c r="N1076" i="8"/>
  <c r="L1076" i="8"/>
  <c r="N1075" i="8"/>
  <c r="L1075" i="8"/>
  <c r="O1074" i="8"/>
  <c r="N1074" i="8"/>
  <c r="L1074" i="8"/>
  <c r="N1073" i="8"/>
  <c r="L1073" i="8"/>
  <c r="O1072" i="8"/>
  <c r="N1072" i="8"/>
  <c r="L1072" i="8"/>
  <c r="N1071" i="8"/>
  <c r="L1071" i="8"/>
  <c r="O1070" i="8"/>
  <c r="N1070" i="8"/>
  <c r="L1070" i="8"/>
  <c r="N1069" i="8"/>
  <c r="L1069" i="8"/>
  <c r="O1068" i="8"/>
  <c r="N1068" i="8"/>
  <c r="L1068" i="8"/>
  <c r="N1067" i="8"/>
  <c r="L1067" i="8"/>
  <c r="O1066" i="8"/>
  <c r="N1066" i="8"/>
  <c r="L1066" i="8"/>
  <c r="N1065" i="8"/>
  <c r="L1065" i="8"/>
  <c r="O1064" i="8"/>
  <c r="N1064" i="8"/>
  <c r="L1064" i="8"/>
  <c r="O1063" i="8"/>
  <c r="N1063" i="8"/>
  <c r="L1063" i="8"/>
  <c r="N1062" i="8"/>
  <c r="L1062" i="8"/>
  <c r="O1061" i="8"/>
  <c r="N1061" i="8"/>
  <c r="L1061" i="8"/>
  <c r="N1060" i="8"/>
  <c r="L1060" i="8"/>
  <c r="O1059" i="8"/>
  <c r="N1059" i="8"/>
  <c r="L1059" i="8"/>
  <c r="N1058" i="8"/>
  <c r="L1058" i="8"/>
  <c r="O1057" i="8"/>
  <c r="N1057" i="8"/>
  <c r="L1057" i="8"/>
  <c r="N1056" i="8"/>
  <c r="L1056" i="8"/>
  <c r="O1055" i="8"/>
  <c r="N1055" i="8"/>
  <c r="L1055" i="8"/>
  <c r="N1054" i="8"/>
  <c r="L1054" i="8"/>
  <c r="O1053" i="8"/>
  <c r="N1053" i="8"/>
  <c r="L1053" i="8"/>
  <c r="N1052" i="8"/>
  <c r="L1052" i="8"/>
  <c r="O1051" i="8"/>
  <c r="N1051" i="8"/>
  <c r="L1051" i="8"/>
  <c r="N1050" i="8"/>
  <c r="L1050" i="8"/>
  <c r="O1049" i="8"/>
  <c r="N1049" i="8"/>
  <c r="L1049" i="8"/>
  <c r="N1048" i="8"/>
  <c r="L1048" i="8"/>
  <c r="O1047" i="8"/>
  <c r="N1047" i="8"/>
  <c r="L1047" i="8"/>
  <c r="N1046" i="8"/>
  <c r="L1046" i="8"/>
  <c r="O1045" i="8"/>
  <c r="N1045" i="8"/>
  <c r="L1045" i="8"/>
  <c r="O1044" i="8"/>
  <c r="N1044" i="8"/>
  <c r="L1044" i="8"/>
  <c r="N1043" i="8"/>
  <c r="L1043" i="8"/>
  <c r="O1042" i="8"/>
  <c r="N1042" i="8"/>
  <c r="L1042" i="8"/>
  <c r="N1041" i="8"/>
  <c r="L1041" i="8"/>
  <c r="O1040" i="8"/>
  <c r="N1040" i="8"/>
  <c r="L1040" i="8"/>
  <c r="N1039" i="8"/>
  <c r="L1039" i="8"/>
  <c r="O1038" i="8"/>
  <c r="N1038" i="8"/>
  <c r="L1038" i="8"/>
  <c r="N1037" i="8"/>
  <c r="L1037" i="8"/>
  <c r="O1036" i="8"/>
  <c r="N1036" i="8"/>
  <c r="L1036" i="8"/>
  <c r="N1035" i="8"/>
  <c r="L1035" i="8"/>
  <c r="O1034" i="8"/>
  <c r="N1034" i="8"/>
  <c r="L1034" i="8"/>
  <c r="N1033" i="8"/>
  <c r="L1033" i="8"/>
  <c r="O1032" i="8"/>
  <c r="N1032" i="8"/>
  <c r="L1032" i="8"/>
  <c r="N1031" i="8"/>
  <c r="L1031" i="8"/>
  <c r="O1030" i="8"/>
  <c r="N1030" i="8"/>
  <c r="L1030" i="8"/>
  <c r="N1029" i="8"/>
  <c r="L1029" i="8"/>
  <c r="O1028" i="8"/>
  <c r="N1028" i="8"/>
  <c r="L1028" i="8"/>
  <c r="N1027" i="8"/>
  <c r="L1027" i="8"/>
  <c r="O1026" i="8"/>
  <c r="N1026" i="8"/>
  <c r="L1026" i="8"/>
  <c r="N1025" i="8"/>
  <c r="L1025" i="8"/>
  <c r="O1024" i="8"/>
  <c r="N1024" i="8"/>
  <c r="L1024" i="8"/>
  <c r="N1023" i="8"/>
  <c r="L1023" i="8"/>
  <c r="O1022" i="8"/>
  <c r="N1022" i="8"/>
  <c r="L1022" i="8"/>
  <c r="N1021" i="8"/>
  <c r="L1021" i="8"/>
  <c r="O1020" i="8"/>
  <c r="N1020" i="8"/>
  <c r="L1020" i="8"/>
  <c r="N1019" i="8"/>
  <c r="L1019" i="8"/>
  <c r="O1018" i="8"/>
  <c r="N1018" i="8"/>
  <c r="L1018" i="8"/>
  <c r="N1017" i="8"/>
  <c r="L1017" i="8"/>
  <c r="O1016" i="8"/>
  <c r="N1016" i="8"/>
  <c r="L1016" i="8"/>
  <c r="O1015" i="8"/>
  <c r="N1015" i="8"/>
  <c r="L1015" i="8"/>
  <c r="N1014" i="8"/>
  <c r="L1014" i="8"/>
  <c r="N1013" i="8"/>
  <c r="L1013" i="8"/>
  <c r="N1012" i="8"/>
  <c r="L1012" i="8"/>
  <c r="O1011" i="8"/>
  <c r="N1011" i="8"/>
  <c r="L1011" i="8"/>
  <c r="N1010" i="8"/>
  <c r="L1010" i="8"/>
  <c r="N1009" i="8"/>
  <c r="L1009" i="8"/>
  <c r="N1008" i="8"/>
  <c r="L1008" i="8"/>
  <c r="O1007" i="8"/>
  <c r="N1007" i="8"/>
  <c r="L1007" i="8"/>
  <c r="N1006" i="8"/>
  <c r="L1006" i="8"/>
  <c r="N1005" i="8"/>
  <c r="L1005" i="8"/>
  <c r="N1004" i="8"/>
  <c r="L1004" i="8"/>
  <c r="O1003" i="8"/>
  <c r="N1003" i="8"/>
  <c r="L1003" i="8"/>
  <c r="N1002" i="8"/>
  <c r="L1002" i="8"/>
  <c r="N1001" i="8"/>
  <c r="L1001" i="8"/>
  <c r="N1000" i="8"/>
  <c r="L1000" i="8"/>
  <c r="O999" i="8"/>
  <c r="N999" i="8"/>
  <c r="L999" i="8"/>
  <c r="N998" i="8"/>
  <c r="L998" i="8"/>
  <c r="O997" i="8"/>
  <c r="N997" i="8"/>
  <c r="L997" i="8"/>
  <c r="N996" i="8"/>
  <c r="L996" i="8"/>
  <c r="N995" i="8"/>
  <c r="L995" i="8"/>
  <c r="N994" i="8"/>
  <c r="L994" i="8"/>
  <c r="O993" i="8"/>
  <c r="N993" i="8"/>
  <c r="L993" i="8"/>
  <c r="N992" i="8"/>
  <c r="L992" i="8"/>
  <c r="N991" i="8"/>
  <c r="L991" i="8"/>
  <c r="N990" i="8"/>
  <c r="L990" i="8"/>
  <c r="O989" i="8"/>
  <c r="N989" i="8"/>
  <c r="L989" i="8"/>
  <c r="N988" i="8"/>
  <c r="L988" i="8"/>
  <c r="N987" i="8"/>
  <c r="L987" i="8"/>
  <c r="N986" i="8"/>
  <c r="L986" i="8"/>
  <c r="N985" i="8"/>
  <c r="L985" i="8"/>
  <c r="N984" i="8"/>
  <c r="L984" i="8"/>
  <c r="O983" i="8"/>
  <c r="N983" i="8"/>
  <c r="L983" i="8"/>
  <c r="N982" i="8"/>
  <c r="L982" i="8"/>
  <c r="N981" i="8"/>
  <c r="L981" i="8"/>
  <c r="N980" i="8"/>
  <c r="L980" i="8"/>
  <c r="O979" i="8"/>
  <c r="N979" i="8"/>
  <c r="L979" i="8"/>
  <c r="N978" i="8"/>
  <c r="L978" i="8"/>
  <c r="O977" i="8"/>
  <c r="N977" i="8"/>
  <c r="L977" i="8"/>
  <c r="N976" i="8"/>
  <c r="L976" i="8"/>
  <c r="N975" i="8"/>
  <c r="L975" i="8"/>
  <c r="N974" i="8"/>
  <c r="L974" i="8"/>
  <c r="O973" i="8"/>
  <c r="N973" i="8"/>
  <c r="L973" i="8"/>
  <c r="N972" i="8"/>
  <c r="L972" i="8"/>
  <c r="N971" i="8"/>
  <c r="L971" i="8"/>
  <c r="O970" i="8"/>
  <c r="N970" i="8"/>
  <c r="L970" i="8"/>
  <c r="N969" i="8"/>
  <c r="L969" i="8"/>
  <c r="O968" i="8"/>
  <c r="N968" i="8"/>
  <c r="L968" i="8"/>
  <c r="N967" i="8"/>
  <c r="L967" i="8"/>
  <c r="O966" i="8"/>
  <c r="N966" i="8"/>
  <c r="L966" i="8"/>
  <c r="O965" i="8"/>
  <c r="N965" i="8"/>
  <c r="L965" i="8"/>
  <c r="N964" i="8"/>
  <c r="L964" i="8"/>
  <c r="O963" i="8"/>
  <c r="N963" i="8"/>
  <c r="L963" i="8"/>
  <c r="N962" i="8"/>
  <c r="L962" i="8"/>
  <c r="O961" i="8"/>
  <c r="N961" i="8"/>
  <c r="L961" i="8"/>
  <c r="N960" i="8"/>
  <c r="L960" i="8"/>
  <c r="O959" i="8"/>
  <c r="N959" i="8"/>
  <c r="L959" i="8"/>
  <c r="N958" i="8"/>
  <c r="L958" i="8"/>
  <c r="O957" i="8"/>
  <c r="N957" i="8"/>
  <c r="L957" i="8"/>
  <c r="N956" i="8"/>
  <c r="L956" i="8"/>
  <c r="O955" i="8"/>
  <c r="N955" i="8"/>
  <c r="L955" i="8"/>
  <c r="N954" i="8"/>
  <c r="L954" i="8"/>
  <c r="O953" i="8"/>
  <c r="N953" i="8"/>
  <c r="L953" i="8"/>
  <c r="O952" i="8"/>
  <c r="N952" i="8"/>
  <c r="L952" i="8"/>
  <c r="N951" i="8"/>
  <c r="L951" i="8"/>
  <c r="O950" i="8"/>
  <c r="N950" i="8"/>
  <c r="L950" i="8"/>
  <c r="N949" i="8"/>
  <c r="L949" i="8"/>
  <c r="O948" i="8"/>
  <c r="N948" i="8"/>
  <c r="L948" i="8"/>
  <c r="N947" i="8"/>
  <c r="L947" i="8"/>
  <c r="O946" i="8"/>
  <c r="N946" i="8"/>
  <c r="L946" i="8"/>
  <c r="N945" i="8"/>
  <c r="L945" i="8"/>
  <c r="O944" i="8"/>
  <c r="N944" i="8"/>
  <c r="L944" i="8"/>
  <c r="N943" i="8"/>
  <c r="L943" i="8"/>
  <c r="O942" i="8"/>
  <c r="N942" i="8"/>
  <c r="L942" i="8"/>
  <c r="N941" i="8"/>
  <c r="L941" i="8"/>
  <c r="O940" i="8"/>
  <c r="N940" i="8"/>
  <c r="L940" i="8"/>
  <c r="N939" i="8"/>
  <c r="L939" i="8"/>
  <c r="O938" i="8"/>
  <c r="N938" i="8"/>
  <c r="L938" i="8"/>
  <c r="N937" i="8"/>
  <c r="L937" i="8"/>
  <c r="O936" i="8"/>
  <c r="N936" i="8"/>
  <c r="L936" i="8"/>
  <c r="N935" i="8"/>
  <c r="L935" i="8"/>
  <c r="O934" i="8"/>
  <c r="N934" i="8"/>
  <c r="L934" i="8"/>
  <c r="N933" i="8"/>
  <c r="L933" i="8"/>
  <c r="O932" i="8"/>
  <c r="N932" i="8"/>
  <c r="L932" i="8"/>
  <c r="N931" i="8"/>
  <c r="L931" i="8"/>
  <c r="O930" i="8"/>
  <c r="N930" i="8"/>
  <c r="L930" i="8"/>
  <c r="N929" i="8"/>
  <c r="L929" i="8"/>
  <c r="O928" i="8"/>
  <c r="N928" i="8"/>
  <c r="L928" i="8"/>
  <c r="N927" i="8"/>
  <c r="L927" i="8"/>
  <c r="O926" i="8"/>
  <c r="N926" i="8"/>
  <c r="L926" i="8"/>
  <c r="N925" i="8"/>
  <c r="L925" i="8"/>
  <c r="O924" i="8"/>
  <c r="N924" i="8"/>
  <c r="L924" i="8"/>
  <c r="O923" i="8"/>
  <c r="N923" i="8"/>
  <c r="L923" i="8"/>
  <c r="N922" i="8"/>
  <c r="L922" i="8"/>
  <c r="O921" i="8"/>
  <c r="N921" i="8"/>
  <c r="L921" i="8"/>
  <c r="N920" i="8"/>
  <c r="L920" i="8"/>
  <c r="O919" i="8"/>
  <c r="N919" i="8"/>
  <c r="L919" i="8"/>
  <c r="N918" i="8"/>
  <c r="L918" i="8"/>
  <c r="O917" i="8"/>
  <c r="N917" i="8"/>
  <c r="L917" i="8"/>
  <c r="N916" i="8"/>
  <c r="L916" i="8"/>
  <c r="O915" i="8"/>
  <c r="N915" i="8"/>
  <c r="L915" i="8"/>
  <c r="N914" i="8"/>
  <c r="L914" i="8"/>
  <c r="O913" i="8"/>
  <c r="N913" i="8"/>
  <c r="L913" i="8"/>
  <c r="N912" i="8"/>
  <c r="L912" i="8"/>
  <c r="O911" i="8"/>
  <c r="N911" i="8"/>
  <c r="L911" i="8"/>
  <c r="N910" i="8"/>
  <c r="L910" i="8"/>
  <c r="O909" i="8"/>
  <c r="N909" i="8"/>
  <c r="L909" i="8"/>
  <c r="N908" i="8"/>
  <c r="L908" i="8"/>
  <c r="O907" i="8"/>
  <c r="N907" i="8"/>
  <c r="L907" i="8"/>
  <c r="N906" i="8"/>
  <c r="L906" i="8"/>
  <c r="O905" i="8"/>
  <c r="N905" i="8"/>
  <c r="L905" i="8"/>
  <c r="N904" i="8"/>
  <c r="L904" i="8"/>
  <c r="O903" i="8"/>
  <c r="N903" i="8"/>
  <c r="L903" i="8"/>
  <c r="N902" i="8"/>
  <c r="L902" i="8"/>
  <c r="O901" i="8"/>
  <c r="N901" i="8"/>
  <c r="L901" i="8"/>
  <c r="N900" i="8"/>
  <c r="L900" i="8"/>
  <c r="O899" i="8"/>
  <c r="N899" i="8"/>
  <c r="L899" i="8"/>
  <c r="N898" i="8"/>
  <c r="L898" i="8"/>
  <c r="O897" i="8"/>
  <c r="N897" i="8"/>
  <c r="L897" i="8"/>
  <c r="N896" i="8"/>
  <c r="L896" i="8"/>
  <c r="O895" i="8"/>
  <c r="N895" i="8"/>
  <c r="L895" i="8"/>
  <c r="N894" i="8"/>
  <c r="L894" i="8"/>
  <c r="O893" i="8"/>
  <c r="N893" i="8"/>
  <c r="L893" i="8"/>
  <c r="O892" i="8"/>
  <c r="N892" i="8"/>
  <c r="L892" i="8"/>
  <c r="N891" i="8"/>
  <c r="L891" i="8"/>
  <c r="O890" i="8"/>
  <c r="N890" i="8"/>
  <c r="L890" i="8"/>
  <c r="N889" i="8"/>
  <c r="L889" i="8"/>
  <c r="O888" i="8"/>
  <c r="N888" i="8"/>
  <c r="L888" i="8"/>
  <c r="O887" i="8"/>
  <c r="N887" i="8"/>
  <c r="L887" i="8"/>
  <c r="N886" i="8"/>
  <c r="L886" i="8"/>
  <c r="O885" i="8"/>
  <c r="N885" i="8"/>
  <c r="L885" i="8"/>
  <c r="N884" i="8"/>
  <c r="L884" i="8"/>
  <c r="O883" i="8"/>
  <c r="N883" i="8"/>
  <c r="L883" i="8"/>
  <c r="N882" i="8"/>
  <c r="L882" i="8"/>
  <c r="O881" i="8"/>
  <c r="N881" i="8"/>
  <c r="L881" i="8"/>
  <c r="N880" i="8"/>
  <c r="L880" i="8"/>
  <c r="O879" i="8"/>
  <c r="N879" i="8"/>
  <c r="L879" i="8"/>
  <c r="N878" i="8"/>
  <c r="L878" i="8"/>
  <c r="O877" i="8"/>
  <c r="N877" i="8"/>
  <c r="L877" i="8"/>
  <c r="N876" i="8"/>
  <c r="L876" i="8"/>
  <c r="O875" i="8"/>
  <c r="N875" i="8"/>
  <c r="L875" i="8"/>
  <c r="N874" i="8"/>
  <c r="L874" i="8"/>
  <c r="O873" i="8"/>
  <c r="N873" i="8"/>
  <c r="L873" i="8"/>
  <c r="N872" i="8"/>
  <c r="L872" i="8"/>
  <c r="O871" i="8"/>
  <c r="N871" i="8"/>
  <c r="L871" i="8"/>
  <c r="N870" i="8"/>
  <c r="L870" i="8"/>
  <c r="O869" i="8"/>
  <c r="N869" i="8"/>
  <c r="L869" i="8"/>
  <c r="N868" i="8"/>
  <c r="L868" i="8"/>
  <c r="N867" i="8"/>
  <c r="L867" i="8"/>
  <c r="N866" i="8"/>
  <c r="L866" i="8"/>
  <c r="N865" i="8"/>
  <c r="L865" i="8"/>
  <c r="N864" i="8"/>
  <c r="L864" i="8"/>
  <c r="N863" i="8"/>
  <c r="L863" i="8"/>
  <c r="N862" i="8"/>
  <c r="L862" i="8"/>
  <c r="N861" i="8"/>
  <c r="L861" i="8"/>
  <c r="N860" i="8"/>
  <c r="L860" i="8"/>
  <c r="N859" i="8"/>
  <c r="L859" i="8"/>
  <c r="N858" i="8"/>
  <c r="L858" i="8"/>
  <c r="O857" i="8"/>
  <c r="N857" i="8"/>
  <c r="L857" i="8"/>
  <c r="N856" i="8"/>
  <c r="L856" i="8"/>
  <c r="O855" i="8"/>
  <c r="N855" i="8"/>
  <c r="L855" i="8"/>
  <c r="N854" i="8"/>
  <c r="L854" i="8"/>
  <c r="O853" i="8"/>
  <c r="N853" i="8"/>
  <c r="L853" i="8"/>
  <c r="N852" i="8"/>
  <c r="L852" i="8"/>
  <c r="O851" i="8"/>
  <c r="N851" i="8"/>
  <c r="L851" i="8"/>
  <c r="O850" i="8"/>
  <c r="N850" i="8"/>
  <c r="L850" i="8"/>
  <c r="N849" i="8"/>
  <c r="L849" i="8"/>
  <c r="O848" i="8"/>
  <c r="N848" i="8"/>
  <c r="L848" i="8"/>
  <c r="N847" i="8"/>
  <c r="L847" i="8"/>
  <c r="O846" i="8"/>
  <c r="N846" i="8"/>
  <c r="L846" i="8"/>
  <c r="N845" i="8"/>
  <c r="L845" i="8"/>
  <c r="O844" i="8"/>
  <c r="N844" i="8"/>
  <c r="L844" i="8"/>
  <c r="N843" i="8"/>
  <c r="L843" i="8"/>
  <c r="N842" i="8"/>
  <c r="L842" i="8"/>
  <c r="O841" i="8"/>
  <c r="N841" i="8"/>
  <c r="L841" i="8"/>
  <c r="N840" i="8"/>
  <c r="L840" i="8"/>
  <c r="N839" i="8"/>
  <c r="L839" i="8"/>
  <c r="O838" i="8"/>
  <c r="N838" i="8"/>
  <c r="L838" i="8"/>
  <c r="N837" i="8"/>
  <c r="L837" i="8"/>
  <c r="O836" i="8"/>
  <c r="N836" i="8"/>
  <c r="L836" i="8"/>
  <c r="N835" i="8"/>
  <c r="L835" i="8"/>
  <c r="O834" i="8"/>
  <c r="N834" i="8"/>
  <c r="L834" i="8"/>
  <c r="N833" i="8"/>
  <c r="L833" i="8"/>
  <c r="O832" i="8"/>
  <c r="N832" i="8"/>
  <c r="L832" i="8"/>
  <c r="O831" i="8"/>
  <c r="N831" i="8"/>
  <c r="L831" i="8"/>
  <c r="N830" i="8"/>
  <c r="L830" i="8"/>
  <c r="O829" i="8"/>
  <c r="N829" i="8"/>
  <c r="L829" i="8"/>
  <c r="N828" i="8"/>
  <c r="L828" i="8"/>
  <c r="O827" i="8"/>
  <c r="N827" i="8"/>
  <c r="L827" i="8"/>
  <c r="N826" i="8"/>
  <c r="L826" i="8"/>
  <c r="O825" i="8"/>
  <c r="N825" i="8"/>
  <c r="L825" i="8"/>
  <c r="N824" i="8"/>
  <c r="L824" i="8"/>
  <c r="O823" i="8"/>
  <c r="N823" i="8"/>
  <c r="L823" i="8"/>
  <c r="N822" i="8"/>
  <c r="L822" i="8"/>
  <c r="O821" i="8"/>
  <c r="N821" i="8"/>
  <c r="L821" i="8"/>
  <c r="N820" i="8"/>
  <c r="L820" i="8"/>
  <c r="O819" i="8"/>
  <c r="N819" i="8"/>
  <c r="L819" i="8"/>
  <c r="N818" i="8"/>
  <c r="L818" i="8"/>
  <c r="O817" i="8"/>
  <c r="N817" i="8"/>
  <c r="L817" i="8"/>
  <c r="N816" i="8"/>
  <c r="L816" i="8"/>
  <c r="O815" i="8"/>
  <c r="N815" i="8"/>
  <c r="L815" i="8"/>
  <c r="N814" i="8"/>
  <c r="L814" i="8"/>
  <c r="O813" i="8"/>
  <c r="N813" i="8"/>
  <c r="L813" i="8"/>
  <c r="N812" i="8"/>
  <c r="L812" i="8"/>
  <c r="O811" i="8"/>
  <c r="N811" i="8"/>
  <c r="L811" i="8"/>
  <c r="N810" i="8"/>
  <c r="L810" i="8"/>
  <c r="O809" i="8"/>
  <c r="N809" i="8"/>
  <c r="L809" i="8"/>
  <c r="N808" i="8"/>
  <c r="L808" i="8"/>
  <c r="O807" i="8"/>
  <c r="N807" i="8"/>
  <c r="L807" i="8"/>
  <c r="N806" i="8"/>
  <c r="L806" i="8"/>
  <c r="O805" i="8"/>
  <c r="N805" i="8"/>
  <c r="L805" i="8"/>
  <c r="N804" i="8"/>
  <c r="L804" i="8"/>
  <c r="O803" i="8"/>
  <c r="N803" i="8"/>
  <c r="L803" i="8"/>
  <c r="N802" i="8"/>
  <c r="L802" i="8"/>
  <c r="O801" i="8"/>
  <c r="N801" i="8"/>
  <c r="L801" i="8"/>
  <c r="N800" i="8"/>
  <c r="L800" i="8"/>
  <c r="O799" i="8"/>
  <c r="N799" i="8"/>
  <c r="L799" i="8"/>
  <c r="N798" i="8"/>
  <c r="L798" i="8"/>
  <c r="O797" i="8"/>
  <c r="N797" i="8"/>
  <c r="L797" i="8"/>
  <c r="N796" i="8"/>
  <c r="L796" i="8"/>
  <c r="O795" i="8"/>
  <c r="N795" i="8"/>
  <c r="L795" i="8"/>
  <c r="N794" i="8"/>
  <c r="L794" i="8"/>
  <c r="O793" i="8"/>
  <c r="N793" i="8"/>
  <c r="L793" i="8"/>
  <c r="N792" i="8"/>
  <c r="L792" i="8"/>
  <c r="O791" i="8"/>
  <c r="N791" i="8"/>
  <c r="L791" i="8"/>
  <c r="N790" i="8"/>
  <c r="L790" i="8"/>
  <c r="O789" i="8"/>
  <c r="N789" i="8"/>
  <c r="L789" i="8"/>
  <c r="N788" i="8"/>
  <c r="L788" i="8"/>
  <c r="O787" i="8"/>
  <c r="N787" i="8"/>
  <c r="L787" i="8"/>
  <c r="N786" i="8"/>
  <c r="L786" i="8"/>
  <c r="O785" i="8"/>
  <c r="N785" i="8"/>
  <c r="L785" i="8"/>
  <c r="N784" i="8"/>
  <c r="L784" i="8"/>
  <c r="O783" i="8"/>
  <c r="N783" i="8"/>
  <c r="L783" i="8"/>
  <c r="N782" i="8"/>
  <c r="L782" i="8"/>
  <c r="O781" i="8"/>
  <c r="N781" i="8"/>
  <c r="L781" i="8"/>
  <c r="N780" i="8"/>
  <c r="L780" i="8"/>
  <c r="O779" i="8"/>
  <c r="N779" i="8"/>
  <c r="L779" i="8"/>
  <c r="N778" i="8"/>
  <c r="L778" i="8"/>
  <c r="O777" i="8"/>
  <c r="N777" i="8"/>
  <c r="L777" i="8"/>
  <c r="N776" i="8"/>
  <c r="L776" i="8"/>
  <c r="N775" i="8"/>
  <c r="L775" i="8"/>
  <c r="N774" i="8"/>
  <c r="L774" i="8"/>
  <c r="O773" i="8"/>
  <c r="N773" i="8"/>
  <c r="L773" i="8"/>
  <c r="N772" i="8"/>
  <c r="L772" i="8"/>
  <c r="O771" i="8"/>
  <c r="N771" i="8"/>
  <c r="L771" i="8"/>
  <c r="N770" i="8"/>
  <c r="L770" i="8"/>
  <c r="N769" i="8"/>
  <c r="L769" i="8"/>
  <c r="N768" i="8"/>
  <c r="L768" i="8"/>
  <c r="N767" i="8"/>
  <c r="L767" i="8"/>
  <c r="N766" i="8"/>
  <c r="L766" i="8"/>
  <c r="N765" i="8"/>
  <c r="L765" i="8"/>
  <c r="N764" i="8"/>
  <c r="L764" i="8"/>
  <c r="N763" i="8"/>
  <c r="L763" i="8"/>
  <c r="N762" i="8"/>
  <c r="L762" i="8"/>
  <c r="N761" i="8"/>
  <c r="L761" i="8"/>
  <c r="N760" i="8"/>
  <c r="L760" i="8"/>
  <c r="N759" i="8"/>
  <c r="L759" i="8"/>
  <c r="N758" i="8"/>
  <c r="L758" i="8"/>
  <c r="N757" i="8"/>
  <c r="L757" i="8"/>
  <c r="N756" i="8"/>
  <c r="L756" i="8"/>
  <c r="N755" i="8"/>
  <c r="L755" i="8"/>
  <c r="N754" i="8"/>
  <c r="L754" i="8"/>
  <c r="N753" i="8"/>
  <c r="L753" i="8"/>
  <c r="N752" i="8"/>
  <c r="L752" i="8"/>
  <c r="N751" i="8"/>
  <c r="L751" i="8"/>
  <c r="N750" i="8"/>
  <c r="L750" i="8"/>
  <c r="N749" i="8"/>
  <c r="L749" i="8"/>
  <c r="N748" i="8"/>
  <c r="L748" i="8"/>
  <c r="N747" i="8"/>
  <c r="L747" i="8"/>
  <c r="N746" i="8"/>
  <c r="L746" i="8"/>
  <c r="N745" i="8"/>
  <c r="L745" i="8"/>
  <c r="N744" i="8"/>
  <c r="L744" i="8"/>
  <c r="N743" i="8"/>
  <c r="L743" i="8"/>
  <c r="N742" i="8"/>
  <c r="L742" i="8"/>
  <c r="N741" i="8"/>
  <c r="L741" i="8"/>
  <c r="N740" i="8"/>
  <c r="L740" i="8"/>
  <c r="N739" i="8"/>
  <c r="L739" i="8"/>
  <c r="N738" i="8"/>
  <c r="L738" i="8"/>
  <c r="N737" i="8"/>
  <c r="L737" i="8"/>
  <c r="N736" i="8"/>
  <c r="L736" i="8"/>
  <c r="N735" i="8"/>
  <c r="L735" i="8"/>
  <c r="N734" i="8"/>
  <c r="L734" i="8"/>
  <c r="N733" i="8"/>
  <c r="L733" i="8"/>
  <c r="N732" i="8"/>
  <c r="L732" i="8"/>
  <c r="N731" i="8"/>
  <c r="L731" i="8"/>
  <c r="N730" i="8"/>
  <c r="L730" i="8"/>
  <c r="N729" i="8"/>
  <c r="L729" i="8"/>
  <c r="N728" i="8"/>
  <c r="L728" i="8"/>
  <c r="N727" i="8"/>
  <c r="L727" i="8"/>
  <c r="N726" i="8"/>
  <c r="L726" i="8"/>
  <c r="N725" i="8"/>
  <c r="L725" i="8"/>
  <c r="N724" i="8"/>
  <c r="L724" i="8"/>
  <c r="N723" i="8"/>
  <c r="L723" i="8"/>
  <c r="N722" i="8"/>
  <c r="L722" i="8"/>
  <c r="N721" i="8"/>
  <c r="L721" i="8"/>
  <c r="N720" i="8"/>
  <c r="L720" i="8"/>
  <c r="N719" i="8"/>
  <c r="L719" i="8"/>
  <c r="N718" i="8"/>
  <c r="L718" i="8"/>
  <c r="N717" i="8"/>
  <c r="L717" i="8"/>
  <c r="N716" i="8"/>
  <c r="L716" i="8"/>
  <c r="N715" i="8"/>
  <c r="L715" i="8"/>
  <c r="N714" i="8"/>
  <c r="L714" i="8"/>
  <c r="N713" i="8"/>
  <c r="L713" i="8"/>
  <c r="N712" i="8"/>
  <c r="L712" i="8"/>
  <c r="N711" i="8"/>
  <c r="L711" i="8"/>
  <c r="N710" i="8"/>
  <c r="L710" i="8"/>
  <c r="N709" i="8"/>
  <c r="L709" i="8"/>
  <c r="N708" i="8"/>
  <c r="L708" i="8"/>
  <c r="N707" i="8"/>
  <c r="L707" i="8"/>
  <c r="N706" i="8"/>
  <c r="L706" i="8"/>
  <c r="N705" i="8"/>
  <c r="L705" i="8"/>
  <c r="N704" i="8"/>
  <c r="L704" i="8"/>
  <c r="N703" i="8"/>
  <c r="L703" i="8"/>
  <c r="N702" i="8"/>
  <c r="L702" i="8"/>
  <c r="N701" i="8"/>
  <c r="L701" i="8"/>
  <c r="N700" i="8"/>
  <c r="L700" i="8"/>
  <c r="N699" i="8"/>
  <c r="L699" i="8"/>
  <c r="N698" i="8"/>
  <c r="L698" i="8"/>
  <c r="N697" i="8"/>
  <c r="L697" i="8"/>
  <c r="N696" i="8"/>
  <c r="L696" i="8"/>
  <c r="N695" i="8"/>
  <c r="L695" i="8"/>
  <c r="N694" i="8"/>
  <c r="L694" i="8"/>
  <c r="N693" i="8"/>
  <c r="L693" i="8"/>
  <c r="N692" i="8"/>
  <c r="L692" i="8"/>
  <c r="N691" i="8"/>
  <c r="L691" i="8"/>
  <c r="N690" i="8"/>
  <c r="L690" i="8"/>
  <c r="N689" i="8"/>
  <c r="L689" i="8"/>
  <c r="N688" i="8"/>
  <c r="L688" i="8"/>
  <c r="N687" i="8"/>
  <c r="L687" i="8"/>
  <c r="N686" i="8"/>
  <c r="L686" i="8"/>
  <c r="N685" i="8"/>
  <c r="L685" i="8"/>
  <c r="N684" i="8"/>
  <c r="L684" i="8"/>
  <c r="N683" i="8"/>
  <c r="L683" i="8"/>
  <c r="N682" i="8"/>
  <c r="L682" i="8"/>
  <c r="N681" i="8"/>
  <c r="L681" i="8"/>
  <c r="N680" i="8"/>
  <c r="L680" i="8"/>
  <c r="N679" i="8"/>
  <c r="L679" i="8"/>
  <c r="N678" i="8"/>
  <c r="L678" i="8"/>
  <c r="N677" i="8"/>
  <c r="L677" i="8"/>
  <c r="N676" i="8"/>
  <c r="L676" i="8"/>
  <c r="N675" i="8"/>
  <c r="L675" i="8"/>
  <c r="N674" i="8"/>
  <c r="L674" i="8"/>
  <c r="N673" i="8"/>
  <c r="L673" i="8"/>
  <c r="N672" i="8"/>
  <c r="L672" i="8"/>
  <c r="N671" i="8"/>
  <c r="L671" i="8"/>
  <c r="N670" i="8"/>
  <c r="L670" i="8"/>
  <c r="V669" i="8"/>
  <c r="N669" i="8"/>
  <c r="T669" i="8" s="1"/>
  <c r="L669" i="8"/>
  <c r="V668" i="8"/>
  <c r="N668" i="8"/>
  <c r="T668" i="8" s="1"/>
  <c r="L668" i="8"/>
  <c r="V667" i="8"/>
  <c r="N667" i="8"/>
  <c r="T667" i="8" s="1"/>
  <c r="L667" i="8"/>
  <c r="V666" i="8"/>
  <c r="N666" i="8"/>
  <c r="T666" i="8" s="1"/>
  <c r="L666" i="8"/>
  <c r="V665" i="8"/>
  <c r="N665" i="8"/>
  <c r="T665" i="8" s="1"/>
  <c r="L665" i="8"/>
  <c r="V664" i="8"/>
  <c r="N664" i="8"/>
  <c r="T664" i="8" s="1"/>
  <c r="L664" i="8"/>
  <c r="V663" i="8"/>
  <c r="N663" i="8"/>
  <c r="T663" i="8" s="1"/>
  <c r="L663" i="8"/>
  <c r="V662" i="8"/>
  <c r="N662" i="8"/>
  <c r="T662" i="8" s="1"/>
  <c r="L662" i="8"/>
  <c r="V661" i="8"/>
  <c r="N661" i="8"/>
  <c r="T661" i="8" s="1"/>
  <c r="L661" i="8"/>
  <c r="V660" i="8"/>
  <c r="N660" i="8"/>
  <c r="T660" i="8" s="1"/>
  <c r="L660" i="8"/>
  <c r="V659" i="8"/>
  <c r="N659" i="8"/>
  <c r="T659" i="8" s="1"/>
  <c r="L659" i="8"/>
  <c r="V658" i="8"/>
  <c r="N658" i="8"/>
  <c r="T658" i="8" s="1"/>
  <c r="L658" i="8"/>
  <c r="V657" i="8"/>
  <c r="N657" i="8"/>
  <c r="T657" i="8" s="1"/>
  <c r="L657" i="8"/>
  <c r="V656" i="8"/>
  <c r="N656" i="8"/>
  <c r="T656" i="8" s="1"/>
  <c r="L656" i="8"/>
  <c r="V655" i="8"/>
  <c r="N655" i="8"/>
  <c r="T655" i="8" s="1"/>
  <c r="L655" i="8"/>
  <c r="V654" i="8"/>
  <c r="N654" i="8"/>
  <c r="T654" i="8" s="1"/>
  <c r="L654" i="8"/>
  <c r="V653" i="8"/>
  <c r="N653" i="8"/>
  <c r="T653" i="8" s="1"/>
  <c r="L653" i="8"/>
  <c r="V652" i="8"/>
  <c r="N652" i="8"/>
  <c r="T652" i="8" s="1"/>
  <c r="L652" i="8"/>
  <c r="V651" i="8"/>
  <c r="N651" i="8"/>
  <c r="T651" i="8" s="1"/>
  <c r="L651" i="8"/>
  <c r="V650" i="8"/>
  <c r="N650" i="8"/>
  <c r="T650" i="8" s="1"/>
  <c r="L650" i="8"/>
  <c r="V649" i="8"/>
  <c r="N649" i="8"/>
  <c r="T649" i="8" s="1"/>
  <c r="L649" i="8"/>
  <c r="V648" i="8"/>
  <c r="N648" i="8"/>
  <c r="T648" i="8" s="1"/>
  <c r="L648" i="8"/>
  <c r="V647" i="8"/>
  <c r="N647" i="8"/>
  <c r="T647" i="8" s="1"/>
  <c r="L647" i="8"/>
  <c r="V646" i="8"/>
  <c r="N646" i="8"/>
  <c r="T646" i="8" s="1"/>
  <c r="L646" i="8"/>
  <c r="V645" i="8"/>
  <c r="N645" i="8"/>
  <c r="T645" i="8" s="1"/>
  <c r="L645" i="8"/>
  <c r="V644" i="8"/>
  <c r="N644" i="8"/>
  <c r="T644" i="8" s="1"/>
  <c r="L644" i="8"/>
  <c r="V643" i="8"/>
  <c r="N643" i="8"/>
  <c r="T643" i="8" s="1"/>
  <c r="L643" i="8"/>
  <c r="V642" i="8"/>
  <c r="N642" i="8"/>
  <c r="T642" i="8" s="1"/>
  <c r="L642" i="8"/>
  <c r="V641" i="8"/>
  <c r="N641" i="8"/>
  <c r="T641" i="8" s="1"/>
  <c r="L641" i="8"/>
  <c r="V640" i="8"/>
  <c r="N640" i="8"/>
  <c r="T640" i="8" s="1"/>
  <c r="L640" i="8"/>
  <c r="V639" i="8"/>
  <c r="N639" i="8"/>
  <c r="T639" i="8" s="1"/>
  <c r="L639" i="8"/>
  <c r="V638" i="8"/>
  <c r="N638" i="8"/>
  <c r="T638" i="8" s="1"/>
  <c r="L638" i="8"/>
  <c r="V637" i="8"/>
  <c r="N637" i="8"/>
  <c r="T637" i="8" s="1"/>
  <c r="L637" i="8"/>
  <c r="V636" i="8"/>
  <c r="N636" i="8"/>
  <c r="T636" i="8" s="1"/>
  <c r="L636" i="8"/>
  <c r="V635" i="8"/>
  <c r="N635" i="8"/>
  <c r="T635" i="8" s="1"/>
  <c r="L635" i="8"/>
  <c r="V634" i="8"/>
  <c r="N634" i="8"/>
  <c r="T634" i="8" s="1"/>
  <c r="L634" i="8"/>
  <c r="V633" i="8"/>
  <c r="N633" i="8"/>
  <c r="T633" i="8" s="1"/>
  <c r="L633" i="8"/>
  <c r="V632" i="8"/>
  <c r="N632" i="8"/>
  <c r="T632" i="8" s="1"/>
  <c r="L632" i="8"/>
  <c r="V631" i="8"/>
  <c r="N631" i="8"/>
  <c r="T631" i="8" s="1"/>
  <c r="L631" i="8"/>
  <c r="V630" i="8"/>
  <c r="N630" i="8"/>
  <c r="T630" i="8" s="1"/>
  <c r="L630" i="8"/>
  <c r="V629" i="8"/>
  <c r="N629" i="8"/>
  <c r="T629" i="8" s="1"/>
  <c r="L629" i="8"/>
  <c r="V628" i="8"/>
  <c r="N628" i="8"/>
  <c r="T628" i="8" s="1"/>
  <c r="L628" i="8"/>
  <c r="V627" i="8"/>
  <c r="N627" i="8"/>
  <c r="T627" i="8" s="1"/>
  <c r="L627" i="8"/>
  <c r="V626" i="8"/>
  <c r="N626" i="8"/>
  <c r="T626" i="8" s="1"/>
  <c r="L626" i="8"/>
  <c r="V625" i="8"/>
  <c r="N625" i="8"/>
  <c r="T625" i="8" s="1"/>
  <c r="L625" i="8"/>
  <c r="V624" i="8"/>
  <c r="N624" i="8"/>
  <c r="T624" i="8" s="1"/>
  <c r="L624" i="8"/>
  <c r="V623" i="8"/>
  <c r="N623" i="8"/>
  <c r="T623" i="8" s="1"/>
  <c r="L623" i="8"/>
  <c r="V622" i="8"/>
  <c r="N622" i="8"/>
  <c r="T622" i="8" s="1"/>
  <c r="L622" i="8"/>
  <c r="V621" i="8"/>
  <c r="N621" i="8"/>
  <c r="T621" i="8" s="1"/>
  <c r="L621" i="8"/>
  <c r="V620" i="8"/>
  <c r="N620" i="8"/>
  <c r="T620" i="8" s="1"/>
  <c r="L620" i="8"/>
  <c r="V619" i="8"/>
  <c r="N619" i="8"/>
  <c r="T619" i="8" s="1"/>
  <c r="L619" i="8"/>
  <c r="V618" i="8"/>
  <c r="N618" i="8"/>
  <c r="T618" i="8" s="1"/>
  <c r="L618" i="8"/>
  <c r="V617" i="8"/>
  <c r="N617" i="8"/>
  <c r="T617" i="8" s="1"/>
  <c r="L617" i="8"/>
  <c r="V616" i="8"/>
  <c r="N616" i="8"/>
  <c r="T616" i="8" s="1"/>
  <c r="L616" i="8"/>
  <c r="V615" i="8"/>
  <c r="N615" i="8"/>
  <c r="T615" i="8" s="1"/>
  <c r="L615" i="8"/>
  <c r="V614" i="8"/>
  <c r="N614" i="8"/>
  <c r="T614" i="8" s="1"/>
  <c r="L614" i="8"/>
  <c r="V613" i="8"/>
  <c r="N613" i="8"/>
  <c r="T613" i="8" s="1"/>
  <c r="L613" i="8"/>
  <c r="V612" i="8"/>
  <c r="N612" i="8"/>
  <c r="T612" i="8" s="1"/>
  <c r="L612" i="8"/>
  <c r="V611" i="8"/>
  <c r="N611" i="8"/>
  <c r="T611" i="8" s="1"/>
  <c r="L611" i="8"/>
  <c r="V610" i="8"/>
  <c r="N610" i="8"/>
  <c r="T610" i="8" s="1"/>
  <c r="L610" i="8"/>
  <c r="V609" i="8"/>
  <c r="N609" i="8"/>
  <c r="T609" i="8" s="1"/>
  <c r="L609" i="8"/>
  <c r="V608" i="8"/>
  <c r="N608" i="8"/>
  <c r="T608" i="8" s="1"/>
  <c r="L608" i="8"/>
  <c r="V607" i="8"/>
  <c r="N607" i="8"/>
  <c r="T607" i="8" s="1"/>
  <c r="L607" i="8"/>
  <c r="V606" i="8"/>
  <c r="N606" i="8"/>
  <c r="T606" i="8" s="1"/>
  <c r="L606" i="8"/>
  <c r="V605" i="8"/>
  <c r="N605" i="8"/>
  <c r="T605" i="8" s="1"/>
  <c r="L605" i="8"/>
  <c r="V604" i="8"/>
  <c r="N604" i="8"/>
  <c r="T604" i="8" s="1"/>
  <c r="L604" i="8"/>
  <c r="V603" i="8"/>
  <c r="N603" i="8"/>
  <c r="T603" i="8" s="1"/>
  <c r="L603" i="8"/>
  <c r="V602" i="8"/>
  <c r="N602" i="8"/>
  <c r="T602" i="8" s="1"/>
  <c r="L602" i="8"/>
  <c r="V601" i="8"/>
  <c r="N601" i="8"/>
  <c r="T601" i="8" s="1"/>
  <c r="L601" i="8"/>
  <c r="V600" i="8"/>
  <c r="N600" i="8"/>
  <c r="T600" i="8" s="1"/>
  <c r="L600" i="8"/>
  <c r="V599" i="8"/>
  <c r="N599" i="8"/>
  <c r="T599" i="8" s="1"/>
  <c r="L599" i="8"/>
  <c r="V598" i="8"/>
  <c r="N598" i="8"/>
  <c r="T598" i="8" s="1"/>
  <c r="L598" i="8"/>
  <c r="V597" i="8"/>
  <c r="N597" i="8"/>
  <c r="T597" i="8" s="1"/>
  <c r="L597" i="8"/>
  <c r="V596" i="8"/>
  <c r="N596" i="8"/>
  <c r="T596" i="8" s="1"/>
  <c r="L596" i="8"/>
  <c r="V595" i="8"/>
  <c r="N595" i="8"/>
  <c r="T595" i="8" s="1"/>
  <c r="L595" i="8"/>
  <c r="V594" i="8"/>
  <c r="N594" i="8"/>
  <c r="T594" i="8" s="1"/>
  <c r="L594" i="8"/>
  <c r="V593" i="8"/>
  <c r="N593" i="8"/>
  <c r="T593" i="8" s="1"/>
  <c r="L593" i="8"/>
  <c r="V592" i="8"/>
  <c r="N592" i="8"/>
  <c r="T592" i="8" s="1"/>
  <c r="L592" i="8"/>
  <c r="V591" i="8"/>
  <c r="N591" i="8"/>
  <c r="T591" i="8" s="1"/>
  <c r="L591" i="8"/>
  <c r="V590" i="8"/>
  <c r="N590" i="8"/>
  <c r="T590" i="8" s="1"/>
  <c r="L590" i="8"/>
  <c r="V589" i="8"/>
  <c r="N589" i="8"/>
  <c r="T589" i="8" s="1"/>
  <c r="L589" i="8"/>
  <c r="V588" i="8"/>
  <c r="N588" i="8"/>
  <c r="T588" i="8" s="1"/>
  <c r="L588" i="8"/>
  <c r="V587" i="8"/>
  <c r="N587" i="8"/>
  <c r="T587" i="8" s="1"/>
  <c r="L587" i="8"/>
  <c r="V586" i="8"/>
  <c r="N586" i="8"/>
  <c r="T586" i="8" s="1"/>
  <c r="L586" i="8"/>
  <c r="V585" i="8"/>
  <c r="N585" i="8"/>
  <c r="T585" i="8" s="1"/>
  <c r="L585" i="8"/>
  <c r="V584" i="8"/>
  <c r="N584" i="8"/>
  <c r="T584" i="8" s="1"/>
  <c r="L584" i="8"/>
  <c r="V583" i="8"/>
  <c r="N583" i="8"/>
  <c r="T583" i="8" s="1"/>
  <c r="L583" i="8"/>
  <c r="V582" i="8"/>
  <c r="N582" i="8"/>
  <c r="T582" i="8" s="1"/>
  <c r="L582" i="8"/>
  <c r="V581" i="8"/>
  <c r="N581" i="8"/>
  <c r="T581" i="8" s="1"/>
  <c r="L581" i="8"/>
  <c r="V580" i="8"/>
  <c r="N580" i="8"/>
  <c r="T580" i="8" s="1"/>
  <c r="L580" i="8"/>
  <c r="V579" i="8"/>
  <c r="N579" i="8"/>
  <c r="T579" i="8" s="1"/>
  <c r="L579" i="8"/>
  <c r="V578" i="8"/>
  <c r="N578" i="8"/>
  <c r="T578" i="8" s="1"/>
  <c r="L578" i="8"/>
  <c r="V577" i="8"/>
  <c r="N577" i="8"/>
  <c r="T577" i="8" s="1"/>
  <c r="L577" i="8"/>
  <c r="V576" i="8"/>
  <c r="N576" i="8"/>
  <c r="T576" i="8" s="1"/>
  <c r="L576" i="8"/>
  <c r="V575" i="8"/>
  <c r="N575" i="8"/>
  <c r="T575" i="8" s="1"/>
  <c r="L575" i="8"/>
  <c r="V574" i="8"/>
  <c r="N574" i="8"/>
  <c r="T574" i="8" s="1"/>
  <c r="L574" i="8"/>
  <c r="V573" i="8"/>
  <c r="N573" i="8"/>
  <c r="T573" i="8" s="1"/>
  <c r="L573" i="8"/>
  <c r="V572" i="8"/>
  <c r="N572" i="8"/>
  <c r="T572" i="8" s="1"/>
  <c r="L572" i="8"/>
  <c r="V571" i="8"/>
  <c r="N571" i="8"/>
  <c r="T571" i="8" s="1"/>
  <c r="L571" i="8"/>
  <c r="V570" i="8"/>
  <c r="N570" i="8"/>
  <c r="T570" i="8" s="1"/>
  <c r="L570" i="8"/>
  <c r="V569" i="8"/>
  <c r="N569" i="8"/>
  <c r="T569" i="8" s="1"/>
  <c r="L569" i="8"/>
  <c r="V568" i="8"/>
  <c r="N568" i="8"/>
  <c r="T568" i="8" s="1"/>
  <c r="L568" i="8"/>
  <c r="V567" i="8"/>
  <c r="N567" i="8"/>
  <c r="T567" i="8" s="1"/>
  <c r="L567" i="8"/>
  <c r="V566" i="8"/>
  <c r="N566" i="8"/>
  <c r="T566" i="8" s="1"/>
  <c r="L566" i="8"/>
  <c r="V565" i="8"/>
  <c r="N565" i="8"/>
  <c r="T565" i="8" s="1"/>
  <c r="L565" i="8"/>
  <c r="V564" i="8"/>
  <c r="N564" i="8"/>
  <c r="T564" i="8" s="1"/>
  <c r="L564" i="8"/>
  <c r="V563" i="8"/>
  <c r="N563" i="8"/>
  <c r="T563" i="8" s="1"/>
  <c r="L563" i="8"/>
  <c r="V562" i="8"/>
  <c r="N562" i="8"/>
  <c r="T562" i="8" s="1"/>
  <c r="L562" i="8"/>
  <c r="V561" i="8"/>
  <c r="N561" i="8"/>
  <c r="T561" i="8" s="1"/>
  <c r="L561" i="8"/>
  <c r="V560" i="8"/>
  <c r="N560" i="8"/>
  <c r="T560" i="8" s="1"/>
  <c r="L560" i="8"/>
  <c r="N559" i="8"/>
  <c r="L559" i="8"/>
  <c r="N558" i="8"/>
  <c r="L558" i="8"/>
  <c r="N557" i="8"/>
  <c r="L557" i="8"/>
  <c r="N556" i="8"/>
  <c r="L556" i="8"/>
  <c r="N555" i="8"/>
  <c r="L555" i="8"/>
  <c r="N554" i="8"/>
  <c r="L554" i="8"/>
  <c r="N553" i="8"/>
  <c r="L553" i="8"/>
  <c r="N552" i="8"/>
  <c r="L552" i="8"/>
  <c r="N551" i="8"/>
  <c r="L551" i="8"/>
  <c r="N550" i="8"/>
  <c r="L550" i="8"/>
  <c r="N549" i="8"/>
  <c r="L549" i="8"/>
  <c r="N548" i="8"/>
  <c r="L548" i="8"/>
  <c r="N547" i="8"/>
  <c r="L547" i="8"/>
  <c r="N546" i="8"/>
  <c r="L546" i="8"/>
  <c r="N545" i="8"/>
  <c r="L545" i="8"/>
  <c r="N544" i="8"/>
  <c r="L544" i="8"/>
  <c r="N543" i="8"/>
  <c r="L543" i="8"/>
  <c r="N542" i="8"/>
  <c r="L542" i="8"/>
  <c r="N541" i="8"/>
  <c r="L541" i="8"/>
  <c r="N540" i="8"/>
  <c r="L540" i="8"/>
  <c r="N539" i="8"/>
  <c r="L539" i="8"/>
  <c r="N538" i="8"/>
  <c r="L538" i="8"/>
  <c r="N537" i="8"/>
  <c r="L537" i="8"/>
  <c r="N536" i="8"/>
  <c r="L536" i="8"/>
  <c r="N535" i="8"/>
  <c r="L535" i="8"/>
  <c r="N534" i="8"/>
  <c r="L534" i="8"/>
  <c r="N533" i="8"/>
  <c r="L533" i="8"/>
  <c r="N532" i="8"/>
  <c r="L532" i="8"/>
  <c r="N531" i="8"/>
  <c r="L531" i="8"/>
  <c r="N530" i="8"/>
  <c r="L530" i="8"/>
  <c r="N529" i="8"/>
  <c r="L529" i="8"/>
  <c r="N528" i="8"/>
  <c r="L528" i="8"/>
  <c r="N527" i="8"/>
  <c r="L527" i="8"/>
  <c r="N526" i="8"/>
  <c r="L526" i="8"/>
  <c r="N525" i="8"/>
  <c r="L525" i="8"/>
  <c r="N524" i="8"/>
  <c r="L524" i="8"/>
  <c r="N523" i="8"/>
  <c r="L523" i="8"/>
  <c r="N522" i="8"/>
  <c r="L522" i="8"/>
  <c r="N521" i="8"/>
  <c r="L521" i="8"/>
  <c r="N520" i="8"/>
  <c r="L520" i="8"/>
  <c r="N519" i="8"/>
  <c r="L519" i="8"/>
  <c r="N518" i="8"/>
  <c r="L518" i="8"/>
  <c r="N517" i="8"/>
  <c r="L517" i="8"/>
  <c r="N516" i="8"/>
  <c r="L516" i="8"/>
  <c r="N515" i="8"/>
  <c r="L515" i="8"/>
  <c r="N514" i="8"/>
  <c r="L514" i="8"/>
  <c r="N513" i="8"/>
  <c r="L513" i="8"/>
  <c r="N512" i="8"/>
  <c r="L512" i="8"/>
  <c r="N511" i="8"/>
  <c r="L511" i="8"/>
  <c r="N510" i="8"/>
  <c r="L510" i="8"/>
  <c r="N509" i="8"/>
  <c r="L509" i="8"/>
  <c r="N508" i="8"/>
  <c r="L508" i="8"/>
  <c r="N507" i="8"/>
  <c r="L507" i="8"/>
  <c r="N506" i="8"/>
  <c r="L506" i="8"/>
  <c r="N505" i="8"/>
  <c r="L505" i="8"/>
  <c r="N504" i="8"/>
  <c r="L504" i="8"/>
  <c r="N503" i="8"/>
  <c r="L503" i="8"/>
  <c r="N502" i="8"/>
  <c r="L502" i="8"/>
  <c r="N501" i="8"/>
  <c r="L501" i="8"/>
  <c r="N500" i="8"/>
  <c r="L500" i="8"/>
  <c r="N499" i="8"/>
  <c r="L499" i="8"/>
  <c r="N498" i="8"/>
  <c r="L498" i="8"/>
  <c r="N497" i="8"/>
  <c r="L497" i="8"/>
  <c r="N496" i="8"/>
  <c r="L496" i="8"/>
  <c r="N495" i="8"/>
  <c r="L495" i="8"/>
  <c r="N494" i="8"/>
  <c r="L494" i="8"/>
  <c r="N493" i="8"/>
  <c r="L493" i="8"/>
  <c r="N492" i="8"/>
  <c r="L492" i="8"/>
  <c r="N491" i="8"/>
  <c r="L491" i="8"/>
  <c r="N490" i="8"/>
  <c r="L490" i="8"/>
  <c r="N489" i="8"/>
  <c r="L489" i="8"/>
  <c r="N488" i="8"/>
  <c r="L488" i="8"/>
  <c r="N487" i="8"/>
  <c r="L487" i="8"/>
  <c r="N486" i="8"/>
  <c r="L486" i="8"/>
  <c r="N485" i="8"/>
  <c r="L485" i="8"/>
  <c r="N484" i="8"/>
  <c r="L484" i="8"/>
  <c r="N483" i="8"/>
  <c r="L483" i="8"/>
  <c r="N482" i="8"/>
  <c r="L482" i="8"/>
  <c r="N481" i="8"/>
  <c r="L481" i="8"/>
  <c r="N480" i="8"/>
  <c r="L480" i="8"/>
  <c r="N479" i="8"/>
  <c r="L479" i="8"/>
  <c r="N478" i="8"/>
  <c r="L478" i="8"/>
  <c r="N477" i="8"/>
  <c r="L477" i="8"/>
  <c r="N476" i="8"/>
  <c r="L476" i="8"/>
  <c r="N475" i="8"/>
  <c r="L475" i="8"/>
  <c r="N474" i="8"/>
  <c r="L474" i="8"/>
  <c r="N473" i="8"/>
  <c r="L473" i="8"/>
  <c r="N472" i="8"/>
  <c r="L472" i="8"/>
  <c r="N471" i="8"/>
  <c r="L471" i="8"/>
  <c r="N470" i="8"/>
  <c r="L470" i="8"/>
  <c r="N469" i="8"/>
  <c r="L469" i="8"/>
  <c r="N468" i="8"/>
  <c r="L468" i="8"/>
  <c r="N467" i="8"/>
  <c r="L467" i="8"/>
  <c r="N466" i="8"/>
  <c r="L466" i="8"/>
  <c r="N465" i="8"/>
  <c r="L465" i="8"/>
  <c r="N464" i="8"/>
  <c r="L464" i="8"/>
  <c r="N463" i="8"/>
  <c r="L463" i="8"/>
  <c r="N462" i="8"/>
  <c r="L462" i="8"/>
  <c r="N461" i="8"/>
  <c r="L461" i="8"/>
  <c r="N460" i="8"/>
  <c r="L460" i="8"/>
  <c r="N459" i="8"/>
  <c r="L459" i="8"/>
  <c r="N458" i="8"/>
  <c r="L458" i="8"/>
  <c r="N457" i="8"/>
  <c r="L457" i="8"/>
  <c r="N456" i="8"/>
  <c r="L456" i="8"/>
  <c r="N455" i="8"/>
  <c r="L455" i="8"/>
  <c r="N454" i="8"/>
  <c r="L454" i="8"/>
  <c r="N453" i="8"/>
  <c r="L453" i="8"/>
  <c r="N452" i="8"/>
  <c r="L452" i="8"/>
  <c r="N451" i="8"/>
  <c r="L451" i="8"/>
  <c r="N450" i="8"/>
  <c r="L450" i="8"/>
  <c r="N449" i="8"/>
  <c r="L449" i="8"/>
  <c r="N448" i="8"/>
  <c r="L448" i="8"/>
  <c r="N447" i="8"/>
  <c r="L447" i="8"/>
  <c r="N446" i="8"/>
  <c r="L446" i="8"/>
  <c r="N445" i="8"/>
  <c r="L445" i="8"/>
  <c r="N444" i="8"/>
  <c r="L444" i="8"/>
  <c r="N443" i="8"/>
  <c r="L443" i="8"/>
  <c r="N442" i="8"/>
  <c r="L442" i="8"/>
  <c r="N441" i="8"/>
  <c r="L441" i="8"/>
  <c r="N440" i="8"/>
  <c r="L440" i="8"/>
  <c r="N439" i="8"/>
  <c r="L439" i="8"/>
  <c r="N438" i="8"/>
  <c r="L438" i="8"/>
  <c r="N437" i="8"/>
  <c r="L437" i="8"/>
  <c r="N436" i="8"/>
  <c r="L436" i="8"/>
  <c r="N435" i="8"/>
  <c r="L435" i="8"/>
  <c r="N434" i="8"/>
  <c r="L434" i="8"/>
  <c r="N433" i="8"/>
  <c r="L433" i="8"/>
  <c r="N432" i="8"/>
  <c r="L432" i="8"/>
  <c r="N431" i="8"/>
  <c r="L431" i="8"/>
  <c r="N430" i="8"/>
  <c r="L430" i="8"/>
  <c r="N429" i="8"/>
  <c r="L429" i="8"/>
  <c r="N428" i="8"/>
  <c r="L428" i="8"/>
  <c r="N427" i="8"/>
  <c r="L427" i="8"/>
  <c r="N426" i="8"/>
  <c r="L426" i="8"/>
  <c r="N425" i="8"/>
  <c r="L425" i="8"/>
  <c r="N424" i="8"/>
  <c r="L424" i="8"/>
  <c r="N423" i="8"/>
  <c r="L423" i="8"/>
  <c r="N422" i="8"/>
  <c r="L422" i="8"/>
  <c r="N421" i="8"/>
  <c r="L421" i="8"/>
  <c r="N420" i="8"/>
  <c r="L420" i="8"/>
  <c r="N419" i="8"/>
  <c r="L419" i="8"/>
  <c r="N418" i="8"/>
  <c r="L418" i="8"/>
  <c r="N417" i="8"/>
  <c r="L417" i="8"/>
  <c r="N416" i="8"/>
  <c r="L416" i="8"/>
  <c r="N415" i="8"/>
  <c r="L415" i="8"/>
  <c r="N414" i="8"/>
  <c r="L414" i="8"/>
  <c r="N413" i="8"/>
  <c r="L413" i="8"/>
  <c r="N412" i="8"/>
  <c r="L412" i="8"/>
  <c r="N411" i="8"/>
  <c r="L411" i="8"/>
  <c r="N410" i="8"/>
  <c r="L410" i="8"/>
  <c r="N409" i="8"/>
  <c r="L409" i="8"/>
  <c r="N408" i="8"/>
  <c r="L408" i="8"/>
  <c r="N407" i="8"/>
  <c r="L407" i="8"/>
  <c r="N406" i="8"/>
  <c r="L406" i="8"/>
  <c r="N405" i="8"/>
  <c r="L405" i="8"/>
  <c r="N404" i="8"/>
  <c r="L404" i="8"/>
  <c r="N403" i="8"/>
  <c r="L403" i="8"/>
  <c r="N402" i="8"/>
  <c r="L402" i="8"/>
  <c r="N401" i="8"/>
  <c r="L401" i="8"/>
  <c r="N400" i="8"/>
  <c r="L400" i="8"/>
  <c r="N399" i="8"/>
  <c r="L399" i="8"/>
  <c r="N398" i="8"/>
  <c r="L398" i="8"/>
  <c r="N397" i="8"/>
  <c r="L397" i="8"/>
  <c r="N396" i="8"/>
  <c r="L396" i="8"/>
  <c r="N395" i="8"/>
  <c r="L395" i="8"/>
  <c r="N394" i="8"/>
  <c r="L394" i="8"/>
  <c r="N393" i="8"/>
  <c r="L393" i="8"/>
  <c r="N392" i="8"/>
  <c r="L392" i="8"/>
  <c r="N391" i="8"/>
  <c r="L391" i="8"/>
  <c r="N390" i="8"/>
  <c r="L390" i="8"/>
  <c r="N389" i="8"/>
  <c r="L389" i="8"/>
  <c r="N388" i="8"/>
  <c r="L388" i="8"/>
  <c r="N387" i="8"/>
  <c r="L387" i="8"/>
  <c r="N386" i="8"/>
  <c r="L386" i="8"/>
  <c r="N385" i="8"/>
  <c r="L385" i="8"/>
  <c r="N384" i="8"/>
  <c r="L384" i="8"/>
  <c r="N383" i="8"/>
  <c r="L383" i="8"/>
  <c r="N382" i="8"/>
  <c r="L382" i="8"/>
  <c r="N381" i="8"/>
  <c r="L381" i="8"/>
  <c r="N380" i="8"/>
  <c r="L380" i="8"/>
  <c r="N379" i="8"/>
  <c r="L379" i="8"/>
  <c r="N378" i="8"/>
  <c r="L378" i="8"/>
  <c r="N377" i="8"/>
  <c r="L377" i="8"/>
  <c r="N376" i="8"/>
  <c r="L376" i="8"/>
  <c r="N375" i="8"/>
  <c r="L375" i="8"/>
  <c r="N374" i="8"/>
  <c r="L374" i="8"/>
  <c r="N373" i="8"/>
  <c r="L373" i="8"/>
  <c r="N372" i="8"/>
  <c r="L372" i="8"/>
  <c r="N371" i="8"/>
  <c r="L371" i="8"/>
  <c r="N370" i="8"/>
  <c r="L370" i="8"/>
  <c r="N369" i="8"/>
  <c r="L369" i="8"/>
  <c r="N368" i="8"/>
  <c r="L368" i="8"/>
  <c r="N367" i="8"/>
  <c r="L367" i="8"/>
  <c r="N366" i="8"/>
  <c r="L366" i="8"/>
  <c r="N365" i="8"/>
  <c r="L365" i="8"/>
  <c r="N364" i="8"/>
  <c r="L364" i="8"/>
  <c r="N363" i="8"/>
  <c r="L363" i="8"/>
  <c r="N362" i="8"/>
  <c r="L362" i="8"/>
  <c r="N361" i="8"/>
  <c r="L361" i="8"/>
  <c r="N360" i="8"/>
  <c r="L360" i="8"/>
  <c r="N359" i="8"/>
  <c r="L359" i="8"/>
  <c r="N358" i="8"/>
  <c r="L358" i="8"/>
  <c r="N357" i="8"/>
  <c r="L357" i="8"/>
  <c r="N356" i="8"/>
  <c r="L356" i="8"/>
  <c r="N355" i="8"/>
  <c r="L355" i="8"/>
  <c r="N354" i="8"/>
  <c r="L354" i="8"/>
  <c r="N353" i="8"/>
  <c r="L353" i="8"/>
  <c r="N352" i="8"/>
  <c r="L352" i="8"/>
  <c r="N351" i="8"/>
  <c r="L351" i="8"/>
  <c r="N350" i="8"/>
  <c r="L350" i="8"/>
  <c r="N349" i="8"/>
  <c r="L349" i="8"/>
  <c r="N348" i="8"/>
  <c r="L348" i="8"/>
  <c r="N347" i="8"/>
  <c r="L347" i="8"/>
  <c r="N346" i="8"/>
  <c r="L346" i="8"/>
  <c r="N345" i="8"/>
  <c r="L345" i="8"/>
  <c r="N344" i="8"/>
  <c r="L344" i="8"/>
  <c r="N343" i="8"/>
  <c r="L343" i="8"/>
  <c r="N342" i="8"/>
  <c r="L342" i="8"/>
  <c r="N341" i="8"/>
  <c r="L341" i="8"/>
  <c r="N340" i="8"/>
  <c r="L340" i="8"/>
  <c r="N339" i="8"/>
  <c r="L339" i="8"/>
  <c r="N338" i="8"/>
  <c r="L338" i="8"/>
  <c r="N337" i="8"/>
  <c r="L337" i="8"/>
  <c r="N336" i="8"/>
  <c r="L336" i="8"/>
  <c r="N335" i="8"/>
  <c r="L335" i="8"/>
  <c r="N334" i="8"/>
  <c r="L334" i="8"/>
  <c r="N333" i="8"/>
  <c r="L333" i="8"/>
  <c r="N332" i="8"/>
  <c r="L332" i="8"/>
  <c r="N331" i="8"/>
  <c r="L331" i="8"/>
  <c r="N330" i="8"/>
  <c r="L330" i="8"/>
  <c r="N329" i="8"/>
  <c r="L329" i="8"/>
  <c r="N328" i="8"/>
  <c r="L328" i="8"/>
  <c r="N327" i="8"/>
  <c r="L327" i="8"/>
  <c r="N326" i="8"/>
  <c r="L326" i="8"/>
  <c r="N325" i="8"/>
  <c r="L325" i="8"/>
  <c r="N324" i="8"/>
  <c r="L324" i="8"/>
  <c r="N323" i="8"/>
  <c r="L323" i="8"/>
  <c r="N322" i="8"/>
  <c r="L322" i="8"/>
  <c r="N321" i="8"/>
  <c r="L321" i="8"/>
  <c r="N320" i="8"/>
  <c r="L320" i="8"/>
  <c r="N319" i="8"/>
  <c r="L319" i="8"/>
  <c r="N318" i="8"/>
  <c r="L318" i="8"/>
  <c r="N317" i="8"/>
  <c r="L317" i="8"/>
  <c r="N316" i="8"/>
  <c r="L316" i="8"/>
  <c r="N315" i="8"/>
  <c r="L315" i="8"/>
  <c r="N314" i="8"/>
  <c r="L314" i="8"/>
  <c r="N313" i="8"/>
  <c r="L313" i="8"/>
  <c r="N312" i="8"/>
  <c r="L312" i="8"/>
  <c r="N311" i="8"/>
  <c r="L311" i="8"/>
  <c r="N310" i="8"/>
  <c r="L310" i="8"/>
  <c r="N309" i="8"/>
  <c r="L309" i="8"/>
  <c r="N308" i="8"/>
  <c r="L308" i="8"/>
  <c r="N307" i="8"/>
  <c r="L307" i="8"/>
  <c r="N306" i="8"/>
  <c r="L306" i="8"/>
  <c r="N305" i="8"/>
  <c r="L305" i="8"/>
  <c r="N304" i="8"/>
  <c r="L304" i="8"/>
  <c r="N303" i="8"/>
  <c r="L303" i="8"/>
  <c r="N302" i="8"/>
  <c r="L302" i="8"/>
  <c r="N301" i="8"/>
  <c r="L301" i="8"/>
  <c r="N300" i="8"/>
  <c r="L300" i="8"/>
  <c r="N299" i="8"/>
  <c r="L299" i="8"/>
  <c r="N298" i="8"/>
  <c r="L298" i="8"/>
  <c r="N297" i="8"/>
  <c r="L297" i="8"/>
  <c r="N296" i="8"/>
  <c r="L296" i="8"/>
  <c r="N295" i="8"/>
  <c r="L295" i="8"/>
  <c r="N294" i="8"/>
  <c r="L294" i="8"/>
  <c r="N293" i="8"/>
  <c r="L293" i="8"/>
  <c r="N292" i="8"/>
  <c r="L292" i="8"/>
  <c r="N291" i="8"/>
  <c r="L291" i="8"/>
  <c r="N290" i="8"/>
  <c r="L290" i="8"/>
  <c r="N289" i="8"/>
  <c r="L289" i="8"/>
  <c r="N288" i="8"/>
  <c r="L288" i="8"/>
  <c r="N287" i="8"/>
  <c r="L287" i="8"/>
  <c r="N286" i="8"/>
  <c r="L286" i="8"/>
  <c r="N285" i="8"/>
  <c r="L285" i="8"/>
  <c r="N284" i="8"/>
  <c r="L284" i="8"/>
  <c r="N283" i="8"/>
  <c r="L283" i="8"/>
  <c r="N282" i="8"/>
  <c r="L282" i="8"/>
  <c r="N281" i="8"/>
  <c r="L281" i="8"/>
  <c r="N280" i="8"/>
  <c r="L280" i="8"/>
  <c r="N279" i="8"/>
  <c r="L279" i="8"/>
  <c r="N278" i="8"/>
  <c r="L278" i="8"/>
  <c r="N277" i="8"/>
  <c r="L277" i="8"/>
  <c r="N276" i="8"/>
  <c r="L276" i="8"/>
  <c r="N275" i="8"/>
  <c r="L275" i="8"/>
  <c r="N274" i="8"/>
  <c r="L274" i="8"/>
  <c r="N273" i="8"/>
  <c r="L273" i="8"/>
  <c r="N272" i="8"/>
  <c r="L272" i="8"/>
  <c r="N271" i="8"/>
  <c r="L271" i="8"/>
  <c r="N270" i="8"/>
  <c r="L270" i="8"/>
  <c r="N269" i="8"/>
  <c r="L269" i="8"/>
  <c r="N268" i="8"/>
  <c r="L268" i="8"/>
  <c r="N267" i="8"/>
  <c r="L267" i="8"/>
  <c r="N266" i="8"/>
  <c r="L266" i="8"/>
  <c r="N265" i="8"/>
  <c r="L265" i="8"/>
  <c r="N264" i="8"/>
  <c r="L264" i="8"/>
  <c r="N263" i="8"/>
  <c r="L263" i="8"/>
  <c r="N262" i="8"/>
  <c r="L262" i="8"/>
  <c r="N261" i="8"/>
  <c r="L261" i="8"/>
  <c r="N260" i="8"/>
  <c r="L260" i="8"/>
  <c r="N259" i="8"/>
  <c r="L259" i="8"/>
  <c r="N258" i="8"/>
  <c r="L258" i="8"/>
  <c r="N257" i="8"/>
  <c r="L257" i="8"/>
  <c r="N256" i="8"/>
  <c r="L256" i="8"/>
  <c r="N255" i="8"/>
  <c r="L255" i="8"/>
  <c r="N254" i="8"/>
  <c r="L254" i="8"/>
  <c r="N253" i="8"/>
  <c r="L253" i="8"/>
  <c r="N252" i="8"/>
  <c r="L252" i="8"/>
  <c r="N251" i="8"/>
  <c r="L251" i="8"/>
  <c r="N250" i="8"/>
  <c r="L250" i="8"/>
  <c r="N249" i="8"/>
  <c r="L249" i="8"/>
  <c r="N248" i="8"/>
  <c r="L248" i="8"/>
  <c r="N247" i="8"/>
  <c r="L247" i="8"/>
  <c r="N246" i="8"/>
  <c r="L246" i="8"/>
  <c r="N245" i="8"/>
  <c r="L245" i="8"/>
  <c r="N244" i="8"/>
  <c r="L244" i="8"/>
  <c r="N243" i="8"/>
  <c r="L243" i="8"/>
  <c r="N242" i="8"/>
  <c r="L242" i="8"/>
  <c r="N241" i="8"/>
  <c r="L241" i="8"/>
  <c r="N240" i="8"/>
  <c r="L240" i="8"/>
  <c r="N239" i="8"/>
  <c r="L239" i="8"/>
  <c r="N238" i="8"/>
  <c r="L238" i="8"/>
  <c r="N237" i="8"/>
  <c r="L237" i="8"/>
  <c r="N236" i="8"/>
  <c r="L236" i="8"/>
  <c r="N235" i="8"/>
  <c r="L235" i="8"/>
  <c r="N234" i="8"/>
  <c r="L234" i="8"/>
  <c r="N233" i="8"/>
  <c r="L233" i="8"/>
  <c r="N232" i="8"/>
  <c r="L232" i="8"/>
  <c r="N231" i="8"/>
  <c r="L231" i="8"/>
  <c r="N230" i="8"/>
  <c r="L230" i="8"/>
  <c r="N229" i="8"/>
  <c r="L229" i="8"/>
  <c r="N228" i="8"/>
  <c r="L228" i="8"/>
  <c r="N227" i="8"/>
  <c r="L227" i="8"/>
  <c r="N226" i="8"/>
  <c r="L226" i="8"/>
  <c r="N225" i="8"/>
  <c r="L225" i="8"/>
  <c r="N224" i="8"/>
  <c r="L224" i="8"/>
  <c r="N223" i="8"/>
  <c r="L223" i="8"/>
  <c r="N222" i="8"/>
  <c r="L222" i="8"/>
  <c r="N221" i="8"/>
  <c r="L221" i="8"/>
  <c r="N220" i="8"/>
  <c r="L220" i="8"/>
  <c r="N219" i="8"/>
  <c r="L219" i="8"/>
  <c r="N218" i="8"/>
  <c r="L218" i="8"/>
  <c r="N217" i="8"/>
  <c r="L217" i="8"/>
  <c r="N216" i="8"/>
  <c r="L216" i="8"/>
  <c r="N215" i="8"/>
  <c r="L215" i="8"/>
  <c r="N214" i="8"/>
  <c r="L214" i="8"/>
  <c r="N213" i="8"/>
  <c r="L213" i="8"/>
  <c r="N212" i="8"/>
  <c r="L212" i="8"/>
  <c r="N211" i="8"/>
  <c r="L211" i="8"/>
  <c r="N210" i="8"/>
  <c r="L210" i="8"/>
  <c r="N209" i="8"/>
  <c r="L209" i="8"/>
  <c r="N208" i="8"/>
  <c r="L208" i="8"/>
  <c r="N207" i="8"/>
  <c r="L207" i="8"/>
  <c r="N206" i="8"/>
  <c r="L206" i="8"/>
  <c r="N205" i="8"/>
  <c r="L205" i="8"/>
  <c r="N204" i="8"/>
  <c r="L204" i="8"/>
  <c r="N203" i="8"/>
  <c r="L203" i="8"/>
  <c r="N202" i="8"/>
  <c r="L202" i="8"/>
  <c r="N201" i="8"/>
  <c r="L201" i="8"/>
  <c r="N200" i="8"/>
  <c r="L200" i="8"/>
  <c r="N199" i="8"/>
  <c r="L199" i="8"/>
  <c r="N198" i="8"/>
  <c r="L198" i="8"/>
  <c r="N197" i="8"/>
  <c r="L197" i="8"/>
  <c r="N196" i="8"/>
  <c r="L196" i="8"/>
  <c r="N195" i="8"/>
  <c r="L195" i="8"/>
  <c r="N194" i="8"/>
  <c r="L194" i="8"/>
  <c r="N193" i="8"/>
  <c r="L193" i="8"/>
  <c r="N192" i="8"/>
  <c r="L192" i="8"/>
  <c r="N191" i="8"/>
  <c r="L191" i="8"/>
  <c r="N190" i="8"/>
  <c r="L190" i="8"/>
  <c r="N189" i="8"/>
  <c r="L189" i="8"/>
  <c r="N188" i="8"/>
  <c r="L188" i="8"/>
  <c r="N187" i="8"/>
  <c r="L187" i="8"/>
  <c r="N186" i="8"/>
  <c r="L186" i="8"/>
  <c r="N185" i="8"/>
  <c r="L185" i="8"/>
  <c r="N184" i="8"/>
  <c r="L184" i="8"/>
  <c r="N183" i="8"/>
  <c r="L183" i="8"/>
  <c r="N182" i="8"/>
  <c r="L182" i="8"/>
  <c r="N181" i="8"/>
  <c r="L181" i="8"/>
  <c r="N180" i="8"/>
  <c r="L180" i="8"/>
  <c r="N179" i="8"/>
  <c r="L179" i="8"/>
  <c r="N178" i="8"/>
  <c r="L178" i="8"/>
  <c r="N177" i="8"/>
  <c r="L177" i="8"/>
  <c r="N176" i="8"/>
  <c r="L176" i="8"/>
  <c r="N175" i="8"/>
  <c r="L175" i="8"/>
  <c r="N174" i="8"/>
  <c r="L174" i="8"/>
  <c r="N173" i="8"/>
  <c r="L173" i="8"/>
  <c r="N172" i="8"/>
  <c r="L172" i="8"/>
  <c r="N171" i="8"/>
  <c r="L171" i="8"/>
  <c r="N170" i="8"/>
  <c r="L170" i="8"/>
  <c r="N169" i="8"/>
  <c r="L169" i="8"/>
  <c r="N168" i="8"/>
  <c r="L168" i="8"/>
  <c r="N167" i="8"/>
  <c r="L167" i="8"/>
  <c r="N166" i="8"/>
  <c r="L166" i="8"/>
  <c r="N165" i="8"/>
  <c r="L165" i="8"/>
  <c r="N164" i="8"/>
  <c r="L164" i="8"/>
  <c r="N163" i="8"/>
  <c r="L163" i="8"/>
  <c r="N162" i="8"/>
  <c r="L162" i="8"/>
  <c r="N161" i="8"/>
  <c r="L161" i="8"/>
  <c r="N160" i="8"/>
  <c r="L160" i="8"/>
  <c r="N159" i="8"/>
  <c r="L159" i="8"/>
  <c r="N158" i="8"/>
  <c r="L158" i="8"/>
  <c r="N157" i="8"/>
  <c r="L157" i="8"/>
  <c r="N156" i="8"/>
  <c r="L156" i="8"/>
  <c r="N155" i="8"/>
  <c r="L155" i="8"/>
  <c r="N154" i="8"/>
  <c r="L154" i="8"/>
  <c r="N153" i="8"/>
  <c r="L153" i="8"/>
  <c r="N152" i="8"/>
  <c r="L152" i="8"/>
  <c r="N151" i="8"/>
  <c r="L151" i="8"/>
  <c r="N150" i="8"/>
  <c r="L150" i="8"/>
  <c r="N149" i="8"/>
  <c r="L149" i="8"/>
  <c r="N148" i="8"/>
  <c r="L148" i="8"/>
  <c r="N147" i="8"/>
  <c r="L147" i="8"/>
  <c r="N146" i="8"/>
  <c r="L146" i="8"/>
  <c r="N145" i="8"/>
  <c r="L145" i="8"/>
  <c r="N144" i="8"/>
  <c r="L144" i="8"/>
  <c r="N143" i="8"/>
  <c r="L143" i="8"/>
  <c r="N142" i="8"/>
  <c r="L142" i="8"/>
  <c r="N141" i="8"/>
  <c r="L141" i="8"/>
  <c r="N140" i="8"/>
  <c r="L140" i="8"/>
  <c r="N139" i="8"/>
  <c r="L139" i="8"/>
  <c r="N138" i="8"/>
  <c r="L138" i="8"/>
  <c r="N137" i="8"/>
  <c r="L137" i="8"/>
  <c r="N136" i="8"/>
  <c r="L136" i="8"/>
  <c r="N135" i="8"/>
  <c r="L135" i="8"/>
  <c r="N134" i="8"/>
  <c r="L134" i="8"/>
  <c r="N133" i="8"/>
  <c r="L133" i="8"/>
  <c r="N132" i="8"/>
  <c r="L132" i="8"/>
  <c r="N131" i="8"/>
  <c r="L131" i="8"/>
  <c r="N130" i="8"/>
  <c r="L130" i="8"/>
  <c r="N129" i="8"/>
  <c r="L129" i="8"/>
  <c r="N128" i="8"/>
  <c r="L128" i="8"/>
  <c r="N127" i="8"/>
  <c r="L127" i="8"/>
  <c r="N126" i="8"/>
  <c r="L126" i="8"/>
  <c r="N125" i="8"/>
  <c r="L125" i="8"/>
  <c r="N124" i="8"/>
  <c r="L124" i="8"/>
  <c r="N123" i="8"/>
  <c r="L123" i="8"/>
  <c r="N122" i="8"/>
  <c r="L122" i="8"/>
  <c r="N121" i="8"/>
  <c r="L121" i="8"/>
  <c r="N120" i="8"/>
  <c r="L120" i="8"/>
  <c r="N119" i="8"/>
  <c r="L119" i="8"/>
  <c r="N118" i="8"/>
  <c r="L118" i="8"/>
  <c r="N117" i="8"/>
  <c r="L117" i="8"/>
  <c r="N116" i="8"/>
  <c r="L116" i="8"/>
  <c r="N115" i="8"/>
  <c r="L115" i="8"/>
  <c r="N114" i="8"/>
  <c r="L114" i="8"/>
  <c r="N113" i="8"/>
  <c r="L113" i="8"/>
  <c r="N112" i="8"/>
  <c r="L112" i="8"/>
  <c r="N111" i="8"/>
  <c r="L111" i="8"/>
  <c r="N110" i="8"/>
  <c r="L110" i="8"/>
  <c r="N109" i="8"/>
  <c r="L109" i="8"/>
  <c r="N108" i="8"/>
  <c r="L108" i="8"/>
  <c r="N107" i="8"/>
  <c r="L107" i="8"/>
  <c r="N106" i="8"/>
  <c r="L106" i="8"/>
  <c r="N105" i="8"/>
  <c r="L105" i="8"/>
  <c r="N104" i="8"/>
  <c r="L104" i="8"/>
  <c r="N103" i="8"/>
  <c r="L103" i="8"/>
  <c r="N102" i="8"/>
  <c r="L102" i="8"/>
  <c r="N101" i="8"/>
  <c r="L101" i="8"/>
  <c r="N100" i="8"/>
  <c r="L100" i="8"/>
  <c r="N99" i="8"/>
  <c r="L99" i="8"/>
  <c r="N98" i="8"/>
  <c r="L98" i="8"/>
  <c r="N97" i="8"/>
  <c r="L97" i="8"/>
  <c r="N96" i="8"/>
  <c r="L96" i="8"/>
  <c r="N95" i="8"/>
  <c r="T95" i="8" s="1"/>
  <c r="L95" i="8"/>
  <c r="N94" i="8"/>
  <c r="L94" i="8"/>
  <c r="N93" i="8"/>
  <c r="L93" i="8"/>
  <c r="N92" i="8"/>
  <c r="L92" i="8"/>
  <c r="N91" i="8"/>
  <c r="L91" i="8"/>
  <c r="N90" i="8"/>
  <c r="L90" i="8"/>
  <c r="N89" i="8"/>
  <c r="L89" i="8"/>
  <c r="N88" i="8"/>
  <c r="L88" i="8"/>
  <c r="N87" i="8"/>
  <c r="L87" i="8"/>
  <c r="N86" i="8"/>
  <c r="L86" i="8"/>
  <c r="N85" i="8"/>
  <c r="L85" i="8"/>
  <c r="N84" i="8"/>
  <c r="L84" i="8"/>
  <c r="N83" i="8"/>
  <c r="T83" i="8" s="1"/>
  <c r="L83" i="8"/>
  <c r="N82" i="8"/>
  <c r="L82" i="8"/>
  <c r="N81" i="8"/>
  <c r="L81" i="8"/>
  <c r="N80" i="8"/>
  <c r="L80" i="8"/>
  <c r="N79" i="8"/>
  <c r="L79" i="8"/>
  <c r="N78" i="8"/>
  <c r="L78" i="8"/>
  <c r="N77" i="8"/>
  <c r="L77" i="8"/>
  <c r="N76" i="8"/>
  <c r="L76" i="8"/>
  <c r="N75" i="8"/>
  <c r="L75" i="8"/>
  <c r="N74" i="8"/>
  <c r="L74" i="8"/>
  <c r="N73" i="8"/>
  <c r="L73" i="8"/>
  <c r="N72" i="8"/>
  <c r="L72" i="8"/>
  <c r="N71" i="8"/>
  <c r="L71" i="8"/>
  <c r="N70" i="8"/>
  <c r="L70" i="8"/>
  <c r="N69" i="8"/>
  <c r="L69" i="8"/>
  <c r="N68" i="8"/>
  <c r="T68" i="8" s="1"/>
  <c r="L68" i="8"/>
  <c r="N67" i="8"/>
  <c r="L67" i="8"/>
  <c r="N66" i="8"/>
  <c r="L66" i="8"/>
  <c r="N65" i="8"/>
  <c r="L65" i="8"/>
  <c r="N64" i="8"/>
  <c r="L64" i="8"/>
  <c r="N63" i="8"/>
  <c r="L63" i="8"/>
  <c r="N62" i="8"/>
  <c r="L62" i="8"/>
  <c r="N61" i="8"/>
  <c r="L61" i="8"/>
  <c r="N60" i="8"/>
  <c r="L60" i="8"/>
  <c r="N59" i="8"/>
  <c r="L59" i="8"/>
  <c r="N58" i="8"/>
  <c r="L58" i="8"/>
  <c r="N57" i="8"/>
  <c r="L57" i="8"/>
  <c r="N56" i="8"/>
  <c r="L56" i="8"/>
  <c r="N55" i="8"/>
  <c r="L55" i="8"/>
  <c r="N54" i="8"/>
  <c r="L54" i="8"/>
  <c r="N53" i="8"/>
  <c r="L53" i="8"/>
  <c r="N52" i="8"/>
  <c r="L52" i="8"/>
  <c r="N51" i="8"/>
  <c r="L51" i="8"/>
  <c r="N50" i="8"/>
  <c r="L50" i="8"/>
  <c r="N49" i="8"/>
  <c r="L49" i="8"/>
  <c r="N48" i="8"/>
  <c r="L48" i="8"/>
  <c r="N47" i="8"/>
  <c r="L47" i="8"/>
  <c r="N46" i="8"/>
  <c r="L46" i="8"/>
  <c r="N45" i="8"/>
  <c r="L45" i="8"/>
  <c r="N44" i="8"/>
  <c r="L44" i="8"/>
  <c r="N43" i="8"/>
  <c r="L43" i="8"/>
  <c r="N42" i="8"/>
  <c r="L42" i="8"/>
  <c r="N41" i="8"/>
  <c r="L41" i="8"/>
  <c r="N40" i="8"/>
  <c r="L40" i="8"/>
  <c r="N39" i="8"/>
  <c r="L39" i="8"/>
  <c r="N38" i="8"/>
  <c r="L38" i="8"/>
  <c r="N37" i="8"/>
  <c r="L37" i="8"/>
  <c r="N36" i="8"/>
  <c r="L36" i="8"/>
  <c r="N35" i="8"/>
  <c r="L35" i="8"/>
  <c r="N34" i="8"/>
  <c r="L34" i="8"/>
  <c r="N33" i="8"/>
  <c r="L33" i="8"/>
  <c r="N32" i="8"/>
  <c r="L32" i="8"/>
  <c r="N31" i="8"/>
  <c r="L31" i="8"/>
  <c r="N30" i="8"/>
  <c r="L30" i="8"/>
  <c r="N29" i="8"/>
  <c r="L29" i="8"/>
  <c r="N28" i="8"/>
  <c r="L28" i="8"/>
  <c r="N27" i="8"/>
  <c r="L27" i="8"/>
  <c r="N26" i="8"/>
  <c r="L26" i="8"/>
  <c r="N25" i="8"/>
  <c r="L25" i="8"/>
  <c r="N24" i="8"/>
  <c r="L24" i="8"/>
  <c r="N23" i="8"/>
  <c r="L23" i="8"/>
  <c r="N22" i="8"/>
  <c r="L22" i="8"/>
  <c r="N21" i="8"/>
  <c r="L21" i="8"/>
  <c r="N20" i="8"/>
  <c r="L20" i="8"/>
  <c r="N19" i="8"/>
  <c r="L19" i="8"/>
  <c r="N18" i="8"/>
  <c r="L18" i="8"/>
  <c r="N17" i="8"/>
  <c r="L17" i="8"/>
  <c r="N16" i="8"/>
  <c r="L16" i="8"/>
  <c r="N15" i="8"/>
  <c r="L15" i="8"/>
  <c r="N14" i="8"/>
  <c r="L14" i="8"/>
  <c r="N13" i="8"/>
  <c r="L13" i="8"/>
  <c r="N12" i="8"/>
  <c r="L12" i="8"/>
  <c r="N11" i="8"/>
  <c r="L11" i="8"/>
  <c r="N10" i="8"/>
  <c r="L10" i="8"/>
  <c r="N9" i="8"/>
  <c r="L9" i="8"/>
  <c r="N8" i="8"/>
  <c r="L8" i="8"/>
  <c r="N7" i="8"/>
  <c r="L7" i="8"/>
  <c r="N6" i="8"/>
  <c r="L6" i="8"/>
  <c r="N5" i="8"/>
  <c r="L5" i="8"/>
  <c r="N4" i="8"/>
  <c r="L4" i="8"/>
  <c r="N3" i="8"/>
  <c r="L3" i="8"/>
  <c r="N2" i="8"/>
  <c r="L2" i="8"/>
  <c r="M36" i="7"/>
  <c r="L36" i="7"/>
  <c r="K36" i="7"/>
  <c r="J36" i="7"/>
  <c r="M35" i="7"/>
  <c r="L35" i="7"/>
  <c r="K35" i="7"/>
  <c r="J35" i="7"/>
  <c r="M34" i="7"/>
  <c r="L34" i="7"/>
  <c r="K34" i="7"/>
  <c r="J34" i="7"/>
  <c r="V95" i="8" s="1"/>
  <c r="M33" i="7"/>
  <c r="L33" i="7"/>
  <c r="K33" i="7"/>
  <c r="J33" i="7"/>
  <c r="V83" i="8" s="1"/>
  <c r="M32" i="7"/>
  <c r="L32" i="7"/>
  <c r="K32" i="7"/>
  <c r="J32" i="7"/>
  <c r="M31" i="7"/>
  <c r="L31" i="7"/>
  <c r="K31" i="7"/>
  <c r="J31" i="7"/>
  <c r="M30" i="7"/>
  <c r="L30" i="7"/>
  <c r="K30" i="7"/>
  <c r="J30" i="7"/>
  <c r="M29" i="7"/>
  <c r="L29" i="7"/>
  <c r="K29" i="7"/>
  <c r="J29" i="7"/>
  <c r="V1119" i="8" s="1"/>
  <c r="M28" i="7"/>
  <c r="L28" i="7"/>
  <c r="K28" i="7"/>
  <c r="J28" i="7"/>
  <c r="V488" i="8" s="1"/>
  <c r="M27" i="7"/>
  <c r="L27" i="7"/>
  <c r="K27" i="7"/>
  <c r="J27" i="7"/>
  <c r="M26" i="7"/>
  <c r="L26" i="7"/>
  <c r="K26" i="7"/>
  <c r="J26" i="7"/>
  <c r="V257" i="8" s="1"/>
  <c r="M25" i="7"/>
  <c r="L25" i="7"/>
  <c r="K25" i="7"/>
  <c r="J25" i="7"/>
  <c r="M24" i="7"/>
  <c r="L24" i="7"/>
  <c r="K24" i="7"/>
  <c r="J24" i="7"/>
  <c r="V695" i="8" s="1"/>
  <c r="M23" i="7"/>
  <c r="L23" i="7"/>
  <c r="K23" i="7"/>
  <c r="J23" i="7"/>
  <c r="M22" i="7"/>
  <c r="L22" i="7"/>
  <c r="K22" i="7"/>
  <c r="J22" i="7"/>
  <c r="V1288" i="8" s="1"/>
  <c r="M21" i="7"/>
  <c r="L21" i="7"/>
  <c r="K21" i="7"/>
  <c r="J21" i="7"/>
  <c r="M20" i="7"/>
  <c r="L20" i="7"/>
  <c r="K20" i="7"/>
  <c r="J20" i="7"/>
  <c r="M19" i="7"/>
  <c r="L19" i="7"/>
  <c r="K19" i="7"/>
  <c r="J19" i="7"/>
  <c r="M18" i="7"/>
  <c r="L18" i="7"/>
  <c r="K18" i="7"/>
  <c r="J18" i="7"/>
  <c r="M17" i="7"/>
  <c r="L17" i="7"/>
  <c r="K17" i="7"/>
  <c r="J17" i="7"/>
  <c r="V68" i="8" s="1"/>
  <c r="M16" i="7"/>
  <c r="L16" i="7"/>
  <c r="K16" i="7"/>
  <c r="J16" i="7"/>
  <c r="V1506" i="8" s="1"/>
  <c r="T1506" i="8" s="1"/>
  <c r="M15" i="7"/>
  <c r="L15" i="7"/>
  <c r="K15" i="7"/>
  <c r="J15" i="7"/>
  <c r="M14" i="7"/>
  <c r="L14" i="7"/>
  <c r="K14" i="7"/>
  <c r="J14" i="7"/>
  <c r="V1014" i="8" s="1"/>
  <c r="M13" i="7"/>
  <c r="L13" i="7"/>
  <c r="K13" i="7"/>
  <c r="J13" i="7"/>
  <c r="M12" i="7"/>
  <c r="L12" i="7"/>
  <c r="K12" i="7"/>
  <c r="J12" i="7"/>
  <c r="V860" i="8" s="1"/>
  <c r="M11" i="7"/>
  <c r="L11" i="7"/>
  <c r="K11" i="7"/>
  <c r="J11" i="7"/>
  <c r="V1522" i="8" s="1"/>
  <c r="T1522" i="8" s="1"/>
  <c r="M10" i="7"/>
  <c r="L10" i="7"/>
  <c r="K10" i="7"/>
  <c r="J10" i="7"/>
  <c r="M9" i="7"/>
  <c r="L9" i="7"/>
  <c r="K9" i="7"/>
  <c r="J9" i="7"/>
  <c r="M8" i="7"/>
  <c r="L8" i="7"/>
  <c r="K8" i="7"/>
  <c r="J8" i="7"/>
  <c r="M7" i="7"/>
  <c r="L7" i="7"/>
  <c r="K7" i="7"/>
  <c r="J7" i="7"/>
  <c r="M6" i="7"/>
  <c r="L6" i="7"/>
  <c r="K6" i="7"/>
  <c r="J6" i="7"/>
  <c r="M5" i="7"/>
  <c r="L5" i="7"/>
  <c r="K5" i="7"/>
  <c r="J5" i="7"/>
  <c r="V776" i="8" s="1"/>
  <c r="M4" i="7"/>
  <c r="L4" i="7"/>
  <c r="K4" i="7"/>
  <c r="J4" i="7"/>
  <c r="V559" i="8" s="1"/>
  <c r="M3" i="7"/>
  <c r="L3" i="7"/>
  <c r="K3" i="7"/>
  <c r="J3" i="7"/>
  <c r="V407" i="8" s="1"/>
  <c r="A3" i="6"/>
  <c r="S137" i="5"/>
  <c r="H137" i="5"/>
  <c r="G137" i="5"/>
  <c r="F137" i="5"/>
  <c r="D137" i="5"/>
  <c r="C137" i="5"/>
  <c r="B137" i="5"/>
  <c r="A137" i="5"/>
  <c r="S136" i="5"/>
  <c r="H136" i="5"/>
  <c r="G136" i="5"/>
  <c r="F136" i="5"/>
  <c r="D136" i="5"/>
  <c r="C136" i="5"/>
  <c r="B136" i="5"/>
  <c r="A136" i="5"/>
  <c r="S135" i="5"/>
  <c r="H135" i="5"/>
  <c r="G135" i="5"/>
  <c r="F135" i="5"/>
  <c r="D135" i="5"/>
  <c r="C135" i="5"/>
  <c r="B135" i="5"/>
  <c r="Q135" i="5" s="1"/>
  <c r="A135" i="5"/>
  <c r="S134" i="5"/>
  <c r="H134" i="5"/>
  <c r="G134" i="5"/>
  <c r="F134" i="5"/>
  <c r="D134" i="5"/>
  <c r="C134" i="5"/>
  <c r="B134" i="5"/>
  <c r="Q134" i="5" s="1"/>
  <c r="A134" i="5"/>
  <c r="S133" i="5"/>
  <c r="H133" i="5"/>
  <c r="G133" i="5"/>
  <c r="F133" i="5"/>
  <c r="D133" i="5"/>
  <c r="C133" i="5"/>
  <c r="B133" i="5"/>
  <c r="A133" i="5"/>
  <c r="S132" i="5"/>
  <c r="H132" i="5"/>
  <c r="G132" i="5"/>
  <c r="F132" i="5"/>
  <c r="D132" i="5"/>
  <c r="C132" i="5"/>
  <c r="B132" i="5"/>
  <c r="A132" i="5"/>
  <c r="S131" i="5"/>
  <c r="H131" i="5"/>
  <c r="G131" i="5"/>
  <c r="F131" i="5"/>
  <c r="D131" i="5"/>
  <c r="C131" i="5"/>
  <c r="B131" i="5"/>
  <c r="A131" i="5"/>
  <c r="S130" i="5"/>
  <c r="H130" i="5"/>
  <c r="G130" i="5"/>
  <c r="F130" i="5"/>
  <c r="D130" i="5"/>
  <c r="C130" i="5"/>
  <c r="B130" i="5"/>
  <c r="A130" i="5"/>
  <c r="S129" i="5"/>
  <c r="H129" i="5"/>
  <c r="G129" i="5"/>
  <c r="F129" i="5"/>
  <c r="D129" i="5"/>
  <c r="C129" i="5"/>
  <c r="B129" i="5"/>
  <c r="A129" i="5"/>
  <c r="S128" i="5"/>
  <c r="H128" i="5"/>
  <c r="G128" i="5"/>
  <c r="F128" i="5"/>
  <c r="D128" i="5"/>
  <c r="C128" i="5"/>
  <c r="B128" i="5"/>
  <c r="Q128" i="5" s="1"/>
  <c r="A128" i="5"/>
  <c r="S127" i="5"/>
  <c r="H127" i="5"/>
  <c r="G127" i="5"/>
  <c r="F127" i="5"/>
  <c r="D127" i="5"/>
  <c r="C127" i="5"/>
  <c r="B127" i="5"/>
  <c r="Q127" i="5" s="1"/>
  <c r="A127" i="5"/>
  <c r="S126" i="5"/>
  <c r="H126" i="5"/>
  <c r="G126" i="5"/>
  <c r="F126" i="5"/>
  <c r="D126" i="5"/>
  <c r="C126" i="5"/>
  <c r="B126" i="5"/>
  <c r="Q126" i="5" s="1"/>
  <c r="A126" i="5"/>
  <c r="S125" i="5"/>
  <c r="H125" i="5"/>
  <c r="G125" i="5"/>
  <c r="F125" i="5"/>
  <c r="D125" i="5"/>
  <c r="C125" i="5"/>
  <c r="B125" i="5"/>
  <c r="A125" i="5"/>
  <c r="S124" i="5"/>
  <c r="H124" i="5"/>
  <c r="G124" i="5"/>
  <c r="F124" i="5"/>
  <c r="D124" i="5"/>
  <c r="C124" i="5"/>
  <c r="B124" i="5"/>
  <c r="Q124" i="5" s="1"/>
  <c r="A124" i="5"/>
  <c r="S123" i="5"/>
  <c r="H123" i="5"/>
  <c r="G123" i="5"/>
  <c r="F123" i="5"/>
  <c r="D123" i="5"/>
  <c r="C123" i="5"/>
  <c r="B123" i="5"/>
  <c r="Q123" i="5" s="1"/>
  <c r="A123" i="5"/>
  <c r="S122" i="5"/>
  <c r="H122" i="5"/>
  <c r="G122" i="5"/>
  <c r="F122" i="5"/>
  <c r="D122" i="5"/>
  <c r="C122" i="5"/>
  <c r="B122" i="5"/>
  <c r="Q122" i="5" s="1"/>
  <c r="A122" i="5"/>
  <c r="S121" i="5"/>
  <c r="H121" i="5"/>
  <c r="G121" i="5"/>
  <c r="F121" i="5"/>
  <c r="D121" i="5"/>
  <c r="C121" i="5"/>
  <c r="B121" i="5"/>
  <c r="A121" i="5"/>
  <c r="S120" i="5"/>
  <c r="H120" i="5"/>
  <c r="G120" i="5"/>
  <c r="F120" i="5"/>
  <c r="D120" i="5"/>
  <c r="C120" i="5"/>
  <c r="B120" i="5"/>
  <c r="Q120" i="5" s="1"/>
  <c r="A120" i="5"/>
  <c r="S119" i="5"/>
  <c r="H119" i="5"/>
  <c r="G119" i="5"/>
  <c r="F119" i="5"/>
  <c r="D119" i="5"/>
  <c r="C119" i="5"/>
  <c r="B119" i="5"/>
  <c r="Q119" i="5" s="1"/>
  <c r="A119" i="5"/>
  <c r="S118" i="5"/>
  <c r="H118" i="5"/>
  <c r="G118" i="5"/>
  <c r="F118" i="5"/>
  <c r="D118" i="5"/>
  <c r="C118" i="5"/>
  <c r="B118" i="5"/>
  <c r="Q118" i="5" s="1"/>
  <c r="A118" i="5"/>
  <c r="S117" i="5"/>
  <c r="H117" i="5"/>
  <c r="G117" i="5"/>
  <c r="F117" i="5"/>
  <c r="D117" i="5"/>
  <c r="C117" i="5"/>
  <c r="B117" i="5"/>
  <c r="A117" i="5"/>
  <c r="S116" i="5"/>
  <c r="H116" i="5"/>
  <c r="G116" i="5"/>
  <c r="F116" i="5"/>
  <c r="D116" i="5"/>
  <c r="C116" i="5"/>
  <c r="B116" i="5"/>
  <c r="A116" i="5"/>
  <c r="S115" i="5"/>
  <c r="H115" i="5"/>
  <c r="G115" i="5"/>
  <c r="F115" i="5"/>
  <c r="D115" i="5"/>
  <c r="C115" i="5"/>
  <c r="B115" i="5"/>
  <c r="A115" i="5"/>
  <c r="S114" i="5"/>
  <c r="H114" i="5"/>
  <c r="G114" i="5"/>
  <c r="F114" i="5"/>
  <c r="D114" i="5"/>
  <c r="C114" i="5"/>
  <c r="B114" i="5"/>
  <c r="A114" i="5"/>
  <c r="S113" i="5"/>
  <c r="H113" i="5"/>
  <c r="G113" i="5"/>
  <c r="F113" i="5"/>
  <c r="D113" i="5"/>
  <c r="C113" i="5"/>
  <c r="B113" i="5"/>
  <c r="Q113" i="5" s="1"/>
  <c r="A113" i="5"/>
  <c r="S112" i="5"/>
  <c r="H112" i="5"/>
  <c r="G112" i="5"/>
  <c r="F112" i="5"/>
  <c r="D112" i="5"/>
  <c r="C112" i="5"/>
  <c r="B112" i="5"/>
  <c r="Q112" i="5" s="1"/>
  <c r="A112" i="5"/>
  <c r="S111" i="5"/>
  <c r="H111" i="5"/>
  <c r="G111" i="5"/>
  <c r="F111" i="5"/>
  <c r="D111" i="5"/>
  <c r="C111" i="5"/>
  <c r="B111" i="5"/>
  <c r="A111" i="5"/>
  <c r="S110" i="5"/>
  <c r="H110" i="5"/>
  <c r="G110" i="5"/>
  <c r="F110" i="5"/>
  <c r="D110" i="5"/>
  <c r="C110" i="5"/>
  <c r="B110" i="5"/>
  <c r="A110" i="5"/>
  <c r="S109" i="5"/>
  <c r="H109" i="5"/>
  <c r="G109" i="5"/>
  <c r="F109" i="5"/>
  <c r="D109" i="5"/>
  <c r="C109" i="5"/>
  <c r="B109" i="5"/>
  <c r="A109" i="5"/>
  <c r="S108" i="5"/>
  <c r="H108" i="5"/>
  <c r="G108" i="5"/>
  <c r="F108" i="5"/>
  <c r="D108" i="5"/>
  <c r="C108" i="5"/>
  <c r="B108" i="5"/>
  <c r="A108" i="5"/>
  <c r="S107" i="5"/>
  <c r="H107" i="5"/>
  <c r="G107" i="5"/>
  <c r="F107" i="5"/>
  <c r="D107" i="5"/>
  <c r="C107" i="5"/>
  <c r="B107" i="5"/>
  <c r="A107" i="5"/>
  <c r="S106" i="5"/>
  <c r="H106" i="5"/>
  <c r="G106" i="5"/>
  <c r="F106" i="5"/>
  <c r="D106" i="5"/>
  <c r="C106" i="5"/>
  <c r="B106" i="5"/>
  <c r="A106" i="5"/>
  <c r="S105" i="5"/>
  <c r="H105" i="5"/>
  <c r="G105" i="5"/>
  <c r="F105" i="5"/>
  <c r="D105" i="5"/>
  <c r="C105" i="5"/>
  <c r="B105" i="5"/>
  <c r="Q105" i="5" s="1"/>
  <c r="A105" i="5"/>
  <c r="S104" i="5"/>
  <c r="H104" i="5"/>
  <c r="G104" i="5"/>
  <c r="F104" i="5"/>
  <c r="D104" i="5"/>
  <c r="C104" i="5"/>
  <c r="B104" i="5"/>
  <c r="A104" i="5"/>
  <c r="S103" i="5"/>
  <c r="H103" i="5"/>
  <c r="G103" i="5"/>
  <c r="F103" i="5"/>
  <c r="D103" i="5"/>
  <c r="C103" i="5"/>
  <c r="B103" i="5"/>
  <c r="A103" i="5"/>
  <c r="S102" i="5"/>
  <c r="H102" i="5"/>
  <c r="G102" i="5"/>
  <c r="F102" i="5"/>
  <c r="D102" i="5"/>
  <c r="C102" i="5"/>
  <c r="B102" i="5"/>
  <c r="A102" i="5"/>
  <c r="S101" i="5"/>
  <c r="H101" i="5"/>
  <c r="G101" i="5"/>
  <c r="F101" i="5"/>
  <c r="D101" i="5"/>
  <c r="C101" i="5"/>
  <c r="B101" i="5"/>
  <c r="A101" i="5"/>
  <c r="S100" i="5"/>
  <c r="H100" i="5"/>
  <c r="G100" i="5"/>
  <c r="F100" i="5"/>
  <c r="D100" i="5"/>
  <c r="C100" i="5"/>
  <c r="B100" i="5"/>
  <c r="A100" i="5"/>
  <c r="S99" i="5"/>
  <c r="H99" i="5"/>
  <c r="G99" i="5"/>
  <c r="F99" i="5"/>
  <c r="D99" i="5"/>
  <c r="C99" i="5"/>
  <c r="B99" i="5"/>
  <c r="A99" i="5"/>
  <c r="S98" i="5"/>
  <c r="H98" i="5"/>
  <c r="G98" i="5"/>
  <c r="F98" i="5"/>
  <c r="D98" i="5"/>
  <c r="C98" i="5"/>
  <c r="B98" i="5"/>
  <c r="Q98" i="5" s="1"/>
  <c r="A98" i="5"/>
  <c r="S97" i="5"/>
  <c r="H97" i="5"/>
  <c r="G97" i="5"/>
  <c r="F97" i="5"/>
  <c r="D97" i="5"/>
  <c r="C97" i="5"/>
  <c r="B97" i="5"/>
  <c r="A97" i="5"/>
  <c r="S96" i="5"/>
  <c r="H96" i="5"/>
  <c r="G96" i="5"/>
  <c r="F96" i="5"/>
  <c r="D96" i="5"/>
  <c r="C96" i="5"/>
  <c r="B96" i="5"/>
  <c r="A96" i="5"/>
  <c r="S95" i="5"/>
  <c r="H95" i="5"/>
  <c r="G95" i="5"/>
  <c r="F95" i="5"/>
  <c r="D95" i="5"/>
  <c r="C95" i="5"/>
  <c r="B95" i="5"/>
  <c r="A95" i="5"/>
  <c r="S94" i="5"/>
  <c r="H94" i="5"/>
  <c r="G94" i="5"/>
  <c r="F94" i="5"/>
  <c r="D94" i="5"/>
  <c r="C94" i="5"/>
  <c r="B94" i="5"/>
  <c r="A94" i="5"/>
  <c r="S93" i="5"/>
  <c r="H93" i="5"/>
  <c r="G93" i="5"/>
  <c r="F93" i="5"/>
  <c r="D93" i="5"/>
  <c r="C93" i="5"/>
  <c r="B93" i="5"/>
  <c r="A93" i="5"/>
  <c r="S92" i="5"/>
  <c r="H92" i="5"/>
  <c r="G92" i="5"/>
  <c r="F92" i="5"/>
  <c r="D92" i="5"/>
  <c r="C92" i="5"/>
  <c r="B92" i="5"/>
  <c r="A92" i="5"/>
  <c r="S91" i="5"/>
  <c r="H91" i="5"/>
  <c r="G91" i="5"/>
  <c r="F91" i="5"/>
  <c r="D91" i="5"/>
  <c r="C91" i="5"/>
  <c r="B91" i="5"/>
  <c r="A91" i="5"/>
  <c r="S90" i="5"/>
  <c r="H90" i="5"/>
  <c r="G90" i="5"/>
  <c r="F90" i="5"/>
  <c r="D90" i="5"/>
  <c r="C90" i="5"/>
  <c r="B90" i="5"/>
  <c r="A90" i="5"/>
  <c r="S89" i="5"/>
  <c r="H89" i="5"/>
  <c r="G89" i="5"/>
  <c r="F89" i="5"/>
  <c r="D89" i="5"/>
  <c r="C89" i="5"/>
  <c r="B89" i="5"/>
  <c r="A89" i="5"/>
  <c r="S88" i="5"/>
  <c r="H88" i="5"/>
  <c r="G88" i="5"/>
  <c r="F88" i="5"/>
  <c r="D88" i="5"/>
  <c r="C88" i="5"/>
  <c r="B88" i="5"/>
  <c r="Q88" i="5" s="1"/>
  <c r="A88" i="5"/>
  <c r="S87" i="5"/>
  <c r="H87" i="5"/>
  <c r="G87" i="5"/>
  <c r="F87" i="5"/>
  <c r="D87" i="5"/>
  <c r="C87" i="5"/>
  <c r="B87" i="5"/>
  <c r="Q87" i="5" s="1"/>
  <c r="A87" i="5"/>
  <c r="S86" i="5"/>
  <c r="H86" i="5"/>
  <c r="G86" i="5"/>
  <c r="F86" i="5"/>
  <c r="D86" i="5"/>
  <c r="C86" i="5"/>
  <c r="B86" i="5"/>
  <c r="Q86" i="5" s="1"/>
  <c r="A86" i="5"/>
  <c r="S85" i="5"/>
  <c r="H85" i="5"/>
  <c r="G85" i="5"/>
  <c r="F85" i="5"/>
  <c r="D85" i="5"/>
  <c r="C85" i="5"/>
  <c r="B85" i="5"/>
  <c r="A85" i="5"/>
  <c r="S84" i="5"/>
  <c r="H84" i="5"/>
  <c r="G84" i="5"/>
  <c r="F84" i="5"/>
  <c r="D84" i="5"/>
  <c r="C84" i="5"/>
  <c r="B84" i="5"/>
  <c r="Q84" i="5" s="1"/>
  <c r="A84" i="5"/>
  <c r="S83" i="5"/>
  <c r="H83" i="5"/>
  <c r="G83" i="5"/>
  <c r="F83" i="5"/>
  <c r="D83" i="5"/>
  <c r="C83" i="5"/>
  <c r="B83" i="5"/>
  <c r="Q83" i="5" s="1"/>
  <c r="A83" i="5"/>
  <c r="S82" i="5"/>
  <c r="H82" i="5"/>
  <c r="G82" i="5"/>
  <c r="F82" i="5"/>
  <c r="D82" i="5"/>
  <c r="C82" i="5"/>
  <c r="B82" i="5"/>
  <c r="Q82" i="5" s="1"/>
  <c r="A82" i="5"/>
  <c r="S81" i="5"/>
  <c r="H81" i="5"/>
  <c r="G81" i="5"/>
  <c r="F81" i="5"/>
  <c r="D81" i="5"/>
  <c r="C81" i="5"/>
  <c r="B81" i="5"/>
  <c r="A81" i="5"/>
  <c r="S80" i="5"/>
  <c r="H80" i="5"/>
  <c r="G80" i="5"/>
  <c r="F80" i="5"/>
  <c r="D80" i="5"/>
  <c r="C80" i="5"/>
  <c r="B80" i="5"/>
  <c r="A80" i="5"/>
  <c r="S79" i="5"/>
  <c r="H79" i="5"/>
  <c r="G79" i="5"/>
  <c r="F79" i="5"/>
  <c r="D79" i="5"/>
  <c r="C79" i="5"/>
  <c r="B79" i="5"/>
  <c r="A79" i="5"/>
  <c r="S78" i="5"/>
  <c r="H78" i="5"/>
  <c r="G78" i="5"/>
  <c r="F78" i="5"/>
  <c r="D78" i="5"/>
  <c r="C78" i="5"/>
  <c r="B78" i="5"/>
  <c r="A78" i="5"/>
  <c r="S77" i="5"/>
  <c r="H77" i="5"/>
  <c r="G77" i="5"/>
  <c r="F77" i="5"/>
  <c r="D77" i="5"/>
  <c r="C77" i="5"/>
  <c r="B77" i="5"/>
  <c r="A77" i="5"/>
  <c r="S76" i="5"/>
  <c r="H76" i="5"/>
  <c r="G76" i="5"/>
  <c r="F76" i="5"/>
  <c r="D76" i="5"/>
  <c r="C76" i="5"/>
  <c r="B76" i="5"/>
  <c r="A76" i="5"/>
  <c r="S75" i="5"/>
  <c r="H75" i="5"/>
  <c r="G75" i="5"/>
  <c r="F75" i="5"/>
  <c r="D75" i="5"/>
  <c r="C75" i="5"/>
  <c r="B75" i="5"/>
  <c r="A75" i="5"/>
  <c r="S74" i="5"/>
  <c r="H74" i="5"/>
  <c r="G74" i="5"/>
  <c r="F74" i="5"/>
  <c r="D74" i="5"/>
  <c r="C74" i="5"/>
  <c r="B74" i="5"/>
  <c r="A74" i="5"/>
  <c r="S73" i="5"/>
  <c r="H73" i="5"/>
  <c r="G73" i="5"/>
  <c r="F73" i="5"/>
  <c r="D73" i="5"/>
  <c r="C73" i="5"/>
  <c r="B73" i="5"/>
  <c r="Q73" i="5" s="1"/>
  <c r="A73" i="5"/>
  <c r="S72" i="5"/>
  <c r="H72" i="5"/>
  <c r="G72" i="5"/>
  <c r="F72" i="5"/>
  <c r="D72" i="5"/>
  <c r="C72" i="5"/>
  <c r="B72" i="5"/>
  <c r="Q72" i="5" s="1"/>
  <c r="A72" i="5"/>
  <c r="S71" i="5"/>
  <c r="H71" i="5"/>
  <c r="G71" i="5"/>
  <c r="F71" i="5"/>
  <c r="D71" i="5"/>
  <c r="C71" i="5"/>
  <c r="B71" i="5"/>
  <c r="A71" i="5"/>
  <c r="S70" i="5"/>
  <c r="H70" i="5"/>
  <c r="G70" i="5"/>
  <c r="F70" i="5"/>
  <c r="D70" i="5"/>
  <c r="C70" i="5"/>
  <c r="B70" i="5"/>
  <c r="A70" i="5"/>
  <c r="S69" i="5"/>
  <c r="H69" i="5"/>
  <c r="G69" i="5"/>
  <c r="F69" i="5"/>
  <c r="D69" i="5"/>
  <c r="C69" i="5"/>
  <c r="B69" i="5"/>
  <c r="A69" i="5"/>
  <c r="S68" i="5"/>
  <c r="H68" i="5"/>
  <c r="G68" i="5"/>
  <c r="F68" i="5"/>
  <c r="D68" i="5"/>
  <c r="C68" i="5"/>
  <c r="B68" i="5"/>
  <c r="A68" i="5"/>
  <c r="S67" i="5"/>
  <c r="H67" i="5"/>
  <c r="G67" i="5"/>
  <c r="F67" i="5"/>
  <c r="D67" i="5"/>
  <c r="C67" i="5"/>
  <c r="B67" i="5"/>
  <c r="A67" i="5"/>
  <c r="S66" i="5"/>
  <c r="H66" i="5"/>
  <c r="G66" i="5"/>
  <c r="F66" i="5"/>
  <c r="D66" i="5"/>
  <c r="C66" i="5"/>
  <c r="B66" i="5"/>
  <c r="A66" i="5"/>
  <c r="S65" i="5"/>
  <c r="H65" i="5"/>
  <c r="G65" i="5"/>
  <c r="F65" i="5"/>
  <c r="D65" i="5"/>
  <c r="C65" i="5"/>
  <c r="B65" i="5"/>
  <c r="A65" i="5"/>
  <c r="S64" i="5"/>
  <c r="H64" i="5"/>
  <c r="G64" i="5"/>
  <c r="F64" i="5"/>
  <c r="D64" i="5"/>
  <c r="C64" i="5"/>
  <c r="B64" i="5"/>
  <c r="A64" i="5"/>
  <c r="S63" i="5"/>
  <c r="H63" i="5"/>
  <c r="G63" i="5"/>
  <c r="F63" i="5"/>
  <c r="D63" i="5"/>
  <c r="C63" i="5"/>
  <c r="B63" i="5"/>
  <c r="Q63" i="5" s="1"/>
  <c r="A63" i="5"/>
  <c r="S62" i="5"/>
  <c r="H62" i="5"/>
  <c r="G62" i="5"/>
  <c r="F62" i="5"/>
  <c r="D62" i="5"/>
  <c r="C62" i="5"/>
  <c r="B62" i="5"/>
  <c r="Q62" i="5" s="1"/>
  <c r="A62" i="5"/>
  <c r="S61" i="5"/>
  <c r="H61" i="5"/>
  <c r="G61" i="5"/>
  <c r="F61" i="5"/>
  <c r="D61" i="5"/>
  <c r="C61" i="5"/>
  <c r="B61" i="5"/>
  <c r="A61" i="5"/>
  <c r="S60" i="5"/>
  <c r="H60" i="5"/>
  <c r="G60" i="5"/>
  <c r="F60" i="5"/>
  <c r="D60" i="5"/>
  <c r="C60" i="5"/>
  <c r="B60" i="5"/>
  <c r="A60" i="5"/>
  <c r="S59" i="5"/>
  <c r="H59" i="5"/>
  <c r="G59" i="5"/>
  <c r="F59" i="5"/>
  <c r="D59" i="5"/>
  <c r="C59" i="5"/>
  <c r="B59" i="5"/>
  <c r="Q59" i="5" s="1"/>
  <c r="A59" i="5"/>
  <c r="S58" i="5"/>
  <c r="H58" i="5"/>
  <c r="G58" i="5"/>
  <c r="F58" i="5"/>
  <c r="D58" i="5"/>
  <c r="C58" i="5"/>
  <c r="B58" i="5"/>
  <c r="Q58" i="5" s="1"/>
  <c r="A58" i="5"/>
  <c r="S57" i="5"/>
  <c r="H57" i="5"/>
  <c r="G57" i="5"/>
  <c r="F57" i="5"/>
  <c r="D57" i="5"/>
  <c r="C57" i="5"/>
  <c r="B57" i="5"/>
  <c r="A57" i="5"/>
  <c r="S56" i="5"/>
  <c r="H56" i="5"/>
  <c r="G56" i="5"/>
  <c r="F56" i="5"/>
  <c r="D56" i="5"/>
  <c r="C56" i="5"/>
  <c r="B56" i="5"/>
  <c r="A56" i="5"/>
  <c r="S55" i="5"/>
  <c r="H55" i="5"/>
  <c r="G55" i="5"/>
  <c r="F55" i="5"/>
  <c r="D55" i="5"/>
  <c r="C55" i="5"/>
  <c r="B55" i="5"/>
  <c r="A55" i="5"/>
  <c r="S54" i="5"/>
  <c r="H54" i="5"/>
  <c r="G54" i="5"/>
  <c r="F54" i="5"/>
  <c r="D54" i="5"/>
  <c r="C54" i="5"/>
  <c r="B54" i="5"/>
  <c r="A54" i="5"/>
  <c r="S53" i="5"/>
  <c r="H53" i="5"/>
  <c r="G53" i="5"/>
  <c r="F53" i="5"/>
  <c r="D53" i="5"/>
  <c r="C53" i="5"/>
  <c r="B53" i="5"/>
  <c r="A53" i="5"/>
  <c r="S52" i="5"/>
  <c r="H52" i="5"/>
  <c r="G52" i="5"/>
  <c r="F52" i="5"/>
  <c r="D52" i="5"/>
  <c r="C52" i="5"/>
  <c r="B52" i="5"/>
  <c r="A52" i="5"/>
  <c r="S51" i="5"/>
  <c r="H51" i="5"/>
  <c r="G51" i="5"/>
  <c r="F51" i="5"/>
  <c r="D51" i="5"/>
  <c r="C51" i="5"/>
  <c r="B51" i="5"/>
  <c r="A51" i="5"/>
  <c r="S50" i="5"/>
  <c r="H50" i="5"/>
  <c r="G50" i="5"/>
  <c r="F50" i="5"/>
  <c r="D50" i="5"/>
  <c r="C50" i="5"/>
  <c r="B50" i="5"/>
  <c r="A50" i="5"/>
  <c r="S49" i="5"/>
  <c r="H49" i="5"/>
  <c r="G49" i="5"/>
  <c r="F49" i="5"/>
  <c r="D49" i="5"/>
  <c r="C49" i="5"/>
  <c r="B49" i="5"/>
  <c r="A49" i="5"/>
  <c r="S48" i="5"/>
  <c r="H48" i="5"/>
  <c r="G48" i="5"/>
  <c r="F48" i="5"/>
  <c r="D48" i="5"/>
  <c r="C48" i="5"/>
  <c r="B48" i="5"/>
  <c r="A48" i="5"/>
  <c r="S47" i="5"/>
  <c r="H47" i="5"/>
  <c r="G47" i="5"/>
  <c r="F47" i="5"/>
  <c r="D47" i="5"/>
  <c r="C47" i="5"/>
  <c r="B47" i="5"/>
  <c r="A47" i="5"/>
  <c r="S46" i="5"/>
  <c r="H46" i="5"/>
  <c r="G46" i="5"/>
  <c r="F46" i="5"/>
  <c r="D46" i="5"/>
  <c r="C46" i="5"/>
  <c r="B46" i="5"/>
  <c r="A46" i="5"/>
  <c r="S45" i="5"/>
  <c r="H45" i="5"/>
  <c r="G45" i="5"/>
  <c r="F45" i="5"/>
  <c r="D45" i="5"/>
  <c r="C45" i="5"/>
  <c r="B45" i="5"/>
  <c r="Q45" i="5" s="1"/>
  <c r="A45" i="5"/>
  <c r="S44" i="5"/>
  <c r="H44" i="5"/>
  <c r="G44" i="5"/>
  <c r="F44" i="5"/>
  <c r="D44" i="5"/>
  <c r="C44" i="5"/>
  <c r="B44" i="5"/>
  <c r="Q44" i="5" s="1"/>
  <c r="A44" i="5"/>
  <c r="S43" i="5"/>
  <c r="H43" i="5"/>
  <c r="G43" i="5"/>
  <c r="F43" i="5"/>
  <c r="D43" i="5"/>
  <c r="C43" i="5"/>
  <c r="B43" i="5"/>
  <c r="A43" i="5"/>
  <c r="S42" i="5"/>
  <c r="H42" i="5"/>
  <c r="G42" i="5"/>
  <c r="F42" i="5"/>
  <c r="D42" i="5"/>
  <c r="C42" i="5"/>
  <c r="B42" i="5"/>
  <c r="A42" i="5"/>
  <c r="S41" i="5"/>
  <c r="H41" i="5"/>
  <c r="G41" i="5"/>
  <c r="F41" i="5"/>
  <c r="D41" i="5"/>
  <c r="C41" i="5"/>
  <c r="B41" i="5"/>
  <c r="A41" i="5"/>
  <c r="S40" i="5"/>
  <c r="H40" i="5"/>
  <c r="G40" i="5"/>
  <c r="F40" i="5"/>
  <c r="D40" i="5"/>
  <c r="C40" i="5"/>
  <c r="B40" i="5"/>
  <c r="A40" i="5"/>
  <c r="S39" i="5"/>
  <c r="H39" i="5"/>
  <c r="G39" i="5"/>
  <c r="F39" i="5"/>
  <c r="D39" i="5"/>
  <c r="C39" i="5"/>
  <c r="B39" i="5"/>
  <c r="A39" i="5"/>
  <c r="S38" i="5"/>
  <c r="H38" i="5"/>
  <c r="G38" i="5"/>
  <c r="F38" i="5"/>
  <c r="D38" i="5"/>
  <c r="C38" i="5"/>
  <c r="B38" i="5"/>
  <c r="Q38" i="5" s="1"/>
  <c r="A38" i="5"/>
  <c r="S37" i="5"/>
  <c r="H37" i="5"/>
  <c r="G37" i="5"/>
  <c r="F37" i="5"/>
  <c r="D37" i="5"/>
  <c r="C37" i="5"/>
  <c r="B37" i="5"/>
  <c r="A37" i="5"/>
  <c r="S36" i="5"/>
  <c r="H36" i="5"/>
  <c r="G36" i="5"/>
  <c r="F36" i="5"/>
  <c r="D36" i="5"/>
  <c r="C36" i="5"/>
  <c r="B36" i="5"/>
  <c r="A36" i="5"/>
  <c r="S35" i="5"/>
  <c r="H35" i="5"/>
  <c r="G35" i="5"/>
  <c r="F35" i="5"/>
  <c r="D35" i="5"/>
  <c r="C35" i="5"/>
  <c r="B35" i="5"/>
  <c r="A35" i="5"/>
  <c r="S34" i="5"/>
  <c r="H34" i="5"/>
  <c r="G34" i="5"/>
  <c r="F34" i="5"/>
  <c r="D34" i="5"/>
  <c r="C34" i="5"/>
  <c r="B34" i="5"/>
  <c r="A34" i="5"/>
  <c r="S33" i="5"/>
  <c r="H33" i="5"/>
  <c r="G33" i="5"/>
  <c r="F33" i="5"/>
  <c r="D33" i="5"/>
  <c r="C33" i="5"/>
  <c r="B33" i="5"/>
  <c r="Q33" i="5" s="1"/>
  <c r="A33" i="5"/>
  <c r="S32" i="5"/>
  <c r="H32" i="5"/>
  <c r="G32" i="5"/>
  <c r="F32" i="5"/>
  <c r="D32" i="5"/>
  <c r="C32" i="5"/>
  <c r="B32" i="5"/>
  <c r="A32" i="5"/>
  <c r="S31" i="5"/>
  <c r="H31" i="5"/>
  <c r="G31" i="5"/>
  <c r="F31" i="5"/>
  <c r="D31" i="5"/>
  <c r="C31" i="5"/>
  <c r="B31" i="5"/>
  <c r="A31" i="5"/>
  <c r="S30" i="5"/>
  <c r="H30" i="5"/>
  <c r="G30" i="5"/>
  <c r="F30" i="5"/>
  <c r="D30" i="5"/>
  <c r="C30" i="5"/>
  <c r="B30" i="5"/>
  <c r="A30" i="5"/>
  <c r="S29" i="5"/>
  <c r="H29" i="5"/>
  <c r="G29" i="5"/>
  <c r="F29" i="5"/>
  <c r="D29" i="5"/>
  <c r="C29" i="5"/>
  <c r="B29" i="5"/>
  <c r="A29" i="5"/>
  <c r="S28" i="5"/>
  <c r="H28" i="5"/>
  <c r="G28" i="5"/>
  <c r="F28" i="5"/>
  <c r="D28" i="5"/>
  <c r="C28" i="5"/>
  <c r="B28" i="5"/>
  <c r="A28" i="5"/>
  <c r="S27" i="5"/>
  <c r="H27" i="5"/>
  <c r="G27" i="5"/>
  <c r="F27" i="5"/>
  <c r="D27" i="5"/>
  <c r="C27" i="5"/>
  <c r="B27" i="5"/>
  <c r="A27" i="5"/>
  <c r="S26" i="5"/>
  <c r="H26" i="5"/>
  <c r="G26" i="5"/>
  <c r="F26" i="5"/>
  <c r="D26" i="5"/>
  <c r="C26" i="5"/>
  <c r="B26" i="5"/>
  <c r="A26" i="5"/>
  <c r="S25" i="5"/>
  <c r="H25" i="5"/>
  <c r="G25" i="5"/>
  <c r="F25" i="5"/>
  <c r="D25" i="5"/>
  <c r="C25" i="5"/>
  <c r="B25" i="5"/>
  <c r="A25" i="5"/>
  <c r="S24" i="5"/>
  <c r="H24" i="5"/>
  <c r="G24" i="5"/>
  <c r="F24" i="5"/>
  <c r="D24" i="5"/>
  <c r="C24" i="5"/>
  <c r="B24" i="5"/>
  <c r="A24" i="5"/>
  <c r="S23" i="5"/>
  <c r="H23" i="5"/>
  <c r="G23" i="5"/>
  <c r="F23" i="5"/>
  <c r="D23" i="5"/>
  <c r="C23" i="5"/>
  <c r="B23" i="5"/>
  <c r="A23" i="5"/>
  <c r="S22" i="5"/>
  <c r="H22" i="5"/>
  <c r="G22" i="5"/>
  <c r="F22" i="5"/>
  <c r="D22" i="5"/>
  <c r="C22" i="5"/>
  <c r="B22" i="5"/>
  <c r="A22" i="5"/>
  <c r="S21" i="5"/>
  <c r="H21" i="5"/>
  <c r="G21" i="5"/>
  <c r="F21" i="5"/>
  <c r="D21" i="5"/>
  <c r="C21" i="5"/>
  <c r="B21" i="5"/>
  <c r="A21" i="5"/>
  <c r="S20" i="5"/>
  <c r="H20" i="5"/>
  <c r="G20" i="5"/>
  <c r="F20" i="5"/>
  <c r="D20" i="5"/>
  <c r="C20" i="5"/>
  <c r="B20" i="5"/>
  <c r="A20" i="5"/>
  <c r="S19" i="5"/>
  <c r="H19" i="5"/>
  <c r="G19" i="5"/>
  <c r="F19" i="5"/>
  <c r="D19" i="5"/>
  <c r="C19" i="5"/>
  <c r="B19" i="5"/>
  <c r="Q19" i="5" s="1"/>
  <c r="A19" i="5"/>
  <c r="S18" i="5"/>
  <c r="H18" i="5"/>
  <c r="G18" i="5"/>
  <c r="F18" i="5"/>
  <c r="D18" i="5"/>
  <c r="C18" i="5"/>
  <c r="B18" i="5"/>
  <c r="Q18" i="5" s="1"/>
  <c r="A18" i="5"/>
  <c r="S17" i="5"/>
  <c r="H17" i="5"/>
  <c r="G17" i="5"/>
  <c r="F17" i="5"/>
  <c r="D17" i="5"/>
  <c r="C17" i="5"/>
  <c r="B17" i="5"/>
  <c r="A17" i="5"/>
  <c r="S16" i="5"/>
  <c r="H16" i="5"/>
  <c r="G16" i="5"/>
  <c r="F16" i="5"/>
  <c r="D16" i="5"/>
  <c r="C16" i="5"/>
  <c r="B16" i="5"/>
  <c r="A16" i="5"/>
  <c r="S15" i="5"/>
  <c r="H15" i="5"/>
  <c r="G15" i="5"/>
  <c r="F15" i="5"/>
  <c r="D15" i="5"/>
  <c r="C15" i="5"/>
  <c r="B15" i="5"/>
  <c r="A15" i="5"/>
  <c r="S14" i="5"/>
  <c r="H14" i="5"/>
  <c r="G14" i="5"/>
  <c r="F14" i="5"/>
  <c r="D14" i="5"/>
  <c r="C14" i="5"/>
  <c r="B14" i="5"/>
  <c r="A14" i="5"/>
  <c r="S13" i="5"/>
  <c r="H13" i="5"/>
  <c r="G13" i="5"/>
  <c r="F13" i="5"/>
  <c r="D13" i="5"/>
  <c r="C13" i="5"/>
  <c r="B13" i="5"/>
  <c r="A13" i="5"/>
  <c r="S12" i="5"/>
  <c r="H12" i="5"/>
  <c r="G12" i="5"/>
  <c r="F12" i="5"/>
  <c r="D12" i="5"/>
  <c r="C12" i="5"/>
  <c r="B12" i="5"/>
  <c r="A12" i="5"/>
  <c r="S11" i="5"/>
  <c r="H11" i="5"/>
  <c r="G11" i="5"/>
  <c r="F11" i="5"/>
  <c r="D11" i="5"/>
  <c r="C11" i="5"/>
  <c r="B11" i="5"/>
  <c r="Q11" i="5" s="1"/>
  <c r="A11" i="5"/>
  <c r="S10" i="5"/>
  <c r="H10" i="5"/>
  <c r="G10" i="5"/>
  <c r="F10" i="5"/>
  <c r="D10" i="5"/>
  <c r="C10" i="5"/>
  <c r="B10" i="5"/>
  <c r="Q10" i="5" s="1"/>
  <c r="A10" i="5"/>
  <c r="S9" i="5"/>
  <c r="H9" i="5"/>
  <c r="G9" i="5"/>
  <c r="F9" i="5"/>
  <c r="D9" i="5"/>
  <c r="C9" i="5"/>
  <c r="B9" i="5"/>
  <c r="A9" i="5"/>
  <c r="S8" i="5"/>
  <c r="H8" i="5"/>
  <c r="G8" i="5"/>
  <c r="F8" i="5"/>
  <c r="D8" i="5"/>
  <c r="C8" i="5"/>
  <c r="B8" i="5"/>
  <c r="A8" i="5"/>
  <c r="S7" i="5"/>
  <c r="H7" i="5"/>
  <c r="G7" i="5"/>
  <c r="F7" i="5"/>
  <c r="D7" i="5"/>
  <c r="C7" i="5"/>
  <c r="B7" i="5"/>
  <c r="Q7" i="5" s="1"/>
  <c r="A7" i="5"/>
  <c r="S6" i="5"/>
  <c r="H6" i="5"/>
  <c r="G6" i="5"/>
  <c r="F6" i="5"/>
  <c r="D6" i="5"/>
  <c r="C6" i="5"/>
  <c r="B6" i="5"/>
  <c r="Q6" i="5" s="1"/>
  <c r="A6" i="5"/>
  <c r="S5" i="5"/>
  <c r="H5" i="5"/>
  <c r="G5" i="5"/>
  <c r="F5" i="5"/>
  <c r="D5" i="5"/>
  <c r="C5" i="5"/>
  <c r="B5" i="5"/>
  <c r="A5" i="5"/>
  <c r="S4" i="5"/>
  <c r="H4" i="5"/>
  <c r="G4" i="5"/>
  <c r="F4" i="5"/>
  <c r="D4" i="5"/>
  <c r="C4" i="5"/>
  <c r="B4" i="5"/>
  <c r="A4" i="5"/>
  <c r="S3" i="5"/>
  <c r="H3" i="5"/>
  <c r="G3" i="5"/>
  <c r="F3" i="5"/>
  <c r="D3" i="5"/>
  <c r="C3" i="5"/>
  <c r="B3" i="5"/>
  <c r="A3" i="5"/>
  <c r="S2" i="5"/>
  <c r="H2" i="5"/>
  <c r="G2" i="5"/>
  <c r="F2" i="5"/>
  <c r="D2" i="5"/>
  <c r="C2" i="5"/>
  <c r="B2" i="5"/>
  <c r="A2" i="5"/>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7" i="4"/>
  <c r="B6" i="4"/>
  <c r="B5" i="4"/>
  <c r="B4" i="4"/>
  <c r="C19" i="3"/>
  <c r="B3" i="3"/>
  <c r="J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C4" i="2"/>
  <c r="C3" i="2"/>
  <c r="C2" i="2"/>
  <c r="AD132" i="1"/>
  <c r="H132" i="1"/>
  <c r="G132" i="1"/>
  <c r="F132" i="1"/>
  <c r="E132" i="1"/>
  <c r="D132" i="1"/>
  <c r="C132" i="1"/>
  <c r="B132" i="1"/>
  <c r="A132" i="1"/>
  <c r="AD130" i="1"/>
  <c r="H130" i="1"/>
  <c r="G130" i="1"/>
  <c r="F130" i="1"/>
  <c r="E130" i="1"/>
  <c r="D130" i="1"/>
  <c r="C130" i="1"/>
  <c r="B130" i="1"/>
  <c r="A130" i="1"/>
  <c r="AD128" i="1"/>
  <c r="H128" i="1"/>
  <c r="G128" i="1"/>
  <c r="F128" i="1"/>
  <c r="E128" i="1"/>
  <c r="D128" i="1"/>
  <c r="C128" i="1"/>
  <c r="B128" i="1"/>
  <c r="A128" i="1"/>
  <c r="AD126" i="1"/>
  <c r="H126" i="1"/>
  <c r="G126" i="1"/>
  <c r="F126" i="1"/>
  <c r="E126" i="1"/>
  <c r="D126" i="1"/>
  <c r="C126" i="1"/>
  <c r="B126" i="1"/>
  <c r="A126" i="1"/>
  <c r="AD124" i="1"/>
  <c r="H124" i="1"/>
  <c r="G124" i="1"/>
  <c r="F124" i="1"/>
  <c r="E124" i="1"/>
  <c r="D124" i="1"/>
  <c r="C124" i="1"/>
  <c r="B124" i="1"/>
  <c r="A124" i="1"/>
  <c r="AD123" i="1"/>
  <c r="H123" i="1"/>
  <c r="G123" i="1"/>
  <c r="F123" i="1"/>
  <c r="E123" i="1"/>
  <c r="D123" i="1"/>
  <c r="C123" i="1"/>
  <c r="B123" i="1"/>
  <c r="A123" i="1"/>
  <c r="AD122" i="1"/>
  <c r="H122" i="1"/>
  <c r="G122" i="1"/>
  <c r="F122" i="1"/>
  <c r="E122" i="1"/>
  <c r="D122" i="1"/>
  <c r="C122" i="1"/>
  <c r="B122" i="1"/>
  <c r="A122" i="1"/>
  <c r="AD121" i="1"/>
  <c r="H121" i="1"/>
  <c r="G121" i="1"/>
  <c r="F121" i="1"/>
  <c r="E121" i="1"/>
  <c r="D121" i="1"/>
  <c r="C121" i="1"/>
  <c r="B121" i="1"/>
  <c r="A121" i="1"/>
  <c r="AD119" i="1"/>
  <c r="H119" i="1"/>
  <c r="G119" i="1"/>
  <c r="F119" i="1"/>
  <c r="E119" i="1"/>
  <c r="D119" i="1"/>
  <c r="C119" i="1"/>
  <c r="B119" i="1"/>
  <c r="A119" i="1"/>
  <c r="AD117" i="1"/>
  <c r="H117" i="1"/>
  <c r="G117" i="1"/>
  <c r="F117" i="1"/>
  <c r="E117" i="1"/>
  <c r="D117" i="1"/>
  <c r="C117" i="1"/>
  <c r="B117" i="1"/>
  <c r="A117" i="1"/>
  <c r="AD116" i="1"/>
  <c r="H116" i="1"/>
  <c r="G116" i="1"/>
  <c r="F116" i="1"/>
  <c r="E116" i="1"/>
  <c r="D116" i="1"/>
  <c r="C116" i="1"/>
  <c r="B116" i="1"/>
  <c r="A116" i="1"/>
  <c r="AD114" i="1"/>
  <c r="H114" i="1"/>
  <c r="G114" i="1"/>
  <c r="F114" i="1"/>
  <c r="E114" i="1"/>
  <c r="D114" i="1"/>
  <c r="C114" i="1"/>
  <c r="B114" i="1"/>
  <c r="A114" i="1"/>
  <c r="AD112" i="1"/>
  <c r="H112" i="1"/>
  <c r="G112" i="1"/>
  <c r="F112" i="1"/>
  <c r="E112" i="1"/>
  <c r="D112" i="1"/>
  <c r="C112" i="1"/>
  <c r="B112" i="1"/>
  <c r="A112" i="1"/>
  <c r="AD110" i="1"/>
  <c r="H110" i="1"/>
  <c r="G110" i="1"/>
  <c r="F110" i="1"/>
  <c r="E110" i="1"/>
  <c r="D110" i="1"/>
  <c r="C110" i="1"/>
  <c r="B110" i="1"/>
  <c r="A110" i="1"/>
  <c r="AD108" i="1"/>
  <c r="H108" i="1"/>
  <c r="G108" i="1"/>
  <c r="F108" i="1"/>
  <c r="E108" i="1"/>
  <c r="D108" i="1"/>
  <c r="C108" i="1"/>
  <c r="B108" i="1"/>
  <c r="A108" i="1"/>
  <c r="AD106" i="1"/>
  <c r="H106" i="1"/>
  <c r="G106" i="1"/>
  <c r="F106" i="1"/>
  <c r="E106" i="1"/>
  <c r="D106" i="1"/>
  <c r="C106" i="1"/>
  <c r="B106" i="1"/>
  <c r="A106" i="1"/>
  <c r="AD104" i="1"/>
  <c r="H104" i="1"/>
  <c r="G104" i="1"/>
  <c r="F104" i="1"/>
  <c r="E104" i="1"/>
  <c r="D104" i="1"/>
  <c r="C104" i="1"/>
  <c r="B104" i="1"/>
  <c r="A104" i="1"/>
  <c r="AD103" i="1"/>
  <c r="H103" i="1"/>
  <c r="G103" i="1"/>
  <c r="F103" i="1"/>
  <c r="E103" i="1"/>
  <c r="D103" i="1"/>
  <c r="C103" i="1"/>
  <c r="B103" i="1"/>
  <c r="A103" i="1"/>
  <c r="AD101" i="1"/>
  <c r="H101" i="1"/>
  <c r="G101" i="1"/>
  <c r="F101" i="1"/>
  <c r="E101" i="1"/>
  <c r="D101" i="1"/>
  <c r="C101" i="1"/>
  <c r="B101" i="1"/>
  <c r="A101" i="1"/>
  <c r="AD100" i="1"/>
  <c r="H100" i="1"/>
  <c r="G100" i="1"/>
  <c r="F100" i="1"/>
  <c r="E100" i="1"/>
  <c r="D100" i="1"/>
  <c r="C100" i="1"/>
  <c r="B100" i="1"/>
  <c r="A100" i="1"/>
  <c r="AD98" i="1"/>
  <c r="H98" i="1"/>
  <c r="G98" i="1"/>
  <c r="F98" i="1"/>
  <c r="E98" i="1"/>
  <c r="D98" i="1"/>
  <c r="C98" i="1"/>
  <c r="B98" i="1"/>
  <c r="A98" i="1"/>
  <c r="AD96" i="1"/>
  <c r="H96" i="1"/>
  <c r="G96" i="1"/>
  <c r="F96" i="1"/>
  <c r="E96" i="1"/>
  <c r="D96" i="1"/>
  <c r="C96" i="1"/>
  <c r="B96" i="1"/>
  <c r="A96" i="1"/>
  <c r="AD95" i="1"/>
  <c r="H95" i="1"/>
  <c r="G95" i="1"/>
  <c r="F95" i="1"/>
  <c r="E95" i="1"/>
  <c r="D95" i="1"/>
  <c r="C95" i="1"/>
  <c r="B95" i="1"/>
  <c r="A95" i="1"/>
  <c r="AD93" i="1"/>
  <c r="H93" i="1"/>
  <c r="G93" i="1"/>
  <c r="F93" i="1"/>
  <c r="E93" i="1"/>
  <c r="D93" i="1"/>
  <c r="C93" i="1"/>
  <c r="B93" i="1"/>
  <c r="A93" i="1"/>
  <c r="AD92" i="1"/>
  <c r="H92" i="1"/>
  <c r="G92" i="1"/>
  <c r="F92" i="1"/>
  <c r="E92" i="1"/>
  <c r="D92" i="1"/>
  <c r="C92" i="1"/>
  <c r="B92" i="1"/>
  <c r="A92" i="1"/>
  <c r="AD90" i="1"/>
  <c r="H90" i="1"/>
  <c r="G90" i="1"/>
  <c r="F90" i="1"/>
  <c r="E90" i="1"/>
  <c r="D90" i="1"/>
  <c r="C90" i="1"/>
  <c r="B90" i="1"/>
  <c r="A90" i="1"/>
  <c r="AD88" i="1"/>
  <c r="H88" i="1"/>
  <c r="G88" i="1"/>
  <c r="F88" i="1"/>
  <c r="E88" i="1"/>
  <c r="D88" i="1"/>
  <c r="C88" i="1"/>
  <c r="B88" i="1"/>
  <c r="A88" i="1"/>
  <c r="AD86" i="1"/>
  <c r="H86" i="1"/>
  <c r="G86" i="1"/>
  <c r="F86" i="1"/>
  <c r="E86" i="1"/>
  <c r="D86" i="1"/>
  <c r="C86" i="1"/>
  <c r="B86" i="1"/>
  <c r="A86" i="1"/>
  <c r="AD85" i="1"/>
  <c r="H85" i="1"/>
  <c r="G85" i="1"/>
  <c r="F85" i="1"/>
  <c r="E85" i="1"/>
  <c r="D85" i="1"/>
  <c r="C85" i="1"/>
  <c r="B85" i="1"/>
  <c r="A85" i="1"/>
  <c r="AD84" i="1"/>
  <c r="H84" i="1"/>
  <c r="G84" i="1"/>
  <c r="F84" i="1"/>
  <c r="E84" i="1"/>
  <c r="D84" i="1"/>
  <c r="C84" i="1"/>
  <c r="B84" i="1"/>
  <c r="A84" i="1"/>
  <c r="AD83" i="1"/>
  <c r="H83" i="1"/>
  <c r="G83" i="1"/>
  <c r="F83" i="1"/>
  <c r="E83" i="1"/>
  <c r="D83" i="1"/>
  <c r="C83" i="1"/>
  <c r="B83" i="1"/>
  <c r="A83" i="1"/>
  <c r="AD82" i="1"/>
  <c r="H82" i="1"/>
  <c r="G82" i="1"/>
  <c r="F82" i="1"/>
  <c r="E82" i="1"/>
  <c r="D82" i="1"/>
  <c r="C82" i="1"/>
  <c r="B82" i="1"/>
  <c r="A82" i="1"/>
  <c r="AD81" i="1"/>
  <c r="H81" i="1"/>
  <c r="G81" i="1"/>
  <c r="F81" i="1"/>
  <c r="E81" i="1"/>
  <c r="D81" i="1"/>
  <c r="A120" i="1" s="1"/>
  <c r="C81" i="1"/>
  <c r="B81" i="1"/>
  <c r="A81" i="1"/>
  <c r="AD80" i="1"/>
  <c r="H80" i="1"/>
  <c r="G80" i="1"/>
  <c r="F80" i="1"/>
  <c r="E80" i="1"/>
  <c r="D80" i="1"/>
  <c r="A131" i="1" s="1"/>
  <c r="C80" i="1"/>
  <c r="B80" i="1"/>
  <c r="A80" i="1"/>
  <c r="A76" i="1"/>
  <c r="B73" i="1"/>
  <c r="B72" i="1"/>
  <c r="B71" i="1"/>
  <c r="B70" i="1"/>
  <c r="B69" i="1"/>
  <c r="B68" i="1"/>
  <c r="B67" i="1"/>
  <c r="B66" i="1"/>
  <c r="B65" i="1"/>
  <c r="B64" i="1"/>
  <c r="B63" i="1"/>
  <c r="B62" i="1"/>
  <c r="B61" i="1"/>
  <c r="B60" i="1"/>
  <c r="B59" i="1"/>
  <c r="B58" i="1"/>
  <c r="B57" i="1"/>
  <c r="J52"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D52" i="1" s="1"/>
  <c r="C34" i="1"/>
  <c r="C52" i="1" s="1"/>
  <c r="C23" i="1"/>
  <c r="B23" i="1"/>
  <c r="B104" i="2" s="1"/>
  <c r="C22" i="1"/>
  <c r="B22" i="1"/>
  <c r="B103" i="2" s="1"/>
  <c r="C21" i="1"/>
  <c r="B21" i="1"/>
  <c r="B102" i="2" s="1"/>
  <c r="C20" i="1"/>
  <c r="B20" i="1"/>
  <c r="B101" i="2" s="1"/>
  <c r="C19" i="1"/>
  <c r="B19" i="1"/>
  <c r="B100" i="2" s="1"/>
  <c r="C18" i="1"/>
  <c r="B18" i="1"/>
  <c r="B99" i="2" s="1"/>
  <c r="C17" i="1"/>
  <c r="B17" i="1"/>
  <c r="B98" i="2" s="1"/>
  <c r="C16" i="1"/>
  <c r="B16" i="1"/>
  <c r="B97" i="2" s="1"/>
  <c r="C15" i="1"/>
  <c r="B15" i="1"/>
  <c r="B96" i="2" s="1"/>
  <c r="C14" i="1"/>
  <c r="B14" i="1"/>
  <c r="B95" i="2" s="1"/>
  <c r="C13" i="1"/>
  <c r="B13" i="1"/>
  <c r="B94" i="2" s="1"/>
  <c r="C12" i="1"/>
  <c r="B12" i="1"/>
  <c r="B93" i="2" s="1"/>
  <c r="C11" i="1"/>
  <c r="B11" i="1"/>
  <c r="B92" i="2" s="1"/>
  <c r="C10" i="1"/>
  <c r="B10" i="1"/>
  <c r="B91" i="2" s="1"/>
  <c r="C9" i="1"/>
  <c r="B9" i="1"/>
  <c r="B90" i="2" s="1"/>
  <c r="C8" i="1"/>
  <c r="B8" i="1"/>
  <c r="B89" i="2" s="1"/>
  <c r="C7" i="1"/>
  <c r="B7" i="1"/>
  <c r="B88" i="2" s="1"/>
  <c r="C6" i="1"/>
  <c r="B6" i="1"/>
  <c r="B87" i="2" s="1"/>
  <c r="C5" i="1"/>
  <c r="B5" i="1"/>
  <c r="B86" i="2" s="1"/>
  <c r="C4" i="1"/>
  <c r="C24" i="1" s="1"/>
  <c r="B4" i="1"/>
  <c r="F8" i="3" s="1"/>
  <c r="C87" i="2" l="1"/>
  <c r="C89" i="2"/>
  <c r="C91" i="2"/>
  <c r="C93" i="2"/>
  <c r="C95" i="2"/>
  <c r="C98" i="2"/>
  <c r="C100" i="2"/>
  <c r="C103" i="2"/>
  <c r="T257" i="8"/>
  <c r="T407" i="8"/>
  <c r="T488" i="8"/>
  <c r="T559" i="8"/>
  <c r="T695" i="8"/>
  <c r="T776" i="8"/>
  <c r="T1014" i="8"/>
  <c r="T1119" i="8"/>
  <c r="C86" i="2"/>
  <c r="C88" i="2"/>
  <c r="C90" i="2"/>
  <c r="C92" i="2"/>
  <c r="C94" i="2"/>
  <c r="C96" i="2"/>
  <c r="C97" i="2"/>
  <c r="C99" i="2"/>
  <c r="C101" i="2"/>
  <c r="C102" i="2"/>
  <c r="C104" i="2"/>
  <c r="W776" i="8"/>
  <c r="U776" i="8"/>
  <c r="W1014" i="8"/>
  <c r="U1014" i="8"/>
  <c r="W1119" i="8"/>
  <c r="U1119" i="8"/>
  <c r="T860" i="8"/>
  <c r="R1119" i="8"/>
  <c r="S1119" i="8" s="1"/>
  <c r="A79" i="1"/>
  <c r="A87" i="1"/>
  <c r="A89" i="1"/>
  <c r="A91" i="1"/>
  <c r="A97" i="1"/>
  <c r="A99" i="1"/>
  <c r="A105" i="1"/>
  <c r="A107" i="1"/>
  <c r="A109" i="1"/>
  <c r="A111" i="1"/>
  <c r="A113" i="1"/>
  <c r="A115" i="1"/>
  <c r="A125" i="1"/>
  <c r="A127" i="1"/>
  <c r="A129" i="1"/>
  <c r="R2" i="5"/>
  <c r="T2" i="5"/>
  <c r="R3" i="5"/>
  <c r="T3" i="5"/>
  <c r="R4" i="5"/>
  <c r="T4" i="5"/>
  <c r="R5" i="5"/>
  <c r="T5" i="5"/>
  <c r="L6" i="5"/>
  <c r="N6" i="5"/>
  <c r="P6" i="5"/>
  <c r="R6" i="5"/>
  <c r="F11" i="2" s="1"/>
  <c r="T6" i="5"/>
  <c r="L7" i="5"/>
  <c r="N7" i="5"/>
  <c r="P7" i="5"/>
  <c r="R7" i="5"/>
  <c r="T7" i="5"/>
  <c r="R8" i="5"/>
  <c r="T8" i="5"/>
  <c r="R9" i="5"/>
  <c r="T9" i="5"/>
  <c r="L10" i="5"/>
  <c r="N10" i="5"/>
  <c r="P10" i="5"/>
  <c r="R10" i="5"/>
  <c r="T10" i="5"/>
  <c r="G12" i="2" s="1"/>
  <c r="L11" i="5"/>
  <c r="N11" i="5"/>
  <c r="P11" i="5"/>
  <c r="R11" i="5"/>
  <c r="T11" i="5"/>
  <c r="R12" i="5"/>
  <c r="T12" i="5"/>
  <c r="R13" i="5"/>
  <c r="T13" i="5"/>
  <c r="R14" i="5"/>
  <c r="F13" i="2" s="1"/>
  <c r="T14" i="5"/>
  <c r="R15" i="5"/>
  <c r="T15" i="5"/>
  <c r="R16" i="5"/>
  <c r="T16" i="5"/>
  <c r="R17" i="5"/>
  <c r="T17" i="5"/>
  <c r="L18" i="5"/>
  <c r="N18" i="5"/>
  <c r="P18" i="5"/>
  <c r="R18" i="5"/>
  <c r="T18" i="5"/>
  <c r="G14" i="2" s="1"/>
  <c r="L19" i="5"/>
  <c r="N19" i="5"/>
  <c r="P19" i="5"/>
  <c r="R19" i="5"/>
  <c r="T19" i="5"/>
  <c r="R20" i="5"/>
  <c r="T20" i="5"/>
  <c r="R21" i="5"/>
  <c r="T21" i="5"/>
  <c r="R22" i="5"/>
  <c r="F15" i="2" s="1"/>
  <c r="T22" i="5"/>
  <c r="R23" i="5"/>
  <c r="T23" i="5"/>
  <c r="R24" i="5"/>
  <c r="T24" i="5"/>
  <c r="R25" i="5"/>
  <c r="T25" i="5"/>
  <c r="R26" i="5"/>
  <c r="T26" i="5"/>
  <c r="G16" i="2" s="1"/>
  <c r="R27" i="5"/>
  <c r="T27" i="5"/>
  <c r="R28" i="5"/>
  <c r="T28" i="5"/>
  <c r="R29" i="5"/>
  <c r="T29" i="5"/>
  <c r="R30" i="5"/>
  <c r="F17" i="2" s="1"/>
  <c r="T30" i="5"/>
  <c r="R31" i="5"/>
  <c r="T31" i="5"/>
  <c r="R32" i="5"/>
  <c r="T32" i="5"/>
  <c r="L33" i="5"/>
  <c r="N33" i="5"/>
  <c r="P33" i="5"/>
  <c r="R33" i="5"/>
  <c r="T33" i="5"/>
  <c r="R34" i="5"/>
  <c r="T34" i="5"/>
  <c r="G18" i="2" s="1"/>
  <c r="R35" i="5"/>
  <c r="T35" i="5"/>
  <c r="R36" i="5"/>
  <c r="T36" i="5"/>
  <c r="R37" i="5"/>
  <c r="T37" i="5"/>
  <c r="L38" i="5"/>
  <c r="N38" i="5"/>
  <c r="P38" i="5"/>
  <c r="R38" i="5"/>
  <c r="T38" i="5"/>
  <c r="R39" i="5"/>
  <c r="T39" i="5"/>
  <c r="R40" i="5"/>
  <c r="T40" i="5"/>
  <c r="R41" i="5"/>
  <c r="T41" i="5"/>
  <c r="R42" i="5"/>
  <c r="T42" i="5"/>
  <c r="G20" i="2" s="1"/>
  <c r="R43" i="5"/>
  <c r="T43" i="5"/>
  <c r="L44" i="5"/>
  <c r="N44" i="5"/>
  <c r="P44" i="5"/>
  <c r="R44" i="5"/>
  <c r="T44" i="5"/>
  <c r="L45" i="5"/>
  <c r="N45" i="5"/>
  <c r="P45" i="5"/>
  <c r="R45" i="5"/>
  <c r="T45" i="5"/>
  <c r="R46" i="5"/>
  <c r="F21" i="2" s="1"/>
  <c r="T46" i="5"/>
  <c r="R47" i="5"/>
  <c r="T47" i="5"/>
  <c r="R48" i="5"/>
  <c r="T48" i="5"/>
  <c r="R49" i="5"/>
  <c r="T49" i="5"/>
  <c r="R50" i="5"/>
  <c r="T50" i="5"/>
  <c r="G22" i="2" s="1"/>
  <c r="R51" i="5"/>
  <c r="T51" i="5"/>
  <c r="R52" i="5"/>
  <c r="T52" i="5"/>
  <c r="R53" i="5"/>
  <c r="T53" i="5"/>
  <c r="R54" i="5"/>
  <c r="T54" i="5"/>
  <c r="R55" i="5"/>
  <c r="T55" i="5"/>
  <c r="R56" i="5"/>
  <c r="T56" i="5"/>
  <c r="R57" i="5"/>
  <c r="T57" i="5"/>
  <c r="L58" i="5"/>
  <c r="N58" i="5"/>
  <c r="P58" i="5"/>
  <c r="R58" i="5"/>
  <c r="K70" i="1" s="1"/>
  <c r="T58" i="5"/>
  <c r="G24" i="2" s="1"/>
  <c r="L59" i="5"/>
  <c r="N59" i="5"/>
  <c r="P59" i="5"/>
  <c r="R59" i="5"/>
  <c r="T59" i="5"/>
  <c r="R60" i="5"/>
  <c r="T60" i="5"/>
  <c r="R61" i="5"/>
  <c r="T61" i="5"/>
  <c r="L62" i="5"/>
  <c r="N62" i="5"/>
  <c r="P62" i="5"/>
  <c r="R62" i="5"/>
  <c r="F25" i="2" s="1"/>
  <c r="T62" i="5"/>
  <c r="L63" i="5"/>
  <c r="N63" i="5"/>
  <c r="P63" i="5"/>
  <c r="R63" i="5"/>
  <c r="T63" i="5"/>
  <c r="R64" i="5"/>
  <c r="T64" i="5"/>
  <c r="R65" i="5"/>
  <c r="T65" i="5"/>
  <c r="R66" i="5"/>
  <c r="T66" i="5"/>
  <c r="G26" i="2" s="1"/>
  <c r="R67" i="5"/>
  <c r="T67" i="5"/>
  <c r="R68" i="5"/>
  <c r="T68" i="5"/>
  <c r="R69" i="5"/>
  <c r="T69" i="5"/>
  <c r="R70" i="5"/>
  <c r="F27" i="2" s="1"/>
  <c r="T70" i="5"/>
  <c r="R71" i="5"/>
  <c r="T71" i="5"/>
  <c r="L72" i="5"/>
  <c r="N72" i="5"/>
  <c r="P72" i="5"/>
  <c r="R72" i="5"/>
  <c r="T72" i="5"/>
  <c r="L73" i="5"/>
  <c r="N73" i="5"/>
  <c r="P73" i="5"/>
  <c r="R73" i="5"/>
  <c r="T73" i="5"/>
  <c r="R74" i="5"/>
  <c r="T74" i="5"/>
  <c r="G28" i="2" s="1"/>
  <c r="R75" i="5"/>
  <c r="T75" i="5"/>
  <c r="R76" i="5"/>
  <c r="T76" i="5"/>
  <c r="R77" i="5"/>
  <c r="T77" i="5"/>
  <c r="R78" i="5"/>
  <c r="T78" i="5"/>
  <c r="R79" i="5"/>
  <c r="T79" i="5"/>
  <c r="R80" i="5"/>
  <c r="T80" i="5"/>
  <c r="R81" i="5"/>
  <c r="T81" i="5"/>
  <c r="L82" i="5"/>
  <c r="N82" i="5"/>
  <c r="P82" i="5"/>
  <c r="R82" i="5"/>
  <c r="T82" i="5"/>
  <c r="G30" i="2" s="1"/>
  <c r="L83" i="5"/>
  <c r="N83" i="5"/>
  <c r="P83" i="5"/>
  <c r="R83" i="5"/>
  <c r="T83" i="5"/>
  <c r="L84" i="5"/>
  <c r="N84" i="5"/>
  <c r="P84" i="5"/>
  <c r="R84" i="5"/>
  <c r="M64" i="1" s="1"/>
  <c r="T84" i="5"/>
  <c r="R85" i="5"/>
  <c r="T85" i="5"/>
  <c r="L86" i="5"/>
  <c r="N86" i="5"/>
  <c r="P86" i="5"/>
  <c r="R86" i="5"/>
  <c r="T86" i="5"/>
  <c r="L87" i="5"/>
  <c r="N87" i="5"/>
  <c r="P87" i="5"/>
  <c r="R87" i="5"/>
  <c r="L61" i="1" s="1"/>
  <c r="T87" i="5"/>
  <c r="L88" i="5"/>
  <c r="N88" i="5"/>
  <c r="P88" i="5"/>
  <c r="R88" i="5"/>
  <c r="T88" i="5"/>
  <c r="R89" i="5"/>
  <c r="T89" i="5"/>
  <c r="R90" i="5"/>
  <c r="T90" i="5"/>
  <c r="G32" i="2" s="1"/>
  <c r="R91" i="5"/>
  <c r="T91" i="5"/>
  <c r="R92" i="5"/>
  <c r="T92" i="5"/>
  <c r="R93" i="5"/>
  <c r="T93" i="5"/>
  <c r="R94" i="5"/>
  <c r="F33" i="2" s="1"/>
  <c r="T94" i="5"/>
  <c r="R95" i="5"/>
  <c r="T95" i="5"/>
  <c r="R96" i="5"/>
  <c r="T96" i="5"/>
  <c r="R97" i="5"/>
  <c r="T97" i="5"/>
  <c r="L98" i="5"/>
  <c r="N98" i="5"/>
  <c r="P98" i="5"/>
  <c r="R98" i="5"/>
  <c r="T98" i="5"/>
  <c r="G34" i="2" s="1"/>
  <c r="R99" i="5"/>
  <c r="T99" i="5"/>
  <c r="R100" i="5"/>
  <c r="T100" i="5"/>
  <c r="R101" i="5"/>
  <c r="T101" i="5"/>
  <c r="R102" i="5"/>
  <c r="T102" i="5"/>
  <c r="R103" i="5"/>
  <c r="T103" i="5"/>
  <c r="R104" i="5"/>
  <c r="T104" i="5"/>
  <c r="L105" i="5"/>
  <c r="N105" i="5"/>
  <c r="P105" i="5"/>
  <c r="R105" i="5"/>
  <c r="N71" i="1" s="1"/>
  <c r="T105" i="5"/>
  <c r="R106" i="5"/>
  <c r="T106" i="5"/>
  <c r="G36" i="2" s="1"/>
  <c r="R107" i="5"/>
  <c r="T107" i="5"/>
  <c r="R108" i="5"/>
  <c r="T108" i="5"/>
  <c r="R109" i="5"/>
  <c r="T109" i="5"/>
  <c r="R110" i="5"/>
  <c r="F37" i="2" s="1"/>
  <c r="T110" i="5"/>
  <c r="R111" i="5"/>
  <c r="T111" i="5"/>
  <c r="L112" i="5"/>
  <c r="N112" i="5"/>
  <c r="P112" i="5"/>
  <c r="R112" i="5"/>
  <c r="T112" i="5"/>
  <c r="L113" i="5"/>
  <c r="N113" i="5"/>
  <c r="P113" i="5"/>
  <c r="R113" i="5"/>
  <c r="T113" i="5"/>
  <c r="R114" i="5"/>
  <c r="T114" i="5"/>
  <c r="G38" i="2" s="1"/>
  <c r="R115" i="5"/>
  <c r="T115" i="5"/>
  <c r="R116" i="5"/>
  <c r="T116" i="5"/>
  <c r="R117" i="5"/>
  <c r="T117" i="5"/>
  <c r="L118" i="5"/>
  <c r="N118" i="5"/>
  <c r="P118" i="5"/>
  <c r="R118" i="5"/>
  <c r="F39" i="2" s="1"/>
  <c r="T118" i="5"/>
  <c r="L119" i="5"/>
  <c r="N119" i="5"/>
  <c r="P119" i="5"/>
  <c r="R119" i="5"/>
  <c r="T119" i="5"/>
  <c r="L120" i="5"/>
  <c r="N120" i="5"/>
  <c r="P120" i="5"/>
  <c r="R120" i="5"/>
  <c r="T120" i="5"/>
  <c r="R121" i="5"/>
  <c r="T121" i="5"/>
  <c r="L122" i="5"/>
  <c r="N122" i="5"/>
  <c r="P122" i="5"/>
  <c r="R122" i="5"/>
  <c r="T122" i="5"/>
  <c r="G40" i="2" s="1"/>
  <c r="L123" i="5"/>
  <c r="N123" i="5"/>
  <c r="P123" i="5"/>
  <c r="R123" i="5"/>
  <c r="L69" i="1" s="1"/>
  <c r="T123" i="5"/>
  <c r="L124" i="5"/>
  <c r="N124" i="5"/>
  <c r="P124" i="5"/>
  <c r="R124" i="5"/>
  <c r="T124" i="5"/>
  <c r="R125" i="5"/>
  <c r="T125" i="5"/>
  <c r="L126" i="5"/>
  <c r="N126" i="5"/>
  <c r="P126" i="5"/>
  <c r="R126" i="5"/>
  <c r="F41" i="2" s="1"/>
  <c r="T126" i="5"/>
  <c r="L127" i="5"/>
  <c r="N127" i="5"/>
  <c r="P127" i="5"/>
  <c r="R127" i="5"/>
  <c r="T127" i="5"/>
  <c r="L128" i="5"/>
  <c r="N128" i="5"/>
  <c r="P128" i="5"/>
  <c r="R128" i="5"/>
  <c r="T128" i="5"/>
  <c r="R129" i="5"/>
  <c r="T129" i="5"/>
  <c r="R130" i="5"/>
  <c r="T130" i="5"/>
  <c r="G42" i="2" s="1"/>
  <c r="R131" i="5"/>
  <c r="T131" i="5"/>
  <c r="R132" i="5"/>
  <c r="T132" i="5"/>
  <c r="R133" i="5"/>
  <c r="T133" i="5"/>
  <c r="L134" i="5"/>
  <c r="N134" i="5"/>
  <c r="P134" i="5"/>
  <c r="P132" i="1" s="1"/>
  <c r="I23" i="1" s="1"/>
  <c r="R134" i="5"/>
  <c r="T134" i="5"/>
  <c r="L135" i="5"/>
  <c r="N135" i="5"/>
  <c r="P135" i="5"/>
  <c r="R135" i="5"/>
  <c r="L59" i="1" s="1"/>
  <c r="T135" i="5"/>
  <c r="R136" i="5"/>
  <c r="T136" i="5"/>
  <c r="R137" i="5"/>
  <c r="T137" i="5"/>
  <c r="B3" i="6"/>
  <c r="D3" i="6"/>
  <c r="N4" i="7"/>
  <c r="AE81" i="1" s="1"/>
  <c r="V2643" i="8"/>
  <c r="V2642" i="8"/>
  <c r="V2641" i="8"/>
  <c r="V2640" i="8"/>
  <c r="V2639" i="8"/>
  <c r="V2638" i="8"/>
  <c r="V2637" i="8"/>
  <c r="V2636" i="8"/>
  <c r="V2635" i="8"/>
  <c r="V2634" i="8"/>
  <c r="V2633" i="8"/>
  <c r="V2632" i="8"/>
  <c r="V2631" i="8"/>
  <c r="V2630" i="8"/>
  <c r="V2629" i="8"/>
  <c r="V2628" i="8"/>
  <c r="V2627" i="8"/>
  <c r="V2626" i="8"/>
  <c r="V2625" i="8"/>
  <c r="V2624" i="8"/>
  <c r="V2623" i="8"/>
  <c r="V2622" i="8"/>
  <c r="V2621" i="8"/>
  <c r="V2620" i="8"/>
  <c r="V2619" i="8"/>
  <c r="V2618" i="8"/>
  <c r="V2617" i="8"/>
  <c r="V2616" i="8"/>
  <c r="V2615" i="8"/>
  <c r="V2614" i="8"/>
  <c r="V2613" i="8"/>
  <c r="V2612" i="8"/>
  <c r="V2611" i="8"/>
  <c r="V2610" i="8"/>
  <c r="V2609" i="8"/>
  <c r="V2608" i="8"/>
  <c r="V2607" i="8"/>
  <c r="V2606" i="8"/>
  <c r="V2605" i="8"/>
  <c r="V2604" i="8"/>
  <c r="V2603" i="8"/>
  <c r="V2602" i="8"/>
  <c r="V2601" i="8"/>
  <c r="V2600" i="8"/>
  <c r="V2599" i="8"/>
  <c r="V2598" i="8"/>
  <c r="V2597" i="8"/>
  <c r="V2596" i="8"/>
  <c r="V2595" i="8"/>
  <c r="V2594" i="8"/>
  <c r="V2593" i="8"/>
  <c r="V2592" i="8"/>
  <c r="V2591" i="8"/>
  <c r="V2590" i="8"/>
  <c r="V2589" i="8"/>
  <c r="V2588" i="8"/>
  <c r="V2587" i="8"/>
  <c r="V2586" i="8"/>
  <c r="V2585" i="8"/>
  <c r="V2584" i="8"/>
  <c r="V2583" i="8"/>
  <c r="V2582" i="8"/>
  <c r="V2581" i="8"/>
  <c r="V2580" i="8"/>
  <c r="V2579" i="8"/>
  <c r="V2578" i="8"/>
  <c r="V2577" i="8"/>
  <c r="V2576" i="8"/>
  <c r="V2575" i="8"/>
  <c r="V2574" i="8"/>
  <c r="V2573" i="8"/>
  <c r="V2572" i="8"/>
  <c r="V2571" i="8"/>
  <c r="V2570" i="8"/>
  <c r="V2569" i="8"/>
  <c r="V2568" i="8"/>
  <c r="V2567" i="8"/>
  <c r="V2566" i="8"/>
  <c r="V2565" i="8"/>
  <c r="V2564" i="8"/>
  <c r="V2563" i="8"/>
  <c r="V2562" i="8"/>
  <c r="V2561" i="8"/>
  <c r="V2560" i="8"/>
  <c r="V2559" i="8"/>
  <c r="V2558" i="8"/>
  <c r="V2557" i="8"/>
  <c r="V2556" i="8"/>
  <c r="V2555" i="8"/>
  <c r="V2554" i="8"/>
  <c r="V2553" i="8"/>
  <c r="V2552" i="8"/>
  <c r="V2551" i="8"/>
  <c r="V2550" i="8"/>
  <c r="V2549" i="8"/>
  <c r="V2548" i="8"/>
  <c r="V2547" i="8"/>
  <c r="V2546" i="8"/>
  <c r="V2545" i="8"/>
  <c r="V2544" i="8"/>
  <c r="V2543" i="8"/>
  <c r="V2542" i="8"/>
  <c r="V2541" i="8"/>
  <c r="V2540" i="8"/>
  <c r="V2539" i="8"/>
  <c r="V2538" i="8"/>
  <c r="V2537" i="8"/>
  <c r="V2536" i="8"/>
  <c r="V2535" i="8"/>
  <c r="V2534" i="8"/>
  <c r="V2533" i="8"/>
  <c r="V2532" i="8"/>
  <c r="V2531" i="8"/>
  <c r="V2530" i="8"/>
  <c r="V2529" i="8"/>
  <c r="V2528" i="8"/>
  <c r="V2527" i="8"/>
  <c r="V2526" i="8"/>
  <c r="V2525" i="8"/>
  <c r="V2524" i="8"/>
  <c r="V2523" i="8"/>
  <c r="V2522" i="8"/>
  <c r="V2521" i="8"/>
  <c r="V2520" i="8"/>
  <c r="V2519" i="8"/>
  <c r="V2518" i="8"/>
  <c r="V2517" i="8"/>
  <c r="V2516" i="8"/>
  <c r="V2515" i="8"/>
  <c r="V2514" i="8"/>
  <c r="V2513" i="8"/>
  <c r="V2512" i="8"/>
  <c r="V2511" i="8"/>
  <c r="V2510" i="8"/>
  <c r="V2509" i="8"/>
  <c r="V2508" i="8"/>
  <c r="V2507" i="8"/>
  <c r="V2506" i="8"/>
  <c r="V2505" i="8"/>
  <c r="V2504" i="8"/>
  <c r="V2503" i="8"/>
  <c r="V2502" i="8"/>
  <c r="V2501" i="8"/>
  <c r="V2500" i="8"/>
  <c r="V2499" i="8"/>
  <c r="V2498" i="8"/>
  <c r="V2497" i="8"/>
  <c r="V2496" i="8"/>
  <c r="V2495" i="8"/>
  <c r="V2494" i="8"/>
  <c r="V2493" i="8"/>
  <c r="V2492" i="8"/>
  <c r="V2491" i="8"/>
  <c r="V2490" i="8"/>
  <c r="V2489" i="8"/>
  <c r="V2488" i="8"/>
  <c r="V2487" i="8"/>
  <c r="V2486" i="8"/>
  <c r="V2485" i="8"/>
  <c r="V2484" i="8"/>
  <c r="V2483" i="8"/>
  <c r="V2482" i="8"/>
  <c r="V2481" i="8"/>
  <c r="V2480" i="8"/>
  <c r="T2480" i="8" s="1"/>
  <c r="V2479" i="8"/>
  <c r="T2479" i="8" s="1"/>
  <c r="V2478" i="8"/>
  <c r="T2478" i="8" s="1"/>
  <c r="V2477" i="8"/>
  <c r="T2477" i="8" s="1"/>
  <c r="V2476" i="8"/>
  <c r="T2476" i="8" s="1"/>
  <c r="V2475" i="8"/>
  <c r="T2475" i="8" s="1"/>
  <c r="V2474" i="8"/>
  <c r="T2474" i="8" s="1"/>
  <c r="P14" i="5" s="1"/>
  <c r="N6" i="7"/>
  <c r="AE83" i="1" s="1"/>
  <c r="V3923" i="8"/>
  <c r="V3922" i="8"/>
  <c r="V3921" i="8"/>
  <c r="V3920" i="8"/>
  <c r="V3919" i="8"/>
  <c r="V3918" i="8"/>
  <c r="V3917" i="8"/>
  <c r="V3916" i="8"/>
  <c r="V3915" i="8"/>
  <c r="V3914" i="8"/>
  <c r="V3913" i="8"/>
  <c r="V3912" i="8"/>
  <c r="V3911" i="8"/>
  <c r="V3910" i="8"/>
  <c r="V3909" i="8"/>
  <c r="V3908" i="8"/>
  <c r="V3907" i="8"/>
  <c r="V3906" i="8"/>
  <c r="V3905" i="8"/>
  <c r="V3904" i="8"/>
  <c r="V3903" i="8"/>
  <c r="V3902" i="8"/>
  <c r="V3901" i="8"/>
  <c r="V3900" i="8"/>
  <c r="V3899" i="8"/>
  <c r="V3898" i="8"/>
  <c r="V3897" i="8"/>
  <c r="V3896" i="8"/>
  <c r="V3895" i="8"/>
  <c r="V3894" i="8"/>
  <c r="V3893" i="8"/>
  <c r="V3892" i="8"/>
  <c r="V3891" i="8"/>
  <c r="V3890" i="8"/>
  <c r="V3889" i="8"/>
  <c r="V3888" i="8"/>
  <c r="V3887" i="8"/>
  <c r="V3886" i="8"/>
  <c r="V3885" i="8"/>
  <c r="V3884" i="8"/>
  <c r="V3883" i="8"/>
  <c r="V3882" i="8"/>
  <c r="V3881" i="8"/>
  <c r="V3880" i="8"/>
  <c r="V3879" i="8"/>
  <c r="V3878" i="8"/>
  <c r="V3877" i="8"/>
  <c r="V3876" i="8"/>
  <c r="V3875" i="8"/>
  <c r="V3874" i="8"/>
  <c r="V3873" i="8"/>
  <c r="V3872" i="8"/>
  <c r="V3871" i="8"/>
  <c r="V3870" i="8"/>
  <c r="V3869" i="8"/>
  <c r="V3868" i="8"/>
  <c r="V3867" i="8"/>
  <c r="V3866" i="8"/>
  <c r="V3865" i="8"/>
  <c r="V3864" i="8"/>
  <c r="V3863" i="8"/>
  <c r="V3862" i="8"/>
  <c r="V3861" i="8"/>
  <c r="U3861" i="8" s="1"/>
  <c r="V3860" i="8"/>
  <c r="V3859" i="8"/>
  <c r="V3858" i="8"/>
  <c r="V3857" i="8"/>
  <c r="V3856" i="8"/>
  <c r="V3855" i="8"/>
  <c r="V3854" i="8"/>
  <c r="V3853" i="8"/>
  <c r="V3852" i="8"/>
  <c r="V3851" i="8"/>
  <c r="V3850" i="8"/>
  <c r="V3849" i="8"/>
  <c r="V3848" i="8"/>
  <c r="V3847" i="8"/>
  <c r="V3846" i="8"/>
  <c r="V3845" i="8"/>
  <c r="V3844" i="8"/>
  <c r="V3843" i="8"/>
  <c r="V3842" i="8"/>
  <c r="V3841" i="8"/>
  <c r="V3840" i="8"/>
  <c r="V3839" i="8"/>
  <c r="V3838" i="8"/>
  <c r="V3837" i="8"/>
  <c r="V3836" i="8"/>
  <c r="V3835" i="8"/>
  <c r="V3834" i="8"/>
  <c r="V3833" i="8"/>
  <c r="V3832" i="8"/>
  <c r="V3831" i="8"/>
  <c r="V3830" i="8"/>
  <c r="V3829" i="8"/>
  <c r="V3828" i="8"/>
  <c r="V3827" i="8"/>
  <c r="V3826" i="8"/>
  <c r="V3825" i="8"/>
  <c r="V3824" i="8"/>
  <c r="V3823" i="8"/>
  <c r="V3822" i="8"/>
  <c r="V3821" i="8"/>
  <c r="V3820" i="8"/>
  <c r="V3819" i="8"/>
  <c r="V3818" i="8"/>
  <c r="V3817" i="8"/>
  <c r="V3816" i="8"/>
  <c r="V3815" i="8"/>
  <c r="V3814" i="8"/>
  <c r="V3813" i="8"/>
  <c r="V3812" i="8"/>
  <c r="V3811" i="8"/>
  <c r="V3810" i="8"/>
  <c r="V3809" i="8"/>
  <c r="V3808" i="8"/>
  <c r="V3807" i="8"/>
  <c r="V3806" i="8"/>
  <c r="V3805" i="8"/>
  <c r="V3804" i="8"/>
  <c r="V3803" i="8"/>
  <c r="V3802" i="8"/>
  <c r="V3801" i="8"/>
  <c r="V3800" i="8"/>
  <c r="V3799" i="8"/>
  <c r="V3798" i="8"/>
  <c r="V3797" i="8"/>
  <c r="V3796" i="8"/>
  <c r="V3795" i="8"/>
  <c r="V3794" i="8"/>
  <c r="V3793" i="8"/>
  <c r="V3792" i="8"/>
  <c r="V3791" i="8"/>
  <c r="V3790" i="8"/>
  <c r="V3789" i="8"/>
  <c r="V3788" i="8"/>
  <c r="V3787" i="8"/>
  <c r="V3786" i="8"/>
  <c r="V3785" i="8"/>
  <c r="V3784" i="8"/>
  <c r="V3783" i="8"/>
  <c r="V3782" i="8"/>
  <c r="V3781" i="8"/>
  <c r="V3780" i="8"/>
  <c r="V3779" i="8"/>
  <c r="V3778" i="8"/>
  <c r="V3777" i="8"/>
  <c r="V3776" i="8"/>
  <c r="V3775" i="8"/>
  <c r="V3774" i="8"/>
  <c r="V3773" i="8"/>
  <c r="V3772" i="8"/>
  <c r="V3771" i="8"/>
  <c r="V3770" i="8"/>
  <c r="N8" i="7"/>
  <c r="AE85" i="1" s="1"/>
  <c r="V3011" i="8"/>
  <c r="V3010" i="8"/>
  <c r="V3009" i="8"/>
  <c r="V3008" i="8"/>
  <c r="V3007" i="8"/>
  <c r="V3006" i="8"/>
  <c r="V3005" i="8"/>
  <c r="V3004" i="8"/>
  <c r="V3003" i="8"/>
  <c r="V3002" i="8"/>
  <c r="V3001" i="8"/>
  <c r="V3000" i="8"/>
  <c r="V2999" i="8"/>
  <c r="V2998" i="8"/>
  <c r="V2997" i="8"/>
  <c r="V2996" i="8"/>
  <c r="V2995" i="8"/>
  <c r="V2994" i="8"/>
  <c r="V2993" i="8"/>
  <c r="V2992" i="8"/>
  <c r="V2991" i="8"/>
  <c r="V2990" i="8"/>
  <c r="V2989" i="8"/>
  <c r="V2988" i="8"/>
  <c r="V2987" i="8"/>
  <c r="V2986" i="8"/>
  <c r="V2985" i="8"/>
  <c r="V2984" i="8"/>
  <c r="V2983" i="8"/>
  <c r="V2982" i="8"/>
  <c r="V2981" i="8"/>
  <c r="V2980" i="8"/>
  <c r="V2979" i="8"/>
  <c r="V2978" i="8"/>
  <c r="V2977" i="8"/>
  <c r="V2976" i="8"/>
  <c r="V2975" i="8"/>
  <c r="V2974" i="8"/>
  <c r="V2973" i="8"/>
  <c r="V2972" i="8"/>
  <c r="V2971" i="8"/>
  <c r="V2970" i="8"/>
  <c r="V2969" i="8"/>
  <c r="V2968" i="8"/>
  <c r="V2967" i="8"/>
  <c r="V2966" i="8"/>
  <c r="V2965" i="8"/>
  <c r="V2964" i="8"/>
  <c r="V2963" i="8"/>
  <c r="V2962" i="8"/>
  <c r="V2961" i="8"/>
  <c r="V2960" i="8"/>
  <c r="V2959" i="8"/>
  <c r="V2958" i="8"/>
  <c r="V2957" i="8"/>
  <c r="V2956" i="8"/>
  <c r="V2955" i="8"/>
  <c r="V2954" i="8"/>
  <c r="V2953" i="8"/>
  <c r="V2952" i="8"/>
  <c r="V2951" i="8"/>
  <c r="V2950" i="8"/>
  <c r="V2949" i="8"/>
  <c r="V2948" i="8"/>
  <c r="V2947" i="8"/>
  <c r="V2946" i="8"/>
  <c r="V2945" i="8"/>
  <c r="V2944" i="8"/>
  <c r="V2943" i="8"/>
  <c r="V2942" i="8"/>
  <c r="V2941" i="8"/>
  <c r="V2940" i="8"/>
  <c r="V2939" i="8"/>
  <c r="V2938" i="8"/>
  <c r="V2937" i="8"/>
  <c r="V2936" i="8"/>
  <c r="V2935" i="8"/>
  <c r="V2934" i="8"/>
  <c r="V2933" i="8"/>
  <c r="V2932" i="8"/>
  <c r="V2931" i="8"/>
  <c r="V2930" i="8"/>
  <c r="V2929" i="8"/>
  <c r="V2928" i="8"/>
  <c r="V2927" i="8"/>
  <c r="V2926" i="8"/>
  <c r="V2925" i="8"/>
  <c r="V2924" i="8"/>
  <c r="V2923" i="8"/>
  <c r="V2922" i="8"/>
  <c r="V2921" i="8"/>
  <c r="V2920" i="8"/>
  <c r="V2919" i="8"/>
  <c r="V2918" i="8"/>
  <c r="V2917" i="8"/>
  <c r="V2916" i="8"/>
  <c r="V2915" i="8"/>
  <c r="V2914" i="8"/>
  <c r="V2913" i="8"/>
  <c r="V2912" i="8"/>
  <c r="V2911" i="8"/>
  <c r="V2910" i="8"/>
  <c r="V2909" i="8"/>
  <c r="V2908" i="8"/>
  <c r="N10" i="7"/>
  <c r="AE88" i="1" s="1"/>
  <c r="N12" i="7"/>
  <c r="AE92" i="1" s="1"/>
  <c r="N14" i="7"/>
  <c r="AE95" i="1" s="1"/>
  <c r="N16" i="7"/>
  <c r="AE98" i="1" s="1"/>
  <c r="V3643" i="8"/>
  <c r="V3642" i="8"/>
  <c r="V3641" i="8"/>
  <c r="V3640" i="8"/>
  <c r="V3639" i="8"/>
  <c r="V3638" i="8"/>
  <c r="V3637" i="8"/>
  <c r="V3636" i="8"/>
  <c r="V3635" i="8"/>
  <c r="V3634" i="8"/>
  <c r="V3633" i="8"/>
  <c r="V3632" i="8"/>
  <c r="V3631" i="8"/>
  <c r="V3630" i="8"/>
  <c r="V3629" i="8"/>
  <c r="V3628" i="8"/>
  <c r="V3627" i="8"/>
  <c r="V3626" i="8"/>
  <c r="V3625" i="8"/>
  <c r="V3624" i="8"/>
  <c r="V3623" i="8"/>
  <c r="V3622" i="8"/>
  <c r="V3621" i="8"/>
  <c r="V3620" i="8"/>
  <c r="V3619" i="8"/>
  <c r="V3618" i="8"/>
  <c r="V3617" i="8"/>
  <c r="V3616" i="8"/>
  <c r="V3615" i="8"/>
  <c r="V3614" i="8"/>
  <c r="V3613" i="8"/>
  <c r="V3612" i="8"/>
  <c r="V3611" i="8"/>
  <c r="V3610" i="8"/>
  <c r="V3609" i="8"/>
  <c r="V3608" i="8"/>
  <c r="V3607" i="8"/>
  <c r="V3606" i="8"/>
  <c r="V3605" i="8"/>
  <c r="V3604" i="8"/>
  <c r="V3603" i="8"/>
  <c r="V3602" i="8"/>
  <c r="V3601" i="8"/>
  <c r="V3600" i="8"/>
  <c r="V3599" i="8"/>
  <c r="V3598" i="8"/>
  <c r="V3597" i="8"/>
  <c r="V3596" i="8"/>
  <c r="V3595" i="8"/>
  <c r="V3594" i="8"/>
  <c r="V3593" i="8"/>
  <c r="V3592" i="8"/>
  <c r="V3591" i="8"/>
  <c r="V3590" i="8"/>
  <c r="V3589" i="8"/>
  <c r="V3588" i="8"/>
  <c r="V3587" i="8"/>
  <c r="V3586" i="8"/>
  <c r="V3585" i="8"/>
  <c r="V3584" i="8"/>
  <c r="V3583" i="8"/>
  <c r="V3582" i="8"/>
  <c r="V3581" i="8"/>
  <c r="V3580" i="8"/>
  <c r="V3579" i="8"/>
  <c r="V3578" i="8"/>
  <c r="V3577" i="8"/>
  <c r="V3576" i="8"/>
  <c r="V3575" i="8"/>
  <c r="V3574" i="8"/>
  <c r="N18" i="7"/>
  <c r="AE101" i="1" s="1"/>
  <c r="V3504" i="8"/>
  <c r="V3503" i="8"/>
  <c r="V3502" i="8"/>
  <c r="V3501" i="8"/>
  <c r="V3500" i="8"/>
  <c r="V3499" i="8"/>
  <c r="V3498" i="8"/>
  <c r="V3497" i="8"/>
  <c r="V3496" i="8"/>
  <c r="V3495" i="8"/>
  <c r="V3494" i="8"/>
  <c r="V3493" i="8"/>
  <c r="V3492" i="8"/>
  <c r="V3491" i="8"/>
  <c r="V3490" i="8"/>
  <c r="V3489" i="8"/>
  <c r="V3488" i="8"/>
  <c r="V3487" i="8"/>
  <c r="V3486" i="8"/>
  <c r="V3485" i="8"/>
  <c r="V3484" i="8"/>
  <c r="V3483" i="8"/>
  <c r="V3482" i="8"/>
  <c r="V3481" i="8"/>
  <c r="V3480" i="8"/>
  <c r="V3479" i="8"/>
  <c r="V3478" i="8"/>
  <c r="V3477" i="8"/>
  <c r="V3476" i="8"/>
  <c r="V3475" i="8"/>
  <c r="V3474" i="8"/>
  <c r="N20" i="7"/>
  <c r="AE104" i="1" s="1"/>
  <c r="N22" i="7"/>
  <c r="AE108" i="1" s="1"/>
  <c r="N24" i="7"/>
  <c r="AE112" i="1" s="1"/>
  <c r="N26" i="7"/>
  <c r="AE116" i="1" s="1"/>
  <c r="N28" i="7"/>
  <c r="AE119" i="1" s="1"/>
  <c r="V3196" i="8"/>
  <c r="V3194" i="8"/>
  <c r="V3192" i="8"/>
  <c r="V3190" i="8"/>
  <c r="V3188" i="8"/>
  <c r="V3186" i="8"/>
  <c r="V3184" i="8"/>
  <c r="V3182" i="8"/>
  <c r="V3180" i="8"/>
  <c r="V3178" i="8"/>
  <c r="V3176" i="8"/>
  <c r="V3174" i="8"/>
  <c r="V3172" i="8"/>
  <c r="V3170" i="8"/>
  <c r="V3168" i="8"/>
  <c r="V3195" i="8"/>
  <c r="V3193" i="8"/>
  <c r="V3191" i="8"/>
  <c r="V3189" i="8"/>
  <c r="V3187" i="8"/>
  <c r="V3185" i="8"/>
  <c r="V3183" i="8"/>
  <c r="V3181" i="8"/>
  <c r="V3179" i="8"/>
  <c r="V3177" i="8"/>
  <c r="V3175" i="8"/>
  <c r="V3173" i="8"/>
  <c r="V3171" i="8"/>
  <c r="V3169" i="8"/>
  <c r="N30" i="7"/>
  <c r="AE122" i="1" s="1"/>
  <c r="V4094" i="8"/>
  <c r="T4094" i="8" s="1"/>
  <c r="V4093" i="8"/>
  <c r="T4093" i="8" s="1"/>
  <c r="V4092" i="8"/>
  <c r="T4092" i="8" s="1"/>
  <c r="V4091" i="8"/>
  <c r="T4091" i="8" s="1"/>
  <c r="V4090" i="8"/>
  <c r="T4090" i="8" s="1"/>
  <c r="V4089" i="8"/>
  <c r="T4089" i="8" s="1"/>
  <c r="V4088" i="8"/>
  <c r="T4088" i="8" s="1"/>
  <c r="V4087" i="8"/>
  <c r="T4087" i="8" s="1"/>
  <c r="V4086" i="8"/>
  <c r="T4086" i="8" s="1"/>
  <c r="V4085" i="8"/>
  <c r="V4084" i="8"/>
  <c r="V4083" i="8"/>
  <c r="V4082" i="8"/>
  <c r="V4081" i="8"/>
  <c r="V4080" i="8"/>
  <c r="T4080" i="8" s="1"/>
  <c r="V4079" i="8"/>
  <c r="T4079" i="8" s="1"/>
  <c r="V4078" i="8"/>
  <c r="T4078" i="8" s="1"/>
  <c r="V4077" i="8"/>
  <c r="T4077" i="8" s="1"/>
  <c r="V4076" i="8"/>
  <c r="T4076" i="8" s="1"/>
  <c r="V4075" i="8"/>
  <c r="T4075" i="8" s="1"/>
  <c r="V4074" i="8"/>
  <c r="T4074" i="8" s="1"/>
  <c r="V4073" i="8"/>
  <c r="T4073" i="8" s="1"/>
  <c r="V4072" i="8"/>
  <c r="T4072" i="8" s="1"/>
  <c r="V4071" i="8"/>
  <c r="V4070" i="8"/>
  <c r="T4070" i="8" s="1"/>
  <c r="V4069" i="8"/>
  <c r="T4069" i="8" s="1"/>
  <c r="V4068" i="8"/>
  <c r="T4068" i="8" s="1"/>
  <c r="V4067" i="8"/>
  <c r="T4067" i="8" s="1"/>
  <c r="P121" i="5" s="1"/>
  <c r="N32" i="7"/>
  <c r="AE124" i="1" s="1"/>
  <c r="N34" i="7"/>
  <c r="AE128" i="1" s="1"/>
  <c r="V2125" i="8"/>
  <c r="T2125" i="8" s="1"/>
  <c r="V2124" i="8"/>
  <c r="T2124" i="8" s="1"/>
  <c r="V2123" i="8"/>
  <c r="T2123" i="8" s="1"/>
  <c r="V2122" i="8"/>
  <c r="T2122" i="8" s="1"/>
  <c r="V2121" i="8"/>
  <c r="T2121" i="8" s="1"/>
  <c r="V2120" i="8"/>
  <c r="T2120" i="8" s="1"/>
  <c r="V2119" i="8"/>
  <c r="T2119" i="8" s="1"/>
  <c r="V2118" i="8"/>
  <c r="T2118" i="8" s="1"/>
  <c r="V2117" i="8"/>
  <c r="T2117" i="8" s="1"/>
  <c r="V2116" i="8"/>
  <c r="T2116" i="8" s="1"/>
  <c r="V2115" i="8"/>
  <c r="T2115" i="8" s="1"/>
  <c r="V2114" i="8"/>
  <c r="T2114" i="8" s="1"/>
  <c r="V2113" i="8"/>
  <c r="T2113" i="8" s="1"/>
  <c r="V2112" i="8"/>
  <c r="T2112" i="8" s="1"/>
  <c r="V2111" i="8"/>
  <c r="T2111" i="8" s="1"/>
  <c r="V2110" i="8"/>
  <c r="T2110" i="8" s="1"/>
  <c r="V2109" i="8"/>
  <c r="T2109" i="8" s="1"/>
  <c r="V2108" i="8"/>
  <c r="T2108" i="8" s="1"/>
  <c r="V2107" i="8"/>
  <c r="T2107" i="8" s="1"/>
  <c r="V2106" i="8"/>
  <c r="T2106" i="8" s="1"/>
  <c r="V2105" i="8"/>
  <c r="T2105" i="8" s="1"/>
  <c r="V2104" i="8"/>
  <c r="T2104" i="8" s="1"/>
  <c r="V2103" i="8"/>
  <c r="T2103" i="8" s="1"/>
  <c r="V2102" i="8"/>
  <c r="T2102" i="8" s="1"/>
  <c r="V2101" i="8"/>
  <c r="T2101" i="8" s="1"/>
  <c r="V2100" i="8"/>
  <c r="T2100" i="8" s="1"/>
  <c r="V2099" i="8"/>
  <c r="T2099" i="8" s="1"/>
  <c r="V2098" i="8"/>
  <c r="T2098" i="8" s="1"/>
  <c r="V2097" i="8"/>
  <c r="T2097" i="8" s="1"/>
  <c r="V2096" i="8"/>
  <c r="T2096" i="8" s="1"/>
  <c r="V2095" i="8"/>
  <c r="T2095" i="8" s="1"/>
  <c r="V2094" i="8"/>
  <c r="T2094" i="8" s="1"/>
  <c r="V2093" i="8"/>
  <c r="T2093" i="8" s="1"/>
  <c r="V2092" i="8"/>
  <c r="T2092" i="8" s="1"/>
  <c r="V2091" i="8"/>
  <c r="T2091" i="8" s="1"/>
  <c r="V2090" i="8"/>
  <c r="T2090" i="8" s="1"/>
  <c r="V2089" i="8"/>
  <c r="T2089" i="8" s="1"/>
  <c r="V2088" i="8"/>
  <c r="T2088" i="8" s="1"/>
  <c r="V2087" i="8"/>
  <c r="T2087" i="8" s="1"/>
  <c r="V2086" i="8"/>
  <c r="T2086" i="8" s="1"/>
  <c r="P137" i="5" s="1"/>
  <c r="V2085" i="8"/>
  <c r="T2085" i="8" s="1"/>
  <c r="V2084" i="8"/>
  <c r="T2084" i="8" s="1"/>
  <c r="V2083" i="8"/>
  <c r="T2083" i="8" s="1"/>
  <c r="V2082" i="8"/>
  <c r="T2082" i="8" s="1"/>
  <c r="V2081" i="8"/>
  <c r="T2081" i="8" s="1"/>
  <c r="V2080" i="8"/>
  <c r="T2080" i="8" s="1"/>
  <c r="V2079" i="8"/>
  <c r="T2079" i="8" s="1"/>
  <c r="V2078" i="8"/>
  <c r="T2078" i="8" s="1"/>
  <c r="V2077" i="8"/>
  <c r="T2077" i="8" s="1"/>
  <c r="V2076" i="8"/>
  <c r="T2076" i="8" s="1"/>
  <c r="V2075" i="8"/>
  <c r="T2075" i="8" s="1"/>
  <c r="V2074" i="8"/>
  <c r="T2074" i="8" s="1"/>
  <c r="V2073" i="8"/>
  <c r="T2073" i="8" s="1"/>
  <c r="V2072" i="8"/>
  <c r="T2072" i="8" s="1"/>
  <c r="V2071" i="8"/>
  <c r="T2071" i="8" s="1"/>
  <c r="V2070" i="8"/>
  <c r="T2070" i="8" s="1"/>
  <c r="V2069" i="8"/>
  <c r="T2069" i="8" s="1"/>
  <c r="V2068" i="8"/>
  <c r="T2068" i="8" s="1"/>
  <c r="V2067" i="8"/>
  <c r="T2067" i="8" s="1"/>
  <c r="V2066" i="8"/>
  <c r="T2066" i="8" s="1"/>
  <c r="V2065" i="8"/>
  <c r="T2065" i="8" s="1"/>
  <c r="V2064" i="8"/>
  <c r="T2064" i="8" s="1"/>
  <c r="V2063" i="8"/>
  <c r="T2063" i="8" s="1"/>
  <c r="V2062" i="8"/>
  <c r="T2062" i="8" s="1"/>
  <c r="V2061" i="8"/>
  <c r="T2061" i="8" s="1"/>
  <c r="V2060" i="8"/>
  <c r="T2060" i="8" s="1"/>
  <c r="P136" i="5" s="1"/>
  <c r="V2059" i="8"/>
  <c r="T2059" i="8" s="1"/>
  <c r="N36" i="7"/>
  <c r="AE132" i="1" s="1"/>
  <c r="O2" i="8"/>
  <c r="O4" i="8"/>
  <c r="O6" i="8"/>
  <c r="O8" i="8"/>
  <c r="O10" i="8"/>
  <c r="O12" i="8"/>
  <c r="O14" i="8"/>
  <c r="O16" i="8"/>
  <c r="O18" i="8"/>
  <c r="O20" i="8"/>
  <c r="O22" i="8"/>
  <c r="O24" i="8"/>
  <c r="O26" i="8"/>
  <c r="O28" i="8"/>
  <c r="O30" i="8"/>
  <c r="O32" i="8"/>
  <c r="O34" i="8"/>
  <c r="O36" i="8"/>
  <c r="O37" i="8"/>
  <c r="O38" i="8"/>
  <c r="O39" i="8"/>
  <c r="O40" i="8"/>
  <c r="O41" i="8"/>
  <c r="O42" i="8"/>
  <c r="O44" i="8"/>
  <c r="O47" i="8"/>
  <c r="O48" i="8"/>
  <c r="O50" i="8"/>
  <c r="O52" i="8"/>
  <c r="O54" i="8"/>
  <c r="O57" i="8"/>
  <c r="O58" i="8"/>
  <c r="O59" i="8"/>
  <c r="O60" i="8"/>
  <c r="O61" i="8"/>
  <c r="O62" i="8"/>
  <c r="O63" i="8"/>
  <c r="O64" i="8"/>
  <c r="O65" i="8"/>
  <c r="O66" i="8"/>
  <c r="O67" i="8"/>
  <c r="O68" i="8"/>
  <c r="R68" i="8" s="1"/>
  <c r="S68" i="8" s="1"/>
  <c r="U68" i="8"/>
  <c r="W68" i="8"/>
  <c r="O69" i="8"/>
  <c r="O70" i="8"/>
  <c r="O73" i="8"/>
  <c r="O74" i="8"/>
  <c r="O76" i="8"/>
  <c r="O78" i="8"/>
  <c r="O80" i="8"/>
  <c r="O81" i="8"/>
  <c r="O82" i="8"/>
  <c r="U83" i="8"/>
  <c r="W83" i="8"/>
  <c r="O84" i="8"/>
  <c r="O86" i="8"/>
  <c r="O88" i="8"/>
  <c r="O90" i="8"/>
  <c r="O92" i="8"/>
  <c r="O94" i="8"/>
  <c r="U95" i="8"/>
  <c r="W95" i="8"/>
  <c r="O96" i="8"/>
  <c r="O98" i="8"/>
  <c r="O100" i="8"/>
  <c r="O102" i="8"/>
  <c r="O104" i="8"/>
  <c r="O106" i="8"/>
  <c r="O108" i="8"/>
  <c r="O110" i="8"/>
  <c r="O112" i="8"/>
  <c r="O114" i="8"/>
  <c r="O116" i="8"/>
  <c r="O118" i="8"/>
  <c r="O120" i="8"/>
  <c r="O122" i="8"/>
  <c r="O124" i="8"/>
  <c r="O126" i="8"/>
  <c r="O128" i="8"/>
  <c r="O130" i="8"/>
  <c r="O132"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2" i="8"/>
  <c r="O224" i="8"/>
  <c r="O227" i="8"/>
  <c r="O228" i="8"/>
  <c r="O230" i="8"/>
  <c r="O232" i="8"/>
  <c r="O234" i="8"/>
  <c r="O236" i="8"/>
  <c r="O238" i="8"/>
  <c r="O240" i="8"/>
  <c r="O242" i="8"/>
  <c r="O244" i="8"/>
  <c r="O246" i="8"/>
  <c r="O248" i="8"/>
  <c r="O250" i="8"/>
  <c r="O252" i="8"/>
  <c r="O254" i="8"/>
  <c r="O256" i="8"/>
  <c r="U257" i="8"/>
  <c r="W257" i="8"/>
  <c r="O258" i="8"/>
  <c r="O260" i="8"/>
  <c r="O262" i="8"/>
  <c r="O264" i="8"/>
  <c r="O266" i="8"/>
  <c r="O268" i="8"/>
  <c r="O270" i="8"/>
  <c r="O272" i="8"/>
  <c r="O274" i="8"/>
  <c r="O276" i="8"/>
  <c r="O277" i="8"/>
  <c r="O278" i="8"/>
  <c r="O279" i="8"/>
  <c r="O280" i="8"/>
  <c r="O281" i="8"/>
  <c r="O282" i="8"/>
  <c r="O283" i="8"/>
  <c r="O284" i="8"/>
  <c r="O285" i="8"/>
  <c r="O286" i="8"/>
  <c r="O288" i="8"/>
  <c r="O290" i="8"/>
  <c r="O292" i="8"/>
  <c r="O294" i="8"/>
  <c r="O296" i="8"/>
  <c r="O298" i="8"/>
  <c r="O300" i="8"/>
  <c r="O302" i="8"/>
  <c r="O304" i="8"/>
  <c r="O306" i="8"/>
  <c r="O308" i="8"/>
  <c r="O310" i="8"/>
  <c r="O312" i="8"/>
  <c r="O314" i="8"/>
  <c r="O316" i="8"/>
  <c r="O318" i="8"/>
  <c r="O320" i="8"/>
  <c r="O322" i="8"/>
  <c r="O324" i="8"/>
  <c r="O326"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70" i="8"/>
  <c r="O372" i="8"/>
  <c r="O375" i="8"/>
  <c r="O376" i="8"/>
  <c r="O378" i="8"/>
  <c r="O379" i="8"/>
  <c r="O380" i="8"/>
  <c r="O381" i="8"/>
  <c r="O382" i="8"/>
  <c r="O383" i="8"/>
  <c r="O384" i="8"/>
  <c r="O385" i="8"/>
  <c r="O386" i="8"/>
  <c r="O387" i="8"/>
  <c r="O388" i="8"/>
  <c r="O390" i="8"/>
  <c r="O392" i="8"/>
  <c r="O396" i="8"/>
  <c r="O398" i="8"/>
  <c r="O400" i="8"/>
  <c r="O402" i="8"/>
  <c r="O404" i="8"/>
  <c r="O406" i="8"/>
  <c r="U407" i="8"/>
  <c r="W407" i="8"/>
  <c r="O408" i="8"/>
  <c r="O409" i="8"/>
  <c r="O410" i="8"/>
  <c r="O411" i="8"/>
  <c r="O412" i="8"/>
  <c r="O413" i="8"/>
  <c r="O414" i="8"/>
  <c r="O415" i="8"/>
  <c r="O416" i="8"/>
  <c r="O417" i="8"/>
  <c r="O418" i="8"/>
  <c r="O419" i="8"/>
  <c r="O420" i="8"/>
  <c r="O422" i="8"/>
  <c r="O424" i="8"/>
  <c r="O426"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R488" i="8" s="1"/>
  <c r="S488" i="8" s="1"/>
  <c r="U488" i="8"/>
  <c r="W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6" i="8"/>
  <c r="O528" i="8"/>
  <c r="O530" i="8"/>
  <c r="O533" i="8"/>
  <c r="O534" i="8"/>
  <c r="O536" i="8"/>
  <c r="O538" i="8"/>
  <c r="O540" i="8"/>
  <c r="O542" i="8"/>
  <c r="O544" i="8"/>
  <c r="O546" i="8"/>
  <c r="O548" i="8"/>
  <c r="O550" i="8"/>
  <c r="O552" i="8"/>
  <c r="O554" i="8"/>
  <c r="O556" i="8"/>
  <c r="O558" i="8"/>
  <c r="U559" i="8"/>
  <c r="W559" i="8"/>
  <c r="O560" i="8"/>
  <c r="R560" i="8" s="1"/>
  <c r="S560" i="8" s="1"/>
  <c r="U560" i="8"/>
  <c r="W560" i="8"/>
  <c r="U561" i="8"/>
  <c r="W561" i="8"/>
  <c r="O562" i="8"/>
  <c r="R562" i="8" s="1"/>
  <c r="S562" i="8" s="1"/>
  <c r="U562" i="8"/>
  <c r="W562" i="8"/>
  <c r="U563" i="8"/>
  <c r="W563" i="8"/>
  <c r="O564" i="8"/>
  <c r="R564" i="8" s="1"/>
  <c r="S564" i="8" s="1"/>
  <c r="U564" i="8"/>
  <c r="W564" i="8"/>
  <c r="U565" i="8"/>
  <c r="W565" i="8"/>
  <c r="O566" i="8"/>
  <c r="R566" i="8" s="1"/>
  <c r="S566" i="8" s="1"/>
  <c r="U566" i="8"/>
  <c r="W566" i="8"/>
  <c r="U567" i="8"/>
  <c r="W567" i="8"/>
  <c r="O568" i="8"/>
  <c r="R568" i="8" s="1"/>
  <c r="S568" i="8" s="1"/>
  <c r="U568" i="8"/>
  <c r="W568" i="8"/>
  <c r="U569" i="8"/>
  <c r="W569" i="8"/>
  <c r="O570" i="8"/>
  <c r="R570" i="8" s="1"/>
  <c r="S570" i="8" s="1"/>
  <c r="U570" i="8"/>
  <c r="W570" i="8"/>
  <c r="U571" i="8"/>
  <c r="W571" i="8"/>
  <c r="O572" i="8"/>
  <c r="R572" i="8" s="1"/>
  <c r="S572" i="8" s="1"/>
  <c r="U572" i="8"/>
  <c r="W572" i="8"/>
  <c r="U573" i="8"/>
  <c r="W573" i="8"/>
  <c r="O574" i="8"/>
  <c r="R574" i="8" s="1"/>
  <c r="S574" i="8" s="1"/>
  <c r="U574" i="8"/>
  <c r="W574" i="8"/>
  <c r="U575" i="8"/>
  <c r="W575" i="8"/>
  <c r="O576" i="8"/>
  <c r="R576" i="8" s="1"/>
  <c r="S576" i="8" s="1"/>
  <c r="U576" i="8"/>
  <c r="W576" i="8"/>
  <c r="U577" i="8"/>
  <c r="W577" i="8"/>
  <c r="O578" i="8"/>
  <c r="R578" i="8" s="1"/>
  <c r="S578" i="8" s="1"/>
  <c r="U578" i="8"/>
  <c r="W578" i="8"/>
  <c r="U579" i="8"/>
  <c r="W579" i="8"/>
  <c r="O580" i="8"/>
  <c r="R580" i="8" s="1"/>
  <c r="S580" i="8" s="1"/>
  <c r="U580" i="8"/>
  <c r="W580" i="8"/>
  <c r="U581" i="8"/>
  <c r="W581" i="8"/>
  <c r="O582" i="8"/>
  <c r="R582" i="8" s="1"/>
  <c r="S582" i="8" s="1"/>
  <c r="U582" i="8"/>
  <c r="W582" i="8"/>
  <c r="U583" i="8"/>
  <c r="W583" i="8"/>
  <c r="O584" i="8"/>
  <c r="R584" i="8" s="1"/>
  <c r="S584" i="8" s="1"/>
  <c r="U584" i="8"/>
  <c r="W584" i="8"/>
  <c r="U585" i="8"/>
  <c r="W585" i="8"/>
  <c r="O586" i="8"/>
  <c r="R586" i="8" s="1"/>
  <c r="S586" i="8" s="1"/>
  <c r="U586" i="8"/>
  <c r="W586" i="8"/>
  <c r="U587" i="8"/>
  <c r="W587" i="8"/>
  <c r="O588" i="8"/>
  <c r="R588" i="8" s="1"/>
  <c r="S588" i="8" s="1"/>
  <c r="U588" i="8"/>
  <c r="W588" i="8"/>
  <c r="U589" i="8"/>
  <c r="W589" i="8"/>
  <c r="O590" i="8"/>
  <c r="R590" i="8" s="1"/>
  <c r="S590" i="8" s="1"/>
  <c r="U590" i="8"/>
  <c r="W590" i="8"/>
  <c r="U591" i="8"/>
  <c r="W591" i="8"/>
  <c r="O592" i="8"/>
  <c r="R592" i="8" s="1"/>
  <c r="S592" i="8" s="1"/>
  <c r="U592" i="8"/>
  <c r="W592" i="8"/>
  <c r="U593" i="8"/>
  <c r="W593" i="8"/>
  <c r="O594" i="8"/>
  <c r="R594" i="8" s="1"/>
  <c r="S594" i="8" s="1"/>
  <c r="U594" i="8"/>
  <c r="W594" i="8"/>
  <c r="U595" i="8"/>
  <c r="W595" i="8"/>
  <c r="O596" i="8"/>
  <c r="R596" i="8" s="1"/>
  <c r="S596" i="8" s="1"/>
  <c r="U596" i="8"/>
  <c r="W596" i="8"/>
  <c r="U597" i="8"/>
  <c r="W597" i="8"/>
  <c r="O598" i="8"/>
  <c r="R598" i="8" s="1"/>
  <c r="S598" i="8" s="1"/>
  <c r="U598" i="8"/>
  <c r="W598" i="8"/>
  <c r="U599" i="8"/>
  <c r="W599" i="8"/>
  <c r="O600" i="8"/>
  <c r="R600" i="8" s="1"/>
  <c r="S600" i="8" s="1"/>
  <c r="U600" i="8"/>
  <c r="W600" i="8"/>
  <c r="U601" i="8"/>
  <c r="W601" i="8"/>
  <c r="O602" i="8"/>
  <c r="R602" i="8" s="1"/>
  <c r="S602" i="8" s="1"/>
  <c r="U602" i="8"/>
  <c r="W602" i="8"/>
  <c r="U603" i="8"/>
  <c r="W603" i="8"/>
  <c r="O604" i="8"/>
  <c r="R604" i="8" s="1"/>
  <c r="S604" i="8" s="1"/>
  <c r="U604" i="8"/>
  <c r="W604" i="8"/>
  <c r="U605" i="8"/>
  <c r="W605" i="8"/>
  <c r="O606" i="8"/>
  <c r="R606" i="8" s="1"/>
  <c r="S606" i="8" s="1"/>
  <c r="U606" i="8"/>
  <c r="W606" i="8"/>
  <c r="U607" i="8"/>
  <c r="W607" i="8"/>
  <c r="O608" i="8"/>
  <c r="R608" i="8" s="1"/>
  <c r="S608" i="8" s="1"/>
  <c r="U608" i="8"/>
  <c r="W608" i="8"/>
  <c r="U609" i="8"/>
  <c r="W609" i="8"/>
  <c r="O610" i="8"/>
  <c r="R610" i="8" s="1"/>
  <c r="S610" i="8" s="1"/>
  <c r="U610" i="8"/>
  <c r="W610" i="8"/>
  <c r="U611" i="8"/>
  <c r="W611" i="8"/>
  <c r="O612" i="8"/>
  <c r="R612" i="8" s="1"/>
  <c r="S612" i="8" s="1"/>
  <c r="U612" i="8"/>
  <c r="W612" i="8"/>
  <c r="U613" i="8"/>
  <c r="W613" i="8"/>
  <c r="O614" i="8"/>
  <c r="R614" i="8" s="1"/>
  <c r="S614" i="8" s="1"/>
  <c r="U614" i="8"/>
  <c r="W614" i="8"/>
  <c r="U615" i="8"/>
  <c r="W615" i="8"/>
  <c r="O616" i="8"/>
  <c r="R616" i="8" s="1"/>
  <c r="S616" i="8" s="1"/>
  <c r="U616" i="8"/>
  <c r="W616" i="8"/>
  <c r="U617" i="8"/>
  <c r="W617" i="8"/>
  <c r="O618" i="8"/>
  <c r="R618" i="8" s="1"/>
  <c r="S618" i="8" s="1"/>
  <c r="U618" i="8"/>
  <c r="W618" i="8"/>
  <c r="U619" i="8"/>
  <c r="W619" i="8"/>
  <c r="O620" i="8"/>
  <c r="R620" i="8" s="1"/>
  <c r="S620" i="8" s="1"/>
  <c r="U620" i="8"/>
  <c r="W620" i="8"/>
  <c r="U621" i="8"/>
  <c r="W621" i="8"/>
  <c r="O622" i="8"/>
  <c r="R622" i="8" s="1"/>
  <c r="S622" i="8" s="1"/>
  <c r="U622" i="8"/>
  <c r="W622" i="8"/>
  <c r="U623" i="8"/>
  <c r="W623" i="8"/>
  <c r="O624" i="8"/>
  <c r="R624" i="8" s="1"/>
  <c r="S624" i="8" s="1"/>
  <c r="U624" i="8"/>
  <c r="W624" i="8"/>
  <c r="U625" i="8"/>
  <c r="W625" i="8"/>
  <c r="O626" i="8"/>
  <c r="R626" i="8" s="1"/>
  <c r="S626" i="8" s="1"/>
  <c r="U626" i="8"/>
  <c r="W626" i="8"/>
  <c r="U627" i="8"/>
  <c r="W627" i="8"/>
  <c r="O628" i="8"/>
  <c r="R628" i="8" s="1"/>
  <c r="S628" i="8" s="1"/>
  <c r="U628" i="8"/>
  <c r="W628" i="8"/>
  <c r="U629" i="8"/>
  <c r="W629" i="8"/>
  <c r="O630" i="8"/>
  <c r="R630" i="8" s="1"/>
  <c r="S630" i="8" s="1"/>
  <c r="U630" i="8"/>
  <c r="W630" i="8"/>
  <c r="U631" i="8"/>
  <c r="W631" i="8"/>
  <c r="O632" i="8"/>
  <c r="R632" i="8" s="1"/>
  <c r="S632" i="8" s="1"/>
  <c r="U632" i="8"/>
  <c r="W632" i="8"/>
  <c r="U633" i="8"/>
  <c r="W633" i="8"/>
  <c r="O634" i="8"/>
  <c r="R634" i="8" s="1"/>
  <c r="S634" i="8" s="1"/>
  <c r="U634" i="8"/>
  <c r="W634" i="8"/>
  <c r="U635" i="8"/>
  <c r="W635" i="8"/>
  <c r="O636" i="8"/>
  <c r="R636" i="8" s="1"/>
  <c r="S636" i="8" s="1"/>
  <c r="U636" i="8"/>
  <c r="W636" i="8"/>
  <c r="U637" i="8"/>
  <c r="W637" i="8"/>
  <c r="U638" i="8"/>
  <c r="W638" i="8"/>
  <c r="O639" i="8"/>
  <c r="R639" i="8" s="1"/>
  <c r="S639" i="8" s="1"/>
  <c r="U639" i="8"/>
  <c r="W639" i="8"/>
  <c r="O640" i="8"/>
  <c r="R640" i="8" s="1"/>
  <c r="S640" i="8" s="1"/>
  <c r="U640" i="8"/>
  <c r="W640" i="8"/>
  <c r="O641" i="8"/>
  <c r="R641" i="8" s="1"/>
  <c r="S641" i="8" s="1"/>
  <c r="U641" i="8"/>
  <c r="W641" i="8"/>
  <c r="O642" i="8"/>
  <c r="R642" i="8" s="1"/>
  <c r="S642" i="8" s="1"/>
  <c r="U642" i="8"/>
  <c r="W642" i="8"/>
  <c r="O643" i="8"/>
  <c r="R643" i="8" s="1"/>
  <c r="S643" i="8" s="1"/>
  <c r="U643" i="8"/>
  <c r="W643" i="8"/>
  <c r="O644" i="8"/>
  <c r="R644" i="8" s="1"/>
  <c r="S644" i="8" s="1"/>
  <c r="U644" i="8"/>
  <c r="W644" i="8"/>
  <c r="O645" i="8"/>
  <c r="R645" i="8" s="1"/>
  <c r="S645" i="8" s="1"/>
  <c r="U645" i="8"/>
  <c r="W645" i="8"/>
  <c r="O646" i="8"/>
  <c r="R646" i="8" s="1"/>
  <c r="S646" i="8" s="1"/>
  <c r="U646" i="8"/>
  <c r="W646" i="8"/>
  <c r="O647" i="8"/>
  <c r="R647" i="8" s="1"/>
  <c r="S647" i="8" s="1"/>
  <c r="U647" i="8"/>
  <c r="W647" i="8"/>
  <c r="O648" i="8"/>
  <c r="R648" i="8" s="1"/>
  <c r="S648" i="8" s="1"/>
  <c r="U648" i="8"/>
  <c r="W648" i="8"/>
  <c r="U649" i="8"/>
  <c r="W649" i="8"/>
  <c r="O650" i="8"/>
  <c r="R650" i="8" s="1"/>
  <c r="S650" i="8" s="1"/>
  <c r="U650" i="8"/>
  <c r="W650" i="8"/>
  <c r="U651" i="8"/>
  <c r="W651" i="8"/>
  <c r="U652" i="8"/>
  <c r="W652" i="8"/>
  <c r="U653" i="8"/>
  <c r="W653" i="8"/>
  <c r="U654" i="8"/>
  <c r="W654" i="8"/>
  <c r="U655" i="8"/>
  <c r="W655" i="8"/>
  <c r="U656" i="8"/>
  <c r="W656" i="8"/>
  <c r="U657" i="8"/>
  <c r="W657" i="8"/>
  <c r="O658" i="8"/>
  <c r="R658" i="8" s="1"/>
  <c r="S658" i="8" s="1"/>
  <c r="U658" i="8"/>
  <c r="W658" i="8"/>
  <c r="U659" i="8"/>
  <c r="W659" i="8"/>
  <c r="O660" i="8"/>
  <c r="R660" i="8" s="1"/>
  <c r="S660" i="8" s="1"/>
  <c r="U660" i="8"/>
  <c r="W660" i="8"/>
  <c r="U661" i="8"/>
  <c r="W661" i="8"/>
  <c r="O662" i="8"/>
  <c r="R662" i="8" s="1"/>
  <c r="S662" i="8" s="1"/>
  <c r="U662" i="8"/>
  <c r="W662" i="8"/>
  <c r="U663" i="8"/>
  <c r="W663" i="8"/>
  <c r="O664" i="8"/>
  <c r="R664" i="8" s="1"/>
  <c r="S664" i="8" s="1"/>
  <c r="U664" i="8"/>
  <c r="W664" i="8"/>
  <c r="U665" i="8"/>
  <c r="W665" i="8"/>
  <c r="O666" i="8"/>
  <c r="R666" i="8" s="1"/>
  <c r="S666" i="8" s="1"/>
  <c r="U666" i="8"/>
  <c r="W666" i="8"/>
  <c r="U667" i="8"/>
  <c r="W667" i="8"/>
  <c r="O668" i="8"/>
  <c r="R668" i="8" s="1"/>
  <c r="S668" i="8" s="1"/>
  <c r="U668" i="8"/>
  <c r="W668" i="8"/>
  <c r="U669" i="8"/>
  <c r="W669" i="8"/>
  <c r="O670" i="8"/>
  <c r="O672" i="8"/>
  <c r="O674" i="8"/>
  <c r="O676" i="8"/>
  <c r="O678" i="8"/>
  <c r="O680" i="8"/>
  <c r="O682" i="8"/>
  <c r="O684" i="8"/>
  <c r="O686" i="8"/>
  <c r="O688" i="8"/>
  <c r="O690" i="8"/>
  <c r="O692" i="8"/>
  <c r="O694" i="8"/>
  <c r="U695" i="8"/>
  <c r="W695" i="8"/>
  <c r="O696" i="8"/>
  <c r="O698" i="8"/>
  <c r="O700" i="8"/>
  <c r="O702" i="8"/>
  <c r="O704" i="8"/>
  <c r="O706" i="8"/>
  <c r="O708" i="8"/>
  <c r="O710" i="8"/>
  <c r="O712" i="8"/>
  <c r="O714" i="8"/>
  <c r="O716" i="8"/>
  <c r="O718" i="8"/>
  <c r="O720" i="8"/>
  <c r="O722" i="8"/>
  <c r="O723" i="8"/>
  <c r="O724" i="8"/>
  <c r="O725" i="8"/>
  <c r="O726" i="8"/>
  <c r="O727" i="8"/>
  <c r="O728" i="8"/>
  <c r="O730" i="8"/>
  <c r="O732" i="8"/>
  <c r="O741" i="8"/>
  <c r="O742" i="8"/>
  <c r="O748" i="8"/>
  <c r="O749" i="8"/>
  <c r="O750" i="8"/>
  <c r="O753" i="8"/>
  <c r="O754" i="8"/>
  <c r="O755" i="8"/>
  <c r="O756" i="8"/>
  <c r="O758" i="8"/>
  <c r="O760" i="8"/>
  <c r="O763" i="8"/>
  <c r="O764" i="8"/>
  <c r="O765" i="8"/>
  <c r="O766" i="8"/>
  <c r="O767" i="8"/>
  <c r="O768" i="8"/>
  <c r="O769" i="8"/>
  <c r="O772" i="8"/>
  <c r="O774" i="8"/>
  <c r="O778" i="8"/>
  <c r="O780" i="8"/>
  <c r="O782" i="8"/>
  <c r="O784" i="8"/>
  <c r="O786" i="8"/>
  <c r="O788" i="8"/>
  <c r="O790" i="8"/>
  <c r="O792" i="8"/>
  <c r="O794" i="8"/>
  <c r="O796" i="8"/>
  <c r="O798" i="8"/>
  <c r="O800" i="8"/>
  <c r="O802" i="8"/>
  <c r="O804" i="8"/>
  <c r="O806" i="8"/>
  <c r="O808" i="8"/>
  <c r="O810" i="8"/>
  <c r="O812" i="8"/>
  <c r="O814" i="8"/>
  <c r="O816" i="8"/>
  <c r="O818" i="8"/>
  <c r="O820" i="8"/>
  <c r="O822" i="8"/>
  <c r="O824" i="8"/>
  <c r="O826" i="8"/>
  <c r="O828" i="8"/>
  <c r="O830" i="8"/>
  <c r="O833" i="8"/>
  <c r="O835" i="8"/>
  <c r="O837" i="8"/>
  <c r="O839" i="8"/>
  <c r="O842" i="8"/>
  <c r="O845" i="8"/>
  <c r="O847" i="8"/>
  <c r="O849" i="8"/>
  <c r="O852" i="8"/>
  <c r="O854" i="8"/>
  <c r="O856" i="8"/>
  <c r="O858" i="8"/>
  <c r="O859" i="8"/>
  <c r="U860" i="8"/>
  <c r="W860" i="8"/>
  <c r="O861" i="8"/>
  <c r="O863" i="8"/>
  <c r="O865" i="8"/>
  <c r="O867" i="8"/>
  <c r="O870" i="8"/>
  <c r="O872" i="8"/>
  <c r="O874" i="8"/>
  <c r="O876" i="8"/>
  <c r="O878" i="8"/>
  <c r="O880" i="8"/>
  <c r="O882" i="8"/>
  <c r="O884" i="8"/>
  <c r="O886" i="8"/>
  <c r="O889" i="8"/>
  <c r="O891" i="8"/>
  <c r="O894" i="8"/>
  <c r="O896" i="8"/>
  <c r="O898" i="8"/>
  <c r="O900" i="8"/>
  <c r="O902" i="8"/>
  <c r="O904" i="8"/>
  <c r="O906" i="8"/>
  <c r="O908" i="8"/>
  <c r="O910" i="8"/>
  <c r="O912" i="8"/>
  <c r="O914" i="8"/>
  <c r="O916" i="8"/>
  <c r="O918" i="8"/>
  <c r="O920" i="8"/>
  <c r="O922" i="8"/>
  <c r="O925" i="8"/>
  <c r="O927" i="8"/>
  <c r="O929" i="8"/>
  <c r="O931" i="8"/>
  <c r="O933" i="8"/>
  <c r="O935" i="8"/>
  <c r="O937" i="8"/>
  <c r="O939" i="8"/>
  <c r="O941" i="8"/>
  <c r="O943" i="8"/>
  <c r="O945" i="8"/>
  <c r="O947" i="8"/>
  <c r="O949" i="8"/>
  <c r="O951" i="8"/>
  <c r="O954" i="8"/>
  <c r="O956" i="8"/>
  <c r="O958" i="8"/>
  <c r="O960" i="8"/>
  <c r="O962" i="8"/>
  <c r="O964" i="8"/>
  <c r="O967" i="8"/>
  <c r="O969" i="8"/>
  <c r="O971" i="8"/>
  <c r="O974" i="8"/>
  <c r="O978" i="8"/>
  <c r="O980" i="8"/>
  <c r="O984" i="8"/>
  <c r="O990" i="8"/>
  <c r="O994" i="8"/>
  <c r="O998" i="8"/>
  <c r="O1000" i="8"/>
  <c r="O1004" i="8"/>
  <c r="O1008" i="8"/>
  <c r="O1012" i="8"/>
  <c r="O1017" i="8"/>
  <c r="O1019" i="8"/>
  <c r="O1021" i="8"/>
  <c r="O1023" i="8"/>
  <c r="O1025" i="8"/>
  <c r="O1027" i="8"/>
  <c r="O1029" i="8"/>
  <c r="O1031" i="8"/>
  <c r="O1033" i="8"/>
  <c r="O1035" i="8"/>
  <c r="O1037" i="8"/>
  <c r="O1039" i="8"/>
  <c r="O1041" i="8"/>
  <c r="O1043" i="8"/>
  <c r="O1046" i="8"/>
  <c r="O1048" i="8"/>
  <c r="O1050" i="8"/>
  <c r="O1052" i="8"/>
  <c r="O1054" i="8"/>
  <c r="O1056" i="8"/>
  <c r="O1058" i="8"/>
  <c r="O1060" i="8"/>
  <c r="O1062" i="8"/>
  <c r="O1065" i="8"/>
  <c r="O1067" i="8"/>
  <c r="O1069" i="8"/>
  <c r="O1071" i="8"/>
  <c r="O1073" i="8"/>
  <c r="O1075" i="8"/>
  <c r="O1077" i="8"/>
  <c r="O1079" i="8"/>
  <c r="O1081" i="8"/>
  <c r="O1084" i="8"/>
  <c r="O1086" i="8"/>
  <c r="O1088" i="8"/>
  <c r="O1090" i="8"/>
  <c r="O1092" i="8"/>
  <c r="O1094" i="8"/>
  <c r="O1096" i="8"/>
  <c r="O1098" i="8"/>
  <c r="O1100" i="8"/>
  <c r="O1102" i="8"/>
  <c r="O1104" i="8"/>
  <c r="O1106" i="8"/>
  <c r="O1108" i="8"/>
  <c r="O1110" i="8"/>
  <c r="O1112" i="8"/>
  <c r="O1114" i="8"/>
  <c r="O1116" i="8"/>
  <c r="O1118" i="8"/>
  <c r="O1120" i="8"/>
  <c r="R1120" i="8" s="1"/>
  <c r="S1120" i="8" s="1"/>
  <c r="V1120" i="8"/>
  <c r="O1121" i="8"/>
  <c r="V1121" i="8"/>
  <c r="U1121" i="8" s="1"/>
  <c r="U1122" i="8"/>
  <c r="O1122" i="8"/>
  <c r="R1122" i="8" s="1"/>
  <c r="S1122" i="8" s="1"/>
  <c r="V1122" i="8"/>
  <c r="W1122" i="8" s="1"/>
  <c r="O1123" i="8"/>
  <c r="V1123" i="8"/>
  <c r="U1123" i="8" s="1"/>
  <c r="U1124" i="8"/>
  <c r="O1124" i="8"/>
  <c r="R1124" i="8" s="1"/>
  <c r="S1124" i="8" s="1"/>
  <c r="V1124" i="8"/>
  <c r="W1124" i="8" s="1"/>
  <c r="O1125" i="8"/>
  <c r="V1125" i="8"/>
  <c r="U1125" i="8" s="1"/>
  <c r="U1126" i="8"/>
  <c r="O1126" i="8"/>
  <c r="R1126" i="8" s="1"/>
  <c r="S1126" i="8" s="1"/>
  <c r="V1126" i="8"/>
  <c r="W1126" i="8" s="1"/>
  <c r="O1127" i="8"/>
  <c r="V1127" i="8"/>
  <c r="U1127" i="8" s="1"/>
  <c r="U1128" i="8"/>
  <c r="O1128" i="8"/>
  <c r="R1128" i="8" s="1"/>
  <c r="S1128" i="8" s="1"/>
  <c r="V1128" i="8"/>
  <c r="W1128" i="8" s="1"/>
  <c r="O1129" i="8"/>
  <c r="V1129" i="8"/>
  <c r="U1129" i="8" s="1"/>
  <c r="U1130" i="8"/>
  <c r="O1130" i="8"/>
  <c r="R1130" i="8" s="1"/>
  <c r="S1130" i="8" s="1"/>
  <c r="V1130" i="8"/>
  <c r="W1130" i="8" s="1"/>
  <c r="O1131" i="8"/>
  <c r="V1131" i="8"/>
  <c r="U1131" i="8" s="1"/>
  <c r="U1132" i="8"/>
  <c r="O1132" i="8"/>
  <c r="R1132" i="8" s="1"/>
  <c r="S1132" i="8" s="1"/>
  <c r="V1132" i="8"/>
  <c r="W1132" i="8" s="1"/>
  <c r="V1133" i="8"/>
  <c r="U1133" i="8" s="1"/>
  <c r="U1134" i="8"/>
  <c r="O1134" i="8"/>
  <c r="R1134" i="8" s="1"/>
  <c r="S1134" i="8" s="1"/>
  <c r="V1134" i="8"/>
  <c r="W1134" i="8" s="1"/>
  <c r="V1135" i="8"/>
  <c r="U1135" i="8" s="1"/>
  <c r="U1136" i="8"/>
  <c r="O1136" i="8"/>
  <c r="R1136" i="8" s="1"/>
  <c r="S1136" i="8" s="1"/>
  <c r="V1136" i="8"/>
  <c r="W1136" i="8" s="1"/>
  <c r="V1137" i="8"/>
  <c r="U1137" i="8" s="1"/>
  <c r="U1138" i="8"/>
  <c r="O1138" i="8"/>
  <c r="R1138" i="8" s="1"/>
  <c r="S1138" i="8" s="1"/>
  <c r="V1138" i="8"/>
  <c r="W1138" i="8" s="1"/>
  <c r="V1139" i="8"/>
  <c r="U1139" i="8" s="1"/>
  <c r="U1140" i="8"/>
  <c r="V1140" i="8"/>
  <c r="W1140" i="8" s="1"/>
  <c r="O1141" i="8"/>
  <c r="V1141" i="8"/>
  <c r="U1141" i="8" s="1"/>
  <c r="U1142" i="8"/>
  <c r="O1142" i="8"/>
  <c r="R1142" i="8" s="1"/>
  <c r="S1142" i="8" s="1"/>
  <c r="V1142" i="8"/>
  <c r="W1142" i="8" s="1"/>
  <c r="O1143" i="8"/>
  <c r="V1143" i="8"/>
  <c r="U1143" i="8" s="1"/>
  <c r="U1144" i="8"/>
  <c r="O1144" i="8"/>
  <c r="R1144" i="8" s="1"/>
  <c r="S1144" i="8" s="1"/>
  <c r="V1144" i="8"/>
  <c r="W1144" i="8" s="1"/>
  <c r="O1145" i="8"/>
  <c r="V1145" i="8"/>
  <c r="U1145" i="8" s="1"/>
  <c r="U1146" i="8"/>
  <c r="O1146" i="8"/>
  <c r="R1146" i="8" s="1"/>
  <c r="S1146" i="8" s="1"/>
  <c r="V1146" i="8"/>
  <c r="W1146" i="8" s="1"/>
  <c r="O1147" i="8"/>
  <c r="V1147" i="8"/>
  <c r="U1147" i="8" s="1"/>
  <c r="U1148" i="8"/>
  <c r="O1148" i="8"/>
  <c r="R1148" i="8" s="1"/>
  <c r="S1148" i="8" s="1"/>
  <c r="V1148" i="8"/>
  <c r="W1148" i="8" s="1"/>
  <c r="O1149" i="8"/>
  <c r="V1149" i="8"/>
  <c r="U1149" i="8" s="1"/>
  <c r="U1150" i="8"/>
  <c r="O1150" i="8"/>
  <c r="R1150" i="8" s="1"/>
  <c r="S1150" i="8" s="1"/>
  <c r="V1150" i="8"/>
  <c r="W1150" i="8" s="1"/>
  <c r="V1151" i="8"/>
  <c r="U1151" i="8" s="1"/>
  <c r="U1152" i="8"/>
  <c r="O1152" i="8"/>
  <c r="R1152" i="8" s="1"/>
  <c r="S1152" i="8" s="1"/>
  <c r="V1152" i="8"/>
  <c r="W1152" i="8" s="1"/>
  <c r="V1153" i="8"/>
  <c r="U1153" i="8" s="1"/>
  <c r="U1154" i="8"/>
  <c r="O1154" i="8"/>
  <c r="R1154" i="8" s="1"/>
  <c r="S1154" i="8" s="1"/>
  <c r="V1154" i="8"/>
  <c r="W1154" i="8" s="1"/>
  <c r="V1155" i="8"/>
  <c r="U1155" i="8" s="1"/>
  <c r="U1156" i="8"/>
  <c r="O1156" i="8"/>
  <c r="R1156" i="8" s="1"/>
  <c r="S1156" i="8" s="1"/>
  <c r="V1156" i="8"/>
  <c r="W1156" i="8" s="1"/>
  <c r="V1157" i="8"/>
  <c r="U1157" i="8" s="1"/>
  <c r="U1158" i="8"/>
  <c r="O1158" i="8"/>
  <c r="R1158" i="8" s="1"/>
  <c r="S1158" i="8" s="1"/>
  <c r="V1158" i="8"/>
  <c r="W1158" i="8" s="1"/>
  <c r="V1159" i="8"/>
  <c r="U1159" i="8" s="1"/>
  <c r="U1160" i="8"/>
  <c r="O1160" i="8"/>
  <c r="R1160" i="8" s="1"/>
  <c r="S1160" i="8" s="1"/>
  <c r="V1160" i="8"/>
  <c r="W1160" i="8" s="1"/>
  <c r="V1161" i="8"/>
  <c r="U1161" i="8" s="1"/>
  <c r="U1162" i="8"/>
  <c r="O1162" i="8"/>
  <c r="R1162" i="8" s="1"/>
  <c r="S1162" i="8" s="1"/>
  <c r="V1162" i="8"/>
  <c r="W1162" i="8" s="1"/>
  <c r="V1163" i="8"/>
  <c r="U1163" i="8" s="1"/>
  <c r="U1164" i="8"/>
  <c r="O1164" i="8"/>
  <c r="R1164" i="8" s="1"/>
  <c r="S1164" i="8" s="1"/>
  <c r="V1164" i="8"/>
  <c r="W1164" i="8" s="1"/>
  <c r="V1165" i="8"/>
  <c r="U1165" i="8" s="1"/>
  <c r="U1166" i="8"/>
  <c r="O1166" i="8"/>
  <c r="R1166" i="8" s="1"/>
  <c r="S1166" i="8" s="1"/>
  <c r="V1166" i="8"/>
  <c r="W1166" i="8" s="1"/>
  <c r="V1167" i="8"/>
  <c r="U1167" i="8" s="1"/>
  <c r="U1168" i="8"/>
  <c r="O1168" i="8"/>
  <c r="R1168" i="8" s="1"/>
  <c r="S1168" i="8" s="1"/>
  <c r="V1168" i="8"/>
  <c r="W1168" i="8" s="1"/>
  <c r="V1169" i="8"/>
  <c r="U1169" i="8" s="1"/>
  <c r="U1170" i="8"/>
  <c r="O1170" i="8"/>
  <c r="R1170" i="8" s="1"/>
  <c r="S1170" i="8" s="1"/>
  <c r="V1170" i="8"/>
  <c r="W1170" i="8" s="1"/>
  <c r="V1171" i="8"/>
  <c r="U1171" i="8" s="1"/>
  <c r="U1172" i="8"/>
  <c r="O1172" i="8"/>
  <c r="R1172" i="8" s="1"/>
  <c r="S1172" i="8" s="1"/>
  <c r="V1172" i="8"/>
  <c r="W1172" i="8" s="1"/>
  <c r="V1173" i="8"/>
  <c r="U1173" i="8" s="1"/>
  <c r="U1174" i="8"/>
  <c r="O1174" i="8"/>
  <c r="R1174" i="8" s="1"/>
  <c r="S1174" i="8" s="1"/>
  <c r="V1174" i="8"/>
  <c r="W1174" i="8" s="1"/>
  <c r="V1175" i="8"/>
  <c r="U1175" i="8" s="1"/>
  <c r="U1176" i="8"/>
  <c r="O1176" i="8"/>
  <c r="R1176" i="8" s="1"/>
  <c r="S1176" i="8" s="1"/>
  <c r="V1176" i="8"/>
  <c r="W1176" i="8" s="1"/>
  <c r="O1177" i="8"/>
  <c r="V1177" i="8"/>
  <c r="U1177" i="8" s="1"/>
  <c r="U1178" i="8"/>
  <c r="O1178" i="8"/>
  <c r="R1178" i="8" s="1"/>
  <c r="S1178" i="8" s="1"/>
  <c r="V1178" i="8"/>
  <c r="W1178" i="8" s="1"/>
  <c r="O1179" i="8"/>
  <c r="V1179" i="8"/>
  <c r="U1179" i="8" s="1"/>
  <c r="U1180" i="8"/>
  <c r="O1180" i="8"/>
  <c r="R1180" i="8" s="1"/>
  <c r="S1180" i="8" s="1"/>
  <c r="V1180" i="8"/>
  <c r="W1180" i="8" s="1"/>
  <c r="O1181" i="8"/>
  <c r="V1181" i="8"/>
  <c r="U1181" i="8" s="1"/>
  <c r="U1182" i="8"/>
  <c r="O1182" i="8"/>
  <c r="R1182" i="8" s="1"/>
  <c r="S1182" i="8" s="1"/>
  <c r="V1182" i="8"/>
  <c r="W1182" i="8" s="1"/>
  <c r="O1183" i="8"/>
  <c r="V1183" i="8"/>
  <c r="U1183" i="8" s="1"/>
  <c r="U1184" i="8"/>
  <c r="O1184" i="8"/>
  <c r="R1184" i="8" s="1"/>
  <c r="S1184" i="8" s="1"/>
  <c r="V1184" i="8"/>
  <c r="W1184" i="8" s="1"/>
  <c r="O1185" i="8"/>
  <c r="V1185" i="8"/>
  <c r="U1185" i="8" s="1"/>
  <c r="U1186" i="8"/>
  <c r="O1186" i="8"/>
  <c r="R1186" i="8" s="1"/>
  <c r="S1186" i="8" s="1"/>
  <c r="V1186" i="8"/>
  <c r="W1186" i="8" s="1"/>
  <c r="O1187" i="8"/>
  <c r="V1187" i="8"/>
  <c r="U1187" i="8" s="1"/>
  <c r="U1188" i="8"/>
  <c r="O1188" i="8"/>
  <c r="R1188" i="8" s="1"/>
  <c r="S1188" i="8" s="1"/>
  <c r="V1188" i="8"/>
  <c r="W1188" i="8" s="1"/>
  <c r="O1189" i="8"/>
  <c r="V1189" i="8"/>
  <c r="U1189" i="8" s="1"/>
  <c r="U1190" i="8"/>
  <c r="O1190" i="8"/>
  <c r="R1190" i="8" s="1"/>
  <c r="S1190" i="8" s="1"/>
  <c r="V1190" i="8"/>
  <c r="W1190" i="8" s="1"/>
  <c r="O1191" i="8"/>
  <c r="V1191" i="8"/>
  <c r="U1191" i="8" s="1"/>
  <c r="U1192" i="8"/>
  <c r="O1192" i="8"/>
  <c r="R1192" i="8" s="1"/>
  <c r="S1192" i="8" s="1"/>
  <c r="V1192" i="8"/>
  <c r="W1192" i="8" s="1"/>
  <c r="O1193" i="8"/>
  <c r="V1193" i="8"/>
  <c r="U1193" i="8" s="1"/>
  <c r="U1194" i="8"/>
  <c r="O1194" i="8"/>
  <c r="R1194" i="8" s="1"/>
  <c r="S1194" i="8" s="1"/>
  <c r="V1194" i="8"/>
  <c r="W1194" i="8" s="1"/>
  <c r="O1195" i="8"/>
  <c r="V1195" i="8"/>
  <c r="U1195" i="8" s="1"/>
  <c r="U1196" i="8"/>
  <c r="O1196" i="8"/>
  <c r="R1196" i="8" s="1"/>
  <c r="S1196" i="8" s="1"/>
  <c r="V1196" i="8"/>
  <c r="W1196" i="8" s="1"/>
  <c r="O1197" i="8"/>
  <c r="V1197" i="8"/>
  <c r="U1197" i="8" s="1"/>
  <c r="U1198" i="8"/>
  <c r="O1198" i="8"/>
  <c r="R1198" i="8" s="1"/>
  <c r="S1198" i="8" s="1"/>
  <c r="V1198" i="8"/>
  <c r="W1198" i="8" s="1"/>
  <c r="O1199" i="8"/>
  <c r="V1199" i="8"/>
  <c r="U1199" i="8" s="1"/>
  <c r="U1200" i="8"/>
  <c r="O1200" i="8"/>
  <c r="R1200" i="8" s="1"/>
  <c r="S1200" i="8" s="1"/>
  <c r="V1200" i="8"/>
  <c r="W1200" i="8" s="1"/>
  <c r="O1201" i="8"/>
  <c r="V1201" i="8"/>
  <c r="U1201" i="8" s="1"/>
  <c r="U1202" i="8"/>
  <c r="O1202" i="8"/>
  <c r="R1202" i="8" s="1"/>
  <c r="S1202" i="8" s="1"/>
  <c r="V1202" i="8"/>
  <c r="W1202" i="8" s="1"/>
  <c r="O1203" i="8"/>
  <c r="V1203" i="8"/>
  <c r="U1203" i="8" s="1"/>
  <c r="U1204" i="8"/>
  <c r="O1204" i="8"/>
  <c r="R1204" i="8" s="1"/>
  <c r="S1204" i="8" s="1"/>
  <c r="V1204" i="8"/>
  <c r="W1204" i="8" s="1"/>
  <c r="O1205" i="8"/>
  <c r="V1205" i="8"/>
  <c r="U1205" i="8" s="1"/>
  <c r="U1206" i="8"/>
  <c r="O1206" i="8"/>
  <c r="R1206" i="8" s="1"/>
  <c r="S1206" i="8" s="1"/>
  <c r="V1206" i="8"/>
  <c r="W1206" i="8" s="1"/>
  <c r="O1207" i="8"/>
  <c r="V1207" i="8"/>
  <c r="U1207" i="8" s="1"/>
  <c r="U1208" i="8"/>
  <c r="O1208" i="8"/>
  <c r="R1208" i="8" s="1"/>
  <c r="S1208" i="8" s="1"/>
  <c r="V1208" i="8"/>
  <c r="W1208" i="8" s="1"/>
  <c r="O1209" i="8"/>
  <c r="V1209" i="8"/>
  <c r="U1209" i="8" s="1"/>
  <c r="U1210" i="8"/>
  <c r="O1210" i="8"/>
  <c r="R1210" i="8" s="1"/>
  <c r="S1210" i="8" s="1"/>
  <c r="V1210" i="8"/>
  <c r="W1210" i="8" s="1"/>
  <c r="O1211" i="8"/>
  <c r="V1211" i="8"/>
  <c r="U1211" i="8" s="1"/>
  <c r="U1212" i="8"/>
  <c r="O1212" i="8"/>
  <c r="R1212" i="8" s="1"/>
  <c r="S1212" i="8" s="1"/>
  <c r="V1212" i="8"/>
  <c r="W1212" i="8" s="1"/>
  <c r="O1213" i="8"/>
  <c r="V1213" i="8"/>
  <c r="U1213" i="8" s="1"/>
  <c r="U1214" i="8"/>
  <c r="O1214" i="8"/>
  <c r="R1214" i="8" s="1"/>
  <c r="S1214" i="8" s="1"/>
  <c r="V1214" i="8"/>
  <c r="W1214" i="8" s="1"/>
  <c r="O1215" i="8"/>
  <c r="V1215" i="8"/>
  <c r="U1215" i="8" s="1"/>
  <c r="U1216" i="8"/>
  <c r="O1216" i="8"/>
  <c r="R1216" i="8" s="1"/>
  <c r="S1216" i="8" s="1"/>
  <c r="V1216" i="8"/>
  <c r="W1216" i="8" s="1"/>
  <c r="O1217" i="8"/>
  <c r="V1217" i="8"/>
  <c r="U1217" i="8" s="1"/>
  <c r="U1218" i="8"/>
  <c r="O1218" i="8"/>
  <c r="R1218" i="8" s="1"/>
  <c r="S1218" i="8" s="1"/>
  <c r="V1218" i="8"/>
  <c r="W1218" i="8" s="1"/>
  <c r="O1219" i="8"/>
  <c r="V1219" i="8"/>
  <c r="U1219" i="8" s="1"/>
  <c r="U1220" i="8"/>
  <c r="O1220" i="8"/>
  <c r="R1220" i="8" s="1"/>
  <c r="S1220" i="8" s="1"/>
  <c r="V1220" i="8"/>
  <c r="W1220" i="8" s="1"/>
  <c r="V1221" i="8"/>
  <c r="U1221" i="8" s="1"/>
  <c r="U1222" i="8"/>
  <c r="O1222" i="8"/>
  <c r="R1222" i="8" s="1"/>
  <c r="S1222" i="8" s="1"/>
  <c r="V1222" i="8"/>
  <c r="W1222" i="8" s="1"/>
  <c r="V1223" i="8"/>
  <c r="U1223" i="8" s="1"/>
  <c r="U1224" i="8"/>
  <c r="O1224" i="8"/>
  <c r="R1224" i="8" s="1"/>
  <c r="S1224" i="8" s="1"/>
  <c r="V1224" i="8"/>
  <c r="W1224" i="8" s="1"/>
  <c r="V1225" i="8"/>
  <c r="U1225" i="8" s="1"/>
  <c r="U1226" i="8"/>
  <c r="O1226" i="8"/>
  <c r="R1226" i="8" s="1"/>
  <c r="S1226" i="8" s="1"/>
  <c r="V1226" i="8"/>
  <c r="W1226" i="8" s="1"/>
  <c r="V1227" i="8"/>
  <c r="U1227" i="8" s="1"/>
  <c r="U1228" i="8"/>
  <c r="O1228" i="8"/>
  <c r="R1228" i="8" s="1"/>
  <c r="S1228" i="8" s="1"/>
  <c r="V1228" i="8"/>
  <c r="W1228" i="8" s="1"/>
  <c r="V1229" i="8"/>
  <c r="U1229" i="8" s="1"/>
  <c r="U1230" i="8"/>
  <c r="O1230" i="8"/>
  <c r="R1230" i="8" s="1"/>
  <c r="S1230" i="8" s="1"/>
  <c r="V1230" i="8"/>
  <c r="W1230" i="8" s="1"/>
  <c r="V1231" i="8"/>
  <c r="U1231" i="8" s="1"/>
  <c r="U1232" i="8"/>
  <c r="O1232" i="8"/>
  <c r="R1232" i="8" s="1"/>
  <c r="S1232" i="8" s="1"/>
  <c r="V1232" i="8"/>
  <c r="W1232" i="8" s="1"/>
  <c r="V1233" i="8"/>
  <c r="U1233" i="8" s="1"/>
  <c r="U1234" i="8"/>
  <c r="O1234" i="8"/>
  <c r="R1234" i="8" s="1"/>
  <c r="S1234" i="8" s="1"/>
  <c r="V1234" i="8"/>
  <c r="W1234" i="8" s="1"/>
  <c r="V1235" i="8"/>
  <c r="U1235" i="8" s="1"/>
  <c r="U1236" i="8"/>
  <c r="O1236" i="8"/>
  <c r="R1236" i="8" s="1"/>
  <c r="S1236" i="8" s="1"/>
  <c r="V1236" i="8"/>
  <c r="W1236" i="8" s="1"/>
  <c r="V1237" i="8"/>
  <c r="U1237" i="8" s="1"/>
  <c r="U1238" i="8"/>
  <c r="O1238" i="8"/>
  <c r="R1238" i="8" s="1"/>
  <c r="S1238" i="8" s="1"/>
  <c r="V1238" i="8"/>
  <c r="W1238" i="8" s="1"/>
  <c r="V1239" i="8"/>
  <c r="U1239" i="8" s="1"/>
  <c r="U1240" i="8"/>
  <c r="O1240" i="8"/>
  <c r="R1240" i="8" s="1"/>
  <c r="S1240" i="8" s="1"/>
  <c r="V1240" i="8"/>
  <c r="W1240" i="8" s="1"/>
  <c r="V1241" i="8"/>
  <c r="U1241" i="8" s="1"/>
  <c r="U1242" i="8"/>
  <c r="O1242" i="8"/>
  <c r="R1242" i="8" s="1"/>
  <c r="S1242" i="8" s="1"/>
  <c r="V1242" i="8"/>
  <c r="W1242" i="8" s="1"/>
  <c r="V1243" i="8"/>
  <c r="U1243" i="8" s="1"/>
  <c r="U1244" i="8"/>
  <c r="O1244" i="8"/>
  <c r="R1244" i="8" s="1"/>
  <c r="S1244" i="8" s="1"/>
  <c r="V1244" i="8"/>
  <c r="W1244" i="8" s="1"/>
  <c r="V1245" i="8"/>
  <c r="U1245" i="8" s="1"/>
  <c r="U1246" i="8"/>
  <c r="O1246" i="8"/>
  <c r="R1246" i="8" s="1"/>
  <c r="S1246" i="8" s="1"/>
  <c r="V1246" i="8"/>
  <c r="W1246" i="8" s="1"/>
  <c r="V1247" i="8"/>
  <c r="U1247" i="8" s="1"/>
  <c r="U1248" i="8"/>
  <c r="O1248" i="8"/>
  <c r="R1248" i="8" s="1"/>
  <c r="S1248" i="8" s="1"/>
  <c r="V1248" i="8"/>
  <c r="W1248" i="8" s="1"/>
  <c r="V1249" i="8"/>
  <c r="U1249" i="8" s="1"/>
  <c r="U1250" i="8"/>
  <c r="O1250" i="8"/>
  <c r="R1250" i="8" s="1"/>
  <c r="S1250" i="8" s="1"/>
  <c r="V1250" i="8"/>
  <c r="W1250" i="8" s="1"/>
  <c r="O1251" i="8"/>
  <c r="V1251" i="8"/>
  <c r="U1251" i="8" s="1"/>
  <c r="U1252" i="8"/>
  <c r="O1252" i="8"/>
  <c r="R1252" i="8" s="1"/>
  <c r="S1252" i="8" s="1"/>
  <c r="V1252" i="8"/>
  <c r="W1252" i="8" s="1"/>
  <c r="O1253" i="8"/>
  <c r="V1253" i="8"/>
  <c r="U1253" i="8" s="1"/>
  <c r="U1254" i="8"/>
  <c r="O1254" i="8"/>
  <c r="R1254" i="8" s="1"/>
  <c r="S1254" i="8" s="1"/>
  <c r="V1254" i="8"/>
  <c r="W1254" i="8" s="1"/>
  <c r="O1255" i="8"/>
  <c r="V1255" i="8"/>
  <c r="U1255" i="8" s="1"/>
  <c r="U1256" i="8"/>
  <c r="O1256" i="8"/>
  <c r="R1256" i="8" s="1"/>
  <c r="S1256" i="8" s="1"/>
  <c r="V1256" i="8"/>
  <c r="W1256" i="8" s="1"/>
  <c r="V1257" i="8"/>
  <c r="U1257" i="8" s="1"/>
  <c r="U1258" i="8"/>
  <c r="O1258" i="8"/>
  <c r="R1258" i="8" s="1"/>
  <c r="S1258" i="8" s="1"/>
  <c r="V1258" i="8"/>
  <c r="W1258" i="8" s="1"/>
  <c r="V1259" i="8"/>
  <c r="U1259" i="8" s="1"/>
  <c r="U1260" i="8"/>
  <c r="V1260" i="8"/>
  <c r="W1260" i="8" s="1"/>
  <c r="O1261" i="8"/>
  <c r="V1261" i="8"/>
  <c r="U1261" i="8" s="1"/>
  <c r="U1262" i="8"/>
  <c r="O1262" i="8"/>
  <c r="R1262" i="8" s="1"/>
  <c r="S1262" i="8" s="1"/>
  <c r="V1262" i="8"/>
  <c r="W1262" i="8" s="1"/>
  <c r="V1263" i="8"/>
  <c r="U1263" i="8" s="1"/>
  <c r="U1264" i="8"/>
  <c r="O1264" i="8"/>
  <c r="R1264" i="8" s="1"/>
  <c r="S1264" i="8" s="1"/>
  <c r="V1264" i="8"/>
  <c r="W1264" i="8" s="1"/>
  <c r="V1265" i="8"/>
  <c r="U1265" i="8" s="1"/>
  <c r="U1266" i="8"/>
  <c r="O1266" i="8"/>
  <c r="R1266" i="8" s="1"/>
  <c r="S1266" i="8" s="1"/>
  <c r="V1266" i="8"/>
  <c r="W1266" i="8" s="1"/>
  <c r="V1267" i="8"/>
  <c r="U1267" i="8" s="1"/>
  <c r="U1268" i="8"/>
  <c r="O1268" i="8"/>
  <c r="R1268" i="8" s="1"/>
  <c r="S1268" i="8" s="1"/>
  <c r="V1268" i="8"/>
  <c r="W1268" i="8" s="1"/>
  <c r="V1269" i="8"/>
  <c r="U1269" i="8" s="1"/>
  <c r="U1270" i="8"/>
  <c r="O1270" i="8"/>
  <c r="R1270" i="8" s="1"/>
  <c r="S1270" i="8" s="1"/>
  <c r="V1270" i="8"/>
  <c r="W1270" i="8" s="1"/>
  <c r="V1271" i="8"/>
  <c r="U1271" i="8" s="1"/>
  <c r="U1272" i="8"/>
  <c r="V1272" i="8"/>
  <c r="W1272" i="8" s="1"/>
  <c r="O1273" i="8"/>
  <c r="V1273" i="8"/>
  <c r="U1273" i="8" s="1"/>
  <c r="U1274" i="8"/>
  <c r="O1274" i="8"/>
  <c r="R1274" i="8" s="1"/>
  <c r="S1274" i="8" s="1"/>
  <c r="V1274" i="8"/>
  <c r="W1274" i="8" s="1"/>
  <c r="O1275" i="8"/>
  <c r="V1275" i="8"/>
  <c r="U1275" i="8" s="1"/>
  <c r="U1276" i="8"/>
  <c r="O1276" i="8"/>
  <c r="R1276" i="8" s="1"/>
  <c r="S1276" i="8" s="1"/>
  <c r="V1276" i="8"/>
  <c r="W1276" i="8" s="1"/>
  <c r="O1277" i="8"/>
  <c r="V1277" i="8"/>
  <c r="U1277" i="8" s="1"/>
  <c r="U1278" i="8"/>
  <c r="O1278" i="8"/>
  <c r="R1278" i="8" s="1"/>
  <c r="S1278" i="8" s="1"/>
  <c r="V1278" i="8"/>
  <c r="W1278" i="8" s="1"/>
  <c r="O1279" i="8"/>
  <c r="V1279" i="8"/>
  <c r="U1279" i="8" s="1"/>
  <c r="U1280" i="8"/>
  <c r="O1280" i="8"/>
  <c r="R1280" i="8" s="1"/>
  <c r="S1280" i="8" s="1"/>
  <c r="V1280" i="8"/>
  <c r="W1280" i="8" s="1"/>
  <c r="O1281" i="8"/>
  <c r="V1281" i="8"/>
  <c r="U1281" i="8" s="1"/>
  <c r="U1282" i="8"/>
  <c r="O1282" i="8"/>
  <c r="R1282" i="8" s="1"/>
  <c r="S1282" i="8" s="1"/>
  <c r="V1282" i="8"/>
  <c r="W1282" i="8" s="1"/>
  <c r="O1283" i="8"/>
  <c r="V1283" i="8"/>
  <c r="U1283" i="8" s="1"/>
  <c r="U1284" i="8"/>
  <c r="O1284" i="8"/>
  <c r="R1284" i="8" s="1"/>
  <c r="S1284" i="8" s="1"/>
  <c r="V1284" i="8"/>
  <c r="W1284" i="8" s="1"/>
  <c r="O1285" i="8"/>
  <c r="V1285" i="8"/>
  <c r="U1285" i="8" s="1"/>
  <c r="U1286" i="8"/>
  <c r="O1286" i="8"/>
  <c r="R1286" i="8" s="1"/>
  <c r="S1286" i="8" s="1"/>
  <c r="V1286" i="8"/>
  <c r="W1286" i="8" s="1"/>
  <c r="O1287" i="8"/>
  <c r="V1287" i="8"/>
  <c r="U1287" i="8" s="1"/>
  <c r="W1288" i="8"/>
  <c r="U1288" i="8"/>
  <c r="O1288" i="8"/>
  <c r="R1288" i="8" s="1"/>
  <c r="S1288" i="8" s="1"/>
  <c r="U1289" i="8"/>
  <c r="Q54" i="5" s="1"/>
  <c r="O1289" i="8"/>
  <c r="R1289" i="8" s="1"/>
  <c r="S1289" i="8" s="1"/>
  <c r="V1289" i="8"/>
  <c r="W1289" i="8" s="1"/>
  <c r="V1290" i="8"/>
  <c r="U1290" i="8" s="1"/>
  <c r="U1291" i="8"/>
  <c r="O1291" i="8"/>
  <c r="R1291" i="8" s="1"/>
  <c r="S1291" i="8" s="1"/>
  <c r="V1291" i="8"/>
  <c r="W1291" i="8" s="1"/>
  <c r="V1292" i="8"/>
  <c r="U1292" i="8" s="1"/>
  <c r="U1293" i="8"/>
  <c r="O1293" i="8"/>
  <c r="R1293" i="8" s="1"/>
  <c r="S1293" i="8" s="1"/>
  <c r="V1293" i="8"/>
  <c r="W1293" i="8" s="1"/>
  <c r="V1294" i="8"/>
  <c r="U1294" i="8" s="1"/>
  <c r="U1295" i="8"/>
  <c r="O1295" i="8"/>
  <c r="R1295" i="8" s="1"/>
  <c r="S1295" i="8" s="1"/>
  <c r="V1295" i="8"/>
  <c r="W1295" i="8" s="1"/>
  <c r="V1296" i="8"/>
  <c r="U1296" i="8" s="1"/>
  <c r="U1297" i="8"/>
  <c r="O1297" i="8"/>
  <c r="R1297" i="8" s="1"/>
  <c r="S1297" i="8" s="1"/>
  <c r="V1297" i="8"/>
  <c r="W1297" i="8" s="1"/>
  <c r="V1298" i="8"/>
  <c r="U1298" i="8" s="1"/>
  <c r="U1299" i="8"/>
  <c r="O1299" i="8"/>
  <c r="R1299" i="8" s="1"/>
  <c r="S1299" i="8" s="1"/>
  <c r="V1299" i="8"/>
  <c r="W1299" i="8" s="1"/>
  <c r="V1300" i="8"/>
  <c r="U1300" i="8" s="1"/>
  <c r="U1301" i="8"/>
  <c r="O1301" i="8"/>
  <c r="R1301" i="8" s="1"/>
  <c r="S1301" i="8" s="1"/>
  <c r="V1301" i="8"/>
  <c r="W1301" i="8" s="1"/>
  <c r="V1302" i="8"/>
  <c r="U1302" i="8" s="1"/>
  <c r="U1303" i="8"/>
  <c r="O1303" i="8"/>
  <c r="R1303" i="8" s="1"/>
  <c r="S1303" i="8" s="1"/>
  <c r="V1303" i="8"/>
  <c r="W1303" i="8" s="1"/>
  <c r="V1304" i="8"/>
  <c r="U1304" i="8" s="1"/>
  <c r="U1305" i="8"/>
  <c r="O1305" i="8"/>
  <c r="R1305" i="8" s="1"/>
  <c r="S1305" i="8" s="1"/>
  <c r="V1305" i="8"/>
  <c r="W1305" i="8" s="1"/>
  <c r="V1306" i="8"/>
  <c r="U1306" i="8" s="1"/>
  <c r="U1307" i="8"/>
  <c r="O1307" i="8"/>
  <c r="R1307" i="8" s="1"/>
  <c r="S1307" i="8" s="1"/>
  <c r="V1307" i="8"/>
  <c r="W1307" i="8" s="1"/>
  <c r="V1308" i="8"/>
  <c r="U1308" i="8" s="1"/>
  <c r="U1309" i="8"/>
  <c r="O1309" i="8"/>
  <c r="R1309" i="8" s="1"/>
  <c r="S1309" i="8" s="1"/>
  <c r="V1309" i="8"/>
  <c r="W1309" i="8" s="1"/>
  <c r="V1310" i="8"/>
  <c r="U1310" i="8" s="1"/>
  <c r="U1311" i="8"/>
  <c r="O1311" i="8"/>
  <c r="R1311" i="8" s="1"/>
  <c r="S1311" i="8" s="1"/>
  <c r="V1311" i="8"/>
  <c r="W1311" i="8" s="1"/>
  <c r="V1312" i="8"/>
  <c r="U1312" i="8" s="1"/>
  <c r="U1313" i="8"/>
  <c r="O1313" i="8"/>
  <c r="R1313" i="8" s="1"/>
  <c r="S1313" i="8" s="1"/>
  <c r="V1313" i="8"/>
  <c r="W1313" i="8" s="1"/>
  <c r="V1314" i="8"/>
  <c r="U1314" i="8" s="1"/>
  <c r="U1315" i="8"/>
  <c r="O1315" i="8"/>
  <c r="R1315" i="8" s="1"/>
  <c r="S1315" i="8" s="1"/>
  <c r="V1315" i="8"/>
  <c r="W1315" i="8" s="1"/>
  <c r="V1316" i="8"/>
  <c r="U1316" i="8" s="1"/>
  <c r="U1317" i="8"/>
  <c r="O1317" i="8"/>
  <c r="R1317" i="8" s="1"/>
  <c r="S1317" i="8" s="1"/>
  <c r="V1317" i="8"/>
  <c r="W1317" i="8" s="1"/>
  <c r="V1318" i="8"/>
  <c r="U1318" i="8" s="1"/>
  <c r="U1319" i="8"/>
  <c r="O1319" i="8"/>
  <c r="R1319" i="8" s="1"/>
  <c r="S1319" i="8" s="1"/>
  <c r="V1319" i="8"/>
  <c r="W1319" i="8" s="1"/>
  <c r="V1320" i="8"/>
  <c r="U1320" i="8" s="1"/>
  <c r="U1321" i="8"/>
  <c r="O1321" i="8"/>
  <c r="R1321" i="8" s="1"/>
  <c r="S1321" i="8" s="1"/>
  <c r="V1321" i="8"/>
  <c r="W1321" i="8" s="1"/>
  <c r="V1322" i="8"/>
  <c r="U1322" i="8" s="1"/>
  <c r="U1323" i="8"/>
  <c r="O1323" i="8"/>
  <c r="R1323" i="8" s="1"/>
  <c r="S1323" i="8" s="1"/>
  <c r="V1323" i="8"/>
  <c r="W1323" i="8" s="1"/>
  <c r="V1324" i="8"/>
  <c r="U1324" i="8" s="1"/>
  <c r="U1325" i="8"/>
  <c r="O1325" i="8"/>
  <c r="R1325" i="8" s="1"/>
  <c r="S1325" i="8" s="1"/>
  <c r="V1325" i="8"/>
  <c r="W1325" i="8" s="1"/>
  <c r="V1326" i="8"/>
  <c r="U1326" i="8" s="1"/>
  <c r="U1327" i="8"/>
  <c r="O1327" i="8"/>
  <c r="R1327" i="8" s="1"/>
  <c r="S1327" i="8" s="1"/>
  <c r="V1327" i="8"/>
  <c r="W1327" i="8" s="1"/>
  <c r="V1328" i="8"/>
  <c r="U1328" i="8" s="1"/>
  <c r="U1329" i="8"/>
  <c r="O1329" i="8"/>
  <c r="R1329" i="8" s="1"/>
  <c r="S1329" i="8" s="1"/>
  <c r="V1329" i="8"/>
  <c r="W1329" i="8" s="1"/>
  <c r="O1330" i="8"/>
  <c r="V1330" i="8"/>
  <c r="U1330" i="8" s="1"/>
  <c r="U1331" i="8"/>
  <c r="O1331" i="8"/>
  <c r="R1331" i="8" s="1"/>
  <c r="S1331" i="8" s="1"/>
  <c r="V1331" i="8"/>
  <c r="W1331" i="8" s="1"/>
  <c r="O1332" i="8"/>
  <c r="V1332" i="8"/>
  <c r="U1332" i="8" s="1"/>
  <c r="U1333" i="8"/>
  <c r="O1333" i="8"/>
  <c r="R1333" i="8" s="1"/>
  <c r="S1333" i="8" s="1"/>
  <c r="V1333" i="8"/>
  <c r="W1333" i="8" s="1"/>
  <c r="O1334" i="8"/>
  <c r="V1334" i="8"/>
  <c r="U1334" i="8" s="1"/>
  <c r="U1335" i="8"/>
  <c r="O1335" i="8"/>
  <c r="R1335" i="8" s="1"/>
  <c r="S1335" i="8" s="1"/>
  <c r="V1335" i="8"/>
  <c r="W1335" i="8" s="1"/>
  <c r="O1336" i="8"/>
  <c r="V1336" i="8"/>
  <c r="U1336" i="8" s="1"/>
  <c r="U1337" i="8"/>
  <c r="O1337" i="8"/>
  <c r="R1337" i="8" s="1"/>
  <c r="S1337" i="8" s="1"/>
  <c r="V1337" i="8"/>
  <c r="W1337" i="8" s="1"/>
  <c r="O1338" i="8"/>
  <c r="V1338" i="8"/>
  <c r="U1338" i="8" s="1"/>
  <c r="U1339" i="8"/>
  <c r="O1339" i="8"/>
  <c r="R1339" i="8" s="1"/>
  <c r="S1339" i="8" s="1"/>
  <c r="V1339" i="8"/>
  <c r="W1339" i="8" s="1"/>
  <c r="O1340" i="8"/>
  <c r="V1340" i="8"/>
  <c r="U1340" i="8" s="1"/>
  <c r="U1341" i="8"/>
  <c r="O1341" i="8"/>
  <c r="R1341" i="8" s="1"/>
  <c r="S1341" i="8" s="1"/>
  <c r="V1341" i="8"/>
  <c r="W1341" i="8" s="1"/>
  <c r="O1342" i="8"/>
  <c r="V1342" i="8"/>
  <c r="U1342" i="8" s="1"/>
  <c r="U1343" i="8"/>
  <c r="O1343" i="8"/>
  <c r="R1343" i="8" s="1"/>
  <c r="S1343" i="8" s="1"/>
  <c r="V1343" i="8"/>
  <c r="W1343" i="8" s="1"/>
  <c r="O1344" i="8"/>
  <c r="V1344" i="8"/>
  <c r="U1344" i="8" s="1"/>
  <c r="U1345" i="8"/>
  <c r="O1345" i="8"/>
  <c r="R1345" i="8" s="1"/>
  <c r="S1345" i="8" s="1"/>
  <c r="V1345" i="8"/>
  <c r="W1345" i="8" s="1"/>
  <c r="O1346" i="8"/>
  <c r="V1346" i="8"/>
  <c r="U1346" i="8" s="1"/>
  <c r="U1347" i="8"/>
  <c r="O1347" i="8"/>
  <c r="R1347" i="8" s="1"/>
  <c r="S1347" i="8" s="1"/>
  <c r="V1347" i="8"/>
  <c r="W1347" i="8" s="1"/>
  <c r="O1348" i="8"/>
  <c r="V1348" i="8"/>
  <c r="U1348" i="8" s="1"/>
  <c r="U1349" i="8"/>
  <c r="O1349" i="8"/>
  <c r="R1349" i="8" s="1"/>
  <c r="S1349" i="8" s="1"/>
  <c r="V1349" i="8"/>
  <c r="W1349" i="8" s="1"/>
  <c r="O1350" i="8"/>
  <c r="V1350" i="8"/>
  <c r="U1350" i="8" s="1"/>
  <c r="U1351" i="8"/>
  <c r="O1351" i="8"/>
  <c r="R1351" i="8" s="1"/>
  <c r="S1351" i="8" s="1"/>
  <c r="V1351" i="8"/>
  <c r="W1351" i="8" s="1"/>
  <c r="O1352" i="8"/>
  <c r="V1352" i="8"/>
  <c r="U1352" i="8" s="1"/>
  <c r="U1353" i="8"/>
  <c r="O1353" i="8"/>
  <c r="R1353" i="8" s="1"/>
  <c r="S1353" i="8" s="1"/>
  <c r="V1353" i="8"/>
  <c r="W1353" i="8" s="1"/>
  <c r="O1354" i="8"/>
  <c r="V1354" i="8"/>
  <c r="U1354" i="8" s="1"/>
  <c r="U1355" i="8"/>
  <c r="O1355" i="8"/>
  <c r="R1355" i="8" s="1"/>
  <c r="S1355" i="8" s="1"/>
  <c r="V1355" i="8"/>
  <c r="W1355" i="8" s="1"/>
  <c r="O1356" i="8"/>
  <c r="V1356" i="8"/>
  <c r="U1356" i="8" s="1"/>
  <c r="U1357" i="8"/>
  <c r="O1357" i="8"/>
  <c r="R1357" i="8" s="1"/>
  <c r="S1357" i="8" s="1"/>
  <c r="V1357" i="8"/>
  <c r="W1357" i="8" s="1"/>
  <c r="O1358" i="8"/>
  <c r="V1358" i="8"/>
  <c r="U1358" i="8" s="1"/>
  <c r="U1359" i="8"/>
  <c r="O1359" i="8"/>
  <c r="R1359" i="8" s="1"/>
  <c r="S1359" i="8" s="1"/>
  <c r="V1359" i="8"/>
  <c r="W1359" i="8" s="1"/>
  <c r="O1360" i="8"/>
  <c r="V1360" i="8"/>
  <c r="U1360" i="8" s="1"/>
  <c r="U1361" i="8"/>
  <c r="O1361" i="8"/>
  <c r="R1361" i="8" s="1"/>
  <c r="S1361" i="8" s="1"/>
  <c r="V1361" i="8"/>
  <c r="W1361" i="8" s="1"/>
  <c r="O1362" i="8"/>
  <c r="V1362" i="8"/>
  <c r="U1362" i="8" s="1"/>
  <c r="U1363" i="8"/>
  <c r="O1363" i="8"/>
  <c r="R1363" i="8" s="1"/>
  <c r="S1363" i="8" s="1"/>
  <c r="V1363" i="8"/>
  <c r="W1363" i="8" s="1"/>
  <c r="O1364" i="8"/>
  <c r="V1364" i="8"/>
  <c r="U1364" i="8" s="1"/>
  <c r="U1365" i="8"/>
  <c r="O1365" i="8"/>
  <c r="R1365" i="8" s="1"/>
  <c r="S1365" i="8" s="1"/>
  <c r="V1365" i="8"/>
  <c r="W1365" i="8" s="1"/>
  <c r="O1366" i="8"/>
  <c r="V1366" i="8"/>
  <c r="U1366" i="8" s="1"/>
  <c r="U1367" i="8"/>
  <c r="O1367" i="8"/>
  <c r="R1367" i="8" s="1"/>
  <c r="S1367" i="8" s="1"/>
  <c r="V1367" i="8"/>
  <c r="W1367" i="8" s="1"/>
  <c r="O1368" i="8"/>
  <c r="V1368" i="8"/>
  <c r="U1368" i="8" s="1"/>
  <c r="U1369" i="8"/>
  <c r="O1369" i="8"/>
  <c r="R1369" i="8" s="1"/>
  <c r="S1369" i="8" s="1"/>
  <c r="V1369" i="8"/>
  <c r="W1369" i="8" s="1"/>
  <c r="O1370" i="8"/>
  <c r="V1370" i="8"/>
  <c r="U1370" i="8" s="1"/>
  <c r="U1371" i="8"/>
  <c r="O1371" i="8"/>
  <c r="R1371" i="8" s="1"/>
  <c r="S1371" i="8" s="1"/>
  <c r="V1371" i="8"/>
  <c r="W1371" i="8" s="1"/>
  <c r="O1372" i="8"/>
  <c r="V1372" i="8"/>
  <c r="U1372" i="8" s="1"/>
  <c r="U1373" i="8"/>
  <c r="O1373" i="8"/>
  <c r="R1373" i="8" s="1"/>
  <c r="S1373" i="8" s="1"/>
  <c r="V1373" i="8"/>
  <c r="W1373" i="8" s="1"/>
  <c r="O1374" i="8"/>
  <c r="V1374" i="8"/>
  <c r="U1374" i="8" s="1"/>
  <c r="U1375" i="8"/>
  <c r="O1375" i="8"/>
  <c r="R1375" i="8" s="1"/>
  <c r="S1375" i="8" s="1"/>
  <c r="V1375" i="8"/>
  <c r="W1375" i="8" s="1"/>
  <c r="O1376" i="8"/>
  <c r="V1376" i="8"/>
  <c r="U1376" i="8" s="1"/>
  <c r="U1377" i="8"/>
  <c r="O1377" i="8"/>
  <c r="R1377" i="8" s="1"/>
  <c r="S1377" i="8" s="1"/>
  <c r="V1377" i="8"/>
  <c r="W1377" i="8" s="1"/>
  <c r="O1378" i="8"/>
  <c r="V1378" i="8"/>
  <c r="U1378" i="8" s="1"/>
  <c r="U1379" i="8"/>
  <c r="O1379" i="8"/>
  <c r="R1379" i="8" s="1"/>
  <c r="S1379" i="8" s="1"/>
  <c r="V1379" i="8"/>
  <c r="W1379" i="8" s="1"/>
  <c r="O1380" i="8"/>
  <c r="V1380" i="8"/>
  <c r="U1380" i="8" s="1"/>
  <c r="U1381" i="8"/>
  <c r="O1381" i="8"/>
  <c r="R1381" i="8" s="1"/>
  <c r="S1381" i="8" s="1"/>
  <c r="V1381" i="8"/>
  <c r="W1381" i="8" s="1"/>
  <c r="O1382" i="8"/>
  <c r="V1382" i="8"/>
  <c r="U1382" i="8" s="1"/>
  <c r="U1383" i="8"/>
  <c r="O1383" i="8"/>
  <c r="R1383" i="8" s="1"/>
  <c r="S1383" i="8" s="1"/>
  <c r="V1383" i="8"/>
  <c r="W1383" i="8" s="1"/>
  <c r="O1384" i="8"/>
  <c r="V1384" i="8"/>
  <c r="U1384" i="8" s="1"/>
  <c r="U1385" i="8"/>
  <c r="O1385" i="8"/>
  <c r="R1385" i="8" s="1"/>
  <c r="S1385" i="8" s="1"/>
  <c r="V1385" i="8"/>
  <c r="W1385" i="8" s="1"/>
  <c r="O1386" i="8"/>
  <c r="V1386" i="8"/>
  <c r="U1386" i="8" s="1"/>
  <c r="U1387" i="8"/>
  <c r="O1387" i="8"/>
  <c r="R1387" i="8" s="1"/>
  <c r="S1387" i="8" s="1"/>
  <c r="V1387" i="8"/>
  <c r="W1387" i="8" s="1"/>
  <c r="O1388" i="8"/>
  <c r="V1388" i="8"/>
  <c r="U1388" i="8" s="1"/>
  <c r="U1389" i="8"/>
  <c r="O1389" i="8"/>
  <c r="R1389" i="8" s="1"/>
  <c r="S1389" i="8" s="1"/>
  <c r="V1389" i="8"/>
  <c r="W1389" i="8" s="1"/>
  <c r="O1390" i="8"/>
  <c r="V1390" i="8"/>
  <c r="U1390" i="8" s="1"/>
  <c r="U1391" i="8"/>
  <c r="O1391" i="8"/>
  <c r="R1391" i="8" s="1"/>
  <c r="S1391" i="8" s="1"/>
  <c r="V1391" i="8"/>
  <c r="W1391" i="8" s="1"/>
  <c r="O1392" i="8"/>
  <c r="V1392" i="8"/>
  <c r="U1392" i="8" s="1"/>
  <c r="U1393" i="8"/>
  <c r="O1393" i="8"/>
  <c r="R1393" i="8" s="1"/>
  <c r="S1393" i="8" s="1"/>
  <c r="V1393" i="8"/>
  <c r="W1393" i="8" s="1"/>
  <c r="O1394" i="8"/>
  <c r="V1394" i="8"/>
  <c r="U1394" i="8" s="1"/>
  <c r="U1395" i="8"/>
  <c r="O1395" i="8"/>
  <c r="R1395" i="8" s="1"/>
  <c r="S1395" i="8" s="1"/>
  <c r="V1395" i="8"/>
  <c r="W1395" i="8" s="1"/>
  <c r="O1396" i="8"/>
  <c r="V1396" i="8"/>
  <c r="U1396" i="8" s="1"/>
  <c r="U1397" i="8"/>
  <c r="O1397" i="8"/>
  <c r="R1397" i="8" s="1"/>
  <c r="S1397" i="8" s="1"/>
  <c r="V1397" i="8"/>
  <c r="W1397" i="8" s="1"/>
  <c r="O1398" i="8"/>
  <c r="V1398" i="8"/>
  <c r="U1398" i="8" s="1"/>
  <c r="U1399" i="8"/>
  <c r="O1399" i="8"/>
  <c r="R1399" i="8" s="1"/>
  <c r="S1399" i="8" s="1"/>
  <c r="V1399" i="8"/>
  <c r="W1399" i="8" s="1"/>
  <c r="O1400" i="8"/>
  <c r="V1400" i="8"/>
  <c r="U1400" i="8" s="1"/>
  <c r="U1401" i="8"/>
  <c r="O1401" i="8"/>
  <c r="R1401" i="8" s="1"/>
  <c r="S1401" i="8" s="1"/>
  <c r="V1401" i="8"/>
  <c r="W1401" i="8" s="1"/>
  <c r="O1402" i="8"/>
  <c r="V1402" i="8"/>
  <c r="U1402" i="8" s="1"/>
  <c r="U1403" i="8"/>
  <c r="O1403" i="8"/>
  <c r="R1403" i="8" s="1"/>
  <c r="S1403" i="8" s="1"/>
  <c r="V1403" i="8"/>
  <c r="W1403" i="8" s="1"/>
  <c r="O1404" i="8"/>
  <c r="V1404" i="8"/>
  <c r="U1404" i="8" s="1"/>
  <c r="U1405" i="8"/>
  <c r="O1405" i="8"/>
  <c r="R1405" i="8" s="1"/>
  <c r="S1405" i="8" s="1"/>
  <c r="V1405" i="8"/>
  <c r="W1405" i="8" s="1"/>
  <c r="O1406" i="8"/>
  <c r="V1406" i="8"/>
  <c r="U1406" i="8" s="1"/>
  <c r="U1407" i="8"/>
  <c r="O1407" i="8"/>
  <c r="R1407" i="8" s="1"/>
  <c r="S1407" i="8" s="1"/>
  <c r="V1407" i="8"/>
  <c r="W1407" i="8" s="1"/>
  <c r="O1408" i="8"/>
  <c r="V1408" i="8"/>
  <c r="U1408" i="8" s="1"/>
  <c r="U1409" i="8"/>
  <c r="O1409" i="8"/>
  <c r="R1409" i="8" s="1"/>
  <c r="S1409" i="8" s="1"/>
  <c r="V1409" i="8"/>
  <c r="W1409" i="8" s="1"/>
  <c r="O1410" i="8"/>
  <c r="V1410" i="8"/>
  <c r="U1410" i="8" s="1"/>
  <c r="U1411" i="8"/>
  <c r="O1411" i="8"/>
  <c r="R1411" i="8" s="1"/>
  <c r="S1411" i="8" s="1"/>
  <c r="V1411" i="8"/>
  <c r="W1411" i="8" s="1"/>
  <c r="O1412" i="8"/>
  <c r="V1412" i="8"/>
  <c r="U1412" i="8" s="1"/>
  <c r="U1413" i="8"/>
  <c r="O1413" i="8"/>
  <c r="R1413" i="8" s="1"/>
  <c r="S1413" i="8" s="1"/>
  <c r="V1413" i="8"/>
  <c r="W1413" i="8" s="1"/>
  <c r="O1414" i="8"/>
  <c r="V1414" i="8"/>
  <c r="U1414" i="8" s="1"/>
  <c r="U1415" i="8"/>
  <c r="O1415" i="8"/>
  <c r="R1415" i="8" s="1"/>
  <c r="S1415" i="8" s="1"/>
  <c r="V1415" i="8"/>
  <c r="W1415" i="8" s="1"/>
  <c r="O1416" i="8"/>
  <c r="V1416" i="8"/>
  <c r="U1416" i="8" s="1"/>
  <c r="U1417" i="8"/>
  <c r="O1417" i="8"/>
  <c r="R1417" i="8" s="1"/>
  <c r="S1417" i="8" s="1"/>
  <c r="V1417" i="8"/>
  <c r="W1417" i="8" s="1"/>
  <c r="O1418" i="8"/>
  <c r="V1418" i="8"/>
  <c r="U1418" i="8" s="1"/>
  <c r="U1419" i="8"/>
  <c r="O1419" i="8"/>
  <c r="R1419" i="8" s="1"/>
  <c r="S1419" i="8" s="1"/>
  <c r="V1419" i="8"/>
  <c r="W1419" i="8" s="1"/>
  <c r="O1420" i="8"/>
  <c r="V1420" i="8"/>
  <c r="U1420" i="8" s="1"/>
  <c r="U1421" i="8"/>
  <c r="O1421" i="8"/>
  <c r="R1421" i="8" s="1"/>
  <c r="S1421" i="8" s="1"/>
  <c r="V1421" i="8"/>
  <c r="W1421" i="8" s="1"/>
  <c r="O1422" i="8"/>
  <c r="V1422" i="8"/>
  <c r="U1422" i="8" s="1"/>
  <c r="U1423" i="8"/>
  <c r="O1423" i="8"/>
  <c r="R1423" i="8" s="1"/>
  <c r="S1423" i="8" s="1"/>
  <c r="V1423" i="8"/>
  <c r="W1423" i="8" s="1"/>
  <c r="O1424" i="8"/>
  <c r="V1424" i="8"/>
  <c r="U1424" i="8" s="1"/>
  <c r="U1425" i="8"/>
  <c r="O1425" i="8"/>
  <c r="R1425" i="8" s="1"/>
  <c r="S1425" i="8" s="1"/>
  <c r="V1425" i="8"/>
  <c r="W1425" i="8" s="1"/>
  <c r="O1426" i="8"/>
  <c r="V1426" i="8"/>
  <c r="U1426" i="8" s="1"/>
  <c r="U1427" i="8"/>
  <c r="O1427" i="8"/>
  <c r="R1427" i="8" s="1"/>
  <c r="S1427" i="8" s="1"/>
  <c r="V1427" i="8"/>
  <c r="W1427" i="8" s="1"/>
  <c r="O1428" i="8"/>
  <c r="V1428" i="8"/>
  <c r="U1428" i="8" s="1"/>
  <c r="U1429" i="8"/>
  <c r="O1429" i="8"/>
  <c r="R1429" i="8" s="1"/>
  <c r="S1429" i="8" s="1"/>
  <c r="V1429" i="8"/>
  <c r="W1429" i="8" s="1"/>
  <c r="O1430" i="8"/>
  <c r="V1430" i="8"/>
  <c r="U1430" i="8" s="1"/>
  <c r="U1431" i="8"/>
  <c r="O1431" i="8"/>
  <c r="R1431" i="8" s="1"/>
  <c r="S1431" i="8" s="1"/>
  <c r="V1431" i="8"/>
  <c r="W1431" i="8" s="1"/>
  <c r="O1432" i="8"/>
  <c r="V1432" i="8"/>
  <c r="U1432" i="8" s="1"/>
  <c r="U1433" i="8"/>
  <c r="O1433" i="8"/>
  <c r="R1433" i="8" s="1"/>
  <c r="S1433" i="8" s="1"/>
  <c r="V1433" i="8"/>
  <c r="W1433" i="8" s="1"/>
  <c r="O1434" i="8"/>
  <c r="V1434" i="8"/>
  <c r="U1434" i="8" s="1"/>
  <c r="U1435" i="8"/>
  <c r="O1435" i="8"/>
  <c r="R1435" i="8" s="1"/>
  <c r="S1435" i="8" s="1"/>
  <c r="V1435" i="8"/>
  <c r="W1435" i="8" s="1"/>
  <c r="O1436" i="8"/>
  <c r="V1436" i="8"/>
  <c r="U1436" i="8" s="1"/>
  <c r="U1437" i="8"/>
  <c r="O1437" i="8"/>
  <c r="R1437" i="8" s="1"/>
  <c r="S1437" i="8" s="1"/>
  <c r="V1437" i="8"/>
  <c r="W1437" i="8" s="1"/>
  <c r="O1438" i="8"/>
  <c r="V1438" i="8"/>
  <c r="U1438" i="8" s="1"/>
  <c r="U1439" i="8"/>
  <c r="O1439" i="8"/>
  <c r="R1439" i="8" s="1"/>
  <c r="S1439" i="8" s="1"/>
  <c r="V1439" i="8"/>
  <c r="W1439" i="8" s="1"/>
  <c r="O1440" i="8"/>
  <c r="V1440" i="8"/>
  <c r="U1440" i="8" s="1"/>
  <c r="U1441" i="8"/>
  <c r="O1441" i="8"/>
  <c r="R1441" i="8" s="1"/>
  <c r="S1441" i="8" s="1"/>
  <c r="V1441" i="8"/>
  <c r="W1441" i="8" s="1"/>
  <c r="O1442" i="8"/>
  <c r="V1442" i="8"/>
  <c r="U1442" i="8" s="1"/>
  <c r="U1443" i="8"/>
  <c r="O1443" i="8"/>
  <c r="R1443" i="8" s="1"/>
  <c r="S1443" i="8" s="1"/>
  <c r="V1443" i="8"/>
  <c r="W1443" i="8" s="1"/>
  <c r="O1444" i="8"/>
  <c r="V1444" i="8"/>
  <c r="U1444" i="8" s="1"/>
  <c r="U1445" i="8"/>
  <c r="O1445" i="8"/>
  <c r="R1445" i="8" s="1"/>
  <c r="S1445" i="8" s="1"/>
  <c r="V1445" i="8"/>
  <c r="W1445" i="8" s="1"/>
  <c r="V1446" i="8"/>
  <c r="U1446" i="8" s="1"/>
  <c r="U1447" i="8"/>
  <c r="O1447" i="8"/>
  <c r="R1447" i="8" s="1"/>
  <c r="S1447" i="8" s="1"/>
  <c r="V1447" i="8"/>
  <c r="W1447" i="8" s="1"/>
  <c r="V1448" i="8"/>
  <c r="U1448" i="8" s="1"/>
  <c r="U1449" i="8"/>
  <c r="V1449" i="8"/>
  <c r="W1449" i="8" s="1"/>
  <c r="V1450" i="8"/>
  <c r="U1450" i="8" s="1"/>
  <c r="U1451" i="8"/>
  <c r="O1451" i="8"/>
  <c r="R1451" i="8" s="1"/>
  <c r="S1451" i="8" s="1"/>
  <c r="V1451" i="8"/>
  <c r="W1451" i="8" s="1"/>
  <c r="V1452" i="8"/>
  <c r="U1452" i="8" s="1"/>
  <c r="U1453" i="8"/>
  <c r="V1453" i="8"/>
  <c r="W1453" i="8" s="1"/>
  <c r="V1454" i="8"/>
  <c r="U1454" i="8" s="1"/>
  <c r="U1455" i="8"/>
  <c r="O1455" i="8"/>
  <c r="R1455" i="8" s="1"/>
  <c r="S1455" i="8" s="1"/>
  <c r="V1455" i="8"/>
  <c r="W1455" i="8" s="1"/>
  <c r="V1456" i="8"/>
  <c r="U1456" i="8" s="1"/>
  <c r="U1457" i="8"/>
  <c r="V1457" i="8"/>
  <c r="W1457" i="8" s="1"/>
  <c r="V1458" i="8"/>
  <c r="U1458" i="8" s="1"/>
  <c r="U1459" i="8"/>
  <c r="O1459" i="8"/>
  <c r="R1459" i="8" s="1"/>
  <c r="S1459" i="8" s="1"/>
  <c r="V1459" i="8"/>
  <c r="W1459" i="8" s="1"/>
  <c r="V1460" i="8"/>
  <c r="U1460" i="8" s="1"/>
  <c r="U1461" i="8"/>
  <c r="V1461" i="8"/>
  <c r="W1461" i="8" s="1"/>
  <c r="V1462" i="8"/>
  <c r="U1462" i="8" s="1"/>
  <c r="U1463" i="8"/>
  <c r="O1463" i="8"/>
  <c r="R1463" i="8" s="1"/>
  <c r="S1463" i="8" s="1"/>
  <c r="V1463" i="8"/>
  <c r="W1463" i="8" s="1"/>
  <c r="V1464" i="8"/>
  <c r="U1464" i="8" s="1"/>
  <c r="U1465" i="8"/>
  <c r="V1465" i="8"/>
  <c r="W1465" i="8" s="1"/>
  <c r="V1466" i="8"/>
  <c r="U1466" i="8" s="1"/>
  <c r="U1467" i="8"/>
  <c r="O1467" i="8"/>
  <c r="R1467" i="8" s="1"/>
  <c r="S1467" i="8" s="1"/>
  <c r="V1467" i="8"/>
  <c r="W1467" i="8" s="1"/>
  <c r="V1468" i="8"/>
  <c r="U1468" i="8" s="1"/>
  <c r="U1469" i="8"/>
  <c r="V1469" i="8"/>
  <c r="W1469" i="8" s="1"/>
  <c r="V1470" i="8"/>
  <c r="U1470" i="8" s="1"/>
  <c r="U1471" i="8"/>
  <c r="O1471" i="8"/>
  <c r="R1471" i="8" s="1"/>
  <c r="S1471" i="8" s="1"/>
  <c r="V1471" i="8"/>
  <c r="W1471" i="8" s="1"/>
  <c r="V1472" i="8"/>
  <c r="U1472" i="8" s="1"/>
  <c r="U1473" i="8"/>
  <c r="V1473" i="8"/>
  <c r="W1473" i="8" s="1"/>
  <c r="V1474" i="8"/>
  <c r="U1474" i="8" s="1"/>
  <c r="U1475" i="8"/>
  <c r="O1475" i="8"/>
  <c r="R1475" i="8" s="1"/>
  <c r="S1475" i="8" s="1"/>
  <c r="V1475" i="8"/>
  <c r="W1475" i="8" s="1"/>
  <c r="V1476" i="8"/>
  <c r="U1476" i="8" s="1"/>
  <c r="U1477" i="8"/>
  <c r="V1477" i="8"/>
  <c r="W1477" i="8" s="1"/>
  <c r="V1478" i="8"/>
  <c r="U1478" i="8" s="1"/>
  <c r="U1479" i="8"/>
  <c r="O1479" i="8"/>
  <c r="R1479" i="8" s="1"/>
  <c r="S1479" i="8" s="1"/>
  <c r="V1479" i="8"/>
  <c r="T1479" i="8" s="1"/>
  <c r="V1480" i="8"/>
  <c r="T1480" i="8" s="1"/>
  <c r="U1481" i="8"/>
  <c r="V1481" i="8"/>
  <c r="T1481" i="8" s="1"/>
  <c r="V1482" i="8"/>
  <c r="T1482" i="8" s="1"/>
  <c r="U1483" i="8"/>
  <c r="O1483" i="8"/>
  <c r="R1483" i="8" s="1"/>
  <c r="S1483" i="8" s="1"/>
  <c r="V1483" i="8"/>
  <c r="T1483" i="8" s="1"/>
  <c r="V1484" i="8"/>
  <c r="T1484" i="8" s="1"/>
  <c r="U1485" i="8"/>
  <c r="V1485" i="8"/>
  <c r="T1485" i="8" s="1"/>
  <c r="V1486" i="8"/>
  <c r="T1486" i="8" s="1"/>
  <c r="U1487" i="8"/>
  <c r="O1487" i="8"/>
  <c r="R1487" i="8" s="1"/>
  <c r="S1487" i="8" s="1"/>
  <c r="V1487" i="8"/>
  <c r="T1487" i="8" s="1"/>
  <c r="V1488" i="8"/>
  <c r="T1488" i="8" s="1"/>
  <c r="U1489" i="8"/>
  <c r="V1489" i="8"/>
  <c r="T1489" i="8" s="1"/>
  <c r="V1490" i="8"/>
  <c r="T1490" i="8" s="1"/>
  <c r="U1491" i="8"/>
  <c r="O1491" i="8"/>
  <c r="R1491" i="8" s="1"/>
  <c r="S1491" i="8" s="1"/>
  <c r="V1491" i="8"/>
  <c r="T1491" i="8" s="1"/>
  <c r="V1492" i="8"/>
  <c r="T1492" i="8" s="1"/>
  <c r="U1493" i="8"/>
  <c r="V1493" i="8"/>
  <c r="T1493" i="8" s="1"/>
  <c r="V1494" i="8"/>
  <c r="T1494" i="8" s="1"/>
  <c r="U1495" i="8"/>
  <c r="O1495" i="8"/>
  <c r="R1495" i="8" s="1"/>
  <c r="S1495" i="8" s="1"/>
  <c r="V1495" i="8"/>
  <c r="T1495" i="8" s="1"/>
  <c r="V1496" i="8"/>
  <c r="T1496" i="8" s="1"/>
  <c r="U1497" i="8"/>
  <c r="V1497" i="8"/>
  <c r="T1497" i="8" s="1"/>
  <c r="V1498" i="8"/>
  <c r="T1498" i="8" s="1"/>
  <c r="U1499" i="8"/>
  <c r="O1499" i="8"/>
  <c r="R1499" i="8" s="1"/>
  <c r="S1499" i="8" s="1"/>
  <c r="V1499" i="8"/>
  <c r="T1499" i="8" s="1"/>
  <c r="V1500" i="8"/>
  <c r="T1500" i="8" s="1"/>
  <c r="U1501" i="8"/>
  <c r="V1501" i="8"/>
  <c r="T1501" i="8" s="1"/>
  <c r="V1502" i="8"/>
  <c r="T1502" i="8" s="1"/>
  <c r="U1503" i="8"/>
  <c r="O1503" i="8"/>
  <c r="R1503" i="8" s="1"/>
  <c r="S1503" i="8" s="1"/>
  <c r="V1503" i="8"/>
  <c r="T1503" i="8" s="1"/>
  <c r="V1504" i="8"/>
  <c r="T1504" i="8" s="1"/>
  <c r="U1505" i="8"/>
  <c r="V1505" i="8"/>
  <c r="T1505" i="8" s="1"/>
  <c r="W1506" i="8"/>
  <c r="U1506" i="8"/>
  <c r="O1507" i="8"/>
  <c r="V1507" i="8"/>
  <c r="T1507" i="8" s="1"/>
  <c r="U1508" i="8"/>
  <c r="O1508" i="8"/>
  <c r="R1508" i="8" s="1"/>
  <c r="S1508" i="8" s="1"/>
  <c r="V1508" i="8"/>
  <c r="T1508" i="8" s="1"/>
  <c r="O1509" i="8"/>
  <c r="V1509" i="8"/>
  <c r="T1509" i="8" s="1"/>
  <c r="U1510" i="8"/>
  <c r="O1510" i="8"/>
  <c r="R1510" i="8" s="1"/>
  <c r="S1510" i="8" s="1"/>
  <c r="V1510" i="8"/>
  <c r="T1510" i="8" s="1"/>
  <c r="O1511" i="8"/>
  <c r="V1511" i="8"/>
  <c r="T1511" i="8" s="1"/>
  <c r="U1512" i="8"/>
  <c r="O1512" i="8"/>
  <c r="R1512" i="8" s="1"/>
  <c r="S1512" i="8" s="1"/>
  <c r="V1512" i="8"/>
  <c r="T1512" i="8" s="1"/>
  <c r="O1513" i="8"/>
  <c r="V1513" i="8"/>
  <c r="T1513" i="8" s="1"/>
  <c r="U1514" i="8"/>
  <c r="O1514" i="8"/>
  <c r="R1514" i="8" s="1"/>
  <c r="S1514" i="8" s="1"/>
  <c r="V1514" i="8"/>
  <c r="T1514" i="8" s="1"/>
  <c r="O1515" i="8"/>
  <c r="V1515" i="8"/>
  <c r="T1515" i="8" s="1"/>
  <c r="U1516" i="8"/>
  <c r="O1516" i="8"/>
  <c r="R1516" i="8" s="1"/>
  <c r="S1516" i="8" s="1"/>
  <c r="V1516" i="8"/>
  <c r="T1516" i="8" s="1"/>
  <c r="O1517" i="8"/>
  <c r="V1517" i="8"/>
  <c r="T1517" i="8" s="1"/>
  <c r="U1518" i="8"/>
  <c r="O1518" i="8"/>
  <c r="R1518" i="8" s="1"/>
  <c r="S1518" i="8" s="1"/>
  <c r="V1518" i="8"/>
  <c r="T1518" i="8" s="1"/>
  <c r="O1519" i="8"/>
  <c r="V1519" i="8"/>
  <c r="T1519" i="8" s="1"/>
  <c r="U1520" i="8"/>
  <c r="O1520" i="8"/>
  <c r="R1520" i="8" s="1"/>
  <c r="S1520" i="8" s="1"/>
  <c r="V1520" i="8"/>
  <c r="T1520" i="8" s="1"/>
  <c r="O1521" i="8"/>
  <c r="V1521" i="8"/>
  <c r="T1521" i="8" s="1"/>
  <c r="W1522" i="8"/>
  <c r="U1522" i="8"/>
  <c r="O1522" i="8"/>
  <c r="R1522" i="8" s="1"/>
  <c r="S1522" i="8" s="1"/>
  <c r="O1523" i="8"/>
  <c r="L70" i="1"/>
  <c r="A94" i="1"/>
  <c r="A102" i="1"/>
  <c r="A118" i="1"/>
  <c r="F10" i="2"/>
  <c r="F12" i="2"/>
  <c r="F14" i="2"/>
  <c r="F16" i="2"/>
  <c r="F18" i="2"/>
  <c r="F20" i="2"/>
  <c r="F22" i="2"/>
  <c r="F24" i="2"/>
  <c r="F26" i="2"/>
  <c r="E92" i="2" s="1"/>
  <c r="F28" i="2"/>
  <c r="F30" i="2"/>
  <c r="F32" i="2"/>
  <c r="F34" i="2"/>
  <c r="F36" i="2"/>
  <c r="E100" i="2" s="1"/>
  <c r="F38" i="2"/>
  <c r="F40" i="2"/>
  <c r="F42" i="2"/>
  <c r="B85" i="2"/>
  <c r="A4" i="4"/>
  <c r="A5" i="4"/>
  <c r="A6" i="4"/>
  <c r="A7" i="4"/>
  <c r="C33" i="4"/>
  <c r="C41" i="4"/>
  <c r="C47" i="4"/>
  <c r="C53" i="4"/>
  <c r="C61" i="4"/>
  <c r="C63" i="4"/>
  <c r="C65" i="4"/>
  <c r="E2" i="5"/>
  <c r="E3" i="5"/>
  <c r="E4" i="5"/>
  <c r="E5" i="5"/>
  <c r="E6" i="5"/>
  <c r="K6" i="5"/>
  <c r="M6" i="5"/>
  <c r="O6" i="5"/>
  <c r="E7" i="5"/>
  <c r="K7" i="5"/>
  <c r="M7" i="5"/>
  <c r="D33" i="4" s="1"/>
  <c r="O7" i="5"/>
  <c r="E8" i="5"/>
  <c r="E9" i="5"/>
  <c r="E10" i="5"/>
  <c r="K10" i="5"/>
  <c r="M10" i="5"/>
  <c r="O10" i="5"/>
  <c r="E11" i="5"/>
  <c r="K11" i="5"/>
  <c r="M11" i="5"/>
  <c r="D34" i="4" s="1"/>
  <c r="O11" i="5"/>
  <c r="E12" i="5"/>
  <c r="E13" i="5"/>
  <c r="E14" i="5"/>
  <c r="E15" i="5"/>
  <c r="E16" i="5"/>
  <c r="E17" i="5"/>
  <c r="E18" i="5"/>
  <c r="K18" i="5"/>
  <c r="M18" i="5"/>
  <c r="C36" i="4" s="1"/>
  <c r="O18" i="5"/>
  <c r="E19" i="5"/>
  <c r="K19" i="5"/>
  <c r="M19" i="5"/>
  <c r="D36" i="4" s="1"/>
  <c r="O19" i="5"/>
  <c r="E20" i="5"/>
  <c r="E21" i="5"/>
  <c r="E22" i="5"/>
  <c r="E23" i="5"/>
  <c r="E24" i="5"/>
  <c r="E25" i="5"/>
  <c r="E26" i="5"/>
  <c r="E27" i="5"/>
  <c r="E28" i="5"/>
  <c r="E29" i="5"/>
  <c r="E30" i="5"/>
  <c r="E31" i="5"/>
  <c r="E32" i="5"/>
  <c r="E33" i="5"/>
  <c r="K33" i="5"/>
  <c r="M33" i="5"/>
  <c r="F39" i="4" s="1"/>
  <c r="O33" i="5"/>
  <c r="E34" i="5"/>
  <c r="E35" i="5"/>
  <c r="E36" i="5"/>
  <c r="E37" i="5"/>
  <c r="E38" i="5"/>
  <c r="K38" i="5"/>
  <c r="M38" i="5"/>
  <c r="O38" i="5"/>
  <c r="E39" i="5"/>
  <c r="E40" i="5"/>
  <c r="E41" i="5"/>
  <c r="E42" i="5"/>
  <c r="E43" i="5"/>
  <c r="E44" i="5"/>
  <c r="K44" i="5"/>
  <c r="M44" i="5"/>
  <c r="E42" i="4" s="1"/>
  <c r="O44" i="5"/>
  <c r="E45" i="5"/>
  <c r="K45" i="5"/>
  <c r="M45" i="5"/>
  <c r="F42" i="4" s="1"/>
  <c r="O45" i="5"/>
  <c r="E46" i="5"/>
  <c r="E47" i="5"/>
  <c r="E48" i="5"/>
  <c r="E49" i="5"/>
  <c r="E50" i="5"/>
  <c r="E51" i="5"/>
  <c r="E52" i="5"/>
  <c r="E53" i="5"/>
  <c r="E54" i="5"/>
  <c r="E55" i="5"/>
  <c r="E56" i="5"/>
  <c r="E57" i="5"/>
  <c r="E58" i="5"/>
  <c r="K58" i="5"/>
  <c r="M58" i="5"/>
  <c r="O58" i="5"/>
  <c r="E59" i="5"/>
  <c r="K59" i="5"/>
  <c r="M59" i="5"/>
  <c r="D46" i="4" s="1"/>
  <c r="O59" i="5"/>
  <c r="E60" i="5"/>
  <c r="E61" i="5"/>
  <c r="E62" i="5"/>
  <c r="K62" i="5"/>
  <c r="M62" i="5"/>
  <c r="O62" i="5"/>
  <c r="E63" i="5"/>
  <c r="K63" i="5"/>
  <c r="M63" i="5"/>
  <c r="D47" i="4" s="1"/>
  <c r="O63" i="5"/>
  <c r="E64" i="5"/>
  <c r="E65" i="5"/>
  <c r="E66" i="5"/>
  <c r="E67" i="5"/>
  <c r="E68" i="5"/>
  <c r="E69" i="5"/>
  <c r="E70" i="5"/>
  <c r="E71" i="5"/>
  <c r="E72" i="5"/>
  <c r="K72" i="5"/>
  <c r="M72" i="5"/>
  <c r="E49" i="4" s="1"/>
  <c r="O72" i="5"/>
  <c r="E73" i="5"/>
  <c r="K73" i="5"/>
  <c r="M73" i="5"/>
  <c r="F49" i="4" s="1"/>
  <c r="O73" i="5"/>
  <c r="E74" i="5"/>
  <c r="E75" i="5"/>
  <c r="E76" i="5"/>
  <c r="E77" i="5"/>
  <c r="E78" i="5"/>
  <c r="E79" i="5"/>
  <c r="E80" i="5"/>
  <c r="E81" i="5"/>
  <c r="E82" i="5"/>
  <c r="K82" i="5"/>
  <c r="M82" i="5"/>
  <c r="O82" i="5"/>
  <c r="E83" i="5"/>
  <c r="K83" i="5"/>
  <c r="M83" i="5"/>
  <c r="D52" i="4" s="1"/>
  <c r="O83" i="5"/>
  <c r="E84" i="5"/>
  <c r="K84" i="5"/>
  <c r="M84" i="5"/>
  <c r="E52" i="4" s="1"/>
  <c r="O84" i="5"/>
  <c r="E85" i="5"/>
  <c r="E86" i="5"/>
  <c r="K86" i="5"/>
  <c r="M86" i="5"/>
  <c r="O86" i="5"/>
  <c r="E87" i="5"/>
  <c r="K87" i="5"/>
  <c r="M87" i="5"/>
  <c r="D53" i="4" s="1"/>
  <c r="O87" i="5"/>
  <c r="E88" i="5"/>
  <c r="K88" i="5"/>
  <c r="M88" i="5"/>
  <c r="E53" i="4" s="1"/>
  <c r="O88" i="5"/>
  <c r="E89" i="5"/>
  <c r="E90" i="5"/>
  <c r="E91" i="5"/>
  <c r="E92" i="5"/>
  <c r="E93" i="5"/>
  <c r="E94" i="5"/>
  <c r="E95" i="5"/>
  <c r="E96" i="5"/>
  <c r="E97" i="5"/>
  <c r="E98" i="5"/>
  <c r="K98" i="5"/>
  <c r="M98" i="5"/>
  <c r="C56" i="4" s="1"/>
  <c r="O98" i="5"/>
  <c r="E99" i="5"/>
  <c r="E100" i="5"/>
  <c r="E101" i="5"/>
  <c r="E102" i="5"/>
  <c r="E103" i="5"/>
  <c r="E104" i="5"/>
  <c r="E105" i="5"/>
  <c r="K105" i="5"/>
  <c r="M105" i="5"/>
  <c r="F57" i="4" s="1"/>
  <c r="O105" i="5"/>
  <c r="E106" i="5"/>
  <c r="E107" i="5"/>
  <c r="E108" i="5"/>
  <c r="E109" i="5"/>
  <c r="E110" i="5"/>
  <c r="E111" i="5"/>
  <c r="E112" i="5"/>
  <c r="K112" i="5"/>
  <c r="M112" i="5"/>
  <c r="E59" i="4" s="1"/>
  <c r="O112" i="5"/>
  <c r="E113" i="5"/>
  <c r="K113" i="5"/>
  <c r="M113" i="5"/>
  <c r="F59" i="4" s="1"/>
  <c r="O113" i="5"/>
  <c r="E114" i="5"/>
  <c r="E115" i="5"/>
  <c r="E116" i="5"/>
  <c r="E117" i="5"/>
  <c r="E118" i="5"/>
  <c r="K118" i="5"/>
  <c r="M118" i="5"/>
  <c r="O118" i="5"/>
  <c r="E119" i="5"/>
  <c r="K119" i="5"/>
  <c r="M119" i="5"/>
  <c r="D61" i="4" s="1"/>
  <c r="O119" i="5"/>
  <c r="E120" i="5"/>
  <c r="K120" i="5"/>
  <c r="M120" i="5"/>
  <c r="E61" i="4" s="1"/>
  <c r="O120" i="5"/>
  <c r="E121" i="5"/>
  <c r="E122" i="5"/>
  <c r="K122" i="5"/>
  <c r="M122" i="5"/>
  <c r="O122" i="5"/>
  <c r="E123" i="5"/>
  <c r="K123" i="5"/>
  <c r="M123" i="5"/>
  <c r="D62" i="4" s="1"/>
  <c r="O123" i="5"/>
  <c r="E124" i="5"/>
  <c r="K124" i="5"/>
  <c r="M124" i="5"/>
  <c r="E62" i="4" s="1"/>
  <c r="O124" i="5"/>
  <c r="E125" i="5"/>
  <c r="E126" i="5"/>
  <c r="K126" i="5"/>
  <c r="M126" i="5"/>
  <c r="O126" i="5"/>
  <c r="E127" i="5"/>
  <c r="K127" i="5"/>
  <c r="M127" i="5"/>
  <c r="D63" i="4" s="1"/>
  <c r="O127" i="5"/>
  <c r="E128" i="5"/>
  <c r="K128" i="5"/>
  <c r="M128" i="5"/>
  <c r="E63" i="4" s="1"/>
  <c r="O128" i="5"/>
  <c r="E129" i="5"/>
  <c r="E130" i="5"/>
  <c r="E131" i="5"/>
  <c r="E132" i="5"/>
  <c r="E133" i="5"/>
  <c r="E134" i="5"/>
  <c r="K134" i="5"/>
  <c r="M134" i="5"/>
  <c r="O134" i="5"/>
  <c r="E135" i="5"/>
  <c r="K135" i="5"/>
  <c r="M135" i="5"/>
  <c r="D65" i="4" s="1"/>
  <c r="O135" i="5"/>
  <c r="E136" i="5"/>
  <c r="E137" i="5"/>
  <c r="C3" i="6"/>
  <c r="A4" i="6"/>
  <c r="N3" i="7"/>
  <c r="AE80" i="1" s="1"/>
  <c r="N5" i="7"/>
  <c r="AE82" i="1" s="1"/>
  <c r="V3573" i="8"/>
  <c r="V3572" i="8"/>
  <c r="V3571" i="8"/>
  <c r="V3570" i="8"/>
  <c r="V3569" i="8"/>
  <c r="V3568" i="8"/>
  <c r="V3567" i="8"/>
  <c r="V3566" i="8"/>
  <c r="V3565" i="8"/>
  <c r="V3564" i="8"/>
  <c r="V3563" i="8"/>
  <c r="V3562" i="8"/>
  <c r="V3561" i="8"/>
  <c r="V3560" i="8"/>
  <c r="V3559" i="8"/>
  <c r="V3558" i="8"/>
  <c r="V3557" i="8"/>
  <c r="V3556" i="8"/>
  <c r="V3555" i="8"/>
  <c r="V3554" i="8"/>
  <c r="V3553" i="8"/>
  <c r="V3552" i="8"/>
  <c r="V3551" i="8"/>
  <c r="V3550" i="8"/>
  <c r="V3549" i="8"/>
  <c r="V3548" i="8"/>
  <c r="V3547" i="8"/>
  <c r="V3546" i="8"/>
  <c r="V3545" i="8"/>
  <c r="V3544" i="8"/>
  <c r="V3543" i="8"/>
  <c r="V3542" i="8"/>
  <c r="V3541" i="8"/>
  <c r="V3540" i="8"/>
  <c r="V3539" i="8"/>
  <c r="V3538" i="8"/>
  <c r="V3537" i="8"/>
  <c r="V3536" i="8"/>
  <c r="V3535" i="8"/>
  <c r="V3534" i="8"/>
  <c r="V3533" i="8"/>
  <c r="V3532" i="8"/>
  <c r="V3531" i="8"/>
  <c r="V3530" i="8"/>
  <c r="V3529" i="8"/>
  <c r="V3528" i="8"/>
  <c r="V3527" i="8"/>
  <c r="V3526" i="8"/>
  <c r="V3525" i="8"/>
  <c r="V3524" i="8"/>
  <c r="V3523" i="8"/>
  <c r="V3522" i="8"/>
  <c r="V3521" i="8"/>
  <c r="V3520" i="8"/>
  <c r="V3519" i="8"/>
  <c r="V3518" i="8"/>
  <c r="V3517" i="8"/>
  <c r="V3516" i="8"/>
  <c r="V3515" i="8"/>
  <c r="V3514" i="8"/>
  <c r="V3513" i="8"/>
  <c r="V3512" i="8"/>
  <c r="V3511" i="8"/>
  <c r="V3510" i="8"/>
  <c r="V3509" i="8"/>
  <c r="V3508" i="8"/>
  <c r="V3507" i="8"/>
  <c r="V3506" i="8"/>
  <c r="V3505" i="8"/>
  <c r="N7" i="7"/>
  <c r="AE84" i="1" s="1"/>
  <c r="V4066" i="8"/>
  <c r="T4066" i="8" s="1"/>
  <c r="V4065" i="8"/>
  <c r="T4065" i="8" s="1"/>
  <c r="V4064" i="8"/>
  <c r="T4064" i="8" s="1"/>
  <c r="V4063" i="8"/>
  <c r="T4063" i="8" s="1"/>
  <c r="V4062" i="8"/>
  <c r="T4062" i="8" s="1"/>
  <c r="V4061" i="8"/>
  <c r="T4061" i="8" s="1"/>
  <c r="V4060" i="8"/>
  <c r="T4060" i="8" s="1"/>
  <c r="V4059" i="8"/>
  <c r="T4059" i="8" s="1"/>
  <c r="V4058" i="8"/>
  <c r="T4058" i="8" s="1"/>
  <c r="V4057" i="8"/>
  <c r="T4057" i="8" s="1"/>
  <c r="V4056" i="8"/>
  <c r="T4056" i="8" s="1"/>
  <c r="V4055" i="8"/>
  <c r="T4055" i="8" s="1"/>
  <c r="V4054" i="8"/>
  <c r="T4054" i="8" s="1"/>
  <c r="V4053" i="8"/>
  <c r="T4053" i="8" s="1"/>
  <c r="V4052" i="8"/>
  <c r="T4052" i="8" s="1"/>
  <c r="V4051" i="8"/>
  <c r="T4051" i="8" s="1"/>
  <c r="V4050" i="8"/>
  <c r="T4050" i="8" s="1"/>
  <c r="V4049" i="8"/>
  <c r="T4049" i="8" s="1"/>
  <c r="V4048" i="8"/>
  <c r="T4048" i="8" s="1"/>
  <c r="V4047" i="8"/>
  <c r="V4001" i="8"/>
  <c r="V4000" i="8"/>
  <c r="V3999" i="8"/>
  <c r="V3998" i="8"/>
  <c r="V3997" i="8"/>
  <c r="V3996" i="8"/>
  <c r="V3995" i="8"/>
  <c r="V3994" i="8"/>
  <c r="V3993" i="8"/>
  <c r="V3992" i="8"/>
  <c r="V3991" i="8"/>
  <c r="V3990" i="8"/>
  <c r="V3989" i="8"/>
  <c r="V3988" i="8"/>
  <c r="V3987" i="8"/>
  <c r="V3986" i="8"/>
  <c r="V3985" i="8"/>
  <c r="V3984" i="8"/>
  <c r="V3983" i="8"/>
  <c r="V3982" i="8"/>
  <c r="V3981" i="8"/>
  <c r="V3980" i="8"/>
  <c r="V3979" i="8"/>
  <c r="V3978" i="8"/>
  <c r="V3977" i="8"/>
  <c r="V3976" i="8"/>
  <c r="V3975" i="8"/>
  <c r="V3974" i="8"/>
  <c r="V3973" i="8"/>
  <c r="V3972" i="8"/>
  <c r="V3971" i="8"/>
  <c r="V3970" i="8"/>
  <c r="V3969" i="8"/>
  <c r="V3968" i="8"/>
  <c r="V3967" i="8"/>
  <c r="V3966" i="8"/>
  <c r="V3965" i="8"/>
  <c r="V3964" i="8"/>
  <c r="V3963" i="8"/>
  <c r="V3962" i="8"/>
  <c r="V3961" i="8"/>
  <c r="V3960" i="8"/>
  <c r="V3959" i="8"/>
  <c r="V3958" i="8"/>
  <c r="V3957" i="8"/>
  <c r="V3956" i="8"/>
  <c r="V3955" i="8"/>
  <c r="V3954" i="8"/>
  <c r="V3953" i="8"/>
  <c r="V3952" i="8"/>
  <c r="V3951" i="8"/>
  <c r="V3950" i="8"/>
  <c r="V3949" i="8"/>
  <c r="V3948" i="8"/>
  <c r="V3947" i="8"/>
  <c r="V3946" i="8"/>
  <c r="V3945" i="8"/>
  <c r="V3944" i="8"/>
  <c r="V3943" i="8"/>
  <c r="V3942" i="8"/>
  <c r="V3941" i="8"/>
  <c r="V3940" i="8"/>
  <c r="V3939" i="8"/>
  <c r="V3938" i="8"/>
  <c r="V3937" i="8"/>
  <c r="V3936" i="8"/>
  <c r="V3935" i="8"/>
  <c r="V3934" i="8"/>
  <c r="V3933" i="8"/>
  <c r="V3932" i="8"/>
  <c r="V3931" i="8"/>
  <c r="V3930" i="8"/>
  <c r="V3929" i="8"/>
  <c r="V3928" i="8"/>
  <c r="V3927" i="8"/>
  <c r="V3926" i="8"/>
  <c r="V3925" i="8"/>
  <c r="V3924" i="8"/>
  <c r="V4046" i="8"/>
  <c r="V4045" i="8"/>
  <c r="V4044" i="8"/>
  <c r="V4043" i="8"/>
  <c r="V4042" i="8"/>
  <c r="V4041" i="8"/>
  <c r="V4040" i="8"/>
  <c r="V4039" i="8"/>
  <c r="V4038" i="8"/>
  <c r="V4037" i="8"/>
  <c r="V4036" i="8"/>
  <c r="V4035" i="8"/>
  <c r="V4034" i="8"/>
  <c r="V4033" i="8"/>
  <c r="V4032" i="8"/>
  <c r="V4031" i="8"/>
  <c r="V4030" i="8"/>
  <c r="V4029" i="8"/>
  <c r="V4028" i="8"/>
  <c r="V4027" i="8"/>
  <c r="V4026" i="8"/>
  <c r="V4025" i="8"/>
  <c r="V4024" i="8"/>
  <c r="V4023" i="8"/>
  <c r="V4022" i="8"/>
  <c r="V4021" i="8"/>
  <c r="V4020" i="8"/>
  <c r="V4019" i="8"/>
  <c r="V4018" i="8"/>
  <c r="V4016" i="8"/>
  <c r="V4014" i="8"/>
  <c r="V4012" i="8"/>
  <c r="V4010" i="8"/>
  <c r="V4008" i="8"/>
  <c r="V4006" i="8"/>
  <c r="V4004" i="8"/>
  <c r="V4002" i="8"/>
  <c r="V4017" i="8"/>
  <c r="V4015" i="8"/>
  <c r="V4013" i="8"/>
  <c r="V4011" i="8"/>
  <c r="V4009" i="8"/>
  <c r="V4007" i="8"/>
  <c r="V4005" i="8"/>
  <c r="V4003" i="8"/>
  <c r="N9" i="7"/>
  <c r="AE86" i="1" s="1"/>
  <c r="V1664" i="8"/>
  <c r="V1663" i="8"/>
  <c r="V1662" i="8"/>
  <c r="V1661" i="8"/>
  <c r="V1660" i="8"/>
  <c r="V1659" i="8"/>
  <c r="V1658" i="8"/>
  <c r="V1657" i="8"/>
  <c r="V1656" i="8"/>
  <c r="V1655" i="8"/>
  <c r="V1654" i="8"/>
  <c r="V1653" i="8"/>
  <c r="V1652" i="8"/>
  <c r="V1651" i="8"/>
  <c r="V1650" i="8"/>
  <c r="V1649" i="8"/>
  <c r="V1648" i="8"/>
  <c r="V1647" i="8"/>
  <c r="V1646" i="8"/>
  <c r="V1645" i="8"/>
  <c r="V1644" i="8"/>
  <c r="V1643" i="8"/>
  <c r="V1642" i="8"/>
  <c r="V1641" i="8"/>
  <c r="V1640" i="8"/>
  <c r="V1639" i="8"/>
  <c r="V1638" i="8"/>
  <c r="V1637" i="8"/>
  <c r="V1636" i="8"/>
  <c r="V1635" i="8"/>
  <c r="V1634" i="8"/>
  <c r="V1633" i="8"/>
  <c r="V1632" i="8"/>
  <c r="V1631" i="8"/>
  <c r="V1630" i="8"/>
  <c r="V1629" i="8"/>
  <c r="V1628" i="8"/>
  <c r="V1627" i="8"/>
  <c r="V1626" i="8"/>
  <c r="V1625" i="8"/>
  <c r="V1624" i="8"/>
  <c r="V1623" i="8"/>
  <c r="V1622" i="8"/>
  <c r="V1621" i="8"/>
  <c r="V1620" i="8"/>
  <c r="V1619" i="8"/>
  <c r="V1618" i="8"/>
  <c r="V1617" i="8"/>
  <c r="V1616" i="8"/>
  <c r="V1615" i="8"/>
  <c r="V1614" i="8"/>
  <c r="V1613" i="8"/>
  <c r="V1612" i="8"/>
  <c r="V1611" i="8"/>
  <c r="V1610" i="8"/>
  <c r="V1609" i="8"/>
  <c r="V1608" i="8"/>
  <c r="V1607" i="8"/>
  <c r="V1606" i="8"/>
  <c r="V1605" i="8"/>
  <c r="V1604" i="8"/>
  <c r="V1603" i="8"/>
  <c r="V1602" i="8"/>
  <c r="V1601" i="8"/>
  <c r="V1600" i="8"/>
  <c r="V1599" i="8"/>
  <c r="V1598" i="8"/>
  <c r="V1597" i="8"/>
  <c r="V1596" i="8"/>
  <c r="V1595" i="8"/>
  <c r="V1594" i="8"/>
  <c r="V1593" i="8"/>
  <c r="V1592" i="8"/>
  <c r="V1591" i="8"/>
  <c r="V1590" i="8"/>
  <c r="V1589" i="8"/>
  <c r="V1588" i="8"/>
  <c r="V1587" i="8"/>
  <c r="V1586" i="8"/>
  <c r="V1585" i="8"/>
  <c r="V1584" i="8"/>
  <c r="V1583" i="8"/>
  <c r="V1582" i="8"/>
  <c r="V1581" i="8"/>
  <c r="V1580" i="8"/>
  <c r="V1579" i="8"/>
  <c r="V1578" i="8"/>
  <c r="V1577" i="8"/>
  <c r="V1576" i="8"/>
  <c r="V1575" i="8"/>
  <c r="V1574" i="8"/>
  <c r="V1573" i="8"/>
  <c r="V1572" i="8"/>
  <c r="V1571" i="8"/>
  <c r="V1570" i="8"/>
  <c r="V1569" i="8"/>
  <c r="V1568" i="8"/>
  <c r="V1567" i="8"/>
  <c r="V1566" i="8"/>
  <c r="V1565" i="8"/>
  <c r="V1564" i="8"/>
  <c r="V1563" i="8"/>
  <c r="V1562" i="8"/>
  <c r="V1561" i="8"/>
  <c r="V1560" i="8"/>
  <c r="V1559" i="8"/>
  <c r="V1558" i="8"/>
  <c r="V1557" i="8"/>
  <c r="V1556" i="8"/>
  <c r="V1555" i="8"/>
  <c r="V1554" i="8"/>
  <c r="V1553" i="8"/>
  <c r="V1552" i="8"/>
  <c r="V1551" i="8"/>
  <c r="V1550" i="8"/>
  <c r="V1549" i="8"/>
  <c r="V1548" i="8"/>
  <c r="V1547" i="8"/>
  <c r="V1546" i="8"/>
  <c r="V1545" i="8"/>
  <c r="V1544" i="8"/>
  <c r="V1543" i="8"/>
  <c r="V1542" i="8"/>
  <c r="V1541" i="8"/>
  <c r="V1540" i="8"/>
  <c r="V1539" i="8"/>
  <c r="V1538" i="8"/>
  <c r="V1537" i="8"/>
  <c r="V1536" i="8"/>
  <c r="V1535" i="8"/>
  <c r="V1534" i="8"/>
  <c r="V1533" i="8"/>
  <c r="V1532" i="8"/>
  <c r="V1531" i="8"/>
  <c r="V1530" i="8"/>
  <c r="V1529" i="8"/>
  <c r="V1528" i="8"/>
  <c r="V1527" i="8"/>
  <c r="V1526" i="8"/>
  <c r="V1525" i="8"/>
  <c r="V1524" i="8"/>
  <c r="V1523" i="8"/>
  <c r="T1523" i="8" s="1"/>
  <c r="N11" i="7"/>
  <c r="AE90" i="1" s="1"/>
  <c r="V2773" i="8"/>
  <c r="V2772" i="8"/>
  <c r="V2771" i="8"/>
  <c r="V2770" i="8"/>
  <c r="V2769" i="8"/>
  <c r="V2768" i="8"/>
  <c r="V2767" i="8"/>
  <c r="V2766" i="8"/>
  <c r="V2765" i="8"/>
  <c r="V2764" i="8"/>
  <c r="V2763" i="8"/>
  <c r="V2762" i="8"/>
  <c r="V2761" i="8"/>
  <c r="V2760" i="8"/>
  <c r="V2759" i="8"/>
  <c r="V2758" i="8"/>
  <c r="V2757" i="8"/>
  <c r="V2756" i="8"/>
  <c r="V2755" i="8"/>
  <c r="V2754" i="8"/>
  <c r="V2753" i="8"/>
  <c r="V2752" i="8"/>
  <c r="V2751" i="8"/>
  <c r="V2750" i="8"/>
  <c r="V2749" i="8"/>
  <c r="V2748" i="8"/>
  <c r="V2747" i="8"/>
  <c r="V2746" i="8"/>
  <c r="V2745" i="8"/>
  <c r="V2744" i="8"/>
  <c r="V2743" i="8"/>
  <c r="N13" i="7"/>
  <c r="AE93" i="1" s="1"/>
  <c r="V2473" i="8"/>
  <c r="T2473" i="8" s="1"/>
  <c r="V2472" i="8"/>
  <c r="T2472" i="8" s="1"/>
  <c r="V2471" i="8"/>
  <c r="T2471" i="8" s="1"/>
  <c r="V2470" i="8"/>
  <c r="T2470" i="8" s="1"/>
  <c r="V2469" i="8"/>
  <c r="T2469" i="8" s="1"/>
  <c r="V2468" i="8"/>
  <c r="T2468" i="8" s="1"/>
  <c r="V2467" i="8"/>
  <c r="T2467" i="8" s="1"/>
  <c r="V2466" i="8"/>
  <c r="T2466" i="8" s="1"/>
  <c r="V2465" i="8"/>
  <c r="T2465" i="8" s="1"/>
  <c r="V2464" i="8"/>
  <c r="T2464" i="8" s="1"/>
  <c r="V2463" i="8"/>
  <c r="T2463" i="8" s="1"/>
  <c r="V2462" i="8"/>
  <c r="T2462" i="8" s="1"/>
  <c r="V2461" i="8"/>
  <c r="T2461" i="8" s="1"/>
  <c r="V2460" i="8"/>
  <c r="T2460" i="8" s="1"/>
  <c r="V2459" i="8"/>
  <c r="T2459" i="8" s="1"/>
  <c r="V2458" i="8"/>
  <c r="T2458" i="8" s="1"/>
  <c r="V2457" i="8"/>
  <c r="T2457" i="8" s="1"/>
  <c r="V2456" i="8"/>
  <c r="T2456" i="8" s="1"/>
  <c r="V2455" i="8"/>
  <c r="T2455" i="8" s="1"/>
  <c r="V2454" i="8"/>
  <c r="T2454" i="8" s="1"/>
  <c r="V2453" i="8"/>
  <c r="T2453" i="8" s="1"/>
  <c r="V2452" i="8"/>
  <c r="T2452" i="8" s="1"/>
  <c r="V2451" i="8"/>
  <c r="T2451" i="8" s="1"/>
  <c r="V2450" i="8"/>
  <c r="T2450" i="8" s="1"/>
  <c r="V2449" i="8"/>
  <c r="T2449" i="8" s="1"/>
  <c r="V2448" i="8"/>
  <c r="T2448" i="8" s="1"/>
  <c r="V2447" i="8"/>
  <c r="T2447" i="8" s="1"/>
  <c r="V2446" i="8"/>
  <c r="T2446" i="8" s="1"/>
  <c r="V2445" i="8"/>
  <c r="T2445" i="8" s="1"/>
  <c r="V2444" i="8"/>
  <c r="T2444" i="8" s="1"/>
  <c r="V2443" i="8"/>
  <c r="T2443" i="8" s="1"/>
  <c r="V2442" i="8"/>
  <c r="T2442" i="8" s="1"/>
  <c r="V2441" i="8"/>
  <c r="T2441" i="8" s="1"/>
  <c r="V2440" i="8"/>
  <c r="T2440" i="8" s="1"/>
  <c r="V2439" i="8"/>
  <c r="T2439" i="8" s="1"/>
  <c r="V2438" i="8"/>
  <c r="T2438" i="8" s="1"/>
  <c r="V2437" i="8"/>
  <c r="T2437" i="8" s="1"/>
  <c r="V2436" i="8"/>
  <c r="T2436" i="8" s="1"/>
  <c r="V2435" i="8"/>
  <c r="T2435" i="8" s="1"/>
  <c r="V2434" i="8"/>
  <c r="T2434" i="8" s="1"/>
  <c r="V2433" i="8"/>
  <c r="T2433" i="8" s="1"/>
  <c r="V2432" i="8"/>
  <c r="T2432" i="8" s="1"/>
  <c r="V2431" i="8"/>
  <c r="T2431" i="8" s="1"/>
  <c r="V2430" i="8"/>
  <c r="T2430" i="8" s="1"/>
  <c r="V2429" i="8"/>
  <c r="T2429" i="8" s="1"/>
  <c r="V2428" i="8"/>
  <c r="T2428" i="8" s="1"/>
  <c r="V2427" i="8"/>
  <c r="T2427" i="8" s="1"/>
  <c r="V2426" i="8"/>
  <c r="T2426" i="8" s="1"/>
  <c r="V2425" i="8"/>
  <c r="T2425" i="8" s="1"/>
  <c r="V2424" i="8"/>
  <c r="T2424" i="8" s="1"/>
  <c r="V2423" i="8"/>
  <c r="T2423" i="8" s="1"/>
  <c r="V2422" i="8"/>
  <c r="T2422" i="8" s="1"/>
  <c r="V2421" i="8"/>
  <c r="T2421" i="8" s="1"/>
  <c r="V2420" i="8"/>
  <c r="T2420" i="8" s="1"/>
  <c r="V2419" i="8"/>
  <c r="T2419" i="8" s="1"/>
  <c r="V2418" i="8"/>
  <c r="T2418" i="8" s="1"/>
  <c r="V2417" i="8"/>
  <c r="T2417" i="8" s="1"/>
  <c r="V2416" i="8"/>
  <c r="T2416" i="8" s="1"/>
  <c r="P53" i="5" s="1"/>
  <c r="V2415" i="8"/>
  <c r="T2415" i="8" s="1"/>
  <c r="V2414" i="8"/>
  <c r="T2414" i="8" s="1"/>
  <c r="V2413" i="8"/>
  <c r="T2413" i="8" s="1"/>
  <c r="V2412" i="8"/>
  <c r="T2412" i="8" s="1"/>
  <c r="V2411" i="8"/>
  <c r="T2411" i="8" s="1"/>
  <c r="V2410" i="8"/>
  <c r="T2410" i="8" s="1"/>
  <c r="V2409" i="8"/>
  <c r="T2409" i="8" s="1"/>
  <c r="V2408" i="8"/>
  <c r="T2408" i="8" s="1"/>
  <c r="V2407" i="8"/>
  <c r="T2407" i="8" s="1"/>
  <c r="V2406" i="8"/>
  <c r="T2406" i="8" s="1"/>
  <c r="V2405" i="8"/>
  <c r="T2405" i="8" s="1"/>
  <c r="V2404" i="8"/>
  <c r="T2404" i="8" s="1"/>
  <c r="V2403" i="8"/>
  <c r="T2403" i="8" s="1"/>
  <c r="V2402" i="8"/>
  <c r="T2402" i="8" s="1"/>
  <c r="V2401" i="8"/>
  <c r="T2401" i="8" s="1"/>
  <c r="V2400" i="8"/>
  <c r="T2400" i="8" s="1"/>
  <c r="V2399" i="8"/>
  <c r="T2399" i="8" s="1"/>
  <c r="V2398" i="8"/>
  <c r="T2398" i="8" s="1"/>
  <c r="V2397" i="8"/>
  <c r="T2397" i="8" s="1"/>
  <c r="V2396" i="8"/>
  <c r="T2396" i="8" s="1"/>
  <c r="V2395" i="8"/>
  <c r="T2395" i="8" s="1"/>
  <c r="V2394" i="8"/>
  <c r="T2394" i="8" s="1"/>
  <c r="V2393" i="8"/>
  <c r="T2393" i="8" s="1"/>
  <c r="V2392" i="8"/>
  <c r="T2392" i="8" s="1"/>
  <c r="V2391" i="8"/>
  <c r="T2391" i="8" s="1"/>
  <c r="V2390" i="8"/>
  <c r="T2390" i="8" s="1"/>
  <c r="V2389" i="8"/>
  <c r="T2389" i="8" s="1"/>
  <c r="V2388" i="8"/>
  <c r="T2388" i="8" s="1"/>
  <c r="V2387" i="8"/>
  <c r="T2387" i="8" s="1"/>
  <c r="V2386" i="8"/>
  <c r="T2386" i="8" s="1"/>
  <c r="V2385" i="8"/>
  <c r="T2385" i="8" s="1"/>
  <c r="V2384" i="8"/>
  <c r="T2384" i="8" s="1"/>
  <c r="V2383" i="8"/>
  <c r="T2383" i="8" s="1"/>
  <c r="V2382" i="8"/>
  <c r="T2382" i="8" s="1"/>
  <c r="V2381" i="8"/>
  <c r="T2381" i="8" s="1"/>
  <c r="V2380" i="8"/>
  <c r="T2380" i="8" s="1"/>
  <c r="V2379" i="8"/>
  <c r="T2379" i="8" s="1"/>
  <c r="V2378" i="8"/>
  <c r="T2378" i="8" s="1"/>
  <c r="P52" i="5" s="1"/>
  <c r="V2377" i="8"/>
  <c r="T2377" i="8" s="1"/>
  <c r="V2376" i="8"/>
  <c r="T2376" i="8" s="1"/>
  <c r="V2375" i="8"/>
  <c r="T2375" i="8" s="1"/>
  <c r="V2374" i="8"/>
  <c r="T2374" i="8" s="1"/>
  <c r="V2373" i="8"/>
  <c r="T2373" i="8" s="1"/>
  <c r="V2372" i="8"/>
  <c r="T2372" i="8" s="1"/>
  <c r="V2371" i="8"/>
  <c r="T2371" i="8" s="1"/>
  <c r="V2370" i="8"/>
  <c r="T2370" i="8" s="1"/>
  <c r="V2369" i="8"/>
  <c r="T2369" i="8" s="1"/>
  <c r="V2368" i="8"/>
  <c r="T2368" i="8" s="1"/>
  <c r="V2367" i="8"/>
  <c r="T2367" i="8" s="1"/>
  <c r="V2366" i="8"/>
  <c r="T2366" i="8" s="1"/>
  <c r="V2365" i="8"/>
  <c r="T2365" i="8" s="1"/>
  <c r="V2364" i="8"/>
  <c r="T2364" i="8" s="1"/>
  <c r="V2363" i="8"/>
  <c r="T2363" i="8" s="1"/>
  <c r="V2362" i="8"/>
  <c r="T2362" i="8" s="1"/>
  <c r="V2361" i="8"/>
  <c r="T2361" i="8" s="1"/>
  <c r="V2360" i="8"/>
  <c r="T2360" i="8" s="1"/>
  <c r="V2359" i="8"/>
  <c r="T2359" i="8" s="1"/>
  <c r="V2358" i="8"/>
  <c r="T2358" i="8" s="1"/>
  <c r="V2357" i="8"/>
  <c r="T2357" i="8" s="1"/>
  <c r="V2356" i="8"/>
  <c r="T2356" i="8" s="1"/>
  <c r="V2355" i="8"/>
  <c r="T2355" i="8" s="1"/>
  <c r="V2354" i="8"/>
  <c r="T2354" i="8" s="1"/>
  <c r="V2353" i="8"/>
  <c r="T2353" i="8" s="1"/>
  <c r="V2352" i="8"/>
  <c r="T2352" i="8" s="1"/>
  <c r="V2351" i="8"/>
  <c r="T2351" i="8" s="1"/>
  <c r="V2350" i="8"/>
  <c r="T2350" i="8" s="1"/>
  <c r="V2349" i="8"/>
  <c r="T2349" i="8" s="1"/>
  <c r="V2348" i="8"/>
  <c r="T2348" i="8" s="1"/>
  <c r="V2347" i="8"/>
  <c r="T2347" i="8" s="1"/>
  <c r="V2346" i="8"/>
  <c r="T2346" i="8" s="1"/>
  <c r="V2345" i="8"/>
  <c r="T2345" i="8" s="1"/>
  <c r="V2344" i="8"/>
  <c r="T2344" i="8" s="1"/>
  <c r="P51" i="5" s="1"/>
  <c r="V2343" i="8"/>
  <c r="T2343" i="8" s="1"/>
  <c r="V2342" i="8"/>
  <c r="T2342" i="8" s="1"/>
  <c r="V2341" i="8"/>
  <c r="T2341" i="8" s="1"/>
  <c r="V2340" i="8"/>
  <c r="T2340" i="8" s="1"/>
  <c r="V2339" i="8"/>
  <c r="T2339" i="8" s="1"/>
  <c r="V2338" i="8"/>
  <c r="T2338" i="8" s="1"/>
  <c r="V2337" i="8"/>
  <c r="T2337" i="8" s="1"/>
  <c r="V2336" i="8"/>
  <c r="T2336" i="8" s="1"/>
  <c r="V2335" i="8"/>
  <c r="T2335" i="8" s="1"/>
  <c r="V2334" i="8"/>
  <c r="T2334" i="8" s="1"/>
  <c r="V2333" i="8"/>
  <c r="T2333" i="8" s="1"/>
  <c r="V2332" i="8"/>
  <c r="T2332" i="8" s="1"/>
  <c r="V2331" i="8"/>
  <c r="T2331" i="8" s="1"/>
  <c r="V2330" i="8"/>
  <c r="T2330" i="8" s="1"/>
  <c r="V2329" i="8"/>
  <c r="T2329" i="8" s="1"/>
  <c r="V2328" i="8"/>
  <c r="T2328" i="8" s="1"/>
  <c r="V2327" i="8"/>
  <c r="T2327" i="8" s="1"/>
  <c r="V2326" i="8"/>
  <c r="T2326" i="8" s="1"/>
  <c r="V2325" i="8"/>
  <c r="T2325" i="8" s="1"/>
  <c r="V2324" i="8"/>
  <c r="T2324" i="8" s="1"/>
  <c r="V2323" i="8"/>
  <c r="T2323" i="8" s="1"/>
  <c r="V2322" i="8"/>
  <c r="T2322" i="8" s="1"/>
  <c r="V2321" i="8"/>
  <c r="T2321" i="8" s="1"/>
  <c r="V2320" i="8"/>
  <c r="T2320" i="8" s="1"/>
  <c r="V2319" i="8"/>
  <c r="T2319" i="8" s="1"/>
  <c r="V2318" i="8"/>
  <c r="T2318" i="8" s="1"/>
  <c r="V2317" i="8"/>
  <c r="T2317" i="8" s="1"/>
  <c r="P50" i="5" s="1"/>
  <c r="P96" i="1" s="1"/>
  <c r="N15" i="7"/>
  <c r="AE96" i="1" s="1"/>
  <c r="N17" i="7"/>
  <c r="AE100" i="1" s="1"/>
  <c r="V2907" i="8"/>
  <c r="V2906" i="8"/>
  <c r="V2905" i="8"/>
  <c r="V2904" i="8"/>
  <c r="V2903" i="8"/>
  <c r="V2902" i="8"/>
  <c r="V2901" i="8"/>
  <c r="V2900" i="8"/>
  <c r="V2899" i="8"/>
  <c r="V2898" i="8"/>
  <c r="V2897" i="8"/>
  <c r="V2896" i="8"/>
  <c r="V2895" i="8"/>
  <c r="V2894" i="8"/>
  <c r="V2893" i="8"/>
  <c r="V2892" i="8"/>
  <c r="V2891" i="8"/>
  <c r="V2890" i="8"/>
  <c r="V2889" i="8"/>
  <c r="V2888" i="8"/>
  <c r="V2887" i="8"/>
  <c r="V2886" i="8"/>
  <c r="V2885" i="8"/>
  <c r="V2884" i="8"/>
  <c r="V2883" i="8"/>
  <c r="V2882" i="8"/>
  <c r="V2881" i="8"/>
  <c r="V2880" i="8"/>
  <c r="V2879" i="8"/>
  <c r="V2878" i="8"/>
  <c r="V2877" i="8"/>
  <c r="V2876" i="8"/>
  <c r="V2875" i="8"/>
  <c r="V2874" i="8"/>
  <c r="V2873" i="8"/>
  <c r="V2872" i="8"/>
  <c r="V2871" i="8"/>
  <c r="V2870" i="8"/>
  <c r="V2869" i="8"/>
  <c r="V2868" i="8"/>
  <c r="V2867" i="8"/>
  <c r="V2866" i="8"/>
  <c r="V2865" i="8"/>
  <c r="V2864" i="8"/>
  <c r="V2863" i="8"/>
  <c r="V2862" i="8"/>
  <c r="V2861" i="8"/>
  <c r="V2860" i="8"/>
  <c r="V2859" i="8"/>
  <c r="V2858" i="8"/>
  <c r="V2857" i="8"/>
  <c r="V2856" i="8"/>
  <c r="V2855" i="8"/>
  <c r="V2854" i="8"/>
  <c r="V2853" i="8"/>
  <c r="V2852" i="8"/>
  <c r="V2851" i="8"/>
  <c r="V2850" i="8"/>
  <c r="V2849" i="8"/>
  <c r="V2848" i="8"/>
  <c r="V2847" i="8"/>
  <c r="V2846" i="8"/>
  <c r="V2845" i="8"/>
  <c r="V2844" i="8"/>
  <c r="V2843" i="8"/>
  <c r="V2842" i="8"/>
  <c r="V2841" i="8"/>
  <c r="V2840" i="8"/>
  <c r="V2839" i="8"/>
  <c r="V2838" i="8"/>
  <c r="V2837" i="8"/>
  <c r="V2836" i="8"/>
  <c r="V2835" i="8"/>
  <c r="V2834" i="8"/>
  <c r="V2833" i="8"/>
  <c r="V2832" i="8"/>
  <c r="V2831" i="8"/>
  <c r="V2830" i="8"/>
  <c r="V2829" i="8"/>
  <c r="V2828" i="8"/>
  <c r="V2827" i="8"/>
  <c r="V2826" i="8"/>
  <c r="V2825" i="8"/>
  <c r="V2824" i="8"/>
  <c r="V2823" i="8"/>
  <c r="V2822" i="8"/>
  <c r="V2821" i="8"/>
  <c r="V2820" i="8"/>
  <c r="V2819" i="8"/>
  <c r="V2818" i="8"/>
  <c r="V2817" i="8"/>
  <c r="V2816" i="8"/>
  <c r="V2815" i="8"/>
  <c r="V2814" i="8"/>
  <c r="V2813" i="8"/>
  <c r="V2812" i="8"/>
  <c r="V2811" i="8"/>
  <c r="V2810" i="8"/>
  <c r="V2809" i="8"/>
  <c r="V2808" i="8"/>
  <c r="V2807" i="8"/>
  <c r="V2806" i="8"/>
  <c r="V2805" i="8"/>
  <c r="V2804" i="8"/>
  <c r="V2803" i="8"/>
  <c r="V2802" i="8"/>
  <c r="V2801" i="8"/>
  <c r="V2800" i="8"/>
  <c r="V2799" i="8"/>
  <c r="V2798" i="8"/>
  <c r="V2797" i="8"/>
  <c r="V2796" i="8"/>
  <c r="V2795" i="8"/>
  <c r="V2794" i="8"/>
  <c r="V2793" i="8"/>
  <c r="V2792" i="8"/>
  <c r="V2791" i="8"/>
  <c r="V2790" i="8"/>
  <c r="V2789" i="8"/>
  <c r="V2788" i="8"/>
  <c r="V2787" i="8"/>
  <c r="V2786" i="8"/>
  <c r="V2785" i="8"/>
  <c r="V2784" i="8"/>
  <c r="V2783" i="8"/>
  <c r="V2782" i="8"/>
  <c r="V2781" i="8"/>
  <c r="V2780" i="8"/>
  <c r="V2779" i="8"/>
  <c r="V2778" i="8"/>
  <c r="V2777" i="8"/>
  <c r="V2776" i="8"/>
  <c r="V2775" i="8"/>
  <c r="V2774" i="8"/>
  <c r="N19" i="7"/>
  <c r="AE103" i="1" s="1"/>
  <c r="V3473" i="8"/>
  <c r="V3472" i="8"/>
  <c r="V3471" i="8"/>
  <c r="V3470" i="8"/>
  <c r="V3469" i="8"/>
  <c r="V3468" i="8"/>
  <c r="V3467" i="8"/>
  <c r="V3466" i="8"/>
  <c r="V3465" i="8"/>
  <c r="V3464" i="8"/>
  <c r="V3463" i="8"/>
  <c r="V3462" i="8"/>
  <c r="V3461" i="8"/>
  <c r="V3460" i="8"/>
  <c r="V3459" i="8"/>
  <c r="V3458" i="8"/>
  <c r="V3457" i="8"/>
  <c r="V3456" i="8"/>
  <c r="V3455" i="8"/>
  <c r="V3454" i="8"/>
  <c r="V3453" i="8"/>
  <c r="V3452" i="8"/>
  <c r="V3451" i="8"/>
  <c r="V3450" i="8"/>
  <c r="V3449" i="8"/>
  <c r="V3448" i="8"/>
  <c r="V3447" i="8"/>
  <c r="V3446" i="8"/>
  <c r="V3445" i="8"/>
  <c r="V3444" i="8"/>
  <c r="V3443" i="8"/>
  <c r="V3442" i="8"/>
  <c r="V3441" i="8"/>
  <c r="V3440" i="8"/>
  <c r="V3439" i="8"/>
  <c r="V3438" i="8"/>
  <c r="V3437" i="8"/>
  <c r="V3436" i="8"/>
  <c r="V3435" i="8"/>
  <c r="V3434" i="8"/>
  <c r="V3433" i="8"/>
  <c r="V3432" i="8"/>
  <c r="V3431" i="8"/>
  <c r="V3430" i="8"/>
  <c r="V3429" i="8"/>
  <c r="V3428" i="8"/>
  <c r="V3427" i="8"/>
  <c r="V3426" i="8"/>
  <c r="V3425" i="8"/>
  <c r="V3424" i="8"/>
  <c r="V3423" i="8"/>
  <c r="V3422" i="8"/>
  <c r="V3421" i="8"/>
  <c r="V3420" i="8"/>
  <c r="V3419" i="8"/>
  <c r="V3418" i="8"/>
  <c r="V3417" i="8"/>
  <c r="V3416" i="8"/>
  <c r="V3415" i="8"/>
  <c r="V3414" i="8"/>
  <c r="V3413" i="8"/>
  <c r="V3412" i="8"/>
  <c r="V3411" i="8"/>
  <c r="V3410" i="8"/>
  <c r="V3409" i="8"/>
  <c r="V3408" i="8"/>
  <c r="V3407" i="8"/>
  <c r="V3406" i="8"/>
  <c r="V3405" i="8"/>
  <c r="V3404" i="8"/>
  <c r="V3403" i="8"/>
  <c r="V3402" i="8"/>
  <c r="V3401" i="8"/>
  <c r="V3400" i="8"/>
  <c r="V3399" i="8"/>
  <c r="V3398" i="8"/>
  <c r="V3397" i="8"/>
  <c r="V3396" i="8"/>
  <c r="V3395" i="8"/>
  <c r="V3394" i="8"/>
  <c r="V3393" i="8"/>
  <c r="V3392" i="8"/>
  <c r="V3391" i="8"/>
  <c r="V3390" i="8"/>
  <c r="V3389" i="8"/>
  <c r="V3388" i="8"/>
  <c r="V3387" i="8"/>
  <c r="V3386" i="8"/>
  <c r="V3385" i="8"/>
  <c r="V3384" i="8"/>
  <c r="V3383" i="8"/>
  <c r="V3382" i="8"/>
  <c r="V3381" i="8"/>
  <c r="V3380" i="8"/>
  <c r="V3379" i="8"/>
  <c r="V3378" i="8"/>
  <c r="V3377" i="8"/>
  <c r="V3376" i="8"/>
  <c r="V3375" i="8"/>
  <c r="V3374" i="8"/>
  <c r="V3373" i="8"/>
  <c r="V3372" i="8"/>
  <c r="V3371" i="8"/>
  <c r="V3370" i="8"/>
  <c r="V3369" i="8"/>
  <c r="V3368" i="8"/>
  <c r="V3367" i="8"/>
  <c r="V3366" i="8"/>
  <c r="V3365" i="8"/>
  <c r="V3364" i="8"/>
  <c r="V3363" i="8"/>
  <c r="V3362" i="8"/>
  <c r="V3361" i="8"/>
  <c r="V3360" i="8"/>
  <c r="V3359" i="8"/>
  <c r="V3358" i="8"/>
  <c r="V3357" i="8"/>
  <c r="V3356" i="8"/>
  <c r="V3355" i="8"/>
  <c r="V3354" i="8"/>
  <c r="V3353" i="8"/>
  <c r="V3352" i="8"/>
  <c r="V3351" i="8"/>
  <c r="V3350" i="8"/>
  <c r="V3349" i="8"/>
  <c r="V3348" i="8"/>
  <c r="V3347" i="8"/>
  <c r="V3346" i="8"/>
  <c r="V3345" i="8"/>
  <c r="V3344" i="8"/>
  <c r="V3343" i="8"/>
  <c r="V3342" i="8"/>
  <c r="V3341" i="8"/>
  <c r="V3340" i="8"/>
  <c r="V3339" i="8"/>
  <c r="V3338" i="8"/>
  <c r="V3337" i="8"/>
  <c r="V3336" i="8"/>
  <c r="V3335" i="8"/>
  <c r="V3334" i="8"/>
  <c r="V3333" i="8"/>
  <c r="V3332" i="8"/>
  <c r="V3331" i="8"/>
  <c r="V3330" i="8"/>
  <c r="V3329" i="8"/>
  <c r="V3328" i="8"/>
  <c r="V3327" i="8"/>
  <c r="V3326" i="8"/>
  <c r="V3325" i="8"/>
  <c r="V3324" i="8"/>
  <c r="V3323" i="8"/>
  <c r="V3322" i="8"/>
  <c r="V3321" i="8"/>
  <c r="V3320" i="8"/>
  <c r="V3319" i="8"/>
  <c r="V3318" i="8"/>
  <c r="N21" i="7"/>
  <c r="AE106" i="1" s="1"/>
  <c r="V1840" i="8"/>
  <c r="V1839" i="8"/>
  <c r="V1838" i="8"/>
  <c r="V1837" i="8"/>
  <c r="V1836" i="8"/>
  <c r="V1835" i="8"/>
  <c r="V1834" i="8"/>
  <c r="V1833" i="8"/>
  <c r="V1832" i="8"/>
  <c r="V1831" i="8"/>
  <c r="V1830" i="8"/>
  <c r="V1829" i="8"/>
  <c r="V1828" i="8"/>
  <c r="V1827" i="8"/>
  <c r="V1826" i="8"/>
  <c r="V1825" i="8"/>
  <c r="V1824" i="8"/>
  <c r="V1823" i="8"/>
  <c r="V1822" i="8"/>
  <c r="V1821" i="8"/>
  <c r="V1820" i="8"/>
  <c r="N23" i="7"/>
  <c r="AE110" i="1" s="1"/>
  <c r="V1819" i="8"/>
  <c r="V1818" i="8"/>
  <c r="V1817" i="8"/>
  <c r="V1816" i="8"/>
  <c r="V1815" i="8"/>
  <c r="V1814" i="8"/>
  <c r="V1813" i="8"/>
  <c r="V1812" i="8"/>
  <c r="V1811" i="8"/>
  <c r="V1810" i="8"/>
  <c r="V1809" i="8"/>
  <c r="V1808" i="8"/>
  <c r="V1807" i="8"/>
  <c r="V1806" i="8"/>
  <c r="V1805" i="8"/>
  <c r="V1804" i="8"/>
  <c r="V1803" i="8"/>
  <c r="V1802" i="8"/>
  <c r="V1801" i="8"/>
  <c r="V1800" i="8"/>
  <c r="V1799" i="8"/>
  <c r="V1798" i="8"/>
  <c r="V1797" i="8"/>
  <c r="V1796" i="8"/>
  <c r="V1795" i="8"/>
  <c r="V1794" i="8"/>
  <c r="V1793" i="8"/>
  <c r="V1792" i="8"/>
  <c r="V1791" i="8"/>
  <c r="V1790" i="8"/>
  <c r="V1789" i="8"/>
  <c r="V1788" i="8"/>
  <c r="V1787" i="8"/>
  <c r="V1786" i="8"/>
  <c r="V1785" i="8"/>
  <c r="V1784" i="8"/>
  <c r="V1783" i="8"/>
  <c r="V1782" i="8"/>
  <c r="V1781" i="8"/>
  <c r="V1780" i="8"/>
  <c r="V1779" i="8"/>
  <c r="V1778" i="8"/>
  <c r="V1777" i="8"/>
  <c r="V1776" i="8"/>
  <c r="V1775" i="8"/>
  <c r="V1774" i="8"/>
  <c r="V1773" i="8"/>
  <c r="V1772" i="8"/>
  <c r="V1771" i="8"/>
  <c r="V1770" i="8"/>
  <c r="V1769" i="8"/>
  <c r="V1768" i="8"/>
  <c r="V1767" i="8"/>
  <c r="V1766" i="8"/>
  <c r="V1765" i="8"/>
  <c r="V1764" i="8"/>
  <c r="V1763" i="8"/>
  <c r="V1762" i="8"/>
  <c r="V1761" i="8"/>
  <c r="V1760" i="8"/>
  <c r="V1759" i="8"/>
  <c r="V1758" i="8"/>
  <c r="V1757" i="8"/>
  <c r="V1756" i="8"/>
  <c r="V1755" i="8"/>
  <c r="V1754" i="8"/>
  <c r="V1753" i="8"/>
  <c r="V1752" i="8"/>
  <c r="V1751" i="8"/>
  <c r="V1750" i="8"/>
  <c r="V1749" i="8"/>
  <c r="V1748" i="8"/>
  <c r="V1747" i="8"/>
  <c r="V1746" i="8"/>
  <c r="V1745" i="8"/>
  <c r="V1744" i="8"/>
  <c r="V1743" i="8"/>
  <c r="V1742" i="8"/>
  <c r="V1741" i="8"/>
  <c r="V1740" i="8"/>
  <c r="V1739" i="8"/>
  <c r="V1738" i="8"/>
  <c r="V1737" i="8"/>
  <c r="V1736" i="8"/>
  <c r="V1735" i="8"/>
  <c r="V1734" i="8"/>
  <c r="V1733" i="8"/>
  <c r="V1732" i="8"/>
  <c r="V1731" i="8"/>
  <c r="V1730" i="8"/>
  <c r="V1729" i="8"/>
  <c r="V1728" i="8"/>
  <c r="V1727" i="8"/>
  <c r="V1726" i="8"/>
  <c r="V1725" i="8"/>
  <c r="V1724" i="8"/>
  <c r="V1723" i="8"/>
  <c r="V1722" i="8"/>
  <c r="V1721" i="8"/>
  <c r="V1720" i="8"/>
  <c r="V1719" i="8"/>
  <c r="V1718" i="8"/>
  <c r="V1717" i="8"/>
  <c r="V1716" i="8"/>
  <c r="V1715" i="8"/>
  <c r="V1714" i="8"/>
  <c r="V1713" i="8"/>
  <c r="V1712" i="8"/>
  <c r="V1711" i="8"/>
  <c r="V1710" i="8"/>
  <c r="V1709" i="8"/>
  <c r="V1708" i="8"/>
  <c r="V1707" i="8"/>
  <c r="V1706" i="8"/>
  <c r="V1705" i="8"/>
  <c r="V1704" i="8"/>
  <c r="V1703" i="8"/>
  <c r="V1702" i="8"/>
  <c r="V1701" i="8"/>
  <c r="V1700" i="8"/>
  <c r="V1699" i="8"/>
  <c r="V1698" i="8"/>
  <c r="V1697" i="8"/>
  <c r="V1696" i="8"/>
  <c r="V1695" i="8"/>
  <c r="V1694" i="8"/>
  <c r="V1693" i="8"/>
  <c r="V1692" i="8"/>
  <c r="V1691" i="8"/>
  <c r="V1690" i="8"/>
  <c r="V1689" i="8"/>
  <c r="V1688" i="8"/>
  <c r="V1687" i="8"/>
  <c r="V1686" i="8"/>
  <c r="V1685" i="8"/>
  <c r="V1684" i="8"/>
  <c r="V1683" i="8"/>
  <c r="V1682" i="8"/>
  <c r="V1681" i="8"/>
  <c r="V1680" i="8"/>
  <c r="V1679" i="8"/>
  <c r="V1678" i="8"/>
  <c r="V1677" i="8"/>
  <c r="V1676" i="8"/>
  <c r="V1675" i="8"/>
  <c r="V1674" i="8"/>
  <c r="V1673" i="8"/>
  <c r="V1672" i="8"/>
  <c r="V1671" i="8"/>
  <c r="V1670" i="8"/>
  <c r="V1669" i="8"/>
  <c r="V1668" i="8"/>
  <c r="V1667" i="8"/>
  <c r="V1666" i="8"/>
  <c r="V1665" i="8"/>
  <c r="N25" i="7"/>
  <c r="AE114" i="1" s="1"/>
  <c r="V2058" i="8"/>
  <c r="T2058" i="8" s="1"/>
  <c r="V2057" i="8"/>
  <c r="T2057" i="8" s="1"/>
  <c r="V2056" i="8"/>
  <c r="T2056" i="8" s="1"/>
  <c r="V2055" i="8"/>
  <c r="T2055" i="8" s="1"/>
  <c r="V2054" i="8"/>
  <c r="T2054" i="8" s="1"/>
  <c r="V2053" i="8"/>
  <c r="T2053" i="8" s="1"/>
  <c r="V2052" i="8"/>
  <c r="T2052" i="8" s="1"/>
  <c r="V2051" i="8"/>
  <c r="T2051" i="8" s="1"/>
  <c r="V2050" i="8"/>
  <c r="T2050" i="8" s="1"/>
  <c r="V2049" i="8"/>
  <c r="T2049" i="8" s="1"/>
  <c r="V2048" i="8"/>
  <c r="T2048" i="8" s="1"/>
  <c r="V2047" i="8"/>
  <c r="T2047" i="8" s="1"/>
  <c r="V2046" i="8"/>
  <c r="T2046" i="8" s="1"/>
  <c r="V2045" i="8"/>
  <c r="T2045" i="8" s="1"/>
  <c r="V2044" i="8"/>
  <c r="T2044" i="8" s="1"/>
  <c r="V2043" i="8"/>
  <c r="T2043" i="8" s="1"/>
  <c r="V2042" i="8"/>
  <c r="T2042" i="8" s="1"/>
  <c r="V2041" i="8"/>
  <c r="T2041" i="8" s="1"/>
  <c r="V2040" i="8"/>
  <c r="T2040" i="8" s="1"/>
  <c r="V2039" i="8"/>
  <c r="T2039" i="8" s="1"/>
  <c r="V2038" i="8"/>
  <c r="T2038" i="8" s="1"/>
  <c r="V2037" i="8"/>
  <c r="T2037" i="8" s="1"/>
  <c r="V2036" i="8"/>
  <c r="T2036" i="8" s="1"/>
  <c r="V2035" i="8"/>
  <c r="T2035" i="8" s="1"/>
  <c r="V2034" i="8"/>
  <c r="T2034" i="8" s="1"/>
  <c r="V2033" i="8"/>
  <c r="T2033" i="8" s="1"/>
  <c r="V2032" i="8"/>
  <c r="T2032" i="8" s="1"/>
  <c r="V2031" i="8"/>
  <c r="T2031" i="8" s="1"/>
  <c r="V2030" i="8"/>
  <c r="T2030" i="8" s="1"/>
  <c r="V2029" i="8"/>
  <c r="T2029" i="8" s="1"/>
  <c r="V2028" i="8"/>
  <c r="T2028" i="8" s="1"/>
  <c r="V2027" i="8"/>
  <c r="T2027" i="8" s="1"/>
  <c r="V2026" i="8"/>
  <c r="T2026" i="8" s="1"/>
  <c r="V2025" i="8"/>
  <c r="T2025" i="8" s="1"/>
  <c r="V2024" i="8"/>
  <c r="T2024" i="8" s="1"/>
  <c r="V2023" i="8"/>
  <c r="T2023" i="8" s="1"/>
  <c r="V2022" i="8"/>
  <c r="T2022" i="8" s="1"/>
  <c r="V2021" i="8"/>
  <c r="T2021" i="8" s="1"/>
  <c r="V2020" i="8"/>
  <c r="T2020" i="8" s="1"/>
  <c r="V2019" i="8"/>
  <c r="T2019" i="8" s="1"/>
  <c r="V2018" i="8"/>
  <c r="T2018" i="8" s="1"/>
  <c r="V2017" i="8"/>
  <c r="T2017" i="8" s="1"/>
  <c r="V2016" i="8"/>
  <c r="T2016" i="8" s="1"/>
  <c r="V2015" i="8"/>
  <c r="T2015" i="8" s="1"/>
  <c r="V2014" i="8"/>
  <c r="T2014" i="8" s="1"/>
  <c r="P101" i="5" s="1"/>
  <c r="V2013" i="8"/>
  <c r="T2013" i="8" s="1"/>
  <c r="V2012" i="8"/>
  <c r="T2012" i="8" s="1"/>
  <c r="V2011" i="8"/>
  <c r="T2011" i="8" s="1"/>
  <c r="V2010" i="8"/>
  <c r="T2010" i="8" s="1"/>
  <c r="V2009" i="8"/>
  <c r="T2009" i="8" s="1"/>
  <c r="V2008" i="8"/>
  <c r="T2008" i="8" s="1"/>
  <c r="V2007" i="8"/>
  <c r="T2007" i="8" s="1"/>
  <c r="V2006" i="8"/>
  <c r="T2006" i="8" s="1"/>
  <c r="V2005" i="8"/>
  <c r="T2005" i="8" s="1"/>
  <c r="V2004" i="8"/>
  <c r="T2004" i="8" s="1"/>
  <c r="V2003" i="8"/>
  <c r="T2003" i="8" s="1"/>
  <c r="V2002" i="8"/>
  <c r="T2002" i="8" s="1"/>
  <c r="V2001" i="8"/>
  <c r="T2001" i="8" s="1"/>
  <c r="V2000" i="8"/>
  <c r="T2000" i="8" s="1"/>
  <c r="V1999" i="8"/>
  <c r="T1999" i="8" s="1"/>
  <c r="V1998" i="8"/>
  <c r="T1998" i="8" s="1"/>
  <c r="V1997" i="8"/>
  <c r="T1997" i="8" s="1"/>
  <c r="V1996" i="8"/>
  <c r="T1996" i="8" s="1"/>
  <c r="V1995" i="8"/>
  <c r="T1995" i="8" s="1"/>
  <c r="V1994" i="8"/>
  <c r="T1994" i="8" s="1"/>
  <c r="V1993" i="8"/>
  <c r="T1993" i="8" s="1"/>
  <c r="V1992" i="8"/>
  <c r="T1992" i="8" s="1"/>
  <c r="V1991" i="8"/>
  <c r="T1991" i="8" s="1"/>
  <c r="V1990" i="8"/>
  <c r="T1990" i="8" s="1"/>
  <c r="V1989" i="8"/>
  <c r="T1989" i="8" s="1"/>
  <c r="V1988" i="8"/>
  <c r="T1988" i="8" s="1"/>
  <c r="V1987" i="8"/>
  <c r="T1987" i="8" s="1"/>
  <c r="V1986" i="8"/>
  <c r="T1986" i="8" s="1"/>
  <c r="V1985" i="8"/>
  <c r="T1985" i="8" s="1"/>
  <c r="V1984" i="8"/>
  <c r="T1984" i="8" s="1"/>
  <c r="V1983" i="8"/>
  <c r="T1983" i="8" s="1"/>
  <c r="V1982" i="8"/>
  <c r="T1982" i="8" s="1"/>
  <c r="P100" i="5" s="1"/>
  <c r="V1981" i="8"/>
  <c r="T1981" i="8" s="1"/>
  <c r="V1980" i="8"/>
  <c r="T1980" i="8" s="1"/>
  <c r="V1979" i="8"/>
  <c r="T1979" i="8" s="1"/>
  <c r="V1978" i="8"/>
  <c r="T1978" i="8" s="1"/>
  <c r="V1977" i="8"/>
  <c r="T1977" i="8" s="1"/>
  <c r="V1976" i="8"/>
  <c r="T1976" i="8" s="1"/>
  <c r="V1975" i="8"/>
  <c r="T1975" i="8" s="1"/>
  <c r="V1974" i="8"/>
  <c r="T1974" i="8" s="1"/>
  <c r="V1973" i="8"/>
  <c r="T1973" i="8" s="1"/>
  <c r="V1972" i="8"/>
  <c r="T1972" i="8" s="1"/>
  <c r="V1971" i="8"/>
  <c r="T1971" i="8" s="1"/>
  <c r="V1970" i="8"/>
  <c r="V1969" i="8"/>
  <c r="V1968" i="8"/>
  <c r="V1967" i="8"/>
  <c r="V1966" i="8"/>
  <c r="V1965" i="8"/>
  <c r="V1964" i="8"/>
  <c r="V1963" i="8"/>
  <c r="V1962" i="8"/>
  <c r="V1961" i="8"/>
  <c r="V1960" i="8"/>
  <c r="T1960" i="8" s="1"/>
  <c r="V1959" i="8"/>
  <c r="T1959" i="8" s="1"/>
  <c r="V1958" i="8"/>
  <c r="T1958" i="8" s="1"/>
  <c r="V1957" i="8"/>
  <c r="T1957" i="8" s="1"/>
  <c r="V1956" i="8"/>
  <c r="T1956" i="8" s="1"/>
  <c r="V1955" i="8"/>
  <c r="T1955" i="8" s="1"/>
  <c r="V1954" i="8"/>
  <c r="T1954" i="8" s="1"/>
  <c r="V1953" i="8"/>
  <c r="T1953" i="8" s="1"/>
  <c r="V1952" i="8"/>
  <c r="T1952" i="8" s="1"/>
  <c r="V1951" i="8"/>
  <c r="T1951" i="8" s="1"/>
  <c r="V1950" i="8"/>
  <c r="T1950" i="8" s="1"/>
  <c r="V1949" i="8"/>
  <c r="T1949" i="8" s="1"/>
  <c r="V1948" i="8"/>
  <c r="T1948" i="8" s="1"/>
  <c r="V1947" i="8"/>
  <c r="T1947" i="8" s="1"/>
  <c r="V1946" i="8"/>
  <c r="T1946" i="8" s="1"/>
  <c r="P99" i="5" s="1"/>
  <c r="N27" i="7"/>
  <c r="AE117" i="1" s="1"/>
  <c r="N29" i="7"/>
  <c r="AE121" i="1" s="1"/>
  <c r="V3769" i="8"/>
  <c r="V3768" i="8"/>
  <c r="V3767" i="8"/>
  <c r="V3766" i="8"/>
  <c r="V3765" i="8"/>
  <c r="V3764" i="8"/>
  <c r="V3763" i="8"/>
  <c r="V3762" i="8"/>
  <c r="V3761" i="8"/>
  <c r="V3760" i="8"/>
  <c r="V3759" i="8"/>
  <c r="V3758" i="8"/>
  <c r="V3757" i="8"/>
  <c r="V3756" i="8"/>
  <c r="V3755" i="8"/>
  <c r="V3754" i="8"/>
  <c r="V3753" i="8"/>
  <c r="V3752" i="8"/>
  <c r="V3751" i="8"/>
  <c r="V3750" i="8"/>
  <c r="V3749" i="8"/>
  <c r="V3748" i="8"/>
  <c r="T3748" i="8" s="1"/>
  <c r="V3747" i="8"/>
  <c r="T3747" i="8" s="1"/>
  <c r="V3746" i="8"/>
  <c r="T3746" i="8" s="1"/>
  <c r="V3745" i="8"/>
  <c r="T3745" i="8" s="1"/>
  <c r="P117" i="5" s="1"/>
  <c r="V3744" i="8"/>
  <c r="T3744" i="8" s="1"/>
  <c r="V3743" i="8"/>
  <c r="T3743" i="8" s="1"/>
  <c r="V3742" i="8"/>
  <c r="T3742" i="8" s="1"/>
  <c r="V3741" i="8"/>
  <c r="T3741" i="8" s="1"/>
  <c r="V3740" i="8"/>
  <c r="T3740" i="8" s="1"/>
  <c r="V3739" i="8"/>
  <c r="T3739" i="8" s="1"/>
  <c r="V3738" i="8"/>
  <c r="T3738" i="8" s="1"/>
  <c r="V3737" i="8"/>
  <c r="T3737" i="8" s="1"/>
  <c r="V3736" i="8"/>
  <c r="T3736" i="8" s="1"/>
  <c r="V3735" i="8"/>
  <c r="T3735" i="8" s="1"/>
  <c r="V3734" i="8"/>
  <c r="T3734" i="8" s="1"/>
  <c r="V3733" i="8"/>
  <c r="T3733" i="8" s="1"/>
  <c r="V3732" i="8"/>
  <c r="T3732" i="8" s="1"/>
  <c r="V3731" i="8"/>
  <c r="V3730" i="8"/>
  <c r="V3729" i="8"/>
  <c r="V3728" i="8"/>
  <c r="V3727" i="8"/>
  <c r="V3726" i="8"/>
  <c r="V3725" i="8"/>
  <c r="V3724" i="8"/>
  <c r="V3723" i="8"/>
  <c r="V3722" i="8"/>
  <c r="V3721" i="8"/>
  <c r="V3720" i="8"/>
  <c r="V3719" i="8"/>
  <c r="V3718" i="8"/>
  <c r="V3717" i="8"/>
  <c r="V3716" i="8"/>
  <c r="V3715" i="8"/>
  <c r="V3714" i="8"/>
  <c r="V3713" i="8"/>
  <c r="V3712" i="8"/>
  <c r="V3711" i="8"/>
  <c r="V3710" i="8"/>
  <c r="V3709" i="8"/>
  <c r="V3708" i="8"/>
  <c r="V3707" i="8"/>
  <c r="V3706" i="8"/>
  <c r="V3705" i="8"/>
  <c r="V3704" i="8"/>
  <c r="V3703" i="8"/>
  <c r="V3702" i="8"/>
  <c r="V3701" i="8"/>
  <c r="V3700" i="8"/>
  <c r="V3699" i="8"/>
  <c r="V3698" i="8"/>
  <c r="V3697" i="8"/>
  <c r="V3696" i="8"/>
  <c r="V3695" i="8"/>
  <c r="V3694" i="8"/>
  <c r="V3693" i="8"/>
  <c r="V3692" i="8"/>
  <c r="V3691" i="8"/>
  <c r="V3690" i="8"/>
  <c r="V3689" i="8"/>
  <c r="V3688" i="8"/>
  <c r="V3687" i="8"/>
  <c r="V3686" i="8"/>
  <c r="V3685" i="8"/>
  <c r="V3684" i="8"/>
  <c r="V3683" i="8"/>
  <c r="V3682" i="8"/>
  <c r="V3681" i="8"/>
  <c r="V3680" i="8"/>
  <c r="V3679" i="8"/>
  <c r="V3678" i="8"/>
  <c r="V3677" i="8"/>
  <c r="V3676" i="8"/>
  <c r="V3675" i="8"/>
  <c r="V3674" i="8"/>
  <c r="V3673" i="8"/>
  <c r="V3672" i="8"/>
  <c r="V3671" i="8"/>
  <c r="V3670" i="8"/>
  <c r="V3669" i="8"/>
  <c r="V3668" i="8"/>
  <c r="V3667" i="8"/>
  <c r="V3666" i="8"/>
  <c r="V3665" i="8"/>
  <c r="V3664" i="8"/>
  <c r="V3663" i="8"/>
  <c r="V3662" i="8"/>
  <c r="V3661" i="8"/>
  <c r="V3660" i="8"/>
  <c r="V3659" i="8"/>
  <c r="V3658" i="8"/>
  <c r="V3657" i="8"/>
  <c r="V3656" i="8"/>
  <c r="V3655" i="8"/>
  <c r="V3654" i="8"/>
  <c r="V3653" i="8"/>
  <c r="V3652" i="8"/>
  <c r="V3651" i="8"/>
  <c r="V3650" i="8"/>
  <c r="V3649" i="8"/>
  <c r="V3648" i="8"/>
  <c r="V3647" i="8"/>
  <c r="V3646" i="8"/>
  <c r="V3645" i="8"/>
  <c r="V3644" i="8"/>
  <c r="N31" i="7"/>
  <c r="AE123" i="1" s="1"/>
  <c r="N33" i="7"/>
  <c r="AE126" i="1" s="1"/>
  <c r="V3165" i="8"/>
  <c r="V3164" i="8"/>
  <c r="V3163" i="8"/>
  <c r="V3162" i="8"/>
  <c r="V3161" i="8"/>
  <c r="V3160" i="8"/>
  <c r="V3159" i="8"/>
  <c r="V3158" i="8"/>
  <c r="V3157" i="8"/>
  <c r="V3156" i="8"/>
  <c r="V3155" i="8"/>
  <c r="V3154" i="8"/>
  <c r="V3153" i="8"/>
  <c r="V3152" i="8"/>
  <c r="V3151" i="8"/>
  <c r="V3150" i="8"/>
  <c r="V3149" i="8"/>
  <c r="V3148" i="8"/>
  <c r="V3147" i="8"/>
  <c r="V3146" i="8"/>
  <c r="V3145" i="8"/>
  <c r="V3144" i="8"/>
  <c r="V3143" i="8"/>
  <c r="V3142" i="8"/>
  <c r="V3141" i="8"/>
  <c r="V3140" i="8"/>
  <c r="V3139" i="8"/>
  <c r="V3138" i="8"/>
  <c r="V3137" i="8"/>
  <c r="V3136" i="8"/>
  <c r="V3135" i="8"/>
  <c r="V3134" i="8"/>
  <c r="V3133" i="8"/>
  <c r="V3132" i="8"/>
  <c r="V3131" i="8"/>
  <c r="V3130" i="8"/>
  <c r="V3129" i="8"/>
  <c r="V3128" i="8"/>
  <c r="V3127" i="8"/>
  <c r="V3126" i="8"/>
  <c r="V3125" i="8"/>
  <c r="V3124" i="8"/>
  <c r="V3123" i="8"/>
  <c r="V3122" i="8"/>
  <c r="V3121" i="8"/>
  <c r="V3120" i="8"/>
  <c r="V3119" i="8"/>
  <c r="V3118" i="8"/>
  <c r="V3117" i="8"/>
  <c r="V3116" i="8"/>
  <c r="V3115" i="8"/>
  <c r="V3114" i="8"/>
  <c r="V3113" i="8"/>
  <c r="V3112" i="8"/>
  <c r="V3111" i="8"/>
  <c r="V3110" i="8"/>
  <c r="V3109" i="8"/>
  <c r="V3108" i="8"/>
  <c r="V3107" i="8"/>
  <c r="V3106" i="8"/>
  <c r="V3105" i="8"/>
  <c r="V3104" i="8"/>
  <c r="V3103" i="8"/>
  <c r="V3102" i="8"/>
  <c r="V3101" i="8"/>
  <c r="V3100" i="8"/>
  <c r="V3099" i="8"/>
  <c r="V3098" i="8"/>
  <c r="V3097" i="8"/>
  <c r="V3096" i="8"/>
  <c r="V3095" i="8"/>
  <c r="V3094" i="8"/>
  <c r="V3093" i="8"/>
  <c r="V3092" i="8"/>
  <c r="V3091" i="8"/>
  <c r="V3090" i="8"/>
  <c r="V3089" i="8"/>
  <c r="V3088" i="8"/>
  <c r="V3087" i="8"/>
  <c r="V3086" i="8"/>
  <c r="V3085" i="8"/>
  <c r="V3084" i="8"/>
  <c r="V3083" i="8"/>
  <c r="V3082" i="8"/>
  <c r="V3081" i="8"/>
  <c r="V3080" i="8"/>
  <c r="V3079" i="8"/>
  <c r="V3078" i="8"/>
  <c r="V3077" i="8"/>
  <c r="V3076" i="8"/>
  <c r="V3075" i="8"/>
  <c r="V3074" i="8"/>
  <c r="V3073" i="8"/>
  <c r="V3072" i="8"/>
  <c r="V3071" i="8"/>
  <c r="V3070" i="8"/>
  <c r="V3069" i="8"/>
  <c r="V3068" i="8"/>
  <c r="V3067" i="8"/>
  <c r="V3066" i="8"/>
  <c r="V3065" i="8"/>
  <c r="V3064" i="8"/>
  <c r="V3063" i="8"/>
  <c r="V3062" i="8"/>
  <c r="V3061" i="8"/>
  <c r="V3060" i="8"/>
  <c r="V3059" i="8"/>
  <c r="V3058" i="8"/>
  <c r="V3057" i="8"/>
  <c r="V3056" i="8"/>
  <c r="V3055" i="8"/>
  <c r="V3054" i="8"/>
  <c r="V3053" i="8"/>
  <c r="V3052" i="8"/>
  <c r="V3051" i="8"/>
  <c r="V3050" i="8"/>
  <c r="V3049" i="8"/>
  <c r="V3048" i="8"/>
  <c r="V3047" i="8"/>
  <c r="V3046" i="8"/>
  <c r="V3045" i="8"/>
  <c r="V3044" i="8"/>
  <c r="V3043" i="8"/>
  <c r="V3042" i="8"/>
  <c r="V3041" i="8"/>
  <c r="V3040" i="8"/>
  <c r="V3039" i="8"/>
  <c r="V3038" i="8"/>
  <c r="V3037" i="8"/>
  <c r="V3036" i="8"/>
  <c r="V3035" i="8"/>
  <c r="V3034" i="8"/>
  <c r="V3033" i="8"/>
  <c r="V3032" i="8"/>
  <c r="V3031" i="8"/>
  <c r="V3030" i="8"/>
  <c r="V3029" i="8"/>
  <c r="V3028" i="8"/>
  <c r="V3027" i="8"/>
  <c r="V3026" i="8"/>
  <c r="V3025" i="8"/>
  <c r="V3024" i="8"/>
  <c r="V3023" i="8"/>
  <c r="V3022" i="8"/>
  <c r="V3021" i="8"/>
  <c r="V3020" i="8"/>
  <c r="V3019" i="8"/>
  <c r="V3018" i="8"/>
  <c r="V3017" i="8"/>
  <c r="V3016" i="8"/>
  <c r="V3015" i="8"/>
  <c r="V3014" i="8"/>
  <c r="V3013" i="8"/>
  <c r="V3012" i="8"/>
  <c r="V3166" i="8"/>
  <c r="V3167" i="8"/>
  <c r="N35" i="7"/>
  <c r="AE130" i="1" s="1"/>
  <c r="V2" i="8"/>
  <c r="T2" i="8" s="1"/>
  <c r="V3" i="8"/>
  <c r="U3" i="8" s="1"/>
  <c r="V4" i="8"/>
  <c r="T4" i="8" s="1"/>
  <c r="V5" i="8"/>
  <c r="U5" i="8" s="1"/>
  <c r="V6" i="8"/>
  <c r="T6" i="8" s="1"/>
  <c r="V7" i="8"/>
  <c r="U7" i="8" s="1"/>
  <c r="V8" i="8"/>
  <c r="T8" i="8" s="1"/>
  <c r="V9" i="8"/>
  <c r="U9" i="8" s="1"/>
  <c r="V10" i="8"/>
  <c r="T10" i="8" s="1"/>
  <c r="V11" i="8"/>
  <c r="U11" i="8" s="1"/>
  <c r="V12" i="8"/>
  <c r="T12" i="8" s="1"/>
  <c r="V13" i="8"/>
  <c r="U13" i="8" s="1"/>
  <c r="V14" i="8"/>
  <c r="T14" i="8" s="1"/>
  <c r="V15" i="8"/>
  <c r="U15" i="8" s="1"/>
  <c r="V16" i="8"/>
  <c r="T16" i="8" s="1"/>
  <c r="V17" i="8"/>
  <c r="U17" i="8" s="1"/>
  <c r="V18" i="8"/>
  <c r="T18" i="8" s="1"/>
  <c r="V19" i="8"/>
  <c r="U19" i="8" s="1"/>
  <c r="V20" i="8"/>
  <c r="T20" i="8" s="1"/>
  <c r="V21" i="8"/>
  <c r="U21" i="8" s="1"/>
  <c r="V22" i="8"/>
  <c r="T22" i="8" s="1"/>
  <c r="V23" i="8"/>
  <c r="U23" i="8" s="1"/>
  <c r="V24" i="8"/>
  <c r="T24" i="8" s="1"/>
  <c r="V25" i="8"/>
  <c r="U25" i="8" s="1"/>
  <c r="V26" i="8"/>
  <c r="T26" i="8" s="1"/>
  <c r="V27" i="8"/>
  <c r="U27" i="8" s="1"/>
  <c r="V28" i="8"/>
  <c r="T28" i="8" s="1"/>
  <c r="V29" i="8"/>
  <c r="U29" i="8" s="1"/>
  <c r="V30" i="8"/>
  <c r="T30" i="8" s="1"/>
  <c r="V31" i="8"/>
  <c r="U31" i="8" s="1"/>
  <c r="V32" i="8"/>
  <c r="T32" i="8" s="1"/>
  <c r="V33" i="8"/>
  <c r="U33" i="8" s="1"/>
  <c r="V34" i="8"/>
  <c r="T34" i="8" s="1"/>
  <c r="V35" i="8"/>
  <c r="U35" i="8" s="1"/>
  <c r="V36" i="8"/>
  <c r="T36" i="8" s="1"/>
  <c r="V37" i="8"/>
  <c r="U37" i="8" s="1"/>
  <c r="V38" i="8"/>
  <c r="T38" i="8" s="1"/>
  <c r="V39" i="8"/>
  <c r="U39" i="8" s="1"/>
  <c r="V40" i="8"/>
  <c r="T40" i="8" s="1"/>
  <c r="V41" i="8"/>
  <c r="U41" i="8" s="1"/>
  <c r="V42" i="8"/>
  <c r="T42" i="8" s="1"/>
  <c r="V43" i="8"/>
  <c r="U43" i="8" s="1"/>
  <c r="V44" i="8"/>
  <c r="T44" i="8" s="1"/>
  <c r="V45" i="8"/>
  <c r="U45" i="8" s="1"/>
  <c r="V46" i="8"/>
  <c r="T46" i="8" s="1"/>
  <c r="V47" i="8"/>
  <c r="U47" i="8" s="1"/>
  <c r="V48" i="8"/>
  <c r="T48" i="8" s="1"/>
  <c r="V49" i="8"/>
  <c r="U49" i="8" s="1"/>
  <c r="V50" i="8"/>
  <c r="T50" i="8" s="1"/>
  <c r="V51" i="8"/>
  <c r="U51" i="8" s="1"/>
  <c r="V52" i="8"/>
  <c r="T52" i="8" s="1"/>
  <c r="V53" i="8"/>
  <c r="U53" i="8" s="1"/>
  <c r="V54" i="8"/>
  <c r="T54" i="8" s="1"/>
  <c r="V55" i="8"/>
  <c r="U55" i="8" s="1"/>
  <c r="V56" i="8"/>
  <c r="T56" i="8" s="1"/>
  <c r="V57" i="8"/>
  <c r="U57" i="8" s="1"/>
  <c r="V58" i="8"/>
  <c r="T58" i="8" s="1"/>
  <c r="V59" i="8"/>
  <c r="U59" i="8" s="1"/>
  <c r="V60" i="8"/>
  <c r="T60" i="8" s="1"/>
  <c r="V61" i="8"/>
  <c r="U61" i="8" s="1"/>
  <c r="V62" i="8"/>
  <c r="T62" i="8" s="1"/>
  <c r="V63" i="8"/>
  <c r="U63" i="8" s="1"/>
  <c r="V64" i="8"/>
  <c r="T64" i="8" s="1"/>
  <c r="V65" i="8"/>
  <c r="U65" i="8" s="1"/>
  <c r="V66" i="8"/>
  <c r="T66" i="8" s="1"/>
  <c r="V67" i="8"/>
  <c r="U67" i="8" s="1"/>
  <c r="V69" i="8"/>
  <c r="T69" i="8" s="1"/>
  <c r="V70" i="8"/>
  <c r="W70" i="8" s="1"/>
  <c r="V71" i="8"/>
  <c r="T71" i="8" s="1"/>
  <c r="V72" i="8"/>
  <c r="W72" i="8" s="1"/>
  <c r="V73" i="8"/>
  <c r="T73" i="8" s="1"/>
  <c r="V74" i="8"/>
  <c r="W74" i="8" s="1"/>
  <c r="V75" i="8"/>
  <c r="T75" i="8" s="1"/>
  <c r="V76" i="8"/>
  <c r="W76" i="8" s="1"/>
  <c r="V77" i="8"/>
  <c r="T77" i="8" s="1"/>
  <c r="V78" i="8"/>
  <c r="W78" i="8" s="1"/>
  <c r="V79" i="8"/>
  <c r="T79" i="8" s="1"/>
  <c r="V80" i="8"/>
  <c r="W80" i="8" s="1"/>
  <c r="V81" i="8"/>
  <c r="T81" i="8" s="1"/>
  <c r="V82" i="8"/>
  <c r="W82" i="8" s="1"/>
  <c r="V84" i="8"/>
  <c r="T84" i="8" s="1"/>
  <c r="V85" i="8"/>
  <c r="U85" i="8" s="1"/>
  <c r="V86" i="8"/>
  <c r="T86" i="8" s="1"/>
  <c r="V87" i="8"/>
  <c r="U87" i="8" s="1"/>
  <c r="V88" i="8"/>
  <c r="T88" i="8" s="1"/>
  <c r="V89" i="8"/>
  <c r="U89" i="8" s="1"/>
  <c r="V90" i="8"/>
  <c r="T90" i="8" s="1"/>
  <c r="V91" i="8"/>
  <c r="U91" i="8" s="1"/>
  <c r="V92" i="8"/>
  <c r="T92" i="8" s="1"/>
  <c r="V93" i="8"/>
  <c r="U93" i="8" s="1"/>
  <c r="V94" i="8"/>
  <c r="T94" i="8" s="1"/>
  <c r="V96" i="8"/>
  <c r="W96" i="8" s="1"/>
  <c r="V97" i="8"/>
  <c r="T97" i="8" s="1"/>
  <c r="V98" i="8"/>
  <c r="W98" i="8" s="1"/>
  <c r="V99" i="8"/>
  <c r="T99" i="8" s="1"/>
  <c r="V100" i="8"/>
  <c r="W100" i="8" s="1"/>
  <c r="V101" i="8"/>
  <c r="T101" i="8" s="1"/>
  <c r="V102" i="8"/>
  <c r="W102" i="8" s="1"/>
  <c r="V103" i="8"/>
  <c r="T103" i="8" s="1"/>
  <c r="V104" i="8"/>
  <c r="W104" i="8" s="1"/>
  <c r="V105" i="8"/>
  <c r="T105" i="8" s="1"/>
  <c r="V106" i="8"/>
  <c r="W106" i="8" s="1"/>
  <c r="V107" i="8"/>
  <c r="T107" i="8" s="1"/>
  <c r="V108" i="8"/>
  <c r="W108" i="8" s="1"/>
  <c r="V109" i="8"/>
  <c r="T109" i="8" s="1"/>
  <c r="V110" i="8"/>
  <c r="W110" i="8" s="1"/>
  <c r="V111" i="8"/>
  <c r="T111" i="8" s="1"/>
  <c r="V112" i="8"/>
  <c r="W112" i="8" s="1"/>
  <c r="V113" i="8"/>
  <c r="T113" i="8" s="1"/>
  <c r="V114" i="8"/>
  <c r="W114" i="8" s="1"/>
  <c r="V115" i="8"/>
  <c r="T115" i="8" s="1"/>
  <c r="V116" i="8"/>
  <c r="W116" i="8" s="1"/>
  <c r="V117" i="8"/>
  <c r="T117" i="8" s="1"/>
  <c r="V118" i="8"/>
  <c r="W118" i="8" s="1"/>
  <c r="V119" i="8"/>
  <c r="T119" i="8" s="1"/>
  <c r="V120" i="8"/>
  <c r="W120" i="8" s="1"/>
  <c r="V121" i="8"/>
  <c r="T121" i="8" s="1"/>
  <c r="V122" i="8"/>
  <c r="W122" i="8" s="1"/>
  <c r="V123" i="8"/>
  <c r="T123" i="8" s="1"/>
  <c r="V124" i="8"/>
  <c r="W124" i="8" s="1"/>
  <c r="V125" i="8"/>
  <c r="T125" i="8" s="1"/>
  <c r="V126" i="8"/>
  <c r="W126" i="8" s="1"/>
  <c r="V127" i="8"/>
  <c r="T127" i="8" s="1"/>
  <c r="V128" i="8"/>
  <c r="W128" i="8" s="1"/>
  <c r="V129" i="8"/>
  <c r="T129" i="8" s="1"/>
  <c r="V130" i="8"/>
  <c r="W130" i="8" s="1"/>
  <c r="V131" i="8"/>
  <c r="T131" i="8" s="1"/>
  <c r="V132" i="8"/>
  <c r="W132" i="8" s="1"/>
  <c r="V133" i="8"/>
  <c r="T133" i="8" s="1"/>
  <c r="V134" i="8"/>
  <c r="W134" i="8" s="1"/>
  <c r="V135" i="8"/>
  <c r="T135" i="8" s="1"/>
  <c r="V136" i="8"/>
  <c r="W136" i="8" s="1"/>
  <c r="V137" i="8"/>
  <c r="T137" i="8" s="1"/>
  <c r="V138" i="8"/>
  <c r="W138" i="8" s="1"/>
  <c r="V139" i="8"/>
  <c r="T139" i="8" s="1"/>
  <c r="V140" i="8"/>
  <c r="W140" i="8" s="1"/>
  <c r="V141" i="8"/>
  <c r="T141" i="8" s="1"/>
  <c r="V142" i="8"/>
  <c r="W142" i="8" s="1"/>
  <c r="V143" i="8"/>
  <c r="T143" i="8" s="1"/>
  <c r="V144" i="8"/>
  <c r="W144" i="8" s="1"/>
  <c r="V145" i="8"/>
  <c r="T145" i="8" s="1"/>
  <c r="V146" i="8"/>
  <c r="W146" i="8" s="1"/>
  <c r="V147" i="8"/>
  <c r="T147" i="8" s="1"/>
  <c r="V148" i="8"/>
  <c r="W148" i="8" s="1"/>
  <c r="V149" i="8"/>
  <c r="T149" i="8" s="1"/>
  <c r="V150" i="8"/>
  <c r="W150" i="8" s="1"/>
  <c r="V151" i="8"/>
  <c r="T151" i="8" s="1"/>
  <c r="V152" i="8"/>
  <c r="W152" i="8" s="1"/>
  <c r="V153" i="8"/>
  <c r="T153" i="8" s="1"/>
  <c r="V154" i="8"/>
  <c r="W154" i="8" s="1"/>
  <c r="V155" i="8"/>
  <c r="T155" i="8" s="1"/>
  <c r="V156" i="8"/>
  <c r="W156" i="8" s="1"/>
  <c r="V157" i="8"/>
  <c r="T157" i="8" s="1"/>
  <c r="V158" i="8"/>
  <c r="W158" i="8" s="1"/>
  <c r="V159" i="8"/>
  <c r="T159" i="8" s="1"/>
  <c r="V160" i="8"/>
  <c r="W160" i="8" s="1"/>
  <c r="V161" i="8"/>
  <c r="T161" i="8" s="1"/>
  <c r="V162" i="8"/>
  <c r="W162" i="8" s="1"/>
  <c r="V163" i="8"/>
  <c r="T163" i="8" s="1"/>
  <c r="V164" i="8"/>
  <c r="W164" i="8" s="1"/>
  <c r="V165" i="8"/>
  <c r="T165" i="8" s="1"/>
  <c r="V166" i="8"/>
  <c r="W166" i="8" s="1"/>
  <c r="V167" i="8"/>
  <c r="T167" i="8" s="1"/>
  <c r="V168" i="8"/>
  <c r="W168" i="8" s="1"/>
  <c r="V169" i="8"/>
  <c r="T169" i="8" s="1"/>
  <c r="V170" i="8"/>
  <c r="W170" i="8" s="1"/>
  <c r="V171" i="8"/>
  <c r="T171" i="8" s="1"/>
  <c r="V172" i="8"/>
  <c r="W172" i="8" s="1"/>
  <c r="V173" i="8"/>
  <c r="T173" i="8" s="1"/>
  <c r="V174" i="8"/>
  <c r="W174" i="8" s="1"/>
  <c r="V175" i="8"/>
  <c r="T175" i="8" s="1"/>
  <c r="V176" i="8"/>
  <c r="W176" i="8" s="1"/>
  <c r="V177" i="8"/>
  <c r="T177" i="8" s="1"/>
  <c r="V178" i="8"/>
  <c r="W178" i="8" s="1"/>
  <c r="V179" i="8"/>
  <c r="T179" i="8" s="1"/>
  <c r="V180" i="8"/>
  <c r="W180" i="8" s="1"/>
  <c r="V181" i="8"/>
  <c r="T181" i="8" s="1"/>
  <c r="V182" i="8"/>
  <c r="W182" i="8" s="1"/>
  <c r="V183" i="8"/>
  <c r="T183" i="8" s="1"/>
  <c r="V184" i="8"/>
  <c r="W184" i="8" s="1"/>
  <c r="V185" i="8"/>
  <c r="T185" i="8" s="1"/>
  <c r="V186" i="8"/>
  <c r="W186" i="8" s="1"/>
  <c r="V187" i="8"/>
  <c r="T187" i="8" s="1"/>
  <c r="V188" i="8"/>
  <c r="W188" i="8" s="1"/>
  <c r="V189" i="8"/>
  <c r="T189" i="8" s="1"/>
  <c r="V190" i="8"/>
  <c r="W190" i="8" s="1"/>
  <c r="V191" i="8"/>
  <c r="T191" i="8" s="1"/>
  <c r="V192" i="8"/>
  <c r="W192" i="8" s="1"/>
  <c r="V193" i="8"/>
  <c r="T193" i="8" s="1"/>
  <c r="V194" i="8"/>
  <c r="W194" i="8" s="1"/>
  <c r="V195" i="8"/>
  <c r="T195" i="8" s="1"/>
  <c r="V196" i="8"/>
  <c r="W196" i="8" s="1"/>
  <c r="V197" i="8"/>
  <c r="T197" i="8" s="1"/>
  <c r="V198" i="8"/>
  <c r="W198" i="8" s="1"/>
  <c r="V199" i="8"/>
  <c r="T199" i="8" s="1"/>
  <c r="V200" i="8"/>
  <c r="W200" i="8" s="1"/>
  <c r="V201" i="8"/>
  <c r="T201" i="8" s="1"/>
  <c r="V202" i="8"/>
  <c r="W202" i="8" s="1"/>
  <c r="V203" i="8"/>
  <c r="T203" i="8" s="1"/>
  <c r="V204" i="8"/>
  <c r="W204" i="8" s="1"/>
  <c r="V205" i="8"/>
  <c r="T205" i="8" s="1"/>
  <c r="V206" i="8"/>
  <c r="W206" i="8" s="1"/>
  <c r="V207" i="8"/>
  <c r="T207" i="8" s="1"/>
  <c r="V208" i="8"/>
  <c r="W208" i="8" s="1"/>
  <c r="V209" i="8"/>
  <c r="T209" i="8" s="1"/>
  <c r="V210" i="8"/>
  <c r="W210" i="8" s="1"/>
  <c r="V211" i="8"/>
  <c r="T211" i="8" s="1"/>
  <c r="V212" i="8"/>
  <c r="W212" i="8" s="1"/>
  <c r="V213" i="8"/>
  <c r="T213" i="8" s="1"/>
  <c r="V214" i="8"/>
  <c r="W214" i="8" s="1"/>
  <c r="V215" i="8"/>
  <c r="T215" i="8" s="1"/>
  <c r="V216" i="8"/>
  <c r="W216" i="8" s="1"/>
  <c r="V217" i="8"/>
  <c r="T217" i="8" s="1"/>
  <c r="V218" i="8"/>
  <c r="W218" i="8" s="1"/>
  <c r="V219" i="8"/>
  <c r="T219" i="8" s="1"/>
  <c r="V220" i="8"/>
  <c r="W220" i="8" s="1"/>
  <c r="V221" i="8"/>
  <c r="T221" i="8" s="1"/>
  <c r="V222" i="8"/>
  <c r="W222" i="8" s="1"/>
  <c r="V223" i="8"/>
  <c r="T223" i="8" s="1"/>
  <c r="V224" i="8"/>
  <c r="W224" i="8" s="1"/>
  <c r="V225" i="8"/>
  <c r="T225" i="8" s="1"/>
  <c r="V226" i="8"/>
  <c r="W226" i="8" s="1"/>
  <c r="V227" i="8"/>
  <c r="T227" i="8" s="1"/>
  <c r="V228" i="8"/>
  <c r="W228" i="8" s="1"/>
  <c r="V229" i="8"/>
  <c r="T229" i="8" s="1"/>
  <c r="V230" i="8"/>
  <c r="W230" i="8" s="1"/>
  <c r="V231" i="8"/>
  <c r="T231" i="8" s="1"/>
  <c r="V232" i="8"/>
  <c r="W232" i="8" s="1"/>
  <c r="V233" i="8"/>
  <c r="T233" i="8" s="1"/>
  <c r="V234" i="8"/>
  <c r="W234" i="8" s="1"/>
  <c r="V235" i="8"/>
  <c r="T235" i="8" s="1"/>
  <c r="V236" i="8"/>
  <c r="W236" i="8" s="1"/>
  <c r="V237" i="8"/>
  <c r="T237" i="8" s="1"/>
  <c r="V238" i="8"/>
  <c r="W238" i="8" s="1"/>
  <c r="V239" i="8"/>
  <c r="T239" i="8" s="1"/>
  <c r="V240" i="8"/>
  <c r="W240" i="8" s="1"/>
  <c r="V241" i="8"/>
  <c r="T241" i="8" s="1"/>
  <c r="V242" i="8"/>
  <c r="W242" i="8" s="1"/>
  <c r="V243" i="8"/>
  <c r="T243" i="8" s="1"/>
  <c r="V244" i="8"/>
  <c r="W244" i="8" s="1"/>
  <c r="V245" i="8"/>
  <c r="T245" i="8" s="1"/>
  <c r="V246" i="8"/>
  <c r="W246" i="8" s="1"/>
  <c r="V247" i="8"/>
  <c r="T247" i="8" s="1"/>
  <c r="V248" i="8"/>
  <c r="W248" i="8" s="1"/>
  <c r="V249" i="8"/>
  <c r="T249" i="8" s="1"/>
  <c r="V250" i="8"/>
  <c r="W250" i="8" s="1"/>
  <c r="V251" i="8"/>
  <c r="T251" i="8" s="1"/>
  <c r="V252" i="8"/>
  <c r="W252" i="8" s="1"/>
  <c r="V253" i="8"/>
  <c r="T253" i="8" s="1"/>
  <c r="V254" i="8"/>
  <c r="W254" i="8" s="1"/>
  <c r="V255" i="8"/>
  <c r="T255" i="8" s="1"/>
  <c r="V256" i="8"/>
  <c r="W256" i="8" s="1"/>
  <c r="V258" i="8"/>
  <c r="W258" i="8" s="1"/>
  <c r="V259" i="8"/>
  <c r="T259" i="8" s="1"/>
  <c r="V260" i="8"/>
  <c r="W260" i="8" s="1"/>
  <c r="V261" i="8"/>
  <c r="T261" i="8" s="1"/>
  <c r="V262" i="8"/>
  <c r="W262" i="8" s="1"/>
  <c r="V263" i="8"/>
  <c r="T263" i="8" s="1"/>
  <c r="V264" i="8"/>
  <c r="W264" i="8" s="1"/>
  <c r="V265" i="8"/>
  <c r="T265" i="8" s="1"/>
  <c r="V266" i="8"/>
  <c r="W266" i="8" s="1"/>
  <c r="V267" i="8"/>
  <c r="T267" i="8" s="1"/>
  <c r="V268" i="8"/>
  <c r="W268" i="8" s="1"/>
  <c r="V269" i="8"/>
  <c r="T269" i="8" s="1"/>
  <c r="V270" i="8"/>
  <c r="W270" i="8" s="1"/>
  <c r="V271" i="8"/>
  <c r="T271" i="8" s="1"/>
  <c r="V272" i="8"/>
  <c r="W272" i="8" s="1"/>
  <c r="V273" i="8"/>
  <c r="T273" i="8" s="1"/>
  <c r="V274" i="8"/>
  <c r="W274" i="8" s="1"/>
  <c r="V275" i="8"/>
  <c r="T275" i="8" s="1"/>
  <c r="V276" i="8"/>
  <c r="W276" i="8" s="1"/>
  <c r="V277" i="8"/>
  <c r="T277" i="8" s="1"/>
  <c r="V278" i="8"/>
  <c r="W278" i="8" s="1"/>
  <c r="V279" i="8"/>
  <c r="T279" i="8" s="1"/>
  <c r="V280" i="8"/>
  <c r="W280" i="8" s="1"/>
  <c r="V281" i="8"/>
  <c r="T281" i="8" s="1"/>
  <c r="V282" i="8"/>
  <c r="W282" i="8" s="1"/>
  <c r="V283" i="8"/>
  <c r="T283" i="8" s="1"/>
  <c r="V284" i="8"/>
  <c r="W284" i="8" s="1"/>
  <c r="V285" i="8"/>
  <c r="T285" i="8" s="1"/>
  <c r="V286" i="8"/>
  <c r="W286" i="8" s="1"/>
  <c r="V287" i="8"/>
  <c r="T287" i="8" s="1"/>
  <c r="V288" i="8"/>
  <c r="W288" i="8" s="1"/>
  <c r="V289" i="8"/>
  <c r="T289" i="8" s="1"/>
  <c r="V290" i="8"/>
  <c r="W290" i="8" s="1"/>
  <c r="V291" i="8"/>
  <c r="T291" i="8" s="1"/>
  <c r="V292" i="8"/>
  <c r="W292" i="8" s="1"/>
  <c r="V293" i="8"/>
  <c r="T293" i="8" s="1"/>
  <c r="V294" i="8"/>
  <c r="W294" i="8" s="1"/>
  <c r="V295" i="8"/>
  <c r="T295" i="8" s="1"/>
  <c r="V296" i="8"/>
  <c r="W296" i="8" s="1"/>
  <c r="V297" i="8"/>
  <c r="T297" i="8" s="1"/>
  <c r="V298" i="8"/>
  <c r="W298" i="8" s="1"/>
  <c r="V299" i="8"/>
  <c r="T299" i="8" s="1"/>
  <c r="V300" i="8"/>
  <c r="W300" i="8" s="1"/>
  <c r="V301" i="8"/>
  <c r="T301" i="8" s="1"/>
  <c r="V302" i="8"/>
  <c r="W302" i="8" s="1"/>
  <c r="V303" i="8"/>
  <c r="T303" i="8" s="1"/>
  <c r="V304" i="8"/>
  <c r="W304" i="8" s="1"/>
  <c r="V305" i="8"/>
  <c r="T305" i="8" s="1"/>
  <c r="V306" i="8"/>
  <c r="W306" i="8" s="1"/>
  <c r="V307" i="8"/>
  <c r="T307" i="8" s="1"/>
  <c r="V308" i="8"/>
  <c r="W308" i="8" s="1"/>
  <c r="V309" i="8"/>
  <c r="T309" i="8" s="1"/>
  <c r="V310" i="8"/>
  <c r="W310" i="8" s="1"/>
  <c r="V311" i="8"/>
  <c r="T311" i="8" s="1"/>
  <c r="V312" i="8"/>
  <c r="W312" i="8" s="1"/>
  <c r="V313" i="8"/>
  <c r="T313" i="8" s="1"/>
  <c r="V314" i="8"/>
  <c r="W314" i="8" s="1"/>
  <c r="V315" i="8"/>
  <c r="T315" i="8" s="1"/>
  <c r="V316" i="8"/>
  <c r="W316" i="8" s="1"/>
  <c r="V317" i="8"/>
  <c r="T317" i="8" s="1"/>
  <c r="V318" i="8"/>
  <c r="W318" i="8" s="1"/>
  <c r="V319" i="8"/>
  <c r="T319" i="8" s="1"/>
  <c r="V320" i="8"/>
  <c r="W320" i="8" s="1"/>
  <c r="V321" i="8"/>
  <c r="T321" i="8" s="1"/>
  <c r="V322" i="8"/>
  <c r="W322" i="8" s="1"/>
  <c r="V323" i="8"/>
  <c r="T323" i="8" s="1"/>
  <c r="V324" i="8"/>
  <c r="W324" i="8" s="1"/>
  <c r="V325" i="8"/>
  <c r="T325" i="8" s="1"/>
  <c r="V326" i="8"/>
  <c r="W326" i="8" s="1"/>
  <c r="V327" i="8"/>
  <c r="T327" i="8" s="1"/>
  <c r="V328" i="8"/>
  <c r="W328" i="8" s="1"/>
  <c r="V329" i="8"/>
  <c r="T329" i="8" s="1"/>
  <c r="V330" i="8"/>
  <c r="W330" i="8" s="1"/>
  <c r="V331" i="8"/>
  <c r="T331" i="8" s="1"/>
  <c r="V332" i="8"/>
  <c r="W332" i="8" s="1"/>
  <c r="V333" i="8"/>
  <c r="T333" i="8" s="1"/>
  <c r="V334" i="8"/>
  <c r="W334" i="8" s="1"/>
  <c r="V335" i="8"/>
  <c r="T335" i="8" s="1"/>
  <c r="V336" i="8"/>
  <c r="W336" i="8" s="1"/>
  <c r="V337" i="8"/>
  <c r="T337" i="8" s="1"/>
  <c r="V338" i="8"/>
  <c r="W338" i="8" s="1"/>
  <c r="V339" i="8"/>
  <c r="T339" i="8" s="1"/>
  <c r="V340" i="8"/>
  <c r="W340" i="8" s="1"/>
  <c r="V341" i="8"/>
  <c r="T341" i="8" s="1"/>
  <c r="V342" i="8"/>
  <c r="W342" i="8" s="1"/>
  <c r="V343" i="8"/>
  <c r="T343" i="8" s="1"/>
  <c r="V344" i="8"/>
  <c r="W344" i="8" s="1"/>
  <c r="V345" i="8"/>
  <c r="T345" i="8" s="1"/>
  <c r="V346" i="8"/>
  <c r="W346" i="8" s="1"/>
  <c r="V347" i="8"/>
  <c r="T347" i="8" s="1"/>
  <c r="V348" i="8"/>
  <c r="W348" i="8" s="1"/>
  <c r="V349" i="8"/>
  <c r="T349" i="8" s="1"/>
  <c r="V350" i="8"/>
  <c r="W350" i="8" s="1"/>
  <c r="V351" i="8"/>
  <c r="T351" i="8" s="1"/>
  <c r="V352" i="8"/>
  <c r="W352" i="8" s="1"/>
  <c r="V353" i="8"/>
  <c r="T353" i="8" s="1"/>
  <c r="V354" i="8"/>
  <c r="W354" i="8" s="1"/>
  <c r="V355" i="8"/>
  <c r="T355" i="8" s="1"/>
  <c r="V356" i="8"/>
  <c r="W356" i="8" s="1"/>
  <c r="V357" i="8"/>
  <c r="T357" i="8" s="1"/>
  <c r="V358" i="8"/>
  <c r="W358" i="8" s="1"/>
  <c r="V359" i="8"/>
  <c r="T359" i="8" s="1"/>
  <c r="V360" i="8"/>
  <c r="W360" i="8" s="1"/>
  <c r="V361" i="8"/>
  <c r="T361" i="8" s="1"/>
  <c r="V362" i="8"/>
  <c r="W362" i="8" s="1"/>
  <c r="V363" i="8"/>
  <c r="T363" i="8" s="1"/>
  <c r="V364" i="8"/>
  <c r="W364" i="8" s="1"/>
  <c r="V365" i="8"/>
  <c r="T365" i="8" s="1"/>
  <c r="V366" i="8"/>
  <c r="W366" i="8" s="1"/>
  <c r="V367" i="8"/>
  <c r="T367" i="8" s="1"/>
  <c r="V368" i="8"/>
  <c r="W368" i="8" s="1"/>
  <c r="V369" i="8"/>
  <c r="T369" i="8" s="1"/>
  <c r="V370" i="8"/>
  <c r="W370" i="8" s="1"/>
  <c r="V371" i="8"/>
  <c r="T371" i="8" s="1"/>
  <c r="V372" i="8"/>
  <c r="W372" i="8" s="1"/>
  <c r="V373" i="8"/>
  <c r="T373" i="8" s="1"/>
  <c r="V374" i="8"/>
  <c r="W374" i="8" s="1"/>
  <c r="V375" i="8"/>
  <c r="T375" i="8" s="1"/>
  <c r="V376" i="8"/>
  <c r="W376" i="8" s="1"/>
  <c r="V377" i="8"/>
  <c r="T377" i="8" s="1"/>
  <c r="V378" i="8"/>
  <c r="W378" i="8" s="1"/>
  <c r="V379" i="8"/>
  <c r="T379" i="8" s="1"/>
  <c r="V380" i="8"/>
  <c r="W380" i="8" s="1"/>
  <c r="V381" i="8"/>
  <c r="T381" i="8" s="1"/>
  <c r="V382" i="8"/>
  <c r="W382" i="8" s="1"/>
  <c r="V383" i="8"/>
  <c r="T383" i="8" s="1"/>
  <c r="V384" i="8"/>
  <c r="W384" i="8" s="1"/>
  <c r="V385" i="8"/>
  <c r="T385" i="8" s="1"/>
  <c r="V386" i="8"/>
  <c r="W386" i="8" s="1"/>
  <c r="V387" i="8"/>
  <c r="T387" i="8" s="1"/>
  <c r="V388" i="8"/>
  <c r="W388" i="8" s="1"/>
  <c r="V389" i="8"/>
  <c r="T389" i="8" s="1"/>
  <c r="V390" i="8"/>
  <c r="W390" i="8" s="1"/>
  <c r="V391" i="8"/>
  <c r="T391" i="8" s="1"/>
  <c r="V392" i="8"/>
  <c r="W392" i="8" s="1"/>
  <c r="V393" i="8"/>
  <c r="T393" i="8" s="1"/>
  <c r="V394" i="8"/>
  <c r="W394" i="8" s="1"/>
  <c r="V395" i="8"/>
  <c r="T395" i="8" s="1"/>
  <c r="V396" i="8"/>
  <c r="W396" i="8" s="1"/>
  <c r="V397" i="8"/>
  <c r="T397" i="8" s="1"/>
  <c r="V398" i="8"/>
  <c r="W398" i="8" s="1"/>
  <c r="V399" i="8"/>
  <c r="T399" i="8" s="1"/>
  <c r="V400" i="8"/>
  <c r="W400" i="8" s="1"/>
  <c r="V401" i="8"/>
  <c r="T401" i="8" s="1"/>
  <c r="V402" i="8"/>
  <c r="W402" i="8" s="1"/>
  <c r="V403" i="8"/>
  <c r="T403" i="8" s="1"/>
  <c r="V404" i="8"/>
  <c r="W404" i="8" s="1"/>
  <c r="V405" i="8"/>
  <c r="T405" i="8" s="1"/>
  <c r="V406" i="8"/>
  <c r="W406" i="8" s="1"/>
  <c r="V408" i="8"/>
  <c r="W408" i="8" s="1"/>
  <c r="V409" i="8"/>
  <c r="T409" i="8" s="1"/>
  <c r="V410" i="8"/>
  <c r="W410" i="8" s="1"/>
  <c r="V411" i="8"/>
  <c r="T411" i="8" s="1"/>
  <c r="V412" i="8"/>
  <c r="W412" i="8" s="1"/>
  <c r="V413" i="8"/>
  <c r="T413" i="8" s="1"/>
  <c r="V414" i="8"/>
  <c r="W414" i="8" s="1"/>
  <c r="V415" i="8"/>
  <c r="T415" i="8" s="1"/>
  <c r="V416" i="8"/>
  <c r="W416" i="8" s="1"/>
  <c r="V417" i="8"/>
  <c r="T417" i="8" s="1"/>
  <c r="V418" i="8"/>
  <c r="W418" i="8" s="1"/>
  <c r="V419" i="8"/>
  <c r="T419" i="8" s="1"/>
  <c r="V420" i="8"/>
  <c r="W420" i="8" s="1"/>
  <c r="V421" i="8"/>
  <c r="T421" i="8" s="1"/>
  <c r="V422" i="8"/>
  <c r="W422" i="8" s="1"/>
  <c r="V423" i="8"/>
  <c r="T423" i="8" s="1"/>
  <c r="V424" i="8"/>
  <c r="W424" i="8" s="1"/>
  <c r="V425" i="8"/>
  <c r="T425" i="8" s="1"/>
  <c r="V426" i="8"/>
  <c r="W426" i="8" s="1"/>
  <c r="V427" i="8"/>
  <c r="T427" i="8" s="1"/>
  <c r="V428" i="8"/>
  <c r="W428" i="8" s="1"/>
  <c r="V429" i="8"/>
  <c r="T429" i="8" s="1"/>
  <c r="V430" i="8"/>
  <c r="W430" i="8" s="1"/>
  <c r="V431" i="8"/>
  <c r="T431" i="8" s="1"/>
  <c r="V432" i="8"/>
  <c r="W432" i="8" s="1"/>
  <c r="V433" i="8"/>
  <c r="T433" i="8" s="1"/>
  <c r="V434" i="8"/>
  <c r="W434" i="8" s="1"/>
  <c r="V435" i="8"/>
  <c r="T435" i="8" s="1"/>
  <c r="V436" i="8"/>
  <c r="W436" i="8" s="1"/>
  <c r="V437" i="8"/>
  <c r="T437" i="8" s="1"/>
  <c r="V438" i="8"/>
  <c r="W438" i="8" s="1"/>
  <c r="V439" i="8"/>
  <c r="T439" i="8" s="1"/>
  <c r="V440" i="8"/>
  <c r="W440" i="8" s="1"/>
  <c r="V441" i="8"/>
  <c r="T441" i="8" s="1"/>
  <c r="V442" i="8"/>
  <c r="W442" i="8" s="1"/>
  <c r="V443" i="8"/>
  <c r="T443" i="8" s="1"/>
  <c r="V444" i="8"/>
  <c r="W444" i="8" s="1"/>
  <c r="V445" i="8"/>
  <c r="T445" i="8" s="1"/>
  <c r="V446" i="8"/>
  <c r="W446" i="8" s="1"/>
  <c r="V447" i="8"/>
  <c r="T447" i="8" s="1"/>
  <c r="V448" i="8"/>
  <c r="W448" i="8" s="1"/>
  <c r="V449" i="8"/>
  <c r="T449" i="8" s="1"/>
  <c r="V450" i="8"/>
  <c r="W450" i="8" s="1"/>
  <c r="V451" i="8"/>
  <c r="T451" i="8" s="1"/>
  <c r="V452" i="8"/>
  <c r="W452" i="8" s="1"/>
  <c r="V453" i="8"/>
  <c r="T453" i="8" s="1"/>
  <c r="V454" i="8"/>
  <c r="W454" i="8" s="1"/>
  <c r="V455" i="8"/>
  <c r="T455" i="8" s="1"/>
  <c r="V456" i="8"/>
  <c r="W456" i="8" s="1"/>
  <c r="V457" i="8"/>
  <c r="T457" i="8" s="1"/>
  <c r="V458" i="8"/>
  <c r="W458" i="8" s="1"/>
  <c r="V459" i="8"/>
  <c r="T459" i="8" s="1"/>
  <c r="V460" i="8"/>
  <c r="W460" i="8" s="1"/>
  <c r="V461" i="8"/>
  <c r="T461" i="8" s="1"/>
  <c r="V462" i="8"/>
  <c r="W462" i="8" s="1"/>
  <c r="V463" i="8"/>
  <c r="T463" i="8" s="1"/>
  <c r="V464" i="8"/>
  <c r="W464" i="8" s="1"/>
  <c r="V465" i="8"/>
  <c r="T465" i="8" s="1"/>
  <c r="V466" i="8"/>
  <c r="W466" i="8" s="1"/>
  <c r="V467" i="8"/>
  <c r="T467" i="8" s="1"/>
  <c r="V468" i="8"/>
  <c r="W468" i="8" s="1"/>
  <c r="V469" i="8"/>
  <c r="T469" i="8" s="1"/>
  <c r="V470" i="8"/>
  <c r="W470" i="8" s="1"/>
  <c r="V471" i="8"/>
  <c r="T471" i="8" s="1"/>
  <c r="V472" i="8"/>
  <c r="W472" i="8" s="1"/>
  <c r="V473" i="8"/>
  <c r="T473" i="8" s="1"/>
  <c r="V474" i="8"/>
  <c r="W474" i="8" s="1"/>
  <c r="V475" i="8"/>
  <c r="T475" i="8" s="1"/>
  <c r="V476" i="8"/>
  <c r="W476" i="8" s="1"/>
  <c r="V477" i="8"/>
  <c r="T477" i="8" s="1"/>
  <c r="V478" i="8"/>
  <c r="W478" i="8" s="1"/>
  <c r="V479" i="8"/>
  <c r="T479" i="8" s="1"/>
  <c r="V480" i="8"/>
  <c r="W480" i="8" s="1"/>
  <c r="V481" i="8"/>
  <c r="T481" i="8" s="1"/>
  <c r="V482" i="8"/>
  <c r="W482" i="8" s="1"/>
  <c r="V483" i="8"/>
  <c r="T483" i="8" s="1"/>
  <c r="V484" i="8"/>
  <c r="W484" i="8" s="1"/>
  <c r="V485" i="8"/>
  <c r="T485" i="8" s="1"/>
  <c r="V486" i="8"/>
  <c r="W486" i="8" s="1"/>
  <c r="V487" i="8"/>
  <c r="T487" i="8" s="1"/>
  <c r="V489" i="8"/>
  <c r="T489" i="8" s="1"/>
  <c r="V490" i="8"/>
  <c r="W490" i="8" s="1"/>
  <c r="V491" i="8"/>
  <c r="T491" i="8" s="1"/>
  <c r="V492" i="8"/>
  <c r="W492" i="8" s="1"/>
  <c r="V493" i="8"/>
  <c r="T493" i="8" s="1"/>
  <c r="V494" i="8"/>
  <c r="W494" i="8" s="1"/>
  <c r="V495" i="8"/>
  <c r="T495" i="8" s="1"/>
  <c r="V496" i="8"/>
  <c r="W496" i="8" s="1"/>
  <c r="V497" i="8"/>
  <c r="T497" i="8" s="1"/>
  <c r="V498" i="8"/>
  <c r="W498" i="8" s="1"/>
  <c r="V499" i="8"/>
  <c r="T499" i="8" s="1"/>
  <c r="V500" i="8"/>
  <c r="W500" i="8" s="1"/>
  <c r="V501" i="8"/>
  <c r="T501" i="8" s="1"/>
  <c r="V502" i="8"/>
  <c r="W502" i="8" s="1"/>
  <c r="V503" i="8"/>
  <c r="T503" i="8" s="1"/>
  <c r="V504" i="8"/>
  <c r="W504" i="8" s="1"/>
  <c r="V505" i="8"/>
  <c r="T505" i="8" s="1"/>
  <c r="V506" i="8"/>
  <c r="W506" i="8" s="1"/>
  <c r="V507" i="8"/>
  <c r="T507" i="8" s="1"/>
  <c r="V508" i="8"/>
  <c r="W508" i="8" s="1"/>
  <c r="V509" i="8"/>
  <c r="T509" i="8" s="1"/>
  <c r="V510" i="8"/>
  <c r="W510" i="8" s="1"/>
  <c r="V511" i="8"/>
  <c r="T511" i="8" s="1"/>
  <c r="V512" i="8"/>
  <c r="W512" i="8" s="1"/>
  <c r="V513" i="8"/>
  <c r="T513" i="8" s="1"/>
  <c r="V514" i="8"/>
  <c r="W514" i="8" s="1"/>
  <c r="V515" i="8"/>
  <c r="T515" i="8" s="1"/>
  <c r="V516" i="8"/>
  <c r="W516" i="8" s="1"/>
  <c r="V517" i="8"/>
  <c r="T517" i="8" s="1"/>
  <c r="V518" i="8"/>
  <c r="W518" i="8" s="1"/>
  <c r="V519" i="8"/>
  <c r="T519" i="8" s="1"/>
  <c r="V520" i="8"/>
  <c r="W520" i="8" s="1"/>
  <c r="V521" i="8"/>
  <c r="T521" i="8" s="1"/>
  <c r="V522" i="8"/>
  <c r="W522" i="8" s="1"/>
  <c r="V523" i="8"/>
  <c r="T523" i="8" s="1"/>
  <c r="V524" i="8"/>
  <c r="W524" i="8" s="1"/>
  <c r="V525" i="8"/>
  <c r="T525" i="8" s="1"/>
  <c r="V526" i="8"/>
  <c r="W526" i="8" s="1"/>
  <c r="V527" i="8"/>
  <c r="T527" i="8" s="1"/>
  <c r="V528" i="8"/>
  <c r="W528" i="8" s="1"/>
  <c r="V529" i="8"/>
  <c r="T529" i="8" s="1"/>
  <c r="V530" i="8"/>
  <c r="W530" i="8" s="1"/>
  <c r="V531" i="8"/>
  <c r="T531" i="8" s="1"/>
  <c r="V532" i="8"/>
  <c r="W532" i="8" s="1"/>
  <c r="V533" i="8"/>
  <c r="T533" i="8" s="1"/>
  <c r="V534" i="8"/>
  <c r="W534" i="8" s="1"/>
  <c r="V535" i="8"/>
  <c r="T535" i="8" s="1"/>
  <c r="V536" i="8"/>
  <c r="W536" i="8" s="1"/>
  <c r="V537" i="8"/>
  <c r="T537" i="8" s="1"/>
  <c r="V538" i="8"/>
  <c r="W538" i="8" s="1"/>
  <c r="V539" i="8"/>
  <c r="T539" i="8" s="1"/>
  <c r="V540" i="8"/>
  <c r="W540" i="8" s="1"/>
  <c r="V541" i="8"/>
  <c r="T541" i="8" s="1"/>
  <c r="V542" i="8"/>
  <c r="W542" i="8" s="1"/>
  <c r="V543" i="8"/>
  <c r="T543" i="8" s="1"/>
  <c r="V544" i="8"/>
  <c r="W544" i="8" s="1"/>
  <c r="V545" i="8"/>
  <c r="T545" i="8" s="1"/>
  <c r="V546" i="8"/>
  <c r="W546" i="8" s="1"/>
  <c r="V547" i="8"/>
  <c r="T547" i="8" s="1"/>
  <c r="V548" i="8"/>
  <c r="W548" i="8" s="1"/>
  <c r="V549" i="8"/>
  <c r="T549" i="8" s="1"/>
  <c r="V550" i="8"/>
  <c r="W550" i="8" s="1"/>
  <c r="V551" i="8"/>
  <c r="T551" i="8" s="1"/>
  <c r="V552" i="8"/>
  <c r="W552" i="8" s="1"/>
  <c r="V553" i="8"/>
  <c r="T553" i="8" s="1"/>
  <c r="V554" i="8"/>
  <c r="W554" i="8" s="1"/>
  <c r="V555" i="8"/>
  <c r="T555" i="8" s="1"/>
  <c r="V556" i="8"/>
  <c r="W556" i="8" s="1"/>
  <c r="V557" i="8"/>
  <c r="T557" i="8" s="1"/>
  <c r="V558" i="8"/>
  <c r="W558" i="8" s="1"/>
  <c r="V670" i="8"/>
  <c r="W670" i="8" s="1"/>
  <c r="V671" i="8"/>
  <c r="T671" i="8" s="1"/>
  <c r="V672" i="8"/>
  <c r="W672" i="8" s="1"/>
  <c r="V673" i="8"/>
  <c r="T673" i="8" s="1"/>
  <c r="V674" i="8"/>
  <c r="W674" i="8" s="1"/>
  <c r="V675" i="8"/>
  <c r="T675" i="8" s="1"/>
  <c r="V676" i="8"/>
  <c r="W676" i="8" s="1"/>
  <c r="V677" i="8"/>
  <c r="T677" i="8" s="1"/>
  <c r="V678" i="8"/>
  <c r="W678" i="8" s="1"/>
  <c r="V679" i="8"/>
  <c r="T679" i="8" s="1"/>
  <c r="V680" i="8"/>
  <c r="W680" i="8" s="1"/>
  <c r="V681" i="8"/>
  <c r="T681" i="8" s="1"/>
  <c r="V682" i="8"/>
  <c r="W682" i="8" s="1"/>
  <c r="V683" i="8"/>
  <c r="T683" i="8" s="1"/>
  <c r="V684" i="8"/>
  <c r="W684" i="8" s="1"/>
  <c r="V685" i="8"/>
  <c r="T685" i="8" s="1"/>
  <c r="V686" i="8"/>
  <c r="W686" i="8" s="1"/>
  <c r="V687" i="8"/>
  <c r="T687" i="8" s="1"/>
  <c r="V688" i="8"/>
  <c r="W688" i="8" s="1"/>
  <c r="V689" i="8"/>
  <c r="T689" i="8" s="1"/>
  <c r="V690" i="8"/>
  <c r="W690" i="8" s="1"/>
  <c r="V691" i="8"/>
  <c r="T691" i="8" s="1"/>
  <c r="V692" i="8"/>
  <c r="W692" i="8" s="1"/>
  <c r="V693" i="8"/>
  <c r="T693" i="8" s="1"/>
  <c r="V694" i="8"/>
  <c r="W694" i="8" s="1"/>
  <c r="V696" i="8"/>
  <c r="W696" i="8" s="1"/>
  <c r="V697" i="8"/>
  <c r="T697" i="8" s="1"/>
  <c r="V698" i="8"/>
  <c r="W698" i="8" s="1"/>
  <c r="V699" i="8"/>
  <c r="T699" i="8" s="1"/>
  <c r="V700" i="8"/>
  <c r="W700" i="8" s="1"/>
  <c r="V701" i="8"/>
  <c r="T701" i="8" s="1"/>
  <c r="V702" i="8"/>
  <c r="W702" i="8" s="1"/>
  <c r="V703" i="8"/>
  <c r="T703" i="8" s="1"/>
  <c r="V704" i="8"/>
  <c r="W704" i="8" s="1"/>
  <c r="V705" i="8"/>
  <c r="T705" i="8" s="1"/>
  <c r="V706" i="8"/>
  <c r="W706" i="8" s="1"/>
  <c r="V707" i="8"/>
  <c r="T707" i="8" s="1"/>
  <c r="V708" i="8"/>
  <c r="W708" i="8" s="1"/>
  <c r="V709" i="8"/>
  <c r="T709" i="8" s="1"/>
  <c r="V710" i="8"/>
  <c r="W710" i="8" s="1"/>
  <c r="V711" i="8"/>
  <c r="T711" i="8" s="1"/>
  <c r="V712" i="8"/>
  <c r="W712" i="8" s="1"/>
  <c r="V713" i="8"/>
  <c r="T713" i="8" s="1"/>
  <c r="V714" i="8"/>
  <c r="W714" i="8" s="1"/>
  <c r="V715" i="8"/>
  <c r="T715" i="8" s="1"/>
  <c r="V716" i="8"/>
  <c r="W716" i="8" s="1"/>
  <c r="V717" i="8"/>
  <c r="T717" i="8" s="1"/>
  <c r="V718" i="8"/>
  <c r="W718" i="8" s="1"/>
  <c r="V719" i="8"/>
  <c r="T719" i="8" s="1"/>
  <c r="V720" i="8"/>
  <c r="W720" i="8" s="1"/>
  <c r="V721" i="8"/>
  <c r="T721" i="8" s="1"/>
  <c r="V722" i="8"/>
  <c r="W722" i="8" s="1"/>
  <c r="V723" i="8"/>
  <c r="T723" i="8" s="1"/>
  <c r="V724" i="8"/>
  <c r="W724" i="8" s="1"/>
  <c r="V725" i="8"/>
  <c r="T725" i="8" s="1"/>
  <c r="V726" i="8"/>
  <c r="W726" i="8" s="1"/>
  <c r="V727" i="8"/>
  <c r="T727" i="8" s="1"/>
  <c r="V728" i="8"/>
  <c r="W728" i="8" s="1"/>
  <c r="V729" i="8"/>
  <c r="T729" i="8" s="1"/>
  <c r="V730" i="8"/>
  <c r="W730" i="8" s="1"/>
  <c r="V731" i="8"/>
  <c r="T731" i="8" s="1"/>
  <c r="V732" i="8"/>
  <c r="W732" i="8" s="1"/>
  <c r="V733" i="8"/>
  <c r="T733" i="8" s="1"/>
  <c r="V734" i="8"/>
  <c r="W734" i="8" s="1"/>
  <c r="V735" i="8"/>
  <c r="T735" i="8" s="1"/>
  <c r="V736" i="8"/>
  <c r="W736" i="8" s="1"/>
  <c r="V737" i="8"/>
  <c r="T737" i="8" s="1"/>
  <c r="V738" i="8"/>
  <c r="W738" i="8" s="1"/>
  <c r="V739" i="8"/>
  <c r="T739" i="8" s="1"/>
  <c r="V740" i="8"/>
  <c r="W740" i="8" s="1"/>
  <c r="V741" i="8"/>
  <c r="T741" i="8" s="1"/>
  <c r="V742" i="8"/>
  <c r="W742" i="8" s="1"/>
  <c r="V743" i="8"/>
  <c r="T743" i="8" s="1"/>
  <c r="V744" i="8"/>
  <c r="W744" i="8" s="1"/>
  <c r="V745" i="8"/>
  <c r="T745" i="8" s="1"/>
  <c r="V746" i="8"/>
  <c r="W746" i="8" s="1"/>
  <c r="V747" i="8"/>
  <c r="T747" i="8" s="1"/>
  <c r="V748" i="8"/>
  <c r="W748" i="8" s="1"/>
  <c r="V749" i="8"/>
  <c r="T749" i="8" s="1"/>
  <c r="V750" i="8"/>
  <c r="W750" i="8" s="1"/>
  <c r="V751" i="8"/>
  <c r="T751" i="8" s="1"/>
  <c r="V752" i="8"/>
  <c r="W752" i="8" s="1"/>
  <c r="V753" i="8"/>
  <c r="T753" i="8" s="1"/>
  <c r="V754" i="8"/>
  <c r="W754" i="8" s="1"/>
  <c r="V755" i="8"/>
  <c r="T755" i="8" s="1"/>
  <c r="V756" i="8"/>
  <c r="W756" i="8" s="1"/>
  <c r="V757" i="8"/>
  <c r="T757" i="8" s="1"/>
  <c r="V758" i="8"/>
  <c r="W758" i="8" s="1"/>
  <c r="V759" i="8"/>
  <c r="T759" i="8" s="1"/>
  <c r="V760" i="8"/>
  <c r="W760" i="8" s="1"/>
  <c r="V761" i="8"/>
  <c r="T761" i="8" s="1"/>
  <c r="V762" i="8"/>
  <c r="W762" i="8" s="1"/>
  <c r="V763" i="8"/>
  <c r="T763" i="8" s="1"/>
  <c r="V764" i="8"/>
  <c r="W764" i="8" s="1"/>
  <c r="V765" i="8"/>
  <c r="T765" i="8" s="1"/>
  <c r="V766" i="8"/>
  <c r="W766" i="8" s="1"/>
  <c r="V767" i="8"/>
  <c r="T767" i="8" s="1"/>
  <c r="V768" i="8"/>
  <c r="W768" i="8" s="1"/>
  <c r="V769" i="8"/>
  <c r="T769" i="8" s="1"/>
  <c r="V770" i="8"/>
  <c r="V771" i="8"/>
  <c r="V772" i="8"/>
  <c r="V773" i="8"/>
  <c r="V774" i="8"/>
  <c r="V775" i="8"/>
  <c r="V777" i="8"/>
  <c r="T777" i="8" s="1"/>
  <c r="V778" i="8"/>
  <c r="V779" i="8"/>
  <c r="T779" i="8" s="1"/>
  <c r="V780" i="8"/>
  <c r="T780" i="8" s="1"/>
  <c r="V781" i="8"/>
  <c r="V782" i="8"/>
  <c r="T782" i="8" s="1"/>
  <c r="V783" i="8"/>
  <c r="R783" i="8" s="1"/>
  <c r="S783" i="8" s="1"/>
  <c r="V784" i="8"/>
  <c r="V785" i="8"/>
  <c r="T785" i="8" s="1"/>
  <c r="V786" i="8"/>
  <c r="V787" i="8"/>
  <c r="T787" i="8" s="1"/>
  <c r="V788" i="8"/>
  <c r="T788" i="8" s="1"/>
  <c r="V789" i="8"/>
  <c r="V790" i="8"/>
  <c r="T790" i="8" s="1"/>
  <c r="V791" i="8"/>
  <c r="R791" i="8" s="1"/>
  <c r="V792" i="8"/>
  <c r="V793" i="8"/>
  <c r="T793" i="8" s="1"/>
  <c r="V794" i="8"/>
  <c r="V795" i="8"/>
  <c r="T795" i="8" s="1"/>
  <c r="V796" i="8"/>
  <c r="T796" i="8" s="1"/>
  <c r="V797" i="8"/>
  <c r="V798" i="8"/>
  <c r="T798" i="8" s="1"/>
  <c r="V799" i="8"/>
  <c r="R799" i="8" s="1"/>
  <c r="S799" i="8" s="1"/>
  <c r="V800" i="8"/>
  <c r="V801" i="8"/>
  <c r="T801" i="8" s="1"/>
  <c r="V802" i="8"/>
  <c r="V803" i="8"/>
  <c r="T803" i="8" s="1"/>
  <c r="V804" i="8"/>
  <c r="T804" i="8" s="1"/>
  <c r="V805" i="8"/>
  <c r="V806" i="8"/>
  <c r="T806" i="8" s="1"/>
  <c r="V807" i="8"/>
  <c r="R807" i="8" s="1"/>
  <c r="S807" i="8" s="1"/>
  <c r="V808" i="8"/>
  <c r="V809" i="8"/>
  <c r="T809" i="8" s="1"/>
  <c r="V810" i="8"/>
  <c r="V811" i="8"/>
  <c r="T811" i="8" s="1"/>
  <c r="V812" i="8"/>
  <c r="T812" i="8" s="1"/>
  <c r="V813" i="8"/>
  <c r="V814" i="8"/>
  <c r="T814" i="8" s="1"/>
  <c r="V815" i="8"/>
  <c r="R815" i="8" s="1"/>
  <c r="S815" i="8" s="1"/>
  <c r="V816" i="8"/>
  <c r="V817" i="8"/>
  <c r="T817" i="8" s="1"/>
  <c r="V818" i="8"/>
  <c r="V819" i="8"/>
  <c r="T819" i="8" s="1"/>
  <c r="V820" i="8"/>
  <c r="T820" i="8" s="1"/>
  <c r="V821" i="8"/>
  <c r="V822" i="8"/>
  <c r="T822" i="8" s="1"/>
  <c r="V823" i="8"/>
  <c r="R823" i="8" s="1"/>
  <c r="S823" i="8" s="1"/>
  <c r="V824" i="8"/>
  <c r="V825" i="8"/>
  <c r="T825" i="8" s="1"/>
  <c r="V826" i="8"/>
  <c r="V827" i="8"/>
  <c r="T827" i="8" s="1"/>
  <c r="V828" i="8"/>
  <c r="T828" i="8" s="1"/>
  <c r="V829" i="8"/>
  <c r="V830" i="8"/>
  <c r="T830" i="8" s="1"/>
  <c r="V831" i="8"/>
  <c r="R831" i="8" s="1"/>
  <c r="S831" i="8" s="1"/>
  <c r="V832" i="8"/>
  <c r="R832" i="8" s="1"/>
  <c r="S832" i="8" s="1"/>
  <c r="V833" i="8"/>
  <c r="V834" i="8"/>
  <c r="R834" i="8" s="1"/>
  <c r="S834" i="8" s="1"/>
  <c r="V835" i="8"/>
  <c r="V836" i="8"/>
  <c r="T836" i="8" s="1"/>
  <c r="V837" i="8"/>
  <c r="T837" i="8" s="1"/>
  <c r="V838" i="8"/>
  <c r="V839" i="8"/>
  <c r="T839" i="8" s="1"/>
  <c r="V840" i="8"/>
  <c r="V841" i="8"/>
  <c r="T841" i="8" s="1"/>
  <c r="V842" i="8"/>
  <c r="V843" i="8"/>
  <c r="T843" i="8" s="1"/>
  <c r="V844" i="8"/>
  <c r="V845" i="8"/>
  <c r="T845" i="8" s="1"/>
  <c r="V846" i="8"/>
  <c r="R846" i="8" s="1"/>
  <c r="S846" i="8" s="1"/>
  <c r="V847" i="8"/>
  <c r="V848" i="8"/>
  <c r="R848" i="8" s="1"/>
  <c r="S848" i="8" s="1"/>
  <c r="V849" i="8"/>
  <c r="V850" i="8"/>
  <c r="T850" i="8" s="1"/>
  <c r="V851" i="8"/>
  <c r="T851" i="8" s="1"/>
  <c r="V852" i="8"/>
  <c r="T852" i="8" s="1"/>
  <c r="V853" i="8"/>
  <c r="V854" i="8"/>
  <c r="T854" i="8" s="1"/>
  <c r="V855" i="8"/>
  <c r="R855" i="8" s="1"/>
  <c r="S855" i="8" s="1"/>
  <c r="V856" i="8"/>
  <c r="V857" i="8"/>
  <c r="U857" i="8" s="1"/>
  <c r="V858" i="8"/>
  <c r="T858" i="8" s="1"/>
  <c r="V859" i="8"/>
  <c r="W859" i="8" s="1"/>
  <c r="V861" i="8"/>
  <c r="W861" i="8" s="1"/>
  <c r="V862" i="8"/>
  <c r="T862" i="8" s="1"/>
  <c r="V863" i="8"/>
  <c r="W863" i="8" s="1"/>
  <c r="V864" i="8"/>
  <c r="T864" i="8" s="1"/>
  <c r="V865" i="8"/>
  <c r="W865" i="8" s="1"/>
  <c r="V866" i="8"/>
  <c r="T866" i="8" s="1"/>
  <c r="V867" i="8"/>
  <c r="W867" i="8" s="1"/>
  <c r="V868" i="8"/>
  <c r="T868" i="8" s="1"/>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5" i="8"/>
  <c r="T1015" i="8" s="1"/>
  <c r="V1016" i="8"/>
  <c r="V1017" i="8"/>
  <c r="T1017" i="8" s="1"/>
  <c r="V1018" i="8"/>
  <c r="R1018" i="8" s="1"/>
  <c r="S1018" i="8" s="1"/>
  <c r="V1019" i="8"/>
  <c r="V1020" i="8"/>
  <c r="R1020" i="8" s="1"/>
  <c r="S1020" i="8" s="1"/>
  <c r="V1021" i="8"/>
  <c r="V1022" i="8"/>
  <c r="T1022" i="8" s="1"/>
  <c r="V1023" i="8"/>
  <c r="T1023" i="8" s="1"/>
  <c r="V1024" i="8"/>
  <c r="V1025" i="8"/>
  <c r="T1025" i="8" s="1"/>
  <c r="V1026" i="8"/>
  <c r="R1026" i="8" s="1"/>
  <c r="S1026" i="8" s="1"/>
  <c r="V1027" i="8"/>
  <c r="V1028" i="8"/>
  <c r="R1028" i="8" s="1"/>
  <c r="S1028" i="8" s="1"/>
  <c r="V1029" i="8"/>
  <c r="V1030" i="8"/>
  <c r="T1030" i="8" s="1"/>
  <c r="V1031" i="8"/>
  <c r="T1031" i="8" s="1"/>
  <c r="V1032" i="8"/>
  <c r="V1033" i="8"/>
  <c r="T1033" i="8" s="1"/>
  <c r="V1034" i="8"/>
  <c r="R1034" i="8" s="1"/>
  <c r="S1034" i="8" s="1"/>
  <c r="V1035" i="8"/>
  <c r="V1036" i="8"/>
  <c r="R1036" i="8" s="1"/>
  <c r="S1036" i="8" s="1"/>
  <c r="V1037" i="8"/>
  <c r="V1038" i="8"/>
  <c r="T1038" i="8" s="1"/>
  <c r="V1039" i="8"/>
  <c r="T1039" i="8" s="1"/>
  <c r="V1040" i="8"/>
  <c r="V1041" i="8"/>
  <c r="T1041" i="8" s="1"/>
  <c r="V1042" i="8"/>
  <c r="R1042" i="8" s="1"/>
  <c r="S1042" i="8" s="1"/>
  <c r="V1043" i="8"/>
  <c r="V1044" i="8"/>
  <c r="R1044" i="8" s="1"/>
  <c r="S1044" i="8" s="1"/>
  <c r="V1045" i="8"/>
  <c r="V1046" i="8"/>
  <c r="T1046" i="8" s="1"/>
  <c r="V1047" i="8"/>
  <c r="R1047" i="8" s="1"/>
  <c r="S1047" i="8" s="1"/>
  <c r="V1048" i="8"/>
  <c r="V1049" i="8"/>
  <c r="T1049" i="8" s="1"/>
  <c r="V1050" i="8"/>
  <c r="V1051" i="8"/>
  <c r="T1051" i="8" s="1"/>
  <c r="V1052" i="8"/>
  <c r="T1052" i="8" s="1"/>
  <c r="V1053" i="8"/>
  <c r="V1054" i="8"/>
  <c r="T1054" i="8" s="1"/>
  <c r="V1055" i="8"/>
  <c r="R1055" i="8" s="1"/>
  <c r="S1055" i="8" s="1"/>
  <c r="V1056" i="8"/>
  <c r="V1057" i="8"/>
  <c r="T1057" i="8" s="1"/>
  <c r="V1058" i="8"/>
  <c r="V1059" i="8"/>
  <c r="T1059" i="8" s="1"/>
  <c r="V1060" i="8"/>
  <c r="T1060" i="8" s="1"/>
  <c r="V1061" i="8"/>
  <c r="V1062" i="8"/>
  <c r="T1062" i="8" s="1"/>
  <c r="V1063" i="8"/>
  <c r="R1063" i="8" s="1"/>
  <c r="S1063" i="8" s="1"/>
  <c r="V1064" i="8"/>
  <c r="R1064" i="8" s="1"/>
  <c r="S1064" i="8" s="1"/>
  <c r="V1065" i="8"/>
  <c r="V1066" i="8"/>
  <c r="R1066" i="8" s="1"/>
  <c r="S1066" i="8" s="1"/>
  <c r="V1067" i="8"/>
  <c r="V1068" i="8"/>
  <c r="T1068" i="8" s="1"/>
  <c r="V1069" i="8"/>
  <c r="T1069" i="8" s="1"/>
  <c r="V1070" i="8"/>
  <c r="V1071" i="8"/>
  <c r="T1071" i="8" s="1"/>
  <c r="V1072" i="8"/>
  <c r="R1072" i="8" s="1"/>
  <c r="S1072" i="8" s="1"/>
  <c r="V1073" i="8"/>
  <c r="V1074" i="8"/>
  <c r="R1074" i="8" s="1"/>
  <c r="S1074" i="8" s="1"/>
  <c r="V1075" i="8"/>
  <c r="V1076" i="8"/>
  <c r="T1076" i="8" s="1"/>
  <c r="V1077" i="8"/>
  <c r="T1077" i="8" s="1"/>
  <c r="V1078" i="8"/>
  <c r="V1079" i="8"/>
  <c r="T1079" i="8" s="1"/>
  <c r="V1080" i="8"/>
  <c r="R1080" i="8" s="1"/>
  <c r="S1080" i="8" s="1"/>
  <c r="V1081" i="8"/>
  <c r="V1082" i="8"/>
  <c r="R1082" i="8" s="1"/>
  <c r="S1082" i="8" s="1"/>
  <c r="V1083" i="8"/>
  <c r="V1084" i="8"/>
  <c r="T1084" i="8" s="1"/>
  <c r="V1085" i="8"/>
  <c r="R1085" i="8" s="1"/>
  <c r="S1085" i="8" s="1"/>
  <c r="V1086" i="8"/>
  <c r="V1087" i="8"/>
  <c r="T1087" i="8" s="1"/>
  <c r="V1088" i="8"/>
  <c r="V1089" i="8"/>
  <c r="T1089" i="8" s="1"/>
  <c r="V1090" i="8"/>
  <c r="T1090" i="8" s="1"/>
  <c r="V1091" i="8"/>
  <c r="V1092" i="8"/>
  <c r="T1092" i="8" s="1"/>
  <c r="V1093" i="8"/>
  <c r="R1093" i="8" s="1"/>
  <c r="S1093" i="8" s="1"/>
  <c r="V1094" i="8"/>
  <c r="V1095" i="8"/>
  <c r="T1095" i="8" s="1"/>
  <c r="V1096" i="8"/>
  <c r="V1097" i="8"/>
  <c r="T1097" i="8" s="1"/>
  <c r="V1098" i="8"/>
  <c r="T1098" i="8" s="1"/>
  <c r="V1099" i="8"/>
  <c r="V1100" i="8"/>
  <c r="T1100" i="8" s="1"/>
  <c r="V1101" i="8"/>
  <c r="R1101" i="8" s="1"/>
  <c r="S1101" i="8" s="1"/>
  <c r="V1102" i="8"/>
  <c r="V1103" i="8"/>
  <c r="T1103" i="8" s="1"/>
  <c r="V1104" i="8"/>
  <c r="V1105" i="8"/>
  <c r="T1105" i="8" s="1"/>
  <c r="V1106" i="8"/>
  <c r="T1106" i="8" s="1"/>
  <c r="V1107" i="8"/>
  <c r="V1108" i="8"/>
  <c r="T1108" i="8" s="1"/>
  <c r="V1109" i="8"/>
  <c r="R1109" i="8" s="1"/>
  <c r="S1109" i="8" s="1"/>
  <c r="V1110" i="8"/>
  <c r="V1111" i="8"/>
  <c r="T1111" i="8" s="1"/>
  <c r="V1112" i="8"/>
  <c r="V1113" i="8"/>
  <c r="T1113" i="8" s="1"/>
  <c r="V1114" i="8"/>
  <c r="T1114" i="8" s="1"/>
  <c r="V1115" i="8"/>
  <c r="V1116" i="8"/>
  <c r="T1116" i="8" s="1"/>
  <c r="V1117" i="8"/>
  <c r="R1117" i="8" s="1"/>
  <c r="S1117" i="8" s="1"/>
  <c r="V1118" i="8"/>
  <c r="W1120" i="8"/>
  <c r="U1120" i="8"/>
  <c r="T1120" i="8"/>
  <c r="T1121" i="8"/>
  <c r="T1122" i="8"/>
  <c r="T1123" i="8"/>
  <c r="T1124" i="8"/>
  <c r="T1125" i="8"/>
  <c r="P109" i="5" s="1"/>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P78" i="5" s="1"/>
  <c r="T1161" i="8"/>
  <c r="T1162" i="8"/>
  <c r="T1163" i="8"/>
  <c r="T1164" i="8"/>
  <c r="T1165" i="8"/>
  <c r="T1166" i="8"/>
  <c r="T1167" i="8"/>
  <c r="T1168" i="8"/>
  <c r="T1169" i="8"/>
  <c r="T1170" i="8"/>
  <c r="T1171" i="8"/>
  <c r="T1172" i="8"/>
  <c r="T1173" i="8"/>
  <c r="T1174" i="8"/>
  <c r="T1175" i="8"/>
  <c r="T1176" i="8"/>
  <c r="T1177" i="8"/>
  <c r="P79" i="5" s="1"/>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P80" i="5" s="1"/>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P81" i="5" s="1"/>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P54" i="5" s="1"/>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P55" i="5" s="1"/>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P56" i="5" s="1"/>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P57" i="5" s="1"/>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P35" i="5" s="1"/>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P36" i="5" s="1"/>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P37" i="5" s="1"/>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P90" i="5" s="1"/>
  <c r="P114" i="1" s="1"/>
  <c r="I16" i="1" s="1"/>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P91" i="5" s="1"/>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P92" i="5" s="1"/>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P93" i="5" s="1"/>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P85" i="5" s="1"/>
  <c r="T1821" i="8"/>
  <c r="T1822" i="8"/>
  <c r="T1823" i="8"/>
  <c r="T1824" i="8"/>
  <c r="T1825" i="8"/>
  <c r="T1826" i="8"/>
  <c r="T1827" i="8"/>
  <c r="T1828" i="8"/>
  <c r="T1829" i="8"/>
  <c r="T1830" i="8"/>
  <c r="T1831" i="8"/>
  <c r="T1832" i="8"/>
  <c r="T1833" i="8"/>
  <c r="T1834" i="8"/>
  <c r="T1835" i="8"/>
  <c r="T1836" i="8"/>
  <c r="T1837" i="8"/>
  <c r="T1838" i="8"/>
  <c r="T1839" i="8"/>
  <c r="T1840" i="8"/>
  <c r="T1961" i="8"/>
  <c r="T1962" i="8"/>
  <c r="T1963" i="8"/>
  <c r="T1964" i="8"/>
  <c r="T1965" i="8"/>
  <c r="T1966" i="8"/>
  <c r="T1967" i="8"/>
  <c r="T1968" i="8"/>
  <c r="T1969" i="8"/>
  <c r="T1970" i="8"/>
  <c r="O1524" i="8"/>
  <c r="R1524" i="8" s="1"/>
  <c r="S1524" i="8" s="1"/>
  <c r="U1524" i="8"/>
  <c r="W1524" i="8"/>
  <c r="O1525" i="8"/>
  <c r="R1525" i="8" s="1"/>
  <c r="S1525" i="8" s="1"/>
  <c r="U1525" i="8"/>
  <c r="W1525" i="8"/>
  <c r="O1526" i="8"/>
  <c r="R1526" i="8" s="1"/>
  <c r="S1526" i="8" s="1"/>
  <c r="U1526" i="8"/>
  <c r="W1526" i="8"/>
  <c r="O1527" i="8"/>
  <c r="R1527" i="8" s="1"/>
  <c r="S1527" i="8" s="1"/>
  <c r="U1527" i="8"/>
  <c r="W1527" i="8"/>
  <c r="O1528" i="8"/>
  <c r="R1528" i="8" s="1"/>
  <c r="S1528" i="8" s="1"/>
  <c r="U1528" i="8"/>
  <c r="W1528" i="8"/>
  <c r="O1529" i="8"/>
  <c r="R1529" i="8" s="1"/>
  <c r="S1529" i="8" s="1"/>
  <c r="U1529" i="8"/>
  <c r="W1529" i="8"/>
  <c r="O1530" i="8"/>
  <c r="R1530" i="8" s="1"/>
  <c r="S1530" i="8" s="1"/>
  <c r="U1530" i="8"/>
  <c r="W1530" i="8"/>
  <c r="O1531" i="8"/>
  <c r="R1531" i="8" s="1"/>
  <c r="S1531" i="8" s="1"/>
  <c r="U1531" i="8"/>
  <c r="W1531" i="8"/>
  <c r="O1532" i="8"/>
  <c r="R1532" i="8" s="1"/>
  <c r="S1532" i="8" s="1"/>
  <c r="U1532" i="8"/>
  <c r="W1532" i="8"/>
  <c r="O1533" i="8"/>
  <c r="R1533" i="8" s="1"/>
  <c r="S1533" i="8" s="1"/>
  <c r="U1533" i="8"/>
  <c r="W1533" i="8"/>
  <c r="O1534" i="8"/>
  <c r="R1534" i="8" s="1"/>
  <c r="S1534" i="8" s="1"/>
  <c r="U1534" i="8"/>
  <c r="W1534" i="8"/>
  <c r="O1535" i="8"/>
  <c r="R1535" i="8" s="1"/>
  <c r="S1535" i="8" s="1"/>
  <c r="U1535" i="8"/>
  <c r="W1535" i="8"/>
  <c r="O1536" i="8"/>
  <c r="R1536" i="8" s="1"/>
  <c r="S1536" i="8" s="1"/>
  <c r="U1536" i="8"/>
  <c r="W1536" i="8"/>
  <c r="O1537" i="8"/>
  <c r="R1537" i="8" s="1"/>
  <c r="S1537" i="8" s="1"/>
  <c r="U1537" i="8"/>
  <c r="W1537" i="8"/>
  <c r="O1538" i="8"/>
  <c r="R1538" i="8" s="1"/>
  <c r="S1538" i="8" s="1"/>
  <c r="U1538" i="8"/>
  <c r="W1538" i="8"/>
  <c r="O1539" i="8"/>
  <c r="R1539" i="8" s="1"/>
  <c r="S1539" i="8" s="1"/>
  <c r="U1539" i="8"/>
  <c r="W1539" i="8"/>
  <c r="O1540" i="8"/>
  <c r="R1540" i="8" s="1"/>
  <c r="S1540" i="8" s="1"/>
  <c r="U1540" i="8"/>
  <c r="W1540" i="8"/>
  <c r="O1541" i="8"/>
  <c r="R1541" i="8" s="1"/>
  <c r="S1541" i="8" s="1"/>
  <c r="U1541" i="8"/>
  <c r="W1541" i="8"/>
  <c r="O1542" i="8"/>
  <c r="R1542" i="8" s="1"/>
  <c r="S1542" i="8" s="1"/>
  <c r="U1542" i="8"/>
  <c r="W1542" i="8"/>
  <c r="O1543" i="8"/>
  <c r="R1543" i="8" s="1"/>
  <c r="S1543" i="8" s="1"/>
  <c r="U1543" i="8"/>
  <c r="W1543" i="8"/>
  <c r="O1544" i="8"/>
  <c r="R1544" i="8" s="1"/>
  <c r="S1544" i="8" s="1"/>
  <c r="U1544" i="8"/>
  <c r="W1544" i="8"/>
  <c r="O1545" i="8"/>
  <c r="R1545" i="8" s="1"/>
  <c r="S1545" i="8" s="1"/>
  <c r="U1545" i="8"/>
  <c r="W1545" i="8"/>
  <c r="O1546" i="8"/>
  <c r="R1546" i="8" s="1"/>
  <c r="S1546" i="8" s="1"/>
  <c r="O35" i="5" s="1"/>
  <c r="U1546" i="8"/>
  <c r="Q35" i="5" s="1"/>
  <c r="W1546" i="8"/>
  <c r="M35" i="5" s="1"/>
  <c r="O1547" i="8"/>
  <c r="R1547" i="8" s="1"/>
  <c r="S1547" i="8" s="1"/>
  <c r="U1547" i="8"/>
  <c r="W1547" i="8"/>
  <c r="O1548" i="8"/>
  <c r="R1548" i="8" s="1"/>
  <c r="S1548" i="8" s="1"/>
  <c r="U1548" i="8"/>
  <c r="W1548" i="8"/>
  <c r="O1549" i="8"/>
  <c r="R1549" i="8" s="1"/>
  <c r="S1549" i="8" s="1"/>
  <c r="U1549" i="8"/>
  <c r="W1549" i="8"/>
  <c r="O1550" i="8"/>
  <c r="R1550" i="8" s="1"/>
  <c r="S1550" i="8" s="1"/>
  <c r="U1550" i="8"/>
  <c r="W1550" i="8"/>
  <c r="O1551" i="8"/>
  <c r="R1551" i="8" s="1"/>
  <c r="S1551" i="8" s="1"/>
  <c r="U1551" i="8"/>
  <c r="W1551" i="8"/>
  <c r="O1552" i="8"/>
  <c r="R1552" i="8" s="1"/>
  <c r="S1552" i="8" s="1"/>
  <c r="U1552" i="8"/>
  <c r="W1552" i="8"/>
  <c r="O1553" i="8"/>
  <c r="R1553" i="8" s="1"/>
  <c r="S1553" i="8" s="1"/>
  <c r="U1553" i="8"/>
  <c r="W1553" i="8"/>
  <c r="O1554" i="8"/>
  <c r="R1554" i="8" s="1"/>
  <c r="S1554" i="8" s="1"/>
  <c r="U1554" i="8"/>
  <c r="W1554" i="8"/>
  <c r="O1555" i="8"/>
  <c r="R1555" i="8" s="1"/>
  <c r="S1555" i="8" s="1"/>
  <c r="U1555" i="8"/>
  <c r="W1555" i="8"/>
  <c r="O1556" i="8"/>
  <c r="R1556" i="8" s="1"/>
  <c r="S1556" i="8" s="1"/>
  <c r="U1556" i="8"/>
  <c r="W1556" i="8"/>
  <c r="O1557" i="8"/>
  <c r="R1557" i="8" s="1"/>
  <c r="S1557" i="8" s="1"/>
  <c r="U1557" i="8"/>
  <c r="W1557" i="8"/>
  <c r="O1558" i="8"/>
  <c r="R1558" i="8" s="1"/>
  <c r="S1558" i="8" s="1"/>
  <c r="U1558" i="8"/>
  <c r="W1558" i="8"/>
  <c r="O1559" i="8"/>
  <c r="R1559" i="8" s="1"/>
  <c r="S1559" i="8" s="1"/>
  <c r="U1559" i="8"/>
  <c r="W1559" i="8"/>
  <c r="O1560" i="8"/>
  <c r="R1560" i="8" s="1"/>
  <c r="S1560" i="8" s="1"/>
  <c r="U1560" i="8"/>
  <c r="W1560" i="8"/>
  <c r="O1561" i="8"/>
  <c r="R1561" i="8" s="1"/>
  <c r="S1561" i="8" s="1"/>
  <c r="U1561" i="8"/>
  <c r="W1561" i="8"/>
  <c r="O1562" i="8"/>
  <c r="R1562" i="8" s="1"/>
  <c r="S1562" i="8" s="1"/>
  <c r="U1562" i="8"/>
  <c r="W1562" i="8"/>
  <c r="O1563" i="8"/>
  <c r="R1563" i="8" s="1"/>
  <c r="S1563" i="8" s="1"/>
  <c r="U1563" i="8"/>
  <c r="W1563" i="8"/>
  <c r="O1564" i="8"/>
  <c r="R1564" i="8" s="1"/>
  <c r="S1564" i="8" s="1"/>
  <c r="U1564" i="8"/>
  <c r="W1564" i="8"/>
  <c r="O1565" i="8"/>
  <c r="R1565" i="8" s="1"/>
  <c r="S1565" i="8" s="1"/>
  <c r="U1565" i="8"/>
  <c r="W1565" i="8"/>
  <c r="O1566" i="8"/>
  <c r="R1566" i="8" s="1"/>
  <c r="S1566" i="8" s="1"/>
  <c r="U1566" i="8"/>
  <c r="W1566" i="8"/>
  <c r="O1567" i="8"/>
  <c r="R1567" i="8" s="1"/>
  <c r="S1567" i="8" s="1"/>
  <c r="U1567" i="8"/>
  <c r="W1567" i="8"/>
  <c r="O1568" i="8"/>
  <c r="R1568" i="8" s="1"/>
  <c r="S1568" i="8" s="1"/>
  <c r="U1568" i="8"/>
  <c r="W1568" i="8"/>
  <c r="O1569" i="8"/>
  <c r="R1569" i="8" s="1"/>
  <c r="S1569" i="8" s="1"/>
  <c r="U1569" i="8"/>
  <c r="W1569" i="8"/>
  <c r="O1570" i="8"/>
  <c r="R1570" i="8" s="1"/>
  <c r="S1570" i="8" s="1"/>
  <c r="U1570" i="8"/>
  <c r="W1570" i="8"/>
  <c r="O1571" i="8"/>
  <c r="R1571" i="8" s="1"/>
  <c r="S1571" i="8" s="1"/>
  <c r="U1571" i="8"/>
  <c r="W1571" i="8"/>
  <c r="O1572" i="8"/>
  <c r="R1572" i="8" s="1"/>
  <c r="S1572" i="8" s="1"/>
  <c r="U1572" i="8"/>
  <c r="W1572" i="8"/>
  <c r="O1573" i="8"/>
  <c r="R1573" i="8" s="1"/>
  <c r="S1573" i="8" s="1"/>
  <c r="U1573" i="8"/>
  <c r="W1573" i="8"/>
  <c r="O1574" i="8"/>
  <c r="R1574" i="8" s="1"/>
  <c r="S1574" i="8" s="1"/>
  <c r="U1574" i="8"/>
  <c r="W1574" i="8"/>
  <c r="O1575" i="8"/>
  <c r="R1575" i="8" s="1"/>
  <c r="S1575" i="8" s="1"/>
  <c r="U1575" i="8"/>
  <c r="W1575" i="8"/>
  <c r="O1576" i="8"/>
  <c r="R1576" i="8" s="1"/>
  <c r="S1576" i="8" s="1"/>
  <c r="U1576" i="8"/>
  <c r="W1576" i="8"/>
  <c r="O1577" i="8"/>
  <c r="R1577" i="8" s="1"/>
  <c r="S1577" i="8" s="1"/>
  <c r="U1577" i="8"/>
  <c r="W1577" i="8"/>
  <c r="O1578" i="8"/>
  <c r="R1578" i="8" s="1"/>
  <c r="S1578" i="8" s="1"/>
  <c r="U1578" i="8"/>
  <c r="W1578" i="8"/>
  <c r="O1579" i="8"/>
  <c r="R1579" i="8" s="1"/>
  <c r="S1579" i="8" s="1"/>
  <c r="U1579" i="8"/>
  <c r="W1579" i="8"/>
  <c r="O1580" i="8"/>
  <c r="R1580" i="8" s="1"/>
  <c r="S1580" i="8" s="1"/>
  <c r="U1580" i="8"/>
  <c r="W1580" i="8"/>
  <c r="O1581" i="8"/>
  <c r="R1581" i="8" s="1"/>
  <c r="S1581" i="8" s="1"/>
  <c r="U1581" i="8"/>
  <c r="W1581" i="8"/>
  <c r="O1582" i="8"/>
  <c r="R1582" i="8" s="1"/>
  <c r="S1582" i="8" s="1"/>
  <c r="U1582" i="8"/>
  <c r="W1582" i="8"/>
  <c r="O1583" i="8"/>
  <c r="R1583" i="8" s="1"/>
  <c r="S1583" i="8" s="1"/>
  <c r="U1583" i="8"/>
  <c r="W1583" i="8"/>
  <c r="O1584" i="8"/>
  <c r="R1584" i="8" s="1"/>
  <c r="S1584" i="8" s="1"/>
  <c r="O36" i="5" s="1"/>
  <c r="U1584" i="8"/>
  <c r="Q36" i="5" s="1"/>
  <c r="W1584" i="8"/>
  <c r="M36" i="5" s="1"/>
  <c r="O1585" i="8"/>
  <c r="R1585" i="8" s="1"/>
  <c r="S1585" i="8" s="1"/>
  <c r="U1585" i="8"/>
  <c r="W1585" i="8"/>
  <c r="O1586" i="8"/>
  <c r="R1586" i="8" s="1"/>
  <c r="S1586" i="8" s="1"/>
  <c r="U1586" i="8"/>
  <c r="W1586" i="8"/>
  <c r="O1587" i="8"/>
  <c r="R1587" i="8" s="1"/>
  <c r="S1587" i="8" s="1"/>
  <c r="U1587" i="8"/>
  <c r="W1587" i="8"/>
  <c r="O1588" i="8"/>
  <c r="R1588" i="8" s="1"/>
  <c r="S1588" i="8" s="1"/>
  <c r="U1588" i="8"/>
  <c r="W1588" i="8"/>
  <c r="O1589" i="8"/>
  <c r="R1589" i="8" s="1"/>
  <c r="S1589" i="8" s="1"/>
  <c r="U1589" i="8"/>
  <c r="W1589" i="8"/>
  <c r="O1590" i="8"/>
  <c r="R1590" i="8" s="1"/>
  <c r="S1590" i="8" s="1"/>
  <c r="U1590" i="8"/>
  <c r="W1590" i="8"/>
  <c r="O1591" i="8"/>
  <c r="R1591" i="8" s="1"/>
  <c r="S1591" i="8" s="1"/>
  <c r="U1591" i="8"/>
  <c r="W1591" i="8"/>
  <c r="O1592" i="8"/>
  <c r="R1592" i="8" s="1"/>
  <c r="S1592" i="8" s="1"/>
  <c r="U1592" i="8"/>
  <c r="W1592" i="8"/>
  <c r="O1593" i="8"/>
  <c r="R1593" i="8" s="1"/>
  <c r="S1593" i="8" s="1"/>
  <c r="U1593" i="8"/>
  <c r="W1593" i="8"/>
  <c r="O1594" i="8"/>
  <c r="R1594" i="8" s="1"/>
  <c r="S1594" i="8" s="1"/>
  <c r="U1594" i="8"/>
  <c r="W1594" i="8"/>
  <c r="O1595" i="8"/>
  <c r="R1595" i="8" s="1"/>
  <c r="S1595" i="8" s="1"/>
  <c r="U1595" i="8"/>
  <c r="W1595" i="8"/>
  <c r="O1596" i="8"/>
  <c r="R1596" i="8" s="1"/>
  <c r="S1596" i="8" s="1"/>
  <c r="U1596" i="8"/>
  <c r="W1596" i="8"/>
  <c r="O1597" i="8"/>
  <c r="R1597" i="8" s="1"/>
  <c r="S1597" i="8" s="1"/>
  <c r="U1597" i="8"/>
  <c r="W1597" i="8"/>
  <c r="O1598" i="8"/>
  <c r="R1598" i="8" s="1"/>
  <c r="S1598" i="8" s="1"/>
  <c r="U1598" i="8"/>
  <c r="W1598" i="8"/>
  <c r="O1599" i="8"/>
  <c r="R1599" i="8" s="1"/>
  <c r="S1599" i="8" s="1"/>
  <c r="U1599" i="8"/>
  <c r="W1599" i="8"/>
  <c r="O1600" i="8"/>
  <c r="R1600" i="8" s="1"/>
  <c r="S1600" i="8" s="1"/>
  <c r="U1600" i="8"/>
  <c r="W1600" i="8"/>
  <c r="O1601" i="8"/>
  <c r="R1601" i="8" s="1"/>
  <c r="S1601" i="8" s="1"/>
  <c r="U1601" i="8"/>
  <c r="W1601" i="8"/>
  <c r="O1602" i="8"/>
  <c r="R1602" i="8" s="1"/>
  <c r="S1602" i="8" s="1"/>
  <c r="U1602" i="8"/>
  <c r="W1602" i="8"/>
  <c r="O1603" i="8"/>
  <c r="R1603" i="8" s="1"/>
  <c r="S1603" i="8" s="1"/>
  <c r="U1603" i="8"/>
  <c r="W1603" i="8"/>
  <c r="O1604" i="8"/>
  <c r="R1604" i="8" s="1"/>
  <c r="S1604" i="8" s="1"/>
  <c r="U1604" i="8"/>
  <c r="W1604" i="8"/>
  <c r="O1605" i="8"/>
  <c r="R1605" i="8" s="1"/>
  <c r="S1605" i="8" s="1"/>
  <c r="U1605" i="8"/>
  <c r="W1605" i="8"/>
  <c r="O1606" i="8"/>
  <c r="R1606" i="8" s="1"/>
  <c r="S1606" i="8" s="1"/>
  <c r="U1606" i="8"/>
  <c r="W1606" i="8"/>
  <c r="O1607" i="8"/>
  <c r="R1607" i="8" s="1"/>
  <c r="S1607" i="8" s="1"/>
  <c r="U1607" i="8"/>
  <c r="W1607" i="8"/>
  <c r="O1608" i="8"/>
  <c r="R1608" i="8" s="1"/>
  <c r="S1608" i="8" s="1"/>
  <c r="U1608" i="8"/>
  <c r="W1608" i="8"/>
  <c r="O1609" i="8"/>
  <c r="R1609" i="8" s="1"/>
  <c r="S1609" i="8" s="1"/>
  <c r="U1609" i="8"/>
  <c r="W1609" i="8"/>
  <c r="O1610" i="8"/>
  <c r="R1610" i="8" s="1"/>
  <c r="S1610" i="8" s="1"/>
  <c r="U1610" i="8"/>
  <c r="W1610" i="8"/>
  <c r="O1611" i="8"/>
  <c r="R1611" i="8" s="1"/>
  <c r="S1611" i="8" s="1"/>
  <c r="U1611" i="8"/>
  <c r="W1611" i="8"/>
  <c r="O1612" i="8"/>
  <c r="R1612" i="8" s="1"/>
  <c r="S1612" i="8" s="1"/>
  <c r="U1612" i="8"/>
  <c r="W1612" i="8"/>
  <c r="O1613" i="8"/>
  <c r="R1613" i="8" s="1"/>
  <c r="S1613" i="8" s="1"/>
  <c r="U1613" i="8"/>
  <c r="W1613" i="8"/>
  <c r="O1614" i="8"/>
  <c r="R1614" i="8" s="1"/>
  <c r="S1614" i="8" s="1"/>
  <c r="U1614" i="8"/>
  <c r="W1614" i="8"/>
  <c r="O1615" i="8"/>
  <c r="R1615" i="8" s="1"/>
  <c r="S1615" i="8" s="1"/>
  <c r="U1615" i="8"/>
  <c r="W1615" i="8"/>
  <c r="O1616" i="8"/>
  <c r="R1616" i="8" s="1"/>
  <c r="S1616" i="8" s="1"/>
  <c r="U1616" i="8"/>
  <c r="W1616" i="8"/>
  <c r="O1617" i="8"/>
  <c r="R1617" i="8" s="1"/>
  <c r="S1617" i="8" s="1"/>
  <c r="U1617" i="8"/>
  <c r="W1617" i="8"/>
  <c r="O1618" i="8"/>
  <c r="R1618" i="8" s="1"/>
  <c r="S1618" i="8" s="1"/>
  <c r="U1618" i="8"/>
  <c r="W1618" i="8"/>
  <c r="O1619" i="8"/>
  <c r="R1619" i="8" s="1"/>
  <c r="S1619" i="8" s="1"/>
  <c r="U1619" i="8"/>
  <c r="W1619" i="8"/>
  <c r="O1620" i="8"/>
  <c r="R1620" i="8" s="1"/>
  <c r="S1620" i="8" s="1"/>
  <c r="U1620" i="8"/>
  <c r="W1620" i="8"/>
  <c r="O1621" i="8"/>
  <c r="R1621" i="8" s="1"/>
  <c r="S1621" i="8" s="1"/>
  <c r="O37" i="5" s="1"/>
  <c r="U1621" i="8"/>
  <c r="Q37" i="5" s="1"/>
  <c r="F40" i="4" s="1"/>
  <c r="W1621" i="8"/>
  <c r="M37" i="5" s="1"/>
  <c r="O1622" i="8"/>
  <c r="R1622" i="8" s="1"/>
  <c r="S1622" i="8" s="1"/>
  <c r="U1622" i="8"/>
  <c r="W1622" i="8"/>
  <c r="O1623" i="8"/>
  <c r="R1623" i="8" s="1"/>
  <c r="S1623" i="8" s="1"/>
  <c r="U1623" i="8"/>
  <c r="W1623" i="8"/>
  <c r="O1624" i="8"/>
  <c r="R1624" i="8" s="1"/>
  <c r="S1624" i="8" s="1"/>
  <c r="U1624" i="8"/>
  <c r="W1624" i="8"/>
  <c r="O1625" i="8"/>
  <c r="R1625" i="8" s="1"/>
  <c r="S1625" i="8" s="1"/>
  <c r="U1625" i="8"/>
  <c r="W1625" i="8"/>
  <c r="O1626" i="8"/>
  <c r="R1626" i="8" s="1"/>
  <c r="S1626" i="8" s="1"/>
  <c r="U1626" i="8"/>
  <c r="W1626" i="8"/>
  <c r="O1627" i="8"/>
  <c r="R1627" i="8" s="1"/>
  <c r="S1627" i="8" s="1"/>
  <c r="U1627" i="8"/>
  <c r="W1627" i="8"/>
  <c r="O1628" i="8"/>
  <c r="R1628" i="8" s="1"/>
  <c r="S1628" i="8" s="1"/>
  <c r="U1628" i="8"/>
  <c r="W1628" i="8"/>
  <c r="O1629" i="8"/>
  <c r="R1629" i="8" s="1"/>
  <c r="S1629" i="8" s="1"/>
  <c r="U1629" i="8"/>
  <c r="W1629" i="8"/>
  <c r="O1630" i="8"/>
  <c r="R1630" i="8" s="1"/>
  <c r="S1630" i="8" s="1"/>
  <c r="U1630" i="8"/>
  <c r="W1630" i="8"/>
  <c r="O1631" i="8"/>
  <c r="R1631" i="8" s="1"/>
  <c r="S1631" i="8" s="1"/>
  <c r="U1631" i="8"/>
  <c r="W1631" i="8"/>
  <c r="O1632" i="8"/>
  <c r="R1632" i="8" s="1"/>
  <c r="S1632" i="8" s="1"/>
  <c r="U1632" i="8"/>
  <c r="W1632" i="8"/>
  <c r="O1633" i="8"/>
  <c r="R1633" i="8" s="1"/>
  <c r="S1633" i="8" s="1"/>
  <c r="U1633" i="8"/>
  <c r="W1633" i="8"/>
  <c r="O1634" i="8"/>
  <c r="R1634" i="8" s="1"/>
  <c r="S1634" i="8" s="1"/>
  <c r="U1634" i="8"/>
  <c r="W1634" i="8"/>
  <c r="O1635" i="8"/>
  <c r="R1635" i="8" s="1"/>
  <c r="S1635" i="8" s="1"/>
  <c r="U1635" i="8"/>
  <c r="W1635" i="8"/>
  <c r="O1636" i="8"/>
  <c r="R1636" i="8" s="1"/>
  <c r="S1636" i="8" s="1"/>
  <c r="U1636" i="8"/>
  <c r="W1636" i="8"/>
  <c r="O1637" i="8"/>
  <c r="R1637" i="8" s="1"/>
  <c r="S1637" i="8" s="1"/>
  <c r="U1637" i="8"/>
  <c r="W1637" i="8"/>
  <c r="O1638" i="8"/>
  <c r="R1638" i="8" s="1"/>
  <c r="S1638" i="8" s="1"/>
  <c r="U1638" i="8"/>
  <c r="W1638" i="8"/>
  <c r="O1639" i="8"/>
  <c r="R1639" i="8" s="1"/>
  <c r="S1639" i="8" s="1"/>
  <c r="U1639" i="8"/>
  <c r="W1639" i="8"/>
  <c r="O1640" i="8"/>
  <c r="R1640" i="8" s="1"/>
  <c r="S1640" i="8" s="1"/>
  <c r="U1640" i="8"/>
  <c r="W1640" i="8"/>
  <c r="O1641" i="8"/>
  <c r="R1641" i="8" s="1"/>
  <c r="S1641" i="8" s="1"/>
  <c r="U1641" i="8"/>
  <c r="W1641" i="8"/>
  <c r="O1642" i="8"/>
  <c r="R1642" i="8" s="1"/>
  <c r="S1642" i="8" s="1"/>
  <c r="U1642" i="8"/>
  <c r="W1642" i="8"/>
  <c r="O1643" i="8"/>
  <c r="R1643" i="8" s="1"/>
  <c r="S1643" i="8" s="1"/>
  <c r="U1643" i="8"/>
  <c r="W1643" i="8"/>
  <c r="O1644" i="8"/>
  <c r="R1644" i="8" s="1"/>
  <c r="S1644" i="8" s="1"/>
  <c r="U1644" i="8"/>
  <c r="W1644" i="8"/>
  <c r="O1645" i="8"/>
  <c r="R1645" i="8" s="1"/>
  <c r="S1645" i="8" s="1"/>
  <c r="U1645" i="8"/>
  <c r="W1645" i="8"/>
  <c r="O1646" i="8"/>
  <c r="R1646" i="8" s="1"/>
  <c r="S1646" i="8" s="1"/>
  <c r="U1646" i="8"/>
  <c r="W1646" i="8"/>
  <c r="O1647" i="8"/>
  <c r="R1647" i="8" s="1"/>
  <c r="S1647" i="8" s="1"/>
  <c r="U1647" i="8"/>
  <c r="W1647" i="8"/>
  <c r="O1648" i="8"/>
  <c r="R1648" i="8" s="1"/>
  <c r="S1648" i="8" s="1"/>
  <c r="U1648" i="8"/>
  <c r="W1648" i="8"/>
  <c r="O1649" i="8"/>
  <c r="R1649" i="8" s="1"/>
  <c r="S1649" i="8" s="1"/>
  <c r="U1649" i="8"/>
  <c r="W1649" i="8"/>
  <c r="O1650" i="8"/>
  <c r="R1650" i="8" s="1"/>
  <c r="S1650" i="8" s="1"/>
  <c r="U1650" i="8"/>
  <c r="W1650" i="8"/>
  <c r="O1651" i="8"/>
  <c r="R1651" i="8" s="1"/>
  <c r="S1651" i="8" s="1"/>
  <c r="U1651" i="8"/>
  <c r="W1651" i="8"/>
  <c r="O1652" i="8"/>
  <c r="R1652" i="8" s="1"/>
  <c r="S1652" i="8" s="1"/>
  <c r="U1652" i="8"/>
  <c r="W1652" i="8"/>
  <c r="O1653" i="8"/>
  <c r="R1653" i="8" s="1"/>
  <c r="S1653" i="8" s="1"/>
  <c r="U1653" i="8"/>
  <c r="W1653" i="8"/>
  <c r="O1654" i="8"/>
  <c r="R1654" i="8" s="1"/>
  <c r="S1654" i="8" s="1"/>
  <c r="U1654" i="8"/>
  <c r="W1654" i="8"/>
  <c r="O1655" i="8"/>
  <c r="R1655" i="8" s="1"/>
  <c r="S1655" i="8" s="1"/>
  <c r="U1655" i="8"/>
  <c r="W1655" i="8"/>
  <c r="O1656" i="8"/>
  <c r="R1656" i="8" s="1"/>
  <c r="S1656" i="8" s="1"/>
  <c r="U1656" i="8"/>
  <c r="W1656" i="8"/>
  <c r="O1657" i="8"/>
  <c r="R1657" i="8" s="1"/>
  <c r="S1657" i="8" s="1"/>
  <c r="U1657" i="8"/>
  <c r="W1657" i="8"/>
  <c r="O1658" i="8"/>
  <c r="R1658" i="8" s="1"/>
  <c r="S1658" i="8" s="1"/>
  <c r="U1658" i="8"/>
  <c r="W1658" i="8"/>
  <c r="O1659" i="8"/>
  <c r="R1659" i="8" s="1"/>
  <c r="S1659" i="8" s="1"/>
  <c r="U1659" i="8"/>
  <c r="W1659" i="8"/>
  <c r="O1660" i="8"/>
  <c r="R1660" i="8" s="1"/>
  <c r="S1660" i="8" s="1"/>
  <c r="U1660" i="8"/>
  <c r="W1660" i="8"/>
  <c r="O1661" i="8"/>
  <c r="R1661" i="8" s="1"/>
  <c r="S1661" i="8" s="1"/>
  <c r="U1661" i="8"/>
  <c r="W1661" i="8"/>
  <c r="O1662" i="8"/>
  <c r="R1662" i="8" s="1"/>
  <c r="S1662" i="8" s="1"/>
  <c r="U1662" i="8"/>
  <c r="W1662" i="8"/>
  <c r="O1663" i="8"/>
  <c r="R1663" i="8" s="1"/>
  <c r="S1663" i="8" s="1"/>
  <c r="U1663" i="8"/>
  <c r="W1663" i="8"/>
  <c r="O1664" i="8"/>
  <c r="R1664" i="8" s="1"/>
  <c r="S1664" i="8" s="1"/>
  <c r="U1664" i="8"/>
  <c r="W1664" i="8"/>
  <c r="O1665" i="8"/>
  <c r="R1665" i="8" s="1"/>
  <c r="S1665" i="8" s="1"/>
  <c r="O90" i="5" s="1"/>
  <c r="U1665" i="8"/>
  <c r="Q90" i="5" s="1"/>
  <c r="W1665" i="8"/>
  <c r="M90" i="5" s="1"/>
  <c r="O1666" i="8"/>
  <c r="R1666" i="8" s="1"/>
  <c r="S1666" i="8" s="1"/>
  <c r="U1666" i="8"/>
  <c r="W1666" i="8"/>
  <c r="O1667" i="8"/>
  <c r="R1667" i="8" s="1"/>
  <c r="S1667" i="8" s="1"/>
  <c r="U1667" i="8"/>
  <c r="W1667" i="8"/>
  <c r="O1668" i="8"/>
  <c r="R1668" i="8" s="1"/>
  <c r="S1668" i="8" s="1"/>
  <c r="U1668" i="8"/>
  <c r="W1668" i="8"/>
  <c r="O1669" i="8"/>
  <c r="R1669" i="8" s="1"/>
  <c r="S1669" i="8" s="1"/>
  <c r="U1669" i="8"/>
  <c r="W1669" i="8"/>
  <c r="O1670" i="8"/>
  <c r="R1670" i="8" s="1"/>
  <c r="S1670" i="8" s="1"/>
  <c r="U1670" i="8"/>
  <c r="W1670" i="8"/>
  <c r="O1671" i="8"/>
  <c r="R1671" i="8" s="1"/>
  <c r="S1671" i="8" s="1"/>
  <c r="U1671" i="8"/>
  <c r="W1671" i="8"/>
  <c r="O1672" i="8"/>
  <c r="R1672" i="8" s="1"/>
  <c r="S1672" i="8" s="1"/>
  <c r="U1672" i="8"/>
  <c r="W1672" i="8"/>
  <c r="O1673" i="8"/>
  <c r="R1673" i="8" s="1"/>
  <c r="S1673" i="8" s="1"/>
  <c r="U1673" i="8"/>
  <c r="W1673" i="8"/>
  <c r="O1674" i="8"/>
  <c r="R1674" i="8" s="1"/>
  <c r="S1674" i="8" s="1"/>
  <c r="U1674" i="8"/>
  <c r="W1674" i="8"/>
  <c r="O1675" i="8"/>
  <c r="R1675" i="8" s="1"/>
  <c r="S1675" i="8" s="1"/>
  <c r="U1675" i="8"/>
  <c r="W1675" i="8"/>
  <c r="O1676" i="8"/>
  <c r="R1676" i="8" s="1"/>
  <c r="S1676" i="8" s="1"/>
  <c r="U1676" i="8"/>
  <c r="W1676" i="8"/>
  <c r="O1677" i="8"/>
  <c r="R1677" i="8" s="1"/>
  <c r="S1677" i="8" s="1"/>
  <c r="U1677" i="8"/>
  <c r="W1677" i="8"/>
  <c r="O1678" i="8"/>
  <c r="R1678" i="8" s="1"/>
  <c r="S1678" i="8" s="1"/>
  <c r="U1678" i="8"/>
  <c r="W1678" i="8"/>
  <c r="O1679" i="8"/>
  <c r="R1679" i="8" s="1"/>
  <c r="S1679" i="8" s="1"/>
  <c r="U1679" i="8"/>
  <c r="W1679" i="8"/>
  <c r="O1680" i="8"/>
  <c r="R1680" i="8" s="1"/>
  <c r="S1680" i="8" s="1"/>
  <c r="U1680" i="8"/>
  <c r="W1680" i="8"/>
  <c r="O1681" i="8"/>
  <c r="R1681" i="8" s="1"/>
  <c r="S1681" i="8" s="1"/>
  <c r="U1681" i="8"/>
  <c r="W1681" i="8"/>
  <c r="O1682" i="8"/>
  <c r="R1682" i="8" s="1"/>
  <c r="S1682" i="8" s="1"/>
  <c r="U1682" i="8"/>
  <c r="W1682" i="8"/>
  <c r="O1683" i="8"/>
  <c r="R1683" i="8" s="1"/>
  <c r="S1683" i="8" s="1"/>
  <c r="U1683" i="8"/>
  <c r="W1683" i="8"/>
  <c r="O1684" i="8"/>
  <c r="R1684" i="8" s="1"/>
  <c r="S1684" i="8" s="1"/>
  <c r="U1684" i="8"/>
  <c r="W1684" i="8"/>
  <c r="O1685" i="8"/>
  <c r="R1685" i="8" s="1"/>
  <c r="S1685" i="8" s="1"/>
  <c r="U1685" i="8"/>
  <c r="W1685" i="8"/>
  <c r="O1686" i="8"/>
  <c r="R1686" i="8" s="1"/>
  <c r="S1686" i="8" s="1"/>
  <c r="U1686" i="8"/>
  <c r="W1686" i="8"/>
  <c r="O1687" i="8"/>
  <c r="R1687" i="8" s="1"/>
  <c r="S1687" i="8" s="1"/>
  <c r="U1687" i="8"/>
  <c r="W1687" i="8"/>
  <c r="O1688" i="8"/>
  <c r="R1688" i="8" s="1"/>
  <c r="S1688" i="8" s="1"/>
  <c r="U1688" i="8"/>
  <c r="W1688" i="8"/>
  <c r="O1689" i="8"/>
  <c r="R1689" i="8" s="1"/>
  <c r="S1689" i="8" s="1"/>
  <c r="U1689" i="8"/>
  <c r="W1689" i="8"/>
  <c r="O1690" i="8"/>
  <c r="R1690" i="8" s="1"/>
  <c r="S1690" i="8" s="1"/>
  <c r="U1690" i="8"/>
  <c r="W1690" i="8"/>
  <c r="O1691" i="8"/>
  <c r="R1691" i="8" s="1"/>
  <c r="S1691" i="8" s="1"/>
  <c r="U1691" i="8"/>
  <c r="W1691" i="8"/>
  <c r="O1692" i="8"/>
  <c r="R1692" i="8" s="1"/>
  <c r="S1692" i="8" s="1"/>
  <c r="U1692" i="8"/>
  <c r="W1692" i="8"/>
  <c r="O1693" i="8"/>
  <c r="R1693" i="8" s="1"/>
  <c r="S1693" i="8" s="1"/>
  <c r="U1693" i="8"/>
  <c r="W1693" i="8"/>
  <c r="O1694" i="8"/>
  <c r="R1694" i="8" s="1"/>
  <c r="S1694" i="8" s="1"/>
  <c r="U1694" i="8"/>
  <c r="W1694" i="8"/>
  <c r="O1695" i="8"/>
  <c r="R1695" i="8" s="1"/>
  <c r="S1695" i="8" s="1"/>
  <c r="U1695" i="8"/>
  <c r="W1695" i="8"/>
  <c r="O1696" i="8"/>
  <c r="R1696" i="8" s="1"/>
  <c r="S1696" i="8" s="1"/>
  <c r="U1696" i="8"/>
  <c r="W1696" i="8"/>
  <c r="O1697" i="8"/>
  <c r="R1697" i="8" s="1"/>
  <c r="S1697" i="8" s="1"/>
  <c r="U1697" i="8"/>
  <c r="W1697" i="8"/>
  <c r="O1698" i="8"/>
  <c r="R1698" i="8" s="1"/>
  <c r="S1698" i="8" s="1"/>
  <c r="U1698" i="8"/>
  <c r="W1698" i="8"/>
  <c r="O1699" i="8"/>
  <c r="R1699" i="8" s="1"/>
  <c r="S1699" i="8" s="1"/>
  <c r="U1699" i="8"/>
  <c r="W1699" i="8"/>
  <c r="O1700" i="8"/>
  <c r="R1700" i="8" s="1"/>
  <c r="S1700" i="8" s="1"/>
  <c r="U1700" i="8"/>
  <c r="W1700" i="8"/>
  <c r="O1701" i="8"/>
  <c r="R1701" i="8" s="1"/>
  <c r="S1701" i="8" s="1"/>
  <c r="U1701" i="8"/>
  <c r="W1701" i="8"/>
  <c r="O1702" i="8"/>
  <c r="R1702" i="8" s="1"/>
  <c r="S1702" i="8" s="1"/>
  <c r="U1702" i="8"/>
  <c r="W1702" i="8"/>
  <c r="O1703" i="8"/>
  <c r="R1703" i="8" s="1"/>
  <c r="S1703" i="8" s="1"/>
  <c r="U1703" i="8"/>
  <c r="W1703" i="8"/>
  <c r="O1704" i="8"/>
  <c r="R1704" i="8" s="1"/>
  <c r="S1704" i="8" s="1"/>
  <c r="O91" i="5" s="1"/>
  <c r="U1704" i="8"/>
  <c r="Q91" i="5" s="1"/>
  <c r="W1704" i="8"/>
  <c r="M91" i="5" s="1"/>
  <c r="O1705" i="8"/>
  <c r="R1705" i="8" s="1"/>
  <c r="S1705" i="8" s="1"/>
  <c r="U1705" i="8"/>
  <c r="W1705" i="8"/>
  <c r="O1706" i="8"/>
  <c r="R1706" i="8" s="1"/>
  <c r="S1706" i="8" s="1"/>
  <c r="U1706" i="8"/>
  <c r="W1706" i="8"/>
  <c r="O1707" i="8"/>
  <c r="R1707" i="8" s="1"/>
  <c r="S1707" i="8" s="1"/>
  <c r="U1707" i="8"/>
  <c r="W1707" i="8"/>
  <c r="O1708" i="8"/>
  <c r="R1708" i="8" s="1"/>
  <c r="S1708" i="8" s="1"/>
  <c r="U1708" i="8"/>
  <c r="W1708" i="8"/>
  <c r="O1709" i="8"/>
  <c r="R1709" i="8" s="1"/>
  <c r="S1709" i="8" s="1"/>
  <c r="U1709" i="8"/>
  <c r="W1709" i="8"/>
  <c r="O1710" i="8"/>
  <c r="R1710" i="8" s="1"/>
  <c r="S1710" i="8" s="1"/>
  <c r="U1710" i="8"/>
  <c r="W1710" i="8"/>
  <c r="O1711" i="8"/>
  <c r="R1711" i="8" s="1"/>
  <c r="S1711" i="8" s="1"/>
  <c r="U1711" i="8"/>
  <c r="W1711" i="8"/>
  <c r="O1712" i="8"/>
  <c r="R1712" i="8" s="1"/>
  <c r="S1712" i="8" s="1"/>
  <c r="U1712" i="8"/>
  <c r="W1712" i="8"/>
  <c r="O1713" i="8"/>
  <c r="R1713" i="8" s="1"/>
  <c r="S1713" i="8" s="1"/>
  <c r="U1713" i="8"/>
  <c r="W1713" i="8"/>
  <c r="O1714" i="8"/>
  <c r="R1714" i="8" s="1"/>
  <c r="S1714" i="8" s="1"/>
  <c r="U1714" i="8"/>
  <c r="W1714" i="8"/>
  <c r="O1715" i="8"/>
  <c r="R1715" i="8" s="1"/>
  <c r="S1715" i="8" s="1"/>
  <c r="U1715" i="8"/>
  <c r="W1715" i="8"/>
  <c r="O1716" i="8"/>
  <c r="R1716" i="8" s="1"/>
  <c r="S1716" i="8" s="1"/>
  <c r="U1716" i="8"/>
  <c r="W1716" i="8"/>
  <c r="O1717" i="8"/>
  <c r="R1717" i="8" s="1"/>
  <c r="S1717" i="8" s="1"/>
  <c r="U1717" i="8"/>
  <c r="W1717" i="8"/>
  <c r="O1718" i="8"/>
  <c r="R1718" i="8" s="1"/>
  <c r="S1718" i="8" s="1"/>
  <c r="U1718" i="8"/>
  <c r="W1718" i="8"/>
  <c r="O1719" i="8"/>
  <c r="R1719" i="8" s="1"/>
  <c r="S1719" i="8" s="1"/>
  <c r="U1719" i="8"/>
  <c r="W1719" i="8"/>
  <c r="O1720" i="8"/>
  <c r="R1720" i="8" s="1"/>
  <c r="S1720" i="8" s="1"/>
  <c r="U1720" i="8"/>
  <c r="W1720" i="8"/>
  <c r="O1721" i="8"/>
  <c r="R1721" i="8" s="1"/>
  <c r="S1721" i="8" s="1"/>
  <c r="U1721" i="8"/>
  <c r="W1721" i="8"/>
  <c r="O1722" i="8"/>
  <c r="R1722" i="8" s="1"/>
  <c r="S1722" i="8" s="1"/>
  <c r="U1722" i="8"/>
  <c r="W1722" i="8"/>
  <c r="O1723" i="8"/>
  <c r="R1723" i="8" s="1"/>
  <c r="S1723" i="8" s="1"/>
  <c r="U1723" i="8"/>
  <c r="W1723" i="8"/>
  <c r="O1724" i="8"/>
  <c r="R1724" i="8" s="1"/>
  <c r="S1724" i="8" s="1"/>
  <c r="U1724" i="8"/>
  <c r="W1724" i="8"/>
  <c r="O1725" i="8"/>
  <c r="R1725" i="8" s="1"/>
  <c r="S1725" i="8" s="1"/>
  <c r="U1725" i="8"/>
  <c r="W1725" i="8"/>
  <c r="O1726" i="8"/>
  <c r="R1726" i="8" s="1"/>
  <c r="S1726" i="8" s="1"/>
  <c r="U1726" i="8"/>
  <c r="W1726" i="8"/>
  <c r="O1727" i="8"/>
  <c r="R1727" i="8" s="1"/>
  <c r="S1727" i="8" s="1"/>
  <c r="U1727" i="8"/>
  <c r="W1727" i="8"/>
  <c r="O1728" i="8"/>
  <c r="R1728" i="8" s="1"/>
  <c r="S1728" i="8" s="1"/>
  <c r="U1728" i="8"/>
  <c r="W1728" i="8"/>
  <c r="O1729" i="8"/>
  <c r="R1729" i="8" s="1"/>
  <c r="S1729" i="8" s="1"/>
  <c r="U1729" i="8"/>
  <c r="W1729" i="8"/>
  <c r="O1730" i="8"/>
  <c r="R1730" i="8" s="1"/>
  <c r="S1730" i="8" s="1"/>
  <c r="U1730" i="8"/>
  <c r="W1730" i="8"/>
  <c r="O1731" i="8"/>
  <c r="R1731" i="8" s="1"/>
  <c r="S1731" i="8" s="1"/>
  <c r="U1731" i="8"/>
  <c r="W1731" i="8"/>
  <c r="O1732" i="8"/>
  <c r="R1732" i="8" s="1"/>
  <c r="S1732" i="8" s="1"/>
  <c r="U1732" i="8"/>
  <c r="W1732" i="8"/>
  <c r="O1733" i="8"/>
  <c r="R1733" i="8" s="1"/>
  <c r="S1733" i="8" s="1"/>
  <c r="U1733" i="8"/>
  <c r="W1733" i="8"/>
  <c r="O1734" i="8"/>
  <c r="R1734" i="8" s="1"/>
  <c r="S1734" i="8" s="1"/>
  <c r="U1734" i="8"/>
  <c r="W1734" i="8"/>
  <c r="O1735" i="8"/>
  <c r="R1735" i="8" s="1"/>
  <c r="S1735" i="8" s="1"/>
  <c r="U1735" i="8"/>
  <c r="W1735" i="8"/>
  <c r="O1736" i="8"/>
  <c r="R1736" i="8" s="1"/>
  <c r="S1736" i="8" s="1"/>
  <c r="U1736" i="8"/>
  <c r="W1736" i="8"/>
  <c r="O1737" i="8"/>
  <c r="R1737" i="8" s="1"/>
  <c r="S1737" i="8" s="1"/>
  <c r="U1737" i="8"/>
  <c r="W1737" i="8"/>
  <c r="O1738" i="8"/>
  <c r="R1738" i="8" s="1"/>
  <c r="S1738" i="8" s="1"/>
  <c r="O92" i="5" s="1"/>
  <c r="U1738" i="8"/>
  <c r="Q92" i="5" s="1"/>
  <c r="W1738" i="8"/>
  <c r="M92" i="5" s="1"/>
  <c r="O1739" i="8"/>
  <c r="R1739" i="8" s="1"/>
  <c r="S1739" i="8" s="1"/>
  <c r="U1739" i="8"/>
  <c r="W1739" i="8"/>
  <c r="O1740" i="8"/>
  <c r="R1740" i="8" s="1"/>
  <c r="S1740" i="8" s="1"/>
  <c r="U1740" i="8"/>
  <c r="W1740" i="8"/>
  <c r="O1741" i="8"/>
  <c r="R1741" i="8" s="1"/>
  <c r="S1741" i="8" s="1"/>
  <c r="U1741" i="8"/>
  <c r="W1741" i="8"/>
  <c r="O1742" i="8"/>
  <c r="R1742" i="8" s="1"/>
  <c r="S1742" i="8" s="1"/>
  <c r="U1742" i="8"/>
  <c r="W1742" i="8"/>
  <c r="O1743" i="8"/>
  <c r="R1743" i="8" s="1"/>
  <c r="S1743" i="8" s="1"/>
  <c r="U1743" i="8"/>
  <c r="W1743" i="8"/>
  <c r="O1744" i="8"/>
  <c r="R1744" i="8" s="1"/>
  <c r="S1744" i="8" s="1"/>
  <c r="U1744" i="8"/>
  <c r="W1744" i="8"/>
  <c r="O1745" i="8"/>
  <c r="R1745" i="8" s="1"/>
  <c r="S1745" i="8" s="1"/>
  <c r="U1745" i="8"/>
  <c r="W1745" i="8"/>
  <c r="O1746" i="8"/>
  <c r="R1746" i="8" s="1"/>
  <c r="S1746" i="8" s="1"/>
  <c r="U1746" i="8"/>
  <c r="W1746" i="8"/>
  <c r="O1747" i="8"/>
  <c r="R1747" i="8" s="1"/>
  <c r="S1747" i="8" s="1"/>
  <c r="U1747" i="8"/>
  <c r="W1747" i="8"/>
  <c r="O1748" i="8"/>
  <c r="R1748" i="8" s="1"/>
  <c r="S1748" i="8" s="1"/>
  <c r="U1748" i="8"/>
  <c r="W1748" i="8"/>
  <c r="O1749" i="8"/>
  <c r="R1749" i="8" s="1"/>
  <c r="S1749" i="8" s="1"/>
  <c r="U1749" i="8"/>
  <c r="W1749" i="8"/>
  <c r="O1750" i="8"/>
  <c r="R1750" i="8" s="1"/>
  <c r="S1750" i="8" s="1"/>
  <c r="U1750" i="8"/>
  <c r="W1750" i="8"/>
  <c r="O1751" i="8"/>
  <c r="R1751" i="8" s="1"/>
  <c r="S1751" i="8" s="1"/>
  <c r="U1751" i="8"/>
  <c r="W1751" i="8"/>
  <c r="O1752" i="8"/>
  <c r="R1752" i="8" s="1"/>
  <c r="S1752" i="8" s="1"/>
  <c r="U1752" i="8"/>
  <c r="W1752" i="8"/>
  <c r="O1753" i="8"/>
  <c r="R1753" i="8" s="1"/>
  <c r="S1753" i="8" s="1"/>
  <c r="U1753" i="8"/>
  <c r="W1753" i="8"/>
  <c r="O1754" i="8"/>
  <c r="R1754" i="8" s="1"/>
  <c r="S1754" i="8" s="1"/>
  <c r="U1754" i="8"/>
  <c r="W1754" i="8"/>
  <c r="O1755" i="8"/>
  <c r="R1755" i="8" s="1"/>
  <c r="S1755" i="8" s="1"/>
  <c r="U1755" i="8"/>
  <c r="W1755" i="8"/>
  <c r="O1756" i="8"/>
  <c r="R1756" i="8" s="1"/>
  <c r="S1756" i="8" s="1"/>
  <c r="U1756" i="8"/>
  <c r="W1756" i="8"/>
  <c r="O1757" i="8"/>
  <c r="R1757" i="8" s="1"/>
  <c r="S1757" i="8" s="1"/>
  <c r="U1757" i="8"/>
  <c r="W1757" i="8"/>
  <c r="O1758" i="8"/>
  <c r="R1758" i="8" s="1"/>
  <c r="S1758" i="8" s="1"/>
  <c r="U1758" i="8"/>
  <c r="W1758" i="8"/>
  <c r="O1759" i="8"/>
  <c r="R1759" i="8" s="1"/>
  <c r="S1759" i="8" s="1"/>
  <c r="U1759" i="8"/>
  <c r="W1759" i="8"/>
  <c r="O1760" i="8"/>
  <c r="R1760" i="8" s="1"/>
  <c r="S1760" i="8" s="1"/>
  <c r="U1760" i="8"/>
  <c r="W1760" i="8"/>
  <c r="O1761" i="8"/>
  <c r="R1761" i="8" s="1"/>
  <c r="S1761" i="8" s="1"/>
  <c r="U1761" i="8"/>
  <c r="W1761" i="8"/>
  <c r="O1762" i="8"/>
  <c r="R1762" i="8" s="1"/>
  <c r="S1762" i="8" s="1"/>
  <c r="U1762" i="8"/>
  <c r="W1762" i="8"/>
  <c r="O1763" i="8"/>
  <c r="R1763" i="8" s="1"/>
  <c r="S1763" i="8" s="1"/>
  <c r="U1763" i="8"/>
  <c r="W1763" i="8"/>
  <c r="O1764" i="8"/>
  <c r="R1764" i="8" s="1"/>
  <c r="S1764" i="8" s="1"/>
  <c r="U1764" i="8"/>
  <c r="W1764" i="8"/>
  <c r="O1765" i="8"/>
  <c r="R1765" i="8" s="1"/>
  <c r="S1765" i="8" s="1"/>
  <c r="U1765" i="8"/>
  <c r="W1765" i="8"/>
  <c r="O1766" i="8"/>
  <c r="R1766" i="8" s="1"/>
  <c r="S1766" i="8" s="1"/>
  <c r="U1766" i="8"/>
  <c r="W1766" i="8"/>
  <c r="O1767" i="8"/>
  <c r="R1767" i="8" s="1"/>
  <c r="S1767" i="8" s="1"/>
  <c r="U1767" i="8"/>
  <c r="W1767" i="8"/>
  <c r="O1768" i="8"/>
  <c r="R1768" i="8" s="1"/>
  <c r="S1768" i="8" s="1"/>
  <c r="U1768" i="8"/>
  <c r="W1768" i="8"/>
  <c r="O1769" i="8"/>
  <c r="R1769" i="8" s="1"/>
  <c r="S1769" i="8" s="1"/>
  <c r="U1769" i="8"/>
  <c r="W1769" i="8"/>
  <c r="O1770" i="8"/>
  <c r="R1770" i="8" s="1"/>
  <c r="S1770" i="8" s="1"/>
  <c r="U1770" i="8"/>
  <c r="W1770" i="8"/>
  <c r="O1771" i="8"/>
  <c r="R1771" i="8" s="1"/>
  <c r="S1771" i="8" s="1"/>
  <c r="U1771" i="8"/>
  <c r="W1771" i="8"/>
  <c r="O1772" i="8"/>
  <c r="R1772" i="8" s="1"/>
  <c r="S1772" i="8" s="1"/>
  <c r="U1772" i="8"/>
  <c r="W1772" i="8"/>
  <c r="O1773" i="8"/>
  <c r="R1773" i="8" s="1"/>
  <c r="S1773" i="8" s="1"/>
  <c r="U1773" i="8"/>
  <c r="W1773" i="8"/>
  <c r="O1774" i="8"/>
  <c r="R1774" i="8" s="1"/>
  <c r="S1774" i="8" s="1"/>
  <c r="U1774" i="8"/>
  <c r="W1774" i="8"/>
  <c r="O1775" i="8"/>
  <c r="R1775" i="8" s="1"/>
  <c r="S1775" i="8" s="1"/>
  <c r="U1775" i="8"/>
  <c r="W1775" i="8"/>
  <c r="O1776" i="8"/>
  <c r="R1776" i="8" s="1"/>
  <c r="S1776" i="8" s="1"/>
  <c r="O93" i="5" s="1"/>
  <c r="U1776" i="8"/>
  <c r="Q93" i="5" s="1"/>
  <c r="W1776" i="8"/>
  <c r="M93" i="5" s="1"/>
  <c r="O1777" i="8"/>
  <c r="R1777" i="8" s="1"/>
  <c r="S1777" i="8" s="1"/>
  <c r="U1777" i="8"/>
  <c r="W1777" i="8"/>
  <c r="O1778" i="8"/>
  <c r="R1778" i="8" s="1"/>
  <c r="S1778" i="8" s="1"/>
  <c r="U1778" i="8"/>
  <c r="W1778" i="8"/>
  <c r="O1779" i="8"/>
  <c r="R1779" i="8" s="1"/>
  <c r="S1779" i="8" s="1"/>
  <c r="U1779" i="8"/>
  <c r="W1779" i="8"/>
  <c r="O1780" i="8"/>
  <c r="R1780" i="8" s="1"/>
  <c r="S1780" i="8" s="1"/>
  <c r="U1780" i="8"/>
  <c r="W1780" i="8"/>
  <c r="O1781" i="8"/>
  <c r="R1781" i="8" s="1"/>
  <c r="S1781" i="8" s="1"/>
  <c r="U1781" i="8"/>
  <c r="W1781" i="8"/>
  <c r="O1782" i="8"/>
  <c r="R1782" i="8" s="1"/>
  <c r="S1782" i="8" s="1"/>
  <c r="U1782" i="8"/>
  <c r="W1782" i="8"/>
  <c r="O1783" i="8"/>
  <c r="R1783" i="8" s="1"/>
  <c r="S1783" i="8" s="1"/>
  <c r="U1783" i="8"/>
  <c r="W1783" i="8"/>
  <c r="O1784" i="8"/>
  <c r="R1784" i="8" s="1"/>
  <c r="S1784" i="8" s="1"/>
  <c r="U1784" i="8"/>
  <c r="W1784" i="8"/>
  <c r="O1785" i="8"/>
  <c r="R1785" i="8" s="1"/>
  <c r="S1785" i="8" s="1"/>
  <c r="U1785" i="8"/>
  <c r="W1785" i="8"/>
  <c r="O1786" i="8"/>
  <c r="R1786" i="8" s="1"/>
  <c r="S1786" i="8" s="1"/>
  <c r="U1786" i="8"/>
  <c r="W1786" i="8"/>
  <c r="O1787" i="8"/>
  <c r="R1787" i="8" s="1"/>
  <c r="S1787" i="8" s="1"/>
  <c r="U1787" i="8"/>
  <c r="W1787" i="8"/>
  <c r="O1788" i="8"/>
  <c r="R1788" i="8" s="1"/>
  <c r="S1788" i="8" s="1"/>
  <c r="U1788" i="8"/>
  <c r="W1788" i="8"/>
  <c r="O1789" i="8"/>
  <c r="R1789" i="8" s="1"/>
  <c r="S1789" i="8" s="1"/>
  <c r="U1789" i="8"/>
  <c r="W1789" i="8"/>
  <c r="O1790" i="8"/>
  <c r="R1790" i="8" s="1"/>
  <c r="S1790" i="8" s="1"/>
  <c r="U1790" i="8"/>
  <c r="W1790" i="8"/>
  <c r="O1791" i="8"/>
  <c r="R1791" i="8" s="1"/>
  <c r="S1791" i="8" s="1"/>
  <c r="U1791" i="8"/>
  <c r="W1791" i="8"/>
  <c r="O1792" i="8"/>
  <c r="R1792" i="8" s="1"/>
  <c r="S1792" i="8" s="1"/>
  <c r="U1792" i="8"/>
  <c r="W1792" i="8"/>
  <c r="O1793" i="8"/>
  <c r="R1793" i="8" s="1"/>
  <c r="S1793" i="8" s="1"/>
  <c r="U1793" i="8"/>
  <c r="W1793" i="8"/>
  <c r="O1794" i="8"/>
  <c r="R1794" i="8" s="1"/>
  <c r="S1794" i="8" s="1"/>
  <c r="U1794" i="8"/>
  <c r="W1794" i="8"/>
  <c r="O1795" i="8"/>
  <c r="R1795" i="8" s="1"/>
  <c r="S1795" i="8" s="1"/>
  <c r="U1795" i="8"/>
  <c r="W1795" i="8"/>
  <c r="O1796" i="8"/>
  <c r="R1796" i="8" s="1"/>
  <c r="S1796" i="8" s="1"/>
  <c r="U1796" i="8"/>
  <c r="W1796" i="8"/>
  <c r="O1797" i="8"/>
  <c r="R1797" i="8" s="1"/>
  <c r="S1797" i="8" s="1"/>
  <c r="U1797" i="8"/>
  <c r="W1797" i="8"/>
  <c r="O1798" i="8"/>
  <c r="R1798" i="8" s="1"/>
  <c r="S1798" i="8" s="1"/>
  <c r="U1798" i="8"/>
  <c r="W1798" i="8"/>
  <c r="O1799" i="8"/>
  <c r="R1799" i="8" s="1"/>
  <c r="S1799" i="8" s="1"/>
  <c r="U1799" i="8"/>
  <c r="W1799" i="8"/>
  <c r="O1800" i="8"/>
  <c r="R1800" i="8" s="1"/>
  <c r="S1800" i="8" s="1"/>
  <c r="U1800" i="8"/>
  <c r="W1800" i="8"/>
  <c r="O1801" i="8"/>
  <c r="R1801" i="8" s="1"/>
  <c r="S1801" i="8" s="1"/>
  <c r="U1801" i="8"/>
  <c r="W1801" i="8"/>
  <c r="O1802" i="8"/>
  <c r="R1802" i="8" s="1"/>
  <c r="S1802" i="8" s="1"/>
  <c r="U1802" i="8"/>
  <c r="W1802" i="8"/>
  <c r="O1803" i="8"/>
  <c r="R1803" i="8" s="1"/>
  <c r="S1803" i="8" s="1"/>
  <c r="U1803" i="8"/>
  <c r="W1803" i="8"/>
  <c r="O1804" i="8"/>
  <c r="R1804" i="8" s="1"/>
  <c r="S1804" i="8" s="1"/>
  <c r="U1804" i="8"/>
  <c r="W1804" i="8"/>
  <c r="O1805" i="8"/>
  <c r="R1805" i="8" s="1"/>
  <c r="S1805" i="8" s="1"/>
  <c r="U1805" i="8"/>
  <c r="W1805" i="8"/>
  <c r="O1806" i="8"/>
  <c r="R1806" i="8" s="1"/>
  <c r="S1806" i="8" s="1"/>
  <c r="U1806" i="8"/>
  <c r="W1806" i="8"/>
  <c r="O1807" i="8"/>
  <c r="R1807" i="8" s="1"/>
  <c r="S1807" i="8" s="1"/>
  <c r="U1807" i="8"/>
  <c r="W1807" i="8"/>
  <c r="O1808" i="8"/>
  <c r="R1808" i="8" s="1"/>
  <c r="S1808" i="8" s="1"/>
  <c r="U1808" i="8"/>
  <c r="W1808" i="8"/>
  <c r="O1809" i="8"/>
  <c r="R1809" i="8" s="1"/>
  <c r="S1809" i="8" s="1"/>
  <c r="U1809" i="8"/>
  <c r="W1809" i="8"/>
  <c r="O1810" i="8"/>
  <c r="R1810" i="8" s="1"/>
  <c r="S1810" i="8" s="1"/>
  <c r="U1810" i="8"/>
  <c r="W1810" i="8"/>
  <c r="O1811" i="8"/>
  <c r="R1811" i="8" s="1"/>
  <c r="S1811" i="8" s="1"/>
  <c r="U1811" i="8"/>
  <c r="W1811" i="8"/>
  <c r="O1812" i="8"/>
  <c r="R1812" i="8" s="1"/>
  <c r="S1812" i="8" s="1"/>
  <c r="U1812" i="8"/>
  <c r="W1812" i="8"/>
  <c r="O1813" i="8"/>
  <c r="R1813" i="8" s="1"/>
  <c r="S1813" i="8" s="1"/>
  <c r="U1813" i="8"/>
  <c r="W1813" i="8"/>
  <c r="O1814" i="8"/>
  <c r="R1814" i="8" s="1"/>
  <c r="S1814" i="8" s="1"/>
  <c r="U1814" i="8"/>
  <c r="W1814" i="8"/>
  <c r="O1815" i="8"/>
  <c r="R1815" i="8" s="1"/>
  <c r="S1815" i="8" s="1"/>
  <c r="U1815" i="8"/>
  <c r="W1815" i="8"/>
  <c r="O1816" i="8"/>
  <c r="R1816" i="8" s="1"/>
  <c r="S1816" i="8" s="1"/>
  <c r="U1816" i="8"/>
  <c r="W1816" i="8"/>
  <c r="O1817" i="8"/>
  <c r="R1817" i="8" s="1"/>
  <c r="S1817" i="8" s="1"/>
  <c r="U1817" i="8"/>
  <c r="W1817" i="8"/>
  <c r="O1818" i="8"/>
  <c r="R1818" i="8" s="1"/>
  <c r="S1818" i="8" s="1"/>
  <c r="U1818" i="8"/>
  <c r="W1818" i="8"/>
  <c r="O1819" i="8"/>
  <c r="R1819" i="8" s="1"/>
  <c r="S1819" i="8" s="1"/>
  <c r="U1819" i="8"/>
  <c r="W1819" i="8"/>
  <c r="O1820" i="8"/>
  <c r="R1820" i="8" s="1"/>
  <c r="S1820" i="8" s="1"/>
  <c r="O85" i="5" s="1"/>
  <c r="U1820" i="8"/>
  <c r="Q85" i="5" s="1"/>
  <c r="W1820" i="8"/>
  <c r="M85" i="5" s="1"/>
  <c r="O1821" i="8"/>
  <c r="R1821" i="8" s="1"/>
  <c r="S1821" i="8" s="1"/>
  <c r="U1821" i="8"/>
  <c r="W1821" i="8"/>
  <c r="O1822" i="8"/>
  <c r="R1822" i="8" s="1"/>
  <c r="S1822" i="8" s="1"/>
  <c r="U1822" i="8"/>
  <c r="W1822" i="8"/>
  <c r="O1823" i="8"/>
  <c r="R1823" i="8" s="1"/>
  <c r="S1823" i="8" s="1"/>
  <c r="U1823" i="8"/>
  <c r="W1823" i="8"/>
  <c r="O1824" i="8"/>
  <c r="R1824" i="8" s="1"/>
  <c r="S1824" i="8" s="1"/>
  <c r="U1824" i="8"/>
  <c r="W1824" i="8"/>
  <c r="O1825" i="8"/>
  <c r="R1825" i="8" s="1"/>
  <c r="S1825" i="8" s="1"/>
  <c r="U1825" i="8"/>
  <c r="W1825" i="8"/>
  <c r="O1826" i="8"/>
  <c r="R1826" i="8" s="1"/>
  <c r="S1826" i="8" s="1"/>
  <c r="U1826" i="8"/>
  <c r="W1826" i="8"/>
  <c r="O1827" i="8"/>
  <c r="R1827" i="8" s="1"/>
  <c r="S1827" i="8" s="1"/>
  <c r="U1827" i="8"/>
  <c r="W1827" i="8"/>
  <c r="O1828" i="8"/>
  <c r="R1828" i="8" s="1"/>
  <c r="S1828" i="8" s="1"/>
  <c r="U1828" i="8"/>
  <c r="W1828" i="8"/>
  <c r="O1829" i="8"/>
  <c r="R1829" i="8" s="1"/>
  <c r="S1829" i="8" s="1"/>
  <c r="U1829" i="8"/>
  <c r="W1829" i="8"/>
  <c r="O1830" i="8"/>
  <c r="R1830" i="8" s="1"/>
  <c r="S1830" i="8" s="1"/>
  <c r="U1830" i="8"/>
  <c r="W1830" i="8"/>
  <c r="O1831" i="8"/>
  <c r="R1831" i="8" s="1"/>
  <c r="S1831" i="8" s="1"/>
  <c r="U1831" i="8"/>
  <c r="W1831" i="8"/>
  <c r="O1832" i="8"/>
  <c r="R1832" i="8" s="1"/>
  <c r="S1832" i="8" s="1"/>
  <c r="U1832" i="8"/>
  <c r="W1832" i="8"/>
  <c r="O1833" i="8"/>
  <c r="R1833" i="8" s="1"/>
  <c r="S1833" i="8" s="1"/>
  <c r="U1833" i="8"/>
  <c r="W1833" i="8"/>
  <c r="O1834" i="8"/>
  <c r="R1834" i="8" s="1"/>
  <c r="S1834" i="8" s="1"/>
  <c r="U1834" i="8"/>
  <c r="W1834" i="8"/>
  <c r="O1835" i="8"/>
  <c r="R1835" i="8" s="1"/>
  <c r="S1835" i="8" s="1"/>
  <c r="U1835" i="8"/>
  <c r="W1835" i="8"/>
  <c r="O1836" i="8"/>
  <c r="R1836" i="8" s="1"/>
  <c r="S1836" i="8" s="1"/>
  <c r="U1836" i="8"/>
  <c r="W1836" i="8"/>
  <c r="O1837" i="8"/>
  <c r="R1837" i="8" s="1"/>
  <c r="S1837" i="8" s="1"/>
  <c r="U1837" i="8"/>
  <c r="W1837" i="8"/>
  <c r="O1838" i="8"/>
  <c r="R1838" i="8" s="1"/>
  <c r="S1838" i="8" s="1"/>
  <c r="U1838" i="8"/>
  <c r="W1838" i="8"/>
  <c r="O1839" i="8"/>
  <c r="R1839" i="8" s="1"/>
  <c r="S1839" i="8" s="1"/>
  <c r="U1839" i="8"/>
  <c r="W1839" i="8"/>
  <c r="O1840" i="8"/>
  <c r="R1840" i="8" s="1"/>
  <c r="S1840" i="8" s="1"/>
  <c r="U1840" i="8"/>
  <c r="W1840" i="8"/>
  <c r="O1841" i="8"/>
  <c r="R1841" i="8" s="1"/>
  <c r="S1841" i="8" s="1"/>
  <c r="U1841" i="8"/>
  <c r="W1841" i="8"/>
  <c r="O1842" i="8"/>
  <c r="R1842" i="8" s="1"/>
  <c r="S1842" i="8" s="1"/>
  <c r="U1842" i="8"/>
  <c r="W1842" i="8"/>
  <c r="O1843" i="8"/>
  <c r="R1843" i="8" s="1"/>
  <c r="S1843" i="8" s="1"/>
  <c r="U1843" i="8"/>
  <c r="W1843" i="8"/>
  <c r="O1844" i="8"/>
  <c r="R1844" i="8" s="1"/>
  <c r="S1844" i="8" s="1"/>
  <c r="U1844" i="8"/>
  <c r="W1844" i="8"/>
  <c r="O1845" i="8"/>
  <c r="R1845" i="8" s="1"/>
  <c r="S1845" i="8" s="1"/>
  <c r="U1845" i="8"/>
  <c r="W1845" i="8"/>
  <c r="O1846" i="8"/>
  <c r="R1846" i="8" s="1"/>
  <c r="S1846" i="8" s="1"/>
  <c r="U1846" i="8"/>
  <c r="W1846" i="8"/>
  <c r="O1847" i="8"/>
  <c r="R1847" i="8" s="1"/>
  <c r="S1847" i="8" s="1"/>
  <c r="U1847" i="8"/>
  <c r="W1847" i="8"/>
  <c r="O1848" i="8"/>
  <c r="R1848" i="8" s="1"/>
  <c r="S1848" i="8" s="1"/>
  <c r="U1848" i="8"/>
  <c r="W1848" i="8"/>
  <c r="O1849" i="8"/>
  <c r="R1849" i="8" s="1"/>
  <c r="S1849" i="8" s="1"/>
  <c r="U1849" i="8"/>
  <c r="W1849" i="8"/>
  <c r="O1850" i="8"/>
  <c r="R1850" i="8" s="1"/>
  <c r="S1850" i="8" s="1"/>
  <c r="U1850" i="8"/>
  <c r="W1850" i="8"/>
  <c r="O1851" i="8"/>
  <c r="R1851" i="8" s="1"/>
  <c r="S1851" i="8" s="1"/>
  <c r="U1851" i="8"/>
  <c r="W1851" i="8"/>
  <c r="O1852" i="8"/>
  <c r="R1852" i="8" s="1"/>
  <c r="S1852" i="8" s="1"/>
  <c r="U1852" i="8"/>
  <c r="W1852" i="8"/>
  <c r="O1853" i="8"/>
  <c r="R1853" i="8" s="1"/>
  <c r="S1853" i="8" s="1"/>
  <c r="U1853" i="8"/>
  <c r="W1853" i="8"/>
  <c r="O1854" i="8"/>
  <c r="R1854" i="8" s="1"/>
  <c r="S1854" i="8" s="1"/>
  <c r="U1854" i="8"/>
  <c r="W1854" i="8"/>
  <c r="O1855" i="8"/>
  <c r="R1855" i="8" s="1"/>
  <c r="S1855" i="8" s="1"/>
  <c r="U1855" i="8"/>
  <c r="W1855" i="8"/>
  <c r="O1856" i="8"/>
  <c r="R1856" i="8" s="1"/>
  <c r="S1856" i="8" s="1"/>
  <c r="U1856" i="8"/>
  <c r="W1856" i="8"/>
  <c r="O1857" i="8"/>
  <c r="R1857" i="8" s="1"/>
  <c r="S1857" i="8" s="1"/>
  <c r="U1857" i="8"/>
  <c r="W1857" i="8"/>
  <c r="O1858" i="8"/>
  <c r="R1858" i="8" s="1"/>
  <c r="S1858" i="8" s="1"/>
  <c r="U1858" i="8"/>
  <c r="W1858" i="8"/>
  <c r="O1859" i="8"/>
  <c r="R1859" i="8" s="1"/>
  <c r="S1859" i="8" s="1"/>
  <c r="U1859" i="8"/>
  <c r="W1859" i="8"/>
  <c r="O1860" i="8"/>
  <c r="R1860" i="8" s="1"/>
  <c r="S1860" i="8" s="1"/>
  <c r="U1860" i="8"/>
  <c r="W1860" i="8"/>
  <c r="O1861" i="8"/>
  <c r="R1861" i="8" s="1"/>
  <c r="S1861" i="8" s="1"/>
  <c r="U1861" i="8"/>
  <c r="W1861" i="8"/>
  <c r="O1862" i="8"/>
  <c r="R1862" i="8" s="1"/>
  <c r="S1862" i="8" s="1"/>
  <c r="U1862" i="8"/>
  <c r="W1862" i="8"/>
  <c r="O1863" i="8"/>
  <c r="R1863" i="8" s="1"/>
  <c r="S1863" i="8" s="1"/>
  <c r="U1863" i="8"/>
  <c r="W1863" i="8"/>
  <c r="O1864" i="8"/>
  <c r="R1864" i="8" s="1"/>
  <c r="S1864" i="8" s="1"/>
  <c r="U1864" i="8"/>
  <c r="W1864" i="8"/>
  <c r="O1865" i="8"/>
  <c r="R1865" i="8" s="1"/>
  <c r="S1865" i="8" s="1"/>
  <c r="U1865" i="8"/>
  <c r="W1865" i="8"/>
  <c r="O1866" i="8"/>
  <c r="R1866" i="8" s="1"/>
  <c r="S1866" i="8" s="1"/>
  <c r="U1866" i="8"/>
  <c r="W1866" i="8"/>
  <c r="O1867" i="8"/>
  <c r="R1867" i="8" s="1"/>
  <c r="S1867" i="8" s="1"/>
  <c r="U1867" i="8"/>
  <c r="W1867" i="8"/>
  <c r="W1868" i="8"/>
  <c r="U1868" i="8"/>
  <c r="O1868" i="8"/>
  <c r="R1868" i="8" s="1"/>
  <c r="S1868" i="8" s="1"/>
  <c r="W1869" i="8"/>
  <c r="U1869" i="8"/>
  <c r="O1869" i="8"/>
  <c r="R1869" i="8" s="1"/>
  <c r="S1869" i="8" s="1"/>
  <c r="W1870" i="8"/>
  <c r="U1870" i="8"/>
  <c r="O1870" i="8"/>
  <c r="R1870" i="8" s="1"/>
  <c r="S1870" i="8" s="1"/>
  <c r="W1871" i="8"/>
  <c r="U1871" i="8"/>
  <c r="O1871" i="8"/>
  <c r="R1871" i="8" s="1"/>
  <c r="S1871" i="8" s="1"/>
  <c r="W1872" i="8"/>
  <c r="U1872" i="8"/>
  <c r="O1872" i="8"/>
  <c r="R1872" i="8" s="1"/>
  <c r="S1872" i="8" s="1"/>
  <c r="W1873" i="8"/>
  <c r="U1873" i="8"/>
  <c r="O1873" i="8"/>
  <c r="R1873" i="8" s="1"/>
  <c r="S1873" i="8" s="1"/>
  <c r="W1874" i="8"/>
  <c r="U1874" i="8"/>
  <c r="O1874" i="8"/>
  <c r="R1874" i="8" s="1"/>
  <c r="S1874" i="8" s="1"/>
  <c r="W1875" i="8"/>
  <c r="U1875" i="8"/>
  <c r="O1875" i="8"/>
  <c r="R1875" i="8" s="1"/>
  <c r="S1875" i="8" s="1"/>
  <c r="W1876" i="8"/>
  <c r="U1876" i="8"/>
  <c r="O1876" i="8"/>
  <c r="R1876" i="8" s="1"/>
  <c r="S1876" i="8" s="1"/>
  <c r="W1877" i="8"/>
  <c r="U1877" i="8"/>
  <c r="O1877" i="8"/>
  <c r="R1877" i="8" s="1"/>
  <c r="S1877" i="8" s="1"/>
  <c r="W1878" i="8"/>
  <c r="U1878" i="8"/>
  <c r="O1878" i="8"/>
  <c r="R1878" i="8" s="1"/>
  <c r="S1878" i="8" s="1"/>
  <c r="W1879" i="8"/>
  <c r="U1879" i="8"/>
  <c r="O1879" i="8"/>
  <c r="R1879" i="8" s="1"/>
  <c r="S1879" i="8" s="1"/>
  <c r="W1880" i="8"/>
  <c r="U1880" i="8"/>
  <c r="O1880" i="8"/>
  <c r="R1880" i="8" s="1"/>
  <c r="S1880" i="8" s="1"/>
  <c r="W1881" i="8"/>
  <c r="U1881" i="8"/>
  <c r="O1881" i="8"/>
  <c r="R1881" i="8" s="1"/>
  <c r="S1881" i="8" s="1"/>
  <c r="W1882" i="8"/>
  <c r="U1882" i="8"/>
  <c r="O1882" i="8"/>
  <c r="R1882" i="8" s="1"/>
  <c r="S1882" i="8" s="1"/>
  <c r="W1883" i="8"/>
  <c r="U1883" i="8"/>
  <c r="O1883" i="8"/>
  <c r="R1883" i="8" s="1"/>
  <c r="S1883" i="8" s="1"/>
  <c r="W1884" i="8"/>
  <c r="U1884" i="8"/>
  <c r="O1884" i="8"/>
  <c r="R1884" i="8" s="1"/>
  <c r="S1884" i="8" s="1"/>
  <c r="W1885" i="8"/>
  <c r="U1885" i="8"/>
  <c r="O1885" i="8"/>
  <c r="R1885" i="8" s="1"/>
  <c r="S1885" i="8" s="1"/>
  <c r="W1886" i="8"/>
  <c r="U1886" i="8"/>
  <c r="O1886" i="8"/>
  <c r="R1886" i="8" s="1"/>
  <c r="S1886" i="8" s="1"/>
  <c r="W1887" i="8"/>
  <c r="U1887" i="8"/>
  <c r="O1887" i="8"/>
  <c r="R1887" i="8" s="1"/>
  <c r="S1887" i="8" s="1"/>
  <c r="W1888" i="8"/>
  <c r="U1888" i="8"/>
  <c r="O1888" i="8"/>
  <c r="R1888" i="8" s="1"/>
  <c r="S1888" i="8" s="1"/>
  <c r="W1889" i="8"/>
  <c r="U1889" i="8"/>
  <c r="O1889" i="8"/>
  <c r="R1889" i="8" s="1"/>
  <c r="S1889" i="8" s="1"/>
  <c r="W1890" i="8"/>
  <c r="U1890" i="8"/>
  <c r="O1890" i="8"/>
  <c r="R1890" i="8" s="1"/>
  <c r="S1890" i="8" s="1"/>
  <c r="W1891" i="8"/>
  <c r="U1891" i="8"/>
  <c r="O1891" i="8"/>
  <c r="R1891" i="8" s="1"/>
  <c r="S1891" i="8" s="1"/>
  <c r="W1892" i="8"/>
  <c r="U1892" i="8"/>
  <c r="O1892" i="8"/>
  <c r="R1892" i="8" s="1"/>
  <c r="S1892" i="8" s="1"/>
  <c r="W1893" i="8"/>
  <c r="U1893" i="8"/>
  <c r="O1893" i="8"/>
  <c r="R1893" i="8" s="1"/>
  <c r="S1893" i="8" s="1"/>
  <c r="W1894" i="8"/>
  <c r="U1894" i="8"/>
  <c r="O1894" i="8"/>
  <c r="R1894" i="8" s="1"/>
  <c r="S1894" i="8" s="1"/>
  <c r="W1895" i="8"/>
  <c r="U1895" i="8"/>
  <c r="O1895" i="8"/>
  <c r="R1895" i="8" s="1"/>
  <c r="S1895" i="8" s="1"/>
  <c r="W1896" i="8"/>
  <c r="U1896" i="8"/>
  <c r="O1896" i="8"/>
  <c r="R1896" i="8" s="1"/>
  <c r="S1896" i="8" s="1"/>
  <c r="W1897" i="8"/>
  <c r="U1897" i="8"/>
  <c r="O1897" i="8"/>
  <c r="R1897" i="8" s="1"/>
  <c r="S1897" i="8" s="1"/>
  <c r="W1898" i="8"/>
  <c r="U1898" i="8"/>
  <c r="O1898" i="8"/>
  <c r="R1898" i="8" s="1"/>
  <c r="S1898" i="8" s="1"/>
  <c r="W1899" i="8"/>
  <c r="U1899" i="8"/>
  <c r="O1899" i="8"/>
  <c r="R1899" i="8" s="1"/>
  <c r="S1899" i="8" s="1"/>
  <c r="W1900" i="8"/>
  <c r="U1900" i="8"/>
  <c r="O1900" i="8"/>
  <c r="R1900" i="8" s="1"/>
  <c r="S1900" i="8" s="1"/>
  <c r="W1901" i="8"/>
  <c r="U1901" i="8"/>
  <c r="O1901" i="8"/>
  <c r="R1901" i="8" s="1"/>
  <c r="S1901" i="8" s="1"/>
  <c r="W1902" i="8"/>
  <c r="U1902" i="8"/>
  <c r="O1902" i="8"/>
  <c r="R1902" i="8" s="1"/>
  <c r="S1902" i="8" s="1"/>
  <c r="W1903" i="8"/>
  <c r="U1903" i="8"/>
  <c r="O1903" i="8"/>
  <c r="R1903" i="8" s="1"/>
  <c r="S1903" i="8" s="1"/>
  <c r="W1904" i="8"/>
  <c r="U1904" i="8"/>
  <c r="O1904" i="8"/>
  <c r="R1904" i="8" s="1"/>
  <c r="S1904" i="8" s="1"/>
  <c r="W1905" i="8"/>
  <c r="U1905" i="8"/>
  <c r="O1905" i="8"/>
  <c r="R1905" i="8" s="1"/>
  <c r="S1905" i="8" s="1"/>
  <c r="W1906" i="8"/>
  <c r="U1906" i="8"/>
  <c r="O1906" i="8"/>
  <c r="R1906" i="8" s="1"/>
  <c r="S1906" i="8" s="1"/>
  <c r="W1907" i="8"/>
  <c r="U1907" i="8"/>
  <c r="O1907" i="8"/>
  <c r="R1907" i="8" s="1"/>
  <c r="S1907" i="8" s="1"/>
  <c r="W1908" i="8"/>
  <c r="U1908" i="8"/>
  <c r="O1908" i="8"/>
  <c r="R1908" i="8" s="1"/>
  <c r="S1908" i="8" s="1"/>
  <c r="W1909" i="8"/>
  <c r="U1909" i="8"/>
  <c r="O1909" i="8"/>
  <c r="R1909" i="8" s="1"/>
  <c r="S1909" i="8" s="1"/>
  <c r="W1910" i="8"/>
  <c r="U1910" i="8"/>
  <c r="O1910" i="8"/>
  <c r="R1910" i="8" s="1"/>
  <c r="S1910" i="8" s="1"/>
  <c r="W1911" i="8"/>
  <c r="U1911" i="8"/>
  <c r="O1911" i="8"/>
  <c r="R1911" i="8" s="1"/>
  <c r="S1911" i="8" s="1"/>
  <c r="W1912" i="8"/>
  <c r="U1912" i="8"/>
  <c r="O1912" i="8"/>
  <c r="R1912" i="8" s="1"/>
  <c r="S1912" i="8" s="1"/>
  <c r="W1913" i="8"/>
  <c r="U1913" i="8"/>
  <c r="O1913" i="8"/>
  <c r="R1913" i="8" s="1"/>
  <c r="S1913" i="8" s="1"/>
  <c r="W1914" i="8"/>
  <c r="U1914" i="8"/>
  <c r="O1914" i="8"/>
  <c r="R1914" i="8" s="1"/>
  <c r="S1914" i="8" s="1"/>
  <c r="W1915" i="8"/>
  <c r="U1915" i="8"/>
  <c r="O1915" i="8"/>
  <c r="R1915" i="8" s="1"/>
  <c r="S1915" i="8" s="1"/>
  <c r="W1916" i="8"/>
  <c r="U1916" i="8"/>
  <c r="O1916" i="8"/>
  <c r="R1916" i="8" s="1"/>
  <c r="S1916" i="8" s="1"/>
  <c r="W1917" i="8"/>
  <c r="U1917" i="8"/>
  <c r="O1917" i="8"/>
  <c r="R1917" i="8" s="1"/>
  <c r="S1917" i="8" s="1"/>
  <c r="W1918" i="8"/>
  <c r="U1918" i="8"/>
  <c r="O1918" i="8"/>
  <c r="R1918" i="8" s="1"/>
  <c r="S1918" i="8" s="1"/>
  <c r="W1919" i="8"/>
  <c r="U1919" i="8"/>
  <c r="O1919" i="8"/>
  <c r="R1919" i="8" s="1"/>
  <c r="S1919" i="8" s="1"/>
  <c r="W1920" i="8"/>
  <c r="U1920" i="8"/>
  <c r="O1920" i="8"/>
  <c r="R1920" i="8" s="1"/>
  <c r="S1920" i="8" s="1"/>
  <c r="W1921" i="8"/>
  <c r="U1921" i="8"/>
  <c r="O1921" i="8"/>
  <c r="R1921" i="8" s="1"/>
  <c r="S1921" i="8" s="1"/>
  <c r="W1922" i="8"/>
  <c r="U1922" i="8"/>
  <c r="O1922" i="8"/>
  <c r="R1922" i="8" s="1"/>
  <c r="S1922" i="8" s="1"/>
  <c r="W1923" i="8"/>
  <c r="U1923" i="8"/>
  <c r="O1923" i="8"/>
  <c r="R1923" i="8" s="1"/>
  <c r="S1923" i="8" s="1"/>
  <c r="W1924" i="8"/>
  <c r="U1924" i="8"/>
  <c r="O1924" i="8"/>
  <c r="R1924" i="8" s="1"/>
  <c r="S1924" i="8" s="1"/>
  <c r="W1925" i="8"/>
  <c r="U1925" i="8"/>
  <c r="O1925" i="8"/>
  <c r="R1925" i="8" s="1"/>
  <c r="S1925" i="8" s="1"/>
  <c r="W1926" i="8"/>
  <c r="U1926" i="8"/>
  <c r="O1926" i="8"/>
  <c r="R1926" i="8" s="1"/>
  <c r="S1926" i="8" s="1"/>
  <c r="W1927" i="8"/>
  <c r="U1927" i="8"/>
  <c r="O1927" i="8"/>
  <c r="R1927" i="8" s="1"/>
  <c r="S1927" i="8" s="1"/>
  <c r="W1928" i="8"/>
  <c r="U1928" i="8"/>
  <c r="O1928" i="8"/>
  <c r="R1928" i="8" s="1"/>
  <c r="S1928" i="8" s="1"/>
  <c r="W1929" i="8"/>
  <c r="U1929" i="8"/>
  <c r="O1929" i="8"/>
  <c r="R1929" i="8" s="1"/>
  <c r="S1929" i="8" s="1"/>
  <c r="W1930" i="8"/>
  <c r="U1930" i="8"/>
  <c r="O1930" i="8"/>
  <c r="R1930" i="8" s="1"/>
  <c r="S1930" i="8" s="1"/>
  <c r="W1931" i="8"/>
  <c r="U1931" i="8"/>
  <c r="O1931" i="8"/>
  <c r="R1931" i="8" s="1"/>
  <c r="S1931" i="8" s="1"/>
  <c r="W1932" i="8"/>
  <c r="U1932" i="8"/>
  <c r="O1932" i="8"/>
  <c r="R1932" i="8" s="1"/>
  <c r="S1932" i="8" s="1"/>
  <c r="W1933" i="8"/>
  <c r="U1933" i="8"/>
  <c r="O1933" i="8"/>
  <c r="R1933" i="8" s="1"/>
  <c r="S1933" i="8" s="1"/>
  <c r="W1934" i="8"/>
  <c r="U1934" i="8"/>
  <c r="O1934" i="8"/>
  <c r="R1934" i="8" s="1"/>
  <c r="S1934" i="8" s="1"/>
  <c r="W1935" i="8"/>
  <c r="U1935" i="8"/>
  <c r="O1935" i="8"/>
  <c r="R1935" i="8" s="1"/>
  <c r="S1935" i="8" s="1"/>
  <c r="W1936" i="8"/>
  <c r="U1936" i="8"/>
  <c r="O1936" i="8"/>
  <c r="R1936" i="8" s="1"/>
  <c r="S1936" i="8" s="1"/>
  <c r="W1937" i="8"/>
  <c r="U1937" i="8"/>
  <c r="O1937" i="8"/>
  <c r="R1937" i="8" s="1"/>
  <c r="S1937" i="8" s="1"/>
  <c r="W1938" i="8"/>
  <c r="U1938" i="8"/>
  <c r="O1938" i="8"/>
  <c r="R1938" i="8" s="1"/>
  <c r="S1938" i="8" s="1"/>
  <c r="W1939" i="8"/>
  <c r="U1939" i="8"/>
  <c r="O1939" i="8"/>
  <c r="R1939" i="8" s="1"/>
  <c r="S1939" i="8" s="1"/>
  <c r="W1940" i="8"/>
  <c r="U1940" i="8"/>
  <c r="O1940" i="8"/>
  <c r="R1940" i="8" s="1"/>
  <c r="S1940" i="8" s="1"/>
  <c r="W1941" i="8"/>
  <c r="U1941" i="8"/>
  <c r="O1941" i="8"/>
  <c r="R1941" i="8" s="1"/>
  <c r="S1941" i="8" s="1"/>
  <c r="W1942" i="8"/>
  <c r="U1942" i="8"/>
  <c r="O1942" i="8"/>
  <c r="R1942" i="8" s="1"/>
  <c r="S1942" i="8" s="1"/>
  <c r="W1943" i="8"/>
  <c r="U1943" i="8"/>
  <c r="O1943" i="8"/>
  <c r="R1943" i="8" s="1"/>
  <c r="S1943" i="8" s="1"/>
  <c r="W1944" i="8"/>
  <c r="U1944" i="8"/>
  <c r="O1944" i="8"/>
  <c r="R1944" i="8" s="1"/>
  <c r="S1944" i="8" s="1"/>
  <c r="W1945" i="8"/>
  <c r="U1945" i="8"/>
  <c r="O1945" i="8"/>
  <c r="R1945" i="8" s="1"/>
  <c r="S1945" i="8" s="1"/>
  <c r="W1946" i="8"/>
  <c r="M99" i="5" s="1"/>
  <c r="U1946" i="8"/>
  <c r="Q99" i="5" s="1"/>
  <c r="O1946" i="8"/>
  <c r="R1946" i="8" s="1"/>
  <c r="S1946" i="8" s="1"/>
  <c r="O99" i="5" s="1"/>
  <c r="W1947" i="8"/>
  <c r="U1947" i="8"/>
  <c r="O1947" i="8"/>
  <c r="R1947" i="8" s="1"/>
  <c r="S1947" i="8" s="1"/>
  <c r="W1948" i="8"/>
  <c r="U1948" i="8"/>
  <c r="O1948" i="8"/>
  <c r="R1948" i="8" s="1"/>
  <c r="S1948" i="8" s="1"/>
  <c r="W1949" i="8"/>
  <c r="U1949" i="8"/>
  <c r="O1949" i="8"/>
  <c r="R1949" i="8" s="1"/>
  <c r="S1949" i="8" s="1"/>
  <c r="W1950" i="8"/>
  <c r="U1950" i="8"/>
  <c r="O1950" i="8"/>
  <c r="R1950" i="8" s="1"/>
  <c r="S1950" i="8" s="1"/>
  <c r="W1951" i="8"/>
  <c r="U1951" i="8"/>
  <c r="O1951" i="8"/>
  <c r="R1951" i="8" s="1"/>
  <c r="S1951" i="8" s="1"/>
  <c r="W1952" i="8"/>
  <c r="U1952" i="8"/>
  <c r="O1952" i="8"/>
  <c r="R1952" i="8" s="1"/>
  <c r="S1952" i="8" s="1"/>
  <c r="W1953" i="8"/>
  <c r="U1953" i="8"/>
  <c r="O1953" i="8"/>
  <c r="R1953" i="8" s="1"/>
  <c r="S1953" i="8" s="1"/>
  <c r="W1954" i="8"/>
  <c r="U1954" i="8"/>
  <c r="O1954" i="8"/>
  <c r="R1954" i="8" s="1"/>
  <c r="S1954" i="8" s="1"/>
  <c r="W1955" i="8"/>
  <c r="U1955" i="8"/>
  <c r="O1955" i="8"/>
  <c r="R1955" i="8" s="1"/>
  <c r="S1955" i="8" s="1"/>
  <c r="W1956" i="8"/>
  <c r="U1956" i="8"/>
  <c r="O1956" i="8"/>
  <c r="R1956" i="8" s="1"/>
  <c r="S1956" i="8" s="1"/>
  <c r="W1957" i="8"/>
  <c r="U1957" i="8"/>
  <c r="O1957" i="8"/>
  <c r="R1957" i="8" s="1"/>
  <c r="S1957" i="8" s="1"/>
  <c r="W1958" i="8"/>
  <c r="U1958" i="8"/>
  <c r="O1958" i="8"/>
  <c r="R1958" i="8" s="1"/>
  <c r="S1958" i="8" s="1"/>
  <c r="W1959" i="8"/>
  <c r="U1959" i="8"/>
  <c r="O1959" i="8"/>
  <c r="R1959" i="8" s="1"/>
  <c r="S1959" i="8" s="1"/>
  <c r="W1960" i="8"/>
  <c r="U1960" i="8"/>
  <c r="O1960" i="8"/>
  <c r="R1960" i="8" s="1"/>
  <c r="S1960" i="8" s="1"/>
  <c r="W1961" i="8"/>
  <c r="U1961" i="8"/>
  <c r="O1961" i="8"/>
  <c r="R1961" i="8" s="1"/>
  <c r="S1961" i="8" s="1"/>
  <c r="W1962" i="8"/>
  <c r="U1962" i="8"/>
  <c r="O1962" i="8"/>
  <c r="R1962" i="8" s="1"/>
  <c r="S1962" i="8" s="1"/>
  <c r="W1963" i="8"/>
  <c r="U1963" i="8"/>
  <c r="O1963" i="8"/>
  <c r="R1963" i="8" s="1"/>
  <c r="S1963" i="8" s="1"/>
  <c r="W1964" i="8"/>
  <c r="U1964" i="8"/>
  <c r="O1964" i="8"/>
  <c r="R1964" i="8" s="1"/>
  <c r="S1964" i="8" s="1"/>
  <c r="W1965" i="8"/>
  <c r="U1965" i="8"/>
  <c r="O1965" i="8"/>
  <c r="R1965" i="8" s="1"/>
  <c r="S1965" i="8" s="1"/>
  <c r="W1966" i="8"/>
  <c r="U1966" i="8"/>
  <c r="O1966" i="8"/>
  <c r="R1966" i="8" s="1"/>
  <c r="S1966" i="8" s="1"/>
  <c r="W1967" i="8"/>
  <c r="U1967" i="8"/>
  <c r="O1967" i="8"/>
  <c r="R1967" i="8" s="1"/>
  <c r="S1967" i="8" s="1"/>
  <c r="W1968" i="8"/>
  <c r="U1968" i="8"/>
  <c r="O1968" i="8"/>
  <c r="R1968" i="8" s="1"/>
  <c r="S1968" i="8" s="1"/>
  <c r="W1969" i="8"/>
  <c r="U1969" i="8"/>
  <c r="O1969" i="8"/>
  <c r="R1969" i="8" s="1"/>
  <c r="S1969" i="8" s="1"/>
  <c r="W1970" i="8"/>
  <c r="U1970" i="8"/>
  <c r="O1970" i="8"/>
  <c r="R1970" i="8" s="1"/>
  <c r="S1970" i="8" s="1"/>
  <c r="W1971" i="8"/>
  <c r="U1971" i="8"/>
  <c r="O1971" i="8"/>
  <c r="R1971" i="8" s="1"/>
  <c r="S1971" i="8" s="1"/>
  <c r="W1972" i="8"/>
  <c r="U1972" i="8"/>
  <c r="O1972" i="8"/>
  <c r="R1972" i="8" s="1"/>
  <c r="S1972" i="8" s="1"/>
  <c r="W1973" i="8"/>
  <c r="U1973" i="8"/>
  <c r="O1973" i="8"/>
  <c r="R1973" i="8" s="1"/>
  <c r="S1973" i="8" s="1"/>
  <c r="W1974" i="8"/>
  <c r="U1974" i="8"/>
  <c r="O1974" i="8"/>
  <c r="R1974" i="8" s="1"/>
  <c r="S1974" i="8" s="1"/>
  <c r="W1975" i="8"/>
  <c r="U1975" i="8"/>
  <c r="O1975" i="8"/>
  <c r="R1975" i="8" s="1"/>
  <c r="S1975" i="8" s="1"/>
  <c r="W1976" i="8"/>
  <c r="U1976" i="8"/>
  <c r="O1976" i="8"/>
  <c r="R1976" i="8" s="1"/>
  <c r="S1976" i="8" s="1"/>
  <c r="W1977" i="8"/>
  <c r="U1977" i="8"/>
  <c r="O1977" i="8"/>
  <c r="R1977" i="8" s="1"/>
  <c r="S1977" i="8" s="1"/>
  <c r="W1978" i="8"/>
  <c r="U1978" i="8"/>
  <c r="O1978" i="8"/>
  <c r="R1978" i="8" s="1"/>
  <c r="S1978" i="8" s="1"/>
  <c r="W1979" i="8"/>
  <c r="U1979" i="8"/>
  <c r="O1979" i="8"/>
  <c r="R1979" i="8" s="1"/>
  <c r="S1979" i="8" s="1"/>
  <c r="W1980" i="8"/>
  <c r="U1980" i="8"/>
  <c r="O1980" i="8"/>
  <c r="R1980" i="8" s="1"/>
  <c r="S1980" i="8" s="1"/>
  <c r="W1981" i="8"/>
  <c r="U1981" i="8"/>
  <c r="O1981" i="8"/>
  <c r="R1981" i="8" s="1"/>
  <c r="S1981" i="8" s="1"/>
  <c r="W1982" i="8"/>
  <c r="M100" i="5" s="1"/>
  <c r="U1982" i="8"/>
  <c r="Q100" i="5" s="1"/>
  <c r="O1982" i="8"/>
  <c r="R1982" i="8" s="1"/>
  <c r="S1982" i="8" s="1"/>
  <c r="O100" i="5" s="1"/>
  <c r="W1983" i="8"/>
  <c r="U1983" i="8"/>
  <c r="O1983" i="8"/>
  <c r="R1983" i="8" s="1"/>
  <c r="S1983" i="8" s="1"/>
  <c r="W1984" i="8"/>
  <c r="U1984" i="8"/>
  <c r="O1984" i="8"/>
  <c r="R1984" i="8" s="1"/>
  <c r="S1984" i="8" s="1"/>
  <c r="W1985" i="8"/>
  <c r="U1985" i="8"/>
  <c r="O1985" i="8"/>
  <c r="R1985" i="8" s="1"/>
  <c r="S1985" i="8" s="1"/>
  <c r="W1986" i="8"/>
  <c r="U1986" i="8"/>
  <c r="O1986" i="8"/>
  <c r="R1986" i="8" s="1"/>
  <c r="S1986" i="8" s="1"/>
  <c r="W1987" i="8"/>
  <c r="U1987" i="8"/>
  <c r="O1987" i="8"/>
  <c r="R1987" i="8" s="1"/>
  <c r="S1987" i="8" s="1"/>
  <c r="W1988" i="8"/>
  <c r="U1988" i="8"/>
  <c r="O1988" i="8"/>
  <c r="R1988" i="8" s="1"/>
  <c r="S1988" i="8" s="1"/>
  <c r="W1989" i="8"/>
  <c r="U1989" i="8"/>
  <c r="O1989" i="8"/>
  <c r="R1989" i="8" s="1"/>
  <c r="S1989" i="8" s="1"/>
  <c r="W1990" i="8"/>
  <c r="U1990" i="8"/>
  <c r="O1990" i="8"/>
  <c r="R1990" i="8" s="1"/>
  <c r="S1990" i="8" s="1"/>
  <c r="W1991" i="8"/>
  <c r="U1991" i="8"/>
  <c r="O1991" i="8"/>
  <c r="R1991" i="8" s="1"/>
  <c r="S1991" i="8" s="1"/>
  <c r="W1992" i="8"/>
  <c r="U1992" i="8"/>
  <c r="O1992" i="8"/>
  <c r="R1992" i="8" s="1"/>
  <c r="S1992" i="8" s="1"/>
  <c r="W1993" i="8"/>
  <c r="U1993" i="8"/>
  <c r="O1993" i="8"/>
  <c r="R1993" i="8" s="1"/>
  <c r="S1993" i="8" s="1"/>
  <c r="W1994" i="8"/>
  <c r="U1994" i="8"/>
  <c r="O1994" i="8"/>
  <c r="R1994" i="8" s="1"/>
  <c r="S1994" i="8" s="1"/>
  <c r="W1995" i="8"/>
  <c r="U1995" i="8"/>
  <c r="O1995" i="8"/>
  <c r="R1995" i="8" s="1"/>
  <c r="S1995" i="8" s="1"/>
  <c r="W1996" i="8"/>
  <c r="U1996" i="8"/>
  <c r="O1996" i="8"/>
  <c r="R1996" i="8" s="1"/>
  <c r="S1996" i="8" s="1"/>
  <c r="W1997" i="8"/>
  <c r="U1997" i="8"/>
  <c r="O1997" i="8"/>
  <c r="R1997" i="8" s="1"/>
  <c r="S1997" i="8" s="1"/>
  <c r="W1998" i="8"/>
  <c r="U1998" i="8"/>
  <c r="O1998" i="8"/>
  <c r="R1998" i="8" s="1"/>
  <c r="S1998" i="8" s="1"/>
  <c r="W1999" i="8"/>
  <c r="U1999" i="8"/>
  <c r="O1999" i="8"/>
  <c r="R1999" i="8" s="1"/>
  <c r="S1999" i="8" s="1"/>
  <c r="W2000" i="8"/>
  <c r="U2000" i="8"/>
  <c r="O2000" i="8"/>
  <c r="R2000" i="8" s="1"/>
  <c r="S2000" i="8" s="1"/>
  <c r="W2001" i="8"/>
  <c r="U2001" i="8"/>
  <c r="O2001" i="8"/>
  <c r="R2001" i="8" s="1"/>
  <c r="S2001" i="8" s="1"/>
  <c r="W2002" i="8"/>
  <c r="U2002" i="8"/>
  <c r="O2002" i="8"/>
  <c r="R2002" i="8" s="1"/>
  <c r="S2002" i="8" s="1"/>
  <c r="W2003" i="8"/>
  <c r="U2003" i="8"/>
  <c r="O2003" i="8"/>
  <c r="R2003" i="8" s="1"/>
  <c r="S2003" i="8" s="1"/>
  <c r="W2004" i="8"/>
  <c r="U2004" i="8"/>
  <c r="O2004" i="8"/>
  <c r="R2004" i="8" s="1"/>
  <c r="S2004" i="8" s="1"/>
  <c r="W2005" i="8"/>
  <c r="U2005" i="8"/>
  <c r="O2005" i="8"/>
  <c r="R2005" i="8" s="1"/>
  <c r="S2005" i="8" s="1"/>
  <c r="W2006" i="8"/>
  <c r="U2006" i="8"/>
  <c r="O2006" i="8"/>
  <c r="R2006" i="8" s="1"/>
  <c r="S2006" i="8" s="1"/>
  <c r="W2007" i="8"/>
  <c r="U2007" i="8"/>
  <c r="O2007" i="8"/>
  <c r="R2007" i="8" s="1"/>
  <c r="S2007" i="8" s="1"/>
  <c r="W2008" i="8"/>
  <c r="U2008" i="8"/>
  <c r="O2008" i="8"/>
  <c r="R2008" i="8" s="1"/>
  <c r="S2008" i="8" s="1"/>
  <c r="W2009" i="8"/>
  <c r="U2009" i="8"/>
  <c r="O2009" i="8"/>
  <c r="R2009" i="8" s="1"/>
  <c r="S2009" i="8" s="1"/>
  <c r="W2010" i="8"/>
  <c r="U2010" i="8"/>
  <c r="O2010" i="8"/>
  <c r="R2010" i="8" s="1"/>
  <c r="S2010" i="8" s="1"/>
  <c r="W2011" i="8"/>
  <c r="U2011" i="8"/>
  <c r="O2011" i="8"/>
  <c r="R2011" i="8" s="1"/>
  <c r="S2011" i="8" s="1"/>
  <c r="W2012" i="8"/>
  <c r="U2012" i="8"/>
  <c r="O2012" i="8"/>
  <c r="R2012" i="8" s="1"/>
  <c r="S2012" i="8" s="1"/>
  <c r="W2013" i="8"/>
  <c r="U2013" i="8"/>
  <c r="O2013" i="8"/>
  <c r="R2013" i="8" s="1"/>
  <c r="S2013" i="8" s="1"/>
  <c r="W2014" i="8"/>
  <c r="M101" i="5" s="1"/>
  <c r="U2014" i="8"/>
  <c r="Q101" i="5" s="1"/>
  <c r="O2014" i="8"/>
  <c r="R2014" i="8" s="1"/>
  <c r="S2014" i="8" s="1"/>
  <c r="O101" i="5" s="1"/>
  <c r="W2015" i="8"/>
  <c r="U2015" i="8"/>
  <c r="O2015" i="8"/>
  <c r="R2015" i="8" s="1"/>
  <c r="S2015" i="8" s="1"/>
  <c r="W2016" i="8"/>
  <c r="U2016" i="8"/>
  <c r="O2016" i="8"/>
  <c r="R2016" i="8" s="1"/>
  <c r="S2016" i="8" s="1"/>
  <c r="W2017" i="8"/>
  <c r="U2017" i="8"/>
  <c r="O2017" i="8"/>
  <c r="R2017" i="8" s="1"/>
  <c r="S2017" i="8" s="1"/>
  <c r="W2018" i="8"/>
  <c r="U2018" i="8"/>
  <c r="O2018" i="8"/>
  <c r="R2018" i="8" s="1"/>
  <c r="S2018" i="8" s="1"/>
  <c r="W2019" i="8"/>
  <c r="U2019" i="8"/>
  <c r="O2019" i="8"/>
  <c r="R2019" i="8" s="1"/>
  <c r="S2019" i="8" s="1"/>
  <c r="W2020" i="8"/>
  <c r="U2020" i="8"/>
  <c r="O2020" i="8"/>
  <c r="R2020" i="8" s="1"/>
  <c r="S2020" i="8" s="1"/>
  <c r="W2021" i="8"/>
  <c r="U2021" i="8"/>
  <c r="O2021" i="8"/>
  <c r="R2021" i="8" s="1"/>
  <c r="S2021" i="8" s="1"/>
  <c r="W2022" i="8"/>
  <c r="U2022" i="8"/>
  <c r="O2022" i="8"/>
  <c r="R2022" i="8" s="1"/>
  <c r="S2022" i="8" s="1"/>
  <c r="W2023" i="8"/>
  <c r="U2023" i="8"/>
  <c r="O2023" i="8"/>
  <c r="R2023" i="8" s="1"/>
  <c r="S2023" i="8" s="1"/>
  <c r="W2024" i="8"/>
  <c r="U2024" i="8"/>
  <c r="O2024" i="8"/>
  <c r="R2024" i="8" s="1"/>
  <c r="S2024" i="8" s="1"/>
  <c r="W2025" i="8"/>
  <c r="U2025" i="8"/>
  <c r="O2025" i="8"/>
  <c r="R2025" i="8" s="1"/>
  <c r="S2025" i="8" s="1"/>
  <c r="W2026" i="8"/>
  <c r="U2026" i="8"/>
  <c r="O2026" i="8"/>
  <c r="R2026" i="8" s="1"/>
  <c r="S2026" i="8" s="1"/>
  <c r="W2027" i="8"/>
  <c r="U2027" i="8"/>
  <c r="O2027" i="8"/>
  <c r="R2027" i="8" s="1"/>
  <c r="S2027" i="8" s="1"/>
  <c r="W2028" i="8"/>
  <c r="U2028" i="8"/>
  <c r="O2028" i="8"/>
  <c r="R2028" i="8" s="1"/>
  <c r="S2028" i="8" s="1"/>
  <c r="W2029" i="8"/>
  <c r="U2029" i="8"/>
  <c r="O2029" i="8"/>
  <c r="R2029" i="8" s="1"/>
  <c r="S2029" i="8" s="1"/>
  <c r="W2030" i="8"/>
  <c r="U2030" i="8"/>
  <c r="O2030" i="8"/>
  <c r="R2030" i="8" s="1"/>
  <c r="S2030" i="8" s="1"/>
  <c r="W2031" i="8"/>
  <c r="U2031" i="8"/>
  <c r="O2031" i="8"/>
  <c r="R2031" i="8" s="1"/>
  <c r="S2031" i="8" s="1"/>
  <c r="W2032" i="8"/>
  <c r="U2032" i="8"/>
  <c r="O2032" i="8"/>
  <c r="R2032" i="8" s="1"/>
  <c r="S2032" i="8" s="1"/>
  <c r="W2033" i="8"/>
  <c r="U2033" i="8"/>
  <c r="O2033" i="8"/>
  <c r="R2033" i="8" s="1"/>
  <c r="S2033" i="8" s="1"/>
  <c r="W2034" i="8"/>
  <c r="U2034" i="8"/>
  <c r="O2034" i="8"/>
  <c r="R2034" i="8" s="1"/>
  <c r="S2034" i="8" s="1"/>
  <c r="W2035" i="8"/>
  <c r="U2035" i="8"/>
  <c r="O2035" i="8"/>
  <c r="R2035" i="8" s="1"/>
  <c r="S2035" i="8" s="1"/>
  <c r="W2036" i="8"/>
  <c r="U2036" i="8"/>
  <c r="O2036" i="8"/>
  <c r="R2036" i="8" s="1"/>
  <c r="S2036" i="8" s="1"/>
  <c r="W2037" i="8"/>
  <c r="U2037" i="8"/>
  <c r="O2037" i="8"/>
  <c r="R2037" i="8" s="1"/>
  <c r="S2037" i="8" s="1"/>
  <c r="W2038" i="8"/>
  <c r="U2038" i="8"/>
  <c r="O2038" i="8"/>
  <c r="R2038" i="8" s="1"/>
  <c r="S2038" i="8" s="1"/>
  <c r="W2039" i="8"/>
  <c r="U2039" i="8"/>
  <c r="O2039" i="8"/>
  <c r="R2039" i="8" s="1"/>
  <c r="S2039" i="8" s="1"/>
  <c r="W2040" i="8"/>
  <c r="U2040" i="8"/>
  <c r="O2040" i="8"/>
  <c r="R2040" i="8" s="1"/>
  <c r="S2040" i="8" s="1"/>
  <c r="W2041" i="8"/>
  <c r="U2041" i="8"/>
  <c r="O2041" i="8"/>
  <c r="R2041" i="8" s="1"/>
  <c r="S2041" i="8" s="1"/>
  <c r="W2042" i="8"/>
  <c r="U2042" i="8"/>
  <c r="O2042" i="8"/>
  <c r="R2042" i="8" s="1"/>
  <c r="S2042" i="8" s="1"/>
  <c r="W2043" i="8"/>
  <c r="U2043" i="8"/>
  <c r="O2043" i="8"/>
  <c r="R2043" i="8" s="1"/>
  <c r="S2043" i="8" s="1"/>
  <c r="W2044" i="8"/>
  <c r="U2044" i="8"/>
  <c r="O2044" i="8"/>
  <c r="R2044" i="8" s="1"/>
  <c r="S2044" i="8" s="1"/>
  <c r="W2045" i="8"/>
  <c r="U2045" i="8"/>
  <c r="O2045" i="8"/>
  <c r="R2045" i="8" s="1"/>
  <c r="S2045" i="8" s="1"/>
  <c r="W2046" i="8"/>
  <c r="U2046" i="8"/>
  <c r="O2046" i="8"/>
  <c r="R2046" i="8" s="1"/>
  <c r="S2046" i="8" s="1"/>
  <c r="W2047" i="8"/>
  <c r="U2047" i="8"/>
  <c r="O2047" i="8"/>
  <c r="R2047" i="8" s="1"/>
  <c r="S2047" i="8" s="1"/>
  <c r="W2048" i="8"/>
  <c r="U2048" i="8"/>
  <c r="O2048" i="8"/>
  <c r="R2048" i="8" s="1"/>
  <c r="S2048" i="8" s="1"/>
  <c r="W2049" i="8"/>
  <c r="U2049" i="8"/>
  <c r="O2049" i="8"/>
  <c r="R2049" i="8" s="1"/>
  <c r="S2049" i="8" s="1"/>
  <c r="W2050" i="8"/>
  <c r="U2050" i="8"/>
  <c r="O2050" i="8"/>
  <c r="R2050" i="8" s="1"/>
  <c r="S2050" i="8" s="1"/>
  <c r="W2051" i="8"/>
  <c r="U2051" i="8"/>
  <c r="O2051" i="8"/>
  <c r="R2051" i="8" s="1"/>
  <c r="S2051" i="8" s="1"/>
  <c r="W2052" i="8"/>
  <c r="U2052" i="8"/>
  <c r="O2052" i="8"/>
  <c r="R2052" i="8" s="1"/>
  <c r="S2052" i="8" s="1"/>
  <c r="W2053" i="8"/>
  <c r="U2053" i="8"/>
  <c r="O2053" i="8"/>
  <c r="R2053" i="8" s="1"/>
  <c r="S2053" i="8" s="1"/>
  <c r="W2054" i="8"/>
  <c r="U2054" i="8"/>
  <c r="O2054" i="8"/>
  <c r="R2054" i="8" s="1"/>
  <c r="S2054" i="8" s="1"/>
  <c r="W2055" i="8"/>
  <c r="U2055" i="8"/>
  <c r="O2055" i="8"/>
  <c r="R2055" i="8" s="1"/>
  <c r="S2055" i="8" s="1"/>
  <c r="W2056" i="8"/>
  <c r="U2056" i="8"/>
  <c r="O2056" i="8"/>
  <c r="R2056" i="8" s="1"/>
  <c r="S2056" i="8" s="1"/>
  <c r="W2057" i="8"/>
  <c r="U2057" i="8"/>
  <c r="O2057" i="8"/>
  <c r="R2057" i="8" s="1"/>
  <c r="S2057" i="8" s="1"/>
  <c r="W2058" i="8"/>
  <c r="U2058" i="8"/>
  <c r="O2058" i="8"/>
  <c r="R2058" i="8" s="1"/>
  <c r="S2058" i="8" s="1"/>
  <c r="W2059" i="8"/>
  <c r="M136" i="5" s="1"/>
  <c r="U2059" i="8"/>
  <c r="Q136" i="5" s="1"/>
  <c r="O2059" i="8"/>
  <c r="R2059" i="8" s="1"/>
  <c r="S2059" i="8" s="1"/>
  <c r="O136" i="5" s="1"/>
  <c r="W2060" i="8"/>
  <c r="U2060" i="8"/>
  <c r="O2060" i="8"/>
  <c r="R2060" i="8" s="1"/>
  <c r="S2060" i="8" s="1"/>
  <c r="W2061" i="8"/>
  <c r="U2061" i="8"/>
  <c r="O2061" i="8"/>
  <c r="R2061" i="8" s="1"/>
  <c r="S2061" i="8" s="1"/>
  <c r="W2062" i="8"/>
  <c r="U2062" i="8"/>
  <c r="O2062" i="8"/>
  <c r="R2062" i="8" s="1"/>
  <c r="S2062" i="8" s="1"/>
  <c r="W2063" i="8"/>
  <c r="U2063" i="8"/>
  <c r="O2063" i="8"/>
  <c r="R2063" i="8" s="1"/>
  <c r="S2063" i="8" s="1"/>
  <c r="W2064" i="8"/>
  <c r="U2064" i="8"/>
  <c r="O2064" i="8"/>
  <c r="R2064" i="8" s="1"/>
  <c r="S2064" i="8" s="1"/>
  <c r="W2065" i="8"/>
  <c r="U2065" i="8"/>
  <c r="O2065" i="8"/>
  <c r="R2065" i="8" s="1"/>
  <c r="S2065" i="8" s="1"/>
  <c r="W2066" i="8"/>
  <c r="U2066" i="8"/>
  <c r="O2066" i="8"/>
  <c r="R2066" i="8" s="1"/>
  <c r="S2066" i="8" s="1"/>
  <c r="W2067" i="8"/>
  <c r="U2067" i="8"/>
  <c r="O2067" i="8"/>
  <c r="R2067" i="8" s="1"/>
  <c r="S2067" i="8" s="1"/>
  <c r="W2068" i="8"/>
  <c r="U2068" i="8"/>
  <c r="O2068" i="8"/>
  <c r="R2068" i="8" s="1"/>
  <c r="S2068" i="8" s="1"/>
  <c r="W2069" i="8"/>
  <c r="U2069" i="8"/>
  <c r="O2069" i="8"/>
  <c r="R2069" i="8" s="1"/>
  <c r="S2069" i="8" s="1"/>
  <c r="W2070" i="8"/>
  <c r="U2070" i="8"/>
  <c r="O2070" i="8"/>
  <c r="R2070" i="8" s="1"/>
  <c r="S2070" i="8" s="1"/>
  <c r="W2071" i="8"/>
  <c r="U2071" i="8"/>
  <c r="O2071" i="8"/>
  <c r="R2071" i="8" s="1"/>
  <c r="S2071" i="8" s="1"/>
  <c r="W2072" i="8"/>
  <c r="U2072" i="8"/>
  <c r="O2072" i="8"/>
  <c r="R2072" i="8" s="1"/>
  <c r="S2072" i="8" s="1"/>
  <c r="W2073" i="8"/>
  <c r="U2073" i="8"/>
  <c r="O2073" i="8"/>
  <c r="R2073" i="8" s="1"/>
  <c r="S2073" i="8" s="1"/>
  <c r="W2074" i="8"/>
  <c r="U2074" i="8"/>
  <c r="O2074" i="8"/>
  <c r="R2074" i="8" s="1"/>
  <c r="S2074" i="8" s="1"/>
  <c r="W2075" i="8"/>
  <c r="U2075" i="8"/>
  <c r="O2075" i="8"/>
  <c r="R2075" i="8" s="1"/>
  <c r="S2075" i="8" s="1"/>
  <c r="W2076" i="8"/>
  <c r="U2076" i="8"/>
  <c r="O2076" i="8"/>
  <c r="R2076" i="8" s="1"/>
  <c r="S2076" i="8" s="1"/>
  <c r="W2077" i="8"/>
  <c r="U2077" i="8"/>
  <c r="O2077" i="8"/>
  <c r="R2077" i="8" s="1"/>
  <c r="S2077" i="8" s="1"/>
  <c r="W2078" i="8"/>
  <c r="U2078" i="8"/>
  <c r="O2078" i="8"/>
  <c r="R2078" i="8" s="1"/>
  <c r="S2078" i="8" s="1"/>
  <c r="W2079" i="8"/>
  <c r="U2079" i="8"/>
  <c r="O2079" i="8"/>
  <c r="R2079" i="8" s="1"/>
  <c r="S2079" i="8" s="1"/>
  <c r="W2080" i="8"/>
  <c r="U2080" i="8"/>
  <c r="O2080" i="8"/>
  <c r="R2080" i="8" s="1"/>
  <c r="S2080" i="8" s="1"/>
  <c r="W2081" i="8"/>
  <c r="U2081" i="8"/>
  <c r="O2081" i="8"/>
  <c r="R2081" i="8" s="1"/>
  <c r="S2081" i="8" s="1"/>
  <c r="W2082" i="8"/>
  <c r="U2082" i="8"/>
  <c r="O2082" i="8"/>
  <c r="R2082" i="8" s="1"/>
  <c r="S2082" i="8" s="1"/>
  <c r="W2083" i="8"/>
  <c r="U2083" i="8"/>
  <c r="O2083" i="8"/>
  <c r="R2083" i="8" s="1"/>
  <c r="S2083" i="8" s="1"/>
  <c r="W2084" i="8"/>
  <c r="U2084" i="8"/>
  <c r="O2084" i="8"/>
  <c r="R2084" i="8" s="1"/>
  <c r="S2084" i="8" s="1"/>
  <c r="W2085" i="8"/>
  <c r="M137" i="5" s="1"/>
  <c r="U2085" i="8"/>
  <c r="Q137" i="5" s="1"/>
  <c r="F65" i="4" s="1"/>
  <c r="O2085" i="8"/>
  <c r="R2085" i="8" s="1"/>
  <c r="S2085" i="8" s="1"/>
  <c r="O137" i="5" s="1"/>
  <c r="W2086" i="8"/>
  <c r="U2086" i="8"/>
  <c r="O2086" i="8"/>
  <c r="R2086" i="8" s="1"/>
  <c r="S2086" i="8" s="1"/>
  <c r="W2087" i="8"/>
  <c r="U2087" i="8"/>
  <c r="O2087" i="8"/>
  <c r="R2087" i="8" s="1"/>
  <c r="S2087" i="8" s="1"/>
  <c r="W2088" i="8"/>
  <c r="U2088" i="8"/>
  <c r="O2088" i="8"/>
  <c r="R2088" i="8" s="1"/>
  <c r="S2088" i="8" s="1"/>
  <c r="W2089" i="8"/>
  <c r="U2089" i="8"/>
  <c r="O2089" i="8"/>
  <c r="R2089" i="8" s="1"/>
  <c r="S2089" i="8" s="1"/>
  <c r="W2090" i="8"/>
  <c r="U2090" i="8"/>
  <c r="O2090" i="8"/>
  <c r="R2090" i="8" s="1"/>
  <c r="S2090" i="8" s="1"/>
  <c r="W2091" i="8"/>
  <c r="U2091" i="8"/>
  <c r="O2091" i="8"/>
  <c r="R2091" i="8" s="1"/>
  <c r="S2091" i="8" s="1"/>
  <c r="W2092" i="8"/>
  <c r="U2092" i="8"/>
  <c r="O2092" i="8"/>
  <c r="R2092" i="8" s="1"/>
  <c r="S2092" i="8" s="1"/>
  <c r="W2093" i="8"/>
  <c r="U2093" i="8"/>
  <c r="O2093" i="8"/>
  <c r="R2093" i="8" s="1"/>
  <c r="S2093" i="8" s="1"/>
  <c r="W2094" i="8"/>
  <c r="U2094" i="8"/>
  <c r="O2094" i="8"/>
  <c r="R2094" i="8" s="1"/>
  <c r="S2094" i="8" s="1"/>
  <c r="W2095" i="8"/>
  <c r="U2095" i="8"/>
  <c r="O2095" i="8"/>
  <c r="R2095" i="8" s="1"/>
  <c r="S2095" i="8" s="1"/>
  <c r="W2096" i="8"/>
  <c r="U2096" i="8"/>
  <c r="O2096" i="8"/>
  <c r="R2096" i="8" s="1"/>
  <c r="S2096" i="8" s="1"/>
  <c r="W2097" i="8"/>
  <c r="U2097" i="8"/>
  <c r="O2097" i="8"/>
  <c r="R2097" i="8" s="1"/>
  <c r="S2097" i="8" s="1"/>
  <c r="W2098" i="8"/>
  <c r="U2098" i="8"/>
  <c r="O2098" i="8"/>
  <c r="R2098" i="8" s="1"/>
  <c r="S2098" i="8" s="1"/>
  <c r="W2099" i="8"/>
  <c r="U2099" i="8"/>
  <c r="O2099" i="8"/>
  <c r="R2099" i="8" s="1"/>
  <c r="S2099" i="8" s="1"/>
  <c r="W2100" i="8"/>
  <c r="U2100" i="8"/>
  <c r="O2100" i="8"/>
  <c r="R2100" i="8" s="1"/>
  <c r="S2100" i="8" s="1"/>
  <c r="W2101" i="8"/>
  <c r="U2101" i="8"/>
  <c r="O2101" i="8"/>
  <c r="R2101" i="8" s="1"/>
  <c r="S2101" i="8" s="1"/>
  <c r="W2102" i="8"/>
  <c r="U2102" i="8"/>
  <c r="O2102" i="8"/>
  <c r="R2102" i="8" s="1"/>
  <c r="S2102" i="8" s="1"/>
  <c r="W2103" i="8"/>
  <c r="U2103" i="8"/>
  <c r="O2103" i="8"/>
  <c r="R2103" i="8" s="1"/>
  <c r="S2103" i="8" s="1"/>
  <c r="W2104" i="8"/>
  <c r="U2104" i="8"/>
  <c r="O2104" i="8"/>
  <c r="R2104" i="8" s="1"/>
  <c r="S2104" i="8" s="1"/>
  <c r="W2105" i="8"/>
  <c r="U2105" i="8"/>
  <c r="O2105" i="8"/>
  <c r="R2105" i="8" s="1"/>
  <c r="S2105" i="8" s="1"/>
  <c r="W2106" i="8"/>
  <c r="U2106" i="8"/>
  <c r="O2106" i="8"/>
  <c r="R2106" i="8" s="1"/>
  <c r="S2106" i="8" s="1"/>
  <c r="W2107" i="8"/>
  <c r="U2107" i="8"/>
  <c r="O2107" i="8"/>
  <c r="R2107" i="8" s="1"/>
  <c r="S2107" i="8" s="1"/>
  <c r="W2108" i="8"/>
  <c r="U2108" i="8"/>
  <c r="O2108" i="8"/>
  <c r="R2108" i="8" s="1"/>
  <c r="S2108" i="8" s="1"/>
  <c r="W2109" i="8"/>
  <c r="U2109" i="8"/>
  <c r="O2109" i="8"/>
  <c r="R2109" i="8" s="1"/>
  <c r="S2109" i="8" s="1"/>
  <c r="W2110" i="8"/>
  <c r="U2110" i="8"/>
  <c r="O2110" i="8"/>
  <c r="R2110" i="8" s="1"/>
  <c r="S2110" i="8" s="1"/>
  <c r="W2111" i="8"/>
  <c r="U2111" i="8"/>
  <c r="O2111" i="8"/>
  <c r="R2111" i="8" s="1"/>
  <c r="S2111" i="8" s="1"/>
  <c r="W2112" i="8"/>
  <c r="U2112" i="8"/>
  <c r="O2112" i="8"/>
  <c r="R2112" i="8" s="1"/>
  <c r="S2112" i="8" s="1"/>
  <c r="W2113" i="8"/>
  <c r="U2113" i="8"/>
  <c r="O2113" i="8"/>
  <c r="R2113" i="8" s="1"/>
  <c r="S2113" i="8" s="1"/>
  <c r="W2114" i="8"/>
  <c r="U2114" i="8"/>
  <c r="O2114" i="8"/>
  <c r="R2114" i="8" s="1"/>
  <c r="S2114" i="8" s="1"/>
  <c r="W2115" i="8"/>
  <c r="U2115" i="8"/>
  <c r="O2115" i="8"/>
  <c r="R2115" i="8" s="1"/>
  <c r="S2115" i="8" s="1"/>
  <c r="W2116" i="8"/>
  <c r="U2116" i="8"/>
  <c r="O2116" i="8"/>
  <c r="R2116" i="8" s="1"/>
  <c r="S2116" i="8" s="1"/>
  <c r="W2117" i="8"/>
  <c r="U2117" i="8"/>
  <c r="O2117" i="8"/>
  <c r="R2117" i="8" s="1"/>
  <c r="S2117" i="8" s="1"/>
  <c r="W2118" i="8"/>
  <c r="U2118" i="8"/>
  <c r="O2118" i="8"/>
  <c r="R2118" i="8" s="1"/>
  <c r="S2118" i="8" s="1"/>
  <c r="W2119" i="8"/>
  <c r="U2119" i="8"/>
  <c r="O2119" i="8"/>
  <c r="R2119" i="8" s="1"/>
  <c r="S2119" i="8" s="1"/>
  <c r="W2120" i="8"/>
  <c r="U2120" i="8"/>
  <c r="O2120" i="8"/>
  <c r="R2120" i="8" s="1"/>
  <c r="S2120" i="8" s="1"/>
  <c r="W2121" i="8"/>
  <c r="U2121" i="8"/>
  <c r="O2121" i="8"/>
  <c r="R2121" i="8" s="1"/>
  <c r="S2121" i="8" s="1"/>
  <c r="W2122" i="8"/>
  <c r="U2122" i="8"/>
  <c r="O2122" i="8"/>
  <c r="R2122" i="8" s="1"/>
  <c r="S2122" i="8" s="1"/>
  <c r="W2123" i="8"/>
  <c r="U2123" i="8"/>
  <c r="O2123" i="8"/>
  <c r="R2123" i="8" s="1"/>
  <c r="S2123" i="8" s="1"/>
  <c r="W2124" i="8"/>
  <c r="U2124" i="8"/>
  <c r="O2124" i="8"/>
  <c r="R2124" i="8" s="1"/>
  <c r="S2124" i="8" s="1"/>
  <c r="W2125" i="8"/>
  <c r="U2125" i="8"/>
  <c r="O2125" i="8"/>
  <c r="R2125" i="8" s="1"/>
  <c r="S2125" i="8" s="1"/>
  <c r="W2126" i="8"/>
  <c r="U2126" i="8"/>
  <c r="O2126" i="8"/>
  <c r="R2126" i="8" s="1"/>
  <c r="S2126" i="8" s="1"/>
  <c r="W2127" i="8"/>
  <c r="U2127" i="8"/>
  <c r="O2127" i="8"/>
  <c r="R2127" i="8" s="1"/>
  <c r="S2127" i="8" s="1"/>
  <c r="W2128" i="8"/>
  <c r="U2128" i="8"/>
  <c r="O2128" i="8"/>
  <c r="R2128" i="8" s="1"/>
  <c r="S2128" i="8" s="1"/>
  <c r="W2129" i="8"/>
  <c r="U2129" i="8"/>
  <c r="O2129" i="8"/>
  <c r="R2129" i="8" s="1"/>
  <c r="S2129" i="8" s="1"/>
  <c r="W2130" i="8"/>
  <c r="U2130" i="8"/>
  <c r="O2130" i="8"/>
  <c r="R2130" i="8" s="1"/>
  <c r="S2130" i="8" s="1"/>
  <c r="W2131" i="8"/>
  <c r="U2131" i="8"/>
  <c r="O2131" i="8"/>
  <c r="R2131" i="8" s="1"/>
  <c r="S2131" i="8" s="1"/>
  <c r="W2132" i="8"/>
  <c r="U2132" i="8"/>
  <c r="O2132" i="8"/>
  <c r="R2132" i="8" s="1"/>
  <c r="S2132" i="8" s="1"/>
  <c r="W2133" i="8"/>
  <c r="U2133" i="8"/>
  <c r="O2133" i="8"/>
  <c r="R2133" i="8" s="1"/>
  <c r="S2133" i="8" s="1"/>
  <c r="W2134" i="8"/>
  <c r="U2134" i="8"/>
  <c r="O2134" i="8"/>
  <c r="R2134" i="8" s="1"/>
  <c r="S2134" i="8" s="1"/>
  <c r="W2135" i="8"/>
  <c r="U2135" i="8"/>
  <c r="O2135" i="8"/>
  <c r="R2135" i="8" s="1"/>
  <c r="S2135" i="8" s="1"/>
  <c r="W2136" i="8"/>
  <c r="U2136" i="8"/>
  <c r="O2136" i="8"/>
  <c r="R2136" i="8" s="1"/>
  <c r="S2136" i="8" s="1"/>
  <c r="W2137" i="8"/>
  <c r="U2137" i="8"/>
  <c r="O2137" i="8"/>
  <c r="R2137" i="8" s="1"/>
  <c r="S2137" i="8" s="1"/>
  <c r="W2138" i="8"/>
  <c r="U2138" i="8"/>
  <c r="O2138" i="8"/>
  <c r="R2138" i="8" s="1"/>
  <c r="S2138" i="8" s="1"/>
  <c r="W2139" i="8"/>
  <c r="U2139" i="8"/>
  <c r="O2139" i="8"/>
  <c r="R2139" i="8" s="1"/>
  <c r="S2139" i="8" s="1"/>
  <c r="W2140" i="8"/>
  <c r="U2140" i="8"/>
  <c r="O2140" i="8"/>
  <c r="R2140" i="8" s="1"/>
  <c r="S2140" i="8" s="1"/>
  <c r="W2141" i="8"/>
  <c r="U2141" i="8"/>
  <c r="O2141" i="8"/>
  <c r="R2141" i="8" s="1"/>
  <c r="S2141" i="8" s="1"/>
  <c r="W2142" i="8"/>
  <c r="U2142" i="8"/>
  <c r="O2142" i="8"/>
  <c r="R2142" i="8" s="1"/>
  <c r="S2142" i="8" s="1"/>
  <c r="W2143" i="8"/>
  <c r="U2143" i="8"/>
  <c r="O2143" i="8"/>
  <c r="R2143" i="8" s="1"/>
  <c r="S2143" i="8" s="1"/>
  <c r="W2144" i="8"/>
  <c r="U2144" i="8"/>
  <c r="O2144" i="8"/>
  <c r="R2144" i="8" s="1"/>
  <c r="S2144" i="8" s="1"/>
  <c r="W2145" i="8"/>
  <c r="U2145" i="8"/>
  <c r="O2145" i="8"/>
  <c r="R2145" i="8" s="1"/>
  <c r="S2145" i="8" s="1"/>
  <c r="W2146" i="8"/>
  <c r="U2146" i="8"/>
  <c r="O2146" i="8"/>
  <c r="R2146" i="8" s="1"/>
  <c r="S2146" i="8" s="1"/>
  <c r="W2147" i="8"/>
  <c r="U2147" i="8"/>
  <c r="O2147" i="8"/>
  <c r="R2147" i="8" s="1"/>
  <c r="S2147" i="8" s="1"/>
  <c r="W2148" i="8"/>
  <c r="U2148" i="8"/>
  <c r="O2148" i="8"/>
  <c r="R2148" i="8" s="1"/>
  <c r="S2148" i="8" s="1"/>
  <c r="W2149" i="8"/>
  <c r="U2149" i="8"/>
  <c r="O2149" i="8"/>
  <c r="R2149" i="8" s="1"/>
  <c r="S2149" i="8" s="1"/>
  <c r="W2150" i="8"/>
  <c r="U2150" i="8"/>
  <c r="O2150" i="8"/>
  <c r="R2150" i="8" s="1"/>
  <c r="S2150" i="8" s="1"/>
  <c r="W2151" i="8"/>
  <c r="U2151" i="8"/>
  <c r="O2151" i="8"/>
  <c r="R2151" i="8" s="1"/>
  <c r="S2151" i="8" s="1"/>
  <c r="W2152" i="8"/>
  <c r="U2152" i="8"/>
  <c r="O2152" i="8"/>
  <c r="R2152" i="8" s="1"/>
  <c r="S2152" i="8" s="1"/>
  <c r="W2153" i="8"/>
  <c r="U2153" i="8"/>
  <c r="O2153" i="8"/>
  <c r="R2153" i="8" s="1"/>
  <c r="S2153" i="8" s="1"/>
  <c r="W2154" i="8"/>
  <c r="U2154" i="8"/>
  <c r="O2154" i="8"/>
  <c r="R2154" i="8" s="1"/>
  <c r="S2154" i="8" s="1"/>
  <c r="W2155" i="8"/>
  <c r="U2155" i="8"/>
  <c r="O2155" i="8"/>
  <c r="R2155" i="8" s="1"/>
  <c r="S2155" i="8" s="1"/>
  <c r="W2156" i="8"/>
  <c r="U2156" i="8"/>
  <c r="O2156" i="8"/>
  <c r="R2156" i="8" s="1"/>
  <c r="S2156" i="8" s="1"/>
  <c r="W2157" i="8"/>
  <c r="U2157" i="8"/>
  <c r="O2157" i="8"/>
  <c r="R2157" i="8" s="1"/>
  <c r="S2157" i="8" s="1"/>
  <c r="W2158" i="8"/>
  <c r="U2158" i="8"/>
  <c r="O2158" i="8"/>
  <c r="R2158" i="8" s="1"/>
  <c r="S2158" i="8" s="1"/>
  <c r="W2159" i="8"/>
  <c r="U2159" i="8"/>
  <c r="O2159" i="8"/>
  <c r="R2159" i="8" s="1"/>
  <c r="S2159" i="8" s="1"/>
  <c r="W2160" i="8"/>
  <c r="U2160" i="8"/>
  <c r="O2160" i="8"/>
  <c r="R2160" i="8" s="1"/>
  <c r="S2160" i="8" s="1"/>
  <c r="W2161" i="8"/>
  <c r="U2161" i="8"/>
  <c r="O2161" i="8"/>
  <c r="R2161" i="8" s="1"/>
  <c r="S2161" i="8" s="1"/>
  <c r="W2162" i="8"/>
  <c r="U2162" i="8"/>
  <c r="O2162" i="8"/>
  <c r="R2162" i="8" s="1"/>
  <c r="S2162" i="8" s="1"/>
  <c r="W2163" i="8"/>
  <c r="U2163" i="8"/>
  <c r="O2163" i="8"/>
  <c r="R2163" i="8" s="1"/>
  <c r="S2163" i="8" s="1"/>
  <c r="W2164" i="8"/>
  <c r="U2164" i="8"/>
  <c r="O2164" i="8"/>
  <c r="R2164" i="8" s="1"/>
  <c r="S2164" i="8" s="1"/>
  <c r="W2165" i="8"/>
  <c r="U2165" i="8"/>
  <c r="O2165" i="8"/>
  <c r="R2165" i="8" s="1"/>
  <c r="S2165" i="8" s="1"/>
  <c r="W2166" i="8"/>
  <c r="U2166" i="8"/>
  <c r="O2166" i="8"/>
  <c r="R2166" i="8" s="1"/>
  <c r="S2166" i="8" s="1"/>
  <c r="W2167" i="8"/>
  <c r="U2167" i="8"/>
  <c r="O2167" i="8"/>
  <c r="R2167" i="8" s="1"/>
  <c r="S2167" i="8" s="1"/>
  <c r="W2168" i="8"/>
  <c r="U2168" i="8"/>
  <c r="O2168" i="8"/>
  <c r="R2168" i="8" s="1"/>
  <c r="S2168" i="8" s="1"/>
  <c r="W2169" i="8"/>
  <c r="U2169" i="8"/>
  <c r="O2169" i="8"/>
  <c r="R2169" i="8" s="1"/>
  <c r="S2169" i="8" s="1"/>
  <c r="W2170" i="8"/>
  <c r="U2170" i="8"/>
  <c r="O2170" i="8"/>
  <c r="R2170" i="8" s="1"/>
  <c r="S2170" i="8" s="1"/>
  <c r="W2171" i="8"/>
  <c r="U2171" i="8"/>
  <c r="O2171" i="8"/>
  <c r="R2171" i="8" s="1"/>
  <c r="S2171" i="8" s="1"/>
  <c r="W2172" i="8"/>
  <c r="U2172" i="8"/>
  <c r="O2172" i="8"/>
  <c r="R2172" i="8" s="1"/>
  <c r="S2172" i="8" s="1"/>
  <c r="W2173" i="8"/>
  <c r="U2173" i="8"/>
  <c r="O2173" i="8"/>
  <c r="R2173" i="8" s="1"/>
  <c r="S2173" i="8" s="1"/>
  <c r="W2174" i="8"/>
  <c r="U2174" i="8"/>
  <c r="O2174" i="8"/>
  <c r="R2174" i="8" s="1"/>
  <c r="S2174" i="8" s="1"/>
  <c r="W2175" i="8"/>
  <c r="U2175" i="8"/>
  <c r="O2175" i="8"/>
  <c r="R2175" i="8" s="1"/>
  <c r="S2175" i="8" s="1"/>
  <c r="W2176" i="8"/>
  <c r="U2176" i="8"/>
  <c r="O2176" i="8"/>
  <c r="R2176" i="8" s="1"/>
  <c r="S2176" i="8" s="1"/>
  <c r="W2177" i="8"/>
  <c r="U2177" i="8"/>
  <c r="O2177" i="8"/>
  <c r="R2177" i="8" s="1"/>
  <c r="S2177" i="8" s="1"/>
  <c r="W2178" i="8"/>
  <c r="U2178" i="8"/>
  <c r="O2178" i="8"/>
  <c r="R2178" i="8" s="1"/>
  <c r="S2178" i="8" s="1"/>
  <c r="W2179" i="8"/>
  <c r="U2179" i="8"/>
  <c r="O2179" i="8"/>
  <c r="R2179" i="8" s="1"/>
  <c r="S2179" i="8" s="1"/>
  <c r="W2180" i="8"/>
  <c r="U2180" i="8"/>
  <c r="O2180" i="8"/>
  <c r="R2180" i="8" s="1"/>
  <c r="S2180" i="8" s="1"/>
  <c r="W2181" i="8"/>
  <c r="U2181" i="8"/>
  <c r="O2181" i="8"/>
  <c r="R2181" i="8" s="1"/>
  <c r="S2181" i="8" s="1"/>
  <c r="W2182" i="8"/>
  <c r="U2182" i="8"/>
  <c r="O2182" i="8"/>
  <c r="R2182" i="8" s="1"/>
  <c r="S2182" i="8" s="1"/>
  <c r="W2183" i="8"/>
  <c r="U2183" i="8"/>
  <c r="O2183" i="8"/>
  <c r="R2183" i="8" s="1"/>
  <c r="S2183" i="8" s="1"/>
  <c r="W2184" i="8"/>
  <c r="U2184" i="8"/>
  <c r="O2184" i="8"/>
  <c r="R2184" i="8" s="1"/>
  <c r="S2184" i="8" s="1"/>
  <c r="W2185" i="8"/>
  <c r="U2185" i="8"/>
  <c r="O2185" i="8"/>
  <c r="R2185" i="8" s="1"/>
  <c r="S2185" i="8" s="1"/>
  <c r="W2186" i="8"/>
  <c r="U2186" i="8"/>
  <c r="O2186" i="8"/>
  <c r="R2186" i="8" s="1"/>
  <c r="S2186" i="8" s="1"/>
  <c r="W2187" i="8"/>
  <c r="U2187" i="8"/>
  <c r="O2187" i="8"/>
  <c r="R2187" i="8" s="1"/>
  <c r="S2187" i="8" s="1"/>
  <c r="W2188" i="8"/>
  <c r="U2188" i="8"/>
  <c r="O2188" i="8"/>
  <c r="R2188" i="8" s="1"/>
  <c r="S2188" i="8" s="1"/>
  <c r="W2189" i="8"/>
  <c r="U2189" i="8"/>
  <c r="O2189" i="8"/>
  <c r="R2189" i="8" s="1"/>
  <c r="S2189" i="8" s="1"/>
  <c r="W2190" i="8"/>
  <c r="U2190" i="8"/>
  <c r="O2190" i="8"/>
  <c r="R2190" i="8" s="1"/>
  <c r="S2190" i="8" s="1"/>
  <c r="W2191" i="8"/>
  <c r="U2191" i="8"/>
  <c r="O2191" i="8"/>
  <c r="R2191" i="8" s="1"/>
  <c r="S2191" i="8" s="1"/>
  <c r="W2192" i="8"/>
  <c r="U2192" i="8"/>
  <c r="O2192" i="8"/>
  <c r="R2192" i="8" s="1"/>
  <c r="S2192" i="8" s="1"/>
  <c r="W2193" i="8"/>
  <c r="U2193" i="8"/>
  <c r="O2193" i="8"/>
  <c r="R2193" i="8" s="1"/>
  <c r="S2193" i="8" s="1"/>
  <c r="W2194" i="8"/>
  <c r="U2194" i="8"/>
  <c r="O2194" i="8"/>
  <c r="R2194" i="8" s="1"/>
  <c r="S2194" i="8" s="1"/>
  <c r="W2195" i="8"/>
  <c r="U2195" i="8"/>
  <c r="O2195" i="8"/>
  <c r="R2195" i="8" s="1"/>
  <c r="S2195" i="8" s="1"/>
  <c r="W2196" i="8"/>
  <c r="U2196" i="8"/>
  <c r="O2196" i="8"/>
  <c r="R2196" i="8" s="1"/>
  <c r="S2196" i="8" s="1"/>
  <c r="W2197" i="8"/>
  <c r="U2197" i="8"/>
  <c r="O2197" i="8"/>
  <c r="R2197" i="8" s="1"/>
  <c r="S2197" i="8" s="1"/>
  <c r="W2198" i="8"/>
  <c r="U2198" i="8"/>
  <c r="O2198" i="8"/>
  <c r="R2198" i="8" s="1"/>
  <c r="S2198" i="8" s="1"/>
  <c r="W2199" i="8"/>
  <c r="U2199" i="8"/>
  <c r="O2199" i="8"/>
  <c r="R2199" i="8" s="1"/>
  <c r="S2199" i="8" s="1"/>
  <c r="W2200" i="8"/>
  <c r="U2200" i="8"/>
  <c r="O2200" i="8"/>
  <c r="R2200" i="8" s="1"/>
  <c r="S2200" i="8" s="1"/>
  <c r="W2201" i="8"/>
  <c r="U2201" i="8"/>
  <c r="O2201" i="8"/>
  <c r="R2201" i="8" s="1"/>
  <c r="S2201" i="8" s="1"/>
  <c r="W2202" i="8"/>
  <c r="U2202" i="8"/>
  <c r="O2202" i="8"/>
  <c r="R2202" i="8" s="1"/>
  <c r="S2202" i="8" s="1"/>
  <c r="W2203" i="8"/>
  <c r="U2203" i="8"/>
  <c r="O2203" i="8"/>
  <c r="R2203" i="8" s="1"/>
  <c r="S2203" i="8" s="1"/>
  <c r="W2204" i="8"/>
  <c r="U2204" i="8"/>
  <c r="O2204" i="8"/>
  <c r="R2204" i="8" s="1"/>
  <c r="S2204" i="8" s="1"/>
  <c r="W2205" i="8"/>
  <c r="U2205" i="8"/>
  <c r="O2205" i="8"/>
  <c r="R2205" i="8" s="1"/>
  <c r="S2205" i="8" s="1"/>
  <c r="W2206" i="8"/>
  <c r="U2206" i="8"/>
  <c r="O2206" i="8"/>
  <c r="R2206" i="8" s="1"/>
  <c r="S2206" i="8" s="1"/>
  <c r="W2207" i="8"/>
  <c r="U2207" i="8"/>
  <c r="O2207" i="8"/>
  <c r="R2207" i="8" s="1"/>
  <c r="S2207" i="8" s="1"/>
  <c r="W2208" i="8"/>
  <c r="U2208" i="8"/>
  <c r="O2208" i="8"/>
  <c r="R2208" i="8" s="1"/>
  <c r="S2208" i="8" s="1"/>
  <c r="W2209" i="8"/>
  <c r="U2209" i="8"/>
  <c r="O2209" i="8"/>
  <c r="R2209" i="8" s="1"/>
  <c r="S2209" i="8" s="1"/>
  <c r="W2210" i="8"/>
  <c r="U2210" i="8"/>
  <c r="O2210" i="8"/>
  <c r="R2210" i="8" s="1"/>
  <c r="S2210" i="8" s="1"/>
  <c r="W2211" i="8"/>
  <c r="U2211" i="8"/>
  <c r="O2211" i="8"/>
  <c r="R2211" i="8" s="1"/>
  <c r="S2211" i="8" s="1"/>
  <c r="W2212" i="8"/>
  <c r="U2212" i="8"/>
  <c r="O2212" i="8"/>
  <c r="R2212" i="8" s="1"/>
  <c r="S2212" i="8" s="1"/>
  <c r="W2213" i="8"/>
  <c r="U2213" i="8"/>
  <c r="O2213" i="8"/>
  <c r="R2213" i="8" s="1"/>
  <c r="S2213" i="8" s="1"/>
  <c r="W2214" i="8"/>
  <c r="U2214" i="8"/>
  <c r="O2214" i="8"/>
  <c r="R2214" i="8" s="1"/>
  <c r="S2214" i="8" s="1"/>
  <c r="W2215" i="8"/>
  <c r="U2215" i="8"/>
  <c r="O2215" i="8"/>
  <c r="R2215" i="8" s="1"/>
  <c r="S2215" i="8" s="1"/>
  <c r="W2216" i="8"/>
  <c r="U2216" i="8"/>
  <c r="O2216" i="8"/>
  <c r="R2216" i="8" s="1"/>
  <c r="S2216" i="8" s="1"/>
  <c r="W2217" i="8"/>
  <c r="U2217" i="8"/>
  <c r="O2217" i="8"/>
  <c r="R2217" i="8" s="1"/>
  <c r="S2217" i="8" s="1"/>
  <c r="W2218" i="8"/>
  <c r="U2218" i="8"/>
  <c r="O2218" i="8"/>
  <c r="R2218" i="8" s="1"/>
  <c r="S2218" i="8" s="1"/>
  <c r="W2219" i="8"/>
  <c r="U2219" i="8"/>
  <c r="O2219" i="8"/>
  <c r="R2219" i="8" s="1"/>
  <c r="S2219" i="8" s="1"/>
  <c r="W2220" i="8"/>
  <c r="U2220" i="8"/>
  <c r="O2220" i="8"/>
  <c r="R2220" i="8" s="1"/>
  <c r="S2220" i="8" s="1"/>
  <c r="W2221" i="8"/>
  <c r="U2221" i="8"/>
  <c r="O2221" i="8"/>
  <c r="R2221" i="8" s="1"/>
  <c r="S2221" i="8" s="1"/>
  <c r="W2222" i="8"/>
  <c r="U2222" i="8"/>
  <c r="O2222" i="8"/>
  <c r="R2222" i="8" s="1"/>
  <c r="S2222" i="8" s="1"/>
  <c r="W2223" i="8"/>
  <c r="U2223" i="8"/>
  <c r="O2223" i="8"/>
  <c r="R2223" i="8" s="1"/>
  <c r="S2223" i="8" s="1"/>
  <c r="W2224" i="8"/>
  <c r="U2224" i="8"/>
  <c r="O2224" i="8"/>
  <c r="R2224" i="8" s="1"/>
  <c r="S2224" i="8" s="1"/>
  <c r="W2225" i="8"/>
  <c r="U2225" i="8"/>
  <c r="O2225" i="8"/>
  <c r="R2225" i="8" s="1"/>
  <c r="S2225" i="8" s="1"/>
  <c r="W2226" i="8"/>
  <c r="U2226" i="8"/>
  <c r="O2226" i="8"/>
  <c r="R2226" i="8" s="1"/>
  <c r="S2226" i="8" s="1"/>
  <c r="W2227" i="8"/>
  <c r="U2227" i="8"/>
  <c r="O2227" i="8"/>
  <c r="R2227" i="8" s="1"/>
  <c r="S2227" i="8" s="1"/>
  <c r="W2228" i="8"/>
  <c r="U2228" i="8"/>
  <c r="O2228" i="8"/>
  <c r="R2228" i="8" s="1"/>
  <c r="S2228" i="8" s="1"/>
  <c r="W2229" i="8"/>
  <c r="U2229" i="8"/>
  <c r="O2229" i="8"/>
  <c r="R2229" i="8" s="1"/>
  <c r="S2229" i="8" s="1"/>
  <c r="W2230" i="8"/>
  <c r="U2230" i="8"/>
  <c r="O2230" i="8"/>
  <c r="R2230" i="8" s="1"/>
  <c r="S2230" i="8" s="1"/>
  <c r="W2231" i="8"/>
  <c r="U2231" i="8"/>
  <c r="O2231" i="8"/>
  <c r="R2231" i="8" s="1"/>
  <c r="S2231" i="8" s="1"/>
  <c r="W2232" i="8"/>
  <c r="U2232" i="8"/>
  <c r="O2232" i="8"/>
  <c r="R2232" i="8" s="1"/>
  <c r="S2232" i="8" s="1"/>
  <c r="W2233" i="8"/>
  <c r="U2233" i="8"/>
  <c r="O2233" i="8"/>
  <c r="R2233" i="8" s="1"/>
  <c r="S2233" i="8" s="1"/>
  <c r="W2234" i="8"/>
  <c r="U2234" i="8"/>
  <c r="O2234" i="8"/>
  <c r="R2234" i="8" s="1"/>
  <c r="S2234" i="8" s="1"/>
  <c r="W2235" i="8"/>
  <c r="U2235" i="8"/>
  <c r="O2235" i="8"/>
  <c r="R2235" i="8" s="1"/>
  <c r="S2235" i="8" s="1"/>
  <c r="W2236" i="8"/>
  <c r="U2236" i="8"/>
  <c r="O2236" i="8"/>
  <c r="R2236" i="8" s="1"/>
  <c r="S2236" i="8" s="1"/>
  <c r="W2237" i="8"/>
  <c r="U2237" i="8"/>
  <c r="O2237" i="8"/>
  <c r="R2237" i="8" s="1"/>
  <c r="S2237" i="8" s="1"/>
  <c r="W2238" i="8"/>
  <c r="U2238" i="8"/>
  <c r="O2238" i="8"/>
  <c r="R2238" i="8" s="1"/>
  <c r="S2238" i="8" s="1"/>
  <c r="W2239" i="8"/>
  <c r="U2239" i="8"/>
  <c r="O2239" i="8"/>
  <c r="R2239" i="8" s="1"/>
  <c r="S2239" i="8" s="1"/>
  <c r="W2240" i="8"/>
  <c r="U2240" i="8"/>
  <c r="O2240" i="8"/>
  <c r="R2240" i="8" s="1"/>
  <c r="S2240" i="8" s="1"/>
  <c r="W2241" i="8"/>
  <c r="U2241" i="8"/>
  <c r="O2241" i="8"/>
  <c r="R2241" i="8" s="1"/>
  <c r="S2241" i="8" s="1"/>
  <c r="W2242" i="8"/>
  <c r="U2242" i="8"/>
  <c r="O2242" i="8"/>
  <c r="R2242" i="8" s="1"/>
  <c r="S2242" i="8" s="1"/>
  <c r="W2243" i="8"/>
  <c r="U2243" i="8"/>
  <c r="O2243" i="8"/>
  <c r="R2243" i="8" s="1"/>
  <c r="S2243" i="8" s="1"/>
  <c r="W2244" i="8"/>
  <c r="U2244" i="8"/>
  <c r="O2244" i="8"/>
  <c r="R2244" i="8" s="1"/>
  <c r="S2244" i="8" s="1"/>
  <c r="W2245" i="8"/>
  <c r="U2245" i="8"/>
  <c r="O2245" i="8"/>
  <c r="R2245" i="8" s="1"/>
  <c r="S2245" i="8" s="1"/>
  <c r="W2246" i="8"/>
  <c r="U2246" i="8"/>
  <c r="O2246" i="8"/>
  <c r="R2246" i="8" s="1"/>
  <c r="S2246" i="8" s="1"/>
  <c r="W2247" i="8"/>
  <c r="U2247" i="8"/>
  <c r="O2247" i="8"/>
  <c r="R2247" i="8" s="1"/>
  <c r="S2247" i="8" s="1"/>
  <c r="W2248" i="8"/>
  <c r="U2248" i="8"/>
  <c r="O2248" i="8"/>
  <c r="R2248" i="8" s="1"/>
  <c r="S2248" i="8" s="1"/>
  <c r="W2249" i="8"/>
  <c r="U2249" i="8"/>
  <c r="O2249" i="8"/>
  <c r="R2249" i="8" s="1"/>
  <c r="S2249" i="8" s="1"/>
  <c r="W2250" i="8"/>
  <c r="U2250" i="8"/>
  <c r="O2250" i="8"/>
  <c r="R2250" i="8" s="1"/>
  <c r="S2250" i="8" s="1"/>
  <c r="W2251" i="8"/>
  <c r="U2251" i="8"/>
  <c r="O2251" i="8"/>
  <c r="R2251" i="8" s="1"/>
  <c r="S2251" i="8" s="1"/>
  <c r="W2252" i="8"/>
  <c r="U2252" i="8"/>
  <c r="O2252" i="8"/>
  <c r="R2252" i="8" s="1"/>
  <c r="S2252" i="8" s="1"/>
  <c r="W2253" i="8"/>
  <c r="U2253" i="8"/>
  <c r="O2253" i="8"/>
  <c r="R2253" i="8" s="1"/>
  <c r="S2253" i="8" s="1"/>
  <c r="W2254" i="8"/>
  <c r="U2254" i="8"/>
  <c r="O2254" i="8"/>
  <c r="R2254" i="8" s="1"/>
  <c r="S2254" i="8" s="1"/>
  <c r="W2255" i="8"/>
  <c r="U2255" i="8"/>
  <c r="O2255" i="8"/>
  <c r="R2255" i="8" s="1"/>
  <c r="S2255" i="8" s="1"/>
  <c r="W2256" i="8"/>
  <c r="U2256" i="8"/>
  <c r="O2256" i="8"/>
  <c r="R2256" i="8" s="1"/>
  <c r="S2256" i="8" s="1"/>
  <c r="W2257" i="8"/>
  <c r="U2257" i="8"/>
  <c r="O2257" i="8"/>
  <c r="R2257" i="8" s="1"/>
  <c r="S2257" i="8" s="1"/>
  <c r="W2258" i="8"/>
  <c r="U2258" i="8"/>
  <c r="O2258" i="8"/>
  <c r="R2258" i="8" s="1"/>
  <c r="S2258" i="8" s="1"/>
  <c r="W2259" i="8"/>
  <c r="U2259" i="8"/>
  <c r="O2259" i="8"/>
  <c r="R2259" i="8" s="1"/>
  <c r="S2259" i="8" s="1"/>
  <c r="W2260" i="8"/>
  <c r="U2260" i="8"/>
  <c r="O2260" i="8"/>
  <c r="R2260" i="8" s="1"/>
  <c r="S2260" i="8" s="1"/>
  <c r="W2261" i="8"/>
  <c r="U2261" i="8"/>
  <c r="O2261" i="8"/>
  <c r="R2261" i="8" s="1"/>
  <c r="S2261" i="8" s="1"/>
  <c r="W2262" i="8"/>
  <c r="U2262" i="8"/>
  <c r="O2262" i="8"/>
  <c r="R2262" i="8" s="1"/>
  <c r="S2262" i="8" s="1"/>
  <c r="W2263" i="8"/>
  <c r="U2263" i="8"/>
  <c r="O2263" i="8"/>
  <c r="R2263" i="8" s="1"/>
  <c r="S2263" i="8" s="1"/>
  <c r="W2264" i="8"/>
  <c r="U2264" i="8"/>
  <c r="O2264" i="8"/>
  <c r="R2264" i="8" s="1"/>
  <c r="S2264" i="8" s="1"/>
  <c r="W2265" i="8"/>
  <c r="U2265" i="8"/>
  <c r="O2265" i="8"/>
  <c r="R2265" i="8" s="1"/>
  <c r="S2265" i="8" s="1"/>
  <c r="W2266" i="8"/>
  <c r="U2266" i="8"/>
  <c r="O2266" i="8"/>
  <c r="R2266" i="8" s="1"/>
  <c r="S2266" i="8" s="1"/>
  <c r="W2267" i="8"/>
  <c r="U2267" i="8"/>
  <c r="O2267" i="8"/>
  <c r="R2267" i="8" s="1"/>
  <c r="S2267" i="8" s="1"/>
  <c r="W2268" i="8"/>
  <c r="U2268" i="8"/>
  <c r="O2268" i="8"/>
  <c r="R2268" i="8" s="1"/>
  <c r="S2268" i="8" s="1"/>
  <c r="W2269" i="8"/>
  <c r="U2269" i="8"/>
  <c r="O2269" i="8"/>
  <c r="R2269" i="8" s="1"/>
  <c r="S2269" i="8" s="1"/>
  <c r="W2270" i="8"/>
  <c r="U2270" i="8"/>
  <c r="O2270" i="8"/>
  <c r="R2270" i="8" s="1"/>
  <c r="S2270" i="8" s="1"/>
  <c r="W2271" i="8"/>
  <c r="U2271" i="8"/>
  <c r="O2271" i="8"/>
  <c r="R2271" i="8" s="1"/>
  <c r="S2271" i="8" s="1"/>
  <c r="W2272" i="8"/>
  <c r="U2272" i="8"/>
  <c r="O2272" i="8"/>
  <c r="R2272" i="8" s="1"/>
  <c r="S2272" i="8" s="1"/>
  <c r="W2273" i="8"/>
  <c r="U2273" i="8"/>
  <c r="O2273" i="8"/>
  <c r="R2273" i="8" s="1"/>
  <c r="S2273" i="8" s="1"/>
  <c r="W2274" i="8"/>
  <c r="U2274" i="8"/>
  <c r="O2274" i="8"/>
  <c r="R2274" i="8" s="1"/>
  <c r="S2274" i="8" s="1"/>
  <c r="W2275" i="8"/>
  <c r="U2275" i="8"/>
  <c r="O2275" i="8"/>
  <c r="R2275" i="8" s="1"/>
  <c r="S2275" i="8" s="1"/>
  <c r="W2276" i="8"/>
  <c r="U2276" i="8"/>
  <c r="O2276" i="8"/>
  <c r="R2276" i="8" s="1"/>
  <c r="S2276" i="8" s="1"/>
  <c r="W2277" i="8"/>
  <c r="U2277" i="8"/>
  <c r="O2277" i="8"/>
  <c r="R2277" i="8" s="1"/>
  <c r="S2277" i="8" s="1"/>
  <c r="W2278" i="8"/>
  <c r="U2278" i="8"/>
  <c r="O2278" i="8"/>
  <c r="R2278" i="8" s="1"/>
  <c r="S2278" i="8" s="1"/>
  <c r="W2279" i="8"/>
  <c r="U2279" i="8"/>
  <c r="O2279" i="8"/>
  <c r="R2279" i="8" s="1"/>
  <c r="S2279" i="8" s="1"/>
  <c r="W2280" i="8"/>
  <c r="U2280" i="8"/>
  <c r="O2280" i="8"/>
  <c r="R2280" i="8" s="1"/>
  <c r="S2280" i="8" s="1"/>
  <c r="W2281" i="8"/>
  <c r="U2281" i="8"/>
  <c r="O2281" i="8"/>
  <c r="R2281" i="8" s="1"/>
  <c r="S2281" i="8" s="1"/>
  <c r="W2282" i="8"/>
  <c r="U2282" i="8"/>
  <c r="O2282" i="8"/>
  <c r="R2282" i="8" s="1"/>
  <c r="S2282" i="8" s="1"/>
  <c r="W2283" i="8"/>
  <c r="U2283" i="8"/>
  <c r="O2283" i="8"/>
  <c r="R2283" i="8" s="1"/>
  <c r="S2283" i="8" s="1"/>
  <c r="W2284" i="8"/>
  <c r="U2284" i="8"/>
  <c r="O2284" i="8"/>
  <c r="R2284" i="8" s="1"/>
  <c r="S2284" i="8" s="1"/>
  <c r="W2285" i="8"/>
  <c r="U2285" i="8"/>
  <c r="O2285" i="8"/>
  <c r="R2285" i="8" s="1"/>
  <c r="S2285" i="8" s="1"/>
  <c r="W2286" i="8"/>
  <c r="U2286" i="8"/>
  <c r="O2286" i="8"/>
  <c r="R2286" i="8" s="1"/>
  <c r="S2286" i="8" s="1"/>
  <c r="W2287" i="8"/>
  <c r="U2287" i="8"/>
  <c r="O2287" i="8"/>
  <c r="R2287" i="8" s="1"/>
  <c r="S2287" i="8" s="1"/>
  <c r="W2288" i="8"/>
  <c r="U2288" i="8"/>
  <c r="O2288" i="8"/>
  <c r="R2288" i="8" s="1"/>
  <c r="S2288" i="8" s="1"/>
  <c r="W2289" i="8"/>
  <c r="U2289" i="8"/>
  <c r="O2289" i="8"/>
  <c r="R2289" i="8" s="1"/>
  <c r="S2289" i="8" s="1"/>
  <c r="W2290" i="8"/>
  <c r="U2290" i="8"/>
  <c r="O2290" i="8"/>
  <c r="R2290" i="8" s="1"/>
  <c r="S2290" i="8" s="1"/>
  <c r="W2291" i="8"/>
  <c r="U2291" i="8"/>
  <c r="O2291" i="8"/>
  <c r="R2291" i="8" s="1"/>
  <c r="S2291" i="8" s="1"/>
  <c r="W2292" i="8"/>
  <c r="U2292" i="8"/>
  <c r="O2292" i="8"/>
  <c r="R2292" i="8" s="1"/>
  <c r="S2292" i="8" s="1"/>
  <c r="W2293" i="8"/>
  <c r="U2293" i="8"/>
  <c r="O2293" i="8"/>
  <c r="R2293" i="8" s="1"/>
  <c r="S2293" i="8" s="1"/>
  <c r="W2294" i="8"/>
  <c r="U2294" i="8"/>
  <c r="O2294" i="8"/>
  <c r="R2294" i="8" s="1"/>
  <c r="S2294" i="8" s="1"/>
  <c r="W2295" i="8"/>
  <c r="U2295" i="8"/>
  <c r="O2295" i="8"/>
  <c r="R2295" i="8" s="1"/>
  <c r="S2295" i="8" s="1"/>
  <c r="W2296" i="8"/>
  <c r="U2296" i="8"/>
  <c r="O2296" i="8"/>
  <c r="R2296" i="8" s="1"/>
  <c r="S2296" i="8" s="1"/>
  <c r="W2297" i="8"/>
  <c r="U2297" i="8"/>
  <c r="O2297" i="8"/>
  <c r="R2297" i="8" s="1"/>
  <c r="S2297" i="8" s="1"/>
  <c r="W2298" i="8"/>
  <c r="U2298" i="8"/>
  <c r="O2298" i="8"/>
  <c r="R2298" i="8" s="1"/>
  <c r="S2298" i="8" s="1"/>
  <c r="W2299" i="8"/>
  <c r="U2299" i="8"/>
  <c r="O2299" i="8"/>
  <c r="R2299" i="8" s="1"/>
  <c r="S2299" i="8" s="1"/>
  <c r="W2300" i="8"/>
  <c r="U2300" i="8"/>
  <c r="O2300" i="8"/>
  <c r="R2300" i="8" s="1"/>
  <c r="S2300" i="8" s="1"/>
  <c r="W2301" i="8"/>
  <c r="U2301" i="8"/>
  <c r="O2301" i="8"/>
  <c r="R2301" i="8" s="1"/>
  <c r="S2301" i="8" s="1"/>
  <c r="W2302" i="8"/>
  <c r="U2302" i="8"/>
  <c r="O2302" i="8"/>
  <c r="R2302" i="8" s="1"/>
  <c r="S2302" i="8" s="1"/>
  <c r="W2303" i="8"/>
  <c r="U2303" i="8"/>
  <c r="O2303" i="8"/>
  <c r="R2303" i="8" s="1"/>
  <c r="S2303" i="8" s="1"/>
  <c r="W2304" i="8"/>
  <c r="U2304" i="8"/>
  <c r="O2304" i="8"/>
  <c r="R2304" i="8" s="1"/>
  <c r="S2304" i="8" s="1"/>
  <c r="W2305" i="8"/>
  <c r="U2305" i="8"/>
  <c r="O2305" i="8"/>
  <c r="R2305" i="8" s="1"/>
  <c r="S2305" i="8" s="1"/>
  <c r="W2306" i="8"/>
  <c r="U2306" i="8"/>
  <c r="O2306" i="8"/>
  <c r="R2306" i="8" s="1"/>
  <c r="S2306" i="8" s="1"/>
  <c r="W2307" i="8"/>
  <c r="U2307" i="8"/>
  <c r="O2307" i="8"/>
  <c r="R2307" i="8" s="1"/>
  <c r="S2307" i="8" s="1"/>
  <c r="W2308" i="8"/>
  <c r="U2308" i="8"/>
  <c r="O2308" i="8"/>
  <c r="R2308" i="8" s="1"/>
  <c r="S2308" i="8" s="1"/>
  <c r="W2309" i="8"/>
  <c r="U2309" i="8"/>
  <c r="O2309" i="8"/>
  <c r="R2309" i="8" s="1"/>
  <c r="S2309" i="8" s="1"/>
  <c r="W2310" i="8"/>
  <c r="U2310" i="8"/>
  <c r="O2310" i="8"/>
  <c r="R2310" i="8" s="1"/>
  <c r="S2310" i="8" s="1"/>
  <c r="W2311" i="8"/>
  <c r="U2311" i="8"/>
  <c r="O2311" i="8"/>
  <c r="R2311" i="8" s="1"/>
  <c r="S2311" i="8" s="1"/>
  <c r="W2312" i="8"/>
  <c r="U2312" i="8"/>
  <c r="O2312" i="8"/>
  <c r="R2312" i="8" s="1"/>
  <c r="S2312" i="8" s="1"/>
  <c r="W2313" i="8"/>
  <c r="U2313" i="8"/>
  <c r="O2313" i="8"/>
  <c r="R2313" i="8" s="1"/>
  <c r="S2313" i="8" s="1"/>
  <c r="W2314" i="8"/>
  <c r="U2314" i="8"/>
  <c r="O2314" i="8"/>
  <c r="R2314" i="8" s="1"/>
  <c r="S2314" i="8" s="1"/>
  <c r="W2315" i="8"/>
  <c r="U2315" i="8"/>
  <c r="O2315" i="8"/>
  <c r="R2315" i="8" s="1"/>
  <c r="S2315" i="8" s="1"/>
  <c r="W2316" i="8"/>
  <c r="U2316" i="8"/>
  <c r="O2316" i="8"/>
  <c r="R2316" i="8" s="1"/>
  <c r="S2316" i="8" s="1"/>
  <c r="W2317" i="8"/>
  <c r="M50" i="5" s="1"/>
  <c r="U2317" i="8"/>
  <c r="Q50" i="5" s="1"/>
  <c r="O2317" i="8"/>
  <c r="R2317" i="8" s="1"/>
  <c r="S2317" i="8" s="1"/>
  <c r="O50" i="5" s="1"/>
  <c r="W2318" i="8"/>
  <c r="U2318" i="8"/>
  <c r="O2318" i="8"/>
  <c r="R2318" i="8" s="1"/>
  <c r="S2318" i="8" s="1"/>
  <c r="W2319" i="8"/>
  <c r="U2319" i="8"/>
  <c r="O2319" i="8"/>
  <c r="R2319" i="8" s="1"/>
  <c r="S2319" i="8" s="1"/>
  <c r="W2320" i="8"/>
  <c r="U2320" i="8"/>
  <c r="O2320" i="8"/>
  <c r="R2320" i="8" s="1"/>
  <c r="S2320" i="8" s="1"/>
  <c r="W2321" i="8"/>
  <c r="U2321" i="8"/>
  <c r="O2321" i="8"/>
  <c r="R2321" i="8" s="1"/>
  <c r="S2321" i="8" s="1"/>
  <c r="W2322" i="8"/>
  <c r="U2322" i="8"/>
  <c r="O2322" i="8"/>
  <c r="R2322" i="8" s="1"/>
  <c r="S2322" i="8" s="1"/>
  <c r="W2323" i="8"/>
  <c r="U2323" i="8"/>
  <c r="O2323" i="8"/>
  <c r="R2323" i="8" s="1"/>
  <c r="S2323" i="8" s="1"/>
  <c r="W2324" i="8"/>
  <c r="U2324" i="8"/>
  <c r="O2324" i="8"/>
  <c r="R2324" i="8" s="1"/>
  <c r="S2324" i="8" s="1"/>
  <c r="W2325" i="8"/>
  <c r="U2325" i="8"/>
  <c r="O2325" i="8"/>
  <c r="R2325" i="8" s="1"/>
  <c r="S2325" i="8" s="1"/>
  <c r="W2326" i="8"/>
  <c r="U2326" i="8"/>
  <c r="O2326" i="8"/>
  <c r="R2326" i="8" s="1"/>
  <c r="S2326" i="8" s="1"/>
  <c r="W2327" i="8"/>
  <c r="U2327" i="8"/>
  <c r="O2327" i="8"/>
  <c r="R2327" i="8" s="1"/>
  <c r="S2327" i="8" s="1"/>
  <c r="W2328" i="8"/>
  <c r="U2328" i="8"/>
  <c r="O2328" i="8"/>
  <c r="R2328" i="8" s="1"/>
  <c r="S2328" i="8" s="1"/>
  <c r="W2329" i="8"/>
  <c r="U2329" i="8"/>
  <c r="O2329" i="8"/>
  <c r="R2329" i="8" s="1"/>
  <c r="S2329" i="8" s="1"/>
  <c r="W2330" i="8"/>
  <c r="U2330" i="8"/>
  <c r="O2330" i="8"/>
  <c r="R2330" i="8" s="1"/>
  <c r="S2330" i="8" s="1"/>
  <c r="W2331" i="8"/>
  <c r="U2331" i="8"/>
  <c r="O2331" i="8"/>
  <c r="R2331" i="8" s="1"/>
  <c r="S2331" i="8" s="1"/>
  <c r="W2332" i="8"/>
  <c r="U2332" i="8"/>
  <c r="O2332" i="8"/>
  <c r="R2332" i="8" s="1"/>
  <c r="S2332" i="8" s="1"/>
  <c r="W2333" i="8"/>
  <c r="U2333" i="8"/>
  <c r="O2333" i="8"/>
  <c r="R2333" i="8" s="1"/>
  <c r="S2333" i="8" s="1"/>
  <c r="W2334" i="8"/>
  <c r="U2334" i="8"/>
  <c r="O2334" i="8"/>
  <c r="R2334" i="8" s="1"/>
  <c r="S2334" i="8" s="1"/>
  <c r="W2335" i="8"/>
  <c r="U2335" i="8"/>
  <c r="O2335" i="8"/>
  <c r="R2335" i="8" s="1"/>
  <c r="S2335" i="8" s="1"/>
  <c r="W2336" i="8"/>
  <c r="U2336" i="8"/>
  <c r="O2336" i="8"/>
  <c r="R2336" i="8" s="1"/>
  <c r="S2336" i="8" s="1"/>
  <c r="W2337" i="8"/>
  <c r="U2337" i="8"/>
  <c r="O2337" i="8"/>
  <c r="R2337" i="8" s="1"/>
  <c r="S2337" i="8" s="1"/>
  <c r="W2338" i="8"/>
  <c r="U2338" i="8"/>
  <c r="O2338" i="8"/>
  <c r="R2338" i="8" s="1"/>
  <c r="S2338" i="8" s="1"/>
  <c r="W2339" i="8"/>
  <c r="U2339" i="8"/>
  <c r="O2339" i="8"/>
  <c r="R2339" i="8" s="1"/>
  <c r="S2339" i="8" s="1"/>
  <c r="W2340" i="8"/>
  <c r="U2340" i="8"/>
  <c r="O2340" i="8"/>
  <c r="R2340" i="8" s="1"/>
  <c r="S2340" i="8" s="1"/>
  <c r="W2341" i="8"/>
  <c r="U2341" i="8"/>
  <c r="O2341" i="8"/>
  <c r="R2341" i="8" s="1"/>
  <c r="S2341" i="8" s="1"/>
  <c r="W2342" i="8"/>
  <c r="U2342" i="8"/>
  <c r="O2342" i="8"/>
  <c r="R2342" i="8" s="1"/>
  <c r="S2342" i="8" s="1"/>
  <c r="W2343" i="8"/>
  <c r="U2343" i="8"/>
  <c r="O2343" i="8"/>
  <c r="R2343" i="8" s="1"/>
  <c r="S2343" i="8" s="1"/>
  <c r="W2344" i="8"/>
  <c r="M51" i="5" s="1"/>
  <c r="U2344" i="8"/>
  <c r="Q51" i="5" s="1"/>
  <c r="O2344" i="8"/>
  <c r="R2344" i="8" s="1"/>
  <c r="S2344" i="8" s="1"/>
  <c r="O51" i="5" s="1"/>
  <c r="W2345" i="8"/>
  <c r="U2345" i="8"/>
  <c r="O2345" i="8"/>
  <c r="R2345" i="8" s="1"/>
  <c r="S2345" i="8" s="1"/>
  <c r="W2346" i="8"/>
  <c r="U2346" i="8"/>
  <c r="O2346" i="8"/>
  <c r="R2346" i="8" s="1"/>
  <c r="S2346" i="8" s="1"/>
  <c r="W2347" i="8"/>
  <c r="U2347" i="8"/>
  <c r="O2347" i="8"/>
  <c r="R2347" i="8" s="1"/>
  <c r="S2347" i="8" s="1"/>
  <c r="W2348" i="8"/>
  <c r="U2348" i="8"/>
  <c r="O2348" i="8"/>
  <c r="R2348" i="8" s="1"/>
  <c r="S2348" i="8" s="1"/>
  <c r="W2349" i="8"/>
  <c r="U2349" i="8"/>
  <c r="O2349" i="8"/>
  <c r="R2349" i="8" s="1"/>
  <c r="S2349" i="8" s="1"/>
  <c r="W2350" i="8"/>
  <c r="U2350" i="8"/>
  <c r="O2350" i="8"/>
  <c r="R2350" i="8" s="1"/>
  <c r="S2350" i="8" s="1"/>
  <c r="W2351" i="8"/>
  <c r="U2351" i="8"/>
  <c r="O2351" i="8"/>
  <c r="R2351" i="8" s="1"/>
  <c r="S2351" i="8" s="1"/>
  <c r="W2352" i="8"/>
  <c r="U2352" i="8"/>
  <c r="O2352" i="8"/>
  <c r="R2352" i="8" s="1"/>
  <c r="S2352" i="8" s="1"/>
  <c r="W2353" i="8"/>
  <c r="U2353" i="8"/>
  <c r="O2353" i="8"/>
  <c r="R2353" i="8" s="1"/>
  <c r="S2353" i="8" s="1"/>
  <c r="W2354" i="8"/>
  <c r="U2354" i="8"/>
  <c r="O2354" i="8"/>
  <c r="R2354" i="8" s="1"/>
  <c r="S2354" i="8" s="1"/>
  <c r="W2355" i="8"/>
  <c r="U2355" i="8"/>
  <c r="O2355" i="8"/>
  <c r="R2355" i="8" s="1"/>
  <c r="S2355" i="8" s="1"/>
  <c r="W2356" i="8"/>
  <c r="U2356" i="8"/>
  <c r="O2356" i="8"/>
  <c r="R2356" i="8" s="1"/>
  <c r="S2356" i="8" s="1"/>
  <c r="W2357" i="8"/>
  <c r="U2357" i="8"/>
  <c r="O2357" i="8"/>
  <c r="R2357" i="8" s="1"/>
  <c r="S2357" i="8" s="1"/>
  <c r="W2358" i="8"/>
  <c r="U2358" i="8"/>
  <c r="O2358" i="8"/>
  <c r="R2358" i="8" s="1"/>
  <c r="S2358" i="8" s="1"/>
  <c r="W2359" i="8"/>
  <c r="U2359" i="8"/>
  <c r="O2359" i="8"/>
  <c r="R2359" i="8" s="1"/>
  <c r="S2359" i="8" s="1"/>
  <c r="W2360" i="8"/>
  <c r="U2360" i="8"/>
  <c r="O2360" i="8"/>
  <c r="R2360" i="8" s="1"/>
  <c r="S2360" i="8" s="1"/>
  <c r="W2361" i="8"/>
  <c r="U2361" i="8"/>
  <c r="O2361" i="8"/>
  <c r="R2361" i="8" s="1"/>
  <c r="S2361" i="8" s="1"/>
  <c r="W2362" i="8"/>
  <c r="U2362" i="8"/>
  <c r="O2362" i="8"/>
  <c r="R2362" i="8" s="1"/>
  <c r="S2362" i="8" s="1"/>
  <c r="W2363" i="8"/>
  <c r="U2363" i="8"/>
  <c r="O2363" i="8"/>
  <c r="R2363" i="8" s="1"/>
  <c r="S2363" i="8" s="1"/>
  <c r="W2364" i="8"/>
  <c r="U2364" i="8"/>
  <c r="O2364" i="8"/>
  <c r="R2364" i="8" s="1"/>
  <c r="S2364" i="8" s="1"/>
  <c r="W2365" i="8"/>
  <c r="U2365" i="8"/>
  <c r="O2365" i="8"/>
  <c r="R2365" i="8" s="1"/>
  <c r="S2365" i="8" s="1"/>
  <c r="W2366" i="8"/>
  <c r="U2366" i="8"/>
  <c r="O2366" i="8"/>
  <c r="R2366" i="8" s="1"/>
  <c r="S2366" i="8" s="1"/>
  <c r="W2367" i="8"/>
  <c r="U2367" i="8"/>
  <c r="O2367" i="8"/>
  <c r="R2367" i="8" s="1"/>
  <c r="S2367" i="8" s="1"/>
  <c r="W2368" i="8"/>
  <c r="U2368" i="8"/>
  <c r="O2368" i="8"/>
  <c r="R2368" i="8" s="1"/>
  <c r="S2368" i="8" s="1"/>
  <c r="W2369" i="8"/>
  <c r="U2369" i="8"/>
  <c r="O2369" i="8"/>
  <c r="R2369" i="8" s="1"/>
  <c r="S2369" i="8" s="1"/>
  <c r="W2370" i="8"/>
  <c r="U2370" i="8"/>
  <c r="O2370" i="8"/>
  <c r="R2370" i="8" s="1"/>
  <c r="S2370" i="8" s="1"/>
  <c r="W2371" i="8"/>
  <c r="U2371" i="8"/>
  <c r="O2371" i="8"/>
  <c r="R2371" i="8" s="1"/>
  <c r="S2371" i="8" s="1"/>
  <c r="W2372" i="8"/>
  <c r="U2372" i="8"/>
  <c r="O2372" i="8"/>
  <c r="R2372" i="8" s="1"/>
  <c r="S2372" i="8" s="1"/>
  <c r="W2373" i="8"/>
  <c r="U2373" i="8"/>
  <c r="O2373" i="8"/>
  <c r="R2373" i="8" s="1"/>
  <c r="S2373" i="8" s="1"/>
  <c r="W2374" i="8"/>
  <c r="U2374" i="8"/>
  <c r="O2374" i="8"/>
  <c r="R2374" i="8" s="1"/>
  <c r="S2374" i="8" s="1"/>
  <c r="W2375" i="8"/>
  <c r="U2375" i="8"/>
  <c r="O2375" i="8"/>
  <c r="R2375" i="8" s="1"/>
  <c r="S2375" i="8" s="1"/>
  <c r="W2376" i="8"/>
  <c r="U2376" i="8"/>
  <c r="O2376" i="8"/>
  <c r="R2376" i="8" s="1"/>
  <c r="S2376" i="8" s="1"/>
  <c r="W2377" i="8"/>
  <c r="U2377" i="8"/>
  <c r="O2377" i="8"/>
  <c r="R2377" i="8" s="1"/>
  <c r="S2377" i="8" s="1"/>
  <c r="W2378" i="8"/>
  <c r="M52" i="5" s="1"/>
  <c r="U2378" i="8"/>
  <c r="Q52" i="5" s="1"/>
  <c r="O2378" i="8"/>
  <c r="R2378" i="8" s="1"/>
  <c r="S2378" i="8" s="1"/>
  <c r="O52" i="5" s="1"/>
  <c r="W2379" i="8"/>
  <c r="U2379" i="8"/>
  <c r="O2379" i="8"/>
  <c r="R2379" i="8" s="1"/>
  <c r="S2379" i="8" s="1"/>
  <c r="W2380" i="8"/>
  <c r="U2380" i="8"/>
  <c r="O2380" i="8"/>
  <c r="R2380" i="8" s="1"/>
  <c r="S2380" i="8" s="1"/>
  <c r="W2381" i="8"/>
  <c r="U2381" i="8"/>
  <c r="O2381" i="8"/>
  <c r="R2381" i="8" s="1"/>
  <c r="S2381" i="8" s="1"/>
  <c r="W2382" i="8"/>
  <c r="U2382" i="8"/>
  <c r="O2382" i="8"/>
  <c r="R2382" i="8" s="1"/>
  <c r="S2382" i="8" s="1"/>
  <c r="W2383" i="8"/>
  <c r="U2383" i="8"/>
  <c r="O2383" i="8"/>
  <c r="R2383" i="8" s="1"/>
  <c r="S2383" i="8" s="1"/>
  <c r="W2384" i="8"/>
  <c r="U2384" i="8"/>
  <c r="O2384" i="8"/>
  <c r="R2384" i="8" s="1"/>
  <c r="S2384" i="8" s="1"/>
  <c r="W2385" i="8"/>
  <c r="U2385" i="8"/>
  <c r="O2385" i="8"/>
  <c r="R2385" i="8" s="1"/>
  <c r="S2385" i="8" s="1"/>
  <c r="W2386" i="8"/>
  <c r="U2386" i="8"/>
  <c r="O2386" i="8"/>
  <c r="R2386" i="8" s="1"/>
  <c r="S2386" i="8" s="1"/>
  <c r="W2387" i="8"/>
  <c r="U2387" i="8"/>
  <c r="O2387" i="8"/>
  <c r="R2387" i="8" s="1"/>
  <c r="S2387" i="8" s="1"/>
  <c r="W2388" i="8"/>
  <c r="U2388" i="8"/>
  <c r="O2388" i="8"/>
  <c r="R2388" i="8" s="1"/>
  <c r="S2388" i="8" s="1"/>
  <c r="W2389" i="8"/>
  <c r="U2389" i="8"/>
  <c r="O2389" i="8"/>
  <c r="R2389" i="8" s="1"/>
  <c r="S2389" i="8" s="1"/>
  <c r="W2390" i="8"/>
  <c r="U2390" i="8"/>
  <c r="O2390" i="8"/>
  <c r="R2390" i="8" s="1"/>
  <c r="S2390" i="8" s="1"/>
  <c r="W2391" i="8"/>
  <c r="U2391" i="8"/>
  <c r="O2391" i="8"/>
  <c r="R2391" i="8" s="1"/>
  <c r="S2391" i="8" s="1"/>
  <c r="W2392" i="8"/>
  <c r="U2392" i="8"/>
  <c r="O2392" i="8"/>
  <c r="R2392" i="8" s="1"/>
  <c r="S2392" i="8" s="1"/>
  <c r="W2393" i="8"/>
  <c r="U2393" i="8"/>
  <c r="O2393" i="8"/>
  <c r="R2393" i="8" s="1"/>
  <c r="S2393" i="8" s="1"/>
  <c r="W2394" i="8"/>
  <c r="U2394" i="8"/>
  <c r="O2394" i="8"/>
  <c r="R2394" i="8" s="1"/>
  <c r="S2394" i="8" s="1"/>
  <c r="W2395" i="8"/>
  <c r="U2395" i="8"/>
  <c r="O2395" i="8"/>
  <c r="R2395" i="8" s="1"/>
  <c r="S2395" i="8" s="1"/>
  <c r="W2396" i="8"/>
  <c r="U2396" i="8"/>
  <c r="O2396" i="8"/>
  <c r="R2396" i="8" s="1"/>
  <c r="S2396" i="8" s="1"/>
  <c r="W2397" i="8"/>
  <c r="U2397" i="8"/>
  <c r="O2397" i="8"/>
  <c r="R2397" i="8" s="1"/>
  <c r="S2397" i="8" s="1"/>
  <c r="W2398" i="8"/>
  <c r="U2398" i="8"/>
  <c r="O2398" i="8"/>
  <c r="R2398" i="8" s="1"/>
  <c r="S2398" i="8" s="1"/>
  <c r="W2399" i="8"/>
  <c r="U2399" i="8"/>
  <c r="O2399" i="8"/>
  <c r="R2399" i="8" s="1"/>
  <c r="S2399" i="8" s="1"/>
  <c r="W2400" i="8"/>
  <c r="U2400" i="8"/>
  <c r="O2400" i="8"/>
  <c r="R2400" i="8" s="1"/>
  <c r="S2400" i="8" s="1"/>
  <c r="W2401" i="8"/>
  <c r="U2401" i="8"/>
  <c r="O2401" i="8"/>
  <c r="R2401" i="8" s="1"/>
  <c r="S2401" i="8" s="1"/>
  <c r="W2402" i="8"/>
  <c r="U2402" i="8"/>
  <c r="O2402" i="8"/>
  <c r="R2402" i="8" s="1"/>
  <c r="S2402" i="8" s="1"/>
  <c r="W2403" i="8"/>
  <c r="U2403" i="8"/>
  <c r="O2403" i="8"/>
  <c r="R2403" i="8" s="1"/>
  <c r="S2403" i="8" s="1"/>
  <c r="W2404" i="8"/>
  <c r="U2404" i="8"/>
  <c r="O2404" i="8"/>
  <c r="R2404" i="8" s="1"/>
  <c r="S2404" i="8" s="1"/>
  <c r="W2405" i="8"/>
  <c r="U2405" i="8"/>
  <c r="O2405" i="8"/>
  <c r="R2405" i="8" s="1"/>
  <c r="S2405" i="8" s="1"/>
  <c r="W2406" i="8"/>
  <c r="U2406" i="8"/>
  <c r="O2406" i="8"/>
  <c r="R2406" i="8" s="1"/>
  <c r="S2406" i="8" s="1"/>
  <c r="W2407" i="8"/>
  <c r="U2407" i="8"/>
  <c r="O2407" i="8"/>
  <c r="R2407" i="8" s="1"/>
  <c r="S2407" i="8" s="1"/>
  <c r="W2408" i="8"/>
  <c r="U2408" i="8"/>
  <c r="O2408" i="8"/>
  <c r="R2408" i="8" s="1"/>
  <c r="S2408" i="8" s="1"/>
  <c r="W2409" i="8"/>
  <c r="U2409" i="8"/>
  <c r="O2409" i="8"/>
  <c r="R2409" i="8" s="1"/>
  <c r="S2409" i="8" s="1"/>
  <c r="W2410" i="8"/>
  <c r="U2410" i="8"/>
  <c r="O2410" i="8"/>
  <c r="R2410" i="8" s="1"/>
  <c r="S2410" i="8" s="1"/>
  <c r="W2411" i="8"/>
  <c r="U2411" i="8"/>
  <c r="O2411" i="8"/>
  <c r="R2411" i="8" s="1"/>
  <c r="S2411" i="8" s="1"/>
  <c r="W2412" i="8"/>
  <c r="U2412" i="8"/>
  <c r="O2412" i="8"/>
  <c r="R2412" i="8" s="1"/>
  <c r="S2412" i="8" s="1"/>
  <c r="W2413" i="8"/>
  <c r="U2413" i="8"/>
  <c r="O2413" i="8"/>
  <c r="R2413" i="8" s="1"/>
  <c r="S2413" i="8" s="1"/>
  <c r="W2414" i="8"/>
  <c r="U2414" i="8"/>
  <c r="O2414" i="8"/>
  <c r="R2414" i="8" s="1"/>
  <c r="S2414" i="8" s="1"/>
  <c r="W2415" i="8"/>
  <c r="U2415" i="8"/>
  <c r="O2415" i="8"/>
  <c r="R2415" i="8" s="1"/>
  <c r="S2415" i="8" s="1"/>
  <c r="W2416" i="8"/>
  <c r="M53" i="5" s="1"/>
  <c r="U2416" i="8"/>
  <c r="Q53" i="5" s="1"/>
  <c r="O2416" i="8"/>
  <c r="R2416" i="8" s="1"/>
  <c r="S2416" i="8" s="1"/>
  <c r="O53" i="5" s="1"/>
  <c r="W2417" i="8"/>
  <c r="U2417" i="8"/>
  <c r="O2417" i="8"/>
  <c r="R2417" i="8" s="1"/>
  <c r="S2417" i="8" s="1"/>
  <c r="W2418" i="8"/>
  <c r="U2418" i="8"/>
  <c r="O2418" i="8"/>
  <c r="R2418" i="8" s="1"/>
  <c r="S2418" i="8" s="1"/>
  <c r="W2419" i="8"/>
  <c r="U2419" i="8"/>
  <c r="O2419" i="8"/>
  <c r="R2419" i="8" s="1"/>
  <c r="S2419" i="8" s="1"/>
  <c r="W2420" i="8"/>
  <c r="U2420" i="8"/>
  <c r="O2420" i="8"/>
  <c r="R2420" i="8" s="1"/>
  <c r="S2420" i="8" s="1"/>
  <c r="W2421" i="8"/>
  <c r="U2421" i="8"/>
  <c r="O2421" i="8"/>
  <c r="R2421" i="8" s="1"/>
  <c r="S2421" i="8" s="1"/>
  <c r="W2422" i="8"/>
  <c r="U2422" i="8"/>
  <c r="O2422" i="8"/>
  <c r="R2422" i="8" s="1"/>
  <c r="S2422" i="8" s="1"/>
  <c r="W2423" i="8"/>
  <c r="U2423" i="8"/>
  <c r="O2423" i="8"/>
  <c r="R2423" i="8" s="1"/>
  <c r="S2423" i="8" s="1"/>
  <c r="W2424" i="8"/>
  <c r="U2424" i="8"/>
  <c r="O2424" i="8"/>
  <c r="R2424" i="8" s="1"/>
  <c r="S2424" i="8" s="1"/>
  <c r="W2425" i="8"/>
  <c r="U2425" i="8"/>
  <c r="O2425" i="8"/>
  <c r="R2425" i="8" s="1"/>
  <c r="S2425" i="8" s="1"/>
  <c r="W2426" i="8"/>
  <c r="U2426" i="8"/>
  <c r="O2426" i="8"/>
  <c r="R2426" i="8" s="1"/>
  <c r="S2426" i="8" s="1"/>
  <c r="W2427" i="8"/>
  <c r="U2427" i="8"/>
  <c r="O2427" i="8"/>
  <c r="R2427" i="8" s="1"/>
  <c r="S2427" i="8" s="1"/>
  <c r="W2428" i="8"/>
  <c r="U2428" i="8"/>
  <c r="O2428" i="8"/>
  <c r="R2428" i="8" s="1"/>
  <c r="S2428" i="8" s="1"/>
  <c r="W2429" i="8"/>
  <c r="U2429" i="8"/>
  <c r="O2429" i="8"/>
  <c r="R2429" i="8" s="1"/>
  <c r="S2429" i="8" s="1"/>
  <c r="W2430" i="8"/>
  <c r="U2430" i="8"/>
  <c r="O2430" i="8"/>
  <c r="R2430" i="8" s="1"/>
  <c r="S2430" i="8" s="1"/>
  <c r="W2431" i="8"/>
  <c r="U2431" i="8"/>
  <c r="O2431" i="8"/>
  <c r="R2431" i="8" s="1"/>
  <c r="S2431" i="8" s="1"/>
  <c r="W2432" i="8"/>
  <c r="U2432" i="8"/>
  <c r="O2432" i="8"/>
  <c r="R2432" i="8" s="1"/>
  <c r="S2432" i="8" s="1"/>
  <c r="W2433" i="8"/>
  <c r="U2433" i="8"/>
  <c r="O2433" i="8"/>
  <c r="R2433" i="8" s="1"/>
  <c r="S2433" i="8" s="1"/>
  <c r="W2434" i="8"/>
  <c r="U2434" i="8"/>
  <c r="O2434" i="8"/>
  <c r="R2434" i="8" s="1"/>
  <c r="S2434" i="8" s="1"/>
  <c r="W2435" i="8"/>
  <c r="U2435" i="8"/>
  <c r="O2435" i="8"/>
  <c r="R2435" i="8" s="1"/>
  <c r="S2435" i="8" s="1"/>
  <c r="W2436" i="8"/>
  <c r="U2436" i="8"/>
  <c r="O2436" i="8"/>
  <c r="R2436" i="8" s="1"/>
  <c r="S2436" i="8" s="1"/>
  <c r="W2437" i="8"/>
  <c r="U2437" i="8"/>
  <c r="O2437" i="8"/>
  <c r="R2437" i="8" s="1"/>
  <c r="S2437" i="8" s="1"/>
  <c r="W2438" i="8"/>
  <c r="U2438" i="8"/>
  <c r="O2438" i="8"/>
  <c r="R2438" i="8" s="1"/>
  <c r="S2438" i="8" s="1"/>
  <c r="W2439" i="8"/>
  <c r="U2439" i="8"/>
  <c r="O2439" i="8"/>
  <c r="R2439" i="8" s="1"/>
  <c r="S2439" i="8" s="1"/>
  <c r="W2440" i="8"/>
  <c r="U2440" i="8"/>
  <c r="O2440" i="8"/>
  <c r="R2440" i="8" s="1"/>
  <c r="S2440" i="8" s="1"/>
  <c r="W2441" i="8"/>
  <c r="U2441" i="8"/>
  <c r="O2441" i="8"/>
  <c r="R2441" i="8" s="1"/>
  <c r="S2441" i="8" s="1"/>
  <c r="W2442" i="8"/>
  <c r="U2442" i="8"/>
  <c r="O2442" i="8"/>
  <c r="R2442" i="8" s="1"/>
  <c r="S2442" i="8" s="1"/>
  <c r="W2443" i="8"/>
  <c r="U2443" i="8"/>
  <c r="O2443" i="8"/>
  <c r="R2443" i="8" s="1"/>
  <c r="S2443" i="8" s="1"/>
  <c r="W2444" i="8"/>
  <c r="U2444" i="8"/>
  <c r="O2444" i="8"/>
  <c r="R2444" i="8" s="1"/>
  <c r="S2444" i="8" s="1"/>
  <c r="W2445" i="8"/>
  <c r="U2445" i="8"/>
  <c r="O2445" i="8"/>
  <c r="R2445" i="8" s="1"/>
  <c r="S2445" i="8" s="1"/>
  <c r="W2446" i="8"/>
  <c r="U2446" i="8"/>
  <c r="O2446" i="8"/>
  <c r="R2446" i="8" s="1"/>
  <c r="S2446" i="8" s="1"/>
  <c r="W2447" i="8"/>
  <c r="U2447" i="8"/>
  <c r="O2447" i="8"/>
  <c r="R2447" i="8" s="1"/>
  <c r="S2447" i="8" s="1"/>
  <c r="W2448" i="8"/>
  <c r="U2448" i="8"/>
  <c r="O2448" i="8"/>
  <c r="R2448" i="8" s="1"/>
  <c r="S2448" i="8" s="1"/>
  <c r="W2449" i="8"/>
  <c r="U2449" i="8"/>
  <c r="O2449" i="8"/>
  <c r="R2449" i="8" s="1"/>
  <c r="S2449" i="8" s="1"/>
  <c r="W2450" i="8"/>
  <c r="U2450" i="8"/>
  <c r="O2450" i="8"/>
  <c r="R2450" i="8" s="1"/>
  <c r="S2450" i="8" s="1"/>
  <c r="W2451" i="8"/>
  <c r="U2451" i="8"/>
  <c r="O2451" i="8"/>
  <c r="R2451" i="8" s="1"/>
  <c r="S2451" i="8" s="1"/>
  <c r="W2452" i="8"/>
  <c r="U2452" i="8"/>
  <c r="O2452" i="8"/>
  <c r="R2452" i="8" s="1"/>
  <c r="S2452" i="8" s="1"/>
  <c r="W2453" i="8"/>
  <c r="U2453" i="8"/>
  <c r="O2453" i="8"/>
  <c r="R2453" i="8" s="1"/>
  <c r="S2453" i="8" s="1"/>
  <c r="W2454" i="8"/>
  <c r="U2454" i="8"/>
  <c r="O2454" i="8"/>
  <c r="R2454" i="8" s="1"/>
  <c r="S2454" i="8" s="1"/>
  <c r="W2455" i="8"/>
  <c r="U2455" i="8"/>
  <c r="O2455" i="8"/>
  <c r="R2455" i="8" s="1"/>
  <c r="S2455" i="8" s="1"/>
  <c r="W2456" i="8"/>
  <c r="U2456" i="8"/>
  <c r="O2456" i="8"/>
  <c r="R2456" i="8" s="1"/>
  <c r="S2456" i="8" s="1"/>
  <c r="W2457" i="8"/>
  <c r="U2457" i="8"/>
  <c r="O2457" i="8"/>
  <c r="R2457" i="8" s="1"/>
  <c r="S2457" i="8" s="1"/>
  <c r="W2458" i="8"/>
  <c r="U2458" i="8"/>
  <c r="O2458" i="8"/>
  <c r="R2458" i="8" s="1"/>
  <c r="S2458" i="8" s="1"/>
  <c r="W2459" i="8"/>
  <c r="U2459" i="8"/>
  <c r="O2459" i="8"/>
  <c r="R2459" i="8" s="1"/>
  <c r="S2459" i="8" s="1"/>
  <c r="W2460" i="8"/>
  <c r="U2460" i="8"/>
  <c r="O2460" i="8"/>
  <c r="R2460" i="8" s="1"/>
  <c r="S2460" i="8" s="1"/>
  <c r="W2461" i="8"/>
  <c r="U2461" i="8"/>
  <c r="O2461" i="8"/>
  <c r="R2461" i="8" s="1"/>
  <c r="S2461" i="8" s="1"/>
  <c r="W2462" i="8"/>
  <c r="U2462" i="8"/>
  <c r="O2462" i="8"/>
  <c r="R2462" i="8" s="1"/>
  <c r="S2462" i="8" s="1"/>
  <c r="W2463" i="8"/>
  <c r="U2463" i="8"/>
  <c r="O2463" i="8"/>
  <c r="R2463" i="8" s="1"/>
  <c r="S2463" i="8" s="1"/>
  <c r="W2464" i="8"/>
  <c r="U2464" i="8"/>
  <c r="O2464" i="8"/>
  <c r="R2464" i="8" s="1"/>
  <c r="S2464" i="8" s="1"/>
  <c r="W2465" i="8"/>
  <c r="U2465" i="8"/>
  <c r="O2465" i="8"/>
  <c r="R2465" i="8" s="1"/>
  <c r="S2465" i="8" s="1"/>
  <c r="W2466" i="8"/>
  <c r="U2466" i="8"/>
  <c r="O2466" i="8"/>
  <c r="R2466" i="8" s="1"/>
  <c r="S2466" i="8" s="1"/>
  <c r="W2467" i="8"/>
  <c r="U2467" i="8"/>
  <c r="O2467" i="8"/>
  <c r="R2467" i="8" s="1"/>
  <c r="S2467" i="8" s="1"/>
  <c r="W2468" i="8"/>
  <c r="U2468" i="8"/>
  <c r="O2468" i="8"/>
  <c r="R2468" i="8" s="1"/>
  <c r="S2468" i="8" s="1"/>
  <c r="W2469" i="8"/>
  <c r="U2469" i="8"/>
  <c r="O2469" i="8"/>
  <c r="R2469" i="8" s="1"/>
  <c r="S2469" i="8" s="1"/>
  <c r="W2470" i="8"/>
  <c r="U2470" i="8"/>
  <c r="O2470" i="8"/>
  <c r="R2470" i="8" s="1"/>
  <c r="S2470" i="8" s="1"/>
  <c r="W2471" i="8"/>
  <c r="U2471" i="8"/>
  <c r="O2471" i="8"/>
  <c r="R2471" i="8" s="1"/>
  <c r="S2471" i="8" s="1"/>
  <c r="W2472" i="8"/>
  <c r="U2472" i="8"/>
  <c r="O2472" i="8"/>
  <c r="R2472" i="8" s="1"/>
  <c r="S2472" i="8" s="1"/>
  <c r="W2473" i="8"/>
  <c r="U2473" i="8"/>
  <c r="O2473" i="8"/>
  <c r="R2473" i="8" s="1"/>
  <c r="S2473" i="8" s="1"/>
  <c r="W2474" i="8"/>
  <c r="M14" i="5" s="1"/>
  <c r="E13" i="2" s="1"/>
  <c r="U2474" i="8"/>
  <c r="Q14" i="5" s="1"/>
  <c r="O2474" i="8"/>
  <c r="R2474" i="8" s="1"/>
  <c r="S2474" i="8" s="1"/>
  <c r="O14" i="5" s="1"/>
  <c r="W2475" i="8"/>
  <c r="U2475" i="8"/>
  <c r="O2475" i="8"/>
  <c r="R2475" i="8" s="1"/>
  <c r="S2475" i="8" s="1"/>
  <c r="W2476" i="8"/>
  <c r="U2476" i="8"/>
  <c r="O2476" i="8"/>
  <c r="R2476" i="8" s="1"/>
  <c r="S2476" i="8" s="1"/>
  <c r="W2477" i="8"/>
  <c r="U2477" i="8"/>
  <c r="O2477" i="8"/>
  <c r="R2477" i="8" s="1"/>
  <c r="S2477" i="8" s="1"/>
  <c r="W2478" i="8"/>
  <c r="U2478" i="8"/>
  <c r="O2478" i="8"/>
  <c r="R2478" i="8" s="1"/>
  <c r="S2478" i="8" s="1"/>
  <c r="W2479" i="8"/>
  <c r="U2479" i="8"/>
  <c r="O2479" i="8"/>
  <c r="R2479" i="8" s="1"/>
  <c r="S2479" i="8" s="1"/>
  <c r="W2480" i="8"/>
  <c r="U2480" i="8"/>
  <c r="O2480" i="8"/>
  <c r="R2480" i="8" s="1"/>
  <c r="S2480" i="8" s="1"/>
  <c r="W2481" i="8"/>
  <c r="W2482" i="8"/>
  <c r="W2483" i="8"/>
  <c r="W2484" i="8"/>
  <c r="W2485" i="8"/>
  <c r="W2486" i="8"/>
  <c r="W2487" i="8"/>
  <c r="W2488" i="8"/>
  <c r="W2489" i="8"/>
  <c r="W2490" i="8"/>
  <c r="W2491" i="8"/>
  <c r="W2492" i="8"/>
  <c r="W2493" i="8"/>
  <c r="W2494" i="8"/>
  <c r="W2495" i="8"/>
  <c r="W2496" i="8"/>
  <c r="W2497" i="8"/>
  <c r="W2498" i="8"/>
  <c r="W2499" i="8"/>
  <c r="W2500" i="8"/>
  <c r="W2501" i="8"/>
  <c r="W2502" i="8"/>
  <c r="W2503" i="8"/>
  <c r="W2504" i="8"/>
  <c r="W2505" i="8"/>
  <c r="W2506" i="8"/>
  <c r="W2507" i="8"/>
  <c r="W2508" i="8"/>
  <c r="W2509" i="8"/>
  <c r="W2510" i="8"/>
  <c r="W2511" i="8"/>
  <c r="W2512" i="8"/>
  <c r="W2513" i="8"/>
  <c r="M15" i="5" s="1"/>
  <c r="W2514" i="8"/>
  <c r="W2515" i="8"/>
  <c r="W2516" i="8"/>
  <c r="W2517" i="8"/>
  <c r="W2518" i="8"/>
  <c r="W2519" i="8"/>
  <c r="W2520" i="8"/>
  <c r="W2521" i="8"/>
  <c r="W2522" i="8"/>
  <c r="W2523" i="8"/>
  <c r="W2524" i="8"/>
  <c r="W2525" i="8"/>
  <c r="W2526" i="8"/>
  <c r="W2527" i="8"/>
  <c r="W2528" i="8"/>
  <c r="W2529" i="8"/>
  <c r="W2530" i="8"/>
  <c r="W2531" i="8"/>
  <c r="W2532" i="8"/>
  <c r="W2533" i="8"/>
  <c r="W2534" i="8"/>
  <c r="W2535" i="8"/>
  <c r="W2536" i="8"/>
  <c r="W2537" i="8"/>
  <c r="W2538" i="8"/>
  <c r="W2539" i="8"/>
  <c r="W2540" i="8"/>
  <c r="W2541" i="8"/>
  <c r="W2542" i="8"/>
  <c r="W2543" i="8"/>
  <c r="W2544" i="8"/>
  <c r="W2545" i="8"/>
  <c r="W2546" i="8"/>
  <c r="W2547" i="8"/>
  <c r="W2548" i="8"/>
  <c r="W2549" i="8"/>
  <c r="W2550" i="8"/>
  <c r="W2551" i="8"/>
  <c r="W2552" i="8"/>
  <c r="W2553" i="8"/>
  <c r="W2554" i="8"/>
  <c r="W2555" i="8"/>
  <c r="W2556" i="8"/>
  <c r="W2557" i="8"/>
  <c r="W2558" i="8"/>
  <c r="W2559" i="8"/>
  <c r="M16" i="5" s="1"/>
  <c r="W2560" i="8"/>
  <c r="W2561" i="8"/>
  <c r="W2562" i="8"/>
  <c r="W2563" i="8"/>
  <c r="W2564" i="8"/>
  <c r="W2565" i="8"/>
  <c r="W2566" i="8"/>
  <c r="W2567" i="8"/>
  <c r="W2568" i="8"/>
  <c r="W2569" i="8"/>
  <c r="W2570" i="8"/>
  <c r="W2571" i="8"/>
  <c r="W2572" i="8"/>
  <c r="W2573" i="8"/>
  <c r="W2574" i="8"/>
  <c r="W2575" i="8"/>
  <c r="W2576" i="8"/>
  <c r="W2577" i="8"/>
  <c r="W2578" i="8"/>
  <c r="W2579" i="8"/>
  <c r="W2580" i="8"/>
  <c r="W2581" i="8"/>
  <c r="W2582" i="8"/>
  <c r="W2583" i="8"/>
  <c r="W2584" i="8"/>
  <c r="W2585" i="8"/>
  <c r="W2586" i="8"/>
  <c r="W2587" i="8"/>
  <c r="W2588" i="8"/>
  <c r="W2589" i="8"/>
  <c r="W2590" i="8"/>
  <c r="W2591" i="8"/>
  <c r="W2592" i="8"/>
  <c r="W2593" i="8"/>
  <c r="W2594" i="8"/>
  <c r="W2595" i="8"/>
  <c r="W2596" i="8"/>
  <c r="W2597" i="8"/>
  <c r="M17" i="5" s="1"/>
  <c r="W2598" i="8"/>
  <c r="W2599" i="8"/>
  <c r="W2600" i="8"/>
  <c r="W2601" i="8"/>
  <c r="W2602" i="8"/>
  <c r="W2603" i="8"/>
  <c r="W2604" i="8"/>
  <c r="W2605" i="8"/>
  <c r="W2606" i="8"/>
  <c r="W2607" i="8"/>
  <c r="W2608" i="8"/>
  <c r="W2609" i="8"/>
  <c r="W2610" i="8"/>
  <c r="W2611" i="8"/>
  <c r="W2612" i="8"/>
  <c r="W2613" i="8"/>
  <c r="W2614" i="8"/>
  <c r="W2615" i="8"/>
  <c r="W2616" i="8"/>
  <c r="W2617" i="8"/>
  <c r="W2618" i="8"/>
  <c r="W2619" i="8"/>
  <c r="W2620" i="8"/>
  <c r="W2621" i="8"/>
  <c r="W2622" i="8"/>
  <c r="W2623" i="8"/>
  <c r="W2624" i="8"/>
  <c r="W2625" i="8"/>
  <c r="W2626" i="8"/>
  <c r="W2627" i="8"/>
  <c r="T2481" i="8"/>
  <c r="T2482" i="8"/>
  <c r="T2483" i="8"/>
  <c r="T2484" i="8"/>
  <c r="T2485" i="8"/>
  <c r="T2486" i="8"/>
  <c r="T2487" i="8"/>
  <c r="T2488" i="8"/>
  <c r="T2489" i="8"/>
  <c r="T2490" i="8"/>
  <c r="T2491" i="8"/>
  <c r="T2492" i="8"/>
  <c r="T2493" i="8"/>
  <c r="T2494" i="8"/>
  <c r="T2495" i="8"/>
  <c r="T2496" i="8"/>
  <c r="T2497" i="8"/>
  <c r="T2498" i="8"/>
  <c r="T2499" i="8"/>
  <c r="T2500" i="8"/>
  <c r="T2501" i="8"/>
  <c r="T2502" i="8"/>
  <c r="T2503" i="8"/>
  <c r="T2504" i="8"/>
  <c r="T2505" i="8"/>
  <c r="T2506" i="8"/>
  <c r="T2507" i="8"/>
  <c r="T2508" i="8"/>
  <c r="T2509" i="8"/>
  <c r="T2510" i="8"/>
  <c r="T2511" i="8"/>
  <c r="T2512" i="8"/>
  <c r="T2513" i="8"/>
  <c r="P15" i="5" s="1"/>
  <c r="T2514" i="8"/>
  <c r="T2515" i="8"/>
  <c r="T2516" i="8"/>
  <c r="T2517" i="8"/>
  <c r="T2518" i="8"/>
  <c r="T2519" i="8"/>
  <c r="T2520" i="8"/>
  <c r="T2521" i="8"/>
  <c r="T2522" i="8"/>
  <c r="T2523" i="8"/>
  <c r="T2524" i="8"/>
  <c r="T2525" i="8"/>
  <c r="T2526" i="8"/>
  <c r="T2527" i="8"/>
  <c r="T2528" i="8"/>
  <c r="T2529" i="8"/>
  <c r="T2530" i="8"/>
  <c r="T2531" i="8"/>
  <c r="T2532" i="8"/>
  <c r="T2533" i="8"/>
  <c r="T2534" i="8"/>
  <c r="T2535" i="8"/>
  <c r="T2536" i="8"/>
  <c r="T2537" i="8"/>
  <c r="T2538" i="8"/>
  <c r="T2539" i="8"/>
  <c r="T2540" i="8"/>
  <c r="T2541" i="8"/>
  <c r="T2542" i="8"/>
  <c r="T2543" i="8"/>
  <c r="T2544" i="8"/>
  <c r="T2545" i="8"/>
  <c r="T2546" i="8"/>
  <c r="T2547" i="8"/>
  <c r="T2548" i="8"/>
  <c r="T2549" i="8"/>
  <c r="T2550" i="8"/>
  <c r="T2551" i="8"/>
  <c r="T2552" i="8"/>
  <c r="T2553" i="8"/>
  <c r="T2554" i="8"/>
  <c r="T2555" i="8"/>
  <c r="T2556" i="8"/>
  <c r="T2557" i="8"/>
  <c r="T2558" i="8"/>
  <c r="T2559" i="8"/>
  <c r="P16" i="5" s="1"/>
  <c r="T2560" i="8"/>
  <c r="T2561" i="8"/>
  <c r="T2562" i="8"/>
  <c r="T2563" i="8"/>
  <c r="T2564" i="8"/>
  <c r="T2565" i="8"/>
  <c r="T2566" i="8"/>
  <c r="T2567" i="8"/>
  <c r="T2568" i="8"/>
  <c r="T2569" i="8"/>
  <c r="T2570" i="8"/>
  <c r="T2571" i="8"/>
  <c r="T2572" i="8"/>
  <c r="T2573" i="8"/>
  <c r="T2574" i="8"/>
  <c r="T2575" i="8"/>
  <c r="T2576" i="8"/>
  <c r="T2577" i="8"/>
  <c r="T2578" i="8"/>
  <c r="T2579" i="8"/>
  <c r="T2580" i="8"/>
  <c r="T2581" i="8"/>
  <c r="T2582" i="8"/>
  <c r="T2583" i="8"/>
  <c r="T2584" i="8"/>
  <c r="T2585" i="8"/>
  <c r="T2586" i="8"/>
  <c r="T2587" i="8"/>
  <c r="T2588" i="8"/>
  <c r="T2589" i="8"/>
  <c r="T2590" i="8"/>
  <c r="T2591" i="8"/>
  <c r="T2592" i="8"/>
  <c r="T2593" i="8"/>
  <c r="T2594" i="8"/>
  <c r="T2595" i="8"/>
  <c r="T2596" i="8"/>
  <c r="T2597" i="8"/>
  <c r="P17" i="5" s="1"/>
  <c r="T2598" i="8"/>
  <c r="T2599" i="8"/>
  <c r="T2600" i="8"/>
  <c r="T2601" i="8"/>
  <c r="T2602" i="8"/>
  <c r="T2603" i="8"/>
  <c r="T2604" i="8"/>
  <c r="T2605" i="8"/>
  <c r="T2606" i="8"/>
  <c r="T2607" i="8"/>
  <c r="T2608" i="8"/>
  <c r="T2609" i="8"/>
  <c r="T2610" i="8"/>
  <c r="T2611" i="8"/>
  <c r="T2612" i="8"/>
  <c r="T2613" i="8"/>
  <c r="T2614" i="8"/>
  <c r="T2615" i="8"/>
  <c r="T2616" i="8"/>
  <c r="T2617" i="8"/>
  <c r="T2618" i="8"/>
  <c r="T2619" i="8"/>
  <c r="T2620" i="8"/>
  <c r="T2621" i="8"/>
  <c r="T2622" i="8"/>
  <c r="T2623" i="8"/>
  <c r="T2624" i="8"/>
  <c r="T2625" i="8"/>
  <c r="T2626" i="8"/>
  <c r="T2627" i="8"/>
  <c r="W2628" i="8"/>
  <c r="U2628" i="8"/>
  <c r="W2629" i="8"/>
  <c r="U2629" i="8"/>
  <c r="O2629" i="8"/>
  <c r="R2629" i="8" s="1"/>
  <c r="S2629" i="8" s="1"/>
  <c r="W2630" i="8"/>
  <c r="U2630" i="8"/>
  <c r="O2630" i="8"/>
  <c r="R2630" i="8" s="1"/>
  <c r="S2630" i="8" s="1"/>
  <c r="W2631" i="8"/>
  <c r="U2631" i="8"/>
  <c r="O2631" i="8"/>
  <c r="R2631" i="8" s="1"/>
  <c r="S2631" i="8" s="1"/>
  <c r="W2632" i="8"/>
  <c r="U2632" i="8"/>
  <c r="O2632" i="8"/>
  <c r="R2632" i="8" s="1"/>
  <c r="S2632" i="8" s="1"/>
  <c r="W2633" i="8"/>
  <c r="U2633" i="8"/>
  <c r="O2633" i="8"/>
  <c r="R2633" i="8" s="1"/>
  <c r="S2633" i="8" s="1"/>
  <c r="W2634" i="8"/>
  <c r="U2634" i="8"/>
  <c r="O2634" i="8"/>
  <c r="R2634" i="8" s="1"/>
  <c r="S2634" i="8" s="1"/>
  <c r="W2635" i="8"/>
  <c r="U2635" i="8"/>
  <c r="O2635" i="8"/>
  <c r="R2635" i="8" s="1"/>
  <c r="S2635" i="8" s="1"/>
  <c r="W2636" i="8"/>
  <c r="U2636" i="8"/>
  <c r="O2636" i="8"/>
  <c r="R2636" i="8" s="1"/>
  <c r="S2636" i="8" s="1"/>
  <c r="W2637" i="8"/>
  <c r="U2637" i="8"/>
  <c r="O2637" i="8"/>
  <c r="R2637" i="8" s="1"/>
  <c r="S2637" i="8" s="1"/>
  <c r="W2638" i="8"/>
  <c r="U2638" i="8"/>
  <c r="O2638" i="8"/>
  <c r="R2638" i="8" s="1"/>
  <c r="S2638" i="8" s="1"/>
  <c r="W2639" i="8"/>
  <c r="U2639" i="8"/>
  <c r="O2639" i="8"/>
  <c r="R2639" i="8" s="1"/>
  <c r="S2639" i="8" s="1"/>
  <c r="W2640" i="8"/>
  <c r="U2640" i="8"/>
  <c r="O2640" i="8"/>
  <c r="R2640" i="8" s="1"/>
  <c r="S2640" i="8" s="1"/>
  <c r="W2641" i="8"/>
  <c r="U2641" i="8"/>
  <c r="O2641" i="8"/>
  <c r="R2641" i="8" s="1"/>
  <c r="S2641" i="8" s="1"/>
  <c r="W2642" i="8"/>
  <c r="U2642" i="8"/>
  <c r="O2642" i="8"/>
  <c r="R2642" i="8" s="1"/>
  <c r="S2642" i="8" s="1"/>
  <c r="W2643" i="8"/>
  <c r="U2643" i="8"/>
  <c r="O2643" i="8"/>
  <c r="R2643" i="8" s="1"/>
  <c r="S2643" i="8" s="1"/>
  <c r="W2644" i="8"/>
  <c r="U2644" i="8"/>
  <c r="O2644" i="8"/>
  <c r="R2644" i="8" s="1"/>
  <c r="S2644" i="8" s="1"/>
  <c r="W2645" i="8"/>
  <c r="U2645" i="8"/>
  <c r="O2645" i="8"/>
  <c r="R2645" i="8" s="1"/>
  <c r="S2645" i="8" s="1"/>
  <c r="W2646" i="8"/>
  <c r="U2646" i="8"/>
  <c r="O2646" i="8"/>
  <c r="R2646" i="8" s="1"/>
  <c r="S2646" i="8" s="1"/>
  <c r="W2647" i="8"/>
  <c r="U2647" i="8"/>
  <c r="O2647" i="8"/>
  <c r="R2647" i="8" s="1"/>
  <c r="S2647" i="8" s="1"/>
  <c r="W2648" i="8"/>
  <c r="U2648" i="8"/>
  <c r="O2648" i="8"/>
  <c r="R2648" i="8" s="1"/>
  <c r="S2648" i="8" s="1"/>
  <c r="W2649" i="8"/>
  <c r="U2649" i="8"/>
  <c r="O2649" i="8"/>
  <c r="R2649" i="8" s="1"/>
  <c r="S2649" i="8" s="1"/>
  <c r="W2650" i="8"/>
  <c r="U2650" i="8"/>
  <c r="O2650" i="8"/>
  <c r="R2650" i="8" s="1"/>
  <c r="S2650" i="8" s="1"/>
  <c r="W2651" i="8"/>
  <c r="U2651" i="8"/>
  <c r="O2651" i="8"/>
  <c r="R2651" i="8" s="1"/>
  <c r="S2651" i="8" s="1"/>
  <c r="W2652" i="8"/>
  <c r="U2652" i="8"/>
  <c r="O2652" i="8"/>
  <c r="R2652" i="8" s="1"/>
  <c r="S2652" i="8" s="1"/>
  <c r="W2653" i="8"/>
  <c r="U2653" i="8"/>
  <c r="O2653" i="8"/>
  <c r="R2653" i="8" s="1"/>
  <c r="S2653" i="8" s="1"/>
  <c r="W2654" i="8"/>
  <c r="U2654" i="8"/>
  <c r="O2654" i="8"/>
  <c r="R2654" i="8" s="1"/>
  <c r="S2654" i="8" s="1"/>
  <c r="W2655" i="8"/>
  <c r="U2655" i="8"/>
  <c r="O2655" i="8"/>
  <c r="R2655" i="8" s="1"/>
  <c r="S2655" i="8" s="1"/>
  <c r="W2656" i="8"/>
  <c r="U2656" i="8"/>
  <c r="O2656" i="8"/>
  <c r="R2656" i="8" s="1"/>
  <c r="S2656" i="8" s="1"/>
  <c r="W2657" i="8"/>
  <c r="U2657" i="8"/>
  <c r="O2657" i="8"/>
  <c r="R2657" i="8" s="1"/>
  <c r="S2657" i="8" s="1"/>
  <c r="W2658" i="8"/>
  <c r="U2658" i="8"/>
  <c r="O2658" i="8"/>
  <c r="R2658" i="8" s="1"/>
  <c r="S2658" i="8" s="1"/>
  <c r="W2659" i="8"/>
  <c r="U2659" i="8"/>
  <c r="O2659" i="8"/>
  <c r="R2659" i="8" s="1"/>
  <c r="S2659" i="8" s="1"/>
  <c r="W2660" i="8"/>
  <c r="U2660" i="8"/>
  <c r="O2660" i="8"/>
  <c r="R2660" i="8" s="1"/>
  <c r="S2660" i="8" s="1"/>
  <c r="W2661" i="8"/>
  <c r="U2661" i="8"/>
  <c r="O2661" i="8"/>
  <c r="R2661" i="8" s="1"/>
  <c r="S2661" i="8" s="1"/>
  <c r="W2662" i="8"/>
  <c r="U2662" i="8"/>
  <c r="O2662" i="8"/>
  <c r="R2662" i="8" s="1"/>
  <c r="S2662" i="8" s="1"/>
  <c r="W2663" i="8"/>
  <c r="U2663" i="8"/>
  <c r="O2663" i="8"/>
  <c r="R2663" i="8" s="1"/>
  <c r="S2663" i="8" s="1"/>
  <c r="W2664" i="8"/>
  <c r="U2664" i="8"/>
  <c r="O2664" i="8"/>
  <c r="R2664" i="8" s="1"/>
  <c r="S2664" i="8" s="1"/>
  <c r="W2665" i="8"/>
  <c r="U2665" i="8"/>
  <c r="O2665" i="8"/>
  <c r="R2665" i="8" s="1"/>
  <c r="S2665" i="8" s="1"/>
  <c r="W2666" i="8"/>
  <c r="U2666" i="8"/>
  <c r="O2666" i="8"/>
  <c r="R2666" i="8" s="1"/>
  <c r="S2666" i="8" s="1"/>
  <c r="W2667" i="8"/>
  <c r="U2667" i="8"/>
  <c r="O2667" i="8"/>
  <c r="R2667" i="8" s="1"/>
  <c r="S2667" i="8" s="1"/>
  <c r="W2668" i="8"/>
  <c r="U2668" i="8"/>
  <c r="O2668" i="8"/>
  <c r="R2668" i="8" s="1"/>
  <c r="S2668" i="8" s="1"/>
  <c r="W2669" i="8"/>
  <c r="U2669" i="8"/>
  <c r="O2669" i="8"/>
  <c r="R2669" i="8" s="1"/>
  <c r="S2669" i="8" s="1"/>
  <c r="W2670" i="8"/>
  <c r="U2670" i="8"/>
  <c r="O2670" i="8"/>
  <c r="R2670" i="8" s="1"/>
  <c r="S2670" i="8" s="1"/>
  <c r="W2671" i="8"/>
  <c r="U2671" i="8"/>
  <c r="O2671" i="8"/>
  <c r="R2671" i="8" s="1"/>
  <c r="S2671" i="8" s="1"/>
  <c r="W2672" i="8"/>
  <c r="U2672" i="8"/>
  <c r="O2672" i="8"/>
  <c r="R2672" i="8" s="1"/>
  <c r="S2672" i="8" s="1"/>
  <c r="W2673" i="8"/>
  <c r="U2673" i="8"/>
  <c r="O2673" i="8"/>
  <c r="R2673" i="8" s="1"/>
  <c r="S2673" i="8" s="1"/>
  <c r="W2674" i="8"/>
  <c r="U2674" i="8"/>
  <c r="O2674" i="8"/>
  <c r="R2674" i="8" s="1"/>
  <c r="S2674" i="8" s="1"/>
  <c r="W2675" i="8"/>
  <c r="U2675" i="8"/>
  <c r="O2675" i="8"/>
  <c r="R2675" i="8" s="1"/>
  <c r="S2675" i="8" s="1"/>
  <c r="W2676" i="8"/>
  <c r="U2676" i="8"/>
  <c r="O2676" i="8"/>
  <c r="R2676" i="8" s="1"/>
  <c r="S2676" i="8" s="1"/>
  <c r="W2677" i="8"/>
  <c r="U2677" i="8"/>
  <c r="O2677" i="8"/>
  <c r="R2677" i="8" s="1"/>
  <c r="S2677" i="8" s="1"/>
  <c r="W2678" i="8"/>
  <c r="U2678" i="8"/>
  <c r="O2678" i="8"/>
  <c r="R2678" i="8" s="1"/>
  <c r="S2678" i="8" s="1"/>
  <c r="W2679" i="8"/>
  <c r="U2679" i="8"/>
  <c r="O2679" i="8"/>
  <c r="R2679" i="8" s="1"/>
  <c r="S2679" i="8" s="1"/>
  <c r="W2680" i="8"/>
  <c r="U2680" i="8"/>
  <c r="O2680" i="8"/>
  <c r="R2680" i="8" s="1"/>
  <c r="S2680" i="8" s="1"/>
  <c r="W2681" i="8"/>
  <c r="U2681" i="8"/>
  <c r="O2681" i="8"/>
  <c r="R2681" i="8" s="1"/>
  <c r="S2681" i="8" s="1"/>
  <c r="W2682" i="8"/>
  <c r="U2682" i="8"/>
  <c r="O2682" i="8"/>
  <c r="R2682" i="8" s="1"/>
  <c r="S2682" i="8" s="1"/>
  <c r="W2683" i="8"/>
  <c r="U2683" i="8"/>
  <c r="O2683" i="8"/>
  <c r="R2683" i="8" s="1"/>
  <c r="S2683" i="8" s="1"/>
  <c r="W2684" i="8"/>
  <c r="U2684" i="8"/>
  <c r="O2684" i="8"/>
  <c r="R2684" i="8" s="1"/>
  <c r="S2684" i="8" s="1"/>
  <c r="W2685" i="8"/>
  <c r="U2685" i="8"/>
  <c r="O2685" i="8"/>
  <c r="R2685" i="8" s="1"/>
  <c r="S2685" i="8" s="1"/>
  <c r="W2686" i="8"/>
  <c r="U2686" i="8"/>
  <c r="O2686" i="8"/>
  <c r="R2686" i="8" s="1"/>
  <c r="S2686" i="8" s="1"/>
  <c r="W2687" i="8"/>
  <c r="U2687" i="8"/>
  <c r="O2687" i="8"/>
  <c r="R2687" i="8" s="1"/>
  <c r="S2687" i="8" s="1"/>
  <c r="W2688" i="8"/>
  <c r="U2688" i="8"/>
  <c r="O2688" i="8"/>
  <c r="R2688" i="8" s="1"/>
  <c r="S2688" i="8" s="1"/>
  <c r="W2689" i="8"/>
  <c r="U2689" i="8"/>
  <c r="O2689" i="8"/>
  <c r="R2689" i="8" s="1"/>
  <c r="S2689" i="8" s="1"/>
  <c r="W2690" i="8"/>
  <c r="U2690" i="8"/>
  <c r="O2690" i="8"/>
  <c r="R2690" i="8" s="1"/>
  <c r="S2690" i="8" s="1"/>
  <c r="W2691" i="8"/>
  <c r="U2691" i="8"/>
  <c r="O2691" i="8"/>
  <c r="R2691" i="8" s="1"/>
  <c r="S2691" i="8" s="1"/>
  <c r="W2692" i="8"/>
  <c r="U2692" i="8"/>
  <c r="O2692" i="8"/>
  <c r="R2692" i="8" s="1"/>
  <c r="S2692" i="8" s="1"/>
  <c r="W2693" i="8"/>
  <c r="U2693" i="8"/>
  <c r="O2693" i="8"/>
  <c r="R2693" i="8" s="1"/>
  <c r="S2693" i="8" s="1"/>
  <c r="W2694" i="8"/>
  <c r="U2694" i="8"/>
  <c r="O2694" i="8"/>
  <c r="R2694" i="8" s="1"/>
  <c r="S2694" i="8" s="1"/>
  <c r="W2695" i="8"/>
  <c r="U2695" i="8"/>
  <c r="O2695" i="8"/>
  <c r="R2695" i="8" s="1"/>
  <c r="S2695" i="8" s="1"/>
  <c r="W2696" i="8"/>
  <c r="U2696" i="8"/>
  <c r="O2696" i="8"/>
  <c r="R2696" i="8" s="1"/>
  <c r="S2696" i="8" s="1"/>
  <c r="W2697" i="8"/>
  <c r="U2697" i="8"/>
  <c r="O2697" i="8"/>
  <c r="R2697" i="8" s="1"/>
  <c r="S2697" i="8" s="1"/>
  <c r="W2698" i="8"/>
  <c r="U2698" i="8"/>
  <c r="O2698" i="8"/>
  <c r="R2698" i="8" s="1"/>
  <c r="S2698" i="8" s="1"/>
  <c r="W2699" i="8"/>
  <c r="U2699" i="8"/>
  <c r="O2699" i="8"/>
  <c r="R2699" i="8" s="1"/>
  <c r="S2699" i="8" s="1"/>
  <c r="W2700" i="8"/>
  <c r="U2700" i="8"/>
  <c r="O2700" i="8"/>
  <c r="R2700" i="8" s="1"/>
  <c r="S2700" i="8" s="1"/>
  <c r="W2701" i="8"/>
  <c r="U2701" i="8"/>
  <c r="O2701" i="8"/>
  <c r="R2701" i="8" s="1"/>
  <c r="S2701" i="8" s="1"/>
  <c r="W2702" i="8"/>
  <c r="U2702" i="8"/>
  <c r="O2702" i="8"/>
  <c r="R2702" i="8" s="1"/>
  <c r="S2702" i="8" s="1"/>
  <c r="W2703" i="8"/>
  <c r="U2703" i="8"/>
  <c r="O2703" i="8"/>
  <c r="R2703" i="8" s="1"/>
  <c r="S2703" i="8" s="1"/>
  <c r="W2704" i="8"/>
  <c r="U2704" i="8"/>
  <c r="O2704" i="8"/>
  <c r="R2704" i="8" s="1"/>
  <c r="S2704" i="8" s="1"/>
  <c r="W2705" i="8"/>
  <c r="U2705" i="8"/>
  <c r="O2705" i="8"/>
  <c r="R2705" i="8" s="1"/>
  <c r="S2705" i="8" s="1"/>
  <c r="W2706" i="8"/>
  <c r="U2706" i="8"/>
  <c r="O2706" i="8"/>
  <c r="R2706" i="8" s="1"/>
  <c r="S2706" i="8" s="1"/>
  <c r="W2707" i="8"/>
  <c r="U2707" i="8"/>
  <c r="O2707" i="8"/>
  <c r="R2707" i="8" s="1"/>
  <c r="S2707" i="8" s="1"/>
  <c r="W2708" i="8"/>
  <c r="U2708" i="8"/>
  <c r="O2708" i="8"/>
  <c r="R2708" i="8" s="1"/>
  <c r="S2708" i="8" s="1"/>
  <c r="W2709" i="8"/>
  <c r="U2709" i="8"/>
  <c r="O2709" i="8"/>
  <c r="R2709" i="8" s="1"/>
  <c r="S2709" i="8" s="1"/>
  <c r="W2710" i="8"/>
  <c r="U2710" i="8"/>
  <c r="O2710" i="8"/>
  <c r="R2710" i="8" s="1"/>
  <c r="S2710" i="8" s="1"/>
  <c r="W2711" i="8"/>
  <c r="U2711" i="8"/>
  <c r="O2711" i="8"/>
  <c r="R2711" i="8" s="1"/>
  <c r="S2711" i="8" s="1"/>
  <c r="W2712" i="8"/>
  <c r="U2712" i="8"/>
  <c r="O2712" i="8"/>
  <c r="R2712" i="8" s="1"/>
  <c r="S2712" i="8" s="1"/>
  <c r="W2713" i="8"/>
  <c r="U2713" i="8"/>
  <c r="O2713" i="8"/>
  <c r="R2713" i="8" s="1"/>
  <c r="S2713" i="8" s="1"/>
  <c r="W2714" i="8"/>
  <c r="U2714" i="8"/>
  <c r="O2714" i="8"/>
  <c r="R2714" i="8" s="1"/>
  <c r="S2714" i="8" s="1"/>
  <c r="W2715" i="8"/>
  <c r="U2715" i="8"/>
  <c r="O2715" i="8"/>
  <c r="R2715" i="8" s="1"/>
  <c r="S2715" i="8" s="1"/>
  <c r="W2716" i="8"/>
  <c r="U2716" i="8"/>
  <c r="O2716" i="8"/>
  <c r="R2716" i="8" s="1"/>
  <c r="S2716" i="8" s="1"/>
  <c r="W2717" i="8"/>
  <c r="U2717" i="8"/>
  <c r="O2717" i="8"/>
  <c r="R2717" i="8" s="1"/>
  <c r="S2717" i="8" s="1"/>
  <c r="W2718" i="8"/>
  <c r="U2718" i="8"/>
  <c r="O2718" i="8"/>
  <c r="R2718" i="8" s="1"/>
  <c r="S2718" i="8" s="1"/>
  <c r="W2719" i="8"/>
  <c r="U2719" i="8"/>
  <c r="O2719" i="8"/>
  <c r="R2719" i="8" s="1"/>
  <c r="S2719" i="8" s="1"/>
  <c r="W2720" i="8"/>
  <c r="U2720" i="8"/>
  <c r="O2720" i="8"/>
  <c r="R2720" i="8" s="1"/>
  <c r="S2720" i="8" s="1"/>
  <c r="W2721" i="8"/>
  <c r="U2721" i="8"/>
  <c r="O2721" i="8"/>
  <c r="R2721" i="8" s="1"/>
  <c r="S2721" i="8" s="1"/>
  <c r="W2722" i="8"/>
  <c r="U2722" i="8"/>
  <c r="O2722" i="8"/>
  <c r="R2722" i="8" s="1"/>
  <c r="S2722" i="8" s="1"/>
  <c r="W2723" i="8"/>
  <c r="U2723" i="8"/>
  <c r="O2723" i="8"/>
  <c r="R2723" i="8" s="1"/>
  <c r="S2723" i="8" s="1"/>
  <c r="W2724" i="8"/>
  <c r="U2724" i="8"/>
  <c r="O2724" i="8"/>
  <c r="R2724" i="8" s="1"/>
  <c r="S2724" i="8" s="1"/>
  <c r="W2725" i="8"/>
  <c r="U2725" i="8"/>
  <c r="O2725" i="8"/>
  <c r="R2725" i="8" s="1"/>
  <c r="S2725" i="8" s="1"/>
  <c r="W2726" i="8"/>
  <c r="U2726" i="8"/>
  <c r="O2726" i="8"/>
  <c r="R2726" i="8" s="1"/>
  <c r="S2726" i="8" s="1"/>
  <c r="W2727" i="8"/>
  <c r="U2727" i="8"/>
  <c r="O2727" i="8"/>
  <c r="R2727" i="8" s="1"/>
  <c r="S2727" i="8" s="1"/>
  <c r="W2728" i="8"/>
  <c r="U2728" i="8"/>
  <c r="O2728" i="8"/>
  <c r="R2728" i="8" s="1"/>
  <c r="S2728" i="8" s="1"/>
  <c r="W2729" i="8"/>
  <c r="U2729" i="8"/>
  <c r="O2729" i="8"/>
  <c r="R2729" i="8" s="1"/>
  <c r="S2729" i="8" s="1"/>
  <c r="W2730" i="8"/>
  <c r="U2730" i="8"/>
  <c r="O2730" i="8"/>
  <c r="R2730" i="8" s="1"/>
  <c r="S2730" i="8" s="1"/>
  <c r="W2731" i="8"/>
  <c r="U2731" i="8"/>
  <c r="O2731" i="8"/>
  <c r="R2731" i="8" s="1"/>
  <c r="S2731" i="8" s="1"/>
  <c r="W2732" i="8"/>
  <c r="U2732" i="8"/>
  <c r="O2732" i="8"/>
  <c r="R2732" i="8" s="1"/>
  <c r="S2732" i="8" s="1"/>
  <c r="W2733" i="8"/>
  <c r="U2733" i="8"/>
  <c r="O2733" i="8"/>
  <c r="R2733" i="8" s="1"/>
  <c r="S2733" i="8" s="1"/>
  <c r="W2734" i="8"/>
  <c r="U2734" i="8"/>
  <c r="O2734" i="8"/>
  <c r="R2734" i="8" s="1"/>
  <c r="S2734" i="8" s="1"/>
  <c r="W2735" i="8"/>
  <c r="U2735" i="8"/>
  <c r="O2735" i="8"/>
  <c r="R2735" i="8" s="1"/>
  <c r="S2735" i="8" s="1"/>
  <c r="W2736" i="8"/>
  <c r="U2736" i="8"/>
  <c r="O2736" i="8"/>
  <c r="R2736" i="8" s="1"/>
  <c r="S2736" i="8" s="1"/>
  <c r="W2737" i="8"/>
  <c r="U2737" i="8"/>
  <c r="O2737" i="8"/>
  <c r="R2737" i="8" s="1"/>
  <c r="S2737" i="8" s="1"/>
  <c r="W2738" i="8"/>
  <c r="U2738" i="8"/>
  <c r="O2738" i="8"/>
  <c r="R2738" i="8" s="1"/>
  <c r="S2738" i="8" s="1"/>
  <c r="W2739" i="8"/>
  <c r="U2739" i="8"/>
  <c r="O2739" i="8"/>
  <c r="R2739" i="8" s="1"/>
  <c r="S2739" i="8" s="1"/>
  <c r="W2740" i="8"/>
  <c r="U2740" i="8"/>
  <c r="O2740" i="8"/>
  <c r="R2740" i="8" s="1"/>
  <c r="S2740" i="8" s="1"/>
  <c r="W2741" i="8"/>
  <c r="U2741" i="8"/>
  <c r="O2741" i="8"/>
  <c r="R2741" i="8" s="1"/>
  <c r="S2741" i="8" s="1"/>
  <c r="W2742" i="8"/>
  <c r="U2742" i="8"/>
  <c r="O2742" i="8"/>
  <c r="R2742" i="8" s="1"/>
  <c r="S2742" i="8" s="1"/>
  <c r="W2743" i="8"/>
  <c r="M42" i="5" s="1"/>
  <c r="U2743" i="8"/>
  <c r="Q42" i="5" s="1"/>
  <c r="O2743" i="8"/>
  <c r="R2743" i="8" s="1"/>
  <c r="S2743" i="8" s="1"/>
  <c r="O42" i="5" s="1"/>
  <c r="W2744" i="8"/>
  <c r="U2744" i="8"/>
  <c r="O2744" i="8"/>
  <c r="R2744" i="8" s="1"/>
  <c r="S2744" i="8" s="1"/>
  <c r="W2745" i="8"/>
  <c r="U2745" i="8"/>
  <c r="O2745" i="8"/>
  <c r="R2745" i="8" s="1"/>
  <c r="S2745" i="8" s="1"/>
  <c r="W2746" i="8"/>
  <c r="U2746" i="8"/>
  <c r="O2746" i="8"/>
  <c r="R2746" i="8" s="1"/>
  <c r="S2746" i="8" s="1"/>
  <c r="W2747" i="8"/>
  <c r="U2747" i="8"/>
  <c r="O2747" i="8"/>
  <c r="R2747" i="8" s="1"/>
  <c r="S2747" i="8" s="1"/>
  <c r="W2748" i="8"/>
  <c r="U2748" i="8"/>
  <c r="O2748" i="8"/>
  <c r="R2748" i="8" s="1"/>
  <c r="S2748" i="8" s="1"/>
  <c r="W2749" i="8"/>
  <c r="U2749" i="8"/>
  <c r="O2749" i="8"/>
  <c r="R2749" i="8" s="1"/>
  <c r="S2749" i="8" s="1"/>
  <c r="W2750" i="8"/>
  <c r="U2750" i="8"/>
  <c r="O2750" i="8"/>
  <c r="R2750" i="8" s="1"/>
  <c r="S2750" i="8" s="1"/>
  <c r="W2751" i="8"/>
  <c r="U2751" i="8"/>
  <c r="O2751" i="8"/>
  <c r="R2751" i="8" s="1"/>
  <c r="S2751" i="8" s="1"/>
  <c r="W2752" i="8"/>
  <c r="U2752" i="8"/>
  <c r="O2752" i="8"/>
  <c r="R2752" i="8" s="1"/>
  <c r="S2752" i="8" s="1"/>
  <c r="W2753" i="8"/>
  <c r="U2753" i="8"/>
  <c r="O2753" i="8"/>
  <c r="R2753" i="8" s="1"/>
  <c r="S2753" i="8" s="1"/>
  <c r="W2754" i="8"/>
  <c r="U2754" i="8"/>
  <c r="O2754" i="8"/>
  <c r="R2754" i="8" s="1"/>
  <c r="S2754" i="8" s="1"/>
  <c r="W2755" i="8"/>
  <c r="U2755" i="8"/>
  <c r="O2755" i="8"/>
  <c r="R2755" i="8" s="1"/>
  <c r="S2755" i="8" s="1"/>
  <c r="W2756" i="8"/>
  <c r="U2756" i="8"/>
  <c r="O2756" i="8"/>
  <c r="R2756" i="8" s="1"/>
  <c r="S2756" i="8" s="1"/>
  <c r="W2757" i="8"/>
  <c r="U2757" i="8"/>
  <c r="O2757" i="8"/>
  <c r="R2757" i="8" s="1"/>
  <c r="S2757" i="8" s="1"/>
  <c r="W2758" i="8"/>
  <c r="U2758" i="8"/>
  <c r="O2758" i="8"/>
  <c r="R2758" i="8" s="1"/>
  <c r="S2758" i="8" s="1"/>
  <c r="W2759" i="8"/>
  <c r="U2759" i="8"/>
  <c r="O2759" i="8"/>
  <c r="R2759" i="8" s="1"/>
  <c r="S2759" i="8" s="1"/>
  <c r="W2760" i="8"/>
  <c r="U2760" i="8"/>
  <c r="O2760" i="8"/>
  <c r="R2760" i="8" s="1"/>
  <c r="S2760" i="8" s="1"/>
  <c r="W2761" i="8"/>
  <c r="U2761" i="8"/>
  <c r="O2761" i="8"/>
  <c r="R2761" i="8" s="1"/>
  <c r="S2761" i="8" s="1"/>
  <c r="W2762" i="8"/>
  <c r="U2762" i="8"/>
  <c r="O2762" i="8"/>
  <c r="R2762" i="8" s="1"/>
  <c r="S2762" i="8" s="1"/>
  <c r="W2763" i="8"/>
  <c r="U2763" i="8"/>
  <c r="O2763" i="8"/>
  <c r="R2763" i="8" s="1"/>
  <c r="S2763" i="8" s="1"/>
  <c r="W2764" i="8"/>
  <c r="U2764" i="8"/>
  <c r="O2764" i="8"/>
  <c r="R2764" i="8" s="1"/>
  <c r="S2764" i="8" s="1"/>
  <c r="W2765" i="8"/>
  <c r="U2765" i="8"/>
  <c r="O2765" i="8"/>
  <c r="R2765" i="8" s="1"/>
  <c r="S2765" i="8" s="1"/>
  <c r="W2766" i="8"/>
  <c r="U2766" i="8"/>
  <c r="O2766" i="8"/>
  <c r="R2766" i="8" s="1"/>
  <c r="S2766" i="8" s="1"/>
  <c r="W2767" i="8"/>
  <c r="U2767" i="8"/>
  <c r="O2767" i="8"/>
  <c r="R2767" i="8" s="1"/>
  <c r="S2767" i="8" s="1"/>
  <c r="W2768" i="8"/>
  <c r="U2768" i="8"/>
  <c r="O2768" i="8"/>
  <c r="R2768" i="8" s="1"/>
  <c r="S2768" i="8" s="1"/>
  <c r="W2769" i="8"/>
  <c r="U2769" i="8"/>
  <c r="O2769" i="8"/>
  <c r="R2769" i="8" s="1"/>
  <c r="S2769" i="8" s="1"/>
  <c r="W2770" i="8"/>
  <c r="U2770" i="8"/>
  <c r="O2770" i="8"/>
  <c r="R2770" i="8" s="1"/>
  <c r="S2770" i="8" s="1"/>
  <c r="W2771" i="8"/>
  <c r="U2771" i="8"/>
  <c r="O2771" i="8"/>
  <c r="R2771" i="8" s="1"/>
  <c r="S2771" i="8" s="1"/>
  <c r="W2772" i="8"/>
  <c r="U2772" i="8"/>
  <c r="O2772" i="8"/>
  <c r="R2772" i="8" s="1"/>
  <c r="S2772" i="8" s="1"/>
  <c r="W2773" i="8"/>
  <c r="M43" i="5" s="1"/>
  <c r="U2773" i="8"/>
  <c r="Q43" i="5" s="1"/>
  <c r="D42" i="4" s="1"/>
  <c r="O2773" i="8"/>
  <c r="R2773" i="8" s="1"/>
  <c r="S2773" i="8" s="1"/>
  <c r="O43" i="5" s="1"/>
  <c r="W2774" i="8"/>
  <c r="M66" i="5" s="1"/>
  <c r="U2774" i="8"/>
  <c r="Q66" i="5" s="1"/>
  <c r="O2774" i="8"/>
  <c r="R2774" i="8" s="1"/>
  <c r="S2774" i="8" s="1"/>
  <c r="O66" i="5" s="1"/>
  <c r="W2775" i="8"/>
  <c r="U2775" i="8"/>
  <c r="O2775" i="8"/>
  <c r="R2775" i="8" s="1"/>
  <c r="S2775" i="8" s="1"/>
  <c r="W2776" i="8"/>
  <c r="U2776" i="8"/>
  <c r="O2776" i="8"/>
  <c r="R2776" i="8" s="1"/>
  <c r="S2776" i="8" s="1"/>
  <c r="W2777" i="8"/>
  <c r="U2777" i="8"/>
  <c r="O2777" i="8"/>
  <c r="R2777" i="8" s="1"/>
  <c r="S2777" i="8" s="1"/>
  <c r="W2778" i="8"/>
  <c r="U2778" i="8"/>
  <c r="O2778" i="8"/>
  <c r="R2778" i="8" s="1"/>
  <c r="S2778" i="8" s="1"/>
  <c r="W2779" i="8"/>
  <c r="U2779" i="8"/>
  <c r="O2779" i="8"/>
  <c r="R2779" i="8" s="1"/>
  <c r="S2779" i="8" s="1"/>
  <c r="W2780" i="8"/>
  <c r="U2780" i="8"/>
  <c r="O2780" i="8"/>
  <c r="R2780" i="8" s="1"/>
  <c r="S2780" i="8" s="1"/>
  <c r="W2781" i="8"/>
  <c r="U2781" i="8"/>
  <c r="O2781" i="8"/>
  <c r="R2781" i="8" s="1"/>
  <c r="S2781" i="8" s="1"/>
  <c r="W2782" i="8"/>
  <c r="U2782" i="8"/>
  <c r="O2782" i="8"/>
  <c r="R2782" i="8" s="1"/>
  <c r="S2782" i="8" s="1"/>
  <c r="W2783" i="8"/>
  <c r="U2783" i="8"/>
  <c r="O2783" i="8"/>
  <c r="R2783" i="8" s="1"/>
  <c r="S2783" i="8" s="1"/>
  <c r="W2784" i="8"/>
  <c r="U2784" i="8"/>
  <c r="O2784" i="8"/>
  <c r="R2784" i="8" s="1"/>
  <c r="S2784" i="8" s="1"/>
  <c r="W2785" i="8"/>
  <c r="U2785" i="8"/>
  <c r="O2785" i="8"/>
  <c r="R2785" i="8" s="1"/>
  <c r="S2785" i="8" s="1"/>
  <c r="W2786" i="8"/>
  <c r="U2786" i="8"/>
  <c r="O2786" i="8"/>
  <c r="R2786" i="8" s="1"/>
  <c r="S2786" i="8" s="1"/>
  <c r="W2787" i="8"/>
  <c r="U2787" i="8"/>
  <c r="O2787" i="8"/>
  <c r="R2787" i="8" s="1"/>
  <c r="S2787" i="8" s="1"/>
  <c r="W2788" i="8"/>
  <c r="U2788" i="8"/>
  <c r="O2788" i="8"/>
  <c r="R2788" i="8" s="1"/>
  <c r="S2788" i="8" s="1"/>
  <c r="W2789" i="8"/>
  <c r="U2789" i="8"/>
  <c r="O2789" i="8"/>
  <c r="R2789" i="8" s="1"/>
  <c r="S2789" i="8" s="1"/>
  <c r="W2790" i="8"/>
  <c r="U2790" i="8"/>
  <c r="O2790" i="8"/>
  <c r="R2790" i="8" s="1"/>
  <c r="S2790" i="8" s="1"/>
  <c r="W2791" i="8"/>
  <c r="U2791" i="8"/>
  <c r="O2791" i="8"/>
  <c r="R2791" i="8" s="1"/>
  <c r="S2791" i="8" s="1"/>
  <c r="W2792" i="8"/>
  <c r="U2792" i="8"/>
  <c r="O2792" i="8"/>
  <c r="R2792" i="8" s="1"/>
  <c r="S2792" i="8" s="1"/>
  <c r="W2793" i="8"/>
  <c r="U2793" i="8"/>
  <c r="O2793" i="8"/>
  <c r="R2793" i="8" s="1"/>
  <c r="S2793" i="8" s="1"/>
  <c r="W2794" i="8"/>
  <c r="U2794" i="8"/>
  <c r="O2794" i="8"/>
  <c r="R2794" i="8" s="1"/>
  <c r="S2794" i="8" s="1"/>
  <c r="W2795" i="8"/>
  <c r="U2795" i="8"/>
  <c r="O2795" i="8"/>
  <c r="R2795" i="8" s="1"/>
  <c r="S2795" i="8" s="1"/>
  <c r="W2796" i="8"/>
  <c r="U2796" i="8"/>
  <c r="O2796" i="8"/>
  <c r="R2796" i="8" s="1"/>
  <c r="S2796" i="8" s="1"/>
  <c r="W2797" i="8"/>
  <c r="U2797" i="8"/>
  <c r="O2797" i="8"/>
  <c r="R2797" i="8" s="1"/>
  <c r="S2797" i="8" s="1"/>
  <c r="W2798" i="8"/>
  <c r="U2798" i="8"/>
  <c r="O2798" i="8"/>
  <c r="R2798" i="8" s="1"/>
  <c r="S2798" i="8" s="1"/>
  <c r="W2799" i="8"/>
  <c r="U2799" i="8"/>
  <c r="O2799" i="8"/>
  <c r="R2799" i="8" s="1"/>
  <c r="S2799" i="8" s="1"/>
  <c r="W2800" i="8"/>
  <c r="U2800" i="8"/>
  <c r="O2800" i="8"/>
  <c r="R2800" i="8" s="1"/>
  <c r="S2800" i="8" s="1"/>
  <c r="W2801" i="8"/>
  <c r="M67" i="5" s="1"/>
  <c r="U2801" i="8"/>
  <c r="Q67" i="5" s="1"/>
  <c r="D48" i="4" s="1"/>
  <c r="O2801" i="8"/>
  <c r="R2801" i="8" s="1"/>
  <c r="S2801" i="8" s="1"/>
  <c r="O67" i="5" s="1"/>
  <c r="W2802" i="8"/>
  <c r="U2802" i="8"/>
  <c r="O2802" i="8"/>
  <c r="R2802" i="8" s="1"/>
  <c r="S2802" i="8" s="1"/>
  <c r="W2803" i="8"/>
  <c r="U2803" i="8"/>
  <c r="O2803" i="8"/>
  <c r="R2803" i="8" s="1"/>
  <c r="S2803" i="8" s="1"/>
  <c r="W2804" i="8"/>
  <c r="U2804" i="8"/>
  <c r="O2804" i="8"/>
  <c r="R2804" i="8" s="1"/>
  <c r="S2804" i="8" s="1"/>
  <c r="W2805" i="8"/>
  <c r="U2805" i="8"/>
  <c r="O2805" i="8"/>
  <c r="R2805" i="8" s="1"/>
  <c r="S2805" i="8" s="1"/>
  <c r="W2806" i="8"/>
  <c r="U2806" i="8"/>
  <c r="O2806" i="8"/>
  <c r="R2806" i="8" s="1"/>
  <c r="S2806" i="8" s="1"/>
  <c r="W2807" i="8"/>
  <c r="U2807" i="8"/>
  <c r="O2807" i="8"/>
  <c r="R2807" i="8" s="1"/>
  <c r="S2807" i="8" s="1"/>
  <c r="W2808" i="8"/>
  <c r="U2808" i="8"/>
  <c r="O2808" i="8"/>
  <c r="R2808" i="8" s="1"/>
  <c r="S2808" i="8" s="1"/>
  <c r="W2809" i="8"/>
  <c r="U2809" i="8"/>
  <c r="O2809" i="8"/>
  <c r="R2809" i="8" s="1"/>
  <c r="S2809" i="8" s="1"/>
  <c r="W2810" i="8"/>
  <c r="U2810" i="8"/>
  <c r="O2810" i="8"/>
  <c r="R2810" i="8" s="1"/>
  <c r="S2810" i="8" s="1"/>
  <c r="W2811" i="8"/>
  <c r="U2811" i="8"/>
  <c r="O2811" i="8"/>
  <c r="R2811" i="8" s="1"/>
  <c r="S2811" i="8" s="1"/>
  <c r="W2812" i="8"/>
  <c r="U2812" i="8"/>
  <c r="O2812" i="8"/>
  <c r="R2812" i="8" s="1"/>
  <c r="S2812" i="8" s="1"/>
  <c r="W2813" i="8"/>
  <c r="U2813" i="8"/>
  <c r="O2813" i="8"/>
  <c r="R2813" i="8" s="1"/>
  <c r="S2813" i="8" s="1"/>
  <c r="W2814" i="8"/>
  <c r="U2814" i="8"/>
  <c r="O2814" i="8"/>
  <c r="R2814" i="8" s="1"/>
  <c r="S2814" i="8" s="1"/>
  <c r="W2815" i="8"/>
  <c r="U2815" i="8"/>
  <c r="O2815" i="8"/>
  <c r="R2815" i="8" s="1"/>
  <c r="S2815" i="8" s="1"/>
  <c r="W2816" i="8"/>
  <c r="U2816" i="8"/>
  <c r="O2816" i="8"/>
  <c r="R2816" i="8" s="1"/>
  <c r="S2816" i="8" s="1"/>
  <c r="W2817" i="8"/>
  <c r="U2817" i="8"/>
  <c r="O2817" i="8"/>
  <c r="R2817" i="8" s="1"/>
  <c r="S2817" i="8" s="1"/>
  <c r="W2818" i="8"/>
  <c r="U2818" i="8"/>
  <c r="O2818" i="8"/>
  <c r="R2818" i="8" s="1"/>
  <c r="S2818" i="8" s="1"/>
  <c r="W2819" i="8"/>
  <c r="U2819" i="8"/>
  <c r="O2819" i="8"/>
  <c r="R2819" i="8" s="1"/>
  <c r="S2819" i="8" s="1"/>
  <c r="W2820" i="8"/>
  <c r="U2820" i="8"/>
  <c r="O2820" i="8"/>
  <c r="R2820" i="8" s="1"/>
  <c r="S2820" i="8" s="1"/>
  <c r="W2821" i="8"/>
  <c r="U2821" i="8"/>
  <c r="O2821" i="8"/>
  <c r="R2821" i="8" s="1"/>
  <c r="S2821" i="8" s="1"/>
  <c r="W2822" i="8"/>
  <c r="U2822" i="8"/>
  <c r="O2822" i="8"/>
  <c r="R2822" i="8" s="1"/>
  <c r="S2822" i="8" s="1"/>
  <c r="W2823" i="8"/>
  <c r="U2823" i="8"/>
  <c r="O2823" i="8"/>
  <c r="R2823" i="8" s="1"/>
  <c r="S2823" i="8" s="1"/>
  <c r="W2824" i="8"/>
  <c r="U2824" i="8"/>
  <c r="O2824" i="8"/>
  <c r="R2824" i="8" s="1"/>
  <c r="S2824" i="8" s="1"/>
  <c r="W2825" i="8"/>
  <c r="U2825" i="8"/>
  <c r="O2825" i="8"/>
  <c r="R2825" i="8" s="1"/>
  <c r="S2825" i="8" s="1"/>
  <c r="W2826" i="8"/>
  <c r="U2826" i="8"/>
  <c r="O2826" i="8"/>
  <c r="R2826" i="8" s="1"/>
  <c r="S2826" i="8" s="1"/>
  <c r="W2827" i="8"/>
  <c r="U2827" i="8"/>
  <c r="O2827" i="8"/>
  <c r="R2827" i="8" s="1"/>
  <c r="S2827" i="8" s="1"/>
  <c r="W2828" i="8"/>
  <c r="U2828" i="8"/>
  <c r="O2828" i="8"/>
  <c r="R2828" i="8" s="1"/>
  <c r="S2828" i="8" s="1"/>
  <c r="W2829" i="8"/>
  <c r="U2829" i="8"/>
  <c r="O2829" i="8"/>
  <c r="R2829" i="8" s="1"/>
  <c r="S2829" i="8" s="1"/>
  <c r="W2830" i="8"/>
  <c r="U2830" i="8"/>
  <c r="O2830" i="8"/>
  <c r="R2830" i="8" s="1"/>
  <c r="S2830" i="8" s="1"/>
  <c r="W2831" i="8"/>
  <c r="U2831" i="8"/>
  <c r="O2831" i="8"/>
  <c r="R2831" i="8" s="1"/>
  <c r="S2831" i="8" s="1"/>
  <c r="W2832" i="8"/>
  <c r="U2832" i="8"/>
  <c r="O2832" i="8"/>
  <c r="R2832" i="8" s="1"/>
  <c r="S2832" i="8" s="1"/>
  <c r="W2833" i="8"/>
  <c r="U2833" i="8"/>
  <c r="O2833" i="8"/>
  <c r="R2833" i="8" s="1"/>
  <c r="S2833" i="8" s="1"/>
  <c r="W2834" i="8"/>
  <c r="U2834" i="8"/>
  <c r="O2834" i="8"/>
  <c r="R2834" i="8" s="1"/>
  <c r="S2834" i="8" s="1"/>
  <c r="W2835" i="8"/>
  <c r="U2835" i="8"/>
  <c r="O2835" i="8"/>
  <c r="R2835" i="8" s="1"/>
  <c r="S2835" i="8" s="1"/>
  <c r="W2836" i="8"/>
  <c r="M68" i="5" s="1"/>
  <c r="U2836" i="8"/>
  <c r="Q68" i="5" s="1"/>
  <c r="O2836" i="8"/>
  <c r="R2836" i="8" s="1"/>
  <c r="S2836" i="8" s="1"/>
  <c r="O68" i="5" s="1"/>
  <c r="W2837" i="8"/>
  <c r="U2837" i="8"/>
  <c r="O2837" i="8"/>
  <c r="R2837" i="8" s="1"/>
  <c r="S2837" i="8" s="1"/>
  <c r="W2838" i="8"/>
  <c r="U2838" i="8"/>
  <c r="O2838" i="8"/>
  <c r="R2838" i="8" s="1"/>
  <c r="S2838" i="8" s="1"/>
  <c r="W2839" i="8"/>
  <c r="U2839" i="8"/>
  <c r="O2839" i="8"/>
  <c r="R2839" i="8" s="1"/>
  <c r="S2839" i="8" s="1"/>
  <c r="W2840" i="8"/>
  <c r="U2840" i="8"/>
  <c r="O2840" i="8"/>
  <c r="R2840" i="8" s="1"/>
  <c r="S2840" i="8" s="1"/>
  <c r="W2841" i="8"/>
  <c r="U2841" i="8"/>
  <c r="O2841" i="8"/>
  <c r="R2841" i="8" s="1"/>
  <c r="S2841" i="8" s="1"/>
  <c r="W2842" i="8"/>
  <c r="U2842" i="8"/>
  <c r="O2842" i="8"/>
  <c r="R2842" i="8" s="1"/>
  <c r="S2842" i="8" s="1"/>
  <c r="W2843" i="8"/>
  <c r="U2843" i="8"/>
  <c r="O2843" i="8"/>
  <c r="R2843" i="8" s="1"/>
  <c r="S2843" i="8" s="1"/>
  <c r="W2844" i="8"/>
  <c r="U2844" i="8"/>
  <c r="O2844" i="8"/>
  <c r="R2844" i="8" s="1"/>
  <c r="S2844" i="8" s="1"/>
  <c r="W2845" i="8"/>
  <c r="U2845" i="8"/>
  <c r="O2845" i="8"/>
  <c r="R2845" i="8" s="1"/>
  <c r="S2845" i="8" s="1"/>
  <c r="W2846" i="8"/>
  <c r="U2846" i="8"/>
  <c r="O2846" i="8"/>
  <c r="R2846" i="8" s="1"/>
  <c r="S2846" i="8" s="1"/>
  <c r="W2847" i="8"/>
  <c r="U2847" i="8"/>
  <c r="O2847" i="8"/>
  <c r="R2847" i="8" s="1"/>
  <c r="S2847" i="8" s="1"/>
  <c r="W2848" i="8"/>
  <c r="U2848" i="8"/>
  <c r="O2848" i="8"/>
  <c r="R2848" i="8" s="1"/>
  <c r="S2848" i="8" s="1"/>
  <c r="W2849" i="8"/>
  <c r="U2849" i="8"/>
  <c r="O2849" i="8"/>
  <c r="R2849" i="8" s="1"/>
  <c r="S2849" i="8" s="1"/>
  <c r="W2850" i="8"/>
  <c r="U2850" i="8"/>
  <c r="O2850" i="8"/>
  <c r="R2850" i="8" s="1"/>
  <c r="S2850" i="8" s="1"/>
  <c r="W2851" i="8"/>
  <c r="U2851" i="8"/>
  <c r="O2851" i="8"/>
  <c r="R2851" i="8" s="1"/>
  <c r="S2851" i="8" s="1"/>
  <c r="W2852" i="8"/>
  <c r="U2852" i="8"/>
  <c r="O2852" i="8"/>
  <c r="R2852" i="8" s="1"/>
  <c r="S2852" i="8" s="1"/>
  <c r="W2853" i="8"/>
  <c r="U2853" i="8"/>
  <c r="O2853" i="8"/>
  <c r="R2853" i="8" s="1"/>
  <c r="S2853" i="8" s="1"/>
  <c r="W2854" i="8"/>
  <c r="U2854" i="8"/>
  <c r="O2854" i="8"/>
  <c r="R2854" i="8" s="1"/>
  <c r="S2854" i="8" s="1"/>
  <c r="W2855" i="8"/>
  <c r="U2855" i="8"/>
  <c r="O2855" i="8"/>
  <c r="R2855" i="8" s="1"/>
  <c r="S2855" i="8" s="1"/>
  <c r="W2856" i="8"/>
  <c r="U2856" i="8"/>
  <c r="O2856" i="8"/>
  <c r="R2856" i="8" s="1"/>
  <c r="S2856" i="8" s="1"/>
  <c r="W2857" i="8"/>
  <c r="U2857" i="8"/>
  <c r="O2857" i="8"/>
  <c r="R2857" i="8" s="1"/>
  <c r="S2857" i="8" s="1"/>
  <c r="W2858" i="8"/>
  <c r="U2858" i="8"/>
  <c r="O2858" i="8"/>
  <c r="R2858" i="8" s="1"/>
  <c r="S2858" i="8" s="1"/>
  <c r="W2859" i="8"/>
  <c r="U2859" i="8"/>
  <c r="O2859" i="8"/>
  <c r="R2859" i="8" s="1"/>
  <c r="S2859" i="8" s="1"/>
  <c r="W2860" i="8"/>
  <c r="U2860" i="8"/>
  <c r="O2860" i="8"/>
  <c r="R2860" i="8" s="1"/>
  <c r="S2860" i="8" s="1"/>
  <c r="W2861" i="8"/>
  <c r="U2861" i="8"/>
  <c r="O2861" i="8"/>
  <c r="R2861" i="8" s="1"/>
  <c r="S2861" i="8" s="1"/>
  <c r="W2862" i="8"/>
  <c r="U2862" i="8"/>
  <c r="O2862" i="8"/>
  <c r="R2862" i="8" s="1"/>
  <c r="S2862" i="8" s="1"/>
  <c r="W2863" i="8"/>
  <c r="U2863" i="8"/>
  <c r="O2863" i="8"/>
  <c r="R2863" i="8" s="1"/>
  <c r="S2863" i="8" s="1"/>
  <c r="W2864" i="8"/>
  <c r="U2864" i="8"/>
  <c r="O2864" i="8"/>
  <c r="R2864" i="8" s="1"/>
  <c r="S2864" i="8" s="1"/>
  <c r="W2865" i="8"/>
  <c r="U2865" i="8"/>
  <c r="O2865" i="8"/>
  <c r="R2865" i="8" s="1"/>
  <c r="S2865" i="8" s="1"/>
  <c r="W2866" i="8"/>
  <c r="U2866" i="8"/>
  <c r="O2866" i="8"/>
  <c r="R2866" i="8" s="1"/>
  <c r="S2866" i="8" s="1"/>
  <c r="W2867" i="8"/>
  <c r="U2867" i="8"/>
  <c r="O2867" i="8"/>
  <c r="R2867" i="8" s="1"/>
  <c r="S2867" i="8" s="1"/>
  <c r="W2868" i="8"/>
  <c r="U2868" i="8"/>
  <c r="O2868" i="8"/>
  <c r="R2868" i="8" s="1"/>
  <c r="S2868" i="8" s="1"/>
  <c r="W2869" i="8"/>
  <c r="U2869" i="8"/>
  <c r="O2869" i="8"/>
  <c r="R2869" i="8" s="1"/>
  <c r="S2869" i="8" s="1"/>
  <c r="W2870" i="8"/>
  <c r="U2870" i="8"/>
  <c r="O2870" i="8"/>
  <c r="R2870" i="8" s="1"/>
  <c r="S2870" i="8" s="1"/>
  <c r="W2871" i="8"/>
  <c r="U2871" i="8"/>
  <c r="O2871" i="8"/>
  <c r="R2871" i="8" s="1"/>
  <c r="S2871" i="8" s="1"/>
  <c r="W2872" i="8"/>
  <c r="U2872" i="8"/>
  <c r="O2872" i="8"/>
  <c r="R2872" i="8" s="1"/>
  <c r="S2872" i="8" s="1"/>
  <c r="W2873" i="8"/>
  <c r="M69" i="5" s="1"/>
  <c r="U2873" i="8"/>
  <c r="Q69" i="5" s="1"/>
  <c r="F48" i="4" s="1"/>
  <c r="O2873" i="8"/>
  <c r="R2873" i="8" s="1"/>
  <c r="S2873" i="8" s="1"/>
  <c r="O69" i="5" s="1"/>
  <c r="W2874" i="8"/>
  <c r="U2874" i="8"/>
  <c r="O2874" i="8"/>
  <c r="R2874" i="8" s="1"/>
  <c r="S2874" i="8" s="1"/>
  <c r="W2875" i="8"/>
  <c r="U2875" i="8"/>
  <c r="O2875" i="8"/>
  <c r="R2875" i="8" s="1"/>
  <c r="S2875" i="8" s="1"/>
  <c r="W2876" i="8"/>
  <c r="U2876" i="8"/>
  <c r="O2876" i="8"/>
  <c r="R2876" i="8" s="1"/>
  <c r="S2876" i="8" s="1"/>
  <c r="W2877" i="8"/>
  <c r="U2877" i="8"/>
  <c r="O2877" i="8"/>
  <c r="R2877" i="8" s="1"/>
  <c r="S2877" i="8" s="1"/>
  <c r="W2878" i="8"/>
  <c r="U2878" i="8"/>
  <c r="O2878" i="8"/>
  <c r="R2878" i="8" s="1"/>
  <c r="S2878" i="8" s="1"/>
  <c r="W2879" i="8"/>
  <c r="U2879" i="8"/>
  <c r="O2879" i="8"/>
  <c r="R2879" i="8" s="1"/>
  <c r="S2879" i="8" s="1"/>
  <c r="W2880" i="8"/>
  <c r="U2880" i="8"/>
  <c r="O2880" i="8"/>
  <c r="R2880" i="8" s="1"/>
  <c r="S2880" i="8" s="1"/>
  <c r="W2881" i="8"/>
  <c r="U2881" i="8"/>
  <c r="O2881" i="8"/>
  <c r="R2881" i="8" s="1"/>
  <c r="S2881" i="8" s="1"/>
  <c r="W2882" i="8"/>
  <c r="U2882" i="8"/>
  <c r="O2882" i="8"/>
  <c r="R2882" i="8" s="1"/>
  <c r="S2882" i="8" s="1"/>
  <c r="W2883" i="8"/>
  <c r="U2883" i="8"/>
  <c r="O2883" i="8"/>
  <c r="R2883" i="8" s="1"/>
  <c r="S2883" i="8" s="1"/>
  <c r="W2884" i="8"/>
  <c r="U2884" i="8"/>
  <c r="O2884" i="8"/>
  <c r="R2884" i="8" s="1"/>
  <c r="S2884" i="8" s="1"/>
  <c r="W2885" i="8"/>
  <c r="U2885" i="8"/>
  <c r="O2885" i="8"/>
  <c r="R2885" i="8" s="1"/>
  <c r="S2885" i="8" s="1"/>
  <c r="W2886" i="8"/>
  <c r="U2886" i="8"/>
  <c r="O2886" i="8"/>
  <c r="R2886" i="8" s="1"/>
  <c r="S2886" i="8" s="1"/>
  <c r="W2887" i="8"/>
  <c r="U2887" i="8"/>
  <c r="O2887" i="8"/>
  <c r="R2887" i="8" s="1"/>
  <c r="S2887" i="8" s="1"/>
  <c r="W2888" i="8"/>
  <c r="U2888" i="8"/>
  <c r="O2888" i="8"/>
  <c r="R2888" i="8" s="1"/>
  <c r="S2888" i="8" s="1"/>
  <c r="W2889" i="8"/>
  <c r="U2889" i="8"/>
  <c r="O2889" i="8"/>
  <c r="R2889" i="8" s="1"/>
  <c r="S2889" i="8" s="1"/>
  <c r="W2890" i="8"/>
  <c r="U2890" i="8"/>
  <c r="O2890" i="8"/>
  <c r="R2890" i="8" s="1"/>
  <c r="S2890" i="8" s="1"/>
  <c r="W2891" i="8"/>
  <c r="U2891" i="8"/>
  <c r="O2891" i="8"/>
  <c r="R2891" i="8" s="1"/>
  <c r="S2891" i="8" s="1"/>
  <c r="W2892" i="8"/>
  <c r="U2892" i="8"/>
  <c r="O2892" i="8"/>
  <c r="R2892" i="8" s="1"/>
  <c r="S2892" i="8" s="1"/>
  <c r="W2893" i="8"/>
  <c r="U2893" i="8"/>
  <c r="O2893" i="8"/>
  <c r="R2893" i="8" s="1"/>
  <c r="S2893" i="8" s="1"/>
  <c r="W2894" i="8"/>
  <c r="U2894" i="8"/>
  <c r="O2894" i="8"/>
  <c r="R2894" i="8" s="1"/>
  <c r="S2894" i="8" s="1"/>
  <c r="W2895" i="8"/>
  <c r="U2895" i="8"/>
  <c r="O2895" i="8"/>
  <c r="R2895" i="8" s="1"/>
  <c r="S2895" i="8" s="1"/>
  <c r="W2896" i="8"/>
  <c r="U2896" i="8"/>
  <c r="O2896" i="8"/>
  <c r="R2896" i="8" s="1"/>
  <c r="S2896" i="8" s="1"/>
  <c r="W2897" i="8"/>
  <c r="U2897" i="8"/>
  <c r="O2897" i="8"/>
  <c r="R2897" i="8" s="1"/>
  <c r="S2897" i="8" s="1"/>
  <c r="W2898" i="8"/>
  <c r="U2898" i="8"/>
  <c r="O2898" i="8"/>
  <c r="R2898" i="8" s="1"/>
  <c r="S2898" i="8" s="1"/>
  <c r="W2899" i="8"/>
  <c r="U2899" i="8"/>
  <c r="O2899" i="8"/>
  <c r="R2899" i="8" s="1"/>
  <c r="S2899" i="8" s="1"/>
  <c r="W2900" i="8"/>
  <c r="U2900" i="8"/>
  <c r="O2900" i="8"/>
  <c r="R2900" i="8" s="1"/>
  <c r="S2900" i="8" s="1"/>
  <c r="W2901" i="8"/>
  <c r="U2901" i="8"/>
  <c r="O2901" i="8"/>
  <c r="R2901" i="8" s="1"/>
  <c r="S2901" i="8" s="1"/>
  <c r="W2902" i="8"/>
  <c r="U2902" i="8"/>
  <c r="O2902" i="8"/>
  <c r="R2902" i="8" s="1"/>
  <c r="S2902" i="8" s="1"/>
  <c r="W2903" i="8"/>
  <c r="U2903" i="8"/>
  <c r="O2903" i="8"/>
  <c r="R2903" i="8" s="1"/>
  <c r="S2903" i="8" s="1"/>
  <c r="W2904" i="8"/>
  <c r="U2904" i="8"/>
  <c r="O2904" i="8"/>
  <c r="R2904" i="8" s="1"/>
  <c r="S2904" i="8" s="1"/>
  <c r="W2905" i="8"/>
  <c r="U2905" i="8"/>
  <c r="O2905" i="8"/>
  <c r="R2905" i="8" s="1"/>
  <c r="S2905" i="8" s="1"/>
  <c r="W2906" i="8"/>
  <c r="U2906" i="8"/>
  <c r="O2906" i="8"/>
  <c r="R2906" i="8" s="1"/>
  <c r="S2906" i="8" s="1"/>
  <c r="W2907" i="8"/>
  <c r="U2907" i="8"/>
  <c r="O2907" i="8"/>
  <c r="R2907" i="8" s="1"/>
  <c r="S2907" i="8" s="1"/>
  <c r="W2908" i="8"/>
  <c r="M30" i="5" s="1"/>
  <c r="U2908" i="8"/>
  <c r="Q30" i="5" s="1"/>
  <c r="O2908" i="8"/>
  <c r="R2908" i="8" s="1"/>
  <c r="S2908" i="8" s="1"/>
  <c r="O30" i="5" s="1"/>
  <c r="W2909" i="8"/>
  <c r="U2909" i="8"/>
  <c r="O2909" i="8"/>
  <c r="R2909" i="8" s="1"/>
  <c r="S2909" i="8" s="1"/>
  <c r="W2910" i="8"/>
  <c r="U2910" i="8"/>
  <c r="O2910" i="8"/>
  <c r="R2910" i="8" s="1"/>
  <c r="S2910" i="8" s="1"/>
  <c r="W2911" i="8"/>
  <c r="U2911" i="8"/>
  <c r="O2911" i="8"/>
  <c r="R2911" i="8" s="1"/>
  <c r="S2911" i="8" s="1"/>
  <c r="W2912" i="8"/>
  <c r="U2912" i="8"/>
  <c r="O2912" i="8"/>
  <c r="R2912" i="8" s="1"/>
  <c r="S2912" i="8" s="1"/>
  <c r="W2913" i="8"/>
  <c r="U2913" i="8"/>
  <c r="O2913" i="8"/>
  <c r="R2913" i="8" s="1"/>
  <c r="S2913" i="8" s="1"/>
  <c r="W2914" i="8"/>
  <c r="U2914" i="8"/>
  <c r="O2914" i="8"/>
  <c r="R2914" i="8" s="1"/>
  <c r="S2914" i="8" s="1"/>
  <c r="W2915" i="8"/>
  <c r="U2915" i="8"/>
  <c r="O2915" i="8"/>
  <c r="R2915" i="8" s="1"/>
  <c r="S2915" i="8" s="1"/>
  <c r="W2916" i="8"/>
  <c r="U2916" i="8"/>
  <c r="O2916" i="8"/>
  <c r="R2916" i="8" s="1"/>
  <c r="S2916" i="8" s="1"/>
  <c r="W2917" i="8"/>
  <c r="U2917" i="8"/>
  <c r="O2917" i="8"/>
  <c r="R2917" i="8" s="1"/>
  <c r="S2917" i="8" s="1"/>
  <c r="W2918" i="8"/>
  <c r="U2918" i="8"/>
  <c r="O2918" i="8"/>
  <c r="R2918" i="8" s="1"/>
  <c r="S2918" i="8" s="1"/>
  <c r="W2919" i="8"/>
  <c r="U2919" i="8"/>
  <c r="O2919" i="8"/>
  <c r="R2919" i="8" s="1"/>
  <c r="S2919" i="8" s="1"/>
  <c r="W2920" i="8"/>
  <c r="U2920" i="8"/>
  <c r="O2920" i="8"/>
  <c r="R2920" i="8" s="1"/>
  <c r="S2920" i="8" s="1"/>
  <c r="W2921" i="8"/>
  <c r="U2921" i="8"/>
  <c r="O2921" i="8"/>
  <c r="R2921" i="8" s="1"/>
  <c r="S2921" i="8" s="1"/>
  <c r="W2922" i="8"/>
  <c r="U2922" i="8"/>
  <c r="O2922" i="8"/>
  <c r="R2922" i="8" s="1"/>
  <c r="S2922" i="8" s="1"/>
  <c r="W2923" i="8"/>
  <c r="U2923" i="8"/>
  <c r="O2923" i="8"/>
  <c r="R2923" i="8" s="1"/>
  <c r="S2923" i="8" s="1"/>
  <c r="W2924" i="8"/>
  <c r="U2924" i="8"/>
  <c r="O2924" i="8"/>
  <c r="R2924" i="8" s="1"/>
  <c r="S2924" i="8" s="1"/>
  <c r="W2925" i="8"/>
  <c r="U2925" i="8"/>
  <c r="O2925" i="8"/>
  <c r="R2925" i="8" s="1"/>
  <c r="S2925" i="8" s="1"/>
  <c r="W2926" i="8"/>
  <c r="U2926" i="8"/>
  <c r="O2926" i="8"/>
  <c r="R2926" i="8" s="1"/>
  <c r="S2926" i="8" s="1"/>
  <c r="W2927" i="8"/>
  <c r="U2927" i="8"/>
  <c r="O2927" i="8"/>
  <c r="R2927" i="8" s="1"/>
  <c r="S2927" i="8" s="1"/>
  <c r="W2928" i="8"/>
  <c r="U2928" i="8"/>
  <c r="O2928" i="8"/>
  <c r="R2928" i="8" s="1"/>
  <c r="S2928" i="8" s="1"/>
  <c r="W2929" i="8"/>
  <c r="U2929" i="8"/>
  <c r="O2929" i="8"/>
  <c r="R2929" i="8" s="1"/>
  <c r="S2929" i="8" s="1"/>
  <c r="W2930" i="8"/>
  <c r="U2930" i="8"/>
  <c r="O2930" i="8"/>
  <c r="R2930" i="8" s="1"/>
  <c r="S2930" i="8" s="1"/>
  <c r="W2931" i="8"/>
  <c r="U2931" i="8"/>
  <c r="O2931" i="8"/>
  <c r="R2931" i="8" s="1"/>
  <c r="S2931" i="8" s="1"/>
  <c r="W2932" i="8"/>
  <c r="U2932" i="8"/>
  <c r="O2932" i="8"/>
  <c r="R2932" i="8" s="1"/>
  <c r="S2932" i="8" s="1"/>
  <c r="W2933" i="8"/>
  <c r="U2933" i="8"/>
  <c r="O2933" i="8"/>
  <c r="R2933" i="8" s="1"/>
  <c r="S2933" i="8" s="1"/>
  <c r="W2934" i="8"/>
  <c r="U2934" i="8"/>
  <c r="O2934" i="8"/>
  <c r="R2934" i="8" s="1"/>
  <c r="S2934" i="8" s="1"/>
  <c r="W2935" i="8"/>
  <c r="U2935" i="8"/>
  <c r="O2935" i="8"/>
  <c r="R2935" i="8" s="1"/>
  <c r="S2935" i="8" s="1"/>
  <c r="W2936" i="8"/>
  <c r="U2936" i="8"/>
  <c r="O2936" i="8"/>
  <c r="R2936" i="8" s="1"/>
  <c r="S2936" i="8" s="1"/>
  <c r="W2937" i="8"/>
  <c r="U2937" i="8"/>
  <c r="O2937" i="8"/>
  <c r="R2937" i="8" s="1"/>
  <c r="S2937" i="8" s="1"/>
  <c r="W2938" i="8"/>
  <c r="U2938" i="8"/>
  <c r="O2938" i="8"/>
  <c r="R2938" i="8" s="1"/>
  <c r="S2938" i="8" s="1"/>
  <c r="W2939" i="8"/>
  <c r="U2939" i="8"/>
  <c r="O2939" i="8"/>
  <c r="R2939" i="8" s="1"/>
  <c r="S2939" i="8" s="1"/>
  <c r="W2940" i="8"/>
  <c r="U2940" i="8"/>
  <c r="O2940" i="8"/>
  <c r="R2940" i="8" s="1"/>
  <c r="S2940" i="8" s="1"/>
  <c r="W2941" i="8"/>
  <c r="U2941" i="8"/>
  <c r="O2941" i="8"/>
  <c r="R2941" i="8" s="1"/>
  <c r="S2941" i="8" s="1"/>
  <c r="W2942" i="8"/>
  <c r="U2942" i="8"/>
  <c r="O2942" i="8"/>
  <c r="R2942" i="8" s="1"/>
  <c r="S2942" i="8" s="1"/>
  <c r="W2943" i="8"/>
  <c r="U2943" i="8"/>
  <c r="O2943" i="8"/>
  <c r="R2943" i="8" s="1"/>
  <c r="S2943" i="8" s="1"/>
  <c r="W2944" i="8"/>
  <c r="U2944" i="8"/>
  <c r="O2944" i="8"/>
  <c r="R2944" i="8" s="1"/>
  <c r="S2944" i="8" s="1"/>
  <c r="W2945" i="8"/>
  <c r="U2945" i="8"/>
  <c r="O2945" i="8"/>
  <c r="R2945" i="8" s="1"/>
  <c r="S2945" i="8" s="1"/>
  <c r="W2946" i="8"/>
  <c r="U2946" i="8"/>
  <c r="O2946" i="8"/>
  <c r="R2946" i="8" s="1"/>
  <c r="S2946" i="8" s="1"/>
  <c r="W2947" i="8"/>
  <c r="U2947" i="8"/>
  <c r="O2947" i="8"/>
  <c r="R2947" i="8" s="1"/>
  <c r="S2947" i="8" s="1"/>
  <c r="W2948" i="8"/>
  <c r="U2948" i="8"/>
  <c r="O2948" i="8"/>
  <c r="R2948" i="8" s="1"/>
  <c r="S2948" i="8" s="1"/>
  <c r="U2949" i="8"/>
  <c r="O2949" i="8"/>
  <c r="W2949" i="8"/>
  <c r="R2951" i="8"/>
  <c r="S2951" i="8" s="1"/>
  <c r="O2952" i="8"/>
  <c r="R2952" i="8" s="1"/>
  <c r="S2952" i="8" s="1"/>
  <c r="R2953" i="8"/>
  <c r="S2953" i="8" s="1"/>
  <c r="O2954" i="8"/>
  <c r="R2954" i="8" s="1"/>
  <c r="S2954" i="8" s="1"/>
  <c r="R2955" i="8"/>
  <c r="S2955" i="8" s="1"/>
  <c r="O2956" i="8"/>
  <c r="R2956" i="8" s="1"/>
  <c r="S2956" i="8" s="1"/>
  <c r="R2957" i="8"/>
  <c r="S2957" i="8" s="1"/>
  <c r="O2958" i="8"/>
  <c r="R2958" i="8" s="1"/>
  <c r="S2958" i="8" s="1"/>
  <c r="R2959" i="8"/>
  <c r="S2959" i="8" s="1"/>
  <c r="O2960" i="8"/>
  <c r="R2960" i="8" s="1"/>
  <c r="S2960" i="8" s="1"/>
  <c r="R2961" i="8"/>
  <c r="S2961" i="8" s="1"/>
  <c r="O2962" i="8"/>
  <c r="R2962" i="8" s="1"/>
  <c r="S2962" i="8" s="1"/>
  <c r="R2963" i="8"/>
  <c r="S2963" i="8" s="1"/>
  <c r="O2964" i="8"/>
  <c r="R2964" i="8" s="1"/>
  <c r="S2964" i="8" s="1"/>
  <c r="R2965" i="8"/>
  <c r="S2965" i="8" s="1"/>
  <c r="O2966" i="8"/>
  <c r="R2966" i="8" s="1"/>
  <c r="S2966" i="8" s="1"/>
  <c r="R2967" i="8"/>
  <c r="S2967" i="8" s="1"/>
  <c r="O2968" i="8"/>
  <c r="R2968" i="8" s="1"/>
  <c r="S2968" i="8" s="1"/>
  <c r="R2969" i="8"/>
  <c r="S2969" i="8" s="1"/>
  <c r="R2970" i="8"/>
  <c r="S2970" i="8" s="1"/>
  <c r="O2971" i="8"/>
  <c r="R2971" i="8" s="1"/>
  <c r="S2971" i="8" s="1"/>
  <c r="R2972" i="8"/>
  <c r="S2972" i="8" s="1"/>
  <c r="O2973" i="8"/>
  <c r="R2973" i="8" s="1"/>
  <c r="S2973" i="8" s="1"/>
  <c r="R2974" i="8"/>
  <c r="S2974" i="8" s="1"/>
  <c r="O2975" i="8"/>
  <c r="R2975" i="8" s="1"/>
  <c r="S2975" i="8" s="1"/>
  <c r="R2976" i="8"/>
  <c r="S2976" i="8" s="1"/>
  <c r="O2977" i="8"/>
  <c r="R2977" i="8" s="1"/>
  <c r="S2977" i="8" s="1"/>
  <c r="R2978" i="8"/>
  <c r="S2978" i="8" s="1"/>
  <c r="O2979" i="8"/>
  <c r="R2979" i="8" s="1"/>
  <c r="S2979" i="8" s="1"/>
  <c r="R2980" i="8"/>
  <c r="S2980" i="8" s="1"/>
  <c r="O32" i="5" s="1"/>
  <c r="O2981" i="8"/>
  <c r="R2981" i="8" s="1"/>
  <c r="S2981" i="8" s="1"/>
  <c r="R2982" i="8"/>
  <c r="S2982" i="8" s="1"/>
  <c r="R2983" i="8"/>
  <c r="S2983" i="8" s="1"/>
  <c r="O2984" i="8"/>
  <c r="R2984" i="8" s="1"/>
  <c r="S2984" i="8" s="1"/>
  <c r="R2985" i="8"/>
  <c r="S2985" i="8" s="1"/>
  <c r="O2986" i="8"/>
  <c r="R2986" i="8" s="1"/>
  <c r="S2986" i="8" s="1"/>
  <c r="R2987" i="8"/>
  <c r="S2987" i="8" s="1"/>
  <c r="O2988" i="8"/>
  <c r="R2988" i="8" s="1"/>
  <c r="S2988" i="8" s="1"/>
  <c r="R2989" i="8"/>
  <c r="S2989" i="8" s="1"/>
  <c r="O2990" i="8"/>
  <c r="R2990" i="8" s="1"/>
  <c r="S2990" i="8" s="1"/>
  <c r="R2991" i="8"/>
  <c r="S2991" i="8" s="1"/>
  <c r="O2992" i="8"/>
  <c r="R2992" i="8" s="1"/>
  <c r="S2992" i="8" s="1"/>
  <c r="R2993" i="8"/>
  <c r="S2993" i="8" s="1"/>
  <c r="O2994" i="8"/>
  <c r="R2994" i="8" s="1"/>
  <c r="S2994" i="8" s="1"/>
  <c r="R2995" i="8"/>
  <c r="S2995" i="8" s="1"/>
  <c r="O2996" i="8"/>
  <c r="R2996" i="8" s="1"/>
  <c r="S2996" i="8" s="1"/>
  <c r="R2997" i="8"/>
  <c r="S2997" i="8" s="1"/>
  <c r="O2998" i="8"/>
  <c r="R2998" i="8" s="1"/>
  <c r="S2998" i="8" s="1"/>
  <c r="R2999" i="8"/>
  <c r="S2999" i="8" s="1"/>
  <c r="O3000" i="8"/>
  <c r="R3000" i="8" s="1"/>
  <c r="S3000" i="8" s="1"/>
  <c r="R3001" i="8"/>
  <c r="S3001" i="8" s="1"/>
  <c r="O3002" i="8"/>
  <c r="R3002" i="8" s="1"/>
  <c r="S3002" i="8" s="1"/>
  <c r="R3003" i="8"/>
  <c r="S3003" i="8" s="1"/>
  <c r="O3004" i="8"/>
  <c r="R3004" i="8" s="1"/>
  <c r="S3004" i="8" s="1"/>
  <c r="R3005" i="8"/>
  <c r="S3005" i="8" s="1"/>
  <c r="O3006" i="8"/>
  <c r="R3006" i="8" s="1"/>
  <c r="S3006" i="8" s="1"/>
  <c r="R3007" i="8"/>
  <c r="S3007" i="8" s="1"/>
  <c r="O3008" i="8"/>
  <c r="R3008" i="8" s="1"/>
  <c r="S3008" i="8" s="1"/>
  <c r="R3009" i="8"/>
  <c r="S3009" i="8" s="1"/>
  <c r="O3010" i="8"/>
  <c r="R3010" i="8" s="1"/>
  <c r="S3010" i="8" s="1"/>
  <c r="R3011" i="8"/>
  <c r="S3011" i="8" s="1"/>
  <c r="R3012" i="8"/>
  <c r="S3012" i="8" s="1"/>
  <c r="O130" i="5" s="1"/>
  <c r="R3013" i="8"/>
  <c r="S3013" i="8" s="1"/>
  <c r="O3014" i="8"/>
  <c r="R3014" i="8" s="1"/>
  <c r="S3014" i="8" s="1"/>
  <c r="R3015" i="8"/>
  <c r="S3015" i="8" s="1"/>
  <c r="O3016" i="8"/>
  <c r="R3016" i="8" s="1"/>
  <c r="S3016" i="8" s="1"/>
  <c r="R3017" i="8"/>
  <c r="S3017" i="8" s="1"/>
  <c r="O3018" i="8"/>
  <c r="R3018" i="8" s="1"/>
  <c r="S3018" i="8" s="1"/>
  <c r="R3019" i="8"/>
  <c r="S3019" i="8" s="1"/>
  <c r="R3020" i="8"/>
  <c r="S3020" i="8" s="1"/>
  <c r="O3021" i="8"/>
  <c r="R3021" i="8" s="1"/>
  <c r="S3021" i="8" s="1"/>
  <c r="R3022" i="8"/>
  <c r="S3022" i="8" s="1"/>
  <c r="O3023" i="8"/>
  <c r="R3023" i="8" s="1"/>
  <c r="S3023" i="8" s="1"/>
  <c r="R3024" i="8"/>
  <c r="S3024" i="8" s="1"/>
  <c r="O3025" i="8"/>
  <c r="R3025" i="8" s="1"/>
  <c r="S3025" i="8" s="1"/>
  <c r="R3026" i="8"/>
  <c r="S3026" i="8" s="1"/>
  <c r="O3027" i="8"/>
  <c r="R3027" i="8" s="1"/>
  <c r="S3027" i="8" s="1"/>
  <c r="R3028" i="8"/>
  <c r="S3028" i="8" s="1"/>
  <c r="O3029" i="8"/>
  <c r="R3029" i="8" s="1"/>
  <c r="S3029" i="8" s="1"/>
  <c r="R3030" i="8"/>
  <c r="S3030" i="8" s="1"/>
  <c r="O3031" i="8"/>
  <c r="R3031" i="8" s="1"/>
  <c r="S3031" i="8" s="1"/>
  <c r="R3032" i="8"/>
  <c r="S3032" i="8" s="1"/>
  <c r="O3033" i="8"/>
  <c r="R3033" i="8" s="1"/>
  <c r="S3033" i="8" s="1"/>
  <c r="R3034" i="8"/>
  <c r="S3034" i="8" s="1"/>
  <c r="O3035" i="8"/>
  <c r="R3035" i="8" s="1"/>
  <c r="S3035" i="8" s="1"/>
  <c r="R3036" i="8"/>
  <c r="S3036" i="8" s="1"/>
  <c r="O3037" i="8"/>
  <c r="R3037" i="8" s="1"/>
  <c r="S3037" i="8" s="1"/>
  <c r="R3038" i="8"/>
  <c r="S3038" i="8" s="1"/>
  <c r="O3039" i="8"/>
  <c r="R3039" i="8" s="1"/>
  <c r="S3039" i="8" s="1"/>
  <c r="R3040" i="8"/>
  <c r="S3040" i="8" s="1"/>
  <c r="O3041" i="8"/>
  <c r="R3041" i="8" s="1"/>
  <c r="S3041" i="8" s="1"/>
  <c r="R3042" i="8"/>
  <c r="S3042" i="8" s="1"/>
  <c r="O3043" i="8"/>
  <c r="R3043" i="8" s="1"/>
  <c r="S3043" i="8" s="1"/>
  <c r="R3044" i="8"/>
  <c r="S3044" i="8" s="1"/>
  <c r="R3045" i="8"/>
  <c r="S3045" i="8" s="1"/>
  <c r="O131" i="5" s="1"/>
  <c r="O3046" i="8"/>
  <c r="R3046" i="8" s="1"/>
  <c r="S3046" i="8" s="1"/>
  <c r="R3047" i="8"/>
  <c r="S3047" i="8" s="1"/>
  <c r="O3048" i="8"/>
  <c r="R3048" i="8" s="1"/>
  <c r="S3048" i="8" s="1"/>
  <c r="R3049" i="8"/>
  <c r="S3049" i="8" s="1"/>
  <c r="O3050" i="8"/>
  <c r="R3050" i="8" s="1"/>
  <c r="S3050" i="8" s="1"/>
  <c r="R3051" i="8"/>
  <c r="S3051" i="8" s="1"/>
  <c r="O3052" i="8"/>
  <c r="R3052" i="8" s="1"/>
  <c r="S3052" i="8" s="1"/>
  <c r="R3053" i="8"/>
  <c r="S3053" i="8" s="1"/>
  <c r="O3054" i="8"/>
  <c r="R3054" i="8" s="1"/>
  <c r="S3054" i="8" s="1"/>
  <c r="R3055" i="8"/>
  <c r="S3055" i="8" s="1"/>
  <c r="O3056" i="8"/>
  <c r="R3056" i="8" s="1"/>
  <c r="S3056" i="8" s="1"/>
  <c r="R3057" i="8"/>
  <c r="S3057" i="8" s="1"/>
  <c r="O3058" i="8"/>
  <c r="R3058" i="8" s="1"/>
  <c r="S3058" i="8" s="1"/>
  <c r="R3059" i="8"/>
  <c r="S3059" i="8" s="1"/>
  <c r="O3060" i="8"/>
  <c r="R3060" i="8" s="1"/>
  <c r="S3060" i="8" s="1"/>
  <c r="R3061" i="8"/>
  <c r="S3061" i="8" s="1"/>
  <c r="O3062" i="8"/>
  <c r="R3062" i="8" s="1"/>
  <c r="S3062" i="8" s="1"/>
  <c r="R3063" i="8"/>
  <c r="S3063" i="8" s="1"/>
  <c r="R3064" i="8"/>
  <c r="S3064" i="8" s="1"/>
  <c r="O3065" i="8"/>
  <c r="R3065" i="8" s="1"/>
  <c r="S3065" i="8" s="1"/>
  <c r="R3066" i="8"/>
  <c r="S3066" i="8" s="1"/>
  <c r="O3067" i="8"/>
  <c r="R3067" i="8" s="1"/>
  <c r="S3067" i="8" s="1"/>
  <c r="R3068" i="8"/>
  <c r="S3068" i="8" s="1"/>
  <c r="O3069" i="8"/>
  <c r="R3069" i="8" s="1"/>
  <c r="S3069" i="8" s="1"/>
  <c r="R3070" i="8"/>
  <c r="S3070" i="8" s="1"/>
  <c r="O3071" i="8"/>
  <c r="R3071" i="8" s="1"/>
  <c r="S3071" i="8" s="1"/>
  <c r="R3072" i="8"/>
  <c r="S3072" i="8" s="1"/>
  <c r="O3073" i="8"/>
  <c r="R3073" i="8" s="1"/>
  <c r="S3073" i="8" s="1"/>
  <c r="R3074" i="8"/>
  <c r="S3074" i="8" s="1"/>
  <c r="O3075" i="8"/>
  <c r="R3075" i="8" s="1"/>
  <c r="S3075" i="8" s="1"/>
  <c r="R3076" i="8"/>
  <c r="S3076" i="8" s="1"/>
  <c r="O3077" i="8"/>
  <c r="R3077" i="8" s="1"/>
  <c r="S3077" i="8" s="1"/>
  <c r="R3078" i="8"/>
  <c r="S3078" i="8" s="1"/>
  <c r="O3079" i="8"/>
  <c r="R3079" i="8" s="1"/>
  <c r="S3079" i="8" s="1"/>
  <c r="R3080" i="8"/>
  <c r="S3080" i="8" s="1"/>
  <c r="O3081" i="8"/>
  <c r="R3081" i="8" s="1"/>
  <c r="S3081" i="8" s="1"/>
  <c r="R3082" i="8"/>
  <c r="S3082" i="8" s="1"/>
  <c r="O3083" i="8"/>
  <c r="R3083" i="8" s="1"/>
  <c r="S3083" i="8" s="1"/>
  <c r="R3084" i="8"/>
  <c r="S3084" i="8" s="1"/>
  <c r="O3085" i="8"/>
  <c r="R3085" i="8" s="1"/>
  <c r="S3085" i="8" s="1"/>
  <c r="R3086" i="8"/>
  <c r="S3086" i="8" s="1"/>
  <c r="O3087" i="8"/>
  <c r="R3087" i="8" s="1"/>
  <c r="S3087" i="8" s="1"/>
  <c r="R3088" i="8"/>
  <c r="S3088" i="8" s="1"/>
  <c r="O3089" i="8"/>
  <c r="R3089" i="8" s="1"/>
  <c r="S3089" i="8" s="1"/>
  <c r="R3090" i="8"/>
  <c r="S3090" i="8" s="1"/>
  <c r="O3091" i="8"/>
  <c r="R3091" i="8" s="1"/>
  <c r="S3091" i="8" s="1"/>
  <c r="R3092" i="8"/>
  <c r="S3092" i="8" s="1"/>
  <c r="O3093" i="8"/>
  <c r="R3093" i="8" s="1"/>
  <c r="S3093" i="8" s="1"/>
  <c r="R3094" i="8"/>
  <c r="S3094" i="8" s="1"/>
  <c r="O3095" i="8"/>
  <c r="R3095" i="8" s="1"/>
  <c r="S3095" i="8" s="1"/>
  <c r="R3096" i="8"/>
  <c r="S3096" i="8" s="1"/>
  <c r="O3097" i="8"/>
  <c r="R3097" i="8" s="1"/>
  <c r="S3097" i="8" s="1"/>
  <c r="R3098" i="8"/>
  <c r="S3098" i="8" s="1"/>
  <c r="O3099" i="8"/>
  <c r="R3099" i="8" s="1"/>
  <c r="S3099" i="8" s="1"/>
  <c r="R3100" i="8"/>
  <c r="S3100" i="8" s="1"/>
  <c r="O3101" i="8"/>
  <c r="R3101" i="8" s="1"/>
  <c r="S3101" i="8" s="1"/>
  <c r="R3102" i="8"/>
  <c r="S3102" i="8" s="1"/>
  <c r="O3103" i="8"/>
  <c r="R3103" i="8" s="1"/>
  <c r="S3103" i="8" s="1"/>
  <c r="R3104" i="8"/>
  <c r="S3104" i="8" s="1"/>
  <c r="O3105" i="8"/>
  <c r="R3105" i="8" s="1"/>
  <c r="S3105" i="8" s="1"/>
  <c r="R3106" i="8"/>
  <c r="S3106" i="8" s="1"/>
  <c r="O3107" i="8"/>
  <c r="R3107" i="8" s="1"/>
  <c r="S3107" i="8" s="1"/>
  <c r="R3108" i="8"/>
  <c r="S3108" i="8" s="1"/>
  <c r="O3109" i="8"/>
  <c r="R3109" i="8" s="1"/>
  <c r="S3109" i="8" s="1"/>
  <c r="R3110" i="8"/>
  <c r="S3110" i="8" s="1"/>
  <c r="O3111" i="8"/>
  <c r="R3111" i="8" s="1"/>
  <c r="S3111" i="8" s="1"/>
  <c r="R3112" i="8"/>
  <c r="S3112" i="8" s="1"/>
  <c r="O3113" i="8"/>
  <c r="R3113" i="8" s="1"/>
  <c r="S3113" i="8" s="1"/>
  <c r="R3114" i="8"/>
  <c r="S3114" i="8" s="1"/>
  <c r="O3115" i="8"/>
  <c r="R3115" i="8" s="1"/>
  <c r="S3115" i="8" s="1"/>
  <c r="R3116" i="8"/>
  <c r="S3116" i="8" s="1"/>
  <c r="O3117" i="8"/>
  <c r="R3117" i="8" s="1"/>
  <c r="S3117" i="8" s="1"/>
  <c r="R3118" i="8"/>
  <c r="S3118" i="8" s="1"/>
  <c r="O3119" i="8"/>
  <c r="R3119" i="8" s="1"/>
  <c r="S3119" i="8" s="1"/>
  <c r="R3120" i="8"/>
  <c r="S3120" i="8" s="1"/>
  <c r="O3121" i="8"/>
  <c r="R3121" i="8" s="1"/>
  <c r="S3121" i="8" s="1"/>
  <c r="R3122" i="8"/>
  <c r="S3122" i="8" s="1"/>
  <c r="O3123" i="8"/>
  <c r="R3125" i="8"/>
  <c r="S3125" i="8" s="1"/>
  <c r="O3126" i="8"/>
  <c r="R3126" i="8" s="1"/>
  <c r="S3126" i="8" s="1"/>
  <c r="R3127" i="8"/>
  <c r="S3127" i="8" s="1"/>
  <c r="O3128" i="8"/>
  <c r="R3128" i="8" s="1"/>
  <c r="S3128" i="8" s="1"/>
  <c r="R3129" i="8"/>
  <c r="S3129" i="8" s="1"/>
  <c r="O3130" i="8"/>
  <c r="R3130" i="8" s="1"/>
  <c r="S3130" i="8" s="1"/>
  <c r="R3131" i="8"/>
  <c r="S3131" i="8" s="1"/>
  <c r="R3132" i="8"/>
  <c r="S3132" i="8" s="1"/>
  <c r="O3133" i="8"/>
  <c r="R3133" i="8" s="1"/>
  <c r="S3133" i="8" s="1"/>
  <c r="R3134" i="8"/>
  <c r="S3134" i="8" s="1"/>
  <c r="O3135" i="8"/>
  <c r="R3135" i="8" s="1"/>
  <c r="S3135" i="8" s="1"/>
  <c r="R3136" i="8"/>
  <c r="S3136" i="8" s="1"/>
  <c r="O3137" i="8"/>
  <c r="R3139" i="8"/>
  <c r="S3139" i="8" s="1"/>
  <c r="O3140" i="8"/>
  <c r="R3142" i="8"/>
  <c r="S3142" i="8" s="1"/>
  <c r="R3143" i="8"/>
  <c r="S3143" i="8" s="1"/>
  <c r="O3144" i="8"/>
  <c r="R3144" i="8" s="1"/>
  <c r="S3144" i="8" s="1"/>
  <c r="R3145" i="8"/>
  <c r="S3145" i="8" s="1"/>
  <c r="O3146" i="8"/>
  <c r="R3146" i="8" s="1"/>
  <c r="S3146" i="8" s="1"/>
  <c r="R3147" i="8"/>
  <c r="S3147" i="8" s="1"/>
  <c r="O3148" i="8"/>
  <c r="R3148" i="8" s="1"/>
  <c r="S3148" i="8" s="1"/>
  <c r="R3149" i="8"/>
  <c r="S3149" i="8" s="1"/>
  <c r="O3150" i="8"/>
  <c r="R3150" i="8" s="1"/>
  <c r="S3150" i="8" s="1"/>
  <c r="R3151" i="8"/>
  <c r="S3151" i="8" s="1"/>
  <c r="R3152" i="8"/>
  <c r="S3152" i="8" s="1"/>
  <c r="O3153" i="8"/>
  <c r="R3153" i="8" s="1"/>
  <c r="S3153" i="8" s="1"/>
  <c r="R3154" i="8"/>
  <c r="S3154" i="8" s="1"/>
  <c r="O3155" i="8"/>
  <c r="R3155" i="8" s="1"/>
  <c r="S3155" i="8" s="1"/>
  <c r="R3156" i="8"/>
  <c r="S3156" i="8" s="1"/>
  <c r="O3157" i="8"/>
  <c r="R3157" i="8" s="1"/>
  <c r="S3157" i="8" s="1"/>
  <c r="R3158" i="8"/>
  <c r="S3158" i="8" s="1"/>
  <c r="O3159" i="8"/>
  <c r="R3159" i="8" s="1"/>
  <c r="S3159" i="8" s="1"/>
  <c r="R3160" i="8"/>
  <c r="S3160" i="8" s="1"/>
  <c r="O3161" i="8"/>
  <c r="R3161" i="8" s="1"/>
  <c r="S3161" i="8" s="1"/>
  <c r="R3162" i="8"/>
  <c r="S3162" i="8" s="1"/>
  <c r="O3163" i="8"/>
  <c r="R3163" i="8" s="1"/>
  <c r="S3163" i="8" s="1"/>
  <c r="R3164" i="8"/>
  <c r="S3164" i="8" s="1"/>
  <c r="O3165" i="8"/>
  <c r="R3165" i="8" s="1"/>
  <c r="S3165" i="8" s="1"/>
  <c r="W3166" i="8"/>
  <c r="U3166" i="8"/>
  <c r="O3166" i="8"/>
  <c r="R3166" i="8" s="1"/>
  <c r="S3166" i="8" s="1"/>
  <c r="T3166" i="8"/>
  <c r="W3168" i="8"/>
  <c r="M110" i="5" s="1"/>
  <c r="U3168" i="8"/>
  <c r="Q110" i="5" s="1"/>
  <c r="O3168" i="8"/>
  <c r="R3168" i="8" s="1"/>
  <c r="S3168" i="8" s="1"/>
  <c r="T3168" i="8"/>
  <c r="P110" i="5" s="1"/>
  <c r="W3170" i="8"/>
  <c r="U3170" i="8"/>
  <c r="T3170" i="8"/>
  <c r="W3172" i="8"/>
  <c r="U3172" i="8"/>
  <c r="O3172" i="8"/>
  <c r="R3172" i="8" s="1"/>
  <c r="S3172" i="8" s="1"/>
  <c r="T3172" i="8"/>
  <c r="W3174" i="8"/>
  <c r="U3174" i="8"/>
  <c r="O3174" i="8"/>
  <c r="R3174" i="8" s="1"/>
  <c r="S3174" i="8" s="1"/>
  <c r="T3174" i="8"/>
  <c r="W3176" i="8"/>
  <c r="U3176" i="8"/>
  <c r="O3176" i="8"/>
  <c r="R3176" i="8" s="1"/>
  <c r="S3176" i="8" s="1"/>
  <c r="T3176" i="8"/>
  <c r="W3178" i="8"/>
  <c r="U3178" i="8"/>
  <c r="O3178" i="8"/>
  <c r="R3178" i="8" s="1"/>
  <c r="S3178" i="8" s="1"/>
  <c r="T3178" i="8"/>
  <c r="W3180" i="8"/>
  <c r="U3180" i="8"/>
  <c r="O3180" i="8"/>
  <c r="R3180" i="8" s="1"/>
  <c r="S3180" i="8" s="1"/>
  <c r="T3180" i="8"/>
  <c r="W3182" i="8"/>
  <c r="U3182" i="8"/>
  <c r="O3182" i="8"/>
  <c r="R3182" i="8" s="1"/>
  <c r="S3182" i="8" s="1"/>
  <c r="T3182" i="8"/>
  <c r="W3184" i="8"/>
  <c r="U3184" i="8"/>
  <c r="O3184" i="8"/>
  <c r="R3184" i="8" s="1"/>
  <c r="S3184" i="8" s="1"/>
  <c r="T3184" i="8"/>
  <c r="W3186" i="8"/>
  <c r="U3186" i="8"/>
  <c r="T3186" i="8"/>
  <c r="W3188" i="8"/>
  <c r="U3188" i="8"/>
  <c r="T3188" i="8"/>
  <c r="W3190" i="8"/>
  <c r="U3190" i="8"/>
  <c r="T3190" i="8"/>
  <c r="W3192" i="8"/>
  <c r="U3192" i="8"/>
  <c r="T3192" i="8"/>
  <c r="W3194" i="8"/>
  <c r="U3194" i="8"/>
  <c r="T3194" i="8"/>
  <c r="W3196" i="8"/>
  <c r="M111" i="5" s="1"/>
  <c r="U3196" i="8"/>
  <c r="Q111" i="5" s="1"/>
  <c r="O3196" i="8"/>
  <c r="R3196" i="8" s="1"/>
  <c r="S3196" i="8" s="1"/>
  <c r="O111" i="5" s="1"/>
  <c r="T3196" i="8"/>
  <c r="P111" i="5" s="1"/>
  <c r="W3198" i="8"/>
  <c r="U3198" i="8"/>
  <c r="T3198" i="8"/>
  <c r="W3200" i="8"/>
  <c r="U3200" i="8"/>
  <c r="T3200" i="8"/>
  <c r="W3202" i="8"/>
  <c r="U3202" i="8"/>
  <c r="T3202" i="8"/>
  <c r="W3204" i="8"/>
  <c r="U3204" i="8"/>
  <c r="T3204" i="8"/>
  <c r="W3206" i="8"/>
  <c r="U3206" i="8"/>
  <c r="T3206" i="8"/>
  <c r="W3208" i="8"/>
  <c r="U3208" i="8"/>
  <c r="T3208" i="8"/>
  <c r="W3210" i="8"/>
  <c r="U3210" i="8"/>
  <c r="T3210" i="8"/>
  <c r="W3212" i="8"/>
  <c r="U3212" i="8"/>
  <c r="T3212" i="8"/>
  <c r="W3214" i="8"/>
  <c r="U3214" i="8"/>
  <c r="T3214" i="8"/>
  <c r="W3216" i="8"/>
  <c r="U3216" i="8"/>
  <c r="T3216" i="8"/>
  <c r="W3218" i="8"/>
  <c r="U3218" i="8"/>
  <c r="T3218" i="8"/>
  <c r="W3220" i="8"/>
  <c r="U3220" i="8"/>
  <c r="T3220" i="8"/>
  <c r="W3222" i="8"/>
  <c r="U3222" i="8"/>
  <c r="T3222" i="8"/>
  <c r="W3224" i="8"/>
  <c r="U3224" i="8"/>
  <c r="T3224" i="8"/>
  <c r="W3226" i="8"/>
  <c r="U3226" i="8"/>
  <c r="T3226" i="8"/>
  <c r="W3228" i="8"/>
  <c r="U3228" i="8"/>
  <c r="T3228" i="8"/>
  <c r="W3230" i="8"/>
  <c r="U3230" i="8"/>
  <c r="T3230" i="8"/>
  <c r="W3232" i="8"/>
  <c r="U3232" i="8"/>
  <c r="T3232" i="8"/>
  <c r="W3234" i="8"/>
  <c r="U3234" i="8"/>
  <c r="T3234" i="8"/>
  <c r="W3236" i="8"/>
  <c r="U3236" i="8"/>
  <c r="T3236" i="8"/>
  <c r="W3238" i="8"/>
  <c r="U3238" i="8"/>
  <c r="T3238" i="8"/>
  <c r="W3240" i="8"/>
  <c r="U3240" i="8"/>
  <c r="T3240" i="8"/>
  <c r="W3242" i="8"/>
  <c r="U3242" i="8"/>
  <c r="T3242" i="8"/>
  <c r="W3244" i="8"/>
  <c r="U3244" i="8"/>
  <c r="T3244" i="8"/>
  <c r="W3246" i="8"/>
  <c r="U3246" i="8"/>
  <c r="T3246" i="8"/>
  <c r="W3248" i="8"/>
  <c r="U3248" i="8"/>
  <c r="T3248" i="8"/>
  <c r="W3250" i="8"/>
  <c r="U3250" i="8"/>
  <c r="T3250" i="8"/>
  <c r="W3252" i="8"/>
  <c r="U3252" i="8"/>
  <c r="T3252" i="8"/>
  <c r="W3254" i="8"/>
  <c r="U3254" i="8"/>
  <c r="T3254" i="8"/>
  <c r="W3256" i="8"/>
  <c r="U3256" i="8"/>
  <c r="T3256" i="8"/>
  <c r="W3258" i="8"/>
  <c r="U3258" i="8"/>
  <c r="T3258" i="8"/>
  <c r="W3260" i="8"/>
  <c r="U3260" i="8"/>
  <c r="T3260" i="8"/>
  <c r="W3262" i="8"/>
  <c r="U3262" i="8"/>
  <c r="T3262" i="8"/>
  <c r="W3264" i="8"/>
  <c r="U3264" i="8"/>
  <c r="T3264" i="8"/>
  <c r="W3266" i="8"/>
  <c r="U3266" i="8"/>
  <c r="T3266" i="8"/>
  <c r="W3268" i="8"/>
  <c r="U3268" i="8"/>
  <c r="T3268" i="8"/>
  <c r="W3270" i="8"/>
  <c r="U3270" i="8"/>
  <c r="T3270" i="8"/>
  <c r="W3272" i="8"/>
  <c r="U3272" i="8"/>
  <c r="T3272" i="8"/>
  <c r="W3274" i="8"/>
  <c r="U3274" i="8"/>
  <c r="T3274" i="8"/>
  <c r="W3276" i="8"/>
  <c r="U3276" i="8"/>
  <c r="T3276" i="8"/>
  <c r="W3278" i="8"/>
  <c r="U3278" i="8"/>
  <c r="T3278" i="8"/>
  <c r="W3280" i="8"/>
  <c r="U3280" i="8"/>
  <c r="T3280" i="8"/>
  <c r="W3282" i="8"/>
  <c r="U3282" i="8"/>
  <c r="T3282" i="8"/>
  <c r="W3284" i="8"/>
  <c r="U3284" i="8"/>
  <c r="O3284" i="8"/>
  <c r="R3284" i="8" s="1"/>
  <c r="S3284" i="8" s="1"/>
  <c r="T3284" i="8"/>
  <c r="W3286" i="8"/>
  <c r="U3286" i="8"/>
  <c r="O3286" i="8"/>
  <c r="R3286" i="8" s="1"/>
  <c r="S3286" i="8" s="1"/>
  <c r="T3286" i="8"/>
  <c r="W3288" i="8"/>
  <c r="U3288" i="8"/>
  <c r="O3288" i="8"/>
  <c r="R3288" i="8" s="1"/>
  <c r="S3288" i="8" s="1"/>
  <c r="T3288" i="8"/>
  <c r="W3290" i="8"/>
  <c r="U3290" i="8"/>
  <c r="O3290" i="8"/>
  <c r="R3290" i="8" s="1"/>
  <c r="S3290" i="8" s="1"/>
  <c r="T3290" i="8"/>
  <c r="W3292" i="8"/>
  <c r="U3292" i="8"/>
  <c r="O3292" i="8"/>
  <c r="R3292" i="8" s="1"/>
  <c r="S3292" i="8" s="1"/>
  <c r="T3292" i="8"/>
  <c r="W3294" i="8"/>
  <c r="U3294" i="8"/>
  <c r="O3294" i="8"/>
  <c r="R3294" i="8" s="1"/>
  <c r="S3294" i="8" s="1"/>
  <c r="T3294" i="8"/>
  <c r="W3296" i="8"/>
  <c r="U3296" i="8"/>
  <c r="O3296" i="8"/>
  <c r="R3296" i="8" s="1"/>
  <c r="S3296" i="8" s="1"/>
  <c r="T3296" i="8"/>
  <c r="W3298" i="8"/>
  <c r="U3298" i="8"/>
  <c r="T3298" i="8"/>
  <c r="W3300" i="8"/>
  <c r="U3300" i="8"/>
  <c r="T3300" i="8"/>
  <c r="W3302" i="8"/>
  <c r="U3302" i="8"/>
  <c r="T3302" i="8"/>
  <c r="W3304" i="8"/>
  <c r="U3304" i="8"/>
  <c r="T3304" i="8"/>
  <c r="W3306" i="8"/>
  <c r="U3306" i="8"/>
  <c r="O3306" i="8"/>
  <c r="R3306" i="8" s="1"/>
  <c r="S3306" i="8" s="1"/>
  <c r="T3306" i="8"/>
  <c r="W3308" i="8"/>
  <c r="U3308" i="8"/>
  <c r="O3308" i="8"/>
  <c r="R3308" i="8" s="1"/>
  <c r="S3308" i="8" s="1"/>
  <c r="T3308" i="8"/>
  <c r="W3310" i="8"/>
  <c r="U3310" i="8"/>
  <c r="O3310" i="8"/>
  <c r="R3310" i="8" s="1"/>
  <c r="S3310" i="8" s="1"/>
  <c r="T3310" i="8"/>
  <c r="W3312" i="8"/>
  <c r="U3312" i="8"/>
  <c r="O3312" i="8"/>
  <c r="R3312" i="8" s="1"/>
  <c r="S3312" i="8" s="1"/>
  <c r="T3312" i="8"/>
  <c r="W3314" i="8"/>
  <c r="U3314" i="8"/>
  <c r="O3314" i="8"/>
  <c r="R3314" i="8" s="1"/>
  <c r="S3314" i="8" s="1"/>
  <c r="T3314" i="8"/>
  <c r="W3316" i="8"/>
  <c r="U3316" i="8"/>
  <c r="O3316" i="8"/>
  <c r="R3316" i="8" s="1"/>
  <c r="S3316" i="8" s="1"/>
  <c r="T3316" i="8"/>
  <c r="O2481" i="8"/>
  <c r="R2481" i="8" s="1"/>
  <c r="S2481" i="8" s="1"/>
  <c r="U2481" i="8"/>
  <c r="O2482" i="8"/>
  <c r="R2482" i="8" s="1"/>
  <c r="S2482" i="8" s="1"/>
  <c r="U2482" i="8"/>
  <c r="O2483" i="8"/>
  <c r="R2483" i="8" s="1"/>
  <c r="S2483" i="8" s="1"/>
  <c r="U2483" i="8"/>
  <c r="O2484" i="8"/>
  <c r="R2484" i="8" s="1"/>
  <c r="S2484" i="8" s="1"/>
  <c r="U2484" i="8"/>
  <c r="O2485" i="8"/>
  <c r="R2485" i="8" s="1"/>
  <c r="S2485" i="8" s="1"/>
  <c r="U2485" i="8"/>
  <c r="O2486" i="8"/>
  <c r="R2486" i="8" s="1"/>
  <c r="S2486" i="8" s="1"/>
  <c r="U2486" i="8"/>
  <c r="O2487" i="8"/>
  <c r="R2487" i="8" s="1"/>
  <c r="S2487" i="8" s="1"/>
  <c r="U2487" i="8"/>
  <c r="O2488" i="8"/>
  <c r="R2488" i="8" s="1"/>
  <c r="S2488" i="8" s="1"/>
  <c r="U2488" i="8"/>
  <c r="O2489" i="8"/>
  <c r="R2489" i="8" s="1"/>
  <c r="S2489" i="8" s="1"/>
  <c r="U2489" i="8"/>
  <c r="O2490" i="8"/>
  <c r="R2490" i="8" s="1"/>
  <c r="S2490" i="8" s="1"/>
  <c r="U2490" i="8"/>
  <c r="O2491" i="8"/>
  <c r="R2491" i="8" s="1"/>
  <c r="S2491" i="8" s="1"/>
  <c r="U2491" i="8"/>
  <c r="O2492" i="8"/>
  <c r="R2492" i="8" s="1"/>
  <c r="S2492" i="8" s="1"/>
  <c r="U2492" i="8"/>
  <c r="O2493" i="8"/>
  <c r="R2493" i="8" s="1"/>
  <c r="S2493" i="8" s="1"/>
  <c r="U2493" i="8"/>
  <c r="O2494" i="8"/>
  <c r="R2494" i="8" s="1"/>
  <c r="S2494" i="8" s="1"/>
  <c r="U2494" i="8"/>
  <c r="O2495" i="8"/>
  <c r="R2495" i="8" s="1"/>
  <c r="S2495" i="8" s="1"/>
  <c r="U2495" i="8"/>
  <c r="O2496" i="8"/>
  <c r="R2496" i="8" s="1"/>
  <c r="S2496" i="8" s="1"/>
  <c r="U2496" i="8"/>
  <c r="O2497" i="8"/>
  <c r="R2497" i="8" s="1"/>
  <c r="S2497" i="8" s="1"/>
  <c r="U2497" i="8"/>
  <c r="O2498" i="8"/>
  <c r="R2498" i="8" s="1"/>
  <c r="S2498" i="8" s="1"/>
  <c r="U2498" i="8"/>
  <c r="O2499" i="8"/>
  <c r="R2499" i="8" s="1"/>
  <c r="S2499" i="8" s="1"/>
  <c r="U2499" i="8"/>
  <c r="O2500" i="8"/>
  <c r="R2500" i="8" s="1"/>
  <c r="S2500" i="8" s="1"/>
  <c r="U2500" i="8"/>
  <c r="O2501" i="8"/>
  <c r="R2501" i="8" s="1"/>
  <c r="S2501" i="8" s="1"/>
  <c r="U2501" i="8"/>
  <c r="O2502" i="8"/>
  <c r="R2502" i="8" s="1"/>
  <c r="S2502" i="8" s="1"/>
  <c r="U2502" i="8"/>
  <c r="O2503" i="8"/>
  <c r="R2503" i="8" s="1"/>
  <c r="S2503" i="8" s="1"/>
  <c r="U2503" i="8"/>
  <c r="O2504" i="8"/>
  <c r="R2504" i="8" s="1"/>
  <c r="S2504" i="8" s="1"/>
  <c r="U2504" i="8"/>
  <c r="O2505" i="8"/>
  <c r="R2505" i="8" s="1"/>
  <c r="S2505" i="8" s="1"/>
  <c r="U2505" i="8"/>
  <c r="O2506" i="8"/>
  <c r="R2506" i="8" s="1"/>
  <c r="S2506" i="8" s="1"/>
  <c r="U2506" i="8"/>
  <c r="O2507" i="8"/>
  <c r="R2507" i="8" s="1"/>
  <c r="S2507" i="8" s="1"/>
  <c r="U2507" i="8"/>
  <c r="O2508" i="8"/>
  <c r="R2508" i="8" s="1"/>
  <c r="S2508" i="8" s="1"/>
  <c r="U2508" i="8"/>
  <c r="O2509" i="8"/>
  <c r="R2509" i="8" s="1"/>
  <c r="S2509" i="8" s="1"/>
  <c r="U2509" i="8"/>
  <c r="O2510" i="8"/>
  <c r="R2510" i="8" s="1"/>
  <c r="S2510" i="8" s="1"/>
  <c r="U2510" i="8"/>
  <c r="O2511" i="8"/>
  <c r="R2511" i="8" s="1"/>
  <c r="S2511" i="8" s="1"/>
  <c r="U2511" i="8"/>
  <c r="O2512" i="8"/>
  <c r="R2512" i="8" s="1"/>
  <c r="S2512" i="8" s="1"/>
  <c r="U2512" i="8"/>
  <c r="O2513" i="8"/>
  <c r="R2513" i="8" s="1"/>
  <c r="S2513" i="8" s="1"/>
  <c r="U2513" i="8"/>
  <c r="Q15" i="5" s="1"/>
  <c r="D35" i="4" s="1"/>
  <c r="U2514" i="8"/>
  <c r="O2515" i="8"/>
  <c r="R2515" i="8" s="1"/>
  <c r="S2515" i="8" s="1"/>
  <c r="U2515" i="8"/>
  <c r="U2516" i="8"/>
  <c r="O2517" i="8"/>
  <c r="R2517" i="8" s="1"/>
  <c r="S2517" i="8" s="1"/>
  <c r="U2517" i="8"/>
  <c r="U2518" i="8"/>
  <c r="O2519" i="8"/>
  <c r="R2519" i="8" s="1"/>
  <c r="S2519" i="8" s="1"/>
  <c r="U2519" i="8"/>
  <c r="U2520" i="8"/>
  <c r="O2521" i="8"/>
  <c r="R2521" i="8" s="1"/>
  <c r="S2521" i="8" s="1"/>
  <c r="U2521" i="8"/>
  <c r="U2522" i="8"/>
  <c r="O2523" i="8"/>
  <c r="R2523" i="8" s="1"/>
  <c r="S2523" i="8" s="1"/>
  <c r="U2523" i="8"/>
  <c r="U2524" i="8"/>
  <c r="O2525" i="8"/>
  <c r="R2525" i="8" s="1"/>
  <c r="S2525" i="8" s="1"/>
  <c r="U2525" i="8"/>
  <c r="U2526" i="8"/>
  <c r="O2527" i="8"/>
  <c r="R2527" i="8" s="1"/>
  <c r="S2527" i="8" s="1"/>
  <c r="U2527" i="8"/>
  <c r="U2528" i="8"/>
  <c r="O2529" i="8"/>
  <c r="R2529" i="8" s="1"/>
  <c r="S2529" i="8" s="1"/>
  <c r="U2529" i="8"/>
  <c r="U2530" i="8"/>
  <c r="O2531" i="8"/>
  <c r="R2531" i="8" s="1"/>
  <c r="S2531" i="8" s="1"/>
  <c r="U2531" i="8"/>
  <c r="U2532" i="8"/>
  <c r="O2533" i="8"/>
  <c r="R2533" i="8" s="1"/>
  <c r="S2533" i="8" s="1"/>
  <c r="U2533" i="8"/>
  <c r="U2534" i="8"/>
  <c r="O2535" i="8"/>
  <c r="R2535" i="8" s="1"/>
  <c r="S2535" i="8" s="1"/>
  <c r="U2535" i="8"/>
  <c r="U2536" i="8"/>
  <c r="O2537" i="8"/>
  <c r="R2537" i="8" s="1"/>
  <c r="S2537" i="8" s="1"/>
  <c r="U2537" i="8"/>
  <c r="U2538" i="8"/>
  <c r="O2539" i="8"/>
  <c r="R2539" i="8" s="1"/>
  <c r="S2539" i="8" s="1"/>
  <c r="U2539" i="8"/>
  <c r="U2540" i="8"/>
  <c r="O2541" i="8"/>
  <c r="R2541" i="8" s="1"/>
  <c r="S2541" i="8" s="1"/>
  <c r="U2541" i="8"/>
  <c r="U2542" i="8"/>
  <c r="O2543" i="8"/>
  <c r="R2543" i="8" s="1"/>
  <c r="S2543" i="8" s="1"/>
  <c r="U2543" i="8"/>
  <c r="U2544" i="8"/>
  <c r="O2545" i="8"/>
  <c r="R2545" i="8" s="1"/>
  <c r="S2545" i="8" s="1"/>
  <c r="U2545" i="8"/>
  <c r="U2546" i="8"/>
  <c r="O2547" i="8"/>
  <c r="R2547" i="8" s="1"/>
  <c r="S2547" i="8" s="1"/>
  <c r="U2547" i="8"/>
  <c r="U2548" i="8"/>
  <c r="O2549" i="8"/>
  <c r="R2549" i="8" s="1"/>
  <c r="S2549" i="8" s="1"/>
  <c r="U2549" i="8"/>
  <c r="U2550" i="8"/>
  <c r="O2551" i="8"/>
  <c r="R2551" i="8" s="1"/>
  <c r="S2551" i="8" s="1"/>
  <c r="U2551" i="8"/>
  <c r="U2552" i="8"/>
  <c r="O2553" i="8"/>
  <c r="R2553" i="8" s="1"/>
  <c r="S2553" i="8" s="1"/>
  <c r="U2553" i="8"/>
  <c r="U2554" i="8"/>
  <c r="O2555" i="8"/>
  <c r="R2555" i="8" s="1"/>
  <c r="S2555" i="8" s="1"/>
  <c r="U2555" i="8"/>
  <c r="U2556" i="8"/>
  <c r="O2557" i="8"/>
  <c r="R2557" i="8" s="1"/>
  <c r="S2557" i="8" s="1"/>
  <c r="U2557" i="8"/>
  <c r="U2558" i="8"/>
  <c r="O2559" i="8"/>
  <c r="R2559" i="8" s="1"/>
  <c r="S2559" i="8" s="1"/>
  <c r="U2559" i="8"/>
  <c r="Q16" i="5" s="1"/>
  <c r="E35" i="4" s="1"/>
  <c r="U2560" i="8"/>
  <c r="O2561" i="8"/>
  <c r="R2561" i="8" s="1"/>
  <c r="S2561" i="8" s="1"/>
  <c r="U2561" i="8"/>
  <c r="U2562" i="8"/>
  <c r="O2563" i="8"/>
  <c r="R2563" i="8" s="1"/>
  <c r="S2563" i="8" s="1"/>
  <c r="U2563" i="8"/>
  <c r="U2564" i="8"/>
  <c r="O2565" i="8"/>
  <c r="R2565" i="8" s="1"/>
  <c r="S2565" i="8" s="1"/>
  <c r="U2565" i="8"/>
  <c r="U2566" i="8"/>
  <c r="O2567" i="8"/>
  <c r="R2567" i="8" s="1"/>
  <c r="S2567" i="8" s="1"/>
  <c r="U2567" i="8"/>
  <c r="U2568" i="8"/>
  <c r="O2569" i="8"/>
  <c r="R2569" i="8" s="1"/>
  <c r="S2569" i="8" s="1"/>
  <c r="U2569" i="8"/>
  <c r="U2570" i="8"/>
  <c r="O2571" i="8"/>
  <c r="R2571" i="8" s="1"/>
  <c r="S2571" i="8" s="1"/>
  <c r="U2571" i="8"/>
  <c r="U2572" i="8"/>
  <c r="O2573" i="8"/>
  <c r="R2573" i="8" s="1"/>
  <c r="S2573" i="8" s="1"/>
  <c r="U2573" i="8"/>
  <c r="U2574" i="8"/>
  <c r="O2575" i="8"/>
  <c r="R2575" i="8" s="1"/>
  <c r="S2575" i="8" s="1"/>
  <c r="U2575" i="8"/>
  <c r="U2576" i="8"/>
  <c r="O2577" i="8"/>
  <c r="R2577" i="8" s="1"/>
  <c r="S2577" i="8" s="1"/>
  <c r="U2577" i="8"/>
  <c r="U2578" i="8"/>
  <c r="O2579" i="8"/>
  <c r="R2579" i="8" s="1"/>
  <c r="S2579" i="8" s="1"/>
  <c r="U2579" i="8"/>
  <c r="U2580" i="8"/>
  <c r="O2581" i="8"/>
  <c r="R2581" i="8" s="1"/>
  <c r="S2581" i="8" s="1"/>
  <c r="U2581" i="8"/>
  <c r="U2582" i="8"/>
  <c r="O2583" i="8"/>
  <c r="R2583" i="8" s="1"/>
  <c r="S2583" i="8" s="1"/>
  <c r="U2583" i="8"/>
  <c r="U2584" i="8"/>
  <c r="O2585" i="8"/>
  <c r="R2585" i="8" s="1"/>
  <c r="S2585" i="8" s="1"/>
  <c r="U2585" i="8"/>
  <c r="U2586" i="8"/>
  <c r="O2587" i="8"/>
  <c r="R2587" i="8" s="1"/>
  <c r="S2587" i="8" s="1"/>
  <c r="U2587" i="8"/>
  <c r="U2588" i="8"/>
  <c r="O2589" i="8"/>
  <c r="R2589" i="8" s="1"/>
  <c r="S2589" i="8" s="1"/>
  <c r="U2589" i="8"/>
  <c r="U2590" i="8"/>
  <c r="O2591" i="8"/>
  <c r="R2591" i="8" s="1"/>
  <c r="S2591" i="8" s="1"/>
  <c r="U2591" i="8"/>
  <c r="U2592" i="8"/>
  <c r="O2593" i="8"/>
  <c r="R2593" i="8" s="1"/>
  <c r="S2593" i="8" s="1"/>
  <c r="U2593" i="8"/>
  <c r="U2594" i="8"/>
  <c r="O2595" i="8"/>
  <c r="R2595" i="8" s="1"/>
  <c r="S2595" i="8" s="1"/>
  <c r="U2595" i="8"/>
  <c r="U2596" i="8"/>
  <c r="O2597" i="8"/>
  <c r="R2597" i="8" s="1"/>
  <c r="S2597" i="8" s="1"/>
  <c r="U2597" i="8"/>
  <c r="Q17" i="5" s="1"/>
  <c r="F35" i="4" s="1"/>
  <c r="U2598" i="8"/>
  <c r="O2599" i="8"/>
  <c r="R2599" i="8" s="1"/>
  <c r="S2599" i="8" s="1"/>
  <c r="U2599" i="8"/>
  <c r="U2600" i="8"/>
  <c r="O2601" i="8"/>
  <c r="R2601" i="8" s="1"/>
  <c r="S2601" i="8" s="1"/>
  <c r="U2601" i="8"/>
  <c r="U2602" i="8"/>
  <c r="O2603" i="8"/>
  <c r="R2603" i="8" s="1"/>
  <c r="S2603" i="8" s="1"/>
  <c r="U2603" i="8"/>
  <c r="O2604" i="8"/>
  <c r="R2604" i="8" s="1"/>
  <c r="S2604" i="8" s="1"/>
  <c r="U2604" i="8"/>
  <c r="O2605" i="8"/>
  <c r="R2605" i="8" s="1"/>
  <c r="S2605" i="8" s="1"/>
  <c r="U2605" i="8"/>
  <c r="O2606" i="8"/>
  <c r="R2606" i="8" s="1"/>
  <c r="S2606" i="8" s="1"/>
  <c r="U2606" i="8"/>
  <c r="O2607" i="8"/>
  <c r="R2607" i="8" s="1"/>
  <c r="S2607" i="8" s="1"/>
  <c r="U2607" i="8"/>
  <c r="O2608" i="8"/>
  <c r="R2608" i="8" s="1"/>
  <c r="S2608" i="8" s="1"/>
  <c r="U2608" i="8"/>
  <c r="O2609" i="8"/>
  <c r="R2609" i="8" s="1"/>
  <c r="S2609" i="8" s="1"/>
  <c r="U2609" i="8"/>
  <c r="O2610" i="8"/>
  <c r="R2610" i="8" s="1"/>
  <c r="S2610" i="8" s="1"/>
  <c r="U2610" i="8"/>
  <c r="O2611" i="8"/>
  <c r="R2611" i="8" s="1"/>
  <c r="S2611" i="8" s="1"/>
  <c r="U2611" i="8"/>
  <c r="U2612" i="8"/>
  <c r="O2613" i="8"/>
  <c r="R2613" i="8" s="1"/>
  <c r="S2613" i="8" s="1"/>
  <c r="U2613" i="8"/>
  <c r="U2614" i="8"/>
  <c r="O2615" i="8"/>
  <c r="R2615" i="8" s="1"/>
  <c r="S2615" i="8" s="1"/>
  <c r="U2615" i="8"/>
  <c r="U2616" i="8"/>
  <c r="O2617" i="8"/>
  <c r="R2617" i="8" s="1"/>
  <c r="S2617" i="8" s="1"/>
  <c r="U2617" i="8"/>
  <c r="U2618" i="8"/>
  <c r="O2619" i="8"/>
  <c r="R2619" i="8" s="1"/>
  <c r="S2619" i="8" s="1"/>
  <c r="U2619" i="8"/>
  <c r="U2620" i="8"/>
  <c r="O2621" i="8"/>
  <c r="R2621" i="8" s="1"/>
  <c r="S2621" i="8" s="1"/>
  <c r="U2621" i="8"/>
  <c r="U2622" i="8"/>
  <c r="O2623" i="8"/>
  <c r="R2623" i="8" s="1"/>
  <c r="S2623" i="8" s="1"/>
  <c r="U2623" i="8"/>
  <c r="U2624" i="8"/>
  <c r="O2625" i="8"/>
  <c r="R2625" i="8" s="1"/>
  <c r="S2625" i="8" s="1"/>
  <c r="U2625" i="8"/>
  <c r="U2626" i="8"/>
  <c r="O2627" i="8"/>
  <c r="R2627" i="8" s="1"/>
  <c r="S2627" i="8" s="1"/>
  <c r="U2627" i="8"/>
  <c r="T2628" i="8"/>
  <c r="T2629" i="8"/>
  <c r="T2630" i="8"/>
  <c r="T2631" i="8"/>
  <c r="T2632" i="8"/>
  <c r="T2633" i="8"/>
  <c r="T2634" i="8"/>
  <c r="T2635" i="8"/>
  <c r="T2636" i="8"/>
  <c r="T2637" i="8"/>
  <c r="T2638" i="8"/>
  <c r="T2639" i="8"/>
  <c r="T2640" i="8"/>
  <c r="T2641" i="8"/>
  <c r="T2642" i="8"/>
  <c r="T2643" i="8"/>
  <c r="T2644" i="8"/>
  <c r="T2645" i="8"/>
  <c r="T2646" i="8"/>
  <c r="T2647" i="8"/>
  <c r="T2648" i="8"/>
  <c r="T2649" i="8"/>
  <c r="T2650" i="8"/>
  <c r="T2651" i="8"/>
  <c r="T2652" i="8"/>
  <c r="T2653" i="8"/>
  <c r="T2654" i="8"/>
  <c r="T2655" i="8"/>
  <c r="T2656" i="8"/>
  <c r="T2657" i="8"/>
  <c r="T2658" i="8"/>
  <c r="T2659" i="8"/>
  <c r="T2660" i="8"/>
  <c r="T2661" i="8"/>
  <c r="T2662" i="8"/>
  <c r="T2663" i="8"/>
  <c r="T2664" i="8"/>
  <c r="T2665" i="8"/>
  <c r="T2666" i="8"/>
  <c r="T2667" i="8"/>
  <c r="T2668" i="8"/>
  <c r="T2669" i="8"/>
  <c r="T2670" i="8"/>
  <c r="T2671" i="8"/>
  <c r="T2672" i="8"/>
  <c r="T2673" i="8"/>
  <c r="T2674" i="8"/>
  <c r="T2675" i="8"/>
  <c r="T2676" i="8"/>
  <c r="T2677" i="8"/>
  <c r="T2678" i="8"/>
  <c r="T2679" i="8"/>
  <c r="T2680" i="8"/>
  <c r="T2681" i="8"/>
  <c r="T2682" i="8"/>
  <c r="T2683" i="8"/>
  <c r="T2684" i="8"/>
  <c r="T2685" i="8"/>
  <c r="T2686" i="8"/>
  <c r="T2687" i="8"/>
  <c r="T2688" i="8"/>
  <c r="T2689" i="8"/>
  <c r="T2690" i="8"/>
  <c r="T2691" i="8"/>
  <c r="T2692" i="8"/>
  <c r="T2693" i="8"/>
  <c r="T2694" i="8"/>
  <c r="T2695" i="8"/>
  <c r="T2696" i="8"/>
  <c r="T2697" i="8"/>
  <c r="T2698" i="8"/>
  <c r="T2699" i="8"/>
  <c r="T2700" i="8"/>
  <c r="T2701" i="8"/>
  <c r="T2702" i="8"/>
  <c r="T2703" i="8"/>
  <c r="T2704" i="8"/>
  <c r="T2705" i="8"/>
  <c r="T2706" i="8"/>
  <c r="T2707" i="8"/>
  <c r="T2708" i="8"/>
  <c r="T2709" i="8"/>
  <c r="T2710" i="8"/>
  <c r="T2711" i="8"/>
  <c r="T2712" i="8"/>
  <c r="T2713" i="8"/>
  <c r="T2714" i="8"/>
  <c r="T2715" i="8"/>
  <c r="T2716" i="8"/>
  <c r="T2717" i="8"/>
  <c r="T2718" i="8"/>
  <c r="T2719" i="8"/>
  <c r="T2720" i="8"/>
  <c r="T2721" i="8"/>
  <c r="T2722" i="8"/>
  <c r="T2723" i="8"/>
  <c r="T2724" i="8"/>
  <c r="T2725" i="8"/>
  <c r="T2726" i="8"/>
  <c r="T2727" i="8"/>
  <c r="T2728" i="8"/>
  <c r="T2729" i="8"/>
  <c r="T2730" i="8"/>
  <c r="T2731" i="8"/>
  <c r="T2732" i="8"/>
  <c r="T2733" i="8"/>
  <c r="T2734" i="8"/>
  <c r="T2735" i="8"/>
  <c r="T2736" i="8"/>
  <c r="T2737" i="8"/>
  <c r="T2738" i="8"/>
  <c r="T2739" i="8"/>
  <c r="T2740" i="8"/>
  <c r="T2741" i="8"/>
  <c r="T2742" i="8"/>
  <c r="T2743" i="8"/>
  <c r="P42" i="5" s="1"/>
  <c r="T2744" i="8"/>
  <c r="T2745" i="8"/>
  <c r="T2746" i="8"/>
  <c r="T2747" i="8"/>
  <c r="T2748" i="8"/>
  <c r="T2749" i="8"/>
  <c r="T2750" i="8"/>
  <c r="T2751" i="8"/>
  <c r="T2752" i="8"/>
  <c r="T2753" i="8"/>
  <c r="T2754" i="8"/>
  <c r="T2755" i="8"/>
  <c r="T2756" i="8"/>
  <c r="T2757" i="8"/>
  <c r="T2758" i="8"/>
  <c r="T2759" i="8"/>
  <c r="T2760" i="8"/>
  <c r="T2761" i="8"/>
  <c r="T2762" i="8"/>
  <c r="T2763" i="8"/>
  <c r="T2764" i="8"/>
  <c r="T2765" i="8"/>
  <c r="T2766" i="8"/>
  <c r="T2767" i="8"/>
  <c r="T2768" i="8"/>
  <c r="T2769" i="8"/>
  <c r="T2770" i="8"/>
  <c r="T2771" i="8"/>
  <c r="T2772" i="8"/>
  <c r="T2773" i="8"/>
  <c r="P43" i="5" s="1"/>
  <c r="T2774" i="8"/>
  <c r="P66" i="5" s="1"/>
  <c r="T2775" i="8"/>
  <c r="T2776" i="8"/>
  <c r="T2777" i="8"/>
  <c r="T2778" i="8"/>
  <c r="T2779" i="8"/>
  <c r="T2780" i="8"/>
  <c r="T2781" i="8"/>
  <c r="T2782" i="8"/>
  <c r="T2783" i="8"/>
  <c r="T2784" i="8"/>
  <c r="T2785" i="8"/>
  <c r="T2786" i="8"/>
  <c r="T2787" i="8"/>
  <c r="T2788" i="8"/>
  <c r="T2789" i="8"/>
  <c r="T2790" i="8"/>
  <c r="T2791" i="8"/>
  <c r="T2792" i="8"/>
  <c r="T2793" i="8"/>
  <c r="T2794" i="8"/>
  <c r="T2795" i="8"/>
  <c r="T2796" i="8"/>
  <c r="T2797" i="8"/>
  <c r="T2798" i="8"/>
  <c r="T2799" i="8"/>
  <c r="T2800" i="8"/>
  <c r="T2801" i="8"/>
  <c r="P67" i="5" s="1"/>
  <c r="T2802" i="8"/>
  <c r="T2803" i="8"/>
  <c r="T2804" i="8"/>
  <c r="T2805" i="8"/>
  <c r="T2806" i="8"/>
  <c r="T2807" i="8"/>
  <c r="T2808" i="8"/>
  <c r="T2809" i="8"/>
  <c r="T2810" i="8"/>
  <c r="T2811" i="8"/>
  <c r="T2812" i="8"/>
  <c r="T2813" i="8"/>
  <c r="T2814" i="8"/>
  <c r="T2815" i="8"/>
  <c r="T2816" i="8"/>
  <c r="T2817" i="8"/>
  <c r="T2818" i="8"/>
  <c r="T2819" i="8"/>
  <c r="T2820" i="8"/>
  <c r="T2821" i="8"/>
  <c r="T2822" i="8"/>
  <c r="T2823" i="8"/>
  <c r="T2824" i="8"/>
  <c r="T2825" i="8"/>
  <c r="T2826" i="8"/>
  <c r="T2827" i="8"/>
  <c r="T2828" i="8"/>
  <c r="T2829" i="8"/>
  <c r="T2830" i="8"/>
  <c r="T2831" i="8"/>
  <c r="T2832" i="8"/>
  <c r="T2833" i="8"/>
  <c r="T2834" i="8"/>
  <c r="T2835" i="8"/>
  <c r="T2836" i="8"/>
  <c r="P68" i="5" s="1"/>
  <c r="T2837" i="8"/>
  <c r="T2838" i="8"/>
  <c r="T2839" i="8"/>
  <c r="T2840" i="8"/>
  <c r="T2841" i="8"/>
  <c r="T2842" i="8"/>
  <c r="T2843" i="8"/>
  <c r="T2844" i="8"/>
  <c r="T2845" i="8"/>
  <c r="T2846" i="8"/>
  <c r="T2847" i="8"/>
  <c r="T2848" i="8"/>
  <c r="T2849" i="8"/>
  <c r="T2850" i="8"/>
  <c r="T2851" i="8"/>
  <c r="T2852" i="8"/>
  <c r="T2853" i="8"/>
  <c r="T2854" i="8"/>
  <c r="T2855" i="8"/>
  <c r="T2856" i="8"/>
  <c r="T2857" i="8"/>
  <c r="T2858" i="8"/>
  <c r="T2859" i="8"/>
  <c r="T2860" i="8"/>
  <c r="T2861" i="8"/>
  <c r="T2862" i="8"/>
  <c r="T2863" i="8"/>
  <c r="T2864" i="8"/>
  <c r="T2865" i="8"/>
  <c r="T2866" i="8"/>
  <c r="T2867" i="8"/>
  <c r="T2868" i="8"/>
  <c r="T2869" i="8"/>
  <c r="T2870" i="8"/>
  <c r="T2871" i="8"/>
  <c r="T2872" i="8"/>
  <c r="T2873" i="8"/>
  <c r="P69" i="5" s="1"/>
  <c r="T2874" i="8"/>
  <c r="T2875" i="8"/>
  <c r="T2876" i="8"/>
  <c r="T2877" i="8"/>
  <c r="T2878" i="8"/>
  <c r="T2879" i="8"/>
  <c r="T2880" i="8"/>
  <c r="T2881" i="8"/>
  <c r="T2882" i="8"/>
  <c r="T2883" i="8"/>
  <c r="T2884" i="8"/>
  <c r="T2885" i="8"/>
  <c r="T2886" i="8"/>
  <c r="T2887" i="8"/>
  <c r="T2888" i="8"/>
  <c r="T2889" i="8"/>
  <c r="T2890" i="8"/>
  <c r="T2891" i="8"/>
  <c r="T2892" i="8"/>
  <c r="T2893" i="8"/>
  <c r="T2894" i="8"/>
  <c r="T2895" i="8"/>
  <c r="T2896" i="8"/>
  <c r="T2897" i="8"/>
  <c r="T2898" i="8"/>
  <c r="T2899" i="8"/>
  <c r="T2900" i="8"/>
  <c r="T2901" i="8"/>
  <c r="T2902" i="8"/>
  <c r="T2903" i="8"/>
  <c r="T2904" i="8"/>
  <c r="T2905" i="8"/>
  <c r="T2906" i="8"/>
  <c r="T2907" i="8"/>
  <c r="T2908" i="8"/>
  <c r="P30" i="5" s="1"/>
  <c r="P88" i="1" s="1"/>
  <c r="I5" i="1" s="1"/>
  <c r="T2909" i="8"/>
  <c r="T2910" i="8"/>
  <c r="T2911" i="8"/>
  <c r="T2912" i="8"/>
  <c r="T2913" i="8"/>
  <c r="T2914" i="8"/>
  <c r="T2915" i="8"/>
  <c r="T2916" i="8"/>
  <c r="T2917" i="8"/>
  <c r="T2918" i="8"/>
  <c r="T2919" i="8"/>
  <c r="T2920" i="8"/>
  <c r="T2921" i="8"/>
  <c r="T2922" i="8"/>
  <c r="T2923" i="8"/>
  <c r="T2924" i="8"/>
  <c r="T2925" i="8"/>
  <c r="T2926" i="8"/>
  <c r="T2927" i="8"/>
  <c r="T2928" i="8"/>
  <c r="T2929" i="8"/>
  <c r="T2930" i="8"/>
  <c r="T2931" i="8"/>
  <c r="T2932" i="8"/>
  <c r="T2933" i="8"/>
  <c r="T2934" i="8"/>
  <c r="T2935" i="8"/>
  <c r="T2936" i="8"/>
  <c r="T2937" i="8"/>
  <c r="P31" i="5" s="1"/>
  <c r="T2938" i="8"/>
  <c r="T2939" i="8"/>
  <c r="T2940" i="8"/>
  <c r="T2941" i="8"/>
  <c r="T2942" i="8"/>
  <c r="T2943" i="8"/>
  <c r="T2944" i="8"/>
  <c r="T2945" i="8"/>
  <c r="T2946" i="8"/>
  <c r="T2947" i="8"/>
  <c r="T2948" i="8"/>
  <c r="T2949" i="8"/>
  <c r="W3167" i="8"/>
  <c r="U3167" i="8"/>
  <c r="O3167" i="8"/>
  <c r="R3167" i="8" s="1"/>
  <c r="S3167" i="8" s="1"/>
  <c r="T3167" i="8"/>
  <c r="W3169" i="8"/>
  <c r="U3169" i="8"/>
  <c r="O3169" i="8"/>
  <c r="R3169" i="8" s="1"/>
  <c r="S3169" i="8" s="1"/>
  <c r="T3169" i="8"/>
  <c r="W3171" i="8"/>
  <c r="U3171" i="8"/>
  <c r="O3171" i="8"/>
  <c r="R3171" i="8" s="1"/>
  <c r="S3171" i="8" s="1"/>
  <c r="T3171" i="8"/>
  <c r="W3173" i="8"/>
  <c r="U3173" i="8"/>
  <c r="O3173" i="8"/>
  <c r="R3173" i="8" s="1"/>
  <c r="S3173" i="8" s="1"/>
  <c r="T3173" i="8"/>
  <c r="W3175" i="8"/>
  <c r="U3175" i="8"/>
  <c r="O3175" i="8"/>
  <c r="R3175" i="8" s="1"/>
  <c r="S3175" i="8" s="1"/>
  <c r="T3175" i="8"/>
  <c r="W3177" i="8"/>
  <c r="U3177" i="8"/>
  <c r="O3177" i="8"/>
  <c r="R3177" i="8" s="1"/>
  <c r="S3177" i="8" s="1"/>
  <c r="T3177" i="8"/>
  <c r="W3179" i="8"/>
  <c r="U3179" i="8"/>
  <c r="O3179" i="8"/>
  <c r="R3179" i="8" s="1"/>
  <c r="S3179" i="8" s="1"/>
  <c r="T3179" i="8"/>
  <c r="W3181" i="8"/>
  <c r="U3181" i="8"/>
  <c r="O3181" i="8"/>
  <c r="R3181" i="8" s="1"/>
  <c r="S3181" i="8" s="1"/>
  <c r="T3181" i="8"/>
  <c r="W3183" i="8"/>
  <c r="U3183" i="8"/>
  <c r="O3183" i="8"/>
  <c r="R3183" i="8" s="1"/>
  <c r="S3183" i="8" s="1"/>
  <c r="T3183" i="8"/>
  <c r="W3185" i="8"/>
  <c r="U3185" i="8"/>
  <c r="O3185" i="8"/>
  <c r="R3185" i="8" s="1"/>
  <c r="S3185" i="8" s="1"/>
  <c r="T3185" i="8"/>
  <c r="W3187" i="8"/>
  <c r="U3187" i="8"/>
  <c r="O3187" i="8"/>
  <c r="R3187" i="8" s="1"/>
  <c r="S3187" i="8" s="1"/>
  <c r="T3187" i="8"/>
  <c r="W3189" i="8"/>
  <c r="U3189" i="8"/>
  <c r="O3189" i="8"/>
  <c r="R3189" i="8" s="1"/>
  <c r="S3189" i="8" s="1"/>
  <c r="T3189" i="8"/>
  <c r="W3191" i="8"/>
  <c r="U3191" i="8"/>
  <c r="O3191" i="8"/>
  <c r="R3191" i="8" s="1"/>
  <c r="S3191" i="8" s="1"/>
  <c r="T3191" i="8"/>
  <c r="W3193" i="8"/>
  <c r="U3193" i="8"/>
  <c r="O3193" i="8"/>
  <c r="R3193" i="8" s="1"/>
  <c r="S3193" i="8" s="1"/>
  <c r="T3193" i="8"/>
  <c r="W3195" i="8"/>
  <c r="U3195" i="8"/>
  <c r="O3195" i="8"/>
  <c r="R3195" i="8" s="1"/>
  <c r="S3195" i="8" s="1"/>
  <c r="T3195" i="8"/>
  <c r="W3197" i="8"/>
  <c r="U3197" i="8"/>
  <c r="O3197" i="8"/>
  <c r="R3197" i="8" s="1"/>
  <c r="S3197" i="8" s="1"/>
  <c r="T3197" i="8"/>
  <c r="W3199" i="8"/>
  <c r="U3199" i="8"/>
  <c r="O3199" i="8"/>
  <c r="R3199" i="8" s="1"/>
  <c r="S3199" i="8" s="1"/>
  <c r="T3199" i="8"/>
  <c r="W3201" i="8"/>
  <c r="U3201" i="8"/>
  <c r="O3201" i="8"/>
  <c r="R3201" i="8" s="1"/>
  <c r="S3201" i="8" s="1"/>
  <c r="T3201" i="8"/>
  <c r="W3203" i="8"/>
  <c r="U3203" i="8"/>
  <c r="O3203" i="8"/>
  <c r="R3203" i="8" s="1"/>
  <c r="S3203" i="8" s="1"/>
  <c r="T3203" i="8"/>
  <c r="W3205" i="8"/>
  <c r="U3205" i="8"/>
  <c r="O3205" i="8"/>
  <c r="R3205" i="8" s="1"/>
  <c r="S3205" i="8" s="1"/>
  <c r="T3205" i="8"/>
  <c r="W3207" i="8"/>
  <c r="U3207" i="8"/>
  <c r="O3207" i="8"/>
  <c r="R3207" i="8" s="1"/>
  <c r="S3207" i="8" s="1"/>
  <c r="T3207" i="8"/>
  <c r="W3209" i="8"/>
  <c r="U3209" i="8"/>
  <c r="O3209" i="8"/>
  <c r="R3209" i="8" s="1"/>
  <c r="S3209" i="8" s="1"/>
  <c r="T3209" i="8"/>
  <c r="W3211" i="8"/>
  <c r="U3211" i="8"/>
  <c r="O3211" i="8"/>
  <c r="R3211" i="8" s="1"/>
  <c r="S3211" i="8" s="1"/>
  <c r="T3211" i="8"/>
  <c r="W3213" i="8"/>
  <c r="U3213" i="8"/>
  <c r="O3213" i="8"/>
  <c r="R3213" i="8" s="1"/>
  <c r="S3213" i="8" s="1"/>
  <c r="T3213" i="8"/>
  <c r="W3215" i="8"/>
  <c r="U3215" i="8"/>
  <c r="O3215" i="8"/>
  <c r="R3215" i="8" s="1"/>
  <c r="S3215" i="8" s="1"/>
  <c r="T3215" i="8"/>
  <c r="W3217" i="8"/>
  <c r="U3217" i="8"/>
  <c r="O3217" i="8"/>
  <c r="R3217" i="8" s="1"/>
  <c r="S3217" i="8" s="1"/>
  <c r="T3217" i="8"/>
  <c r="W3219" i="8"/>
  <c r="U3219" i="8"/>
  <c r="O3219" i="8"/>
  <c r="R3219" i="8" s="1"/>
  <c r="S3219" i="8" s="1"/>
  <c r="T3219" i="8"/>
  <c r="W3221" i="8"/>
  <c r="U3221" i="8"/>
  <c r="O3221" i="8"/>
  <c r="R3221" i="8" s="1"/>
  <c r="S3221" i="8" s="1"/>
  <c r="T3221" i="8"/>
  <c r="W3223" i="8"/>
  <c r="U3223" i="8"/>
  <c r="O3223" i="8"/>
  <c r="R3223" i="8" s="1"/>
  <c r="S3223" i="8" s="1"/>
  <c r="T3223" i="8"/>
  <c r="W3225" i="8"/>
  <c r="U3225" i="8"/>
  <c r="O3225" i="8"/>
  <c r="R3225" i="8" s="1"/>
  <c r="S3225" i="8" s="1"/>
  <c r="T3225" i="8"/>
  <c r="W3227" i="8"/>
  <c r="U3227" i="8"/>
  <c r="O3227" i="8"/>
  <c r="R3227" i="8" s="1"/>
  <c r="S3227" i="8" s="1"/>
  <c r="T3227" i="8"/>
  <c r="W3229" i="8"/>
  <c r="U3229" i="8"/>
  <c r="O3229" i="8"/>
  <c r="R3229" i="8" s="1"/>
  <c r="S3229" i="8" s="1"/>
  <c r="T3229" i="8"/>
  <c r="W3231" i="8"/>
  <c r="U3231" i="8"/>
  <c r="O3231" i="8"/>
  <c r="R3231" i="8" s="1"/>
  <c r="S3231" i="8" s="1"/>
  <c r="T3231" i="8"/>
  <c r="W3233" i="8"/>
  <c r="U3233" i="8"/>
  <c r="O3233" i="8"/>
  <c r="R3233" i="8" s="1"/>
  <c r="S3233" i="8" s="1"/>
  <c r="T3233" i="8"/>
  <c r="W3235" i="8"/>
  <c r="U3235" i="8"/>
  <c r="O3235" i="8"/>
  <c r="R3235" i="8" s="1"/>
  <c r="S3235" i="8" s="1"/>
  <c r="T3235" i="8"/>
  <c r="W3237" i="8"/>
  <c r="U3237" i="8"/>
  <c r="O3237" i="8"/>
  <c r="R3237" i="8" s="1"/>
  <c r="S3237" i="8" s="1"/>
  <c r="T3237" i="8"/>
  <c r="W3239" i="8"/>
  <c r="U3239" i="8"/>
  <c r="O3239" i="8"/>
  <c r="R3239" i="8" s="1"/>
  <c r="S3239" i="8" s="1"/>
  <c r="T3239" i="8"/>
  <c r="W3241" i="8"/>
  <c r="U3241" i="8"/>
  <c r="O3241" i="8"/>
  <c r="R3241" i="8" s="1"/>
  <c r="S3241" i="8" s="1"/>
  <c r="T3241" i="8"/>
  <c r="W3243" i="8"/>
  <c r="U3243" i="8"/>
  <c r="O3243" i="8"/>
  <c r="R3243" i="8" s="1"/>
  <c r="S3243" i="8" s="1"/>
  <c r="T3243" i="8"/>
  <c r="W3245" i="8"/>
  <c r="U3245" i="8"/>
  <c r="O3245" i="8"/>
  <c r="R3245" i="8" s="1"/>
  <c r="S3245" i="8" s="1"/>
  <c r="T3245" i="8"/>
  <c r="W3247" i="8"/>
  <c r="U3247" i="8"/>
  <c r="O3247" i="8"/>
  <c r="R3247" i="8" s="1"/>
  <c r="S3247" i="8" s="1"/>
  <c r="T3247" i="8"/>
  <c r="W3249" i="8"/>
  <c r="U3249" i="8"/>
  <c r="O3249" i="8"/>
  <c r="R3249" i="8" s="1"/>
  <c r="S3249" i="8" s="1"/>
  <c r="T3249" i="8"/>
  <c r="W3251" i="8"/>
  <c r="U3251" i="8"/>
  <c r="O3251" i="8"/>
  <c r="R3251" i="8" s="1"/>
  <c r="S3251" i="8" s="1"/>
  <c r="T3251" i="8"/>
  <c r="W3253" i="8"/>
  <c r="U3253" i="8"/>
  <c r="O3253" i="8"/>
  <c r="R3253" i="8" s="1"/>
  <c r="S3253" i="8" s="1"/>
  <c r="T3253" i="8"/>
  <c r="W3255" i="8"/>
  <c r="U3255" i="8"/>
  <c r="O3255" i="8"/>
  <c r="R3255" i="8" s="1"/>
  <c r="S3255" i="8" s="1"/>
  <c r="T3255" i="8"/>
  <c r="W3257" i="8"/>
  <c r="U3257" i="8"/>
  <c r="O3257" i="8"/>
  <c r="R3257" i="8" s="1"/>
  <c r="S3257" i="8" s="1"/>
  <c r="T3257" i="8"/>
  <c r="W3259" i="8"/>
  <c r="U3259" i="8"/>
  <c r="O3259" i="8"/>
  <c r="R3259" i="8" s="1"/>
  <c r="S3259" i="8" s="1"/>
  <c r="T3259" i="8"/>
  <c r="W3261" i="8"/>
  <c r="U3261" i="8"/>
  <c r="O3261" i="8"/>
  <c r="R3261" i="8" s="1"/>
  <c r="S3261" i="8" s="1"/>
  <c r="T3261" i="8"/>
  <c r="W3263" i="8"/>
  <c r="U3263" i="8"/>
  <c r="O3263" i="8"/>
  <c r="R3263" i="8" s="1"/>
  <c r="S3263" i="8" s="1"/>
  <c r="T3263" i="8"/>
  <c r="W3265" i="8"/>
  <c r="U3265" i="8"/>
  <c r="O3265" i="8"/>
  <c r="R3265" i="8" s="1"/>
  <c r="S3265" i="8" s="1"/>
  <c r="T3265" i="8"/>
  <c r="W3267" i="8"/>
  <c r="U3267" i="8"/>
  <c r="O3267" i="8"/>
  <c r="R3267" i="8" s="1"/>
  <c r="S3267" i="8" s="1"/>
  <c r="T3267" i="8"/>
  <c r="W3269" i="8"/>
  <c r="U3269" i="8"/>
  <c r="O3269" i="8"/>
  <c r="R3269" i="8" s="1"/>
  <c r="S3269" i="8" s="1"/>
  <c r="T3269" i="8"/>
  <c r="W3271" i="8"/>
  <c r="U3271" i="8"/>
  <c r="O3271" i="8"/>
  <c r="R3271" i="8" s="1"/>
  <c r="S3271" i="8" s="1"/>
  <c r="T3271" i="8"/>
  <c r="W3273" i="8"/>
  <c r="U3273" i="8"/>
  <c r="O3273" i="8"/>
  <c r="R3273" i="8" s="1"/>
  <c r="S3273" i="8" s="1"/>
  <c r="T3273" i="8"/>
  <c r="W3275" i="8"/>
  <c r="U3275" i="8"/>
  <c r="O3275" i="8"/>
  <c r="R3275" i="8" s="1"/>
  <c r="S3275" i="8" s="1"/>
  <c r="T3275" i="8"/>
  <c r="W3277" i="8"/>
  <c r="U3277" i="8"/>
  <c r="O3277" i="8"/>
  <c r="R3277" i="8" s="1"/>
  <c r="S3277" i="8" s="1"/>
  <c r="T3277" i="8"/>
  <c r="W3279" i="8"/>
  <c r="U3279" i="8"/>
  <c r="O3279" i="8"/>
  <c r="R3279" i="8" s="1"/>
  <c r="S3279" i="8" s="1"/>
  <c r="T3279" i="8"/>
  <c r="W3281" i="8"/>
  <c r="U3281" i="8"/>
  <c r="O3281" i="8"/>
  <c r="R3281" i="8" s="1"/>
  <c r="S3281" i="8" s="1"/>
  <c r="T3281" i="8"/>
  <c r="W3283" i="8"/>
  <c r="U3283" i="8"/>
  <c r="T3283" i="8"/>
  <c r="W3285" i="8"/>
  <c r="U3285" i="8"/>
  <c r="O3285" i="8"/>
  <c r="R3285" i="8" s="1"/>
  <c r="S3285" i="8" s="1"/>
  <c r="T3285" i="8"/>
  <c r="W3287" i="8"/>
  <c r="U3287" i="8"/>
  <c r="O3287" i="8"/>
  <c r="R3287" i="8" s="1"/>
  <c r="S3287" i="8" s="1"/>
  <c r="T3287" i="8"/>
  <c r="W3289" i="8"/>
  <c r="U3289" i="8"/>
  <c r="O3289" i="8"/>
  <c r="R3289" i="8" s="1"/>
  <c r="S3289" i="8" s="1"/>
  <c r="T3289" i="8"/>
  <c r="W3291" i="8"/>
  <c r="U3291" i="8"/>
  <c r="O3291" i="8"/>
  <c r="R3291" i="8" s="1"/>
  <c r="S3291" i="8" s="1"/>
  <c r="T3291" i="8"/>
  <c r="W3293" i="8"/>
  <c r="U3293" i="8"/>
  <c r="O3293" i="8"/>
  <c r="R3293" i="8" s="1"/>
  <c r="S3293" i="8" s="1"/>
  <c r="T3293" i="8"/>
  <c r="W3295" i="8"/>
  <c r="U3295" i="8"/>
  <c r="O3295" i="8"/>
  <c r="R3295" i="8" s="1"/>
  <c r="S3295" i="8" s="1"/>
  <c r="T3295" i="8"/>
  <c r="W3297" i="8"/>
  <c r="U3297" i="8"/>
  <c r="O3297" i="8"/>
  <c r="R3297" i="8" s="1"/>
  <c r="S3297" i="8" s="1"/>
  <c r="T3297" i="8"/>
  <c r="W3299" i="8"/>
  <c r="U3299" i="8"/>
  <c r="O3299" i="8"/>
  <c r="R3299" i="8" s="1"/>
  <c r="S3299" i="8" s="1"/>
  <c r="T3299" i="8"/>
  <c r="W3301" i="8"/>
  <c r="U3301" i="8"/>
  <c r="O3301" i="8"/>
  <c r="R3301" i="8" s="1"/>
  <c r="S3301" i="8" s="1"/>
  <c r="T3301" i="8"/>
  <c r="W3303" i="8"/>
  <c r="U3303" i="8"/>
  <c r="O3303" i="8"/>
  <c r="R3303" i="8" s="1"/>
  <c r="S3303" i="8" s="1"/>
  <c r="T3303" i="8"/>
  <c r="W3305" i="8"/>
  <c r="U3305" i="8"/>
  <c r="O3305" i="8"/>
  <c r="R3305" i="8" s="1"/>
  <c r="S3305" i="8" s="1"/>
  <c r="T3305" i="8"/>
  <c r="W3307" i="8"/>
  <c r="U3307" i="8"/>
  <c r="O3307" i="8"/>
  <c r="R3307" i="8" s="1"/>
  <c r="S3307" i="8" s="1"/>
  <c r="T3307" i="8"/>
  <c r="W3309" i="8"/>
  <c r="U3309" i="8"/>
  <c r="O3309" i="8"/>
  <c r="R3309" i="8" s="1"/>
  <c r="S3309" i="8" s="1"/>
  <c r="T3309" i="8"/>
  <c r="W3311" i="8"/>
  <c r="U3311" i="8"/>
  <c r="O3311" i="8"/>
  <c r="R3311" i="8" s="1"/>
  <c r="S3311" i="8" s="1"/>
  <c r="T3311" i="8"/>
  <c r="W3313" i="8"/>
  <c r="U3313" i="8"/>
  <c r="O3313" i="8"/>
  <c r="R3313" i="8" s="1"/>
  <c r="S3313" i="8" s="1"/>
  <c r="T3313" i="8"/>
  <c r="W3315" i="8"/>
  <c r="U3315" i="8"/>
  <c r="O3315" i="8"/>
  <c r="R3315" i="8" s="1"/>
  <c r="S3315" i="8" s="1"/>
  <c r="T3315" i="8"/>
  <c r="W3317" i="8"/>
  <c r="U3317" i="8"/>
  <c r="O3317" i="8"/>
  <c r="R3317" i="8" s="1"/>
  <c r="S3317" i="8" s="1"/>
  <c r="T3317" i="8"/>
  <c r="T2950" i="8"/>
  <c r="T2951" i="8"/>
  <c r="T2952" i="8"/>
  <c r="T2953" i="8"/>
  <c r="T2954" i="8"/>
  <c r="T2955" i="8"/>
  <c r="T2956" i="8"/>
  <c r="T2957" i="8"/>
  <c r="T2958" i="8"/>
  <c r="T2959" i="8"/>
  <c r="T2960" i="8"/>
  <c r="T2961" i="8"/>
  <c r="T2962" i="8"/>
  <c r="T2963" i="8"/>
  <c r="T2964" i="8"/>
  <c r="T2965" i="8"/>
  <c r="T2966" i="8"/>
  <c r="T2967" i="8"/>
  <c r="T2968" i="8"/>
  <c r="T2969" i="8"/>
  <c r="T2970" i="8"/>
  <c r="T2971" i="8"/>
  <c r="T2972" i="8"/>
  <c r="T2973" i="8"/>
  <c r="T2974" i="8"/>
  <c r="T2975" i="8"/>
  <c r="T2976" i="8"/>
  <c r="T2977" i="8"/>
  <c r="T2978" i="8"/>
  <c r="T2979" i="8"/>
  <c r="T2980" i="8"/>
  <c r="P32" i="5" s="1"/>
  <c r="T2981" i="8"/>
  <c r="T2982" i="8"/>
  <c r="T2983" i="8"/>
  <c r="T2984" i="8"/>
  <c r="T2985" i="8"/>
  <c r="T2986" i="8"/>
  <c r="T2987" i="8"/>
  <c r="T2988" i="8"/>
  <c r="T2989" i="8"/>
  <c r="T2990" i="8"/>
  <c r="T2991" i="8"/>
  <c r="T2992" i="8"/>
  <c r="T2993" i="8"/>
  <c r="T2994" i="8"/>
  <c r="T2995" i="8"/>
  <c r="T2996" i="8"/>
  <c r="T2997" i="8"/>
  <c r="T2998" i="8"/>
  <c r="T2999" i="8"/>
  <c r="T3000" i="8"/>
  <c r="T3001" i="8"/>
  <c r="T3002" i="8"/>
  <c r="T3003" i="8"/>
  <c r="T3004" i="8"/>
  <c r="T3005" i="8"/>
  <c r="T3006" i="8"/>
  <c r="T3007" i="8"/>
  <c r="T3008" i="8"/>
  <c r="T3009" i="8"/>
  <c r="T3010" i="8"/>
  <c r="T3011" i="8"/>
  <c r="T3012" i="8"/>
  <c r="P130" i="5" s="1"/>
  <c r="T3013" i="8"/>
  <c r="T3014" i="8"/>
  <c r="T3015" i="8"/>
  <c r="T3016" i="8"/>
  <c r="T3017" i="8"/>
  <c r="T3018" i="8"/>
  <c r="T3019" i="8"/>
  <c r="T3020" i="8"/>
  <c r="T3021" i="8"/>
  <c r="T3022" i="8"/>
  <c r="T3023" i="8"/>
  <c r="T3024" i="8"/>
  <c r="T3025" i="8"/>
  <c r="T3026" i="8"/>
  <c r="T3027" i="8"/>
  <c r="T3028" i="8"/>
  <c r="T3029" i="8"/>
  <c r="T3030" i="8"/>
  <c r="T3031" i="8"/>
  <c r="T3032" i="8"/>
  <c r="T3033" i="8"/>
  <c r="T3034" i="8"/>
  <c r="T3035" i="8"/>
  <c r="T3036" i="8"/>
  <c r="T3037" i="8"/>
  <c r="T3038" i="8"/>
  <c r="T3039" i="8"/>
  <c r="T3040" i="8"/>
  <c r="T3041" i="8"/>
  <c r="T3042" i="8"/>
  <c r="T3043" i="8"/>
  <c r="T3044" i="8"/>
  <c r="T3045" i="8"/>
  <c r="P131" i="5" s="1"/>
  <c r="T3046" i="8"/>
  <c r="T3047" i="8"/>
  <c r="T3048" i="8"/>
  <c r="T3049" i="8"/>
  <c r="T3050" i="8"/>
  <c r="T3051" i="8"/>
  <c r="T3052" i="8"/>
  <c r="T3053" i="8"/>
  <c r="T3054" i="8"/>
  <c r="T3055" i="8"/>
  <c r="T3056" i="8"/>
  <c r="T3057" i="8"/>
  <c r="T3058" i="8"/>
  <c r="T3059" i="8"/>
  <c r="T3060" i="8"/>
  <c r="T3061" i="8"/>
  <c r="T3062" i="8"/>
  <c r="T3063" i="8"/>
  <c r="T3064" i="8"/>
  <c r="T3065" i="8"/>
  <c r="T3066" i="8"/>
  <c r="T3067" i="8"/>
  <c r="T3068" i="8"/>
  <c r="T3069" i="8"/>
  <c r="T3070" i="8"/>
  <c r="T3071" i="8"/>
  <c r="T3072" i="8"/>
  <c r="T3073" i="8"/>
  <c r="T3074" i="8"/>
  <c r="T3075" i="8"/>
  <c r="T3076" i="8"/>
  <c r="T3077" i="8"/>
  <c r="T3078" i="8"/>
  <c r="T3079" i="8"/>
  <c r="T3080" i="8"/>
  <c r="T3081" i="8"/>
  <c r="T3082" i="8"/>
  <c r="T3083" i="8"/>
  <c r="T3084" i="8"/>
  <c r="T3085" i="8"/>
  <c r="T3086" i="8"/>
  <c r="P132" i="5" s="1"/>
  <c r="T3087" i="8"/>
  <c r="T3088" i="8"/>
  <c r="T3089" i="8"/>
  <c r="T3090" i="8"/>
  <c r="T3091" i="8"/>
  <c r="T3092" i="8"/>
  <c r="T3093" i="8"/>
  <c r="T3094" i="8"/>
  <c r="T3095" i="8"/>
  <c r="T3096" i="8"/>
  <c r="T3097" i="8"/>
  <c r="T3098" i="8"/>
  <c r="T3099" i="8"/>
  <c r="T3100" i="8"/>
  <c r="T3101" i="8"/>
  <c r="T3102" i="8"/>
  <c r="T3103" i="8"/>
  <c r="T3104" i="8"/>
  <c r="T3105" i="8"/>
  <c r="T3106" i="8"/>
  <c r="T3107" i="8"/>
  <c r="T3108" i="8"/>
  <c r="T3109" i="8"/>
  <c r="T3110" i="8"/>
  <c r="T3111" i="8"/>
  <c r="T3112" i="8"/>
  <c r="T3113" i="8"/>
  <c r="T3114" i="8"/>
  <c r="T3115" i="8"/>
  <c r="T3116" i="8"/>
  <c r="T3117" i="8"/>
  <c r="T3118" i="8"/>
  <c r="T3119" i="8"/>
  <c r="T3120" i="8"/>
  <c r="T3121" i="8"/>
  <c r="T3122" i="8"/>
  <c r="T3123" i="8"/>
  <c r="T3124" i="8"/>
  <c r="T3125" i="8"/>
  <c r="P133" i="5" s="1"/>
  <c r="T3126" i="8"/>
  <c r="T3127" i="8"/>
  <c r="T3128" i="8"/>
  <c r="T3129" i="8"/>
  <c r="T3130" i="8"/>
  <c r="T3131" i="8"/>
  <c r="T3132" i="8"/>
  <c r="T3133" i="8"/>
  <c r="T3134" i="8"/>
  <c r="T3135" i="8"/>
  <c r="T3136" i="8"/>
  <c r="T3137" i="8"/>
  <c r="T3138" i="8"/>
  <c r="T3139" i="8"/>
  <c r="T3140" i="8"/>
  <c r="T3141" i="8"/>
  <c r="T3142" i="8"/>
  <c r="T3143" i="8"/>
  <c r="T3144" i="8"/>
  <c r="T3145" i="8"/>
  <c r="T3146" i="8"/>
  <c r="T3147" i="8"/>
  <c r="T3148" i="8"/>
  <c r="T3149" i="8"/>
  <c r="T3150" i="8"/>
  <c r="T3151" i="8"/>
  <c r="T3152" i="8"/>
  <c r="T3153" i="8"/>
  <c r="T3154" i="8"/>
  <c r="T3155" i="8"/>
  <c r="T3156" i="8"/>
  <c r="T3157" i="8"/>
  <c r="T3158" i="8"/>
  <c r="T3159" i="8"/>
  <c r="T3160" i="8"/>
  <c r="T3161" i="8"/>
  <c r="T3162" i="8"/>
  <c r="T3163" i="8"/>
  <c r="T3164" i="8"/>
  <c r="T3165" i="8"/>
  <c r="W3318" i="8"/>
  <c r="M74" i="5" s="1"/>
  <c r="U3318" i="8"/>
  <c r="Q74" i="5" s="1"/>
  <c r="O3318" i="8"/>
  <c r="R3318" i="8" s="1"/>
  <c r="S3318" i="8" s="1"/>
  <c r="O74" i="5" s="1"/>
  <c r="W3319" i="8"/>
  <c r="U3319" i="8"/>
  <c r="O3319" i="8"/>
  <c r="R3319" i="8" s="1"/>
  <c r="S3319" i="8" s="1"/>
  <c r="W3320" i="8"/>
  <c r="U3320" i="8"/>
  <c r="O3320" i="8"/>
  <c r="R3320" i="8" s="1"/>
  <c r="S3320" i="8" s="1"/>
  <c r="W3321" i="8"/>
  <c r="U3321" i="8"/>
  <c r="O3321" i="8"/>
  <c r="R3321" i="8" s="1"/>
  <c r="S3321" i="8" s="1"/>
  <c r="W3322" i="8"/>
  <c r="U3322" i="8"/>
  <c r="O3322" i="8"/>
  <c r="R3322" i="8" s="1"/>
  <c r="S3322" i="8" s="1"/>
  <c r="W3323" i="8"/>
  <c r="U3323" i="8"/>
  <c r="O3323" i="8"/>
  <c r="R3323" i="8" s="1"/>
  <c r="S3323" i="8" s="1"/>
  <c r="W3324" i="8"/>
  <c r="U3324" i="8"/>
  <c r="O3324" i="8"/>
  <c r="R3324" i="8" s="1"/>
  <c r="S3324" i="8" s="1"/>
  <c r="W3325" i="8"/>
  <c r="U3325" i="8"/>
  <c r="O3325" i="8"/>
  <c r="R3325" i="8" s="1"/>
  <c r="S3325" i="8" s="1"/>
  <c r="W3326" i="8"/>
  <c r="U3326" i="8"/>
  <c r="O3326" i="8"/>
  <c r="R3326" i="8" s="1"/>
  <c r="S3326" i="8" s="1"/>
  <c r="W3327" i="8"/>
  <c r="U3327" i="8"/>
  <c r="O3327" i="8"/>
  <c r="R3327" i="8" s="1"/>
  <c r="S3327" i="8" s="1"/>
  <c r="W3328" i="8"/>
  <c r="U3328" i="8"/>
  <c r="O3328" i="8"/>
  <c r="R3328" i="8" s="1"/>
  <c r="S3328" i="8" s="1"/>
  <c r="W3329" i="8"/>
  <c r="U3329" i="8"/>
  <c r="O3329" i="8"/>
  <c r="R3329" i="8" s="1"/>
  <c r="S3329" i="8" s="1"/>
  <c r="W3330" i="8"/>
  <c r="U3330" i="8"/>
  <c r="O3330" i="8"/>
  <c r="R3330" i="8" s="1"/>
  <c r="S3330" i="8" s="1"/>
  <c r="W3331" i="8"/>
  <c r="U3331" i="8"/>
  <c r="O3331" i="8"/>
  <c r="R3331" i="8" s="1"/>
  <c r="S3331" i="8" s="1"/>
  <c r="W3332" i="8"/>
  <c r="U3332" i="8"/>
  <c r="O3332" i="8"/>
  <c r="R3332" i="8" s="1"/>
  <c r="S3332" i="8" s="1"/>
  <c r="W3333" i="8"/>
  <c r="U3333" i="8"/>
  <c r="O3333" i="8"/>
  <c r="R3333" i="8" s="1"/>
  <c r="S3333" i="8" s="1"/>
  <c r="W3334" i="8"/>
  <c r="U3334" i="8"/>
  <c r="O3334" i="8"/>
  <c r="R3334" i="8" s="1"/>
  <c r="S3334" i="8" s="1"/>
  <c r="W3335" i="8"/>
  <c r="U3335" i="8"/>
  <c r="O3335" i="8"/>
  <c r="R3335" i="8" s="1"/>
  <c r="S3335" i="8" s="1"/>
  <c r="W3336" i="8"/>
  <c r="U3336" i="8"/>
  <c r="O3336" i="8"/>
  <c r="R3336" i="8" s="1"/>
  <c r="S3336" i="8" s="1"/>
  <c r="W3337" i="8"/>
  <c r="U3337" i="8"/>
  <c r="O3337" i="8"/>
  <c r="R3337" i="8" s="1"/>
  <c r="S3337" i="8" s="1"/>
  <c r="W3338" i="8"/>
  <c r="U3338" i="8"/>
  <c r="O3338" i="8"/>
  <c r="R3338" i="8" s="1"/>
  <c r="S3338" i="8" s="1"/>
  <c r="W3339" i="8"/>
  <c r="U3339" i="8"/>
  <c r="O3339" i="8"/>
  <c r="R3339" i="8" s="1"/>
  <c r="S3339" i="8" s="1"/>
  <c r="W3340" i="8"/>
  <c r="U3340" i="8"/>
  <c r="O3340" i="8"/>
  <c r="R3340" i="8" s="1"/>
  <c r="S3340" i="8" s="1"/>
  <c r="W3341" i="8"/>
  <c r="U3341" i="8"/>
  <c r="O3341" i="8"/>
  <c r="R3341" i="8" s="1"/>
  <c r="S3341" i="8" s="1"/>
  <c r="W3342" i="8"/>
  <c r="U3342" i="8"/>
  <c r="O3342" i="8"/>
  <c r="R3342" i="8" s="1"/>
  <c r="S3342" i="8" s="1"/>
  <c r="W3343" i="8"/>
  <c r="U3343" i="8"/>
  <c r="O3343" i="8"/>
  <c r="R3343" i="8" s="1"/>
  <c r="S3343" i="8" s="1"/>
  <c r="W3344" i="8"/>
  <c r="U3344" i="8"/>
  <c r="O3344" i="8"/>
  <c r="R3344" i="8" s="1"/>
  <c r="S3344" i="8" s="1"/>
  <c r="W3345" i="8"/>
  <c r="U3345" i="8"/>
  <c r="O3345" i="8"/>
  <c r="R3345" i="8" s="1"/>
  <c r="S3345" i="8" s="1"/>
  <c r="W3346" i="8"/>
  <c r="U3346" i="8"/>
  <c r="O3346" i="8"/>
  <c r="R3346" i="8" s="1"/>
  <c r="S3346" i="8" s="1"/>
  <c r="W3347" i="8"/>
  <c r="U3347" i="8"/>
  <c r="O3347" i="8"/>
  <c r="R3347" i="8" s="1"/>
  <c r="S3347" i="8" s="1"/>
  <c r="W3348" i="8"/>
  <c r="U3348" i="8"/>
  <c r="O3348" i="8"/>
  <c r="R3348" i="8" s="1"/>
  <c r="S3348" i="8" s="1"/>
  <c r="W3349" i="8"/>
  <c r="M75" i="5" s="1"/>
  <c r="L68" i="1" s="1"/>
  <c r="U3349" i="8"/>
  <c r="Q75" i="5" s="1"/>
  <c r="O3349" i="8"/>
  <c r="R3349" i="8" s="1"/>
  <c r="S3349" i="8" s="1"/>
  <c r="O75" i="5" s="1"/>
  <c r="W3350" i="8"/>
  <c r="U3350" i="8"/>
  <c r="O3350" i="8"/>
  <c r="R3350" i="8" s="1"/>
  <c r="S3350" i="8" s="1"/>
  <c r="W3351" i="8"/>
  <c r="U3351" i="8"/>
  <c r="O3351" i="8"/>
  <c r="R3351" i="8" s="1"/>
  <c r="S3351" i="8" s="1"/>
  <c r="W3352" i="8"/>
  <c r="U3352" i="8"/>
  <c r="O3352" i="8"/>
  <c r="R3352" i="8" s="1"/>
  <c r="S3352" i="8" s="1"/>
  <c r="W3353" i="8"/>
  <c r="U3353" i="8"/>
  <c r="O3353" i="8"/>
  <c r="R3353" i="8" s="1"/>
  <c r="S3353" i="8" s="1"/>
  <c r="W3354" i="8"/>
  <c r="U3354" i="8"/>
  <c r="O3354" i="8"/>
  <c r="R3354" i="8" s="1"/>
  <c r="S3354" i="8" s="1"/>
  <c r="W3355" i="8"/>
  <c r="U3355" i="8"/>
  <c r="O3355" i="8"/>
  <c r="R3355" i="8" s="1"/>
  <c r="S3355" i="8" s="1"/>
  <c r="W3356" i="8"/>
  <c r="U3356" i="8"/>
  <c r="O3356" i="8"/>
  <c r="R3356" i="8" s="1"/>
  <c r="S3356" i="8" s="1"/>
  <c r="W3357" i="8"/>
  <c r="U3357" i="8"/>
  <c r="O3357" i="8"/>
  <c r="R3357" i="8" s="1"/>
  <c r="S3357" i="8" s="1"/>
  <c r="W3358" i="8"/>
  <c r="U3358" i="8"/>
  <c r="O3358" i="8"/>
  <c r="R3358" i="8" s="1"/>
  <c r="S3358" i="8" s="1"/>
  <c r="W3359" i="8"/>
  <c r="U3359" i="8"/>
  <c r="O3359" i="8"/>
  <c r="R3359" i="8" s="1"/>
  <c r="S3359" i="8" s="1"/>
  <c r="W3360" i="8"/>
  <c r="U3360" i="8"/>
  <c r="O3360" i="8"/>
  <c r="R3360" i="8" s="1"/>
  <c r="S3360" i="8" s="1"/>
  <c r="W3361" i="8"/>
  <c r="U3361" i="8"/>
  <c r="O3361" i="8"/>
  <c r="R3361" i="8" s="1"/>
  <c r="S3361" i="8" s="1"/>
  <c r="W3362" i="8"/>
  <c r="U3362" i="8"/>
  <c r="O3362" i="8"/>
  <c r="R3362" i="8" s="1"/>
  <c r="S3362" i="8" s="1"/>
  <c r="W3363" i="8"/>
  <c r="U3363" i="8"/>
  <c r="O3363" i="8"/>
  <c r="R3363" i="8" s="1"/>
  <c r="S3363" i="8" s="1"/>
  <c r="W3364" i="8"/>
  <c r="U3364" i="8"/>
  <c r="O3364" i="8"/>
  <c r="R3364" i="8" s="1"/>
  <c r="S3364" i="8" s="1"/>
  <c r="W3365" i="8"/>
  <c r="U3365" i="8"/>
  <c r="O3365" i="8"/>
  <c r="R3365" i="8" s="1"/>
  <c r="S3365" i="8" s="1"/>
  <c r="W3366" i="8"/>
  <c r="U3366" i="8"/>
  <c r="O3366" i="8"/>
  <c r="R3366" i="8" s="1"/>
  <c r="S3366" i="8" s="1"/>
  <c r="W3367" i="8"/>
  <c r="U3367" i="8"/>
  <c r="O3367" i="8"/>
  <c r="R3367" i="8" s="1"/>
  <c r="S3367" i="8" s="1"/>
  <c r="W3368" i="8"/>
  <c r="U3368" i="8"/>
  <c r="O3368" i="8"/>
  <c r="R3368" i="8" s="1"/>
  <c r="S3368" i="8" s="1"/>
  <c r="W3369" i="8"/>
  <c r="U3369" i="8"/>
  <c r="O3369" i="8"/>
  <c r="R3369" i="8" s="1"/>
  <c r="S3369" i="8" s="1"/>
  <c r="W3370" i="8"/>
  <c r="U3370" i="8"/>
  <c r="O3370" i="8"/>
  <c r="R3370" i="8" s="1"/>
  <c r="S3370" i="8" s="1"/>
  <c r="W3371" i="8"/>
  <c r="U3371" i="8"/>
  <c r="O3371" i="8"/>
  <c r="R3371" i="8" s="1"/>
  <c r="S3371" i="8" s="1"/>
  <c r="W3372" i="8"/>
  <c r="U3372" i="8"/>
  <c r="O3372" i="8"/>
  <c r="R3372" i="8" s="1"/>
  <c r="S3372" i="8" s="1"/>
  <c r="W3373" i="8"/>
  <c r="U3373" i="8"/>
  <c r="O3373" i="8"/>
  <c r="R3373" i="8" s="1"/>
  <c r="S3373" i="8" s="1"/>
  <c r="W3374" i="8"/>
  <c r="U3374" i="8"/>
  <c r="O3374" i="8"/>
  <c r="R3374" i="8" s="1"/>
  <c r="S3374" i="8" s="1"/>
  <c r="W3375" i="8"/>
  <c r="U3375" i="8"/>
  <c r="O3375" i="8"/>
  <c r="R3375" i="8" s="1"/>
  <c r="S3375" i="8" s="1"/>
  <c r="W3376" i="8"/>
  <c r="U3376" i="8"/>
  <c r="O3376" i="8"/>
  <c r="R3376" i="8" s="1"/>
  <c r="S3376" i="8" s="1"/>
  <c r="W3377" i="8"/>
  <c r="U3377" i="8"/>
  <c r="O3377" i="8"/>
  <c r="R3377" i="8" s="1"/>
  <c r="S3377" i="8" s="1"/>
  <c r="W3378" i="8"/>
  <c r="U3378" i="8"/>
  <c r="O3378" i="8"/>
  <c r="R3378" i="8" s="1"/>
  <c r="S3378" i="8" s="1"/>
  <c r="W3379" i="8"/>
  <c r="U3379" i="8"/>
  <c r="O3379" i="8"/>
  <c r="R3379" i="8" s="1"/>
  <c r="S3379" i="8" s="1"/>
  <c r="W3380" i="8"/>
  <c r="U3380" i="8"/>
  <c r="O3380" i="8"/>
  <c r="R3380" i="8" s="1"/>
  <c r="S3380" i="8" s="1"/>
  <c r="W3381" i="8"/>
  <c r="U3381" i="8"/>
  <c r="O3381" i="8"/>
  <c r="R3381" i="8" s="1"/>
  <c r="S3381" i="8" s="1"/>
  <c r="W3382" i="8"/>
  <c r="U3382" i="8"/>
  <c r="O3382" i="8"/>
  <c r="R3382" i="8" s="1"/>
  <c r="S3382" i="8" s="1"/>
  <c r="W3383" i="8"/>
  <c r="U3383" i="8"/>
  <c r="O3383" i="8"/>
  <c r="R3383" i="8" s="1"/>
  <c r="S3383" i="8" s="1"/>
  <c r="W3384" i="8"/>
  <c r="U3384" i="8"/>
  <c r="O3384" i="8"/>
  <c r="R3384" i="8" s="1"/>
  <c r="S3384" i="8" s="1"/>
  <c r="W3385" i="8"/>
  <c r="U3385" i="8"/>
  <c r="O3385" i="8"/>
  <c r="R3385" i="8" s="1"/>
  <c r="S3385" i="8" s="1"/>
  <c r="W3386" i="8"/>
  <c r="U3386" i="8"/>
  <c r="O3386" i="8"/>
  <c r="R3386" i="8" s="1"/>
  <c r="S3386" i="8" s="1"/>
  <c r="W3387" i="8"/>
  <c r="U3387" i="8"/>
  <c r="O3387" i="8"/>
  <c r="R3387" i="8" s="1"/>
  <c r="S3387" i="8" s="1"/>
  <c r="W3388" i="8"/>
  <c r="U3388" i="8"/>
  <c r="O3388" i="8"/>
  <c r="R3388" i="8" s="1"/>
  <c r="S3388" i="8" s="1"/>
  <c r="W3389" i="8"/>
  <c r="M76" i="5" s="1"/>
  <c r="U3389" i="8"/>
  <c r="Q76" i="5" s="1"/>
  <c r="O3389" i="8"/>
  <c r="R3389" i="8" s="1"/>
  <c r="S3389" i="8" s="1"/>
  <c r="W3390" i="8"/>
  <c r="U3390" i="8"/>
  <c r="O3390" i="8"/>
  <c r="R3390" i="8" s="1"/>
  <c r="S3390" i="8" s="1"/>
  <c r="W3391" i="8"/>
  <c r="U3391" i="8"/>
  <c r="O3391" i="8"/>
  <c r="R3391" i="8" s="1"/>
  <c r="S3391" i="8" s="1"/>
  <c r="W3392" i="8"/>
  <c r="U3392" i="8"/>
  <c r="O3392" i="8"/>
  <c r="R3392" i="8" s="1"/>
  <c r="S3392" i="8" s="1"/>
  <c r="W3393" i="8"/>
  <c r="U3393" i="8"/>
  <c r="O3393" i="8"/>
  <c r="R3393" i="8" s="1"/>
  <c r="S3393" i="8" s="1"/>
  <c r="W3394" i="8"/>
  <c r="U3394" i="8"/>
  <c r="O3394" i="8"/>
  <c r="R3394" i="8" s="1"/>
  <c r="S3394" i="8" s="1"/>
  <c r="W3395" i="8"/>
  <c r="U3395" i="8"/>
  <c r="O3395" i="8"/>
  <c r="R3395" i="8" s="1"/>
  <c r="S3395" i="8" s="1"/>
  <c r="W3396" i="8"/>
  <c r="U3396" i="8"/>
  <c r="O3396" i="8"/>
  <c r="R3396" i="8" s="1"/>
  <c r="S3396" i="8" s="1"/>
  <c r="W3397" i="8"/>
  <c r="U3397" i="8"/>
  <c r="O3397" i="8"/>
  <c r="R3397" i="8" s="1"/>
  <c r="S3397" i="8" s="1"/>
  <c r="W3398" i="8"/>
  <c r="U3398" i="8"/>
  <c r="O3398" i="8"/>
  <c r="R3398" i="8" s="1"/>
  <c r="S3398" i="8" s="1"/>
  <c r="W3399" i="8"/>
  <c r="U3399" i="8"/>
  <c r="O3399" i="8"/>
  <c r="R3399" i="8" s="1"/>
  <c r="S3399" i="8" s="1"/>
  <c r="W3400" i="8"/>
  <c r="U3400" i="8"/>
  <c r="O3400" i="8"/>
  <c r="R3400" i="8" s="1"/>
  <c r="S3400" i="8" s="1"/>
  <c r="W3401" i="8"/>
  <c r="U3401" i="8"/>
  <c r="O3401" i="8"/>
  <c r="R3401" i="8" s="1"/>
  <c r="S3401" i="8" s="1"/>
  <c r="W3402" i="8"/>
  <c r="U3402" i="8"/>
  <c r="O3402" i="8"/>
  <c r="R3402" i="8" s="1"/>
  <c r="S3402" i="8" s="1"/>
  <c r="W3403" i="8"/>
  <c r="U3403" i="8"/>
  <c r="O3403" i="8"/>
  <c r="R3403" i="8" s="1"/>
  <c r="S3403" i="8" s="1"/>
  <c r="W3404" i="8"/>
  <c r="U3404" i="8"/>
  <c r="O3404" i="8"/>
  <c r="R3404" i="8" s="1"/>
  <c r="S3404" i="8" s="1"/>
  <c r="W3405" i="8"/>
  <c r="U3405" i="8"/>
  <c r="O3405" i="8"/>
  <c r="R3405" i="8" s="1"/>
  <c r="S3405" i="8" s="1"/>
  <c r="W3406" i="8"/>
  <c r="U3406" i="8"/>
  <c r="O3406" i="8"/>
  <c r="R3406" i="8" s="1"/>
  <c r="S3406" i="8" s="1"/>
  <c r="W3407" i="8"/>
  <c r="U3407" i="8"/>
  <c r="O3407" i="8"/>
  <c r="R3407" i="8" s="1"/>
  <c r="S3407" i="8" s="1"/>
  <c r="W3408" i="8"/>
  <c r="U3408" i="8"/>
  <c r="O3408" i="8"/>
  <c r="R3408" i="8" s="1"/>
  <c r="S3408" i="8" s="1"/>
  <c r="W3409" i="8"/>
  <c r="U3409" i="8"/>
  <c r="O3409" i="8"/>
  <c r="R3409" i="8" s="1"/>
  <c r="S3409" i="8" s="1"/>
  <c r="W3410" i="8"/>
  <c r="U3410" i="8"/>
  <c r="O3410" i="8"/>
  <c r="R3410" i="8" s="1"/>
  <c r="S3410" i="8" s="1"/>
  <c r="W3411" i="8"/>
  <c r="U3411" i="8"/>
  <c r="O3411" i="8"/>
  <c r="R3411" i="8" s="1"/>
  <c r="S3411" i="8" s="1"/>
  <c r="W3412" i="8"/>
  <c r="U3412" i="8"/>
  <c r="O3412" i="8"/>
  <c r="R3412" i="8" s="1"/>
  <c r="S3412" i="8" s="1"/>
  <c r="W3413" i="8"/>
  <c r="U3413" i="8"/>
  <c r="O3413" i="8"/>
  <c r="R3413" i="8" s="1"/>
  <c r="S3413" i="8" s="1"/>
  <c r="W3414" i="8"/>
  <c r="U3414" i="8"/>
  <c r="O3414" i="8"/>
  <c r="R3414" i="8" s="1"/>
  <c r="S3414" i="8" s="1"/>
  <c r="W3415" i="8"/>
  <c r="U3415" i="8"/>
  <c r="O3415" i="8"/>
  <c r="R3415" i="8" s="1"/>
  <c r="S3415" i="8" s="1"/>
  <c r="T3416" i="8"/>
  <c r="T3417" i="8"/>
  <c r="T3418" i="8"/>
  <c r="T3419" i="8"/>
  <c r="T3420" i="8"/>
  <c r="T3421" i="8"/>
  <c r="T3422" i="8"/>
  <c r="T3423" i="8"/>
  <c r="T3424" i="8"/>
  <c r="T3425" i="8"/>
  <c r="P77" i="5" s="1"/>
  <c r="T3426" i="8"/>
  <c r="T3427" i="8"/>
  <c r="T3428" i="8"/>
  <c r="T3429" i="8"/>
  <c r="T3430" i="8"/>
  <c r="T3431" i="8"/>
  <c r="T3432" i="8"/>
  <c r="T3433" i="8"/>
  <c r="T3434" i="8"/>
  <c r="T3435" i="8"/>
  <c r="T3436" i="8"/>
  <c r="T3437" i="8"/>
  <c r="T3438" i="8"/>
  <c r="T3439" i="8"/>
  <c r="T3440" i="8"/>
  <c r="T3441" i="8"/>
  <c r="T3442" i="8"/>
  <c r="T3443" i="8"/>
  <c r="T3444" i="8"/>
  <c r="T3445" i="8"/>
  <c r="T3446" i="8"/>
  <c r="T3447" i="8"/>
  <c r="T3448" i="8"/>
  <c r="T3449" i="8"/>
  <c r="T3450" i="8"/>
  <c r="T3451" i="8"/>
  <c r="T3452" i="8"/>
  <c r="T3453" i="8"/>
  <c r="T3454" i="8"/>
  <c r="T3455" i="8"/>
  <c r="T3456" i="8"/>
  <c r="T3457" i="8"/>
  <c r="T3458" i="8"/>
  <c r="T3459" i="8"/>
  <c r="T3460" i="8"/>
  <c r="T3461" i="8"/>
  <c r="T3462" i="8"/>
  <c r="T3463" i="8"/>
  <c r="T3464" i="8"/>
  <c r="T3465" i="8"/>
  <c r="T3466" i="8"/>
  <c r="T3467" i="8"/>
  <c r="T3468" i="8"/>
  <c r="T3469" i="8"/>
  <c r="T3470" i="8"/>
  <c r="T3471" i="8"/>
  <c r="T3472" i="8"/>
  <c r="T3473" i="8"/>
  <c r="T3474" i="8"/>
  <c r="P70" i="5" s="1"/>
  <c r="T3475" i="8"/>
  <c r="T3476" i="8"/>
  <c r="T3477" i="8"/>
  <c r="T3478" i="8"/>
  <c r="T3479" i="8"/>
  <c r="T3480" i="8"/>
  <c r="T3481" i="8"/>
  <c r="T3482" i="8"/>
  <c r="T3483" i="8"/>
  <c r="T3484" i="8"/>
  <c r="T3485" i="8"/>
  <c r="T3486" i="8"/>
  <c r="T3487" i="8"/>
  <c r="T3488" i="8"/>
  <c r="T3489" i="8"/>
  <c r="T3490" i="8"/>
  <c r="T3491" i="8"/>
  <c r="T3492" i="8"/>
  <c r="T3493" i="8"/>
  <c r="T3494" i="8"/>
  <c r="T3495" i="8"/>
  <c r="T3496" i="8"/>
  <c r="T3497" i="8"/>
  <c r="T3498" i="8"/>
  <c r="T3499" i="8"/>
  <c r="T3500" i="8"/>
  <c r="T3501" i="8"/>
  <c r="T3502" i="8"/>
  <c r="T3503" i="8"/>
  <c r="T3504" i="8"/>
  <c r="P71" i="5" s="1"/>
  <c r="T3505" i="8"/>
  <c r="P20" i="5" s="1"/>
  <c r="T3506" i="8"/>
  <c r="T3507" i="8"/>
  <c r="T3508" i="8"/>
  <c r="T3509" i="8"/>
  <c r="T3510" i="8"/>
  <c r="T3511" i="8"/>
  <c r="T3512" i="8"/>
  <c r="T3513" i="8"/>
  <c r="T3514" i="8"/>
  <c r="T3515" i="8"/>
  <c r="T3516" i="8"/>
  <c r="T3517" i="8"/>
  <c r="T3518" i="8"/>
  <c r="T3519" i="8"/>
  <c r="T3520" i="8"/>
  <c r="T3521" i="8"/>
  <c r="T3522" i="8"/>
  <c r="T3523" i="8"/>
  <c r="T3524" i="8"/>
  <c r="T3525" i="8"/>
  <c r="T3526" i="8"/>
  <c r="T3527" i="8"/>
  <c r="T3528" i="8"/>
  <c r="T3529" i="8"/>
  <c r="T3530" i="8"/>
  <c r="T3531" i="8"/>
  <c r="T3532" i="8"/>
  <c r="P21" i="5" s="1"/>
  <c r="T3533" i="8"/>
  <c r="T3534" i="8"/>
  <c r="T3535" i="8"/>
  <c r="T3536" i="8"/>
  <c r="T3537" i="8"/>
  <c r="T3538" i="8"/>
  <c r="T3539" i="8"/>
  <c r="T3540" i="8"/>
  <c r="T3541" i="8"/>
  <c r="T3542" i="8"/>
  <c r="T3543" i="8"/>
  <c r="T3544" i="8"/>
  <c r="T3545" i="8"/>
  <c r="T3546" i="8"/>
  <c r="T3547" i="8"/>
  <c r="T3548" i="8"/>
  <c r="T3549" i="8"/>
  <c r="T3550" i="8"/>
  <c r="T3551" i="8"/>
  <c r="T3552" i="8"/>
  <c r="T3553" i="8"/>
  <c r="T3554" i="8"/>
  <c r="T3555" i="8"/>
  <c r="T3556" i="8"/>
  <c r="T3557" i="8"/>
  <c r="T3558" i="8"/>
  <c r="T3559" i="8"/>
  <c r="T3560" i="8"/>
  <c r="T3561" i="8"/>
  <c r="T3562" i="8"/>
  <c r="T3563" i="8"/>
  <c r="T3564" i="8"/>
  <c r="T3565" i="8"/>
  <c r="T3566" i="8"/>
  <c r="T3567" i="8"/>
  <c r="T3568" i="8"/>
  <c r="T3569" i="8"/>
  <c r="T3570" i="8"/>
  <c r="T3571" i="8"/>
  <c r="T3572" i="8"/>
  <c r="T3573" i="8"/>
  <c r="T3574" i="8"/>
  <c r="P64" i="5" s="1"/>
  <c r="T3575" i="8"/>
  <c r="T3576" i="8"/>
  <c r="T3577" i="8"/>
  <c r="T3578" i="8"/>
  <c r="T3579" i="8"/>
  <c r="T3580" i="8"/>
  <c r="T3581" i="8"/>
  <c r="T3582" i="8"/>
  <c r="T3583" i="8"/>
  <c r="T3584" i="8"/>
  <c r="T3585" i="8"/>
  <c r="T3586" i="8"/>
  <c r="T3587" i="8"/>
  <c r="T3588" i="8"/>
  <c r="T3589" i="8"/>
  <c r="T3590" i="8"/>
  <c r="T3591" i="8"/>
  <c r="T3592" i="8"/>
  <c r="T3593" i="8"/>
  <c r="T3594" i="8"/>
  <c r="T3595" i="8"/>
  <c r="T3596" i="8"/>
  <c r="T3597" i="8"/>
  <c r="T3598" i="8"/>
  <c r="T3599" i="8"/>
  <c r="T3600" i="8"/>
  <c r="T3601" i="8"/>
  <c r="T3602" i="8"/>
  <c r="P65" i="5" s="1"/>
  <c r="T3603" i="8"/>
  <c r="T3604" i="8"/>
  <c r="T3605" i="8"/>
  <c r="T3606" i="8"/>
  <c r="T3607" i="8"/>
  <c r="T3608" i="8"/>
  <c r="T3609" i="8"/>
  <c r="T3610" i="8"/>
  <c r="T3611" i="8"/>
  <c r="T3612" i="8"/>
  <c r="T3613" i="8"/>
  <c r="T3614" i="8"/>
  <c r="T3615" i="8"/>
  <c r="T3616" i="8"/>
  <c r="T3617" i="8"/>
  <c r="T3618" i="8"/>
  <c r="T3619" i="8"/>
  <c r="T3620" i="8"/>
  <c r="T3621" i="8"/>
  <c r="T3622" i="8"/>
  <c r="T3623" i="8"/>
  <c r="T3624" i="8"/>
  <c r="T3625" i="8"/>
  <c r="T3626" i="8"/>
  <c r="T3627" i="8"/>
  <c r="T3628" i="8"/>
  <c r="T3629" i="8"/>
  <c r="T3630" i="8"/>
  <c r="T3631" i="8"/>
  <c r="T3632" i="8"/>
  <c r="T3633" i="8"/>
  <c r="T3634" i="8"/>
  <c r="T3635" i="8"/>
  <c r="T3636" i="8"/>
  <c r="T3637" i="8"/>
  <c r="T3638" i="8"/>
  <c r="T3639" i="8"/>
  <c r="T3640" i="8"/>
  <c r="T3641" i="8"/>
  <c r="T3642" i="8"/>
  <c r="T3643" i="8"/>
  <c r="T3644" i="8"/>
  <c r="P114" i="5" s="1"/>
  <c r="T3645" i="8"/>
  <c r="T3646" i="8"/>
  <c r="T3647" i="8"/>
  <c r="T3648" i="8"/>
  <c r="T3649" i="8"/>
  <c r="T3650" i="8"/>
  <c r="T3651" i="8"/>
  <c r="T3652" i="8"/>
  <c r="T3653" i="8"/>
  <c r="T3654" i="8"/>
  <c r="T3655" i="8"/>
  <c r="T3656" i="8"/>
  <c r="T3657" i="8"/>
  <c r="T3658" i="8"/>
  <c r="T3659" i="8"/>
  <c r="T3660" i="8"/>
  <c r="T3661" i="8"/>
  <c r="T3662" i="8"/>
  <c r="T3663" i="8"/>
  <c r="T3664" i="8"/>
  <c r="T3665" i="8"/>
  <c r="T3666" i="8"/>
  <c r="T3667" i="8"/>
  <c r="T3668" i="8"/>
  <c r="T3669" i="8"/>
  <c r="T3670" i="8"/>
  <c r="T3671" i="8"/>
  <c r="P115" i="5" s="1"/>
  <c r="T3672" i="8"/>
  <c r="T3673" i="8"/>
  <c r="T3674" i="8"/>
  <c r="T3675" i="8"/>
  <c r="T3676" i="8"/>
  <c r="T3677" i="8"/>
  <c r="T3678" i="8"/>
  <c r="T3679" i="8"/>
  <c r="T3680" i="8"/>
  <c r="T3681" i="8"/>
  <c r="T3682" i="8"/>
  <c r="T3683" i="8"/>
  <c r="T3684" i="8"/>
  <c r="T3685" i="8"/>
  <c r="T3686" i="8"/>
  <c r="T3687" i="8"/>
  <c r="T3688" i="8"/>
  <c r="T3689" i="8"/>
  <c r="T3690" i="8"/>
  <c r="T3691" i="8"/>
  <c r="T3692" i="8"/>
  <c r="T3693" i="8"/>
  <c r="T3694" i="8"/>
  <c r="T3695" i="8"/>
  <c r="T3696" i="8"/>
  <c r="T3697" i="8"/>
  <c r="T3698" i="8"/>
  <c r="T3699" i="8"/>
  <c r="T3700" i="8"/>
  <c r="T3701" i="8"/>
  <c r="T3702" i="8"/>
  <c r="T3703" i="8"/>
  <c r="T3704" i="8"/>
  <c r="T3705" i="8"/>
  <c r="T3706" i="8"/>
  <c r="T3707" i="8"/>
  <c r="P116" i="5" s="1"/>
  <c r="T3708" i="8"/>
  <c r="T3709" i="8"/>
  <c r="T3710" i="8"/>
  <c r="T3711" i="8"/>
  <c r="T3712" i="8"/>
  <c r="T3713" i="8"/>
  <c r="T3714" i="8"/>
  <c r="T3715" i="8"/>
  <c r="T3716" i="8"/>
  <c r="T3717" i="8"/>
  <c r="T3718" i="8"/>
  <c r="T3719" i="8"/>
  <c r="T3720" i="8"/>
  <c r="T3721" i="8"/>
  <c r="T3722" i="8"/>
  <c r="T3723" i="8"/>
  <c r="T3724" i="8"/>
  <c r="T3725" i="8"/>
  <c r="T3726" i="8"/>
  <c r="T3727" i="8"/>
  <c r="T3728" i="8"/>
  <c r="T3729" i="8"/>
  <c r="T3730" i="8"/>
  <c r="T3731" i="8"/>
  <c r="T3318" i="8"/>
  <c r="P74" i="5" s="1"/>
  <c r="T3319" i="8"/>
  <c r="T3320" i="8"/>
  <c r="T3321" i="8"/>
  <c r="T3322" i="8"/>
  <c r="T3323" i="8"/>
  <c r="T3324" i="8"/>
  <c r="T3325" i="8"/>
  <c r="T3326" i="8"/>
  <c r="T3327" i="8"/>
  <c r="T3328" i="8"/>
  <c r="T3329" i="8"/>
  <c r="T3330" i="8"/>
  <c r="T3331" i="8"/>
  <c r="T3332" i="8"/>
  <c r="T3333" i="8"/>
  <c r="T3334" i="8"/>
  <c r="T3335" i="8"/>
  <c r="T3336" i="8"/>
  <c r="T3337" i="8"/>
  <c r="T3338" i="8"/>
  <c r="T3339" i="8"/>
  <c r="T3340" i="8"/>
  <c r="T3341" i="8"/>
  <c r="T3342" i="8"/>
  <c r="T3343" i="8"/>
  <c r="T3344" i="8"/>
  <c r="T3345" i="8"/>
  <c r="T3346" i="8"/>
  <c r="T3347" i="8"/>
  <c r="T3348" i="8"/>
  <c r="T3349" i="8"/>
  <c r="P75" i="5" s="1"/>
  <c r="T3350" i="8"/>
  <c r="T3351" i="8"/>
  <c r="T3352" i="8"/>
  <c r="T3353" i="8"/>
  <c r="T3354" i="8"/>
  <c r="T3355" i="8"/>
  <c r="T3356" i="8"/>
  <c r="T3357" i="8"/>
  <c r="T3358" i="8"/>
  <c r="T3359" i="8"/>
  <c r="T3360" i="8"/>
  <c r="T3361" i="8"/>
  <c r="T3362" i="8"/>
  <c r="T3363" i="8"/>
  <c r="T3364" i="8"/>
  <c r="T3365" i="8"/>
  <c r="T3366" i="8"/>
  <c r="T3367" i="8"/>
  <c r="T3368" i="8"/>
  <c r="T3369" i="8"/>
  <c r="T3370" i="8"/>
  <c r="T3371" i="8"/>
  <c r="T3372" i="8"/>
  <c r="T3373" i="8"/>
  <c r="T3374" i="8"/>
  <c r="T3375" i="8"/>
  <c r="T3376" i="8"/>
  <c r="T3377" i="8"/>
  <c r="T3378" i="8"/>
  <c r="T3379" i="8"/>
  <c r="T3380" i="8"/>
  <c r="T3381" i="8"/>
  <c r="T3382" i="8"/>
  <c r="T3383" i="8"/>
  <c r="T3384" i="8"/>
  <c r="T3385" i="8"/>
  <c r="T3386" i="8"/>
  <c r="T3387" i="8"/>
  <c r="T3388" i="8"/>
  <c r="T3389" i="8"/>
  <c r="P76" i="5" s="1"/>
  <c r="T3390" i="8"/>
  <c r="T3391" i="8"/>
  <c r="T3392" i="8"/>
  <c r="T3393" i="8"/>
  <c r="T3394" i="8"/>
  <c r="T3395" i="8"/>
  <c r="T3396" i="8"/>
  <c r="T3397" i="8"/>
  <c r="T3398" i="8"/>
  <c r="T3399" i="8"/>
  <c r="T3400" i="8"/>
  <c r="T3401" i="8"/>
  <c r="T3402" i="8"/>
  <c r="T3403" i="8"/>
  <c r="T3404" i="8"/>
  <c r="T3405" i="8"/>
  <c r="T3406" i="8"/>
  <c r="T3407" i="8"/>
  <c r="T3408" i="8"/>
  <c r="T3409" i="8"/>
  <c r="T3410" i="8"/>
  <c r="T3411" i="8"/>
  <c r="T3412" i="8"/>
  <c r="T3413" i="8"/>
  <c r="T3414" i="8"/>
  <c r="T3415" i="8"/>
  <c r="U3416" i="8"/>
  <c r="W3416" i="8"/>
  <c r="O3417" i="8"/>
  <c r="R3417" i="8" s="1"/>
  <c r="S3417" i="8" s="1"/>
  <c r="U3417" i="8"/>
  <c r="W3417" i="8"/>
  <c r="O3418" i="8"/>
  <c r="R3418" i="8" s="1"/>
  <c r="S3418" i="8" s="1"/>
  <c r="U3418" i="8"/>
  <c r="W3418" i="8"/>
  <c r="O3419" i="8"/>
  <c r="R3419" i="8" s="1"/>
  <c r="S3419" i="8" s="1"/>
  <c r="U3419" i="8"/>
  <c r="W3419" i="8"/>
  <c r="O3420" i="8"/>
  <c r="R3420" i="8" s="1"/>
  <c r="S3420" i="8" s="1"/>
  <c r="U3420" i="8"/>
  <c r="W3420" i="8"/>
  <c r="O3421" i="8"/>
  <c r="R3421" i="8" s="1"/>
  <c r="S3421" i="8" s="1"/>
  <c r="U3421" i="8"/>
  <c r="W3421" i="8"/>
  <c r="O3422" i="8"/>
  <c r="R3422" i="8" s="1"/>
  <c r="S3422" i="8" s="1"/>
  <c r="U3422" i="8"/>
  <c r="W3422" i="8"/>
  <c r="O3423" i="8"/>
  <c r="R3423" i="8" s="1"/>
  <c r="S3423" i="8" s="1"/>
  <c r="U3423" i="8"/>
  <c r="W3423" i="8"/>
  <c r="O3424" i="8"/>
  <c r="R3424" i="8" s="1"/>
  <c r="S3424" i="8" s="1"/>
  <c r="U3424" i="8"/>
  <c r="W3424" i="8"/>
  <c r="O3425" i="8"/>
  <c r="R3425" i="8" s="1"/>
  <c r="S3425" i="8" s="1"/>
  <c r="O77" i="5" s="1"/>
  <c r="U3425" i="8"/>
  <c r="Q77" i="5" s="1"/>
  <c r="F50" i="4" s="1"/>
  <c r="W3425" i="8"/>
  <c r="M77" i="5" s="1"/>
  <c r="O3426" i="8"/>
  <c r="R3426" i="8" s="1"/>
  <c r="S3426" i="8" s="1"/>
  <c r="U3426" i="8"/>
  <c r="W3426" i="8"/>
  <c r="O3427" i="8"/>
  <c r="R3427" i="8" s="1"/>
  <c r="S3427" i="8" s="1"/>
  <c r="U3427" i="8"/>
  <c r="W3427" i="8"/>
  <c r="O3428" i="8"/>
  <c r="R3428" i="8" s="1"/>
  <c r="S3428" i="8" s="1"/>
  <c r="U3428" i="8"/>
  <c r="W3428" i="8"/>
  <c r="O3429" i="8"/>
  <c r="R3429" i="8" s="1"/>
  <c r="S3429" i="8" s="1"/>
  <c r="U3429" i="8"/>
  <c r="W3429" i="8"/>
  <c r="O3430" i="8"/>
  <c r="R3430" i="8" s="1"/>
  <c r="S3430" i="8" s="1"/>
  <c r="U3430" i="8"/>
  <c r="W3430" i="8"/>
  <c r="O3431" i="8"/>
  <c r="R3431" i="8" s="1"/>
  <c r="S3431" i="8" s="1"/>
  <c r="U3431" i="8"/>
  <c r="W3431" i="8"/>
  <c r="O3432" i="8"/>
  <c r="R3432" i="8" s="1"/>
  <c r="S3432" i="8" s="1"/>
  <c r="U3432" i="8"/>
  <c r="W3432" i="8"/>
  <c r="O3433" i="8"/>
  <c r="R3433" i="8" s="1"/>
  <c r="S3433" i="8" s="1"/>
  <c r="U3433" i="8"/>
  <c r="W3433" i="8"/>
  <c r="O3434" i="8"/>
  <c r="R3434" i="8" s="1"/>
  <c r="S3434" i="8" s="1"/>
  <c r="U3434" i="8"/>
  <c r="W3434" i="8"/>
  <c r="O3435" i="8"/>
  <c r="R3435" i="8" s="1"/>
  <c r="S3435" i="8" s="1"/>
  <c r="U3435" i="8"/>
  <c r="W3435" i="8"/>
  <c r="O3436" i="8"/>
  <c r="R3436" i="8" s="1"/>
  <c r="S3436" i="8" s="1"/>
  <c r="U3436" i="8"/>
  <c r="W3436" i="8"/>
  <c r="O3437" i="8"/>
  <c r="R3437" i="8" s="1"/>
  <c r="S3437" i="8" s="1"/>
  <c r="U3437" i="8"/>
  <c r="W3437" i="8"/>
  <c r="O3438" i="8"/>
  <c r="R3438" i="8" s="1"/>
  <c r="S3438" i="8" s="1"/>
  <c r="U3438" i="8"/>
  <c r="W3438" i="8"/>
  <c r="O3439" i="8"/>
  <c r="R3439" i="8" s="1"/>
  <c r="S3439" i="8" s="1"/>
  <c r="U3439" i="8"/>
  <c r="W3439" i="8"/>
  <c r="O3440" i="8"/>
  <c r="R3440" i="8" s="1"/>
  <c r="S3440" i="8" s="1"/>
  <c r="U3440" i="8"/>
  <c r="W3440" i="8"/>
  <c r="O3441" i="8"/>
  <c r="R3441" i="8" s="1"/>
  <c r="S3441" i="8" s="1"/>
  <c r="U3441" i="8"/>
  <c r="W3441" i="8"/>
  <c r="O3442" i="8"/>
  <c r="R3442" i="8" s="1"/>
  <c r="S3442" i="8" s="1"/>
  <c r="U3442" i="8"/>
  <c r="W3442" i="8"/>
  <c r="O3443" i="8"/>
  <c r="R3443" i="8" s="1"/>
  <c r="S3443" i="8" s="1"/>
  <c r="U3443" i="8"/>
  <c r="W3443" i="8"/>
  <c r="O3444" i="8"/>
  <c r="R3444" i="8" s="1"/>
  <c r="S3444" i="8" s="1"/>
  <c r="U3444" i="8"/>
  <c r="W3444" i="8"/>
  <c r="O3445" i="8"/>
  <c r="R3445" i="8" s="1"/>
  <c r="S3445" i="8" s="1"/>
  <c r="U3445" i="8"/>
  <c r="W3445" i="8"/>
  <c r="O3446" i="8"/>
  <c r="R3446" i="8" s="1"/>
  <c r="S3446" i="8" s="1"/>
  <c r="U3446" i="8"/>
  <c r="W3446" i="8"/>
  <c r="O3447" i="8"/>
  <c r="R3447" i="8" s="1"/>
  <c r="S3447" i="8" s="1"/>
  <c r="U3447" i="8"/>
  <c r="W3447" i="8"/>
  <c r="O3448" i="8"/>
  <c r="R3448" i="8" s="1"/>
  <c r="S3448" i="8" s="1"/>
  <c r="U3448" i="8"/>
  <c r="W3448" i="8"/>
  <c r="O3449" i="8"/>
  <c r="R3449" i="8" s="1"/>
  <c r="S3449" i="8" s="1"/>
  <c r="U3449" i="8"/>
  <c r="W3449" i="8"/>
  <c r="O3450" i="8"/>
  <c r="R3450" i="8" s="1"/>
  <c r="S3450" i="8" s="1"/>
  <c r="U3450" i="8"/>
  <c r="W3450" i="8"/>
  <c r="O3451" i="8"/>
  <c r="R3451" i="8" s="1"/>
  <c r="S3451" i="8" s="1"/>
  <c r="U3451" i="8"/>
  <c r="W3451" i="8"/>
  <c r="O3452" i="8"/>
  <c r="R3452" i="8" s="1"/>
  <c r="S3452" i="8" s="1"/>
  <c r="U3452" i="8"/>
  <c r="W3452" i="8"/>
  <c r="O3453" i="8"/>
  <c r="R3453" i="8" s="1"/>
  <c r="S3453" i="8" s="1"/>
  <c r="U3453" i="8"/>
  <c r="W3453" i="8"/>
  <c r="O3454" i="8"/>
  <c r="R3454" i="8" s="1"/>
  <c r="S3454" i="8" s="1"/>
  <c r="U3454" i="8"/>
  <c r="W3454" i="8"/>
  <c r="O3455" i="8"/>
  <c r="R3455" i="8" s="1"/>
  <c r="S3455" i="8" s="1"/>
  <c r="U3455" i="8"/>
  <c r="W3455" i="8"/>
  <c r="O3456" i="8"/>
  <c r="R3456" i="8" s="1"/>
  <c r="S3456" i="8" s="1"/>
  <c r="U3456" i="8"/>
  <c r="W3456" i="8"/>
  <c r="O3457" i="8"/>
  <c r="R3457" i="8" s="1"/>
  <c r="S3457" i="8" s="1"/>
  <c r="U3457" i="8"/>
  <c r="W3457" i="8"/>
  <c r="O3458" i="8"/>
  <c r="R3458" i="8" s="1"/>
  <c r="S3458" i="8" s="1"/>
  <c r="U3458" i="8"/>
  <c r="W3458" i="8"/>
  <c r="O3459" i="8"/>
  <c r="R3459" i="8" s="1"/>
  <c r="S3459" i="8" s="1"/>
  <c r="U3459" i="8"/>
  <c r="W3459" i="8"/>
  <c r="O3460" i="8"/>
  <c r="R3460" i="8" s="1"/>
  <c r="S3460" i="8" s="1"/>
  <c r="U3460" i="8"/>
  <c r="W3460" i="8"/>
  <c r="O3461" i="8"/>
  <c r="R3461" i="8" s="1"/>
  <c r="S3461" i="8" s="1"/>
  <c r="U3461" i="8"/>
  <c r="W3461" i="8"/>
  <c r="O3462" i="8"/>
  <c r="R3462" i="8" s="1"/>
  <c r="S3462" i="8" s="1"/>
  <c r="U3462" i="8"/>
  <c r="W3462" i="8"/>
  <c r="O3463" i="8"/>
  <c r="R3463" i="8" s="1"/>
  <c r="S3463" i="8" s="1"/>
  <c r="U3463" i="8"/>
  <c r="W3463" i="8"/>
  <c r="O3464" i="8"/>
  <c r="R3464" i="8" s="1"/>
  <c r="S3464" i="8" s="1"/>
  <c r="U3464" i="8"/>
  <c r="W3464" i="8"/>
  <c r="O3465" i="8"/>
  <c r="R3465" i="8" s="1"/>
  <c r="S3465" i="8" s="1"/>
  <c r="U3465" i="8"/>
  <c r="W3465" i="8"/>
  <c r="O3466" i="8"/>
  <c r="R3466" i="8" s="1"/>
  <c r="S3466" i="8" s="1"/>
  <c r="U3466" i="8"/>
  <c r="W3466" i="8"/>
  <c r="O3467" i="8"/>
  <c r="R3467" i="8" s="1"/>
  <c r="S3467" i="8" s="1"/>
  <c r="U3467" i="8"/>
  <c r="W3467" i="8"/>
  <c r="O3468" i="8"/>
  <c r="R3468" i="8" s="1"/>
  <c r="S3468" i="8" s="1"/>
  <c r="U3468" i="8"/>
  <c r="W3468" i="8"/>
  <c r="O3469" i="8"/>
  <c r="R3469" i="8" s="1"/>
  <c r="S3469" i="8" s="1"/>
  <c r="U3469" i="8"/>
  <c r="W3469" i="8"/>
  <c r="O3470" i="8"/>
  <c r="R3470" i="8" s="1"/>
  <c r="S3470" i="8" s="1"/>
  <c r="U3470" i="8"/>
  <c r="W3470" i="8"/>
  <c r="O3471" i="8"/>
  <c r="R3471" i="8" s="1"/>
  <c r="S3471" i="8" s="1"/>
  <c r="U3471" i="8"/>
  <c r="W3471" i="8"/>
  <c r="O3472" i="8"/>
  <c r="R3472" i="8" s="1"/>
  <c r="S3472" i="8" s="1"/>
  <c r="U3472" i="8"/>
  <c r="W3472" i="8"/>
  <c r="O3473" i="8"/>
  <c r="R3473" i="8" s="1"/>
  <c r="S3473" i="8" s="1"/>
  <c r="U3473" i="8"/>
  <c r="W3473" i="8"/>
  <c r="O3474" i="8"/>
  <c r="R3474" i="8" s="1"/>
  <c r="S3474" i="8" s="1"/>
  <c r="O70" i="5" s="1"/>
  <c r="U3474" i="8"/>
  <c r="Q70" i="5" s="1"/>
  <c r="W3474" i="8"/>
  <c r="M70" i="5" s="1"/>
  <c r="O3475" i="8"/>
  <c r="R3475" i="8" s="1"/>
  <c r="S3475" i="8" s="1"/>
  <c r="U3475" i="8"/>
  <c r="W3475" i="8"/>
  <c r="O3476" i="8"/>
  <c r="R3476" i="8" s="1"/>
  <c r="S3476" i="8" s="1"/>
  <c r="U3476" i="8"/>
  <c r="W3476" i="8"/>
  <c r="O3477" i="8"/>
  <c r="R3477" i="8" s="1"/>
  <c r="S3477" i="8" s="1"/>
  <c r="U3477" i="8"/>
  <c r="W3477" i="8"/>
  <c r="O3478" i="8"/>
  <c r="R3478" i="8" s="1"/>
  <c r="S3478" i="8" s="1"/>
  <c r="U3478" i="8"/>
  <c r="W3478" i="8"/>
  <c r="O3479" i="8"/>
  <c r="R3479" i="8" s="1"/>
  <c r="S3479" i="8" s="1"/>
  <c r="U3479" i="8"/>
  <c r="W3479" i="8"/>
  <c r="O3480" i="8"/>
  <c r="R3480" i="8" s="1"/>
  <c r="S3480" i="8" s="1"/>
  <c r="U3480" i="8"/>
  <c r="W3480" i="8"/>
  <c r="O3481" i="8"/>
  <c r="R3481" i="8" s="1"/>
  <c r="S3481" i="8" s="1"/>
  <c r="U3481" i="8"/>
  <c r="W3481" i="8"/>
  <c r="O3482" i="8"/>
  <c r="R3482" i="8" s="1"/>
  <c r="S3482" i="8" s="1"/>
  <c r="U3482" i="8"/>
  <c r="W3482" i="8"/>
  <c r="O3483" i="8"/>
  <c r="R3483" i="8" s="1"/>
  <c r="S3483" i="8" s="1"/>
  <c r="U3483" i="8"/>
  <c r="W3483" i="8"/>
  <c r="O3484" i="8"/>
  <c r="R3484" i="8" s="1"/>
  <c r="S3484" i="8" s="1"/>
  <c r="U3484" i="8"/>
  <c r="W3484" i="8"/>
  <c r="O3485" i="8"/>
  <c r="R3485" i="8" s="1"/>
  <c r="S3485" i="8" s="1"/>
  <c r="U3485" i="8"/>
  <c r="W3485" i="8"/>
  <c r="O3486" i="8"/>
  <c r="R3486" i="8" s="1"/>
  <c r="S3486" i="8" s="1"/>
  <c r="U3486" i="8"/>
  <c r="W3486" i="8"/>
  <c r="O3487" i="8"/>
  <c r="R3487" i="8" s="1"/>
  <c r="S3487" i="8" s="1"/>
  <c r="U3487" i="8"/>
  <c r="W3487" i="8"/>
  <c r="O3488" i="8"/>
  <c r="R3488" i="8" s="1"/>
  <c r="S3488" i="8" s="1"/>
  <c r="U3488" i="8"/>
  <c r="W3488" i="8"/>
  <c r="O3489" i="8"/>
  <c r="R3489" i="8" s="1"/>
  <c r="S3489" i="8" s="1"/>
  <c r="U3489" i="8"/>
  <c r="W3489" i="8"/>
  <c r="O3490" i="8"/>
  <c r="R3490" i="8" s="1"/>
  <c r="S3490" i="8" s="1"/>
  <c r="U3490" i="8"/>
  <c r="W3490" i="8"/>
  <c r="O3491" i="8"/>
  <c r="R3491" i="8" s="1"/>
  <c r="S3491" i="8" s="1"/>
  <c r="U3491" i="8"/>
  <c r="W3491" i="8"/>
  <c r="O3492" i="8"/>
  <c r="R3492" i="8" s="1"/>
  <c r="S3492" i="8" s="1"/>
  <c r="U3492" i="8"/>
  <c r="W3492" i="8"/>
  <c r="O3493" i="8"/>
  <c r="R3493" i="8" s="1"/>
  <c r="S3493" i="8" s="1"/>
  <c r="U3493" i="8"/>
  <c r="W3493" i="8"/>
  <c r="O3494" i="8"/>
  <c r="R3494" i="8" s="1"/>
  <c r="S3494" i="8" s="1"/>
  <c r="U3494" i="8"/>
  <c r="W3494" i="8"/>
  <c r="O3495" i="8"/>
  <c r="R3495" i="8" s="1"/>
  <c r="S3495" i="8" s="1"/>
  <c r="U3495" i="8"/>
  <c r="W3495" i="8"/>
  <c r="O3496" i="8"/>
  <c r="R3496" i="8" s="1"/>
  <c r="S3496" i="8" s="1"/>
  <c r="U3496" i="8"/>
  <c r="W3496" i="8"/>
  <c r="O3497" i="8"/>
  <c r="R3497" i="8" s="1"/>
  <c r="S3497" i="8" s="1"/>
  <c r="U3497" i="8"/>
  <c r="W3497" i="8"/>
  <c r="O3498" i="8"/>
  <c r="R3498" i="8" s="1"/>
  <c r="S3498" i="8" s="1"/>
  <c r="U3498" i="8"/>
  <c r="W3498" i="8"/>
  <c r="O3499" i="8"/>
  <c r="R3499" i="8" s="1"/>
  <c r="S3499" i="8" s="1"/>
  <c r="U3499" i="8"/>
  <c r="W3499" i="8"/>
  <c r="O3500" i="8"/>
  <c r="R3500" i="8" s="1"/>
  <c r="S3500" i="8" s="1"/>
  <c r="U3500" i="8"/>
  <c r="W3500" i="8"/>
  <c r="O3501" i="8"/>
  <c r="R3501" i="8" s="1"/>
  <c r="S3501" i="8" s="1"/>
  <c r="U3501" i="8"/>
  <c r="W3501" i="8"/>
  <c r="O3502" i="8"/>
  <c r="R3502" i="8" s="1"/>
  <c r="S3502" i="8" s="1"/>
  <c r="U3502" i="8"/>
  <c r="W3502" i="8"/>
  <c r="O3503" i="8"/>
  <c r="R3503" i="8" s="1"/>
  <c r="S3503" i="8" s="1"/>
  <c r="U3503" i="8"/>
  <c r="W3503" i="8"/>
  <c r="O3504" i="8"/>
  <c r="R3504" i="8" s="1"/>
  <c r="S3504" i="8" s="1"/>
  <c r="O71" i="5" s="1"/>
  <c r="U3504" i="8"/>
  <c r="Q71" i="5" s="1"/>
  <c r="W3504" i="8"/>
  <c r="M71" i="5" s="1"/>
  <c r="O3505" i="8"/>
  <c r="R3505" i="8" s="1"/>
  <c r="S3505" i="8" s="1"/>
  <c r="O20" i="5" s="1"/>
  <c r="U3505" i="8"/>
  <c r="Q20" i="5" s="1"/>
  <c r="W3505" i="8"/>
  <c r="M20" i="5" s="1"/>
  <c r="O3506" i="8"/>
  <c r="R3506" i="8" s="1"/>
  <c r="S3506" i="8" s="1"/>
  <c r="U3506" i="8"/>
  <c r="W3506" i="8"/>
  <c r="O3507" i="8"/>
  <c r="R3507" i="8" s="1"/>
  <c r="S3507" i="8" s="1"/>
  <c r="U3507" i="8"/>
  <c r="W3507" i="8"/>
  <c r="O3508" i="8"/>
  <c r="R3508" i="8" s="1"/>
  <c r="S3508" i="8" s="1"/>
  <c r="U3508" i="8"/>
  <c r="W3508" i="8"/>
  <c r="O3509" i="8"/>
  <c r="R3509" i="8" s="1"/>
  <c r="S3509" i="8" s="1"/>
  <c r="U3509" i="8"/>
  <c r="W3509" i="8"/>
  <c r="O3510" i="8"/>
  <c r="R3510" i="8" s="1"/>
  <c r="S3510" i="8" s="1"/>
  <c r="U3510" i="8"/>
  <c r="W3510" i="8"/>
  <c r="O3511" i="8"/>
  <c r="R3511" i="8" s="1"/>
  <c r="S3511" i="8" s="1"/>
  <c r="U3511" i="8"/>
  <c r="W3511" i="8"/>
  <c r="O3512" i="8"/>
  <c r="R3512" i="8" s="1"/>
  <c r="S3512" i="8" s="1"/>
  <c r="U3512" i="8"/>
  <c r="W3512" i="8"/>
  <c r="O3513" i="8"/>
  <c r="R3513" i="8" s="1"/>
  <c r="S3513" i="8" s="1"/>
  <c r="U3513" i="8"/>
  <c r="W3513" i="8"/>
  <c r="O3514" i="8"/>
  <c r="R3514" i="8" s="1"/>
  <c r="S3514" i="8" s="1"/>
  <c r="U3514" i="8"/>
  <c r="W3514" i="8"/>
  <c r="O3515" i="8"/>
  <c r="R3515" i="8" s="1"/>
  <c r="S3515" i="8" s="1"/>
  <c r="U3515" i="8"/>
  <c r="W3515" i="8"/>
  <c r="O3516" i="8"/>
  <c r="R3516" i="8" s="1"/>
  <c r="S3516" i="8" s="1"/>
  <c r="U3516" i="8"/>
  <c r="W3516" i="8"/>
  <c r="O3517" i="8"/>
  <c r="R3517" i="8" s="1"/>
  <c r="S3517" i="8" s="1"/>
  <c r="U3517" i="8"/>
  <c r="W3517" i="8"/>
  <c r="O3518" i="8"/>
  <c r="R3518" i="8" s="1"/>
  <c r="S3518" i="8" s="1"/>
  <c r="U3518" i="8"/>
  <c r="W3518" i="8"/>
  <c r="O3519" i="8"/>
  <c r="R3519" i="8" s="1"/>
  <c r="S3519" i="8" s="1"/>
  <c r="U3519" i="8"/>
  <c r="W3519" i="8"/>
  <c r="O3520" i="8"/>
  <c r="R3520" i="8" s="1"/>
  <c r="S3520" i="8" s="1"/>
  <c r="U3520" i="8"/>
  <c r="W3520" i="8"/>
  <c r="O3521" i="8"/>
  <c r="R3521" i="8" s="1"/>
  <c r="S3521" i="8" s="1"/>
  <c r="U3521" i="8"/>
  <c r="W3521" i="8"/>
  <c r="O3522" i="8"/>
  <c r="R3522" i="8" s="1"/>
  <c r="S3522" i="8" s="1"/>
  <c r="U3522" i="8"/>
  <c r="W3522" i="8"/>
  <c r="O3523" i="8"/>
  <c r="R3523" i="8" s="1"/>
  <c r="S3523" i="8" s="1"/>
  <c r="U3523" i="8"/>
  <c r="W3523" i="8"/>
  <c r="O3524" i="8"/>
  <c r="R3524" i="8" s="1"/>
  <c r="S3524" i="8" s="1"/>
  <c r="U3524" i="8"/>
  <c r="W3524" i="8"/>
  <c r="O3525" i="8"/>
  <c r="R3525" i="8" s="1"/>
  <c r="S3525" i="8" s="1"/>
  <c r="U3525" i="8"/>
  <c r="W3525" i="8"/>
  <c r="O3526" i="8"/>
  <c r="R3526" i="8" s="1"/>
  <c r="S3526" i="8" s="1"/>
  <c r="U3526" i="8"/>
  <c r="W3526" i="8"/>
  <c r="O3527" i="8"/>
  <c r="R3527" i="8" s="1"/>
  <c r="S3527" i="8" s="1"/>
  <c r="U3527" i="8"/>
  <c r="W3527" i="8"/>
  <c r="O3528" i="8"/>
  <c r="R3528" i="8" s="1"/>
  <c r="S3528" i="8" s="1"/>
  <c r="U3528" i="8"/>
  <c r="W3528" i="8"/>
  <c r="O3529" i="8"/>
  <c r="R3529" i="8" s="1"/>
  <c r="S3529" i="8" s="1"/>
  <c r="U3529" i="8"/>
  <c r="W3529" i="8"/>
  <c r="O3530" i="8"/>
  <c r="R3530" i="8" s="1"/>
  <c r="S3530" i="8" s="1"/>
  <c r="U3530" i="8"/>
  <c r="W3530" i="8"/>
  <c r="O3531" i="8"/>
  <c r="R3531" i="8" s="1"/>
  <c r="S3531" i="8" s="1"/>
  <c r="U3531" i="8"/>
  <c r="W3531" i="8"/>
  <c r="O3532" i="8"/>
  <c r="R3532" i="8" s="1"/>
  <c r="S3532" i="8" s="1"/>
  <c r="O21" i="5" s="1"/>
  <c r="U3532" i="8"/>
  <c r="Q21" i="5" s="1"/>
  <c r="W3532" i="8"/>
  <c r="M21" i="5" s="1"/>
  <c r="O3533" i="8"/>
  <c r="R3533" i="8" s="1"/>
  <c r="S3533" i="8" s="1"/>
  <c r="U3533" i="8"/>
  <c r="W3533" i="8"/>
  <c r="O3534" i="8"/>
  <c r="R3534" i="8" s="1"/>
  <c r="S3534" i="8" s="1"/>
  <c r="U3534" i="8"/>
  <c r="W3534" i="8"/>
  <c r="O3535" i="8"/>
  <c r="R3535" i="8" s="1"/>
  <c r="S3535" i="8" s="1"/>
  <c r="U3535" i="8"/>
  <c r="W3535" i="8"/>
  <c r="O3536" i="8"/>
  <c r="R3536" i="8" s="1"/>
  <c r="S3536" i="8" s="1"/>
  <c r="U3536" i="8"/>
  <c r="W3536" i="8"/>
  <c r="O3537" i="8"/>
  <c r="R3537" i="8" s="1"/>
  <c r="S3537" i="8" s="1"/>
  <c r="U3537" i="8"/>
  <c r="W3537" i="8"/>
  <c r="O3538" i="8"/>
  <c r="R3538" i="8" s="1"/>
  <c r="S3538" i="8" s="1"/>
  <c r="U3538" i="8"/>
  <c r="W3538" i="8"/>
  <c r="O3539" i="8"/>
  <c r="R3539" i="8" s="1"/>
  <c r="S3539" i="8" s="1"/>
  <c r="U3539" i="8"/>
  <c r="W3539" i="8"/>
  <c r="O3540" i="8"/>
  <c r="R3540" i="8" s="1"/>
  <c r="S3540" i="8" s="1"/>
  <c r="U3540" i="8"/>
  <c r="W3540" i="8"/>
  <c r="O3541" i="8"/>
  <c r="R3541" i="8" s="1"/>
  <c r="S3541" i="8" s="1"/>
  <c r="U3541" i="8"/>
  <c r="W3541" i="8"/>
  <c r="O3542" i="8"/>
  <c r="R3542" i="8" s="1"/>
  <c r="S3542" i="8" s="1"/>
  <c r="U3542" i="8"/>
  <c r="W3542" i="8"/>
  <c r="O3543" i="8"/>
  <c r="R3543" i="8" s="1"/>
  <c r="S3543" i="8" s="1"/>
  <c r="U3543" i="8"/>
  <c r="W3543" i="8"/>
  <c r="O3544" i="8"/>
  <c r="R3544" i="8" s="1"/>
  <c r="S3544" i="8" s="1"/>
  <c r="U3544" i="8"/>
  <c r="W3544" i="8"/>
  <c r="O3545" i="8"/>
  <c r="R3545" i="8" s="1"/>
  <c r="S3545" i="8" s="1"/>
  <c r="U3545" i="8"/>
  <c r="W3545" i="8"/>
  <c r="O3546" i="8"/>
  <c r="R3546" i="8" s="1"/>
  <c r="S3546" i="8" s="1"/>
  <c r="U3546" i="8"/>
  <c r="W3546" i="8"/>
  <c r="O3547" i="8"/>
  <c r="R3547" i="8" s="1"/>
  <c r="S3547" i="8" s="1"/>
  <c r="U3547" i="8"/>
  <c r="W3547" i="8"/>
  <c r="O3548" i="8"/>
  <c r="R3548" i="8" s="1"/>
  <c r="S3548" i="8" s="1"/>
  <c r="U3548" i="8"/>
  <c r="W3548" i="8"/>
  <c r="T3749" i="8"/>
  <c r="T3750" i="8"/>
  <c r="T3751" i="8"/>
  <c r="T3752" i="8"/>
  <c r="T3753" i="8"/>
  <c r="T3754" i="8"/>
  <c r="U3755" i="8"/>
  <c r="T3756" i="8"/>
  <c r="T3757" i="8"/>
  <c r="T3758" i="8"/>
  <c r="T3759" i="8"/>
  <c r="T3760" i="8"/>
  <c r="T3761" i="8"/>
  <c r="T3762" i="8"/>
  <c r="T3763" i="8"/>
  <c r="T3764" i="8"/>
  <c r="T3765" i="8"/>
  <c r="T3766" i="8"/>
  <c r="T3767" i="8"/>
  <c r="T3768" i="8"/>
  <c r="T3769" i="8"/>
  <c r="T3770" i="8"/>
  <c r="P22" i="5" s="1"/>
  <c r="T3771" i="8"/>
  <c r="T3772" i="8"/>
  <c r="T3773" i="8"/>
  <c r="T3774" i="8"/>
  <c r="T3775" i="8"/>
  <c r="T3776" i="8"/>
  <c r="T3777" i="8"/>
  <c r="T3778" i="8"/>
  <c r="T3779" i="8"/>
  <c r="W3549" i="8"/>
  <c r="U3549" i="8"/>
  <c r="O3549" i="8"/>
  <c r="R3549" i="8" s="1"/>
  <c r="S3549" i="8" s="1"/>
  <c r="W3550" i="8"/>
  <c r="U3550" i="8"/>
  <c r="O3550" i="8"/>
  <c r="R3550" i="8" s="1"/>
  <c r="S3550" i="8" s="1"/>
  <c r="W3551" i="8"/>
  <c r="U3551" i="8"/>
  <c r="O3551" i="8"/>
  <c r="R3551" i="8" s="1"/>
  <c r="S3551" i="8" s="1"/>
  <c r="W3552" i="8"/>
  <c r="U3552" i="8"/>
  <c r="O3552" i="8"/>
  <c r="R3552" i="8" s="1"/>
  <c r="S3552" i="8" s="1"/>
  <c r="W3553" i="8"/>
  <c r="U3553" i="8"/>
  <c r="O3553" i="8"/>
  <c r="R3553" i="8" s="1"/>
  <c r="S3553" i="8" s="1"/>
  <c r="W3554" i="8"/>
  <c r="U3554" i="8"/>
  <c r="O3554" i="8"/>
  <c r="R3554" i="8" s="1"/>
  <c r="S3554" i="8" s="1"/>
  <c r="W3555" i="8"/>
  <c r="U3555" i="8"/>
  <c r="O3555" i="8"/>
  <c r="R3555" i="8" s="1"/>
  <c r="S3555" i="8" s="1"/>
  <c r="W3556" i="8"/>
  <c r="U3556" i="8"/>
  <c r="O3556" i="8"/>
  <c r="R3556" i="8" s="1"/>
  <c r="S3556" i="8" s="1"/>
  <c r="W3557" i="8"/>
  <c r="U3557" i="8"/>
  <c r="O3557" i="8"/>
  <c r="R3557" i="8" s="1"/>
  <c r="S3557" i="8" s="1"/>
  <c r="W3558" i="8"/>
  <c r="U3558" i="8"/>
  <c r="O3558" i="8"/>
  <c r="R3558" i="8" s="1"/>
  <c r="S3558" i="8" s="1"/>
  <c r="W3559" i="8"/>
  <c r="U3559" i="8"/>
  <c r="O3559" i="8"/>
  <c r="R3559" i="8" s="1"/>
  <c r="S3559" i="8" s="1"/>
  <c r="W3560" i="8"/>
  <c r="U3560" i="8"/>
  <c r="O3560" i="8"/>
  <c r="R3560" i="8" s="1"/>
  <c r="S3560" i="8" s="1"/>
  <c r="W3561" i="8"/>
  <c r="U3561" i="8"/>
  <c r="O3561" i="8"/>
  <c r="R3561" i="8" s="1"/>
  <c r="S3561" i="8" s="1"/>
  <c r="W3562" i="8"/>
  <c r="U3562" i="8"/>
  <c r="O3562" i="8"/>
  <c r="R3562" i="8" s="1"/>
  <c r="S3562" i="8" s="1"/>
  <c r="W3563" i="8"/>
  <c r="U3563" i="8"/>
  <c r="O3563" i="8"/>
  <c r="R3563" i="8" s="1"/>
  <c r="S3563" i="8" s="1"/>
  <c r="W3564" i="8"/>
  <c r="U3564" i="8"/>
  <c r="O3564" i="8"/>
  <c r="R3564" i="8" s="1"/>
  <c r="S3564" i="8" s="1"/>
  <c r="W3565" i="8"/>
  <c r="U3565" i="8"/>
  <c r="O3565" i="8"/>
  <c r="R3565" i="8" s="1"/>
  <c r="S3565" i="8" s="1"/>
  <c r="W3566" i="8"/>
  <c r="U3566" i="8"/>
  <c r="O3566" i="8"/>
  <c r="R3566" i="8" s="1"/>
  <c r="S3566" i="8" s="1"/>
  <c r="W3567" i="8"/>
  <c r="U3567" i="8"/>
  <c r="O3567" i="8"/>
  <c r="R3567" i="8" s="1"/>
  <c r="S3567" i="8" s="1"/>
  <c r="W3568" i="8"/>
  <c r="U3568" i="8"/>
  <c r="O3568" i="8"/>
  <c r="R3568" i="8" s="1"/>
  <c r="S3568" i="8" s="1"/>
  <c r="W3569" i="8"/>
  <c r="U3569" i="8"/>
  <c r="O3569" i="8"/>
  <c r="R3569" i="8" s="1"/>
  <c r="S3569" i="8" s="1"/>
  <c r="W3570" i="8"/>
  <c r="U3570" i="8"/>
  <c r="O3570" i="8"/>
  <c r="R3570" i="8" s="1"/>
  <c r="S3570" i="8" s="1"/>
  <c r="W3571" i="8"/>
  <c r="U3571" i="8"/>
  <c r="O3571" i="8"/>
  <c r="R3571" i="8" s="1"/>
  <c r="S3571" i="8" s="1"/>
  <c r="W3572" i="8"/>
  <c r="U3572" i="8"/>
  <c r="O3572" i="8"/>
  <c r="R3572" i="8" s="1"/>
  <c r="S3572" i="8" s="1"/>
  <c r="W3573" i="8"/>
  <c r="U3573" i="8"/>
  <c r="O3573" i="8"/>
  <c r="R3573" i="8" s="1"/>
  <c r="S3573" i="8" s="1"/>
  <c r="W3574" i="8"/>
  <c r="M64" i="5" s="1"/>
  <c r="U3574" i="8"/>
  <c r="Q64" i="5" s="1"/>
  <c r="O3574" i="8"/>
  <c r="R3574" i="8" s="1"/>
  <c r="S3574" i="8" s="1"/>
  <c r="O64" i="5" s="1"/>
  <c r="W3575" i="8"/>
  <c r="U3575" i="8"/>
  <c r="O3575" i="8"/>
  <c r="R3575" i="8" s="1"/>
  <c r="S3575" i="8" s="1"/>
  <c r="W3576" i="8"/>
  <c r="U3576" i="8"/>
  <c r="O3576" i="8"/>
  <c r="R3576" i="8" s="1"/>
  <c r="S3576" i="8" s="1"/>
  <c r="W3577" i="8"/>
  <c r="U3577" i="8"/>
  <c r="O3577" i="8"/>
  <c r="R3577" i="8" s="1"/>
  <c r="S3577" i="8" s="1"/>
  <c r="W3578" i="8"/>
  <c r="U3578" i="8"/>
  <c r="O3578" i="8"/>
  <c r="R3578" i="8" s="1"/>
  <c r="S3578" i="8" s="1"/>
  <c r="W3579" i="8"/>
  <c r="U3579" i="8"/>
  <c r="O3579" i="8"/>
  <c r="R3579" i="8" s="1"/>
  <c r="S3579" i="8" s="1"/>
  <c r="W3580" i="8"/>
  <c r="U3580" i="8"/>
  <c r="O3580" i="8"/>
  <c r="R3580" i="8" s="1"/>
  <c r="S3580" i="8" s="1"/>
  <c r="W3581" i="8"/>
  <c r="U3581" i="8"/>
  <c r="O3581" i="8"/>
  <c r="R3581" i="8" s="1"/>
  <c r="S3581" i="8" s="1"/>
  <c r="W3582" i="8"/>
  <c r="U3582" i="8"/>
  <c r="O3582" i="8"/>
  <c r="R3582" i="8" s="1"/>
  <c r="S3582" i="8" s="1"/>
  <c r="W3583" i="8"/>
  <c r="U3583" i="8"/>
  <c r="O3583" i="8"/>
  <c r="R3583" i="8" s="1"/>
  <c r="S3583" i="8" s="1"/>
  <c r="W3584" i="8"/>
  <c r="U3584" i="8"/>
  <c r="O3584" i="8"/>
  <c r="R3584" i="8" s="1"/>
  <c r="S3584" i="8" s="1"/>
  <c r="W3585" i="8"/>
  <c r="U3585" i="8"/>
  <c r="O3585" i="8"/>
  <c r="R3585" i="8" s="1"/>
  <c r="S3585" i="8" s="1"/>
  <c r="W3586" i="8"/>
  <c r="U3586" i="8"/>
  <c r="O3586" i="8"/>
  <c r="R3586" i="8" s="1"/>
  <c r="S3586" i="8" s="1"/>
  <c r="W3587" i="8"/>
  <c r="U3587" i="8"/>
  <c r="O3587" i="8"/>
  <c r="R3587" i="8" s="1"/>
  <c r="S3587" i="8" s="1"/>
  <c r="W3588" i="8"/>
  <c r="U3588" i="8"/>
  <c r="O3588" i="8"/>
  <c r="R3588" i="8" s="1"/>
  <c r="S3588" i="8" s="1"/>
  <c r="W3589" i="8"/>
  <c r="U3589" i="8"/>
  <c r="O3589" i="8"/>
  <c r="R3589" i="8" s="1"/>
  <c r="S3589" i="8" s="1"/>
  <c r="W3590" i="8"/>
  <c r="U3590" i="8"/>
  <c r="O3590" i="8"/>
  <c r="R3590" i="8" s="1"/>
  <c r="S3590" i="8" s="1"/>
  <c r="W3591" i="8"/>
  <c r="U3591" i="8"/>
  <c r="O3591" i="8"/>
  <c r="R3591" i="8" s="1"/>
  <c r="S3591" i="8" s="1"/>
  <c r="W3592" i="8"/>
  <c r="U3592" i="8"/>
  <c r="O3592" i="8"/>
  <c r="R3592" i="8" s="1"/>
  <c r="S3592" i="8" s="1"/>
  <c r="W3593" i="8"/>
  <c r="U3593" i="8"/>
  <c r="O3593" i="8"/>
  <c r="R3593" i="8" s="1"/>
  <c r="S3593" i="8" s="1"/>
  <c r="W3594" i="8"/>
  <c r="U3594" i="8"/>
  <c r="O3594" i="8"/>
  <c r="R3594" i="8" s="1"/>
  <c r="S3594" i="8" s="1"/>
  <c r="W3595" i="8"/>
  <c r="U3595" i="8"/>
  <c r="O3595" i="8"/>
  <c r="R3595" i="8" s="1"/>
  <c r="S3595" i="8" s="1"/>
  <c r="W3596" i="8"/>
  <c r="U3596" i="8"/>
  <c r="O3596" i="8"/>
  <c r="R3596" i="8" s="1"/>
  <c r="S3596" i="8" s="1"/>
  <c r="W3597" i="8"/>
  <c r="U3597" i="8"/>
  <c r="O3597" i="8"/>
  <c r="R3597" i="8" s="1"/>
  <c r="S3597" i="8" s="1"/>
  <c r="W3598" i="8"/>
  <c r="U3598" i="8"/>
  <c r="O3598" i="8"/>
  <c r="R3598" i="8" s="1"/>
  <c r="S3598" i="8" s="1"/>
  <c r="W3599" i="8"/>
  <c r="U3599" i="8"/>
  <c r="O3599" i="8"/>
  <c r="R3599" i="8" s="1"/>
  <c r="S3599" i="8" s="1"/>
  <c r="W3600" i="8"/>
  <c r="U3600" i="8"/>
  <c r="O3600" i="8"/>
  <c r="R3600" i="8" s="1"/>
  <c r="S3600" i="8" s="1"/>
  <c r="W3601" i="8"/>
  <c r="U3601" i="8"/>
  <c r="O3601" i="8"/>
  <c r="R3601" i="8" s="1"/>
  <c r="S3601" i="8" s="1"/>
  <c r="W3602" i="8"/>
  <c r="M65" i="5" s="1"/>
  <c r="U3602" i="8"/>
  <c r="Q65" i="5" s="1"/>
  <c r="F47" i="4" s="1"/>
  <c r="O3602" i="8"/>
  <c r="R3602" i="8" s="1"/>
  <c r="S3602" i="8" s="1"/>
  <c r="O65" i="5" s="1"/>
  <c r="W3603" i="8"/>
  <c r="U3603" i="8"/>
  <c r="O3603" i="8"/>
  <c r="R3603" i="8" s="1"/>
  <c r="S3603" i="8" s="1"/>
  <c r="W3604" i="8"/>
  <c r="U3604" i="8"/>
  <c r="O3604" i="8"/>
  <c r="R3604" i="8" s="1"/>
  <c r="S3604" i="8" s="1"/>
  <c r="W3605" i="8"/>
  <c r="U3605" i="8"/>
  <c r="O3605" i="8"/>
  <c r="R3605" i="8" s="1"/>
  <c r="S3605" i="8" s="1"/>
  <c r="W3606" i="8"/>
  <c r="U3606" i="8"/>
  <c r="O3606" i="8"/>
  <c r="R3606" i="8" s="1"/>
  <c r="S3606" i="8" s="1"/>
  <c r="W3607" i="8"/>
  <c r="U3607" i="8"/>
  <c r="O3607" i="8"/>
  <c r="R3607" i="8" s="1"/>
  <c r="S3607" i="8" s="1"/>
  <c r="W3608" i="8"/>
  <c r="U3608" i="8"/>
  <c r="O3608" i="8"/>
  <c r="R3608" i="8" s="1"/>
  <c r="S3608" i="8" s="1"/>
  <c r="W3609" i="8"/>
  <c r="U3609" i="8"/>
  <c r="O3609" i="8"/>
  <c r="R3609" i="8" s="1"/>
  <c r="S3609" i="8" s="1"/>
  <c r="W3610" i="8"/>
  <c r="U3610" i="8"/>
  <c r="O3610" i="8"/>
  <c r="R3610" i="8" s="1"/>
  <c r="S3610" i="8" s="1"/>
  <c r="W3611" i="8"/>
  <c r="U3611" i="8"/>
  <c r="O3611" i="8"/>
  <c r="R3611" i="8" s="1"/>
  <c r="S3611" i="8" s="1"/>
  <c r="W3612" i="8"/>
  <c r="U3612" i="8"/>
  <c r="O3612" i="8"/>
  <c r="R3612" i="8" s="1"/>
  <c r="S3612" i="8" s="1"/>
  <c r="W3613" i="8"/>
  <c r="U3613" i="8"/>
  <c r="O3613" i="8"/>
  <c r="R3613" i="8" s="1"/>
  <c r="S3613" i="8" s="1"/>
  <c r="W3614" i="8"/>
  <c r="U3614" i="8"/>
  <c r="O3614" i="8"/>
  <c r="R3614" i="8" s="1"/>
  <c r="S3614" i="8" s="1"/>
  <c r="W3615" i="8"/>
  <c r="U3615" i="8"/>
  <c r="O3615" i="8"/>
  <c r="R3615" i="8" s="1"/>
  <c r="S3615" i="8" s="1"/>
  <c r="W3616" i="8"/>
  <c r="U3616" i="8"/>
  <c r="O3616" i="8"/>
  <c r="R3616" i="8" s="1"/>
  <c r="S3616" i="8" s="1"/>
  <c r="W3617" i="8"/>
  <c r="U3617" i="8"/>
  <c r="O3617" i="8"/>
  <c r="R3617" i="8" s="1"/>
  <c r="S3617" i="8" s="1"/>
  <c r="W3618" i="8"/>
  <c r="U3618" i="8"/>
  <c r="O3618" i="8"/>
  <c r="R3618" i="8" s="1"/>
  <c r="S3618" i="8" s="1"/>
  <c r="W3619" i="8"/>
  <c r="U3619" i="8"/>
  <c r="O3619" i="8"/>
  <c r="R3619" i="8" s="1"/>
  <c r="S3619" i="8" s="1"/>
  <c r="W3620" i="8"/>
  <c r="U3620" i="8"/>
  <c r="O3620" i="8"/>
  <c r="R3620" i="8" s="1"/>
  <c r="S3620" i="8" s="1"/>
  <c r="W3621" i="8"/>
  <c r="U3621" i="8"/>
  <c r="O3621" i="8"/>
  <c r="R3621" i="8" s="1"/>
  <c r="S3621" i="8" s="1"/>
  <c r="W3622" i="8"/>
  <c r="U3622" i="8"/>
  <c r="O3622" i="8"/>
  <c r="R3622" i="8" s="1"/>
  <c r="S3622" i="8" s="1"/>
  <c r="W3623" i="8"/>
  <c r="U3623" i="8"/>
  <c r="O3623" i="8"/>
  <c r="R3623" i="8" s="1"/>
  <c r="S3623" i="8" s="1"/>
  <c r="W3624" i="8"/>
  <c r="U3624" i="8"/>
  <c r="O3624" i="8"/>
  <c r="R3624" i="8" s="1"/>
  <c r="S3624" i="8" s="1"/>
  <c r="W3625" i="8"/>
  <c r="U3625" i="8"/>
  <c r="O3625" i="8"/>
  <c r="R3625" i="8" s="1"/>
  <c r="S3625" i="8" s="1"/>
  <c r="W3626" i="8"/>
  <c r="U3626" i="8"/>
  <c r="O3626" i="8"/>
  <c r="R3626" i="8" s="1"/>
  <c r="S3626" i="8" s="1"/>
  <c r="W3627" i="8"/>
  <c r="U3627" i="8"/>
  <c r="O3627" i="8"/>
  <c r="R3627" i="8" s="1"/>
  <c r="S3627" i="8" s="1"/>
  <c r="W3628" i="8"/>
  <c r="U3628" i="8"/>
  <c r="O3628" i="8"/>
  <c r="R3628" i="8" s="1"/>
  <c r="S3628" i="8" s="1"/>
  <c r="W3629" i="8"/>
  <c r="U3629" i="8"/>
  <c r="O3629" i="8"/>
  <c r="R3629" i="8" s="1"/>
  <c r="S3629" i="8" s="1"/>
  <c r="W3630" i="8"/>
  <c r="U3630" i="8"/>
  <c r="O3630" i="8"/>
  <c r="R3630" i="8" s="1"/>
  <c r="S3630" i="8" s="1"/>
  <c r="W3631" i="8"/>
  <c r="U3631" i="8"/>
  <c r="O3631" i="8"/>
  <c r="R3631" i="8" s="1"/>
  <c r="S3631" i="8" s="1"/>
  <c r="W3632" i="8"/>
  <c r="U3632" i="8"/>
  <c r="O3632" i="8"/>
  <c r="R3632" i="8" s="1"/>
  <c r="S3632" i="8" s="1"/>
  <c r="W3633" i="8"/>
  <c r="U3633" i="8"/>
  <c r="O3633" i="8"/>
  <c r="R3633" i="8" s="1"/>
  <c r="S3633" i="8" s="1"/>
  <c r="W3634" i="8"/>
  <c r="U3634" i="8"/>
  <c r="O3634" i="8"/>
  <c r="R3634" i="8" s="1"/>
  <c r="S3634" i="8" s="1"/>
  <c r="W3635" i="8"/>
  <c r="U3635" i="8"/>
  <c r="O3635" i="8"/>
  <c r="R3635" i="8" s="1"/>
  <c r="S3635" i="8" s="1"/>
  <c r="W3636" i="8"/>
  <c r="U3636" i="8"/>
  <c r="O3636" i="8"/>
  <c r="R3636" i="8" s="1"/>
  <c r="S3636" i="8" s="1"/>
  <c r="W3637" i="8"/>
  <c r="U3637" i="8"/>
  <c r="O3637" i="8"/>
  <c r="R3637" i="8" s="1"/>
  <c r="S3637" i="8" s="1"/>
  <c r="W3638" i="8"/>
  <c r="U3638" i="8"/>
  <c r="O3638" i="8"/>
  <c r="R3638" i="8" s="1"/>
  <c r="S3638" i="8" s="1"/>
  <c r="W3639" i="8"/>
  <c r="U3639" i="8"/>
  <c r="O3639" i="8"/>
  <c r="R3639" i="8" s="1"/>
  <c r="S3639" i="8" s="1"/>
  <c r="W3640" i="8"/>
  <c r="U3640" i="8"/>
  <c r="O3640" i="8"/>
  <c r="R3640" i="8" s="1"/>
  <c r="S3640" i="8" s="1"/>
  <c r="W3641" i="8"/>
  <c r="U3641" i="8"/>
  <c r="O3641" i="8"/>
  <c r="R3641" i="8" s="1"/>
  <c r="S3641" i="8" s="1"/>
  <c r="W3642" i="8"/>
  <c r="U3642" i="8"/>
  <c r="O3642" i="8"/>
  <c r="R3642" i="8" s="1"/>
  <c r="S3642" i="8" s="1"/>
  <c r="W3643" i="8"/>
  <c r="U3643" i="8"/>
  <c r="O3643" i="8"/>
  <c r="R3643" i="8" s="1"/>
  <c r="S3643" i="8" s="1"/>
  <c r="W3644" i="8"/>
  <c r="M114" i="5" s="1"/>
  <c r="U3644" i="8"/>
  <c r="Q114" i="5" s="1"/>
  <c r="O3644" i="8"/>
  <c r="R3644" i="8" s="1"/>
  <c r="S3644" i="8" s="1"/>
  <c r="O114" i="5" s="1"/>
  <c r="W3645" i="8"/>
  <c r="U3645" i="8"/>
  <c r="O3645" i="8"/>
  <c r="R3645" i="8" s="1"/>
  <c r="S3645" i="8" s="1"/>
  <c r="W3646" i="8"/>
  <c r="U3646" i="8"/>
  <c r="O3646" i="8"/>
  <c r="R3646" i="8" s="1"/>
  <c r="S3646" i="8" s="1"/>
  <c r="W3647" i="8"/>
  <c r="U3647" i="8"/>
  <c r="O3647" i="8"/>
  <c r="R3647" i="8" s="1"/>
  <c r="S3647" i="8" s="1"/>
  <c r="W3648" i="8"/>
  <c r="U3648" i="8"/>
  <c r="O3648" i="8"/>
  <c r="R3648" i="8" s="1"/>
  <c r="S3648" i="8" s="1"/>
  <c r="W3649" i="8"/>
  <c r="U3649" i="8"/>
  <c r="O3649" i="8"/>
  <c r="R3649" i="8" s="1"/>
  <c r="S3649" i="8" s="1"/>
  <c r="W3650" i="8"/>
  <c r="U3650" i="8"/>
  <c r="O3650" i="8"/>
  <c r="R3650" i="8" s="1"/>
  <c r="S3650" i="8" s="1"/>
  <c r="W3651" i="8"/>
  <c r="U3651" i="8"/>
  <c r="O3651" i="8"/>
  <c r="R3651" i="8" s="1"/>
  <c r="S3651" i="8" s="1"/>
  <c r="W3652" i="8"/>
  <c r="U3652" i="8"/>
  <c r="O3652" i="8"/>
  <c r="R3652" i="8" s="1"/>
  <c r="S3652" i="8" s="1"/>
  <c r="W3653" i="8"/>
  <c r="U3653" i="8"/>
  <c r="O3653" i="8"/>
  <c r="R3653" i="8" s="1"/>
  <c r="S3653" i="8" s="1"/>
  <c r="W3654" i="8"/>
  <c r="U3654" i="8"/>
  <c r="O3654" i="8"/>
  <c r="R3654" i="8" s="1"/>
  <c r="S3654" i="8" s="1"/>
  <c r="W3655" i="8"/>
  <c r="U3655" i="8"/>
  <c r="O3655" i="8"/>
  <c r="R3655" i="8" s="1"/>
  <c r="S3655" i="8" s="1"/>
  <c r="W3656" i="8"/>
  <c r="U3656" i="8"/>
  <c r="O3656" i="8"/>
  <c r="R3656" i="8" s="1"/>
  <c r="S3656" i="8" s="1"/>
  <c r="W3657" i="8"/>
  <c r="U3657" i="8"/>
  <c r="O3657" i="8"/>
  <c r="R3657" i="8" s="1"/>
  <c r="S3657" i="8" s="1"/>
  <c r="W3658" i="8"/>
  <c r="U3658" i="8"/>
  <c r="O3658" i="8"/>
  <c r="R3658" i="8" s="1"/>
  <c r="S3658" i="8" s="1"/>
  <c r="W3659" i="8"/>
  <c r="U3659" i="8"/>
  <c r="O3659" i="8"/>
  <c r="R3659" i="8" s="1"/>
  <c r="S3659" i="8" s="1"/>
  <c r="W3660" i="8"/>
  <c r="U3660" i="8"/>
  <c r="O3660" i="8"/>
  <c r="R3660" i="8" s="1"/>
  <c r="S3660" i="8" s="1"/>
  <c r="W3661" i="8"/>
  <c r="U3661" i="8"/>
  <c r="O3661" i="8"/>
  <c r="R3661" i="8" s="1"/>
  <c r="S3661" i="8" s="1"/>
  <c r="W3662" i="8"/>
  <c r="U3662" i="8"/>
  <c r="O3662" i="8"/>
  <c r="R3662" i="8" s="1"/>
  <c r="S3662" i="8" s="1"/>
  <c r="W3663" i="8"/>
  <c r="U3663" i="8"/>
  <c r="O3663" i="8"/>
  <c r="R3663" i="8" s="1"/>
  <c r="S3663" i="8" s="1"/>
  <c r="W3664" i="8"/>
  <c r="U3664" i="8"/>
  <c r="O3664" i="8"/>
  <c r="R3664" i="8" s="1"/>
  <c r="S3664" i="8" s="1"/>
  <c r="W3665" i="8"/>
  <c r="U3665" i="8"/>
  <c r="O3665" i="8"/>
  <c r="R3665" i="8" s="1"/>
  <c r="S3665" i="8" s="1"/>
  <c r="W3666" i="8"/>
  <c r="U3666" i="8"/>
  <c r="O3666" i="8"/>
  <c r="R3666" i="8" s="1"/>
  <c r="S3666" i="8" s="1"/>
  <c r="W3667" i="8"/>
  <c r="U3667" i="8"/>
  <c r="O3667" i="8"/>
  <c r="R3667" i="8" s="1"/>
  <c r="S3667" i="8" s="1"/>
  <c r="W3668" i="8"/>
  <c r="U3668" i="8"/>
  <c r="O3668" i="8"/>
  <c r="R3668" i="8" s="1"/>
  <c r="S3668" i="8" s="1"/>
  <c r="W3669" i="8"/>
  <c r="U3669" i="8"/>
  <c r="O3669" i="8"/>
  <c r="R3669" i="8" s="1"/>
  <c r="S3669" i="8" s="1"/>
  <c r="W3670" i="8"/>
  <c r="U3670" i="8"/>
  <c r="O3670" i="8"/>
  <c r="R3670" i="8" s="1"/>
  <c r="S3670" i="8" s="1"/>
  <c r="W3671" i="8"/>
  <c r="M115" i="5" s="1"/>
  <c r="U3671" i="8"/>
  <c r="Q115" i="5" s="1"/>
  <c r="O3671" i="8"/>
  <c r="R3671" i="8" s="1"/>
  <c r="S3671" i="8" s="1"/>
  <c r="O115" i="5" s="1"/>
  <c r="W3672" i="8"/>
  <c r="U3672" i="8"/>
  <c r="O3672" i="8"/>
  <c r="R3672" i="8" s="1"/>
  <c r="S3672" i="8" s="1"/>
  <c r="W3673" i="8"/>
  <c r="U3673" i="8"/>
  <c r="O3673" i="8"/>
  <c r="R3673" i="8" s="1"/>
  <c r="S3673" i="8" s="1"/>
  <c r="W3674" i="8"/>
  <c r="U3674" i="8"/>
  <c r="O3674" i="8"/>
  <c r="R3674" i="8" s="1"/>
  <c r="S3674" i="8" s="1"/>
  <c r="W3675" i="8"/>
  <c r="U3675" i="8"/>
  <c r="O3675" i="8"/>
  <c r="R3675" i="8" s="1"/>
  <c r="S3675" i="8" s="1"/>
  <c r="W3676" i="8"/>
  <c r="U3676" i="8"/>
  <c r="O3676" i="8"/>
  <c r="R3676" i="8" s="1"/>
  <c r="S3676" i="8" s="1"/>
  <c r="W3677" i="8"/>
  <c r="U3677" i="8"/>
  <c r="O3677" i="8"/>
  <c r="R3677" i="8" s="1"/>
  <c r="S3677" i="8" s="1"/>
  <c r="W3678" i="8"/>
  <c r="U3678" i="8"/>
  <c r="O3678" i="8"/>
  <c r="R3678" i="8" s="1"/>
  <c r="S3678" i="8" s="1"/>
  <c r="W3679" i="8"/>
  <c r="U3679" i="8"/>
  <c r="O3679" i="8"/>
  <c r="R3679" i="8" s="1"/>
  <c r="S3679" i="8" s="1"/>
  <c r="W3680" i="8"/>
  <c r="U3680" i="8"/>
  <c r="O3680" i="8"/>
  <c r="R3680" i="8" s="1"/>
  <c r="S3680" i="8" s="1"/>
  <c r="W3681" i="8"/>
  <c r="U3681" i="8"/>
  <c r="O3681" i="8"/>
  <c r="R3681" i="8" s="1"/>
  <c r="S3681" i="8" s="1"/>
  <c r="W3682" i="8"/>
  <c r="U3682" i="8"/>
  <c r="O3682" i="8"/>
  <c r="R3682" i="8" s="1"/>
  <c r="S3682" i="8" s="1"/>
  <c r="W3683" i="8"/>
  <c r="U3683" i="8"/>
  <c r="O3683" i="8"/>
  <c r="R3683" i="8" s="1"/>
  <c r="S3683" i="8" s="1"/>
  <c r="W3684" i="8"/>
  <c r="U3684" i="8"/>
  <c r="O3684" i="8"/>
  <c r="R3684" i="8" s="1"/>
  <c r="S3684" i="8" s="1"/>
  <c r="W3685" i="8"/>
  <c r="U3685" i="8"/>
  <c r="O3685" i="8"/>
  <c r="R3685" i="8" s="1"/>
  <c r="S3685" i="8" s="1"/>
  <c r="W3686" i="8"/>
  <c r="U3686" i="8"/>
  <c r="O3686" i="8"/>
  <c r="R3686" i="8" s="1"/>
  <c r="S3686" i="8" s="1"/>
  <c r="W3687" i="8"/>
  <c r="U3687" i="8"/>
  <c r="O3687" i="8"/>
  <c r="R3687" i="8" s="1"/>
  <c r="S3687" i="8" s="1"/>
  <c r="W3688" i="8"/>
  <c r="U3688" i="8"/>
  <c r="O3688" i="8"/>
  <c r="R3688" i="8" s="1"/>
  <c r="S3688" i="8" s="1"/>
  <c r="W3689" i="8"/>
  <c r="U3689" i="8"/>
  <c r="O3689" i="8"/>
  <c r="R3689" i="8" s="1"/>
  <c r="S3689" i="8" s="1"/>
  <c r="W3690" i="8"/>
  <c r="U3690" i="8"/>
  <c r="O3690" i="8"/>
  <c r="R3690" i="8" s="1"/>
  <c r="S3690" i="8" s="1"/>
  <c r="W3691" i="8"/>
  <c r="U3691" i="8"/>
  <c r="O3691" i="8"/>
  <c r="R3691" i="8" s="1"/>
  <c r="S3691" i="8" s="1"/>
  <c r="W3692" i="8"/>
  <c r="U3692" i="8"/>
  <c r="O3692" i="8"/>
  <c r="R3692" i="8" s="1"/>
  <c r="S3692" i="8" s="1"/>
  <c r="W3693" i="8"/>
  <c r="U3693" i="8"/>
  <c r="O3693" i="8"/>
  <c r="R3693" i="8" s="1"/>
  <c r="S3693" i="8" s="1"/>
  <c r="W3694" i="8"/>
  <c r="U3694" i="8"/>
  <c r="O3694" i="8"/>
  <c r="R3694" i="8" s="1"/>
  <c r="S3694" i="8" s="1"/>
  <c r="W3695" i="8"/>
  <c r="U3695" i="8"/>
  <c r="O3695" i="8"/>
  <c r="R3695" i="8" s="1"/>
  <c r="S3695" i="8" s="1"/>
  <c r="W3696" i="8"/>
  <c r="U3696" i="8"/>
  <c r="O3696" i="8"/>
  <c r="R3696" i="8" s="1"/>
  <c r="S3696" i="8" s="1"/>
  <c r="W3697" i="8"/>
  <c r="U3697" i="8"/>
  <c r="O3697" i="8"/>
  <c r="R3697" i="8" s="1"/>
  <c r="S3697" i="8" s="1"/>
  <c r="W3698" i="8"/>
  <c r="U3698" i="8"/>
  <c r="O3698" i="8"/>
  <c r="R3698" i="8" s="1"/>
  <c r="S3698" i="8" s="1"/>
  <c r="W3699" i="8"/>
  <c r="U3699" i="8"/>
  <c r="O3699" i="8"/>
  <c r="R3699" i="8" s="1"/>
  <c r="S3699" i="8" s="1"/>
  <c r="W3700" i="8"/>
  <c r="U3700" i="8"/>
  <c r="O3700" i="8"/>
  <c r="R3700" i="8" s="1"/>
  <c r="S3700" i="8" s="1"/>
  <c r="W3701" i="8"/>
  <c r="U3701" i="8"/>
  <c r="O3701" i="8"/>
  <c r="R3701" i="8" s="1"/>
  <c r="S3701" i="8" s="1"/>
  <c r="W3702" i="8"/>
  <c r="U3702" i="8"/>
  <c r="O3702" i="8"/>
  <c r="R3702" i="8" s="1"/>
  <c r="S3702" i="8" s="1"/>
  <c r="W3703" i="8"/>
  <c r="U3703" i="8"/>
  <c r="O3703" i="8"/>
  <c r="R3703" i="8" s="1"/>
  <c r="S3703" i="8" s="1"/>
  <c r="W3704" i="8"/>
  <c r="U3704" i="8"/>
  <c r="O3704" i="8"/>
  <c r="R3704" i="8" s="1"/>
  <c r="S3704" i="8" s="1"/>
  <c r="W3705" i="8"/>
  <c r="U3705" i="8"/>
  <c r="O3705" i="8"/>
  <c r="R3705" i="8" s="1"/>
  <c r="S3705" i="8" s="1"/>
  <c r="W3706" i="8"/>
  <c r="U3706" i="8"/>
  <c r="O3706" i="8"/>
  <c r="R3706" i="8" s="1"/>
  <c r="S3706" i="8" s="1"/>
  <c r="W3707" i="8"/>
  <c r="M116" i="5" s="1"/>
  <c r="U3707" i="8"/>
  <c r="Q116" i="5" s="1"/>
  <c r="O3707" i="8"/>
  <c r="R3707" i="8" s="1"/>
  <c r="S3707" i="8" s="1"/>
  <c r="O116" i="5" s="1"/>
  <c r="W3708" i="8"/>
  <c r="U3708" i="8"/>
  <c r="O3708" i="8"/>
  <c r="R3708" i="8" s="1"/>
  <c r="S3708" i="8" s="1"/>
  <c r="W3709" i="8"/>
  <c r="U3709" i="8"/>
  <c r="O3709" i="8"/>
  <c r="R3709" i="8" s="1"/>
  <c r="S3709" i="8" s="1"/>
  <c r="W3710" i="8"/>
  <c r="U3710" i="8"/>
  <c r="O3710" i="8"/>
  <c r="R3710" i="8" s="1"/>
  <c r="S3710" i="8" s="1"/>
  <c r="W3711" i="8"/>
  <c r="U3711" i="8"/>
  <c r="O3711" i="8"/>
  <c r="R3711" i="8" s="1"/>
  <c r="S3711" i="8" s="1"/>
  <c r="W3712" i="8"/>
  <c r="U3712" i="8"/>
  <c r="O3712" i="8"/>
  <c r="R3712" i="8" s="1"/>
  <c r="S3712" i="8" s="1"/>
  <c r="W3713" i="8"/>
  <c r="U3713" i="8"/>
  <c r="O3713" i="8"/>
  <c r="R3713" i="8" s="1"/>
  <c r="S3713" i="8" s="1"/>
  <c r="W3714" i="8"/>
  <c r="U3714" i="8"/>
  <c r="O3714" i="8"/>
  <c r="R3714" i="8" s="1"/>
  <c r="S3714" i="8" s="1"/>
  <c r="W3715" i="8"/>
  <c r="U3715" i="8"/>
  <c r="O3715" i="8"/>
  <c r="R3715" i="8" s="1"/>
  <c r="S3715" i="8" s="1"/>
  <c r="W3716" i="8"/>
  <c r="U3716" i="8"/>
  <c r="O3716" i="8"/>
  <c r="R3716" i="8" s="1"/>
  <c r="S3716" i="8" s="1"/>
  <c r="W3717" i="8"/>
  <c r="U3717" i="8"/>
  <c r="O3717" i="8"/>
  <c r="R3717" i="8" s="1"/>
  <c r="S3717" i="8" s="1"/>
  <c r="W3718" i="8"/>
  <c r="U3718" i="8"/>
  <c r="O3718" i="8"/>
  <c r="R3718" i="8" s="1"/>
  <c r="S3718" i="8" s="1"/>
  <c r="W3719" i="8"/>
  <c r="U3719" i="8"/>
  <c r="O3719" i="8"/>
  <c r="R3719" i="8" s="1"/>
  <c r="S3719" i="8" s="1"/>
  <c r="W3720" i="8"/>
  <c r="U3720" i="8"/>
  <c r="O3720" i="8"/>
  <c r="R3720" i="8" s="1"/>
  <c r="S3720" i="8" s="1"/>
  <c r="W3721" i="8"/>
  <c r="U3721" i="8"/>
  <c r="O3721" i="8"/>
  <c r="R3721" i="8" s="1"/>
  <c r="S3721" i="8" s="1"/>
  <c r="W3722" i="8"/>
  <c r="U3722" i="8"/>
  <c r="O3722" i="8"/>
  <c r="R3722" i="8" s="1"/>
  <c r="S3722" i="8" s="1"/>
  <c r="W3723" i="8"/>
  <c r="U3723" i="8"/>
  <c r="O3723" i="8"/>
  <c r="R3723" i="8" s="1"/>
  <c r="S3723" i="8" s="1"/>
  <c r="W3724" i="8"/>
  <c r="U3724" i="8"/>
  <c r="O3724" i="8"/>
  <c r="R3724" i="8" s="1"/>
  <c r="S3724" i="8" s="1"/>
  <c r="W3725" i="8"/>
  <c r="U3725" i="8"/>
  <c r="O3725" i="8"/>
  <c r="R3725" i="8" s="1"/>
  <c r="S3725" i="8" s="1"/>
  <c r="W3726" i="8"/>
  <c r="U3726" i="8"/>
  <c r="O3726" i="8"/>
  <c r="R3726" i="8" s="1"/>
  <c r="S3726" i="8" s="1"/>
  <c r="W3727" i="8"/>
  <c r="U3727" i="8"/>
  <c r="O3727" i="8"/>
  <c r="R3727" i="8" s="1"/>
  <c r="S3727" i="8" s="1"/>
  <c r="W3728" i="8"/>
  <c r="U3728" i="8"/>
  <c r="O3728" i="8"/>
  <c r="R3728" i="8" s="1"/>
  <c r="S3728" i="8" s="1"/>
  <c r="W3729" i="8"/>
  <c r="U3729" i="8"/>
  <c r="O3729" i="8"/>
  <c r="R3729" i="8" s="1"/>
  <c r="S3729" i="8" s="1"/>
  <c r="W3730" i="8"/>
  <c r="U3730" i="8"/>
  <c r="O3730" i="8"/>
  <c r="R3730" i="8" s="1"/>
  <c r="S3730" i="8" s="1"/>
  <c r="W3731" i="8"/>
  <c r="U3731" i="8"/>
  <c r="O3731" i="8"/>
  <c r="R3731" i="8" s="1"/>
  <c r="S3731" i="8" s="1"/>
  <c r="W3732" i="8"/>
  <c r="U3732" i="8"/>
  <c r="O3732" i="8"/>
  <c r="R3732" i="8" s="1"/>
  <c r="S3732" i="8" s="1"/>
  <c r="W3733" i="8"/>
  <c r="U3733" i="8"/>
  <c r="O3733" i="8"/>
  <c r="R3733" i="8" s="1"/>
  <c r="S3733" i="8" s="1"/>
  <c r="W3734" i="8"/>
  <c r="U3734" i="8"/>
  <c r="O3734" i="8"/>
  <c r="R3734" i="8" s="1"/>
  <c r="S3734" i="8" s="1"/>
  <c r="W3735" i="8"/>
  <c r="U3735" i="8"/>
  <c r="O3735" i="8"/>
  <c r="R3735" i="8" s="1"/>
  <c r="S3735" i="8" s="1"/>
  <c r="W3736" i="8"/>
  <c r="U3736" i="8"/>
  <c r="O3736" i="8"/>
  <c r="R3736" i="8" s="1"/>
  <c r="S3736" i="8" s="1"/>
  <c r="W3737" i="8"/>
  <c r="U3737" i="8"/>
  <c r="O3737" i="8"/>
  <c r="R3737" i="8" s="1"/>
  <c r="S3737" i="8" s="1"/>
  <c r="W3738" i="8"/>
  <c r="U3738" i="8"/>
  <c r="O3738" i="8"/>
  <c r="R3738" i="8" s="1"/>
  <c r="S3738" i="8" s="1"/>
  <c r="W3739" i="8"/>
  <c r="U3739" i="8"/>
  <c r="O3739" i="8"/>
  <c r="R3739" i="8" s="1"/>
  <c r="S3739" i="8" s="1"/>
  <c r="W3740" i="8"/>
  <c r="U3740" i="8"/>
  <c r="O3740" i="8"/>
  <c r="R3740" i="8" s="1"/>
  <c r="S3740" i="8" s="1"/>
  <c r="W3741" i="8"/>
  <c r="U3741" i="8"/>
  <c r="O3741" i="8"/>
  <c r="R3741" i="8" s="1"/>
  <c r="S3741" i="8" s="1"/>
  <c r="W3742" i="8"/>
  <c r="U3742" i="8"/>
  <c r="O3742" i="8"/>
  <c r="R3742" i="8" s="1"/>
  <c r="S3742" i="8" s="1"/>
  <c r="W3743" i="8"/>
  <c r="U3743" i="8"/>
  <c r="O3743" i="8"/>
  <c r="R3743" i="8" s="1"/>
  <c r="S3743" i="8" s="1"/>
  <c r="W3744" i="8"/>
  <c r="U3744" i="8"/>
  <c r="O3744" i="8"/>
  <c r="R3744" i="8" s="1"/>
  <c r="S3744" i="8" s="1"/>
  <c r="W3745" i="8"/>
  <c r="M117" i="5" s="1"/>
  <c r="U3745" i="8"/>
  <c r="Q117" i="5" s="1"/>
  <c r="O3745" i="8"/>
  <c r="R3745" i="8" s="1"/>
  <c r="S3745" i="8" s="1"/>
  <c r="O117" i="5" s="1"/>
  <c r="W3746" i="8"/>
  <c r="U3746" i="8"/>
  <c r="O3746" i="8"/>
  <c r="R3746" i="8" s="1"/>
  <c r="S3746" i="8" s="1"/>
  <c r="W3747" i="8"/>
  <c r="U3747" i="8"/>
  <c r="O3747" i="8"/>
  <c r="R3747" i="8" s="1"/>
  <c r="S3747" i="8" s="1"/>
  <c r="W3748" i="8"/>
  <c r="U3748" i="8"/>
  <c r="O3748" i="8"/>
  <c r="R3748" i="8" s="1"/>
  <c r="S3748" i="8" s="1"/>
  <c r="O3749" i="8"/>
  <c r="R3749" i="8" s="1"/>
  <c r="S3749" i="8" s="1"/>
  <c r="U3749" i="8"/>
  <c r="W3749" i="8"/>
  <c r="O3750" i="8"/>
  <c r="R3750" i="8" s="1"/>
  <c r="S3750" i="8" s="1"/>
  <c r="U3750" i="8"/>
  <c r="W3750" i="8"/>
  <c r="O3751" i="8"/>
  <c r="R3751" i="8" s="1"/>
  <c r="S3751" i="8" s="1"/>
  <c r="U3751" i="8"/>
  <c r="W3751" i="8"/>
  <c r="O3752" i="8"/>
  <c r="R3752" i="8" s="1"/>
  <c r="S3752" i="8" s="1"/>
  <c r="U3752" i="8"/>
  <c r="W3752" i="8"/>
  <c r="O3753" i="8"/>
  <c r="R3753" i="8" s="1"/>
  <c r="S3753" i="8" s="1"/>
  <c r="U3753" i="8"/>
  <c r="W3753" i="8"/>
  <c r="O3754" i="8"/>
  <c r="R3754" i="8" s="1"/>
  <c r="S3754" i="8" s="1"/>
  <c r="U3754" i="8"/>
  <c r="W3754" i="8"/>
  <c r="O3755" i="8"/>
  <c r="R3755" i="8" s="1"/>
  <c r="S3755" i="8" s="1"/>
  <c r="T3780" i="8"/>
  <c r="T3781" i="8"/>
  <c r="T3782" i="8"/>
  <c r="T3783" i="8"/>
  <c r="T3784" i="8"/>
  <c r="T3785" i="8"/>
  <c r="T3786" i="8"/>
  <c r="T3787" i="8"/>
  <c r="T3788" i="8"/>
  <c r="T3789" i="8"/>
  <c r="T3790" i="8"/>
  <c r="T3791" i="8"/>
  <c r="T3792" i="8"/>
  <c r="T3793" i="8"/>
  <c r="T3794" i="8"/>
  <c r="T3795" i="8"/>
  <c r="T3796" i="8"/>
  <c r="T3797" i="8"/>
  <c r="T3798" i="8"/>
  <c r="T3799" i="8"/>
  <c r="T3800" i="8"/>
  <c r="T3801" i="8"/>
  <c r="T3802" i="8"/>
  <c r="T3803" i="8"/>
  <c r="T3804" i="8"/>
  <c r="T3805" i="8"/>
  <c r="T3806" i="8"/>
  <c r="T3807" i="8"/>
  <c r="T3808" i="8"/>
  <c r="P23" i="5" s="1"/>
  <c r="T3809" i="8"/>
  <c r="T3810" i="8"/>
  <c r="T3811" i="8"/>
  <c r="T3812" i="8"/>
  <c r="T3813" i="8"/>
  <c r="T3814" i="8"/>
  <c r="T3815" i="8"/>
  <c r="T3816" i="8"/>
  <c r="T3817" i="8"/>
  <c r="T3818" i="8"/>
  <c r="T3819" i="8"/>
  <c r="T3820" i="8"/>
  <c r="T3821" i="8"/>
  <c r="T3822" i="8"/>
  <c r="T3823" i="8"/>
  <c r="T3824" i="8"/>
  <c r="T3825" i="8"/>
  <c r="T3826" i="8"/>
  <c r="T3827" i="8"/>
  <c r="T3828" i="8"/>
  <c r="T3829" i="8"/>
  <c r="T3830" i="8"/>
  <c r="T3831" i="8"/>
  <c r="T3832" i="8"/>
  <c r="T3833" i="8"/>
  <c r="T3834" i="8"/>
  <c r="T3835" i="8"/>
  <c r="T3836" i="8"/>
  <c r="T3837" i="8"/>
  <c r="T3838" i="8"/>
  <c r="T3839" i="8"/>
  <c r="T3840" i="8"/>
  <c r="T3841" i="8"/>
  <c r="T3842" i="8"/>
  <c r="T3843" i="8"/>
  <c r="T3844" i="8"/>
  <c r="P24" i="5" s="1"/>
  <c r="R3846" i="8"/>
  <c r="S3846" i="8" s="1"/>
  <c r="T3847" i="8"/>
  <c r="T3848" i="8"/>
  <c r="R3850" i="8"/>
  <c r="S3850" i="8" s="1"/>
  <c r="T3851" i="8"/>
  <c r="T3852" i="8"/>
  <c r="R3854" i="8"/>
  <c r="S3854" i="8" s="1"/>
  <c r="T3855" i="8"/>
  <c r="T3856" i="8"/>
  <c r="R3858" i="8"/>
  <c r="S3858" i="8" s="1"/>
  <c r="T3859" i="8"/>
  <c r="T3860" i="8"/>
  <c r="W3755" i="8"/>
  <c r="T3755" i="8"/>
  <c r="W3756" i="8"/>
  <c r="U3756" i="8"/>
  <c r="O3756" i="8"/>
  <c r="R3756" i="8" s="1"/>
  <c r="S3756" i="8" s="1"/>
  <c r="W3757" i="8"/>
  <c r="U3757" i="8"/>
  <c r="O3757" i="8"/>
  <c r="R3757" i="8" s="1"/>
  <c r="S3757" i="8" s="1"/>
  <c r="W3758" i="8"/>
  <c r="U3758" i="8"/>
  <c r="O3758" i="8"/>
  <c r="R3758" i="8" s="1"/>
  <c r="S3758" i="8" s="1"/>
  <c r="W3759" i="8"/>
  <c r="U3759" i="8"/>
  <c r="O3759" i="8"/>
  <c r="R3759" i="8" s="1"/>
  <c r="S3759" i="8" s="1"/>
  <c r="W3760" i="8"/>
  <c r="U3760" i="8"/>
  <c r="O3760" i="8"/>
  <c r="R3760" i="8" s="1"/>
  <c r="S3760" i="8" s="1"/>
  <c r="W3761" i="8"/>
  <c r="U3761" i="8"/>
  <c r="O3761" i="8"/>
  <c r="R3761" i="8" s="1"/>
  <c r="S3761" i="8" s="1"/>
  <c r="W3762" i="8"/>
  <c r="U3762" i="8"/>
  <c r="O3762" i="8"/>
  <c r="R3762" i="8" s="1"/>
  <c r="S3762" i="8" s="1"/>
  <c r="W3763" i="8"/>
  <c r="U3763" i="8"/>
  <c r="O3763" i="8"/>
  <c r="R3763" i="8" s="1"/>
  <c r="S3763" i="8" s="1"/>
  <c r="W3764" i="8"/>
  <c r="U3764" i="8"/>
  <c r="O3764" i="8"/>
  <c r="R3764" i="8" s="1"/>
  <c r="S3764" i="8" s="1"/>
  <c r="W3765" i="8"/>
  <c r="U3765" i="8"/>
  <c r="O3765" i="8"/>
  <c r="R3765" i="8" s="1"/>
  <c r="S3765" i="8" s="1"/>
  <c r="W3766" i="8"/>
  <c r="U3766" i="8"/>
  <c r="O3766" i="8"/>
  <c r="R3766" i="8" s="1"/>
  <c r="S3766" i="8" s="1"/>
  <c r="W3767" i="8"/>
  <c r="U3767" i="8"/>
  <c r="O3767" i="8"/>
  <c r="R3767" i="8" s="1"/>
  <c r="S3767" i="8" s="1"/>
  <c r="W3768" i="8"/>
  <c r="U3768" i="8"/>
  <c r="O3768" i="8"/>
  <c r="R3768" i="8" s="1"/>
  <c r="S3768" i="8" s="1"/>
  <c r="W3769" i="8"/>
  <c r="U3769" i="8"/>
  <c r="O3769" i="8"/>
  <c r="R3769" i="8" s="1"/>
  <c r="S3769" i="8" s="1"/>
  <c r="W3770" i="8"/>
  <c r="M22" i="5" s="1"/>
  <c r="U3770" i="8"/>
  <c r="Q22" i="5" s="1"/>
  <c r="O3770" i="8"/>
  <c r="R3770" i="8" s="1"/>
  <c r="S3770" i="8" s="1"/>
  <c r="O22" i="5" s="1"/>
  <c r="W3771" i="8"/>
  <c r="U3771" i="8"/>
  <c r="O3771" i="8"/>
  <c r="R3771" i="8" s="1"/>
  <c r="S3771" i="8" s="1"/>
  <c r="W3772" i="8"/>
  <c r="U3772" i="8"/>
  <c r="O3772" i="8"/>
  <c r="R3772" i="8" s="1"/>
  <c r="S3772" i="8" s="1"/>
  <c r="W3773" i="8"/>
  <c r="U3773" i="8"/>
  <c r="O3773" i="8"/>
  <c r="R3773" i="8" s="1"/>
  <c r="S3773" i="8" s="1"/>
  <c r="W3774" i="8"/>
  <c r="U3774" i="8"/>
  <c r="O3774" i="8"/>
  <c r="R3774" i="8" s="1"/>
  <c r="S3774" i="8" s="1"/>
  <c r="W3775" i="8"/>
  <c r="U3775" i="8"/>
  <c r="O3775" i="8"/>
  <c r="R3775" i="8" s="1"/>
  <c r="S3775" i="8" s="1"/>
  <c r="W3776" i="8"/>
  <c r="U3776" i="8"/>
  <c r="O3776" i="8"/>
  <c r="R3776" i="8" s="1"/>
  <c r="S3776" i="8" s="1"/>
  <c r="W3777" i="8"/>
  <c r="U3777" i="8"/>
  <c r="O3777" i="8"/>
  <c r="R3777" i="8" s="1"/>
  <c r="S3777" i="8" s="1"/>
  <c r="W3778" i="8"/>
  <c r="U3778" i="8"/>
  <c r="O3778" i="8"/>
  <c r="R3778" i="8" s="1"/>
  <c r="S3778" i="8" s="1"/>
  <c r="W3779" i="8"/>
  <c r="U3779" i="8"/>
  <c r="O3779" i="8"/>
  <c r="R3779" i="8" s="1"/>
  <c r="S3779" i="8" s="1"/>
  <c r="R3844" i="8"/>
  <c r="S3844" i="8" s="1"/>
  <c r="O24" i="5" s="1"/>
  <c r="T3845" i="8"/>
  <c r="T3846" i="8"/>
  <c r="R3848" i="8"/>
  <c r="S3848" i="8" s="1"/>
  <c r="T3849" i="8"/>
  <c r="T3850" i="8"/>
  <c r="R3852" i="8"/>
  <c r="S3852" i="8" s="1"/>
  <c r="T3853" i="8"/>
  <c r="T3854" i="8"/>
  <c r="R3856" i="8"/>
  <c r="S3856" i="8" s="1"/>
  <c r="T3857" i="8"/>
  <c r="T3858" i="8"/>
  <c r="R3860" i="8"/>
  <c r="S3860" i="8" s="1"/>
  <c r="W3861" i="8"/>
  <c r="O3780" i="8"/>
  <c r="R3780" i="8" s="1"/>
  <c r="S3780" i="8" s="1"/>
  <c r="U3780" i="8"/>
  <c r="W3780" i="8"/>
  <c r="O3781" i="8"/>
  <c r="R3781" i="8" s="1"/>
  <c r="S3781" i="8" s="1"/>
  <c r="U3781" i="8"/>
  <c r="W3781" i="8"/>
  <c r="O3782" i="8"/>
  <c r="R3782" i="8" s="1"/>
  <c r="S3782" i="8" s="1"/>
  <c r="U3782" i="8"/>
  <c r="W3782" i="8"/>
  <c r="O3783" i="8"/>
  <c r="R3783" i="8" s="1"/>
  <c r="S3783" i="8" s="1"/>
  <c r="U3783" i="8"/>
  <c r="W3783" i="8"/>
  <c r="O3784" i="8"/>
  <c r="R3784" i="8" s="1"/>
  <c r="S3784" i="8" s="1"/>
  <c r="U3784" i="8"/>
  <c r="W3784" i="8"/>
  <c r="O3785" i="8"/>
  <c r="R3785" i="8" s="1"/>
  <c r="S3785" i="8" s="1"/>
  <c r="U3785" i="8"/>
  <c r="W3785" i="8"/>
  <c r="O3786" i="8"/>
  <c r="R3786" i="8" s="1"/>
  <c r="S3786" i="8" s="1"/>
  <c r="U3786" i="8"/>
  <c r="W3786" i="8"/>
  <c r="O3787" i="8"/>
  <c r="R3787" i="8" s="1"/>
  <c r="S3787" i="8" s="1"/>
  <c r="U3787" i="8"/>
  <c r="W3787" i="8"/>
  <c r="O3788" i="8"/>
  <c r="R3788" i="8" s="1"/>
  <c r="S3788" i="8" s="1"/>
  <c r="U3788" i="8"/>
  <c r="W3788" i="8"/>
  <c r="O3789" i="8"/>
  <c r="R3789" i="8" s="1"/>
  <c r="S3789" i="8" s="1"/>
  <c r="U3789" i="8"/>
  <c r="W3789" i="8"/>
  <c r="O3790" i="8"/>
  <c r="R3790" i="8" s="1"/>
  <c r="S3790" i="8" s="1"/>
  <c r="U3790" i="8"/>
  <c r="W3790" i="8"/>
  <c r="O3791" i="8"/>
  <c r="R3791" i="8" s="1"/>
  <c r="S3791" i="8" s="1"/>
  <c r="U3791" i="8"/>
  <c r="W3791" i="8"/>
  <c r="O3792" i="8"/>
  <c r="R3792" i="8" s="1"/>
  <c r="S3792" i="8" s="1"/>
  <c r="U3792" i="8"/>
  <c r="W3792" i="8"/>
  <c r="O3793" i="8"/>
  <c r="R3793" i="8" s="1"/>
  <c r="S3793" i="8" s="1"/>
  <c r="U3793" i="8"/>
  <c r="W3793" i="8"/>
  <c r="O3794" i="8"/>
  <c r="R3794" i="8" s="1"/>
  <c r="S3794" i="8" s="1"/>
  <c r="U3794" i="8"/>
  <c r="W3794" i="8"/>
  <c r="O3795" i="8"/>
  <c r="R3795" i="8" s="1"/>
  <c r="S3795" i="8" s="1"/>
  <c r="U3795" i="8"/>
  <c r="W3795" i="8"/>
  <c r="O3796" i="8"/>
  <c r="R3796" i="8" s="1"/>
  <c r="S3796" i="8" s="1"/>
  <c r="U3796" i="8"/>
  <c r="W3796" i="8"/>
  <c r="O3797" i="8"/>
  <c r="R3797" i="8" s="1"/>
  <c r="S3797" i="8" s="1"/>
  <c r="U3797" i="8"/>
  <c r="W3797" i="8"/>
  <c r="O3798" i="8"/>
  <c r="R3798" i="8" s="1"/>
  <c r="S3798" i="8" s="1"/>
  <c r="U3798" i="8"/>
  <c r="W3798" i="8"/>
  <c r="O3799" i="8"/>
  <c r="R3799" i="8" s="1"/>
  <c r="S3799" i="8" s="1"/>
  <c r="U3799" i="8"/>
  <c r="W3799" i="8"/>
  <c r="O3800" i="8"/>
  <c r="R3800" i="8" s="1"/>
  <c r="S3800" i="8" s="1"/>
  <c r="U3800" i="8"/>
  <c r="W3800" i="8"/>
  <c r="O3801" i="8"/>
  <c r="R3801" i="8" s="1"/>
  <c r="S3801" i="8" s="1"/>
  <c r="U3801" i="8"/>
  <c r="W3801" i="8"/>
  <c r="O3802" i="8"/>
  <c r="R3802" i="8" s="1"/>
  <c r="S3802" i="8" s="1"/>
  <c r="U3802" i="8"/>
  <c r="W3802" i="8"/>
  <c r="O3803" i="8"/>
  <c r="R3803" i="8" s="1"/>
  <c r="S3803" i="8" s="1"/>
  <c r="U3803" i="8"/>
  <c r="W3803" i="8"/>
  <c r="O3804" i="8"/>
  <c r="R3804" i="8" s="1"/>
  <c r="S3804" i="8" s="1"/>
  <c r="U3804" i="8"/>
  <c r="W3804" i="8"/>
  <c r="O3805" i="8"/>
  <c r="R3805" i="8" s="1"/>
  <c r="S3805" i="8" s="1"/>
  <c r="U3805" i="8"/>
  <c r="W3805" i="8"/>
  <c r="O3806" i="8"/>
  <c r="R3806" i="8" s="1"/>
  <c r="S3806" i="8" s="1"/>
  <c r="U3806" i="8"/>
  <c r="W3806" i="8"/>
  <c r="O3807" i="8"/>
  <c r="R3807" i="8" s="1"/>
  <c r="S3807" i="8" s="1"/>
  <c r="U3807" i="8"/>
  <c r="W3807" i="8"/>
  <c r="O3808" i="8"/>
  <c r="R3808" i="8" s="1"/>
  <c r="S3808" i="8" s="1"/>
  <c r="U3808" i="8"/>
  <c r="Q23" i="5" s="1"/>
  <c r="W3808" i="8"/>
  <c r="M23" i="5" s="1"/>
  <c r="O3809" i="8"/>
  <c r="R3809" i="8" s="1"/>
  <c r="S3809" i="8" s="1"/>
  <c r="U3809" i="8"/>
  <c r="W3809" i="8"/>
  <c r="O3810" i="8"/>
  <c r="R3810" i="8" s="1"/>
  <c r="S3810" i="8" s="1"/>
  <c r="U3810" i="8"/>
  <c r="W3810" i="8"/>
  <c r="O3811" i="8"/>
  <c r="R3811" i="8" s="1"/>
  <c r="S3811" i="8" s="1"/>
  <c r="U3811" i="8"/>
  <c r="W3811" i="8"/>
  <c r="O3812" i="8"/>
  <c r="R3812" i="8" s="1"/>
  <c r="S3812" i="8" s="1"/>
  <c r="U3812" i="8"/>
  <c r="W3812" i="8"/>
  <c r="O3813" i="8"/>
  <c r="R3813" i="8" s="1"/>
  <c r="S3813" i="8" s="1"/>
  <c r="U3813" i="8"/>
  <c r="W3813" i="8"/>
  <c r="O3814" i="8"/>
  <c r="R3814" i="8" s="1"/>
  <c r="S3814" i="8" s="1"/>
  <c r="U3814" i="8"/>
  <c r="W3814" i="8"/>
  <c r="O3815" i="8"/>
  <c r="R3815" i="8" s="1"/>
  <c r="S3815" i="8" s="1"/>
  <c r="U3815" i="8"/>
  <c r="W3815" i="8"/>
  <c r="O3816" i="8"/>
  <c r="R3816" i="8" s="1"/>
  <c r="S3816" i="8" s="1"/>
  <c r="U3816" i="8"/>
  <c r="W3816" i="8"/>
  <c r="O3817" i="8"/>
  <c r="R3817" i="8" s="1"/>
  <c r="S3817" i="8" s="1"/>
  <c r="U3817" i="8"/>
  <c r="W3817" i="8"/>
  <c r="O3818" i="8"/>
  <c r="R3818" i="8" s="1"/>
  <c r="S3818" i="8" s="1"/>
  <c r="U3818" i="8"/>
  <c r="W3818" i="8"/>
  <c r="O3819" i="8"/>
  <c r="R3819" i="8" s="1"/>
  <c r="S3819" i="8" s="1"/>
  <c r="U3819" i="8"/>
  <c r="W3819" i="8"/>
  <c r="O3820" i="8"/>
  <c r="R3820" i="8" s="1"/>
  <c r="S3820" i="8" s="1"/>
  <c r="U3820" i="8"/>
  <c r="W3820" i="8"/>
  <c r="O3821" i="8"/>
  <c r="R3821" i="8" s="1"/>
  <c r="S3821" i="8" s="1"/>
  <c r="U3821" i="8"/>
  <c r="W3821" i="8"/>
  <c r="O3822" i="8"/>
  <c r="R3822" i="8" s="1"/>
  <c r="S3822" i="8" s="1"/>
  <c r="U3822" i="8"/>
  <c r="W3822" i="8"/>
  <c r="O3823" i="8"/>
  <c r="R3823" i="8" s="1"/>
  <c r="S3823" i="8" s="1"/>
  <c r="U3823" i="8"/>
  <c r="W3823" i="8"/>
  <c r="O3824" i="8"/>
  <c r="R3824" i="8" s="1"/>
  <c r="S3824" i="8" s="1"/>
  <c r="U3824" i="8"/>
  <c r="W3824" i="8"/>
  <c r="O3825" i="8"/>
  <c r="R3825" i="8" s="1"/>
  <c r="S3825" i="8" s="1"/>
  <c r="U3825" i="8"/>
  <c r="W3825" i="8"/>
  <c r="O3826" i="8"/>
  <c r="R3826" i="8" s="1"/>
  <c r="S3826" i="8" s="1"/>
  <c r="U3826" i="8"/>
  <c r="W3826" i="8"/>
  <c r="O3827" i="8"/>
  <c r="R3827" i="8" s="1"/>
  <c r="S3827" i="8" s="1"/>
  <c r="U3827" i="8"/>
  <c r="W3827" i="8"/>
  <c r="O3828" i="8"/>
  <c r="R3828" i="8" s="1"/>
  <c r="S3828" i="8" s="1"/>
  <c r="U3828" i="8"/>
  <c r="W3828" i="8"/>
  <c r="O3829" i="8"/>
  <c r="R3829" i="8" s="1"/>
  <c r="S3829" i="8" s="1"/>
  <c r="U3829" i="8"/>
  <c r="W3829" i="8"/>
  <c r="O3830" i="8"/>
  <c r="R3830" i="8" s="1"/>
  <c r="S3830" i="8" s="1"/>
  <c r="U3830" i="8"/>
  <c r="W3830" i="8"/>
  <c r="O3831" i="8"/>
  <c r="R3831" i="8" s="1"/>
  <c r="S3831" i="8" s="1"/>
  <c r="U3831" i="8"/>
  <c r="W3831" i="8"/>
  <c r="O3832" i="8"/>
  <c r="R3832" i="8" s="1"/>
  <c r="S3832" i="8" s="1"/>
  <c r="U3832" i="8"/>
  <c r="W3832" i="8"/>
  <c r="O3833" i="8"/>
  <c r="R3833" i="8" s="1"/>
  <c r="S3833" i="8" s="1"/>
  <c r="U3833" i="8"/>
  <c r="W3833" i="8"/>
  <c r="O3834" i="8"/>
  <c r="R3834" i="8" s="1"/>
  <c r="S3834" i="8" s="1"/>
  <c r="U3834" i="8"/>
  <c r="W3834" i="8"/>
  <c r="O3835" i="8"/>
  <c r="R3835" i="8" s="1"/>
  <c r="S3835" i="8" s="1"/>
  <c r="U3835" i="8"/>
  <c r="W3835" i="8"/>
  <c r="O3836" i="8"/>
  <c r="R3836" i="8" s="1"/>
  <c r="S3836" i="8" s="1"/>
  <c r="U3836" i="8"/>
  <c r="W3836" i="8"/>
  <c r="O3837" i="8"/>
  <c r="R3837" i="8" s="1"/>
  <c r="S3837" i="8" s="1"/>
  <c r="U3837" i="8"/>
  <c r="W3837" i="8"/>
  <c r="O3838" i="8"/>
  <c r="R3838" i="8" s="1"/>
  <c r="S3838" i="8" s="1"/>
  <c r="U3838" i="8"/>
  <c r="W3838" i="8"/>
  <c r="O3839" i="8"/>
  <c r="R3839" i="8" s="1"/>
  <c r="S3839" i="8" s="1"/>
  <c r="U3839" i="8"/>
  <c r="W3839" i="8"/>
  <c r="O3840" i="8"/>
  <c r="R3840" i="8" s="1"/>
  <c r="S3840" i="8" s="1"/>
  <c r="U3840" i="8"/>
  <c r="W3840" i="8"/>
  <c r="O3841" i="8"/>
  <c r="R3841" i="8" s="1"/>
  <c r="S3841" i="8" s="1"/>
  <c r="U3841" i="8"/>
  <c r="W3841" i="8"/>
  <c r="O3842" i="8"/>
  <c r="U3842" i="8"/>
  <c r="W3842" i="8"/>
  <c r="U3843" i="8"/>
  <c r="W3843" i="8"/>
  <c r="O3845" i="8"/>
  <c r="R3845" i="8" s="1"/>
  <c r="S3845" i="8" s="1"/>
  <c r="O3847" i="8"/>
  <c r="R3847" i="8" s="1"/>
  <c r="S3847" i="8" s="1"/>
  <c r="O3849" i="8"/>
  <c r="R3849" i="8" s="1"/>
  <c r="S3849" i="8" s="1"/>
  <c r="O3851" i="8"/>
  <c r="R3851" i="8" s="1"/>
  <c r="S3851" i="8" s="1"/>
  <c r="O3853" i="8"/>
  <c r="R3853" i="8" s="1"/>
  <c r="S3853" i="8" s="1"/>
  <c r="O3855" i="8"/>
  <c r="R3855" i="8" s="1"/>
  <c r="S3855" i="8" s="1"/>
  <c r="O3857" i="8"/>
  <c r="R3857" i="8" s="1"/>
  <c r="S3857" i="8" s="1"/>
  <c r="O3859" i="8"/>
  <c r="R3859" i="8" s="1"/>
  <c r="S3859" i="8" s="1"/>
  <c r="O3861" i="8"/>
  <c r="R3861" i="8" s="1"/>
  <c r="S3861" i="8" s="1"/>
  <c r="T3862" i="8"/>
  <c r="T3863" i="8"/>
  <c r="T3864" i="8"/>
  <c r="T3865" i="8"/>
  <c r="T3861" i="8"/>
  <c r="R3862" i="8"/>
  <c r="S3862" i="8" s="1"/>
  <c r="O3863" i="8"/>
  <c r="R3863" i="8" s="1"/>
  <c r="S3863" i="8" s="1"/>
  <c r="R3864" i="8"/>
  <c r="S3864" i="8" s="1"/>
  <c r="R3865" i="8"/>
  <c r="S3865" i="8" s="1"/>
  <c r="O3866" i="8"/>
  <c r="R3866" i="8" s="1"/>
  <c r="S3866" i="8" s="1"/>
  <c r="R3867" i="8"/>
  <c r="S3867" i="8" s="1"/>
  <c r="O3868" i="8"/>
  <c r="R3868" i="8" s="1"/>
  <c r="S3868" i="8" s="1"/>
  <c r="R3869" i="8"/>
  <c r="S3869" i="8" s="1"/>
  <c r="O3870" i="8"/>
  <c r="R3870" i="8" s="1"/>
  <c r="S3870" i="8" s="1"/>
  <c r="R3871" i="8"/>
  <c r="S3871" i="8" s="1"/>
  <c r="R3872" i="8"/>
  <c r="S3872" i="8" s="1"/>
  <c r="O3873" i="8"/>
  <c r="R3873" i="8" s="1"/>
  <c r="S3873" i="8" s="1"/>
  <c r="R3874" i="8"/>
  <c r="S3874" i="8" s="1"/>
  <c r="O3875" i="8"/>
  <c r="R3875" i="8" s="1"/>
  <c r="S3875" i="8" s="1"/>
  <c r="R3876" i="8"/>
  <c r="S3876" i="8" s="1"/>
  <c r="O3877" i="8"/>
  <c r="R3877" i="8" s="1"/>
  <c r="S3877" i="8" s="1"/>
  <c r="R3878" i="8"/>
  <c r="S3878" i="8" s="1"/>
  <c r="O3879" i="8"/>
  <c r="R3879" i="8" s="1"/>
  <c r="S3879" i="8" s="1"/>
  <c r="R3880" i="8"/>
  <c r="S3880" i="8" s="1"/>
  <c r="O3881" i="8"/>
  <c r="R3881" i="8" s="1"/>
  <c r="S3881" i="8" s="1"/>
  <c r="R3882" i="8"/>
  <c r="S3882" i="8" s="1"/>
  <c r="O3883" i="8"/>
  <c r="R3883" i="8" s="1"/>
  <c r="S3883" i="8" s="1"/>
  <c r="R3884" i="8"/>
  <c r="S3884" i="8" s="1"/>
  <c r="O3885" i="8"/>
  <c r="R3885" i="8" s="1"/>
  <c r="S3885" i="8" s="1"/>
  <c r="R3886" i="8"/>
  <c r="S3886" i="8" s="1"/>
  <c r="O3887" i="8"/>
  <c r="R3887" i="8" s="1"/>
  <c r="S3887" i="8" s="1"/>
  <c r="R3888" i="8"/>
  <c r="S3888" i="8" s="1"/>
  <c r="O3889" i="8"/>
  <c r="R3889" i="8" s="1"/>
  <c r="S3889" i="8" s="1"/>
  <c r="R3890" i="8"/>
  <c r="S3890" i="8" s="1"/>
  <c r="O3891" i="8"/>
  <c r="R3891" i="8" s="1"/>
  <c r="S3891" i="8" s="1"/>
  <c r="R3892" i="8"/>
  <c r="S3892" i="8" s="1"/>
  <c r="O3893" i="8"/>
  <c r="R3895" i="8"/>
  <c r="S3895" i="8" s="1"/>
  <c r="R3896" i="8"/>
  <c r="S3896" i="8" s="1"/>
  <c r="O3897" i="8"/>
  <c r="R3897" i="8" s="1"/>
  <c r="S3897" i="8" s="1"/>
  <c r="R3898" i="8"/>
  <c r="S3898" i="8" s="1"/>
  <c r="O3899" i="8"/>
  <c r="R3899" i="8" s="1"/>
  <c r="S3899" i="8" s="1"/>
  <c r="R3900" i="8"/>
  <c r="S3900" i="8" s="1"/>
  <c r="O3901" i="8"/>
  <c r="R3901" i="8" s="1"/>
  <c r="S3901" i="8" s="1"/>
  <c r="R3902" i="8"/>
  <c r="S3902" i="8" s="1"/>
  <c r="O3903" i="8"/>
  <c r="R3903" i="8" s="1"/>
  <c r="S3903" i="8" s="1"/>
  <c r="R3904" i="8"/>
  <c r="S3904" i="8" s="1"/>
  <c r="O3905" i="8"/>
  <c r="R3907" i="8"/>
  <c r="S3907" i="8" s="1"/>
  <c r="O3908" i="8"/>
  <c r="R3908" i="8" s="1"/>
  <c r="S3908" i="8" s="1"/>
  <c r="R3909" i="8"/>
  <c r="S3909" i="8" s="1"/>
  <c r="O3910" i="8"/>
  <c r="R3910" i="8" s="1"/>
  <c r="S3910" i="8" s="1"/>
  <c r="R3911" i="8"/>
  <c r="S3911" i="8" s="1"/>
  <c r="O3912" i="8"/>
  <c r="R3912" i="8" s="1"/>
  <c r="S3912" i="8" s="1"/>
  <c r="R3913" i="8"/>
  <c r="S3913" i="8" s="1"/>
  <c r="O3914" i="8"/>
  <c r="R3916" i="8"/>
  <c r="S3916" i="8" s="1"/>
  <c r="O3917" i="8"/>
  <c r="R3917" i="8" s="1"/>
  <c r="S3917" i="8" s="1"/>
  <c r="R3918" i="8"/>
  <c r="S3918" i="8" s="1"/>
  <c r="O3919" i="8"/>
  <c r="R3919" i="8" s="1"/>
  <c r="S3919" i="8" s="1"/>
  <c r="R3920" i="8"/>
  <c r="S3920" i="8" s="1"/>
  <c r="O3921" i="8"/>
  <c r="R3921" i="8" s="1"/>
  <c r="S3921" i="8" s="1"/>
  <c r="R3922" i="8"/>
  <c r="S3922" i="8" s="1"/>
  <c r="O3923" i="8"/>
  <c r="R3923" i="8" s="1"/>
  <c r="S3923" i="8" s="1"/>
  <c r="R3924" i="8"/>
  <c r="S3924" i="8" s="1"/>
  <c r="O26" i="5" s="1"/>
  <c r="R3925" i="8"/>
  <c r="S3925" i="8" s="1"/>
  <c r="O3926" i="8"/>
  <c r="R3926" i="8" s="1"/>
  <c r="S3926" i="8" s="1"/>
  <c r="R3927" i="8"/>
  <c r="S3927" i="8" s="1"/>
  <c r="O3928" i="8"/>
  <c r="R3928" i="8" s="1"/>
  <c r="S3928" i="8" s="1"/>
  <c r="R3929" i="8"/>
  <c r="S3929" i="8" s="1"/>
  <c r="R3930" i="8"/>
  <c r="S3930" i="8" s="1"/>
  <c r="O3931" i="8"/>
  <c r="R3931" i="8" s="1"/>
  <c r="S3931" i="8" s="1"/>
  <c r="R3932" i="8"/>
  <c r="S3932" i="8" s="1"/>
  <c r="O3933" i="8"/>
  <c r="R3933" i="8" s="1"/>
  <c r="S3933" i="8" s="1"/>
  <c r="R3934" i="8"/>
  <c r="S3934" i="8" s="1"/>
  <c r="R3935" i="8"/>
  <c r="S3935" i="8" s="1"/>
  <c r="O3936" i="8"/>
  <c r="R3936" i="8" s="1"/>
  <c r="S3936" i="8" s="1"/>
  <c r="R3937" i="8"/>
  <c r="S3937" i="8" s="1"/>
  <c r="O3938" i="8"/>
  <c r="R3938" i="8" s="1"/>
  <c r="S3938" i="8" s="1"/>
  <c r="R3939" i="8"/>
  <c r="S3939" i="8" s="1"/>
  <c r="O3940" i="8"/>
  <c r="R3940" i="8" s="1"/>
  <c r="S3940" i="8" s="1"/>
  <c r="R3941" i="8"/>
  <c r="S3941" i="8" s="1"/>
  <c r="R3942" i="8"/>
  <c r="S3942" i="8" s="1"/>
  <c r="O3943" i="8"/>
  <c r="R3943" i="8" s="1"/>
  <c r="S3943" i="8" s="1"/>
  <c r="R3944" i="8"/>
  <c r="S3944" i="8" s="1"/>
  <c r="O3945" i="8"/>
  <c r="R3945" i="8" s="1"/>
  <c r="S3945" i="8" s="1"/>
  <c r="R3946" i="8"/>
  <c r="S3946" i="8" s="1"/>
  <c r="O3947" i="8"/>
  <c r="R3947" i="8" s="1"/>
  <c r="S3947" i="8" s="1"/>
  <c r="R3948" i="8"/>
  <c r="S3948" i="8" s="1"/>
  <c r="O3949" i="8"/>
  <c r="R3949" i="8" s="1"/>
  <c r="S3949" i="8" s="1"/>
  <c r="R3950" i="8"/>
  <c r="S3950" i="8" s="1"/>
  <c r="R3951" i="8"/>
  <c r="S3951" i="8" s="1"/>
  <c r="O27" i="5" s="1"/>
  <c r="O3952" i="8"/>
  <c r="R3952" i="8" s="1"/>
  <c r="S3952" i="8" s="1"/>
  <c r="R3953" i="8"/>
  <c r="S3953" i="8" s="1"/>
  <c r="O3954" i="8"/>
  <c r="R3954" i="8" s="1"/>
  <c r="S3954" i="8" s="1"/>
  <c r="R3955" i="8"/>
  <c r="S3955" i="8" s="1"/>
  <c r="O3956" i="8"/>
  <c r="R3956" i="8" s="1"/>
  <c r="S3956" i="8" s="1"/>
  <c r="R3957" i="8"/>
  <c r="S3957" i="8" s="1"/>
  <c r="O3958" i="8"/>
  <c r="R3958" i="8" s="1"/>
  <c r="S3958" i="8" s="1"/>
  <c r="R3959" i="8"/>
  <c r="S3959" i="8" s="1"/>
  <c r="O3960" i="8"/>
  <c r="R3960" i="8" s="1"/>
  <c r="S3960" i="8" s="1"/>
  <c r="R3961" i="8"/>
  <c r="S3961" i="8" s="1"/>
  <c r="O3962" i="8"/>
  <c r="R3962" i="8" s="1"/>
  <c r="S3962" i="8" s="1"/>
  <c r="R3963" i="8"/>
  <c r="S3963" i="8" s="1"/>
  <c r="O3964" i="8"/>
  <c r="R3964" i="8" s="1"/>
  <c r="S3964" i="8" s="1"/>
  <c r="R3965" i="8"/>
  <c r="S3965" i="8" s="1"/>
  <c r="O3966" i="8"/>
  <c r="R3966" i="8" s="1"/>
  <c r="S3966" i="8" s="1"/>
  <c r="R3967" i="8"/>
  <c r="S3967" i="8" s="1"/>
  <c r="O3968" i="8"/>
  <c r="R3968" i="8" s="1"/>
  <c r="S3968" i="8" s="1"/>
  <c r="R3969" i="8"/>
  <c r="S3969" i="8" s="1"/>
  <c r="O3970" i="8"/>
  <c r="R3970" i="8" s="1"/>
  <c r="S3970" i="8" s="1"/>
  <c r="R3971" i="8"/>
  <c r="S3971" i="8" s="1"/>
  <c r="O3972" i="8"/>
  <c r="R3972" i="8" s="1"/>
  <c r="S3972" i="8" s="1"/>
  <c r="R3973" i="8"/>
  <c r="S3973" i="8" s="1"/>
  <c r="O3974" i="8"/>
  <c r="R3974" i="8" s="1"/>
  <c r="S3974" i="8" s="1"/>
  <c r="R3975" i="8"/>
  <c r="S3975" i="8" s="1"/>
  <c r="O3976" i="8"/>
  <c r="R3976" i="8" s="1"/>
  <c r="S3976" i="8" s="1"/>
  <c r="R3977" i="8"/>
  <c r="S3977" i="8" s="1"/>
  <c r="O3978" i="8"/>
  <c r="R3978" i="8" s="1"/>
  <c r="S3978" i="8" s="1"/>
  <c r="R3979" i="8"/>
  <c r="S3979" i="8" s="1"/>
  <c r="O3980" i="8"/>
  <c r="R3980" i="8" s="1"/>
  <c r="S3980" i="8" s="1"/>
  <c r="R3981" i="8"/>
  <c r="S3981" i="8" s="1"/>
  <c r="O3982" i="8"/>
  <c r="R3982" i="8" s="1"/>
  <c r="S3982" i="8" s="1"/>
  <c r="R3983" i="8"/>
  <c r="S3983" i="8" s="1"/>
  <c r="O3984" i="8"/>
  <c r="R3984" i="8" s="1"/>
  <c r="S3984" i="8" s="1"/>
  <c r="R3985" i="8"/>
  <c r="S3985" i="8" s="1"/>
  <c r="O3986" i="8"/>
  <c r="R3986" i="8" s="1"/>
  <c r="S3986" i="8" s="1"/>
  <c r="R3987" i="8"/>
  <c r="S3987" i="8" s="1"/>
  <c r="O3988" i="8"/>
  <c r="R3988" i="8" s="1"/>
  <c r="S3988" i="8" s="1"/>
  <c r="R3989" i="8"/>
  <c r="S3989" i="8" s="1"/>
  <c r="O3990" i="8"/>
  <c r="R3990" i="8" s="1"/>
  <c r="S3990" i="8" s="1"/>
  <c r="R3991" i="8"/>
  <c r="S3991" i="8" s="1"/>
  <c r="O3992" i="8"/>
  <c r="R3992" i="8" s="1"/>
  <c r="S3992" i="8" s="1"/>
  <c r="R3993" i="8"/>
  <c r="S3993" i="8" s="1"/>
  <c r="R3994" i="8"/>
  <c r="S3994" i="8" s="1"/>
  <c r="O3995" i="8"/>
  <c r="R3995" i="8" s="1"/>
  <c r="S3995" i="8" s="1"/>
  <c r="R3996" i="8"/>
  <c r="S3996" i="8" s="1"/>
  <c r="O3997" i="8"/>
  <c r="R3997" i="8" s="1"/>
  <c r="S3997" i="8" s="1"/>
  <c r="R3998" i="8"/>
  <c r="S3998" i="8" s="1"/>
  <c r="O3999" i="8"/>
  <c r="R3999" i="8" s="1"/>
  <c r="S3999" i="8" s="1"/>
  <c r="R4000" i="8"/>
  <c r="S4000" i="8" s="1"/>
  <c r="R4001" i="8"/>
  <c r="S4001" i="8" s="1"/>
  <c r="W4002" i="8"/>
  <c r="U4002" i="8"/>
  <c r="O4002" i="8"/>
  <c r="R4002" i="8" s="1"/>
  <c r="S4002" i="8" s="1"/>
  <c r="T4002" i="8"/>
  <c r="W4004" i="8"/>
  <c r="U4004" i="8"/>
  <c r="T4004" i="8"/>
  <c r="W4006" i="8"/>
  <c r="U4006" i="8"/>
  <c r="T4006" i="8"/>
  <c r="W4008" i="8"/>
  <c r="U4008" i="8"/>
  <c r="T4008" i="8"/>
  <c r="W4010" i="8"/>
  <c r="U4010" i="8"/>
  <c r="T4010" i="8"/>
  <c r="W4012" i="8"/>
  <c r="U4012" i="8"/>
  <c r="T4012" i="8"/>
  <c r="W4014" i="8"/>
  <c r="U4014" i="8"/>
  <c r="T4014" i="8"/>
  <c r="W4016" i="8"/>
  <c r="U4016" i="8"/>
  <c r="T4016" i="8"/>
  <c r="W4018" i="8"/>
  <c r="U4018" i="8"/>
  <c r="T4018" i="8"/>
  <c r="T3866" i="8"/>
  <c r="T3867" i="8"/>
  <c r="T3868" i="8"/>
  <c r="T3869" i="8"/>
  <c r="T3870" i="8"/>
  <c r="T3871" i="8"/>
  <c r="T3872" i="8"/>
  <c r="T3873" i="8"/>
  <c r="T3874" i="8"/>
  <c r="T3875" i="8"/>
  <c r="T3876" i="8"/>
  <c r="T3877" i="8"/>
  <c r="T3878" i="8"/>
  <c r="P25" i="5" s="1"/>
  <c r="T3879" i="8"/>
  <c r="T3880" i="8"/>
  <c r="T3881" i="8"/>
  <c r="T3882" i="8"/>
  <c r="T3883" i="8"/>
  <c r="T3884" i="8"/>
  <c r="T3885" i="8"/>
  <c r="T3886" i="8"/>
  <c r="T3887" i="8"/>
  <c r="T3888" i="8"/>
  <c r="T3889" i="8"/>
  <c r="T3890" i="8"/>
  <c r="T3891" i="8"/>
  <c r="T3892" i="8"/>
  <c r="T3893" i="8"/>
  <c r="T3894" i="8"/>
  <c r="T3895" i="8"/>
  <c r="T3896" i="8"/>
  <c r="T3897" i="8"/>
  <c r="T3898" i="8"/>
  <c r="T3899" i="8"/>
  <c r="T3900" i="8"/>
  <c r="T3901" i="8"/>
  <c r="T3902" i="8"/>
  <c r="T3903" i="8"/>
  <c r="T3904" i="8"/>
  <c r="T3905" i="8"/>
  <c r="T3906" i="8"/>
  <c r="T3907" i="8"/>
  <c r="T3908" i="8"/>
  <c r="T3909" i="8"/>
  <c r="T3910" i="8"/>
  <c r="T3911" i="8"/>
  <c r="T3912" i="8"/>
  <c r="T3913" i="8"/>
  <c r="T3914" i="8"/>
  <c r="T3915" i="8"/>
  <c r="T3916" i="8"/>
  <c r="T3917" i="8"/>
  <c r="T3918" i="8"/>
  <c r="T3919" i="8"/>
  <c r="T3920" i="8"/>
  <c r="T3921" i="8"/>
  <c r="T3922" i="8"/>
  <c r="T3923" i="8"/>
  <c r="T3924" i="8"/>
  <c r="P26" i="5" s="1"/>
  <c r="P86" i="1" s="1"/>
  <c r="T3925" i="8"/>
  <c r="T3926" i="8"/>
  <c r="T3927" i="8"/>
  <c r="T3928" i="8"/>
  <c r="T3929" i="8"/>
  <c r="T3930" i="8"/>
  <c r="T3931" i="8"/>
  <c r="T3932" i="8"/>
  <c r="T3933" i="8"/>
  <c r="T3934" i="8"/>
  <c r="T3935" i="8"/>
  <c r="T3936" i="8"/>
  <c r="T3937" i="8"/>
  <c r="T3938" i="8"/>
  <c r="T3939" i="8"/>
  <c r="T3940" i="8"/>
  <c r="T3941" i="8"/>
  <c r="T3942" i="8"/>
  <c r="T3943" i="8"/>
  <c r="T3944" i="8"/>
  <c r="T3945" i="8"/>
  <c r="T3946" i="8"/>
  <c r="T3947" i="8"/>
  <c r="T3948" i="8"/>
  <c r="T3949" i="8"/>
  <c r="T3950" i="8"/>
  <c r="T3951" i="8"/>
  <c r="P27" i="5" s="1"/>
  <c r="T3952" i="8"/>
  <c r="T3953" i="8"/>
  <c r="T3954" i="8"/>
  <c r="T3955" i="8"/>
  <c r="T3956" i="8"/>
  <c r="T3957" i="8"/>
  <c r="T3958" i="8"/>
  <c r="T3959" i="8"/>
  <c r="T3960" i="8"/>
  <c r="T3961" i="8"/>
  <c r="T3962" i="8"/>
  <c r="T3963" i="8"/>
  <c r="T3964" i="8"/>
  <c r="T3965" i="8"/>
  <c r="W4003" i="8"/>
  <c r="U4003" i="8"/>
  <c r="O4003" i="8"/>
  <c r="R4003" i="8" s="1"/>
  <c r="S4003" i="8" s="1"/>
  <c r="T4003" i="8"/>
  <c r="W4005" i="8"/>
  <c r="U4005" i="8"/>
  <c r="O4005" i="8"/>
  <c r="R4005" i="8" s="1"/>
  <c r="S4005" i="8" s="1"/>
  <c r="T4005" i="8"/>
  <c r="W4007" i="8"/>
  <c r="U4007" i="8"/>
  <c r="O4007" i="8"/>
  <c r="R4007" i="8" s="1"/>
  <c r="S4007" i="8" s="1"/>
  <c r="T4007" i="8"/>
  <c r="W4009" i="8"/>
  <c r="U4009" i="8"/>
  <c r="O4009" i="8"/>
  <c r="R4009" i="8" s="1"/>
  <c r="S4009" i="8" s="1"/>
  <c r="T4009" i="8"/>
  <c r="W4011" i="8"/>
  <c r="U4011" i="8"/>
  <c r="O4011" i="8"/>
  <c r="R4011" i="8" s="1"/>
  <c r="S4011" i="8" s="1"/>
  <c r="T4011" i="8"/>
  <c r="W4013" i="8"/>
  <c r="U4013" i="8"/>
  <c r="O4013" i="8"/>
  <c r="R4013" i="8" s="1"/>
  <c r="S4013" i="8" s="1"/>
  <c r="T4013" i="8"/>
  <c r="W4015" i="8"/>
  <c r="U4015" i="8"/>
  <c r="O4015" i="8"/>
  <c r="R4015" i="8" s="1"/>
  <c r="S4015" i="8" s="1"/>
  <c r="T4015" i="8"/>
  <c r="W4017" i="8"/>
  <c r="U4017" i="8"/>
  <c r="O4017" i="8"/>
  <c r="R4017" i="8" s="1"/>
  <c r="S4017" i="8" s="1"/>
  <c r="T4017" i="8"/>
  <c r="W4019" i="8"/>
  <c r="U4019" i="8"/>
  <c r="O4019" i="8"/>
  <c r="R4019" i="8" s="1"/>
  <c r="S4019" i="8" s="1"/>
  <c r="T4019" i="8"/>
  <c r="T3966" i="8"/>
  <c r="T3967" i="8"/>
  <c r="T3968" i="8"/>
  <c r="T3969" i="8"/>
  <c r="T3970" i="8"/>
  <c r="T3971" i="8"/>
  <c r="T3972" i="8"/>
  <c r="T3973" i="8"/>
  <c r="T3974" i="8"/>
  <c r="T3975" i="8"/>
  <c r="T3976" i="8"/>
  <c r="T3977" i="8"/>
  <c r="T3978" i="8"/>
  <c r="T3979" i="8"/>
  <c r="T3980" i="8"/>
  <c r="T3981" i="8"/>
  <c r="T3982" i="8"/>
  <c r="T3983" i="8"/>
  <c r="T3984" i="8"/>
  <c r="T3985" i="8"/>
  <c r="T3986" i="8"/>
  <c r="T3987" i="8"/>
  <c r="T3988" i="8"/>
  <c r="T3989" i="8"/>
  <c r="P28" i="5" s="1"/>
  <c r="T3990" i="8"/>
  <c r="T3991" i="8"/>
  <c r="T3992" i="8"/>
  <c r="T3993" i="8"/>
  <c r="T3994" i="8"/>
  <c r="T3995" i="8"/>
  <c r="T3996" i="8"/>
  <c r="T3997" i="8"/>
  <c r="T3998" i="8"/>
  <c r="T3999" i="8"/>
  <c r="T4000" i="8"/>
  <c r="T4001" i="8"/>
  <c r="W4020" i="8"/>
  <c r="U4020" i="8"/>
  <c r="O4020" i="8"/>
  <c r="R4020" i="8" s="1"/>
  <c r="S4020" i="8" s="1"/>
  <c r="T4020" i="8"/>
  <c r="W4021" i="8"/>
  <c r="U4021" i="8"/>
  <c r="O4021" i="8"/>
  <c r="R4021" i="8" s="1"/>
  <c r="S4021" i="8" s="1"/>
  <c r="T4021" i="8"/>
  <c r="W4022" i="8"/>
  <c r="U4022" i="8"/>
  <c r="O4022" i="8"/>
  <c r="R4022" i="8" s="1"/>
  <c r="S4022" i="8" s="1"/>
  <c r="T4022" i="8"/>
  <c r="W4023" i="8"/>
  <c r="U4023" i="8"/>
  <c r="O4023" i="8"/>
  <c r="R4023" i="8" s="1"/>
  <c r="S4023" i="8" s="1"/>
  <c r="T4023" i="8"/>
  <c r="W4024" i="8"/>
  <c r="U4024" i="8"/>
  <c r="O4024" i="8"/>
  <c r="R4024" i="8" s="1"/>
  <c r="S4024" i="8" s="1"/>
  <c r="T4024" i="8"/>
  <c r="W4025" i="8"/>
  <c r="M29" i="5" s="1"/>
  <c r="U4025" i="8"/>
  <c r="Q29" i="5" s="1"/>
  <c r="O4025" i="8"/>
  <c r="R4025" i="8" s="1"/>
  <c r="S4025" i="8" s="1"/>
  <c r="O29" i="5" s="1"/>
  <c r="T4025" i="8"/>
  <c r="P29" i="5" s="1"/>
  <c r="W4026" i="8"/>
  <c r="U4026" i="8"/>
  <c r="O4026" i="8"/>
  <c r="R4026" i="8" s="1"/>
  <c r="S4026" i="8" s="1"/>
  <c r="T4026" i="8"/>
  <c r="W4027" i="8"/>
  <c r="U4027" i="8"/>
  <c r="O4027" i="8"/>
  <c r="R4027" i="8" s="1"/>
  <c r="S4027" i="8" s="1"/>
  <c r="T4027" i="8"/>
  <c r="W4028" i="8"/>
  <c r="U4028" i="8"/>
  <c r="O4028" i="8"/>
  <c r="R4028" i="8" s="1"/>
  <c r="S4028" i="8" s="1"/>
  <c r="T4028" i="8"/>
  <c r="W4029" i="8"/>
  <c r="U4029" i="8"/>
  <c r="O4029" i="8"/>
  <c r="R4029" i="8" s="1"/>
  <c r="S4029" i="8" s="1"/>
  <c r="T4029" i="8"/>
  <c r="W4030" i="8"/>
  <c r="U4030" i="8"/>
  <c r="O4030" i="8"/>
  <c r="R4030" i="8" s="1"/>
  <c r="S4030" i="8" s="1"/>
  <c r="T4030" i="8"/>
  <c r="W4031" i="8"/>
  <c r="U4031" i="8"/>
  <c r="O4031" i="8"/>
  <c r="R4031" i="8" s="1"/>
  <c r="S4031" i="8" s="1"/>
  <c r="T4031" i="8"/>
  <c r="W4032" i="8"/>
  <c r="U4032" i="8"/>
  <c r="O4032" i="8"/>
  <c r="R4032" i="8" s="1"/>
  <c r="S4032" i="8" s="1"/>
  <c r="T4032" i="8"/>
  <c r="W4033" i="8"/>
  <c r="U4033" i="8"/>
  <c r="O4033" i="8"/>
  <c r="R4033" i="8" s="1"/>
  <c r="S4033" i="8" s="1"/>
  <c r="T4033" i="8"/>
  <c r="W4034" i="8"/>
  <c r="U4034" i="8"/>
  <c r="O4034" i="8"/>
  <c r="R4034" i="8" s="1"/>
  <c r="S4034" i="8" s="1"/>
  <c r="T4034" i="8"/>
  <c r="W4035" i="8"/>
  <c r="U4035" i="8"/>
  <c r="O4035" i="8"/>
  <c r="R4035" i="8" s="1"/>
  <c r="S4035" i="8" s="1"/>
  <c r="T4035" i="8"/>
  <c r="W4036" i="8"/>
  <c r="U4036" i="8"/>
  <c r="O4036" i="8"/>
  <c r="R4036" i="8" s="1"/>
  <c r="S4036" i="8" s="1"/>
  <c r="T4036" i="8"/>
  <c r="W4037" i="8"/>
  <c r="U4037" i="8"/>
  <c r="O4037" i="8"/>
  <c r="R4037" i="8" s="1"/>
  <c r="S4037" i="8" s="1"/>
  <c r="T4037" i="8"/>
  <c r="W4038" i="8"/>
  <c r="U4038" i="8"/>
  <c r="O4038" i="8"/>
  <c r="R4038" i="8" s="1"/>
  <c r="S4038" i="8" s="1"/>
  <c r="T4038" i="8"/>
  <c r="W4039" i="8"/>
  <c r="U4039" i="8"/>
  <c r="O4039" i="8"/>
  <c r="R4039" i="8" s="1"/>
  <c r="S4039" i="8" s="1"/>
  <c r="T4039" i="8"/>
  <c r="W4040" i="8"/>
  <c r="U4040" i="8"/>
  <c r="O4040" i="8"/>
  <c r="R4040" i="8" s="1"/>
  <c r="S4040" i="8" s="1"/>
  <c r="T4040" i="8"/>
  <c r="W4041" i="8"/>
  <c r="U4041" i="8"/>
  <c r="O4041" i="8"/>
  <c r="R4041" i="8" s="1"/>
  <c r="S4041" i="8" s="1"/>
  <c r="T4041" i="8"/>
  <c r="W4042" i="8"/>
  <c r="U4042" i="8"/>
  <c r="O4042" i="8"/>
  <c r="R4042" i="8" s="1"/>
  <c r="S4042" i="8" s="1"/>
  <c r="T4042" i="8"/>
  <c r="W4043" i="8"/>
  <c r="U4043" i="8"/>
  <c r="O4043" i="8"/>
  <c r="R4043" i="8" s="1"/>
  <c r="S4043" i="8" s="1"/>
  <c r="T4043" i="8"/>
  <c r="W4044" i="8"/>
  <c r="U4044" i="8"/>
  <c r="O4044" i="8"/>
  <c r="R4044" i="8" s="1"/>
  <c r="S4044" i="8" s="1"/>
  <c r="T4044" i="8"/>
  <c r="W4045" i="8"/>
  <c r="U4045" i="8"/>
  <c r="O4045" i="8"/>
  <c r="R4045" i="8" s="1"/>
  <c r="S4045" i="8" s="1"/>
  <c r="T4045" i="8"/>
  <c r="W4046" i="8"/>
  <c r="U4046" i="8"/>
  <c r="O4046" i="8"/>
  <c r="R4046" i="8" s="1"/>
  <c r="S4046" i="8" s="1"/>
  <c r="T4046" i="8"/>
  <c r="W4047" i="8"/>
  <c r="U4047" i="8"/>
  <c r="O4047" i="8"/>
  <c r="R4047" i="8" s="1"/>
  <c r="S4047" i="8" s="1"/>
  <c r="T4047" i="8"/>
  <c r="W4048" i="8"/>
  <c r="U4048" i="8"/>
  <c r="O4048" i="8"/>
  <c r="R4048" i="8" s="1"/>
  <c r="S4048" i="8" s="1"/>
  <c r="W4049" i="8"/>
  <c r="U4049" i="8"/>
  <c r="O4049" i="8"/>
  <c r="R4049" i="8" s="1"/>
  <c r="S4049" i="8" s="1"/>
  <c r="W4050" i="8"/>
  <c r="U4050" i="8"/>
  <c r="O4050" i="8"/>
  <c r="R4050" i="8" s="1"/>
  <c r="S4050" i="8" s="1"/>
  <c r="W4051" i="8"/>
  <c r="U4051" i="8"/>
  <c r="O4051" i="8"/>
  <c r="R4051" i="8" s="1"/>
  <c r="S4051" i="8" s="1"/>
  <c r="W4052" i="8"/>
  <c r="U4052" i="8"/>
  <c r="O4052" i="8"/>
  <c r="R4052" i="8" s="1"/>
  <c r="S4052" i="8" s="1"/>
  <c r="W4053" i="8"/>
  <c r="U4053" i="8"/>
  <c r="O4053" i="8"/>
  <c r="R4053" i="8" s="1"/>
  <c r="S4053" i="8" s="1"/>
  <c r="W4054" i="8"/>
  <c r="U4054" i="8"/>
  <c r="O4054" i="8"/>
  <c r="R4054" i="8" s="1"/>
  <c r="S4054" i="8" s="1"/>
  <c r="W4055" i="8"/>
  <c r="U4055" i="8"/>
  <c r="O4055" i="8"/>
  <c r="R4055" i="8" s="1"/>
  <c r="S4055" i="8" s="1"/>
  <c r="W4056" i="8"/>
  <c r="U4056" i="8"/>
  <c r="O4056" i="8"/>
  <c r="R4056" i="8" s="1"/>
  <c r="S4056" i="8" s="1"/>
  <c r="W4057" i="8"/>
  <c r="U4057" i="8"/>
  <c r="O4057" i="8"/>
  <c r="R4057" i="8" s="1"/>
  <c r="S4057" i="8" s="1"/>
  <c r="W4058" i="8"/>
  <c r="U4058" i="8"/>
  <c r="O4058" i="8"/>
  <c r="R4058" i="8" s="1"/>
  <c r="S4058" i="8" s="1"/>
  <c r="W4059" i="8"/>
  <c r="U4059" i="8"/>
  <c r="O4059" i="8"/>
  <c r="R4059" i="8" s="1"/>
  <c r="S4059" i="8" s="1"/>
  <c r="W4060" i="8"/>
  <c r="U4060" i="8"/>
  <c r="O4060" i="8"/>
  <c r="R4060" i="8" s="1"/>
  <c r="S4060" i="8" s="1"/>
  <c r="W4061" i="8"/>
  <c r="U4061" i="8"/>
  <c r="O4061" i="8"/>
  <c r="R4061" i="8" s="1"/>
  <c r="S4061" i="8" s="1"/>
  <c r="W4062" i="8"/>
  <c r="U4062" i="8"/>
  <c r="O4062" i="8"/>
  <c r="R4062" i="8" s="1"/>
  <c r="S4062" i="8" s="1"/>
  <c r="W4063" i="8"/>
  <c r="U4063" i="8"/>
  <c r="O4063" i="8"/>
  <c r="R4063" i="8" s="1"/>
  <c r="S4063" i="8" s="1"/>
  <c r="W4064" i="8"/>
  <c r="U4064" i="8"/>
  <c r="O4064" i="8"/>
  <c r="R4064" i="8" s="1"/>
  <c r="S4064" i="8" s="1"/>
  <c r="W4065" i="8"/>
  <c r="U4065" i="8"/>
  <c r="O4065" i="8"/>
  <c r="R4065" i="8" s="1"/>
  <c r="S4065" i="8" s="1"/>
  <c r="W4066" i="8"/>
  <c r="U4066" i="8"/>
  <c r="O4066" i="8"/>
  <c r="R4066" i="8" s="1"/>
  <c r="S4066" i="8" s="1"/>
  <c r="W4067" i="8"/>
  <c r="M121" i="5" s="1"/>
  <c r="U4067" i="8"/>
  <c r="Q121" i="5" s="1"/>
  <c r="O4067" i="8"/>
  <c r="R4067" i="8" s="1"/>
  <c r="S4067" i="8" s="1"/>
  <c r="W4068" i="8"/>
  <c r="U4068" i="8"/>
  <c r="O4068" i="8"/>
  <c r="R4068" i="8" s="1"/>
  <c r="S4068" i="8" s="1"/>
  <c r="W4069" i="8"/>
  <c r="U4069" i="8"/>
  <c r="O4069" i="8"/>
  <c r="R4069" i="8" s="1"/>
  <c r="S4069" i="8" s="1"/>
  <c r="W4070" i="8"/>
  <c r="U4070" i="8"/>
  <c r="O4070" i="8"/>
  <c r="R4070" i="8" s="1"/>
  <c r="S4070" i="8" s="1"/>
  <c r="W4071" i="8"/>
  <c r="U4071" i="8"/>
  <c r="O4071" i="8"/>
  <c r="R4071" i="8" s="1"/>
  <c r="S4071" i="8" s="1"/>
  <c r="T4071" i="8"/>
  <c r="W4072" i="8"/>
  <c r="U4072" i="8"/>
  <c r="W4073" i="8"/>
  <c r="U4073" i="8"/>
  <c r="O4073" i="8"/>
  <c r="R4073" i="8" s="1"/>
  <c r="S4073" i="8" s="1"/>
  <c r="W4074" i="8"/>
  <c r="U4074" i="8"/>
  <c r="O4074" i="8"/>
  <c r="R4074" i="8" s="1"/>
  <c r="S4074" i="8" s="1"/>
  <c r="W4075" i="8"/>
  <c r="U4075" i="8"/>
  <c r="O4075" i="8"/>
  <c r="R4075" i="8" s="1"/>
  <c r="S4075" i="8" s="1"/>
  <c r="W4076" i="8"/>
  <c r="U4076" i="8"/>
  <c r="O4076" i="8"/>
  <c r="R4076" i="8" s="1"/>
  <c r="S4076" i="8" s="1"/>
  <c r="W4077" i="8"/>
  <c r="U4077" i="8"/>
  <c r="O4077" i="8"/>
  <c r="R4077" i="8" s="1"/>
  <c r="S4077" i="8" s="1"/>
  <c r="W4078" i="8"/>
  <c r="U4078" i="8"/>
  <c r="O4078" i="8"/>
  <c r="R4078" i="8" s="1"/>
  <c r="S4078" i="8" s="1"/>
  <c r="W4079" i="8"/>
  <c r="U4079" i="8"/>
  <c r="O4079" i="8"/>
  <c r="R4079" i="8" s="1"/>
  <c r="S4079" i="8" s="1"/>
  <c r="W4080" i="8"/>
  <c r="U4080" i="8"/>
  <c r="O4080" i="8"/>
  <c r="R4080" i="8" s="1"/>
  <c r="S4080" i="8" s="1"/>
  <c r="W4081" i="8"/>
  <c r="U4081" i="8"/>
  <c r="O4081" i="8"/>
  <c r="R4081" i="8" s="1"/>
  <c r="S4081" i="8" s="1"/>
  <c r="T4081" i="8"/>
  <c r="W4082" i="8"/>
  <c r="U4082" i="8"/>
  <c r="O4082" i="8"/>
  <c r="R4082" i="8" s="1"/>
  <c r="S4082" i="8" s="1"/>
  <c r="T4082" i="8"/>
  <c r="W4083" i="8"/>
  <c r="U4083" i="8"/>
  <c r="O4083" i="8"/>
  <c r="R4083" i="8" s="1"/>
  <c r="S4083" i="8" s="1"/>
  <c r="T4083" i="8"/>
  <c r="W4084" i="8"/>
  <c r="U4084" i="8"/>
  <c r="O4084" i="8"/>
  <c r="R4084" i="8" s="1"/>
  <c r="S4084" i="8" s="1"/>
  <c r="T4084" i="8"/>
  <c r="W4085" i="8"/>
  <c r="U4085" i="8"/>
  <c r="O4085" i="8"/>
  <c r="R4085" i="8" s="1"/>
  <c r="S4085" i="8" s="1"/>
  <c r="T4085" i="8"/>
  <c r="W4086" i="8"/>
  <c r="U4086" i="8"/>
  <c r="O4086" i="8"/>
  <c r="R4086" i="8" s="1"/>
  <c r="S4086" i="8" s="1"/>
  <c r="W4087" i="8"/>
  <c r="U4087" i="8"/>
  <c r="O4087" i="8"/>
  <c r="R4087" i="8" s="1"/>
  <c r="S4087" i="8" s="1"/>
  <c r="W4088" i="8"/>
  <c r="U4088" i="8"/>
  <c r="O4088" i="8"/>
  <c r="R4088" i="8" s="1"/>
  <c r="S4088" i="8" s="1"/>
  <c r="W4089" i="8"/>
  <c r="U4089" i="8"/>
  <c r="O4089" i="8"/>
  <c r="R4089" i="8" s="1"/>
  <c r="S4089" i="8" s="1"/>
  <c r="W4090" i="8"/>
  <c r="U4090" i="8"/>
  <c r="O4090" i="8"/>
  <c r="R4090" i="8" s="1"/>
  <c r="S4090" i="8" s="1"/>
  <c r="W4091" i="8"/>
  <c r="U4091" i="8"/>
  <c r="O4091" i="8"/>
  <c r="R4091" i="8" s="1"/>
  <c r="S4091" i="8" s="1"/>
  <c r="W4092" i="8"/>
  <c r="U4092" i="8"/>
  <c r="O4092" i="8"/>
  <c r="R4092" i="8" s="1"/>
  <c r="S4092" i="8" s="1"/>
  <c r="W4093" i="8"/>
  <c r="U4093" i="8"/>
  <c r="O4093" i="8"/>
  <c r="R4093" i="8" s="1"/>
  <c r="S4093" i="8" s="1"/>
  <c r="W4094" i="8"/>
  <c r="U4094" i="8"/>
  <c r="O4094" i="8"/>
  <c r="R4094" i="8" s="1"/>
  <c r="S4094" i="8" s="1"/>
  <c r="Q124" i="1" l="1"/>
  <c r="R124" i="1" s="1"/>
  <c r="F61" i="4"/>
  <c r="P85" i="1"/>
  <c r="E27" i="2"/>
  <c r="H27" i="2" s="1"/>
  <c r="P103" i="1"/>
  <c r="I11" i="1" s="1"/>
  <c r="F34" i="1"/>
  <c r="E26" i="2"/>
  <c r="C42" i="4"/>
  <c r="Q93" i="1"/>
  <c r="R93" i="1" s="1"/>
  <c r="C44" i="4"/>
  <c r="Q96" i="1"/>
  <c r="R96" i="1" s="1"/>
  <c r="E65" i="4"/>
  <c r="Q132" i="1"/>
  <c r="R132" i="1" s="1"/>
  <c r="J23" i="1"/>
  <c r="Q114" i="1"/>
  <c r="R114" i="1" s="1"/>
  <c r="C54" i="4"/>
  <c r="J16" i="1"/>
  <c r="P108" i="1"/>
  <c r="I13" i="1" s="1"/>
  <c r="F38" i="4"/>
  <c r="D37" i="4"/>
  <c r="C37" i="4"/>
  <c r="F60" i="4"/>
  <c r="E60" i="4"/>
  <c r="D60" i="4"/>
  <c r="E38" i="2"/>
  <c r="F36" i="4"/>
  <c r="D49" i="4"/>
  <c r="Q104" i="1"/>
  <c r="R104" i="1" s="1"/>
  <c r="C49" i="4"/>
  <c r="P106" i="1"/>
  <c r="I12" i="1" s="1"/>
  <c r="P123" i="1"/>
  <c r="P104" i="1"/>
  <c r="E50" i="4"/>
  <c r="D50" i="4"/>
  <c r="F45" i="1"/>
  <c r="E28" i="2"/>
  <c r="I28" i="2" s="1"/>
  <c r="P130" i="1"/>
  <c r="I22" i="1" s="1"/>
  <c r="P93" i="1"/>
  <c r="D59" i="4"/>
  <c r="P122" i="1"/>
  <c r="Q122" i="1"/>
  <c r="R122" i="1" s="1"/>
  <c r="C59" i="4"/>
  <c r="C39" i="4"/>
  <c r="E48" i="4"/>
  <c r="Q103" i="1"/>
  <c r="R103" i="1" s="1"/>
  <c r="C48" i="4"/>
  <c r="J11" i="1"/>
  <c r="E20" i="2"/>
  <c r="I20" i="2" s="1"/>
  <c r="Q83" i="1"/>
  <c r="R83" i="1" s="1"/>
  <c r="C35" i="4"/>
  <c r="F44" i="4"/>
  <c r="E44" i="4"/>
  <c r="D44" i="4"/>
  <c r="E22" i="2"/>
  <c r="I22" i="2" s="1"/>
  <c r="F56" i="4"/>
  <c r="E56" i="4"/>
  <c r="D56" i="4"/>
  <c r="Q117" i="1"/>
  <c r="R117" i="1" s="1"/>
  <c r="Q110" i="1"/>
  <c r="R110" i="1" s="1"/>
  <c r="J14" i="1"/>
  <c r="F52" i="4"/>
  <c r="F54" i="4"/>
  <c r="E54" i="4"/>
  <c r="D54" i="4"/>
  <c r="F40" i="1"/>
  <c r="E32" i="2"/>
  <c r="I32" i="2" s="1"/>
  <c r="E40" i="4"/>
  <c r="D40" i="4"/>
  <c r="P98" i="1"/>
  <c r="I9" i="1" s="1"/>
  <c r="E30" i="2"/>
  <c r="I30" i="2" s="1"/>
  <c r="Q56" i="5"/>
  <c r="Q55" i="5"/>
  <c r="P83" i="1"/>
  <c r="N59" i="1"/>
  <c r="E102" i="2"/>
  <c r="I38" i="2"/>
  <c r="N64" i="1"/>
  <c r="I26" i="2"/>
  <c r="Q123" i="1"/>
  <c r="R123" i="1" s="1"/>
  <c r="C60" i="4"/>
  <c r="E47" i="4"/>
  <c r="Q101" i="1"/>
  <c r="R101" i="1" s="1"/>
  <c r="E36" i="4"/>
  <c r="Q84" i="1"/>
  <c r="R84" i="1" s="1"/>
  <c r="Q106" i="1"/>
  <c r="R106" i="1" s="1"/>
  <c r="C50" i="4"/>
  <c r="J12" i="1"/>
  <c r="E37" i="2"/>
  <c r="H37" i="2" s="1"/>
  <c r="S791" i="8"/>
  <c r="P34" i="5"/>
  <c r="P90" i="1" s="1"/>
  <c r="I6" i="1" s="1"/>
  <c r="Q81" i="5"/>
  <c r="Q80" i="5"/>
  <c r="Q79" i="5"/>
  <c r="Q78" i="5"/>
  <c r="Q109" i="5"/>
  <c r="P124" i="1"/>
  <c r="E98" i="2"/>
  <c r="N63" i="1"/>
  <c r="L63" i="1"/>
  <c r="P110" i="1"/>
  <c r="I14" i="1" s="1"/>
  <c r="N68" i="1"/>
  <c r="M68" i="1"/>
  <c r="N57" i="1"/>
  <c r="L57" i="1"/>
  <c r="E89" i="2"/>
  <c r="K66" i="1"/>
  <c r="E86" i="2"/>
  <c r="P84" i="1"/>
  <c r="H13" i="2"/>
  <c r="O4018" i="8"/>
  <c r="R4018" i="8" s="1"/>
  <c r="S4018" i="8" s="1"/>
  <c r="O4016" i="8"/>
  <c r="R4016" i="8" s="1"/>
  <c r="S4016" i="8" s="1"/>
  <c r="O4014" i="8"/>
  <c r="R4014" i="8" s="1"/>
  <c r="S4014" i="8" s="1"/>
  <c r="O4012" i="8"/>
  <c r="R4012" i="8" s="1"/>
  <c r="S4012" i="8" s="1"/>
  <c r="O4010" i="8"/>
  <c r="R4010" i="8" s="1"/>
  <c r="S4010" i="8" s="1"/>
  <c r="O4008" i="8"/>
  <c r="R4008" i="8" s="1"/>
  <c r="S4008" i="8" s="1"/>
  <c r="O4006" i="8"/>
  <c r="R4006" i="8" s="1"/>
  <c r="S4006" i="8" s="1"/>
  <c r="O4004" i="8"/>
  <c r="R4004" i="8" s="1"/>
  <c r="S4004" i="8" s="1"/>
  <c r="O28" i="5" s="1"/>
  <c r="R3914" i="8"/>
  <c r="S3914" i="8" s="1"/>
  <c r="O3915" i="8"/>
  <c r="R3915" i="8" s="1"/>
  <c r="S3915" i="8" s="1"/>
  <c r="R3905" i="8"/>
  <c r="S3905" i="8" s="1"/>
  <c r="O3906" i="8"/>
  <c r="R3906" i="8" s="1"/>
  <c r="S3906" i="8" s="1"/>
  <c r="R3842" i="8"/>
  <c r="S3842" i="8" s="1"/>
  <c r="O23" i="5" s="1"/>
  <c r="O3843" i="8"/>
  <c r="R3843" i="8" s="1"/>
  <c r="S3843" i="8" s="1"/>
  <c r="R3123" i="8"/>
  <c r="S3123" i="8" s="1"/>
  <c r="O132" i="5" s="1"/>
  <c r="O3124" i="8"/>
  <c r="R3124" i="8" s="1"/>
  <c r="S3124" i="8" s="1"/>
  <c r="O2950" i="8"/>
  <c r="R2950" i="8" s="1"/>
  <c r="S2950" i="8" s="1"/>
  <c r="R2949" i="8"/>
  <c r="S2949" i="8" s="1"/>
  <c r="O31" i="5" s="1"/>
  <c r="W1013" i="8"/>
  <c r="U1013" i="8"/>
  <c r="W1012" i="8"/>
  <c r="U1012" i="8"/>
  <c r="W1011" i="8"/>
  <c r="U1011" i="8"/>
  <c r="W1010" i="8"/>
  <c r="U1010" i="8"/>
  <c r="W1009" i="8"/>
  <c r="U1009" i="8"/>
  <c r="W1008" i="8"/>
  <c r="U1008" i="8"/>
  <c r="W1007" i="8"/>
  <c r="U1007" i="8"/>
  <c r="W1006" i="8"/>
  <c r="U1006" i="8"/>
  <c r="W1005" i="8"/>
  <c r="U1005" i="8"/>
  <c r="W1004" i="8"/>
  <c r="U1004" i="8"/>
  <c r="W1003" i="8"/>
  <c r="U1003" i="8"/>
  <c r="W1002" i="8"/>
  <c r="U1002" i="8"/>
  <c r="W1001" i="8"/>
  <c r="U1001" i="8"/>
  <c r="W1000" i="8"/>
  <c r="U1000" i="8"/>
  <c r="W999" i="8"/>
  <c r="U999" i="8"/>
  <c r="W998" i="8"/>
  <c r="U998" i="8"/>
  <c r="W997" i="8"/>
  <c r="U997" i="8"/>
  <c r="W996" i="8"/>
  <c r="U996" i="8"/>
  <c r="W995" i="8"/>
  <c r="U995" i="8"/>
  <c r="W994" i="8"/>
  <c r="U994" i="8"/>
  <c r="W993" i="8"/>
  <c r="U993" i="8"/>
  <c r="W992" i="8"/>
  <c r="U992" i="8"/>
  <c r="W991" i="8"/>
  <c r="U991" i="8"/>
  <c r="W990" i="8"/>
  <c r="U990" i="8"/>
  <c r="W989" i="8"/>
  <c r="U989" i="8"/>
  <c r="W988" i="8"/>
  <c r="U988" i="8"/>
  <c r="W987" i="8"/>
  <c r="U987" i="8"/>
  <c r="W986" i="8"/>
  <c r="U986" i="8"/>
  <c r="W985" i="8"/>
  <c r="U985" i="8"/>
  <c r="W984" i="8"/>
  <c r="U984" i="8"/>
  <c r="W983" i="8"/>
  <c r="U983" i="8"/>
  <c r="W982" i="8"/>
  <c r="U982" i="8"/>
  <c r="W981" i="8"/>
  <c r="U981" i="8"/>
  <c r="W980" i="8"/>
  <c r="U980" i="8"/>
  <c r="W979" i="8"/>
  <c r="U979" i="8"/>
  <c r="W978" i="8"/>
  <c r="U978" i="8"/>
  <c r="W977" i="8"/>
  <c r="U977" i="8"/>
  <c r="W976" i="8"/>
  <c r="U976" i="8"/>
  <c r="W975" i="8"/>
  <c r="U975" i="8"/>
  <c r="W974" i="8"/>
  <c r="U974" i="8"/>
  <c r="W973" i="8"/>
  <c r="U973" i="8"/>
  <c r="W972" i="8"/>
  <c r="U972" i="8"/>
  <c r="W971" i="8"/>
  <c r="U971" i="8"/>
  <c r="W970" i="8"/>
  <c r="U970" i="8"/>
  <c r="W969" i="8"/>
  <c r="U969" i="8"/>
  <c r="W968" i="8"/>
  <c r="U968" i="8"/>
  <c r="W967" i="8"/>
  <c r="U967" i="8"/>
  <c r="W966" i="8"/>
  <c r="U966" i="8"/>
  <c r="W965" i="8"/>
  <c r="U965" i="8"/>
  <c r="W964" i="8"/>
  <c r="U964" i="8"/>
  <c r="W963" i="8"/>
  <c r="U963" i="8"/>
  <c r="W962" i="8"/>
  <c r="U962" i="8"/>
  <c r="W961" i="8"/>
  <c r="U961" i="8"/>
  <c r="W960" i="8"/>
  <c r="U960" i="8"/>
  <c r="W959" i="8"/>
  <c r="M49" i="5" s="1"/>
  <c r="N72" i="1" s="1"/>
  <c r="U959" i="8"/>
  <c r="Q49" i="5" s="1"/>
  <c r="F43" i="4" s="1"/>
  <c r="W958" i="8"/>
  <c r="U958" i="8"/>
  <c r="W957" i="8"/>
  <c r="U957" i="8"/>
  <c r="W956" i="8"/>
  <c r="U956" i="8"/>
  <c r="W955" i="8"/>
  <c r="U955" i="8"/>
  <c r="W954" i="8"/>
  <c r="U954" i="8"/>
  <c r="W953" i="8"/>
  <c r="U953" i="8"/>
  <c r="W952" i="8"/>
  <c r="U952" i="8"/>
  <c r="W951" i="8"/>
  <c r="U951" i="8"/>
  <c r="W950" i="8"/>
  <c r="U950" i="8"/>
  <c r="W949" i="8"/>
  <c r="U949" i="8"/>
  <c r="W948" i="8"/>
  <c r="U948" i="8"/>
  <c r="W947" i="8"/>
  <c r="U947" i="8"/>
  <c r="W946" i="8"/>
  <c r="U946" i="8"/>
  <c r="W945" i="8"/>
  <c r="U945" i="8"/>
  <c r="W944" i="8"/>
  <c r="U944" i="8"/>
  <c r="W943" i="8"/>
  <c r="U943" i="8"/>
  <c r="W942" i="8"/>
  <c r="U942" i="8"/>
  <c r="W941" i="8"/>
  <c r="U941" i="8"/>
  <c r="W940" i="8"/>
  <c r="U940" i="8"/>
  <c r="W939" i="8"/>
  <c r="U939" i="8"/>
  <c r="W938" i="8"/>
  <c r="U938" i="8"/>
  <c r="W937" i="8"/>
  <c r="U937" i="8"/>
  <c r="W936" i="8"/>
  <c r="U936" i="8"/>
  <c r="W935" i="8"/>
  <c r="U935" i="8"/>
  <c r="W934" i="8"/>
  <c r="U934" i="8"/>
  <c r="W933" i="8"/>
  <c r="U933" i="8"/>
  <c r="W932" i="8"/>
  <c r="U932" i="8"/>
  <c r="W931" i="8"/>
  <c r="U931" i="8"/>
  <c r="W930" i="8"/>
  <c r="U930" i="8"/>
  <c r="W929" i="8"/>
  <c r="U929" i="8"/>
  <c r="W928" i="8"/>
  <c r="U928" i="8"/>
  <c r="W927" i="8"/>
  <c r="U927" i="8"/>
  <c r="W926" i="8"/>
  <c r="U926" i="8"/>
  <c r="W925" i="8"/>
  <c r="U925" i="8"/>
  <c r="W924" i="8"/>
  <c r="U924" i="8"/>
  <c r="W923" i="8"/>
  <c r="M48" i="5" s="1"/>
  <c r="M72" i="1" s="1"/>
  <c r="U923" i="8"/>
  <c r="Q48" i="5" s="1"/>
  <c r="E43" i="4" s="1"/>
  <c r="W922" i="8"/>
  <c r="U922" i="8"/>
  <c r="W921" i="8"/>
  <c r="U921" i="8"/>
  <c r="W920" i="8"/>
  <c r="U920" i="8"/>
  <c r="W919" i="8"/>
  <c r="U919" i="8"/>
  <c r="W918" i="8"/>
  <c r="U918" i="8"/>
  <c r="W917" i="8"/>
  <c r="U917" i="8"/>
  <c r="W916" i="8"/>
  <c r="U916" i="8"/>
  <c r="W915" i="8"/>
  <c r="U915" i="8"/>
  <c r="W914" i="8"/>
  <c r="U914" i="8"/>
  <c r="W913" i="8"/>
  <c r="U913" i="8"/>
  <c r="W912" i="8"/>
  <c r="U912" i="8"/>
  <c r="W911" i="8"/>
  <c r="U911" i="8"/>
  <c r="W910" i="8"/>
  <c r="U910" i="8"/>
  <c r="W909" i="8"/>
  <c r="U909" i="8"/>
  <c r="W908" i="8"/>
  <c r="U908" i="8"/>
  <c r="W907" i="8"/>
  <c r="U907" i="8"/>
  <c r="W906" i="8"/>
  <c r="U906" i="8"/>
  <c r="W905" i="8"/>
  <c r="U905" i="8"/>
  <c r="W904" i="8"/>
  <c r="U904" i="8"/>
  <c r="W903" i="8"/>
  <c r="U903" i="8"/>
  <c r="W902" i="8"/>
  <c r="U902" i="8"/>
  <c r="W901" i="8"/>
  <c r="U901" i="8"/>
  <c r="W900" i="8"/>
  <c r="U900" i="8"/>
  <c r="W899" i="8"/>
  <c r="U899" i="8"/>
  <c r="W898" i="8"/>
  <c r="U898" i="8"/>
  <c r="W897" i="8"/>
  <c r="U897" i="8"/>
  <c r="W896" i="8"/>
  <c r="U896" i="8"/>
  <c r="W895" i="8"/>
  <c r="U895" i="8"/>
  <c r="W894" i="8"/>
  <c r="U894" i="8"/>
  <c r="W893" i="8"/>
  <c r="U893" i="8"/>
  <c r="W892" i="8"/>
  <c r="U892" i="8"/>
  <c r="W891" i="8"/>
  <c r="U891" i="8"/>
  <c r="W890" i="8"/>
  <c r="U890" i="8"/>
  <c r="W889" i="8"/>
  <c r="U889" i="8"/>
  <c r="W888" i="8"/>
  <c r="M47" i="5" s="1"/>
  <c r="L72" i="1" s="1"/>
  <c r="U888" i="8"/>
  <c r="Q47" i="5" s="1"/>
  <c r="D43" i="4" s="1"/>
  <c r="W887" i="8"/>
  <c r="U887" i="8"/>
  <c r="W886" i="8"/>
  <c r="U886" i="8"/>
  <c r="W885" i="8"/>
  <c r="U885" i="8"/>
  <c r="W884" i="8"/>
  <c r="U884" i="8"/>
  <c r="W883" i="8"/>
  <c r="U883" i="8"/>
  <c r="W882" i="8"/>
  <c r="U882" i="8"/>
  <c r="W881" i="8"/>
  <c r="U881" i="8"/>
  <c r="W880" i="8"/>
  <c r="U880" i="8"/>
  <c r="W879" i="8"/>
  <c r="U879" i="8"/>
  <c r="W878" i="8"/>
  <c r="U878" i="8"/>
  <c r="W877" i="8"/>
  <c r="U877" i="8"/>
  <c r="W876" i="8"/>
  <c r="U876" i="8"/>
  <c r="W875" i="8"/>
  <c r="U875" i="8"/>
  <c r="W874" i="8"/>
  <c r="U874" i="8"/>
  <c r="W873" i="8"/>
  <c r="U873" i="8"/>
  <c r="W872" i="8"/>
  <c r="U872" i="8"/>
  <c r="W871" i="8"/>
  <c r="U871" i="8"/>
  <c r="W870" i="8"/>
  <c r="U870" i="8"/>
  <c r="W869" i="8"/>
  <c r="U869" i="8"/>
  <c r="W775" i="8"/>
  <c r="U775" i="8"/>
  <c r="W774" i="8"/>
  <c r="U774" i="8"/>
  <c r="W773" i="8"/>
  <c r="U773" i="8"/>
  <c r="W772" i="8"/>
  <c r="U772" i="8"/>
  <c r="W771" i="8"/>
  <c r="U771" i="8"/>
  <c r="W770" i="8"/>
  <c r="U770" i="8"/>
  <c r="U3013" i="8"/>
  <c r="W3013" i="8"/>
  <c r="U3015" i="8"/>
  <c r="W3015" i="8"/>
  <c r="U3017" i="8"/>
  <c r="W3017" i="8"/>
  <c r="U3019" i="8"/>
  <c r="W3019" i="8"/>
  <c r="U3021" i="8"/>
  <c r="W3021" i="8"/>
  <c r="U3023" i="8"/>
  <c r="W3023" i="8"/>
  <c r="U3025" i="8"/>
  <c r="W3025" i="8"/>
  <c r="U3027" i="8"/>
  <c r="W3027" i="8"/>
  <c r="U3029" i="8"/>
  <c r="W3029" i="8"/>
  <c r="U3031" i="8"/>
  <c r="W3031" i="8"/>
  <c r="U3033" i="8"/>
  <c r="W3033" i="8"/>
  <c r="U3035" i="8"/>
  <c r="W3035" i="8"/>
  <c r="U3037" i="8"/>
  <c r="W3037" i="8"/>
  <c r="U3039" i="8"/>
  <c r="W3039" i="8"/>
  <c r="U3041" i="8"/>
  <c r="W3041" i="8"/>
  <c r="U3043" i="8"/>
  <c r="W3043" i="8"/>
  <c r="U3045" i="8"/>
  <c r="W3045" i="8"/>
  <c r="U3047" i="8"/>
  <c r="W3047" i="8"/>
  <c r="U3049" i="8"/>
  <c r="W3049" i="8"/>
  <c r="U3051" i="8"/>
  <c r="W3051" i="8"/>
  <c r="U3053" i="8"/>
  <c r="W3053" i="8"/>
  <c r="U3055" i="8"/>
  <c r="W3055" i="8"/>
  <c r="U3057" i="8"/>
  <c r="W3057" i="8"/>
  <c r="U3059" i="8"/>
  <c r="W3059" i="8"/>
  <c r="U3061" i="8"/>
  <c r="W3061" i="8"/>
  <c r="U3063" i="8"/>
  <c r="W3063" i="8"/>
  <c r="U3065" i="8"/>
  <c r="W3065" i="8"/>
  <c r="U3067" i="8"/>
  <c r="W3067" i="8"/>
  <c r="U3069" i="8"/>
  <c r="W3069" i="8"/>
  <c r="U3071" i="8"/>
  <c r="W3071" i="8"/>
  <c r="U3073" i="8"/>
  <c r="W3073" i="8"/>
  <c r="U3075" i="8"/>
  <c r="W3075" i="8"/>
  <c r="U3077" i="8"/>
  <c r="W3077" i="8"/>
  <c r="U3079" i="8"/>
  <c r="W3079" i="8"/>
  <c r="U3081" i="8"/>
  <c r="W3081" i="8"/>
  <c r="U3083" i="8"/>
  <c r="W3083" i="8"/>
  <c r="U3085" i="8"/>
  <c r="W3085" i="8"/>
  <c r="U3087" i="8"/>
  <c r="W3087" i="8"/>
  <c r="U3089" i="8"/>
  <c r="W3089" i="8"/>
  <c r="U3091" i="8"/>
  <c r="W3091" i="8"/>
  <c r="U3093" i="8"/>
  <c r="W3093" i="8"/>
  <c r="U3095" i="8"/>
  <c r="W3095" i="8"/>
  <c r="U3097" i="8"/>
  <c r="W3097" i="8"/>
  <c r="U3099" i="8"/>
  <c r="W3099" i="8"/>
  <c r="U3101" i="8"/>
  <c r="W3101" i="8"/>
  <c r="U3103" i="8"/>
  <c r="W3103" i="8"/>
  <c r="U3105" i="8"/>
  <c r="W3105" i="8"/>
  <c r="U3107" i="8"/>
  <c r="W3107" i="8"/>
  <c r="U3109" i="8"/>
  <c r="W3109" i="8"/>
  <c r="U3111" i="8"/>
  <c r="W3111" i="8"/>
  <c r="U3113" i="8"/>
  <c r="W3113" i="8"/>
  <c r="U3115" i="8"/>
  <c r="W3115" i="8"/>
  <c r="U3117" i="8"/>
  <c r="W3117" i="8"/>
  <c r="U3119" i="8"/>
  <c r="W3119" i="8"/>
  <c r="U3121" i="8"/>
  <c r="W3121" i="8"/>
  <c r="U3123" i="8"/>
  <c r="W3123" i="8"/>
  <c r="U3125" i="8"/>
  <c r="W3125" i="8"/>
  <c r="U3127" i="8"/>
  <c r="W3127" i="8"/>
  <c r="U3129" i="8"/>
  <c r="W3129" i="8"/>
  <c r="U3131" i="8"/>
  <c r="W3131" i="8"/>
  <c r="U3133" i="8"/>
  <c r="W3133" i="8"/>
  <c r="U3135" i="8"/>
  <c r="W3135" i="8"/>
  <c r="U3137" i="8"/>
  <c r="W3137" i="8"/>
  <c r="U3139" i="8"/>
  <c r="W3139" i="8"/>
  <c r="U3141" i="8"/>
  <c r="W3141" i="8"/>
  <c r="U3143" i="8"/>
  <c r="W3143" i="8"/>
  <c r="U3145" i="8"/>
  <c r="W3145" i="8"/>
  <c r="U3147" i="8"/>
  <c r="W3147" i="8"/>
  <c r="U3149" i="8"/>
  <c r="W3149" i="8"/>
  <c r="U3151" i="8"/>
  <c r="W3151" i="8"/>
  <c r="U3153" i="8"/>
  <c r="W3153" i="8"/>
  <c r="U3155" i="8"/>
  <c r="W3155" i="8"/>
  <c r="U3157" i="8"/>
  <c r="W3157" i="8"/>
  <c r="U3159" i="8"/>
  <c r="W3159" i="8"/>
  <c r="U3161" i="8"/>
  <c r="W3161" i="8"/>
  <c r="U3163" i="8"/>
  <c r="W3163" i="8"/>
  <c r="U3165" i="8"/>
  <c r="W3165" i="8"/>
  <c r="U3924" i="8"/>
  <c r="W3924" i="8"/>
  <c r="U3926" i="8"/>
  <c r="W3926" i="8"/>
  <c r="U3928" i="8"/>
  <c r="W3928" i="8"/>
  <c r="U3930" i="8"/>
  <c r="W3930" i="8"/>
  <c r="U3932" i="8"/>
  <c r="W3932" i="8"/>
  <c r="U3934" i="8"/>
  <c r="W3934" i="8"/>
  <c r="U3936" i="8"/>
  <c r="W3936" i="8"/>
  <c r="U3938" i="8"/>
  <c r="W3938" i="8"/>
  <c r="U3940" i="8"/>
  <c r="W3940" i="8"/>
  <c r="U3942" i="8"/>
  <c r="W3942" i="8"/>
  <c r="U3944" i="8"/>
  <c r="W3944" i="8"/>
  <c r="U3946" i="8"/>
  <c r="W3946" i="8"/>
  <c r="U3948" i="8"/>
  <c r="W3948" i="8"/>
  <c r="U3950" i="8"/>
  <c r="W3950" i="8"/>
  <c r="U3952" i="8"/>
  <c r="W3952" i="8"/>
  <c r="U3954" i="8"/>
  <c r="W3954" i="8"/>
  <c r="U3956" i="8"/>
  <c r="W3956" i="8"/>
  <c r="U3958" i="8"/>
  <c r="W3958" i="8"/>
  <c r="U3960" i="8"/>
  <c r="W3960" i="8"/>
  <c r="U3962" i="8"/>
  <c r="W3962" i="8"/>
  <c r="U3964" i="8"/>
  <c r="W3964" i="8"/>
  <c r="U3966" i="8"/>
  <c r="W3966" i="8"/>
  <c r="U3968" i="8"/>
  <c r="W3968" i="8"/>
  <c r="U3970" i="8"/>
  <c r="W3970" i="8"/>
  <c r="U3972" i="8"/>
  <c r="W3972" i="8"/>
  <c r="U3974" i="8"/>
  <c r="W3974" i="8"/>
  <c r="U3976" i="8"/>
  <c r="W3976" i="8"/>
  <c r="U3978" i="8"/>
  <c r="W3978" i="8"/>
  <c r="U3980" i="8"/>
  <c r="W3980" i="8"/>
  <c r="U3982" i="8"/>
  <c r="W3982" i="8"/>
  <c r="U3984" i="8"/>
  <c r="W3984" i="8"/>
  <c r="U3986" i="8"/>
  <c r="W3986" i="8"/>
  <c r="U3988" i="8"/>
  <c r="W3988" i="8"/>
  <c r="U3990" i="8"/>
  <c r="W3990" i="8"/>
  <c r="U3992" i="8"/>
  <c r="W3992" i="8"/>
  <c r="U3994" i="8"/>
  <c r="W3994" i="8"/>
  <c r="U3996" i="8"/>
  <c r="W3996" i="8"/>
  <c r="U3998" i="8"/>
  <c r="W3998" i="8"/>
  <c r="U4000" i="8"/>
  <c r="W4000" i="8"/>
  <c r="A5" i="6"/>
  <c r="C4" i="6"/>
  <c r="B4" i="6"/>
  <c r="D4" i="6" s="1"/>
  <c r="E85" i="2"/>
  <c r="C85" i="2"/>
  <c r="W1523" i="8"/>
  <c r="W1521" i="8"/>
  <c r="W1519" i="8"/>
  <c r="W1517" i="8"/>
  <c r="W1515" i="8"/>
  <c r="W1513" i="8"/>
  <c r="W1511" i="8"/>
  <c r="W1509" i="8"/>
  <c r="W1507" i="8"/>
  <c r="W1504" i="8"/>
  <c r="W1502" i="8"/>
  <c r="W1500" i="8"/>
  <c r="W1498" i="8"/>
  <c r="W1496" i="8"/>
  <c r="W1494" i="8"/>
  <c r="W1492" i="8"/>
  <c r="W1490" i="8"/>
  <c r="W1488" i="8"/>
  <c r="W1486" i="8"/>
  <c r="W1484" i="8"/>
  <c r="W1482" i="8"/>
  <c r="W1480" i="8"/>
  <c r="W1478" i="8"/>
  <c r="W1476" i="8"/>
  <c r="W1474" i="8"/>
  <c r="W1472" i="8"/>
  <c r="W1470" i="8"/>
  <c r="W1468" i="8"/>
  <c r="W1466" i="8"/>
  <c r="W1464" i="8"/>
  <c r="W1462" i="8"/>
  <c r="W1460" i="8"/>
  <c r="W1458" i="8"/>
  <c r="W1456" i="8"/>
  <c r="W1454" i="8"/>
  <c r="W1452" i="8"/>
  <c r="W1450" i="8"/>
  <c r="W1448" i="8"/>
  <c r="W1446" i="8"/>
  <c r="W1444" i="8"/>
  <c r="W1442" i="8"/>
  <c r="W1440" i="8"/>
  <c r="W1438" i="8"/>
  <c r="W1436" i="8"/>
  <c r="W1434" i="8"/>
  <c r="W1432" i="8"/>
  <c r="W1430" i="8"/>
  <c r="W1428" i="8"/>
  <c r="W1426" i="8"/>
  <c r="W1424" i="8"/>
  <c r="W1422" i="8"/>
  <c r="W1420" i="8"/>
  <c r="W1418" i="8"/>
  <c r="W1416" i="8"/>
  <c r="W1414" i="8"/>
  <c r="W1412" i="8"/>
  <c r="W1410" i="8"/>
  <c r="W1408" i="8"/>
  <c r="W1406" i="8"/>
  <c r="W1404" i="8"/>
  <c r="W1402" i="8"/>
  <c r="W1400" i="8"/>
  <c r="W1398" i="8"/>
  <c r="W1396" i="8"/>
  <c r="W1394" i="8"/>
  <c r="W1392" i="8"/>
  <c r="W1390" i="8"/>
  <c r="W1388" i="8"/>
  <c r="W1386" i="8"/>
  <c r="W1384" i="8"/>
  <c r="W1382" i="8"/>
  <c r="M56" i="5" s="1"/>
  <c r="M62" i="1" s="1"/>
  <c r="W1380" i="8"/>
  <c r="W1378" i="8"/>
  <c r="W1376" i="8"/>
  <c r="W1374" i="8"/>
  <c r="W1372" i="8"/>
  <c r="W1370" i="8"/>
  <c r="W1368" i="8"/>
  <c r="W1366" i="8"/>
  <c r="W1364" i="8"/>
  <c r="W1362" i="8"/>
  <c r="W1360" i="8"/>
  <c r="W1358" i="8"/>
  <c r="W1356" i="8"/>
  <c r="W1354" i="8"/>
  <c r="W1352" i="8"/>
  <c r="W1350" i="8"/>
  <c r="W1348" i="8"/>
  <c r="W1346" i="8"/>
  <c r="W1344" i="8"/>
  <c r="W1342" i="8"/>
  <c r="W1340" i="8"/>
  <c r="W1338" i="8"/>
  <c r="W1336" i="8"/>
  <c r="W1334" i="8"/>
  <c r="W1332" i="8"/>
  <c r="W1330" i="8"/>
  <c r="M55" i="5" s="1"/>
  <c r="L62" i="1" s="1"/>
  <c r="W1328" i="8"/>
  <c r="W1326" i="8"/>
  <c r="W1324" i="8"/>
  <c r="W1322" i="8"/>
  <c r="W1320" i="8"/>
  <c r="W1318" i="8"/>
  <c r="W1316" i="8"/>
  <c r="W1314" i="8"/>
  <c r="W1312" i="8"/>
  <c r="W1310" i="8"/>
  <c r="W1308" i="8"/>
  <c r="W1306" i="8"/>
  <c r="W1304" i="8"/>
  <c r="W1302" i="8"/>
  <c r="W1300" i="8"/>
  <c r="W1298" i="8"/>
  <c r="W1296" i="8"/>
  <c r="W1294" i="8"/>
  <c r="W1292" i="8"/>
  <c r="W1290" i="8"/>
  <c r="M54" i="5" s="1"/>
  <c r="W1287" i="8"/>
  <c r="W1285" i="8"/>
  <c r="W1283" i="8"/>
  <c r="W1281" i="8"/>
  <c r="W1279" i="8"/>
  <c r="W1277" i="8"/>
  <c r="W1275" i="8"/>
  <c r="W1273" i="8"/>
  <c r="W1271" i="8"/>
  <c r="W1269" i="8"/>
  <c r="W1267" i="8"/>
  <c r="W1265" i="8"/>
  <c r="W1263" i="8"/>
  <c r="W1261" i="8"/>
  <c r="W1259" i="8"/>
  <c r="W1257" i="8"/>
  <c r="W1255" i="8"/>
  <c r="W1253" i="8"/>
  <c r="W1251" i="8"/>
  <c r="W1249" i="8"/>
  <c r="W1247" i="8"/>
  <c r="W1245" i="8"/>
  <c r="M81" i="5" s="1"/>
  <c r="N58" i="1" s="1"/>
  <c r="W1243" i="8"/>
  <c r="W1241" i="8"/>
  <c r="W1239" i="8"/>
  <c r="W1237" i="8"/>
  <c r="W1235" i="8"/>
  <c r="W1233" i="8"/>
  <c r="W1231" i="8"/>
  <c r="W1229" i="8"/>
  <c r="W1227" i="8"/>
  <c r="W1225" i="8"/>
  <c r="W1223" i="8"/>
  <c r="W1221" i="8"/>
  <c r="W1219" i="8"/>
  <c r="W1217" i="8"/>
  <c r="W1215" i="8"/>
  <c r="W1213" i="8"/>
  <c r="W1211" i="8"/>
  <c r="W1209" i="8"/>
  <c r="M80" i="5" s="1"/>
  <c r="M58" i="1" s="1"/>
  <c r="W1207" i="8"/>
  <c r="W1205" i="8"/>
  <c r="W1203" i="8"/>
  <c r="W1201" i="8"/>
  <c r="W1199" i="8"/>
  <c r="W1197" i="8"/>
  <c r="W1195" i="8"/>
  <c r="W1193" i="8"/>
  <c r="W1191" i="8"/>
  <c r="W1189" i="8"/>
  <c r="W1187" i="8"/>
  <c r="W1185" i="8"/>
  <c r="W1183" i="8"/>
  <c r="W1181" i="8"/>
  <c r="W1179" i="8"/>
  <c r="W1177" i="8"/>
  <c r="M79" i="5" s="1"/>
  <c r="L58" i="1" s="1"/>
  <c r="W1175" i="8"/>
  <c r="W1173" i="8"/>
  <c r="W1171" i="8"/>
  <c r="W1169" i="8"/>
  <c r="W1167" i="8"/>
  <c r="W1165" i="8"/>
  <c r="W1163" i="8"/>
  <c r="W1161" i="8"/>
  <c r="M78" i="5" s="1"/>
  <c r="W1159" i="8"/>
  <c r="W1157" i="8"/>
  <c r="W1155" i="8"/>
  <c r="W1153" i="8"/>
  <c r="W1151" i="8"/>
  <c r="W1149" i="8"/>
  <c r="W1147" i="8"/>
  <c r="W1145" i="8"/>
  <c r="W1143" i="8"/>
  <c r="W1141" i="8"/>
  <c r="W1139" i="8"/>
  <c r="W1137" i="8"/>
  <c r="W1135" i="8"/>
  <c r="W1133" i="8"/>
  <c r="W1131" i="8"/>
  <c r="W1129" i="8"/>
  <c r="W1127" i="8"/>
  <c r="W1125" i="8"/>
  <c r="M109" i="5" s="1"/>
  <c r="W1123" i="8"/>
  <c r="W1121" i="8"/>
  <c r="R1118" i="8"/>
  <c r="S1118" i="8" s="1"/>
  <c r="R1114" i="8"/>
  <c r="S1114" i="8" s="1"/>
  <c r="R1110" i="8"/>
  <c r="S1110" i="8" s="1"/>
  <c r="R1106" i="8"/>
  <c r="S1106" i="8" s="1"/>
  <c r="R1102" i="8"/>
  <c r="S1102" i="8" s="1"/>
  <c r="R1098" i="8"/>
  <c r="S1098" i="8" s="1"/>
  <c r="R1094" i="8"/>
  <c r="S1094" i="8" s="1"/>
  <c r="R1090" i="8"/>
  <c r="S1090" i="8" s="1"/>
  <c r="R1086" i="8"/>
  <c r="S1086" i="8" s="1"/>
  <c r="R1079" i="8"/>
  <c r="S1079" i="8" s="1"/>
  <c r="R1075" i="8"/>
  <c r="S1075" i="8" s="1"/>
  <c r="R1071" i="8"/>
  <c r="S1071" i="8" s="1"/>
  <c r="R1067" i="8"/>
  <c r="S1067" i="8" s="1"/>
  <c r="R1060" i="8"/>
  <c r="S1060" i="8" s="1"/>
  <c r="R1056" i="8"/>
  <c r="S1056" i="8" s="1"/>
  <c r="R1052" i="8"/>
  <c r="S1052" i="8" s="1"/>
  <c r="R1048" i="8"/>
  <c r="S1048" i="8" s="1"/>
  <c r="R1041" i="8"/>
  <c r="S1041" i="8" s="1"/>
  <c r="R1037" i="8"/>
  <c r="S1037" i="8" s="1"/>
  <c r="R1033" i="8"/>
  <c r="S1033" i="8" s="1"/>
  <c r="R1029" i="8"/>
  <c r="S1029" i="8" s="1"/>
  <c r="R1025" i="8"/>
  <c r="S1025" i="8" s="1"/>
  <c r="R1021" i="8"/>
  <c r="S1021" i="8" s="1"/>
  <c r="R1017" i="8"/>
  <c r="S1017" i="8" s="1"/>
  <c r="R1012" i="8"/>
  <c r="S1012" i="8" s="1"/>
  <c r="O1013" i="8"/>
  <c r="R1004" i="8"/>
  <c r="S1004" i="8" s="1"/>
  <c r="O1005" i="8"/>
  <c r="R998" i="8"/>
  <c r="S998" i="8" s="1"/>
  <c r="R990" i="8"/>
  <c r="S990" i="8" s="1"/>
  <c r="O991" i="8"/>
  <c r="R980" i="8"/>
  <c r="S980" i="8" s="1"/>
  <c r="O981" i="8"/>
  <c r="R974" i="8"/>
  <c r="S974" i="8" s="1"/>
  <c r="O975" i="8"/>
  <c r="R971" i="8"/>
  <c r="S971" i="8" s="1"/>
  <c r="O972" i="8"/>
  <c r="R972" i="8" s="1"/>
  <c r="S972" i="8" s="1"/>
  <c r="R967" i="8"/>
  <c r="S967" i="8" s="1"/>
  <c r="R964" i="8"/>
  <c r="S964" i="8" s="1"/>
  <c r="R960" i="8"/>
  <c r="S960" i="8" s="1"/>
  <c r="R956" i="8"/>
  <c r="S956" i="8" s="1"/>
  <c r="R949" i="8"/>
  <c r="S949" i="8" s="1"/>
  <c r="R945" i="8"/>
  <c r="S945" i="8" s="1"/>
  <c r="R941" i="8"/>
  <c r="S941" i="8" s="1"/>
  <c r="R937" i="8"/>
  <c r="S937" i="8" s="1"/>
  <c r="R933" i="8"/>
  <c r="S933" i="8" s="1"/>
  <c r="R929" i="8"/>
  <c r="S929" i="8" s="1"/>
  <c r="R925" i="8"/>
  <c r="S925" i="8" s="1"/>
  <c r="R922" i="8"/>
  <c r="S922" i="8" s="1"/>
  <c r="R918" i="8"/>
  <c r="S918" i="8" s="1"/>
  <c r="R914" i="8"/>
  <c r="S914" i="8" s="1"/>
  <c r="R910" i="8"/>
  <c r="S910" i="8" s="1"/>
  <c r="R906" i="8"/>
  <c r="S906" i="8" s="1"/>
  <c r="R902" i="8"/>
  <c r="S902" i="8" s="1"/>
  <c r="R898" i="8"/>
  <c r="S898" i="8" s="1"/>
  <c r="R894" i="8"/>
  <c r="S894" i="8" s="1"/>
  <c r="R891" i="8"/>
  <c r="S891" i="8" s="1"/>
  <c r="R884" i="8"/>
  <c r="S884" i="8" s="1"/>
  <c r="R880" i="8"/>
  <c r="S880" i="8" s="1"/>
  <c r="R876" i="8"/>
  <c r="S876" i="8" s="1"/>
  <c r="R872" i="8"/>
  <c r="S872" i="8" s="1"/>
  <c r="W868" i="8"/>
  <c r="U867" i="8"/>
  <c r="R867" i="8"/>
  <c r="S867" i="8" s="1"/>
  <c r="W866" i="8"/>
  <c r="U865" i="8"/>
  <c r="R865" i="8"/>
  <c r="S865" i="8" s="1"/>
  <c r="W864" i="8"/>
  <c r="U863" i="8"/>
  <c r="R863" i="8"/>
  <c r="S863" i="8" s="1"/>
  <c r="W862" i="8"/>
  <c r="M46" i="5" s="1"/>
  <c r="U861" i="8"/>
  <c r="R861" i="8"/>
  <c r="U859" i="8"/>
  <c r="R859" i="8"/>
  <c r="S859" i="8" s="1"/>
  <c r="W858" i="8"/>
  <c r="R854" i="8"/>
  <c r="S854" i="8" s="1"/>
  <c r="R847" i="8"/>
  <c r="S847" i="8" s="1"/>
  <c r="R837" i="8"/>
  <c r="S837" i="8" s="1"/>
  <c r="R833" i="8"/>
  <c r="S833" i="8" s="1"/>
  <c r="R830" i="8"/>
  <c r="S830" i="8" s="1"/>
  <c r="R826" i="8"/>
  <c r="S826" i="8" s="1"/>
  <c r="R822" i="8"/>
  <c r="S822" i="8" s="1"/>
  <c r="R818" i="8"/>
  <c r="S818" i="8" s="1"/>
  <c r="R814" i="8"/>
  <c r="S814" i="8" s="1"/>
  <c r="R810" i="8"/>
  <c r="S810" i="8" s="1"/>
  <c r="R806" i="8"/>
  <c r="S806" i="8" s="1"/>
  <c r="R802" i="8"/>
  <c r="S802" i="8" s="1"/>
  <c r="R798" i="8"/>
  <c r="S798" i="8" s="1"/>
  <c r="R794" i="8"/>
  <c r="S794" i="8" s="1"/>
  <c r="R790" i="8"/>
  <c r="S790" i="8" s="1"/>
  <c r="R786" i="8"/>
  <c r="S786" i="8" s="1"/>
  <c r="R782" i="8"/>
  <c r="S782" i="8" s="1"/>
  <c r="R778" i="8"/>
  <c r="S778" i="8" s="1"/>
  <c r="R772" i="8"/>
  <c r="S772" i="8" s="1"/>
  <c r="W769" i="8"/>
  <c r="U768" i="8"/>
  <c r="R768" i="8"/>
  <c r="S768" i="8" s="1"/>
  <c r="W767" i="8"/>
  <c r="U766" i="8"/>
  <c r="R766" i="8"/>
  <c r="S766" i="8" s="1"/>
  <c r="W765" i="8"/>
  <c r="U764" i="8"/>
  <c r="R764" i="8"/>
  <c r="S764" i="8" s="1"/>
  <c r="W763" i="8"/>
  <c r="U762" i="8"/>
  <c r="W761" i="8"/>
  <c r="U760" i="8"/>
  <c r="R760" i="8"/>
  <c r="S760" i="8" s="1"/>
  <c r="W759" i="8"/>
  <c r="U758" i="8"/>
  <c r="R758" i="8"/>
  <c r="S758" i="8" s="1"/>
  <c r="W757" i="8"/>
  <c r="U756" i="8"/>
  <c r="R756" i="8"/>
  <c r="S756" i="8" s="1"/>
  <c r="W755" i="8"/>
  <c r="U754" i="8"/>
  <c r="R754" i="8"/>
  <c r="S754" i="8" s="1"/>
  <c r="W753" i="8"/>
  <c r="U752" i="8"/>
  <c r="W751" i="8"/>
  <c r="U750" i="8"/>
  <c r="R750" i="8"/>
  <c r="S750" i="8" s="1"/>
  <c r="W749" i="8"/>
  <c r="U748" i="8"/>
  <c r="R748" i="8"/>
  <c r="S748" i="8" s="1"/>
  <c r="W747" i="8"/>
  <c r="U746" i="8"/>
  <c r="W745" i="8"/>
  <c r="U744" i="8"/>
  <c r="W743" i="8"/>
  <c r="U742" i="8"/>
  <c r="R742" i="8"/>
  <c r="S742" i="8" s="1"/>
  <c r="W741" i="8"/>
  <c r="U740" i="8"/>
  <c r="W739" i="8"/>
  <c r="U738" i="8"/>
  <c r="W737" i="8"/>
  <c r="U736" i="8"/>
  <c r="W735" i="8"/>
  <c r="U734" i="8"/>
  <c r="W733" i="8"/>
  <c r="U732" i="8"/>
  <c r="R732" i="8"/>
  <c r="S732" i="8" s="1"/>
  <c r="W731" i="8"/>
  <c r="U730" i="8"/>
  <c r="R730" i="8"/>
  <c r="S730" i="8" s="1"/>
  <c r="W729" i="8"/>
  <c r="U728" i="8"/>
  <c r="R728" i="8"/>
  <c r="S728" i="8" s="1"/>
  <c r="W727" i="8"/>
  <c r="U726" i="8"/>
  <c r="R726" i="8"/>
  <c r="S726" i="8" s="1"/>
  <c r="W725" i="8"/>
  <c r="U724" i="8"/>
  <c r="R724" i="8"/>
  <c r="S724" i="8" s="1"/>
  <c r="W723" i="8"/>
  <c r="M13" i="5" s="1"/>
  <c r="U722" i="8"/>
  <c r="R722" i="8"/>
  <c r="W721" i="8"/>
  <c r="U720" i="8"/>
  <c r="R720" i="8"/>
  <c r="S720" i="8" s="1"/>
  <c r="W719" i="8"/>
  <c r="U718" i="8"/>
  <c r="R718" i="8"/>
  <c r="S718" i="8" s="1"/>
  <c r="W717" i="8"/>
  <c r="U716" i="8"/>
  <c r="R716" i="8"/>
  <c r="S716" i="8" s="1"/>
  <c r="W715" i="8"/>
  <c r="U714" i="8"/>
  <c r="R714" i="8"/>
  <c r="S714" i="8" s="1"/>
  <c r="W713" i="8"/>
  <c r="U712" i="8"/>
  <c r="R712" i="8"/>
  <c r="S712" i="8" s="1"/>
  <c r="W711" i="8"/>
  <c r="U710" i="8"/>
  <c r="R710" i="8"/>
  <c r="S710" i="8" s="1"/>
  <c r="W709" i="8"/>
  <c r="U708" i="8"/>
  <c r="R708" i="8"/>
  <c r="S708" i="8" s="1"/>
  <c r="W707" i="8"/>
  <c r="U706" i="8"/>
  <c r="R706" i="8"/>
  <c r="S706" i="8" s="1"/>
  <c r="W705" i="8"/>
  <c r="U704" i="8"/>
  <c r="R704" i="8"/>
  <c r="S704" i="8" s="1"/>
  <c r="W703" i="8"/>
  <c r="U702" i="8"/>
  <c r="R702" i="8"/>
  <c r="S702" i="8" s="1"/>
  <c r="W701" i="8"/>
  <c r="U700" i="8"/>
  <c r="R700" i="8"/>
  <c r="S700" i="8" s="1"/>
  <c r="W699" i="8"/>
  <c r="U698" i="8"/>
  <c r="R698" i="8"/>
  <c r="S698" i="8" s="1"/>
  <c r="W697" i="8"/>
  <c r="M12" i="5" s="1"/>
  <c r="E12" i="2" s="1"/>
  <c r="U696" i="8"/>
  <c r="R696" i="8"/>
  <c r="U694" i="8"/>
  <c r="R694" i="8"/>
  <c r="S694" i="8" s="1"/>
  <c r="W693" i="8"/>
  <c r="U692" i="8"/>
  <c r="R692" i="8"/>
  <c r="S692" i="8" s="1"/>
  <c r="W691" i="8"/>
  <c r="U690" i="8"/>
  <c r="R690" i="8"/>
  <c r="S690" i="8" s="1"/>
  <c r="W689" i="8"/>
  <c r="U688" i="8"/>
  <c r="R688" i="8"/>
  <c r="S688" i="8" s="1"/>
  <c r="W687" i="8"/>
  <c r="U686" i="8"/>
  <c r="R686" i="8"/>
  <c r="S686" i="8" s="1"/>
  <c r="W685" i="8"/>
  <c r="U684" i="8"/>
  <c r="R684" i="8"/>
  <c r="S684" i="8" s="1"/>
  <c r="W683" i="8"/>
  <c r="U682" i="8"/>
  <c r="R682" i="8"/>
  <c r="S682" i="8" s="1"/>
  <c r="W681" i="8"/>
  <c r="U680" i="8"/>
  <c r="R680" i="8"/>
  <c r="S680" i="8" s="1"/>
  <c r="W679" i="8"/>
  <c r="U678" i="8"/>
  <c r="R678" i="8"/>
  <c r="S678" i="8" s="1"/>
  <c r="W677" i="8"/>
  <c r="U676" i="8"/>
  <c r="R676" i="8"/>
  <c r="S676" i="8" s="1"/>
  <c r="W675" i="8"/>
  <c r="U674" i="8"/>
  <c r="R674" i="8"/>
  <c r="S674" i="8" s="1"/>
  <c r="W673" i="8"/>
  <c r="U672" i="8"/>
  <c r="R672" i="8"/>
  <c r="S672" i="8" s="1"/>
  <c r="W671" i="8"/>
  <c r="M89" i="5" s="1"/>
  <c r="U670" i="8"/>
  <c r="R670" i="8"/>
  <c r="U558" i="8"/>
  <c r="R558" i="8"/>
  <c r="S558" i="8" s="1"/>
  <c r="W557" i="8"/>
  <c r="U556" i="8"/>
  <c r="R556" i="8"/>
  <c r="S556" i="8" s="1"/>
  <c r="W555" i="8"/>
  <c r="U554" i="8"/>
  <c r="R554" i="8"/>
  <c r="S554" i="8" s="1"/>
  <c r="W553" i="8"/>
  <c r="U552" i="8"/>
  <c r="R552" i="8"/>
  <c r="S552" i="8" s="1"/>
  <c r="W551" i="8"/>
  <c r="U550" i="8"/>
  <c r="R550" i="8"/>
  <c r="S550" i="8" s="1"/>
  <c r="W549" i="8"/>
  <c r="U548" i="8"/>
  <c r="R548" i="8"/>
  <c r="S548" i="8" s="1"/>
  <c r="W547" i="8"/>
  <c r="U546" i="8"/>
  <c r="R546" i="8"/>
  <c r="S546" i="8" s="1"/>
  <c r="W545" i="8"/>
  <c r="U544" i="8"/>
  <c r="R544" i="8"/>
  <c r="S544" i="8" s="1"/>
  <c r="W543" i="8"/>
  <c r="U542" i="8"/>
  <c r="R542" i="8"/>
  <c r="S542" i="8" s="1"/>
  <c r="W541" i="8"/>
  <c r="U540" i="8"/>
  <c r="R540" i="8"/>
  <c r="S540" i="8" s="1"/>
  <c r="W539" i="8"/>
  <c r="U538" i="8"/>
  <c r="R538" i="8"/>
  <c r="S538" i="8" s="1"/>
  <c r="W537" i="8"/>
  <c r="U536" i="8"/>
  <c r="R536" i="8"/>
  <c r="S536" i="8" s="1"/>
  <c r="W535" i="8"/>
  <c r="U534" i="8"/>
  <c r="R534" i="8"/>
  <c r="S534" i="8" s="1"/>
  <c r="W533" i="8"/>
  <c r="U532" i="8"/>
  <c r="W531" i="8"/>
  <c r="U530" i="8"/>
  <c r="R530" i="8"/>
  <c r="S530" i="8" s="1"/>
  <c r="W529" i="8"/>
  <c r="U528" i="8"/>
  <c r="R528" i="8"/>
  <c r="S528" i="8" s="1"/>
  <c r="W527" i="8"/>
  <c r="U526" i="8"/>
  <c r="R526" i="8"/>
  <c r="S526" i="8" s="1"/>
  <c r="W525" i="8"/>
  <c r="U524" i="8"/>
  <c r="R524" i="8"/>
  <c r="S524" i="8" s="1"/>
  <c r="W523" i="8"/>
  <c r="U522" i="8"/>
  <c r="R522" i="8"/>
  <c r="S522" i="8" s="1"/>
  <c r="W521" i="8"/>
  <c r="U520" i="8"/>
  <c r="R520" i="8"/>
  <c r="S520" i="8" s="1"/>
  <c r="W519" i="8"/>
  <c r="U518" i="8"/>
  <c r="R518" i="8"/>
  <c r="S518" i="8" s="1"/>
  <c r="W517" i="8"/>
  <c r="M9" i="5" s="1"/>
  <c r="U516" i="8"/>
  <c r="R516" i="8"/>
  <c r="S516" i="8" s="1"/>
  <c r="W515" i="8"/>
  <c r="U514" i="8"/>
  <c r="R514" i="8"/>
  <c r="S514" i="8" s="1"/>
  <c r="W513" i="8"/>
  <c r="U512" i="8"/>
  <c r="R512" i="8"/>
  <c r="S512" i="8" s="1"/>
  <c r="W511" i="8"/>
  <c r="U510" i="8"/>
  <c r="R510" i="8"/>
  <c r="S510" i="8" s="1"/>
  <c r="W509" i="8"/>
  <c r="U508" i="8"/>
  <c r="R508" i="8"/>
  <c r="S508" i="8" s="1"/>
  <c r="W507" i="8"/>
  <c r="U506" i="8"/>
  <c r="R506" i="8"/>
  <c r="S506" i="8" s="1"/>
  <c r="W505" i="8"/>
  <c r="U504" i="8"/>
  <c r="R504" i="8"/>
  <c r="S504" i="8" s="1"/>
  <c r="W503" i="8"/>
  <c r="U502" i="8"/>
  <c r="R502" i="8"/>
  <c r="S502" i="8" s="1"/>
  <c r="W501" i="8"/>
  <c r="U500" i="8"/>
  <c r="R500" i="8"/>
  <c r="S500" i="8" s="1"/>
  <c r="W499" i="8"/>
  <c r="U498" i="8"/>
  <c r="R498" i="8"/>
  <c r="S498" i="8" s="1"/>
  <c r="W497" i="8"/>
  <c r="U496" i="8"/>
  <c r="R496" i="8"/>
  <c r="S496" i="8" s="1"/>
  <c r="W495" i="8"/>
  <c r="U494" i="8"/>
  <c r="R494" i="8"/>
  <c r="S494" i="8" s="1"/>
  <c r="W493" i="8"/>
  <c r="U492" i="8"/>
  <c r="R492" i="8"/>
  <c r="S492" i="8" s="1"/>
  <c r="W491" i="8"/>
  <c r="U490" i="8"/>
  <c r="R490" i="8"/>
  <c r="S490" i="8" s="1"/>
  <c r="W489" i="8"/>
  <c r="M8" i="5" s="1"/>
  <c r="W487" i="8"/>
  <c r="U486" i="8"/>
  <c r="R486" i="8"/>
  <c r="S486" i="8" s="1"/>
  <c r="W485" i="8"/>
  <c r="U484" i="8"/>
  <c r="R484" i="8"/>
  <c r="S484" i="8" s="1"/>
  <c r="W483" i="8"/>
  <c r="U482" i="8"/>
  <c r="R482" i="8"/>
  <c r="S482" i="8" s="1"/>
  <c r="W481" i="8"/>
  <c r="U480" i="8"/>
  <c r="R480" i="8"/>
  <c r="S480" i="8" s="1"/>
  <c r="W479" i="8"/>
  <c r="U478" i="8"/>
  <c r="R478" i="8"/>
  <c r="S478" i="8" s="1"/>
  <c r="W477" i="8"/>
  <c r="U476" i="8"/>
  <c r="R476" i="8"/>
  <c r="S476" i="8" s="1"/>
  <c r="W475" i="8"/>
  <c r="U474" i="8"/>
  <c r="R474" i="8"/>
  <c r="S474" i="8" s="1"/>
  <c r="W473" i="8"/>
  <c r="U472" i="8"/>
  <c r="R472" i="8"/>
  <c r="S472" i="8" s="1"/>
  <c r="W471" i="8"/>
  <c r="U470" i="8"/>
  <c r="R470" i="8"/>
  <c r="S470" i="8" s="1"/>
  <c r="W469" i="8"/>
  <c r="U468" i="8"/>
  <c r="R468" i="8"/>
  <c r="S468" i="8" s="1"/>
  <c r="W467" i="8"/>
  <c r="U466" i="8"/>
  <c r="R466" i="8"/>
  <c r="S466" i="8" s="1"/>
  <c r="W465" i="8"/>
  <c r="U464" i="8"/>
  <c r="R464" i="8"/>
  <c r="S464" i="8" s="1"/>
  <c r="W463" i="8"/>
  <c r="U462" i="8"/>
  <c r="R462" i="8"/>
  <c r="S462" i="8" s="1"/>
  <c r="W461" i="8"/>
  <c r="M104" i="5" s="1"/>
  <c r="U460" i="8"/>
  <c r="R460" i="8"/>
  <c r="S460" i="8" s="1"/>
  <c r="W459" i="8"/>
  <c r="U458" i="8"/>
  <c r="R458" i="8"/>
  <c r="S458" i="8" s="1"/>
  <c r="W457" i="8"/>
  <c r="U456" i="8"/>
  <c r="R456" i="8"/>
  <c r="S456" i="8" s="1"/>
  <c r="W455" i="8"/>
  <c r="U454" i="8"/>
  <c r="R454" i="8"/>
  <c r="S454" i="8" s="1"/>
  <c r="W453" i="8"/>
  <c r="U452" i="8"/>
  <c r="R452" i="8"/>
  <c r="S452" i="8" s="1"/>
  <c r="W451" i="8"/>
  <c r="U450" i="8"/>
  <c r="R450" i="8"/>
  <c r="S450" i="8" s="1"/>
  <c r="W449" i="8"/>
  <c r="U448" i="8"/>
  <c r="R448" i="8"/>
  <c r="S448" i="8" s="1"/>
  <c r="W447" i="8"/>
  <c r="U446" i="8"/>
  <c r="R446" i="8"/>
  <c r="S446" i="8" s="1"/>
  <c r="W445" i="8"/>
  <c r="U444" i="8"/>
  <c r="R444" i="8"/>
  <c r="S444" i="8" s="1"/>
  <c r="W443" i="8"/>
  <c r="U442" i="8"/>
  <c r="R442" i="8"/>
  <c r="S442" i="8" s="1"/>
  <c r="W441" i="8"/>
  <c r="U440" i="8"/>
  <c r="R440" i="8"/>
  <c r="S440" i="8" s="1"/>
  <c r="W439" i="8"/>
  <c r="U438" i="8"/>
  <c r="R438" i="8"/>
  <c r="S438" i="8" s="1"/>
  <c r="W437" i="8"/>
  <c r="U436" i="8"/>
  <c r="R436" i="8"/>
  <c r="S436" i="8" s="1"/>
  <c r="W435" i="8"/>
  <c r="U434" i="8"/>
  <c r="R434" i="8"/>
  <c r="S434" i="8" s="1"/>
  <c r="W433" i="8"/>
  <c r="U432" i="8"/>
  <c r="R432" i="8"/>
  <c r="S432" i="8" s="1"/>
  <c r="W431" i="8"/>
  <c r="U430" i="8"/>
  <c r="R430" i="8"/>
  <c r="S430" i="8" s="1"/>
  <c r="W429" i="8"/>
  <c r="U428" i="8"/>
  <c r="R428" i="8"/>
  <c r="S428" i="8" s="1"/>
  <c r="W427" i="8"/>
  <c r="U426" i="8"/>
  <c r="R426" i="8"/>
  <c r="S426" i="8" s="1"/>
  <c r="W425" i="8"/>
  <c r="U424" i="8"/>
  <c r="R424" i="8"/>
  <c r="S424" i="8" s="1"/>
  <c r="W423" i="8"/>
  <c r="U422" i="8"/>
  <c r="R422" i="8"/>
  <c r="S422" i="8" s="1"/>
  <c r="W421" i="8"/>
  <c r="M103" i="5" s="1"/>
  <c r="L71" i="1" s="1"/>
  <c r="U420" i="8"/>
  <c r="R420" i="8"/>
  <c r="W419" i="8"/>
  <c r="U418" i="8"/>
  <c r="R418" i="8"/>
  <c r="S418" i="8" s="1"/>
  <c r="W417" i="8"/>
  <c r="U416" i="8"/>
  <c r="R416" i="8"/>
  <c r="S416" i="8" s="1"/>
  <c r="W415" i="8"/>
  <c r="U414" i="8"/>
  <c r="R414" i="8"/>
  <c r="S414" i="8" s="1"/>
  <c r="W413" i="8"/>
  <c r="U412" i="8"/>
  <c r="R412" i="8"/>
  <c r="S412" i="8" s="1"/>
  <c r="W411" i="8"/>
  <c r="U410" i="8"/>
  <c r="R410" i="8"/>
  <c r="S410" i="8" s="1"/>
  <c r="W409" i="8"/>
  <c r="M102" i="5" s="1"/>
  <c r="U408" i="8"/>
  <c r="R408" i="8"/>
  <c r="U406" i="8"/>
  <c r="R406" i="8"/>
  <c r="S406" i="8" s="1"/>
  <c r="W405" i="8"/>
  <c r="U404" i="8"/>
  <c r="R404" i="8"/>
  <c r="S404" i="8" s="1"/>
  <c r="W403" i="8"/>
  <c r="U402" i="8"/>
  <c r="R402" i="8"/>
  <c r="S402" i="8" s="1"/>
  <c r="W401" i="8"/>
  <c r="U400" i="8"/>
  <c r="R400" i="8"/>
  <c r="S400" i="8" s="1"/>
  <c r="W399" i="8"/>
  <c r="U398" i="8"/>
  <c r="R398" i="8"/>
  <c r="S398" i="8" s="1"/>
  <c r="W397" i="8"/>
  <c r="U396" i="8"/>
  <c r="R396" i="8"/>
  <c r="S396" i="8" s="1"/>
  <c r="W395" i="8"/>
  <c r="U394" i="8"/>
  <c r="W393" i="8"/>
  <c r="U392" i="8"/>
  <c r="R392" i="8"/>
  <c r="S392" i="8" s="1"/>
  <c r="W391" i="8"/>
  <c r="U390" i="8"/>
  <c r="R390" i="8"/>
  <c r="S390" i="8" s="1"/>
  <c r="W389" i="8"/>
  <c r="U388" i="8"/>
  <c r="R388" i="8"/>
  <c r="S388" i="8" s="1"/>
  <c r="W387" i="8"/>
  <c r="U386" i="8"/>
  <c r="R386" i="8"/>
  <c r="S386" i="8" s="1"/>
  <c r="W385" i="8"/>
  <c r="U384" i="8"/>
  <c r="R384" i="8"/>
  <c r="S384" i="8" s="1"/>
  <c r="W383" i="8"/>
  <c r="U382" i="8"/>
  <c r="R382" i="8"/>
  <c r="S382" i="8" s="1"/>
  <c r="W381" i="8"/>
  <c r="U380" i="8"/>
  <c r="R380" i="8"/>
  <c r="S380" i="8" s="1"/>
  <c r="W379" i="8"/>
  <c r="U378" i="8"/>
  <c r="R378" i="8"/>
  <c r="S378" i="8" s="1"/>
  <c r="W377" i="8"/>
  <c r="U376" i="8"/>
  <c r="R376" i="8"/>
  <c r="S376" i="8" s="1"/>
  <c r="W375" i="8"/>
  <c r="U374" i="8"/>
  <c r="W373" i="8"/>
  <c r="U372" i="8"/>
  <c r="R372" i="8"/>
  <c r="S372" i="8" s="1"/>
  <c r="W371" i="8"/>
  <c r="U370" i="8"/>
  <c r="R370" i="8"/>
  <c r="S370" i="8" s="1"/>
  <c r="W369" i="8"/>
  <c r="U368" i="8"/>
  <c r="R368" i="8"/>
  <c r="S368" i="8" s="1"/>
  <c r="W367" i="8"/>
  <c r="U366" i="8"/>
  <c r="R366" i="8"/>
  <c r="S366" i="8" s="1"/>
  <c r="W365" i="8"/>
  <c r="U364" i="8"/>
  <c r="R364" i="8"/>
  <c r="S364" i="8" s="1"/>
  <c r="W363" i="8"/>
  <c r="U362" i="8"/>
  <c r="R362" i="8"/>
  <c r="S362" i="8" s="1"/>
  <c r="W361" i="8"/>
  <c r="U360" i="8"/>
  <c r="R360" i="8"/>
  <c r="S360" i="8" s="1"/>
  <c r="W359" i="8"/>
  <c r="U358" i="8"/>
  <c r="R358" i="8"/>
  <c r="S358" i="8" s="1"/>
  <c r="W357" i="8"/>
  <c r="U356" i="8"/>
  <c r="R356" i="8"/>
  <c r="S356" i="8" s="1"/>
  <c r="W355" i="8"/>
  <c r="U354" i="8"/>
  <c r="R354" i="8"/>
  <c r="S354" i="8" s="1"/>
  <c r="W353" i="8"/>
  <c r="U352" i="8"/>
  <c r="R352" i="8"/>
  <c r="S352" i="8" s="1"/>
  <c r="W351" i="8"/>
  <c r="U350" i="8"/>
  <c r="R350" i="8"/>
  <c r="S350" i="8" s="1"/>
  <c r="W349" i="8"/>
  <c r="U348" i="8"/>
  <c r="R348" i="8"/>
  <c r="S348" i="8" s="1"/>
  <c r="W347" i="8"/>
  <c r="U346" i="8"/>
  <c r="R346" i="8"/>
  <c r="S346" i="8" s="1"/>
  <c r="W345" i="8"/>
  <c r="U344" i="8"/>
  <c r="R344" i="8"/>
  <c r="S344" i="8" s="1"/>
  <c r="W343" i="8"/>
  <c r="U342" i="8"/>
  <c r="R342" i="8"/>
  <c r="S342" i="8" s="1"/>
  <c r="W341" i="8"/>
  <c r="U340" i="8"/>
  <c r="R340" i="8"/>
  <c r="S340" i="8" s="1"/>
  <c r="W339" i="8"/>
  <c r="U338" i="8"/>
  <c r="R338" i="8"/>
  <c r="S338" i="8" s="1"/>
  <c r="W337" i="8"/>
  <c r="U336" i="8"/>
  <c r="R336" i="8"/>
  <c r="S336" i="8" s="1"/>
  <c r="W335" i="8"/>
  <c r="U334" i="8"/>
  <c r="R334" i="8"/>
  <c r="S334" i="8" s="1"/>
  <c r="W333" i="8"/>
  <c r="U332" i="8"/>
  <c r="R332" i="8"/>
  <c r="S332" i="8" s="1"/>
  <c r="W331" i="8"/>
  <c r="U330" i="8"/>
  <c r="R330" i="8"/>
  <c r="S330" i="8" s="1"/>
  <c r="W329" i="8"/>
  <c r="U328" i="8"/>
  <c r="R328" i="8"/>
  <c r="S328" i="8" s="1"/>
  <c r="W327" i="8"/>
  <c r="U326" i="8"/>
  <c r="R326" i="8"/>
  <c r="S326" i="8" s="1"/>
  <c r="W325" i="8"/>
  <c r="M4" i="5" s="1"/>
  <c r="U324" i="8"/>
  <c r="R324" i="8"/>
  <c r="W323" i="8"/>
  <c r="U322" i="8"/>
  <c r="R322" i="8"/>
  <c r="S322" i="8" s="1"/>
  <c r="W321" i="8"/>
  <c r="U320" i="8"/>
  <c r="R320" i="8"/>
  <c r="S320" i="8" s="1"/>
  <c r="W319" i="8"/>
  <c r="U318" i="8"/>
  <c r="R318" i="8"/>
  <c r="S318" i="8" s="1"/>
  <c r="W317" i="8"/>
  <c r="U316" i="8"/>
  <c r="R316" i="8"/>
  <c r="S316" i="8" s="1"/>
  <c r="W315" i="8"/>
  <c r="U314" i="8"/>
  <c r="R314" i="8"/>
  <c r="S314" i="8" s="1"/>
  <c r="W313" i="8"/>
  <c r="U312" i="8"/>
  <c r="R312" i="8"/>
  <c r="S312" i="8" s="1"/>
  <c r="W311" i="8"/>
  <c r="U310" i="8"/>
  <c r="R310" i="8"/>
  <c r="S310" i="8" s="1"/>
  <c r="W309" i="8"/>
  <c r="U308" i="8"/>
  <c r="R308" i="8"/>
  <c r="S308" i="8" s="1"/>
  <c r="W307" i="8"/>
  <c r="U306" i="8"/>
  <c r="R306" i="8"/>
  <c r="S306" i="8" s="1"/>
  <c r="W305" i="8"/>
  <c r="U304" i="8"/>
  <c r="R304" i="8"/>
  <c r="S304" i="8" s="1"/>
  <c r="W303" i="8"/>
  <c r="U302" i="8"/>
  <c r="R302" i="8"/>
  <c r="S302" i="8" s="1"/>
  <c r="W301" i="8"/>
  <c r="U300" i="8"/>
  <c r="R300" i="8"/>
  <c r="S300" i="8" s="1"/>
  <c r="W299" i="8"/>
  <c r="U298" i="8"/>
  <c r="R298" i="8"/>
  <c r="S298" i="8" s="1"/>
  <c r="W297" i="8"/>
  <c r="U296" i="8"/>
  <c r="R296" i="8"/>
  <c r="S296" i="8" s="1"/>
  <c r="W295" i="8"/>
  <c r="U294" i="8"/>
  <c r="R294" i="8"/>
  <c r="S294" i="8" s="1"/>
  <c r="W293" i="8"/>
  <c r="U292" i="8"/>
  <c r="R292" i="8"/>
  <c r="S292" i="8" s="1"/>
  <c r="W291" i="8"/>
  <c r="U290" i="8"/>
  <c r="R290" i="8"/>
  <c r="S290" i="8" s="1"/>
  <c r="W289" i="8"/>
  <c r="U288" i="8"/>
  <c r="R288" i="8"/>
  <c r="S288" i="8" s="1"/>
  <c r="W287" i="8"/>
  <c r="M3" i="5" s="1"/>
  <c r="U286" i="8"/>
  <c r="R286" i="8"/>
  <c r="W285" i="8"/>
  <c r="U284" i="8"/>
  <c r="R284" i="8"/>
  <c r="S284" i="8" s="1"/>
  <c r="W283" i="8"/>
  <c r="U282" i="8"/>
  <c r="R282" i="8"/>
  <c r="S282" i="8" s="1"/>
  <c r="W281" i="8"/>
  <c r="U280" i="8"/>
  <c r="R280" i="8"/>
  <c r="S280" i="8" s="1"/>
  <c r="W279" i="8"/>
  <c r="U278" i="8"/>
  <c r="R278" i="8"/>
  <c r="S278" i="8" s="1"/>
  <c r="W277" i="8"/>
  <c r="U276" i="8"/>
  <c r="R276" i="8"/>
  <c r="S276" i="8" s="1"/>
  <c r="W275" i="8"/>
  <c r="U274" i="8"/>
  <c r="R274" i="8"/>
  <c r="S274" i="8" s="1"/>
  <c r="W273" i="8"/>
  <c r="U272" i="8"/>
  <c r="R272" i="8"/>
  <c r="S272" i="8" s="1"/>
  <c r="W271" i="8"/>
  <c r="U270" i="8"/>
  <c r="R270" i="8"/>
  <c r="S270" i="8" s="1"/>
  <c r="W269" i="8"/>
  <c r="U268" i="8"/>
  <c r="R268" i="8"/>
  <c r="S268" i="8" s="1"/>
  <c r="W267" i="8"/>
  <c r="U266" i="8"/>
  <c r="R266" i="8"/>
  <c r="S266" i="8" s="1"/>
  <c r="W265" i="8"/>
  <c r="U264" i="8"/>
  <c r="R264" i="8"/>
  <c r="S264" i="8" s="1"/>
  <c r="W263" i="8"/>
  <c r="U262" i="8"/>
  <c r="R262" i="8"/>
  <c r="S262" i="8" s="1"/>
  <c r="W261" i="8"/>
  <c r="U260" i="8"/>
  <c r="R260" i="8"/>
  <c r="S260" i="8" s="1"/>
  <c r="W259" i="8"/>
  <c r="M2" i="5" s="1"/>
  <c r="U258" i="8"/>
  <c r="R258" i="8"/>
  <c r="U256" i="8"/>
  <c r="R256" i="8"/>
  <c r="S256" i="8" s="1"/>
  <c r="W255" i="8"/>
  <c r="U254" i="8"/>
  <c r="R254" i="8"/>
  <c r="S254" i="8" s="1"/>
  <c r="W253" i="8"/>
  <c r="U252" i="8"/>
  <c r="R252" i="8"/>
  <c r="S252" i="8" s="1"/>
  <c r="W251" i="8"/>
  <c r="U250" i="8"/>
  <c r="R250" i="8"/>
  <c r="S250" i="8" s="1"/>
  <c r="W249" i="8"/>
  <c r="U248" i="8"/>
  <c r="R248" i="8"/>
  <c r="S248" i="8" s="1"/>
  <c r="W247" i="8"/>
  <c r="U246" i="8"/>
  <c r="R246" i="8"/>
  <c r="S246" i="8" s="1"/>
  <c r="W245" i="8"/>
  <c r="U244" i="8"/>
  <c r="R244" i="8"/>
  <c r="S244" i="8" s="1"/>
  <c r="W243" i="8"/>
  <c r="U242" i="8"/>
  <c r="R242" i="8"/>
  <c r="S242" i="8" s="1"/>
  <c r="W241" i="8"/>
  <c r="U240" i="8"/>
  <c r="R240" i="8"/>
  <c r="S240" i="8" s="1"/>
  <c r="W239" i="8"/>
  <c r="U238" i="8"/>
  <c r="R238" i="8"/>
  <c r="S238" i="8" s="1"/>
  <c r="W237" i="8"/>
  <c r="U236" i="8"/>
  <c r="R236" i="8"/>
  <c r="S236" i="8" s="1"/>
  <c r="W235" i="8"/>
  <c r="U234" i="8"/>
  <c r="R234" i="8"/>
  <c r="S234" i="8" s="1"/>
  <c r="W233" i="8"/>
  <c r="U232" i="8"/>
  <c r="R232" i="8"/>
  <c r="S232" i="8" s="1"/>
  <c r="W231" i="8"/>
  <c r="U230" i="8"/>
  <c r="R230" i="8"/>
  <c r="S230" i="8" s="1"/>
  <c r="W229" i="8"/>
  <c r="U228" i="8"/>
  <c r="R228" i="8"/>
  <c r="S228" i="8" s="1"/>
  <c r="W227" i="8"/>
  <c r="U226" i="8"/>
  <c r="W225" i="8"/>
  <c r="U224" i="8"/>
  <c r="R224" i="8"/>
  <c r="S224" i="8" s="1"/>
  <c r="W223" i="8"/>
  <c r="U222" i="8"/>
  <c r="R222" i="8"/>
  <c r="S222" i="8" s="1"/>
  <c r="W221" i="8"/>
  <c r="U220" i="8"/>
  <c r="R220" i="8"/>
  <c r="S220" i="8" s="1"/>
  <c r="W219" i="8"/>
  <c r="U218" i="8"/>
  <c r="R218" i="8"/>
  <c r="S218" i="8" s="1"/>
  <c r="W217" i="8"/>
  <c r="U216" i="8"/>
  <c r="R216" i="8"/>
  <c r="S216" i="8" s="1"/>
  <c r="W215" i="8"/>
  <c r="U214" i="8"/>
  <c r="R214" i="8"/>
  <c r="S214" i="8" s="1"/>
  <c r="W213" i="8"/>
  <c r="U212" i="8"/>
  <c r="R212" i="8"/>
  <c r="S212" i="8" s="1"/>
  <c r="W211" i="8"/>
  <c r="U210" i="8"/>
  <c r="R210" i="8"/>
  <c r="S210" i="8" s="1"/>
  <c r="W209" i="8"/>
  <c r="U208" i="8"/>
  <c r="R208" i="8"/>
  <c r="S208" i="8" s="1"/>
  <c r="W207" i="8"/>
  <c r="U206" i="8"/>
  <c r="R206" i="8"/>
  <c r="S206" i="8" s="1"/>
  <c r="W205" i="8"/>
  <c r="U204" i="8"/>
  <c r="R204" i="8"/>
  <c r="S204" i="8" s="1"/>
  <c r="W203" i="8"/>
  <c r="U202" i="8"/>
  <c r="R202" i="8"/>
  <c r="S202" i="8" s="1"/>
  <c r="W201" i="8"/>
  <c r="U200" i="8"/>
  <c r="R200" i="8"/>
  <c r="S200" i="8" s="1"/>
  <c r="W199" i="8"/>
  <c r="U198" i="8"/>
  <c r="R198" i="8"/>
  <c r="S198" i="8" s="1"/>
  <c r="W197" i="8"/>
  <c r="U196" i="8"/>
  <c r="R196" i="8"/>
  <c r="S196" i="8" s="1"/>
  <c r="W195" i="8"/>
  <c r="U194" i="8"/>
  <c r="R194" i="8"/>
  <c r="S194" i="8" s="1"/>
  <c r="W193" i="8"/>
  <c r="U192" i="8"/>
  <c r="R192" i="8"/>
  <c r="S192" i="8" s="1"/>
  <c r="W191" i="8"/>
  <c r="U190" i="8"/>
  <c r="R190" i="8"/>
  <c r="S190" i="8" s="1"/>
  <c r="W189" i="8"/>
  <c r="U188" i="8"/>
  <c r="R188" i="8"/>
  <c r="S188" i="8" s="1"/>
  <c r="W187" i="8"/>
  <c r="U186" i="8"/>
  <c r="R186" i="8"/>
  <c r="S186" i="8" s="1"/>
  <c r="W185" i="8"/>
  <c r="U184" i="8"/>
  <c r="R184" i="8"/>
  <c r="S184" i="8" s="1"/>
  <c r="W183" i="8"/>
  <c r="U182" i="8"/>
  <c r="R182" i="8"/>
  <c r="S182" i="8" s="1"/>
  <c r="W181" i="8"/>
  <c r="U180" i="8"/>
  <c r="R180" i="8"/>
  <c r="S180" i="8" s="1"/>
  <c r="W179" i="8"/>
  <c r="U178" i="8"/>
  <c r="R178" i="8"/>
  <c r="S178" i="8" s="1"/>
  <c r="W177" i="8"/>
  <c r="U176" i="8"/>
  <c r="R176" i="8"/>
  <c r="S176" i="8" s="1"/>
  <c r="W175" i="8"/>
  <c r="M96" i="5" s="1"/>
  <c r="M60" i="1" s="1"/>
  <c r="U174" i="8"/>
  <c r="R174" i="8"/>
  <c r="S174" i="8" s="1"/>
  <c r="W173" i="8"/>
  <c r="U172" i="8"/>
  <c r="R172" i="8"/>
  <c r="S172" i="8" s="1"/>
  <c r="W171" i="8"/>
  <c r="U170" i="8"/>
  <c r="R170" i="8"/>
  <c r="S170" i="8" s="1"/>
  <c r="W169" i="8"/>
  <c r="U168" i="8"/>
  <c r="R168" i="8"/>
  <c r="S168" i="8" s="1"/>
  <c r="W167" i="8"/>
  <c r="U166" i="8"/>
  <c r="R166" i="8"/>
  <c r="S166" i="8" s="1"/>
  <c r="W165" i="8"/>
  <c r="U164" i="8"/>
  <c r="R164" i="8"/>
  <c r="S164" i="8" s="1"/>
  <c r="W163" i="8"/>
  <c r="U162" i="8"/>
  <c r="R162" i="8"/>
  <c r="S162" i="8" s="1"/>
  <c r="W161" i="8"/>
  <c r="U160" i="8"/>
  <c r="R160" i="8"/>
  <c r="S160" i="8" s="1"/>
  <c r="W159" i="8"/>
  <c r="U158" i="8"/>
  <c r="R158" i="8"/>
  <c r="S158" i="8" s="1"/>
  <c r="W157" i="8"/>
  <c r="U156" i="8"/>
  <c r="R156" i="8"/>
  <c r="S156" i="8" s="1"/>
  <c r="W155" i="8"/>
  <c r="U154" i="8"/>
  <c r="R154" i="8"/>
  <c r="S154" i="8" s="1"/>
  <c r="W153" i="8"/>
  <c r="U152" i="8"/>
  <c r="R152" i="8"/>
  <c r="S152" i="8" s="1"/>
  <c r="W151" i="8"/>
  <c r="U150" i="8"/>
  <c r="R150" i="8"/>
  <c r="S150" i="8" s="1"/>
  <c r="W149" i="8"/>
  <c r="U148" i="8"/>
  <c r="R148" i="8"/>
  <c r="S148" i="8" s="1"/>
  <c r="W147" i="8"/>
  <c r="U146" i="8"/>
  <c r="R146" i="8"/>
  <c r="S146" i="8" s="1"/>
  <c r="W145" i="8"/>
  <c r="U144" i="8"/>
  <c r="R144" i="8"/>
  <c r="S144" i="8" s="1"/>
  <c r="W143" i="8"/>
  <c r="U142" i="8"/>
  <c r="R142" i="8"/>
  <c r="S142" i="8" s="1"/>
  <c r="W141" i="8"/>
  <c r="U140" i="8"/>
  <c r="R140" i="8"/>
  <c r="S140" i="8" s="1"/>
  <c r="W139" i="8"/>
  <c r="U138" i="8"/>
  <c r="R138" i="8"/>
  <c r="S138" i="8" s="1"/>
  <c r="W137" i="8"/>
  <c r="U136" i="8"/>
  <c r="R136" i="8"/>
  <c r="S136" i="8" s="1"/>
  <c r="W135" i="8"/>
  <c r="M95" i="5" s="1"/>
  <c r="L60" i="1" s="1"/>
  <c r="U134" i="8"/>
  <c r="R134" i="8"/>
  <c r="S134" i="8" s="1"/>
  <c r="W133" i="8"/>
  <c r="U132" i="8"/>
  <c r="R132" i="8"/>
  <c r="S132" i="8" s="1"/>
  <c r="W131" i="8"/>
  <c r="U130" i="8"/>
  <c r="R130" i="8"/>
  <c r="S130" i="8" s="1"/>
  <c r="W129" i="8"/>
  <c r="U128" i="8"/>
  <c r="R128" i="8"/>
  <c r="S128" i="8" s="1"/>
  <c r="W127" i="8"/>
  <c r="U126" i="8"/>
  <c r="R126" i="8"/>
  <c r="S126" i="8" s="1"/>
  <c r="W125" i="8"/>
  <c r="U124" i="8"/>
  <c r="R124" i="8"/>
  <c r="S124" i="8" s="1"/>
  <c r="W123" i="8"/>
  <c r="U122" i="8"/>
  <c r="R122" i="8"/>
  <c r="S122" i="8" s="1"/>
  <c r="W121" i="8"/>
  <c r="U120" i="8"/>
  <c r="R120" i="8"/>
  <c r="S120" i="8" s="1"/>
  <c r="W119" i="8"/>
  <c r="U118" i="8"/>
  <c r="R118" i="8"/>
  <c r="S118" i="8" s="1"/>
  <c r="W117" i="8"/>
  <c r="U116" i="8"/>
  <c r="R116" i="8"/>
  <c r="S116" i="8" s="1"/>
  <c r="W115" i="8"/>
  <c r="U114" i="8"/>
  <c r="R114" i="8"/>
  <c r="S114" i="8" s="1"/>
  <c r="W113" i="8"/>
  <c r="U112" i="8"/>
  <c r="R112" i="8"/>
  <c r="S112" i="8" s="1"/>
  <c r="W111" i="8"/>
  <c r="U110" i="8"/>
  <c r="R110" i="8"/>
  <c r="S110" i="8" s="1"/>
  <c r="W109" i="8"/>
  <c r="U108" i="8"/>
  <c r="R108" i="8"/>
  <c r="S108" i="8" s="1"/>
  <c r="W107" i="8"/>
  <c r="U106" i="8"/>
  <c r="R106" i="8"/>
  <c r="S106" i="8" s="1"/>
  <c r="W105" i="8"/>
  <c r="U104" i="8"/>
  <c r="R104" i="8"/>
  <c r="S104" i="8" s="1"/>
  <c r="W103" i="8"/>
  <c r="U102" i="8"/>
  <c r="R102" i="8"/>
  <c r="S102" i="8" s="1"/>
  <c r="W101" i="8"/>
  <c r="U100" i="8"/>
  <c r="R100" i="8"/>
  <c r="S100" i="8" s="1"/>
  <c r="W99" i="8"/>
  <c r="U98" i="8"/>
  <c r="R98" i="8"/>
  <c r="S98" i="8" s="1"/>
  <c r="W97" i="8"/>
  <c r="M94" i="5" s="1"/>
  <c r="U96" i="8"/>
  <c r="R96" i="8"/>
  <c r="U94" i="8"/>
  <c r="R94" i="8"/>
  <c r="S94" i="8" s="1"/>
  <c r="W93" i="8"/>
  <c r="U92" i="8"/>
  <c r="R92" i="8"/>
  <c r="S92" i="8" s="1"/>
  <c r="W91" i="8"/>
  <c r="U90" i="8"/>
  <c r="R90" i="8"/>
  <c r="S90" i="8" s="1"/>
  <c r="W89" i="8"/>
  <c r="U88" i="8"/>
  <c r="R88" i="8"/>
  <c r="S88" i="8" s="1"/>
  <c r="W87" i="8"/>
  <c r="U86" i="8"/>
  <c r="R86" i="8"/>
  <c r="S86" i="8" s="1"/>
  <c r="W85" i="8"/>
  <c r="U84" i="8"/>
  <c r="Q129" i="5" s="1"/>
  <c r="R84" i="8"/>
  <c r="U82" i="8"/>
  <c r="R82" i="8"/>
  <c r="S82" i="8" s="1"/>
  <c r="W81" i="8"/>
  <c r="U80" i="8"/>
  <c r="R80" i="8"/>
  <c r="S80" i="8" s="1"/>
  <c r="W79" i="8"/>
  <c r="U78" i="8"/>
  <c r="R78" i="8"/>
  <c r="S78" i="8" s="1"/>
  <c r="W77" i="8"/>
  <c r="U76" i="8"/>
  <c r="R76" i="8"/>
  <c r="S76" i="8" s="1"/>
  <c r="W75" i="8"/>
  <c r="U74" i="8"/>
  <c r="R74" i="8"/>
  <c r="S74" i="8" s="1"/>
  <c r="W73" i="8"/>
  <c r="U72" i="8"/>
  <c r="W71" i="8"/>
  <c r="U70" i="8"/>
  <c r="R70" i="8"/>
  <c r="S70" i="8" s="1"/>
  <c r="W69" i="8"/>
  <c r="W67" i="8"/>
  <c r="U66" i="8"/>
  <c r="R66" i="8"/>
  <c r="S66" i="8" s="1"/>
  <c r="W65" i="8"/>
  <c r="U64" i="8"/>
  <c r="R64" i="8"/>
  <c r="S64" i="8" s="1"/>
  <c r="W63" i="8"/>
  <c r="U62" i="8"/>
  <c r="R62" i="8"/>
  <c r="S62" i="8" s="1"/>
  <c r="W61" i="8"/>
  <c r="U60" i="8"/>
  <c r="R60" i="8"/>
  <c r="S60" i="8" s="1"/>
  <c r="W59" i="8"/>
  <c r="U58" i="8"/>
  <c r="R58" i="8"/>
  <c r="S58" i="8" s="1"/>
  <c r="W57" i="8"/>
  <c r="U56" i="8"/>
  <c r="W55" i="8"/>
  <c r="U54" i="8"/>
  <c r="R54" i="8"/>
  <c r="S54" i="8" s="1"/>
  <c r="W53" i="8"/>
  <c r="U52" i="8"/>
  <c r="R52" i="8"/>
  <c r="S52" i="8" s="1"/>
  <c r="W51" i="8"/>
  <c r="U50" i="8"/>
  <c r="R50" i="8"/>
  <c r="S50" i="8" s="1"/>
  <c r="W49" i="8"/>
  <c r="U48" i="8"/>
  <c r="R48" i="8"/>
  <c r="S48" i="8" s="1"/>
  <c r="W47" i="8"/>
  <c r="U46" i="8"/>
  <c r="W45" i="8"/>
  <c r="U44" i="8"/>
  <c r="R44" i="8"/>
  <c r="S44" i="8" s="1"/>
  <c r="W43" i="8"/>
  <c r="U42" i="8"/>
  <c r="R42" i="8"/>
  <c r="S42" i="8" s="1"/>
  <c r="W41" i="8"/>
  <c r="U40" i="8"/>
  <c r="R40" i="8"/>
  <c r="S40" i="8" s="1"/>
  <c r="W39" i="8"/>
  <c r="U38" i="8"/>
  <c r="R38" i="8"/>
  <c r="S38" i="8" s="1"/>
  <c r="W37" i="8"/>
  <c r="U36" i="8"/>
  <c r="R36" i="8"/>
  <c r="S36" i="8" s="1"/>
  <c r="W35" i="8"/>
  <c r="U34" i="8"/>
  <c r="R34" i="8"/>
  <c r="S34" i="8" s="1"/>
  <c r="W33" i="8"/>
  <c r="U32" i="8"/>
  <c r="R32" i="8"/>
  <c r="S32" i="8" s="1"/>
  <c r="W31" i="8"/>
  <c r="U30" i="8"/>
  <c r="R30" i="8"/>
  <c r="W29" i="8"/>
  <c r="U28" i="8"/>
  <c r="R28" i="8"/>
  <c r="S28" i="8" s="1"/>
  <c r="W27" i="8"/>
  <c r="U26" i="8"/>
  <c r="R26" i="8"/>
  <c r="S26" i="8" s="1"/>
  <c r="W25" i="8"/>
  <c r="U24" i="8"/>
  <c r="R24" i="8"/>
  <c r="S24" i="8" s="1"/>
  <c r="W23" i="8"/>
  <c r="U22" i="8"/>
  <c r="R22" i="8"/>
  <c r="S22" i="8" s="1"/>
  <c r="W21" i="8"/>
  <c r="U20" i="8"/>
  <c r="R20" i="8"/>
  <c r="S20" i="8" s="1"/>
  <c r="W19" i="8"/>
  <c r="U18" i="8"/>
  <c r="R18" i="8"/>
  <c r="S18" i="8" s="1"/>
  <c r="W17" i="8"/>
  <c r="U16" i="8"/>
  <c r="R16" i="8"/>
  <c r="S16" i="8" s="1"/>
  <c r="W15" i="8"/>
  <c r="U14" i="8"/>
  <c r="R14" i="8"/>
  <c r="S14" i="8" s="1"/>
  <c r="W13" i="8"/>
  <c r="U12" i="8"/>
  <c r="R12" i="8"/>
  <c r="S12" i="8" s="1"/>
  <c r="W11" i="8"/>
  <c r="U10" i="8"/>
  <c r="R10" i="8"/>
  <c r="S10" i="8" s="1"/>
  <c r="W9" i="8"/>
  <c r="U8" i="8"/>
  <c r="R8" i="8"/>
  <c r="S8" i="8" s="1"/>
  <c r="W7" i="8"/>
  <c r="U6" i="8"/>
  <c r="R6" i="8"/>
  <c r="S6" i="8" s="1"/>
  <c r="W5" i="8"/>
  <c r="U4" i="8"/>
  <c r="R4" i="8"/>
  <c r="S4" i="8" s="1"/>
  <c r="W3" i="8"/>
  <c r="U2" i="8"/>
  <c r="Q60" i="5" s="1"/>
  <c r="R2" i="8"/>
  <c r="U2951" i="8"/>
  <c r="W2951" i="8"/>
  <c r="U2953" i="8"/>
  <c r="W2953" i="8"/>
  <c r="U2955" i="8"/>
  <c r="W2955" i="8"/>
  <c r="U2957" i="8"/>
  <c r="W2957" i="8"/>
  <c r="U2959" i="8"/>
  <c r="W2959" i="8"/>
  <c r="U2961" i="8"/>
  <c r="W2961" i="8"/>
  <c r="U2963" i="8"/>
  <c r="W2963" i="8"/>
  <c r="U2965" i="8"/>
  <c r="W2965" i="8"/>
  <c r="U2967" i="8"/>
  <c r="W2967" i="8"/>
  <c r="U2969" i="8"/>
  <c r="W2969" i="8"/>
  <c r="U2971" i="8"/>
  <c r="W2971" i="8"/>
  <c r="U2973" i="8"/>
  <c r="W2973" i="8"/>
  <c r="U2975" i="8"/>
  <c r="W2975" i="8"/>
  <c r="U2977" i="8"/>
  <c r="W2977" i="8"/>
  <c r="U2979" i="8"/>
  <c r="W2979" i="8"/>
  <c r="U2981" i="8"/>
  <c r="W2981" i="8"/>
  <c r="U2983" i="8"/>
  <c r="W2983" i="8"/>
  <c r="U2985" i="8"/>
  <c r="W2985" i="8"/>
  <c r="U2987" i="8"/>
  <c r="W2987" i="8"/>
  <c r="U2989" i="8"/>
  <c r="W2989" i="8"/>
  <c r="U2991" i="8"/>
  <c r="W2991" i="8"/>
  <c r="U2993" i="8"/>
  <c r="W2993" i="8"/>
  <c r="U2995" i="8"/>
  <c r="W2995" i="8"/>
  <c r="U2997" i="8"/>
  <c r="W2997" i="8"/>
  <c r="U2999" i="8"/>
  <c r="W2999" i="8"/>
  <c r="U3001" i="8"/>
  <c r="W3001" i="8"/>
  <c r="U3003" i="8"/>
  <c r="W3003" i="8"/>
  <c r="U3005" i="8"/>
  <c r="W3005" i="8"/>
  <c r="U3007" i="8"/>
  <c r="W3007" i="8"/>
  <c r="U3009" i="8"/>
  <c r="W3009" i="8"/>
  <c r="U3011" i="8"/>
  <c r="W3011" i="8"/>
  <c r="W3844" i="8"/>
  <c r="U3844" i="8"/>
  <c r="W3846" i="8"/>
  <c r="U3846" i="8"/>
  <c r="W3848" i="8"/>
  <c r="U3848" i="8"/>
  <c r="W3850" i="8"/>
  <c r="U3850" i="8"/>
  <c r="W3852" i="8"/>
  <c r="U3852" i="8"/>
  <c r="W3854" i="8"/>
  <c r="U3854" i="8"/>
  <c r="W3856" i="8"/>
  <c r="U3856" i="8"/>
  <c r="W3858" i="8"/>
  <c r="U3858" i="8"/>
  <c r="W3860" i="8"/>
  <c r="U3860" i="8"/>
  <c r="W3862" i="8"/>
  <c r="U3862" i="8"/>
  <c r="W3864" i="8"/>
  <c r="U3864" i="8"/>
  <c r="U3866" i="8"/>
  <c r="W3866" i="8"/>
  <c r="U3868" i="8"/>
  <c r="W3868" i="8"/>
  <c r="U3870" i="8"/>
  <c r="W3870" i="8"/>
  <c r="U3872" i="8"/>
  <c r="W3872" i="8"/>
  <c r="U3874" i="8"/>
  <c r="W3874" i="8"/>
  <c r="U3876" i="8"/>
  <c r="W3876" i="8"/>
  <c r="U3878" i="8"/>
  <c r="W3878" i="8"/>
  <c r="U3880" i="8"/>
  <c r="W3880" i="8"/>
  <c r="U3882" i="8"/>
  <c r="W3882" i="8"/>
  <c r="U3884" i="8"/>
  <c r="W3884" i="8"/>
  <c r="U3886" i="8"/>
  <c r="W3886" i="8"/>
  <c r="U3888" i="8"/>
  <c r="W3888" i="8"/>
  <c r="U3890" i="8"/>
  <c r="W3890" i="8"/>
  <c r="U3892" i="8"/>
  <c r="W3892" i="8"/>
  <c r="U3894" i="8"/>
  <c r="W3894" i="8"/>
  <c r="U3896" i="8"/>
  <c r="W3896" i="8"/>
  <c r="U3898" i="8"/>
  <c r="W3898" i="8"/>
  <c r="U3900" i="8"/>
  <c r="W3900" i="8"/>
  <c r="U3902" i="8"/>
  <c r="W3902" i="8"/>
  <c r="U3904" i="8"/>
  <c r="W3904" i="8"/>
  <c r="U3906" i="8"/>
  <c r="W3906" i="8"/>
  <c r="U3908" i="8"/>
  <c r="W3908" i="8"/>
  <c r="U3910" i="8"/>
  <c r="W3910" i="8"/>
  <c r="U3912" i="8"/>
  <c r="W3912" i="8"/>
  <c r="U3914" i="8"/>
  <c r="W3914" i="8"/>
  <c r="U3916" i="8"/>
  <c r="W3916" i="8"/>
  <c r="U3918" i="8"/>
  <c r="W3918" i="8"/>
  <c r="U3920" i="8"/>
  <c r="W3920" i="8"/>
  <c r="U3922" i="8"/>
  <c r="W3922" i="8"/>
  <c r="G43" i="2"/>
  <c r="G41" i="2"/>
  <c r="G39" i="2"/>
  <c r="G37" i="2"/>
  <c r="G35" i="2"/>
  <c r="P117" i="1"/>
  <c r="G33" i="2"/>
  <c r="G31" i="2"/>
  <c r="G29" i="2"/>
  <c r="G27" i="2"/>
  <c r="G25" i="2"/>
  <c r="P101" i="1"/>
  <c r="G23" i="2"/>
  <c r="G21" i="2"/>
  <c r="G19" i="2"/>
  <c r="G17" i="2"/>
  <c r="G15" i="2"/>
  <c r="G13" i="2"/>
  <c r="I13" i="2" s="1"/>
  <c r="G11" i="2"/>
  <c r="E34" i="2"/>
  <c r="H34" i="2" s="1"/>
  <c r="F29" i="2"/>
  <c r="E14" i="2"/>
  <c r="H14" i="2" s="1"/>
  <c r="R1111" i="8"/>
  <c r="S1111" i="8" s="1"/>
  <c r="R1103" i="8"/>
  <c r="S1103" i="8" s="1"/>
  <c r="R1095" i="8"/>
  <c r="S1095" i="8" s="1"/>
  <c r="R1087" i="8"/>
  <c r="T1082" i="8"/>
  <c r="T1074" i="8"/>
  <c r="T1066" i="8"/>
  <c r="R1057" i="8"/>
  <c r="S1057" i="8" s="1"/>
  <c r="R1049" i="8"/>
  <c r="S1049" i="8" s="1"/>
  <c r="T1044" i="8"/>
  <c r="T1036" i="8"/>
  <c r="T1028" i="8"/>
  <c r="T1020" i="8"/>
  <c r="R1015" i="8"/>
  <c r="T1010" i="8"/>
  <c r="T1008" i="8"/>
  <c r="T1003" i="8"/>
  <c r="T1001" i="8"/>
  <c r="R999" i="8"/>
  <c r="S999" i="8" s="1"/>
  <c r="T996" i="8"/>
  <c r="T994" i="8"/>
  <c r="T989" i="8"/>
  <c r="T987" i="8"/>
  <c r="T985" i="8"/>
  <c r="R983" i="8"/>
  <c r="S983" i="8" s="1"/>
  <c r="T978" i="8"/>
  <c r="T973" i="8"/>
  <c r="T971" i="8"/>
  <c r="T968" i="8"/>
  <c r="R966" i="8"/>
  <c r="S966" i="8" s="1"/>
  <c r="T964" i="8"/>
  <c r="T961" i="8"/>
  <c r="R959" i="8"/>
  <c r="T956" i="8"/>
  <c r="T953" i="8"/>
  <c r="T950" i="8"/>
  <c r="R948" i="8"/>
  <c r="S948" i="8" s="1"/>
  <c r="T945" i="8"/>
  <c r="T942" i="8"/>
  <c r="R940" i="8"/>
  <c r="S940" i="8" s="1"/>
  <c r="T937" i="8"/>
  <c r="T934" i="8"/>
  <c r="R932" i="8"/>
  <c r="S932" i="8" s="1"/>
  <c r="T929" i="8"/>
  <c r="T926" i="8"/>
  <c r="R924" i="8"/>
  <c r="S924" i="8" s="1"/>
  <c r="T922" i="8"/>
  <c r="T919" i="8"/>
  <c r="R917" i="8"/>
  <c r="S917" i="8" s="1"/>
  <c r="T914" i="8"/>
  <c r="T911" i="8"/>
  <c r="R909" i="8"/>
  <c r="S909" i="8" s="1"/>
  <c r="T906" i="8"/>
  <c r="T903" i="8"/>
  <c r="R901" i="8"/>
  <c r="S901" i="8" s="1"/>
  <c r="T898" i="8"/>
  <c r="T895" i="8"/>
  <c r="R893" i="8"/>
  <c r="S893" i="8" s="1"/>
  <c r="T891" i="8"/>
  <c r="T888" i="8"/>
  <c r="T885" i="8"/>
  <c r="R883" i="8"/>
  <c r="S883" i="8" s="1"/>
  <c r="T880" i="8"/>
  <c r="T877" i="8"/>
  <c r="R875" i="8"/>
  <c r="S875" i="8" s="1"/>
  <c r="T872" i="8"/>
  <c r="T869" i="8"/>
  <c r="T867" i="8"/>
  <c r="T865" i="8"/>
  <c r="T863" i="8"/>
  <c r="T861" i="8"/>
  <c r="T859" i="8"/>
  <c r="R857" i="8"/>
  <c r="S857" i="8" s="1"/>
  <c r="T848" i="8"/>
  <c r="R841" i="8"/>
  <c r="S841" i="8" s="1"/>
  <c r="T834" i="8"/>
  <c r="R825" i="8"/>
  <c r="R817" i="8"/>
  <c r="S817" i="8" s="1"/>
  <c r="R809" i="8"/>
  <c r="S809" i="8" s="1"/>
  <c r="R801" i="8"/>
  <c r="S801" i="8" s="1"/>
  <c r="R793" i="8"/>
  <c r="S793" i="8" s="1"/>
  <c r="R785" i="8"/>
  <c r="S785" i="8" s="1"/>
  <c r="R777" i="8"/>
  <c r="T772" i="8"/>
  <c r="T1013" i="8"/>
  <c r="R1011" i="8"/>
  <c r="S1011" i="8" s="1"/>
  <c r="T1006" i="8"/>
  <c r="T1004" i="8"/>
  <c r="T999" i="8"/>
  <c r="R997" i="8"/>
  <c r="S997" i="8" s="1"/>
  <c r="T992" i="8"/>
  <c r="T990" i="8"/>
  <c r="T983" i="8"/>
  <c r="T981" i="8"/>
  <c r="R979" i="8"/>
  <c r="S979" i="8" s="1"/>
  <c r="T976" i="8"/>
  <c r="T974" i="8"/>
  <c r="T970" i="8"/>
  <c r="R968" i="8"/>
  <c r="S968" i="8" s="1"/>
  <c r="R965" i="8"/>
  <c r="S965" i="8" s="1"/>
  <c r="T962" i="8"/>
  <c r="T959" i="8"/>
  <c r="R957" i="8"/>
  <c r="S957" i="8" s="1"/>
  <c r="T954" i="8"/>
  <c r="T952" i="8"/>
  <c r="R950" i="8"/>
  <c r="S950" i="8" s="1"/>
  <c r="T947" i="8"/>
  <c r="T944" i="8"/>
  <c r="R942" i="8"/>
  <c r="S942" i="8" s="1"/>
  <c r="T939" i="8"/>
  <c r="T936" i="8"/>
  <c r="R934" i="8"/>
  <c r="S934" i="8" s="1"/>
  <c r="T931" i="8"/>
  <c r="T928" i="8"/>
  <c r="R926" i="8"/>
  <c r="S926" i="8" s="1"/>
  <c r="R923" i="8"/>
  <c r="T920" i="8"/>
  <c r="T917" i="8"/>
  <c r="R915" i="8"/>
  <c r="S915" i="8" s="1"/>
  <c r="T912" i="8"/>
  <c r="T909" i="8"/>
  <c r="R907" i="8"/>
  <c r="S907" i="8" s="1"/>
  <c r="T904" i="8"/>
  <c r="T901" i="8"/>
  <c r="R899" i="8"/>
  <c r="S899" i="8" s="1"/>
  <c r="T896" i="8"/>
  <c r="T893" i="8"/>
  <c r="T890" i="8"/>
  <c r="R888" i="8"/>
  <c r="T886" i="8"/>
  <c r="T883" i="8"/>
  <c r="R881" i="8"/>
  <c r="S881" i="8" s="1"/>
  <c r="T878" i="8"/>
  <c r="T875" i="8"/>
  <c r="R873" i="8"/>
  <c r="S873" i="8" s="1"/>
  <c r="T870" i="8"/>
  <c r="T857" i="8"/>
  <c r="T775" i="8"/>
  <c r="R773" i="8"/>
  <c r="S773" i="8" s="1"/>
  <c r="T770" i="8"/>
  <c r="T768" i="8"/>
  <c r="T766" i="8"/>
  <c r="T764" i="8"/>
  <c r="T762" i="8"/>
  <c r="T760" i="8"/>
  <c r="T758" i="8"/>
  <c r="T756" i="8"/>
  <c r="T754" i="8"/>
  <c r="T752" i="8"/>
  <c r="T750" i="8"/>
  <c r="T748" i="8"/>
  <c r="T746" i="8"/>
  <c r="T744" i="8"/>
  <c r="T742" i="8"/>
  <c r="T740" i="8"/>
  <c r="T738" i="8"/>
  <c r="T736" i="8"/>
  <c r="T734" i="8"/>
  <c r="T732" i="8"/>
  <c r="T730" i="8"/>
  <c r="T728" i="8"/>
  <c r="T726" i="8"/>
  <c r="T724" i="8"/>
  <c r="T722" i="8"/>
  <c r="T720" i="8"/>
  <c r="T718" i="8"/>
  <c r="T716" i="8"/>
  <c r="T714" i="8"/>
  <c r="T712" i="8"/>
  <c r="T710" i="8"/>
  <c r="T708" i="8"/>
  <c r="T706" i="8"/>
  <c r="T704" i="8"/>
  <c r="T702" i="8"/>
  <c r="T700" i="8"/>
  <c r="T698" i="8"/>
  <c r="T696" i="8"/>
  <c r="T694" i="8"/>
  <c r="T692" i="8"/>
  <c r="T690" i="8"/>
  <c r="T688" i="8"/>
  <c r="T686" i="8"/>
  <c r="T684" i="8"/>
  <c r="T682" i="8"/>
  <c r="T680" i="8"/>
  <c r="T678" i="8"/>
  <c r="T676" i="8"/>
  <c r="T674" i="8"/>
  <c r="T672" i="8"/>
  <c r="T670" i="8"/>
  <c r="P89" i="5" s="1"/>
  <c r="P112" i="1" s="1"/>
  <c r="I15" i="1" s="1"/>
  <c r="T558" i="8"/>
  <c r="T556" i="8"/>
  <c r="T554" i="8"/>
  <c r="T552" i="8"/>
  <c r="T550" i="8"/>
  <c r="T548" i="8"/>
  <c r="T546" i="8"/>
  <c r="T544" i="8"/>
  <c r="T542" i="8"/>
  <c r="T540" i="8"/>
  <c r="T538" i="8"/>
  <c r="T536" i="8"/>
  <c r="T534" i="8"/>
  <c r="T532" i="8"/>
  <c r="T530" i="8"/>
  <c r="T528" i="8"/>
  <c r="T526" i="8"/>
  <c r="T524" i="8"/>
  <c r="T522" i="8"/>
  <c r="T520" i="8"/>
  <c r="T518" i="8"/>
  <c r="P9" i="5" s="1"/>
  <c r="T516" i="8"/>
  <c r="T514" i="8"/>
  <c r="T512" i="8"/>
  <c r="T510" i="8"/>
  <c r="T508" i="8"/>
  <c r="T506" i="8"/>
  <c r="T504" i="8"/>
  <c r="T502" i="8"/>
  <c r="T500" i="8"/>
  <c r="T498" i="8"/>
  <c r="T496" i="8"/>
  <c r="T494" i="8"/>
  <c r="T492" i="8"/>
  <c r="T490" i="8"/>
  <c r="P8" i="5" s="1"/>
  <c r="P81" i="1" s="1"/>
  <c r="T486" i="8"/>
  <c r="T484" i="8"/>
  <c r="T482" i="8"/>
  <c r="T480" i="8"/>
  <c r="T478" i="8"/>
  <c r="T476" i="8"/>
  <c r="T474" i="8"/>
  <c r="T472" i="8"/>
  <c r="T470" i="8"/>
  <c r="T468" i="8"/>
  <c r="T466" i="8"/>
  <c r="T464" i="8"/>
  <c r="T462" i="8"/>
  <c r="P104" i="5" s="1"/>
  <c r="T460" i="8"/>
  <c r="T458" i="8"/>
  <c r="T456" i="8"/>
  <c r="T454" i="8"/>
  <c r="T452" i="8"/>
  <c r="T450" i="8"/>
  <c r="T448" i="8"/>
  <c r="T446" i="8"/>
  <c r="T444" i="8"/>
  <c r="T442" i="8"/>
  <c r="T440" i="8"/>
  <c r="T438" i="8"/>
  <c r="T436" i="8"/>
  <c r="T434" i="8"/>
  <c r="T432" i="8"/>
  <c r="T430" i="8"/>
  <c r="T428" i="8"/>
  <c r="T426" i="8"/>
  <c r="T424" i="8"/>
  <c r="T422" i="8"/>
  <c r="T420" i="8"/>
  <c r="T418" i="8"/>
  <c r="T416" i="8"/>
  <c r="T414" i="8"/>
  <c r="T412" i="8"/>
  <c r="T410" i="8"/>
  <c r="T408" i="8"/>
  <c r="T406" i="8"/>
  <c r="T404" i="8"/>
  <c r="T402" i="8"/>
  <c r="T400" i="8"/>
  <c r="T398" i="8"/>
  <c r="T396" i="8"/>
  <c r="T394" i="8"/>
  <c r="T392" i="8"/>
  <c r="T390" i="8"/>
  <c r="T388" i="8"/>
  <c r="T386" i="8"/>
  <c r="T384" i="8"/>
  <c r="T382" i="8"/>
  <c r="T380" i="8"/>
  <c r="T378" i="8"/>
  <c r="T376" i="8"/>
  <c r="T374" i="8"/>
  <c r="T372" i="8"/>
  <c r="T370" i="8"/>
  <c r="T368" i="8"/>
  <c r="T366" i="8"/>
  <c r="T364" i="8"/>
  <c r="T362" i="8"/>
  <c r="P5" i="5" s="1"/>
  <c r="T360" i="8"/>
  <c r="T358" i="8"/>
  <c r="T356" i="8"/>
  <c r="T354" i="8"/>
  <c r="T352" i="8"/>
  <c r="T350" i="8"/>
  <c r="T348" i="8"/>
  <c r="T346" i="8"/>
  <c r="T344" i="8"/>
  <c r="T342" i="8"/>
  <c r="T340" i="8"/>
  <c r="T338" i="8"/>
  <c r="T336" i="8"/>
  <c r="T334" i="8"/>
  <c r="T332" i="8"/>
  <c r="T330" i="8"/>
  <c r="T328" i="8"/>
  <c r="T326" i="8"/>
  <c r="T324" i="8"/>
  <c r="T322" i="8"/>
  <c r="T320" i="8"/>
  <c r="T318" i="8"/>
  <c r="T316" i="8"/>
  <c r="T314" i="8"/>
  <c r="T312" i="8"/>
  <c r="T310" i="8"/>
  <c r="T308" i="8"/>
  <c r="T306" i="8"/>
  <c r="T304" i="8"/>
  <c r="T302" i="8"/>
  <c r="T300" i="8"/>
  <c r="T298" i="8"/>
  <c r="T296" i="8"/>
  <c r="T294" i="8"/>
  <c r="T292" i="8"/>
  <c r="T290" i="8"/>
  <c r="T288" i="8"/>
  <c r="T286" i="8"/>
  <c r="P3" i="5" s="1"/>
  <c r="T284" i="8"/>
  <c r="T282" i="8"/>
  <c r="T280" i="8"/>
  <c r="T278" i="8"/>
  <c r="T276" i="8"/>
  <c r="T274" i="8"/>
  <c r="T272" i="8"/>
  <c r="T270" i="8"/>
  <c r="T268" i="8"/>
  <c r="T266" i="8"/>
  <c r="T264" i="8"/>
  <c r="T262" i="8"/>
  <c r="T260" i="8"/>
  <c r="T258" i="8"/>
  <c r="P2" i="5" s="1"/>
  <c r="T256" i="8"/>
  <c r="T254" i="8"/>
  <c r="T252" i="8"/>
  <c r="T250" i="8"/>
  <c r="T248" i="8"/>
  <c r="T246" i="8"/>
  <c r="T244" i="8"/>
  <c r="T242" i="8"/>
  <c r="T240" i="8"/>
  <c r="T238" i="8"/>
  <c r="T236" i="8"/>
  <c r="T234" i="8"/>
  <c r="T232" i="8"/>
  <c r="T230" i="8"/>
  <c r="T228" i="8"/>
  <c r="T226" i="8"/>
  <c r="T224" i="8"/>
  <c r="T222" i="8"/>
  <c r="T220" i="8"/>
  <c r="T218" i="8"/>
  <c r="T216" i="8"/>
  <c r="T214" i="8"/>
  <c r="P97" i="5" s="1"/>
  <c r="T212" i="8"/>
  <c r="T210" i="8"/>
  <c r="T208" i="8"/>
  <c r="T206" i="8"/>
  <c r="T204" i="8"/>
  <c r="T202" i="8"/>
  <c r="T200" i="8"/>
  <c r="T198" i="8"/>
  <c r="T196" i="8"/>
  <c r="T194" i="8"/>
  <c r="T192" i="8"/>
  <c r="T190" i="8"/>
  <c r="T188" i="8"/>
  <c r="T186" i="8"/>
  <c r="T184" i="8"/>
  <c r="T182" i="8"/>
  <c r="T180" i="8"/>
  <c r="T178" i="8"/>
  <c r="T176" i="8"/>
  <c r="P96" i="5" s="1"/>
  <c r="T174" i="8"/>
  <c r="T172" i="8"/>
  <c r="T170" i="8"/>
  <c r="T168" i="8"/>
  <c r="T166" i="8"/>
  <c r="T164" i="8"/>
  <c r="T162" i="8"/>
  <c r="T160" i="8"/>
  <c r="T158" i="8"/>
  <c r="T156" i="8"/>
  <c r="T154" i="8"/>
  <c r="T152" i="8"/>
  <c r="T150" i="8"/>
  <c r="T148" i="8"/>
  <c r="T146" i="8"/>
  <c r="T144" i="8"/>
  <c r="T142" i="8"/>
  <c r="T140" i="8"/>
  <c r="T138" i="8"/>
  <c r="T136" i="8"/>
  <c r="P95" i="5" s="1"/>
  <c r="T134" i="8"/>
  <c r="T132" i="8"/>
  <c r="T130" i="8"/>
  <c r="T128" i="8"/>
  <c r="T126" i="8"/>
  <c r="T124" i="8"/>
  <c r="T122" i="8"/>
  <c r="T120" i="8"/>
  <c r="T118" i="8"/>
  <c r="T116" i="8"/>
  <c r="T114" i="8"/>
  <c r="T112" i="8"/>
  <c r="T110" i="8"/>
  <c r="T108" i="8"/>
  <c r="T106" i="8"/>
  <c r="T104" i="8"/>
  <c r="T102" i="8"/>
  <c r="T100" i="8"/>
  <c r="T98" i="8"/>
  <c r="T96" i="8"/>
  <c r="T93" i="8"/>
  <c r="T91" i="8"/>
  <c r="T89" i="8"/>
  <c r="T87" i="8"/>
  <c r="T85" i="8"/>
  <c r="P129" i="5" s="1"/>
  <c r="P128" i="1" s="1"/>
  <c r="I21" i="1" s="1"/>
  <c r="T82" i="8"/>
  <c r="T80" i="8"/>
  <c r="T78" i="8"/>
  <c r="T76" i="8"/>
  <c r="T74" i="8"/>
  <c r="T72" i="8"/>
  <c r="T70" i="8"/>
  <c r="P125" i="5" s="1"/>
  <c r="P126" i="1" s="1"/>
  <c r="I20" i="1" s="1"/>
  <c r="T67" i="8"/>
  <c r="T65" i="8"/>
  <c r="T63" i="8"/>
  <c r="T61" i="8"/>
  <c r="T59" i="8"/>
  <c r="T57" i="8"/>
  <c r="T55" i="8"/>
  <c r="T53" i="8"/>
  <c r="T51" i="8"/>
  <c r="T49" i="8"/>
  <c r="T47" i="8"/>
  <c r="T45" i="8"/>
  <c r="T43" i="8"/>
  <c r="T41" i="8"/>
  <c r="T39" i="8"/>
  <c r="T37" i="8"/>
  <c r="T35" i="8"/>
  <c r="T33" i="8"/>
  <c r="T31" i="8"/>
  <c r="P61" i="5" s="1"/>
  <c r="T29" i="8"/>
  <c r="T27" i="8"/>
  <c r="T25" i="8"/>
  <c r="T23" i="8"/>
  <c r="T21" i="8"/>
  <c r="T19" i="8"/>
  <c r="T17" i="8"/>
  <c r="T15" i="8"/>
  <c r="T13" i="8"/>
  <c r="T11" i="8"/>
  <c r="T9" i="8"/>
  <c r="T7" i="8"/>
  <c r="T5" i="8"/>
  <c r="T3" i="8"/>
  <c r="P60" i="5" s="1"/>
  <c r="P100" i="1" s="1"/>
  <c r="I10" i="1" s="1"/>
  <c r="O4072" i="8"/>
  <c r="R4072" i="8" s="1"/>
  <c r="S4072" i="8" s="1"/>
  <c r="O121" i="5" s="1"/>
  <c r="R3893" i="8"/>
  <c r="S3893" i="8" s="1"/>
  <c r="O25" i="5" s="1"/>
  <c r="O3894" i="8"/>
  <c r="R3894" i="8" s="1"/>
  <c r="S3894" i="8" s="1"/>
  <c r="O3416" i="8"/>
  <c r="R3416" i="8" s="1"/>
  <c r="S3416" i="8" s="1"/>
  <c r="O76" i="5" s="1"/>
  <c r="O2626" i="8"/>
  <c r="R2626" i="8" s="1"/>
  <c r="S2626" i="8" s="1"/>
  <c r="O2624" i="8"/>
  <c r="R2624" i="8" s="1"/>
  <c r="S2624" i="8" s="1"/>
  <c r="O2622" i="8"/>
  <c r="R2622" i="8" s="1"/>
  <c r="S2622" i="8" s="1"/>
  <c r="O2620" i="8"/>
  <c r="R2620" i="8" s="1"/>
  <c r="S2620" i="8" s="1"/>
  <c r="O2618" i="8"/>
  <c r="R2618" i="8" s="1"/>
  <c r="S2618" i="8" s="1"/>
  <c r="O2616" i="8"/>
  <c r="R2616" i="8" s="1"/>
  <c r="S2616" i="8" s="1"/>
  <c r="O2614" i="8"/>
  <c r="R2614" i="8" s="1"/>
  <c r="S2614" i="8" s="1"/>
  <c r="O2612" i="8"/>
  <c r="R2612" i="8" s="1"/>
  <c r="S2612" i="8" s="1"/>
  <c r="O2602" i="8"/>
  <c r="R2602" i="8" s="1"/>
  <c r="S2602" i="8" s="1"/>
  <c r="O2600" i="8"/>
  <c r="R2600" i="8" s="1"/>
  <c r="S2600" i="8" s="1"/>
  <c r="O2598" i="8"/>
  <c r="R2598" i="8" s="1"/>
  <c r="S2598" i="8" s="1"/>
  <c r="O17" i="5" s="1"/>
  <c r="O2596" i="8"/>
  <c r="R2596" i="8" s="1"/>
  <c r="S2596" i="8" s="1"/>
  <c r="O2594" i="8"/>
  <c r="R2594" i="8" s="1"/>
  <c r="S2594" i="8" s="1"/>
  <c r="O2592" i="8"/>
  <c r="R2592" i="8" s="1"/>
  <c r="S2592" i="8" s="1"/>
  <c r="O2590" i="8"/>
  <c r="R2590" i="8" s="1"/>
  <c r="S2590" i="8" s="1"/>
  <c r="O2588" i="8"/>
  <c r="R2588" i="8" s="1"/>
  <c r="S2588" i="8" s="1"/>
  <c r="O2586" i="8"/>
  <c r="R2586" i="8" s="1"/>
  <c r="S2586" i="8" s="1"/>
  <c r="O2584" i="8"/>
  <c r="R2584" i="8" s="1"/>
  <c r="S2584" i="8" s="1"/>
  <c r="O2582" i="8"/>
  <c r="R2582" i="8" s="1"/>
  <c r="S2582" i="8" s="1"/>
  <c r="O2580" i="8"/>
  <c r="R2580" i="8" s="1"/>
  <c r="S2580" i="8" s="1"/>
  <c r="O2578" i="8"/>
  <c r="R2578" i="8" s="1"/>
  <c r="S2578" i="8" s="1"/>
  <c r="O2576" i="8"/>
  <c r="R2576" i="8" s="1"/>
  <c r="S2576" i="8" s="1"/>
  <c r="O2574" i="8"/>
  <c r="R2574" i="8" s="1"/>
  <c r="S2574" i="8" s="1"/>
  <c r="O2572" i="8"/>
  <c r="R2572" i="8" s="1"/>
  <c r="S2572" i="8" s="1"/>
  <c r="O2570" i="8"/>
  <c r="R2570" i="8" s="1"/>
  <c r="S2570" i="8" s="1"/>
  <c r="O2568" i="8"/>
  <c r="R2568" i="8" s="1"/>
  <c r="S2568" i="8" s="1"/>
  <c r="O2566" i="8"/>
  <c r="R2566" i="8" s="1"/>
  <c r="S2566" i="8" s="1"/>
  <c r="O2564" i="8"/>
  <c r="R2564" i="8" s="1"/>
  <c r="S2564" i="8" s="1"/>
  <c r="O2562" i="8"/>
  <c r="R2562" i="8" s="1"/>
  <c r="S2562" i="8" s="1"/>
  <c r="O2560" i="8"/>
  <c r="R2560" i="8" s="1"/>
  <c r="S2560" i="8" s="1"/>
  <c r="O16" i="5" s="1"/>
  <c r="O2558" i="8"/>
  <c r="R2558" i="8" s="1"/>
  <c r="S2558" i="8" s="1"/>
  <c r="O2556" i="8"/>
  <c r="R2556" i="8" s="1"/>
  <c r="S2556" i="8" s="1"/>
  <c r="O2554" i="8"/>
  <c r="R2554" i="8" s="1"/>
  <c r="S2554" i="8" s="1"/>
  <c r="O2552" i="8"/>
  <c r="R2552" i="8" s="1"/>
  <c r="S2552" i="8" s="1"/>
  <c r="O2550" i="8"/>
  <c r="R2550" i="8" s="1"/>
  <c r="S2550" i="8" s="1"/>
  <c r="O2548" i="8"/>
  <c r="R2548" i="8" s="1"/>
  <c r="S2548" i="8" s="1"/>
  <c r="O2546" i="8"/>
  <c r="R2546" i="8" s="1"/>
  <c r="S2546" i="8" s="1"/>
  <c r="O2544" i="8"/>
  <c r="R2544" i="8" s="1"/>
  <c r="S2544" i="8" s="1"/>
  <c r="O2542" i="8"/>
  <c r="R2542" i="8" s="1"/>
  <c r="S2542" i="8" s="1"/>
  <c r="O2540" i="8"/>
  <c r="R2540" i="8" s="1"/>
  <c r="S2540" i="8" s="1"/>
  <c r="O2538" i="8"/>
  <c r="R2538" i="8" s="1"/>
  <c r="S2538" i="8" s="1"/>
  <c r="O2536" i="8"/>
  <c r="R2536" i="8" s="1"/>
  <c r="S2536" i="8" s="1"/>
  <c r="O2534" i="8"/>
  <c r="R2534" i="8" s="1"/>
  <c r="S2534" i="8" s="1"/>
  <c r="O2532" i="8"/>
  <c r="R2532" i="8" s="1"/>
  <c r="S2532" i="8" s="1"/>
  <c r="O2530" i="8"/>
  <c r="R2530" i="8" s="1"/>
  <c r="S2530" i="8" s="1"/>
  <c r="O2528" i="8"/>
  <c r="R2528" i="8" s="1"/>
  <c r="S2528" i="8" s="1"/>
  <c r="O2526" i="8"/>
  <c r="R2526" i="8" s="1"/>
  <c r="S2526" i="8" s="1"/>
  <c r="O2524" i="8"/>
  <c r="R2524" i="8" s="1"/>
  <c r="S2524" i="8" s="1"/>
  <c r="O2522" i="8"/>
  <c r="R2522" i="8" s="1"/>
  <c r="S2522" i="8" s="1"/>
  <c r="O2520" i="8"/>
  <c r="R2520" i="8" s="1"/>
  <c r="S2520" i="8" s="1"/>
  <c r="O2518" i="8"/>
  <c r="R2518" i="8" s="1"/>
  <c r="S2518" i="8" s="1"/>
  <c r="O2516" i="8"/>
  <c r="R2516" i="8" s="1"/>
  <c r="S2516" i="8" s="1"/>
  <c r="O2514" i="8"/>
  <c r="R2514" i="8" s="1"/>
  <c r="S2514" i="8" s="1"/>
  <c r="O15" i="5" s="1"/>
  <c r="O3304" i="8"/>
  <c r="R3304" i="8" s="1"/>
  <c r="S3304" i="8" s="1"/>
  <c r="O3302" i="8"/>
  <c r="R3302" i="8" s="1"/>
  <c r="S3302" i="8" s="1"/>
  <c r="O3300" i="8"/>
  <c r="R3300" i="8" s="1"/>
  <c r="S3300" i="8" s="1"/>
  <c r="O3298" i="8"/>
  <c r="R3298" i="8" s="1"/>
  <c r="S3298" i="8" s="1"/>
  <c r="O3282" i="8"/>
  <c r="O3280" i="8"/>
  <c r="R3280" i="8" s="1"/>
  <c r="S3280" i="8" s="1"/>
  <c r="O3278" i="8"/>
  <c r="R3278" i="8" s="1"/>
  <c r="S3278" i="8" s="1"/>
  <c r="O3276" i="8"/>
  <c r="R3276" i="8" s="1"/>
  <c r="S3276" i="8" s="1"/>
  <c r="O3274" i="8"/>
  <c r="R3274" i="8" s="1"/>
  <c r="S3274" i="8" s="1"/>
  <c r="O3272" i="8"/>
  <c r="R3272" i="8" s="1"/>
  <c r="S3272" i="8" s="1"/>
  <c r="O3270" i="8"/>
  <c r="R3270" i="8" s="1"/>
  <c r="S3270" i="8" s="1"/>
  <c r="O3268" i="8"/>
  <c r="R3268" i="8" s="1"/>
  <c r="S3268" i="8" s="1"/>
  <c r="O3266" i="8"/>
  <c r="R3266" i="8" s="1"/>
  <c r="S3266" i="8" s="1"/>
  <c r="O3264" i="8"/>
  <c r="R3264" i="8" s="1"/>
  <c r="S3264" i="8" s="1"/>
  <c r="O3262" i="8"/>
  <c r="R3262" i="8" s="1"/>
  <c r="S3262" i="8" s="1"/>
  <c r="O3260" i="8"/>
  <c r="R3260" i="8" s="1"/>
  <c r="S3260" i="8" s="1"/>
  <c r="O3258" i="8"/>
  <c r="R3258" i="8" s="1"/>
  <c r="S3258" i="8" s="1"/>
  <c r="O3256" i="8"/>
  <c r="R3256" i="8" s="1"/>
  <c r="S3256" i="8" s="1"/>
  <c r="O3254" i="8"/>
  <c r="R3254" i="8" s="1"/>
  <c r="S3254" i="8" s="1"/>
  <c r="O3252" i="8"/>
  <c r="R3252" i="8" s="1"/>
  <c r="S3252" i="8" s="1"/>
  <c r="O3250" i="8"/>
  <c r="R3250" i="8" s="1"/>
  <c r="S3250" i="8" s="1"/>
  <c r="O3248" i="8"/>
  <c r="R3248" i="8" s="1"/>
  <c r="S3248" i="8" s="1"/>
  <c r="O3246" i="8"/>
  <c r="R3246" i="8" s="1"/>
  <c r="S3246" i="8" s="1"/>
  <c r="O3244" i="8"/>
  <c r="R3244" i="8" s="1"/>
  <c r="S3244" i="8" s="1"/>
  <c r="O3242" i="8"/>
  <c r="R3242" i="8" s="1"/>
  <c r="S3242" i="8" s="1"/>
  <c r="O3240" i="8"/>
  <c r="R3240" i="8" s="1"/>
  <c r="S3240" i="8" s="1"/>
  <c r="O3238" i="8"/>
  <c r="R3238" i="8" s="1"/>
  <c r="S3238" i="8" s="1"/>
  <c r="O3236" i="8"/>
  <c r="R3236" i="8" s="1"/>
  <c r="S3236" i="8" s="1"/>
  <c r="O3234" i="8"/>
  <c r="R3234" i="8" s="1"/>
  <c r="S3234" i="8" s="1"/>
  <c r="O3232" i="8"/>
  <c r="R3232" i="8" s="1"/>
  <c r="S3232" i="8" s="1"/>
  <c r="O3230" i="8"/>
  <c r="R3230" i="8" s="1"/>
  <c r="S3230" i="8" s="1"/>
  <c r="O3228" i="8"/>
  <c r="R3228" i="8" s="1"/>
  <c r="S3228" i="8" s="1"/>
  <c r="O3226" i="8"/>
  <c r="R3226" i="8" s="1"/>
  <c r="S3226" i="8" s="1"/>
  <c r="O3224" i="8"/>
  <c r="R3224" i="8" s="1"/>
  <c r="S3224" i="8" s="1"/>
  <c r="O3222" i="8"/>
  <c r="R3222" i="8" s="1"/>
  <c r="S3222" i="8" s="1"/>
  <c r="O3220" i="8"/>
  <c r="R3220" i="8" s="1"/>
  <c r="S3220" i="8" s="1"/>
  <c r="O3218" i="8"/>
  <c r="R3218" i="8" s="1"/>
  <c r="S3218" i="8" s="1"/>
  <c r="O3216" i="8"/>
  <c r="R3216" i="8" s="1"/>
  <c r="S3216" i="8" s="1"/>
  <c r="O3214" i="8"/>
  <c r="R3214" i="8" s="1"/>
  <c r="S3214" i="8" s="1"/>
  <c r="O3212" i="8"/>
  <c r="R3212" i="8" s="1"/>
  <c r="S3212" i="8" s="1"/>
  <c r="O3210" i="8"/>
  <c r="R3210" i="8" s="1"/>
  <c r="S3210" i="8" s="1"/>
  <c r="O3208" i="8"/>
  <c r="R3208" i="8" s="1"/>
  <c r="S3208" i="8" s="1"/>
  <c r="O3206" i="8"/>
  <c r="R3206" i="8" s="1"/>
  <c r="S3206" i="8" s="1"/>
  <c r="O3204" i="8"/>
  <c r="R3204" i="8" s="1"/>
  <c r="S3204" i="8" s="1"/>
  <c r="O3202" i="8"/>
  <c r="R3202" i="8" s="1"/>
  <c r="S3202" i="8" s="1"/>
  <c r="O3200" i="8"/>
  <c r="R3200" i="8" s="1"/>
  <c r="S3200" i="8" s="1"/>
  <c r="O3198" i="8"/>
  <c r="R3198" i="8" s="1"/>
  <c r="S3198" i="8" s="1"/>
  <c r="O3194" i="8"/>
  <c r="R3194" i="8" s="1"/>
  <c r="S3194" i="8" s="1"/>
  <c r="O3192" i="8"/>
  <c r="R3192" i="8" s="1"/>
  <c r="S3192" i="8" s="1"/>
  <c r="O3190" i="8"/>
  <c r="R3190" i="8" s="1"/>
  <c r="S3190" i="8" s="1"/>
  <c r="O3188" i="8"/>
  <c r="R3188" i="8" s="1"/>
  <c r="S3188" i="8" s="1"/>
  <c r="O3186" i="8"/>
  <c r="R3186" i="8" s="1"/>
  <c r="S3186" i="8" s="1"/>
  <c r="O3170" i="8"/>
  <c r="R3170" i="8" s="1"/>
  <c r="S3170" i="8" s="1"/>
  <c r="O110" i="5" s="1"/>
  <c r="R3140" i="8"/>
  <c r="S3140" i="8" s="1"/>
  <c r="O3141" i="8"/>
  <c r="R3141" i="8" s="1"/>
  <c r="S3141" i="8" s="1"/>
  <c r="R3137" i="8"/>
  <c r="S3137" i="8" s="1"/>
  <c r="O133" i="5" s="1"/>
  <c r="O3138" i="8"/>
  <c r="R3138" i="8" s="1"/>
  <c r="S3138" i="8" s="1"/>
  <c r="O2628" i="8"/>
  <c r="R2628" i="8" s="1"/>
  <c r="S2628" i="8" s="1"/>
  <c r="W1118" i="8"/>
  <c r="U1118" i="8"/>
  <c r="W1117" i="8"/>
  <c r="U1117" i="8"/>
  <c r="W1116" i="8"/>
  <c r="U1116" i="8"/>
  <c r="W1115" i="8"/>
  <c r="U1115" i="8"/>
  <c r="W1114" i="8"/>
  <c r="U1114" i="8"/>
  <c r="W1113" i="8"/>
  <c r="U1113" i="8"/>
  <c r="W1112" i="8"/>
  <c r="U1112" i="8"/>
  <c r="W1111" i="8"/>
  <c r="U1111" i="8"/>
  <c r="W1110" i="8"/>
  <c r="U1110" i="8"/>
  <c r="W1109" i="8"/>
  <c r="U1109" i="8"/>
  <c r="W1108" i="8"/>
  <c r="U1108" i="8"/>
  <c r="W1107" i="8"/>
  <c r="U1107" i="8"/>
  <c r="W1106" i="8"/>
  <c r="U1106" i="8"/>
  <c r="W1105" i="8"/>
  <c r="U1105" i="8"/>
  <c r="W1104" i="8"/>
  <c r="U1104" i="8"/>
  <c r="W1103" i="8"/>
  <c r="U1103" i="8"/>
  <c r="W1102" i="8"/>
  <c r="U1102" i="8"/>
  <c r="W1101" i="8"/>
  <c r="U1101" i="8"/>
  <c r="W1100" i="8"/>
  <c r="U1100" i="8"/>
  <c r="W1099" i="8"/>
  <c r="U1099" i="8"/>
  <c r="W1098" i="8"/>
  <c r="U1098" i="8"/>
  <c r="W1097" i="8"/>
  <c r="U1097" i="8"/>
  <c r="W1096" i="8"/>
  <c r="U1096" i="8"/>
  <c r="W1095" i="8"/>
  <c r="U1095" i="8"/>
  <c r="W1094" i="8"/>
  <c r="U1094" i="8"/>
  <c r="W1093" i="8"/>
  <c r="U1093" i="8"/>
  <c r="W1092" i="8"/>
  <c r="U1092" i="8"/>
  <c r="W1091" i="8"/>
  <c r="U1091" i="8"/>
  <c r="W1090" i="8"/>
  <c r="U1090" i="8"/>
  <c r="W1089" i="8"/>
  <c r="U1089" i="8"/>
  <c r="W1088" i="8"/>
  <c r="U1088" i="8"/>
  <c r="W1087" i="8"/>
  <c r="M108" i="5" s="1"/>
  <c r="U1087" i="8"/>
  <c r="Q108" i="5" s="1"/>
  <c r="E58" i="4" s="1"/>
  <c r="W1086" i="8"/>
  <c r="U1086" i="8"/>
  <c r="W1085" i="8"/>
  <c r="U1085" i="8"/>
  <c r="W1084" i="8"/>
  <c r="U1084" i="8"/>
  <c r="W1083" i="8"/>
  <c r="U1083" i="8"/>
  <c r="W1082" i="8"/>
  <c r="U1082" i="8"/>
  <c r="W1081" i="8"/>
  <c r="U1081" i="8"/>
  <c r="W1080" i="8"/>
  <c r="U1080" i="8"/>
  <c r="W1079" i="8"/>
  <c r="U1079" i="8"/>
  <c r="W1078" i="8"/>
  <c r="U1078" i="8"/>
  <c r="W1077" i="8"/>
  <c r="U1077" i="8"/>
  <c r="W1076" i="8"/>
  <c r="U1076" i="8"/>
  <c r="W1075" i="8"/>
  <c r="U1075" i="8"/>
  <c r="W1074" i="8"/>
  <c r="U1074" i="8"/>
  <c r="W1073" i="8"/>
  <c r="U1073" i="8"/>
  <c r="W1072" i="8"/>
  <c r="U1072" i="8"/>
  <c r="W1071" i="8"/>
  <c r="U1071" i="8"/>
  <c r="W1070" i="8"/>
  <c r="U1070" i="8"/>
  <c r="W1069" i="8"/>
  <c r="U1069" i="8"/>
  <c r="W1068" i="8"/>
  <c r="U1068" i="8"/>
  <c r="W1067" i="8"/>
  <c r="U1067" i="8"/>
  <c r="W1066" i="8"/>
  <c r="U1066" i="8"/>
  <c r="W1065" i="8"/>
  <c r="U1065" i="8"/>
  <c r="W1064" i="8"/>
  <c r="U1064" i="8"/>
  <c r="W1063" i="8"/>
  <c r="U1063" i="8"/>
  <c r="W1062" i="8"/>
  <c r="U1062" i="8"/>
  <c r="W1061" i="8"/>
  <c r="U1061" i="8"/>
  <c r="W1060" i="8"/>
  <c r="U1060" i="8"/>
  <c r="W1059" i="8"/>
  <c r="U1059" i="8"/>
  <c r="W1058" i="8"/>
  <c r="U1058" i="8"/>
  <c r="W1057" i="8"/>
  <c r="U1057" i="8"/>
  <c r="W1056" i="8"/>
  <c r="U1056" i="8"/>
  <c r="W1055" i="8"/>
  <c r="U1055" i="8"/>
  <c r="W1054" i="8"/>
  <c r="U1054" i="8"/>
  <c r="W1053" i="8"/>
  <c r="U1053" i="8"/>
  <c r="W1052" i="8"/>
  <c r="U1052" i="8"/>
  <c r="W1051" i="8"/>
  <c r="U1051" i="8"/>
  <c r="W1050" i="8"/>
  <c r="U1050" i="8"/>
  <c r="W1049" i="8"/>
  <c r="U1049" i="8"/>
  <c r="W1048" i="8"/>
  <c r="U1048" i="8"/>
  <c r="W1047" i="8"/>
  <c r="U1047" i="8"/>
  <c r="W1046" i="8"/>
  <c r="U1046" i="8"/>
  <c r="W1045" i="8"/>
  <c r="M107" i="5" s="1"/>
  <c r="U1045" i="8"/>
  <c r="Q107" i="5" s="1"/>
  <c r="D58" i="4" s="1"/>
  <c r="W1044" i="8"/>
  <c r="U1044" i="8"/>
  <c r="W1043" i="8"/>
  <c r="U1043" i="8"/>
  <c r="W1042" i="8"/>
  <c r="U1042" i="8"/>
  <c r="W1041" i="8"/>
  <c r="U1041" i="8"/>
  <c r="W1040" i="8"/>
  <c r="U1040" i="8"/>
  <c r="W1039" i="8"/>
  <c r="U1039" i="8"/>
  <c r="W1038" i="8"/>
  <c r="U1038" i="8"/>
  <c r="W1037" i="8"/>
  <c r="U1037" i="8"/>
  <c r="W1036" i="8"/>
  <c r="U1036" i="8"/>
  <c r="W1035" i="8"/>
  <c r="U1035" i="8"/>
  <c r="W1034" i="8"/>
  <c r="U1034" i="8"/>
  <c r="W1033" i="8"/>
  <c r="U1033" i="8"/>
  <c r="W1032" i="8"/>
  <c r="U1032" i="8"/>
  <c r="W1031" i="8"/>
  <c r="U1031" i="8"/>
  <c r="W1030" i="8"/>
  <c r="U1030" i="8"/>
  <c r="W1029" i="8"/>
  <c r="U1029" i="8"/>
  <c r="W1028" i="8"/>
  <c r="U1028" i="8"/>
  <c r="W1027" i="8"/>
  <c r="U1027" i="8"/>
  <c r="W1026" i="8"/>
  <c r="U1026" i="8"/>
  <c r="W1025" i="8"/>
  <c r="U1025" i="8"/>
  <c r="W1024" i="8"/>
  <c r="U1024" i="8"/>
  <c r="W1023" i="8"/>
  <c r="U1023" i="8"/>
  <c r="W1022" i="8"/>
  <c r="U1022" i="8"/>
  <c r="W1021" i="8"/>
  <c r="U1021" i="8"/>
  <c r="W1020" i="8"/>
  <c r="U1020" i="8"/>
  <c r="W1019" i="8"/>
  <c r="U1019" i="8"/>
  <c r="W1018" i="8"/>
  <c r="U1018" i="8"/>
  <c r="W1017" i="8"/>
  <c r="U1017" i="8"/>
  <c r="W1016" i="8"/>
  <c r="U1016" i="8"/>
  <c r="W1015" i="8"/>
  <c r="M106" i="5" s="1"/>
  <c r="U1015" i="8"/>
  <c r="Q106" i="5" s="1"/>
  <c r="W856" i="8"/>
  <c r="U856" i="8"/>
  <c r="W855" i="8"/>
  <c r="U855" i="8"/>
  <c r="W854" i="8"/>
  <c r="U854" i="8"/>
  <c r="W853" i="8"/>
  <c r="U853" i="8"/>
  <c r="W852" i="8"/>
  <c r="U852" i="8"/>
  <c r="W851" i="8"/>
  <c r="U851" i="8"/>
  <c r="W850" i="8"/>
  <c r="U850" i="8"/>
  <c r="W849" i="8"/>
  <c r="U849" i="8"/>
  <c r="W848" i="8"/>
  <c r="U848" i="8"/>
  <c r="W847" i="8"/>
  <c r="U847" i="8"/>
  <c r="W846" i="8"/>
  <c r="U846" i="8"/>
  <c r="W845" i="8"/>
  <c r="U845" i="8"/>
  <c r="W844" i="8"/>
  <c r="U844" i="8"/>
  <c r="W843" i="8"/>
  <c r="U843" i="8"/>
  <c r="W842" i="8"/>
  <c r="U842" i="8"/>
  <c r="W841" i="8"/>
  <c r="U841" i="8"/>
  <c r="W840" i="8"/>
  <c r="U840" i="8"/>
  <c r="W839" i="8"/>
  <c r="U839" i="8"/>
  <c r="W838" i="8"/>
  <c r="U838" i="8"/>
  <c r="W837" i="8"/>
  <c r="U837" i="8"/>
  <c r="W836" i="8"/>
  <c r="U836" i="8"/>
  <c r="W835" i="8"/>
  <c r="U835" i="8"/>
  <c r="W834" i="8"/>
  <c r="U834" i="8"/>
  <c r="W833" i="8"/>
  <c r="U833" i="8"/>
  <c r="W832" i="8"/>
  <c r="U832" i="8"/>
  <c r="W831" i="8"/>
  <c r="U831" i="8"/>
  <c r="W830" i="8"/>
  <c r="U830" i="8"/>
  <c r="W829" i="8"/>
  <c r="U829" i="8"/>
  <c r="W828" i="8"/>
  <c r="U828" i="8"/>
  <c r="W827" i="8"/>
  <c r="U827" i="8"/>
  <c r="W826" i="8"/>
  <c r="U826" i="8"/>
  <c r="W825" i="8"/>
  <c r="U825" i="8"/>
  <c r="W824" i="8"/>
  <c r="U824" i="8"/>
  <c r="W823" i="8"/>
  <c r="U823" i="8"/>
  <c r="W822" i="8"/>
  <c r="U822" i="8"/>
  <c r="W821" i="8"/>
  <c r="U821" i="8"/>
  <c r="W820" i="8"/>
  <c r="U820" i="8"/>
  <c r="W819" i="8"/>
  <c r="U819" i="8"/>
  <c r="W818" i="8"/>
  <c r="U818" i="8"/>
  <c r="W817" i="8"/>
  <c r="U817" i="8"/>
  <c r="W816" i="8"/>
  <c r="U816" i="8"/>
  <c r="W815" i="8"/>
  <c r="U815" i="8"/>
  <c r="W814" i="8"/>
  <c r="U814" i="8"/>
  <c r="W813" i="8"/>
  <c r="U813" i="8"/>
  <c r="W812" i="8"/>
  <c r="U812" i="8"/>
  <c r="W811" i="8"/>
  <c r="U811" i="8"/>
  <c r="W810" i="8"/>
  <c r="U810" i="8"/>
  <c r="W809" i="8"/>
  <c r="U809" i="8"/>
  <c r="W808" i="8"/>
  <c r="U808" i="8"/>
  <c r="W807" i="8"/>
  <c r="U807" i="8"/>
  <c r="W806" i="8"/>
  <c r="U806" i="8"/>
  <c r="W805" i="8"/>
  <c r="U805" i="8"/>
  <c r="W804" i="8"/>
  <c r="U804" i="8"/>
  <c r="W803" i="8"/>
  <c r="U803" i="8"/>
  <c r="W802" i="8"/>
  <c r="U802" i="8"/>
  <c r="W801" i="8"/>
  <c r="U801" i="8"/>
  <c r="W800" i="8"/>
  <c r="U800" i="8"/>
  <c r="W799" i="8"/>
  <c r="U799" i="8"/>
  <c r="W798" i="8"/>
  <c r="U798" i="8"/>
  <c r="W797" i="8"/>
  <c r="U797" i="8"/>
  <c r="W796" i="8"/>
  <c r="U796" i="8"/>
  <c r="W795" i="8"/>
  <c r="U795" i="8"/>
  <c r="W794" i="8"/>
  <c r="U794" i="8"/>
  <c r="W793" i="8"/>
  <c r="U793" i="8"/>
  <c r="W792" i="8"/>
  <c r="U792" i="8"/>
  <c r="W791" i="8"/>
  <c r="M40" i="5" s="1"/>
  <c r="M66" i="1" s="1"/>
  <c r="U791" i="8"/>
  <c r="Q40" i="5" s="1"/>
  <c r="E41" i="4" s="1"/>
  <c r="W790" i="8"/>
  <c r="U790" i="8"/>
  <c r="W789" i="8"/>
  <c r="U789" i="8"/>
  <c r="W788" i="8"/>
  <c r="U788" i="8"/>
  <c r="W787" i="8"/>
  <c r="U787" i="8"/>
  <c r="W786" i="8"/>
  <c r="U786" i="8"/>
  <c r="W785" i="8"/>
  <c r="U785" i="8"/>
  <c r="W784" i="8"/>
  <c r="U784" i="8"/>
  <c r="W783" i="8"/>
  <c r="U783" i="8"/>
  <c r="W782" i="8"/>
  <c r="U782" i="8"/>
  <c r="W781" i="8"/>
  <c r="U781" i="8"/>
  <c r="W780" i="8"/>
  <c r="U780" i="8"/>
  <c r="W779" i="8"/>
  <c r="U779" i="8"/>
  <c r="W778" i="8"/>
  <c r="U778" i="8"/>
  <c r="W777" i="8"/>
  <c r="M39" i="5" s="1"/>
  <c r="L66" i="1" s="1"/>
  <c r="U777" i="8"/>
  <c r="Q39" i="5" s="1"/>
  <c r="U3012" i="8"/>
  <c r="W3012" i="8"/>
  <c r="U3014" i="8"/>
  <c r="W3014" i="8"/>
  <c r="U3016" i="8"/>
  <c r="W3016" i="8"/>
  <c r="U3018" i="8"/>
  <c r="W3018" i="8"/>
  <c r="U3020" i="8"/>
  <c r="W3020" i="8"/>
  <c r="U3022" i="8"/>
  <c r="W3022" i="8"/>
  <c r="U3024" i="8"/>
  <c r="W3024" i="8"/>
  <c r="U3026" i="8"/>
  <c r="W3026" i="8"/>
  <c r="U3028" i="8"/>
  <c r="W3028" i="8"/>
  <c r="U3030" i="8"/>
  <c r="W3030" i="8"/>
  <c r="U3032" i="8"/>
  <c r="W3032" i="8"/>
  <c r="U3034" i="8"/>
  <c r="W3034" i="8"/>
  <c r="U3036" i="8"/>
  <c r="W3036" i="8"/>
  <c r="U3038" i="8"/>
  <c r="W3038" i="8"/>
  <c r="U3040" i="8"/>
  <c r="W3040" i="8"/>
  <c r="U3042" i="8"/>
  <c r="W3042" i="8"/>
  <c r="U3044" i="8"/>
  <c r="W3044" i="8"/>
  <c r="U3046" i="8"/>
  <c r="W3046" i="8"/>
  <c r="U3048" i="8"/>
  <c r="W3048" i="8"/>
  <c r="U3050" i="8"/>
  <c r="W3050" i="8"/>
  <c r="U3052" i="8"/>
  <c r="W3052" i="8"/>
  <c r="U3054" i="8"/>
  <c r="W3054" i="8"/>
  <c r="U3056" i="8"/>
  <c r="W3056" i="8"/>
  <c r="U3058" i="8"/>
  <c r="W3058" i="8"/>
  <c r="U3060" i="8"/>
  <c r="W3060" i="8"/>
  <c r="U3062" i="8"/>
  <c r="W3062" i="8"/>
  <c r="U3064" i="8"/>
  <c r="W3064" i="8"/>
  <c r="U3066" i="8"/>
  <c r="W3066" i="8"/>
  <c r="U3068" i="8"/>
  <c r="W3068" i="8"/>
  <c r="U3070" i="8"/>
  <c r="W3070" i="8"/>
  <c r="U3072" i="8"/>
  <c r="W3072" i="8"/>
  <c r="U3074" i="8"/>
  <c r="W3074" i="8"/>
  <c r="U3076" i="8"/>
  <c r="W3076" i="8"/>
  <c r="U3078" i="8"/>
  <c r="W3078" i="8"/>
  <c r="U3080" i="8"/>
  <c r="W3080" i="8"/>
  <c r="U3082" i="8"/>
  <c r="W3082" i="8"/>
  <c r="U3084" i="8"/>
  <c r="W3084" i="8"/>
  <c r="U3086" i="8"/>
  <c r="W3086" i="8"/>
  <c r="U3088" i="8"/>
  <c r="W3088" i="8"/>
  <c r="U3090" i="8"/>
  <c r="W3090" i="8"/>
  <c r="U3092" i="8"/>
  <c r="W3092" i="8"/>
  <c r="U3094" i="8"/>
  <c r="W3094" i="8"/>
  <c r="U3096" i="8"/>
  <c r="W3096" i="8"/>
  <c r="U3098" i="8"/>
  <c r="W3098" i="8"/>
  <c r="U3100" i="8"/>
  <c r="W3100" i="8"/>
  <c r="U3102" i="8"/>
  <c r="W3102" i="8"/>
  <c r="U3104" i="8"/>
  <c r="W3104" i="8"/>
  <c r="U3106" i="8"/>
  <c r="W3106" i="8"/>
  <c r="U3108" i="8"/>
  <c r="W3108" i="8"/>
  <c r="U3110" i="8"/>
  <c r="W3110" i="8"/>
  <c r="U3112" i="8"/>
  <c r="W3112" i="8"/>
  <c r="U3114" i="8"/>
  <c r="W3114" i="8"/>
  <c r="U3116" i="8"/>
  <c r="W3116" i="8"/>
  <c r="U3118" i="8"/>
  <c r="W3118" i="8"/>
  <c r="U3120" i="8"/>
  <c r="W3120" i="8"/>
  <c r="U3122" i="8"/>
  <c r="W3122" i="8"/>
  <c r="U3124" i="8"/>
  <c r="W3124" i="8"/>
  <c r="U3126" i="8"/>
  <c r="W3126" i="8"/>
  <c r="U3128" i="8"/>
  <c r="W3128" i="8"/>
  <c r="U3130" i="8"/>
  <c r="W3130" i="8"/>
  <c r="U3132" i="8"/>
  <c r="W3132" i="8"/>
  <c r="U3134" i="8"/>
  <c r="W3134" i="8"/>
  <c r="U3136" i="8"/>
  <c r="W3136" i="8"/>
  <c r="U3138" i="8"/>
  <c r="W3138" i="8"/>
  <c r="U3140" i="8"/>
  <c r="W3140" i="8"/>
  <c r="U3142" i="8"/>
  <c r="W3142" i="8"/>
  <c r="U3144" i="8"/>
  <c r="W3144" i="8"/>
  <c r="U3146" i="8"/>
  <c r="W3146" i="8"/>
  <c r="U3148" i="8"/>
  <c r="W3148" i="8"/>
  <c r="U3150" i="8"/>
  <c r="W3150" i="8"/>
  <c r="U3152" i="8"/>
  <c r="W3152" i="8"/>
  <c r="U3154" i="8"/>
  <c r="W3154" i="8"/>
  <c r="U3156" i="8"/>
  <c r="W3156" i="8"/>
  <c r="U3158" i="8"/>
  <c r="W3158" i="8"/>
  <c r="U3160" i="8"/>
  <c r="W3160" i="8"/>
  <c r="U3162" i="8"/>
  <c r="W3162" i="8"/>
  <c r="U3164" i="8"/>
  <c r="W3164" i="8"/>
  <c r="U3925" i="8"/>
  <c r="W3925" i="8"/>
  <c r="U3927" i="8"/>
  <c r="W3927" i="8"/>
  <c r="U3929" i="8"/>
  <c r="W3929" i="8"/>
  <c r="U3931" i="8"/>
  <c r="W3931" i="8"/>
  <c r="U3933" i="8"/>
  <c r="W3933" i="8"/>
  <c r="U3935" i="8"/>
  <c r="W3935" i="8"/>
  <c r="U3937" i="8"/>
  <c r="W3937" i="8"/>
  <c r="U3939" i="8"/>
  <c r="W3939" i="8"/>
  <c r="U3941" i="8"/>
  <c r="W3941" i="8"/>
  <c r="U3943" i="8"/>
  <c r="W3943" i="8"/>
  <c r="U3945" i="8"/>
  <c r="W3945" i="8"/>
  <c r="U3947" i="8"/>
  <c r="W3947" i="8"/>
  <c r="U3949" i="8"/>
  <c r="W3949" i="8"/>
  <c r="U3951" i="8"/>
  <c r="W3951" i="8"/>
  <c r="U3953" i="8"/>
  <c r="W3953" i="8"/>
  <c r="U3955" i="8"/>
  <c r="W3955" i="8"/>
  <c r="U3957" i="8"/>
  <c r="W3957" i="8"/>
  <c r="U3959" i="8"/>
  <c r="W3959" i="8"/>
  <c r="U3961" i="8"/>
  <c r="W3961" i="8"/>
  <c r="U3963" i="8"/>
  <c r="W3963" i="8"/>
  <c r="U3965" i="8"/>
  <c r="W3965" i="8"/>
  <c r="U3967" i="8"/>
  <c r="W3967" i="8"/>
  <c r="U3969" i="8"/>
  <c r="W3969" i="8"/>
  <c r="U3971" i="8"/>
  <c r="W3971" i="8"/>
  <c r="U3973" i="8"/>
  <c r="W3973" i="8"/>
  <c r="U3975" i="8"/>
  <c r="W3975" i="8"/>
  <c r="U3977" i="8"/>
  <c r="W3977" i="8"/>
  <c r="U3979" i="8"/>
  <c r="W3979" i="8"/>
  <c r="U3981" i="8"/>
  <c r="W3981" i="8"/>
  <c r="U3983" i="8"/>
  <c r="W3983" i="8"/>
  <c r="U3985" i="8"/>
  <c r="W3985" i="8"/>
  <c r="U3987" i="8"/>
  <c r="W3987" i="8"/>
  <c r="U3989" i="8"/>
  <c r="W3989" i="8"/>
  <c r="U3991" i="8"/>
  <c r="W3991" i="8"/>
  <c r="U3993" i="8"/>
  <c r="W3993" i="8"/>
  <c r="U3995" i="8"/>
  <c r="W3995" i="8"/>
  <c r="U3997" i="8"/>
  <c r="W3997" i="8"/>
  <c r="U3999" i="8"/>
  <c r="W3999" i="8"/>
  <c r="U4001" i="8"/>
  <c r="W4001" i="8"/>
  <c r="E43" i="2"/>
  <c r="F36" i="1"/>
  <c r="E39" i="2"/>
  <c r="F41" i="1"/>
  <c r="E25" i="2"/>
  <c r="E11" i="2"/>
  <c r="C62" i="4"/>
  <c r="C52" i="4"/>
  <c r="C46" i="4"/>
  <c r="C34" i="4"/>
  <c r="N56" i="1"/>
  <c r="J56" i="1"/>
  <c r="F56" i="1"/>
  <c r="F31" i="4"/>
  <c r="E31" i="4"/>
  <c r="M56" i="1"/>
  <c r="I56" i="1"/>
  <c r="E56" i="1"/>
  <c r="L56" i="1"/>
  <c r="H56" i="1"/>
  <c r="D56" i="1"/>
  <c r="D31" i="4"/>
  <c r="C31" i="4"/>
  <c r="K56" i="1"/>
  <c r="G56" i="1"/>
  <c r="C56" i="1"/>
  <c r="H38" i="2"/>
  <c r="H26" i="2"/>
  <c r="L64" i="1"/>
  <c r="R1523" i="8"/>
  <c r="S1523" i="8" s="1"/>
  <c r="U1523" i="8"/>
  <c r="R1521" i="8"/>
  <c r="S1521" i="8" s="1"/>
  <c r="U1521" i="8"/>
  <c r="W1520" i="8"/>
  <c r="R1519" i="8"/>
  <c r="S1519" i="8" s="1"/>
  <c r="U1519" i="8"/>
  <c r="W1518" i="8"/>
  <c r="R1517" i="8"/>
  <c r="S1517" i="8" s="1"/>
  <c r="U1517" i="8"/>
  <c r="W1516" i="8"/>
  <c r="R1515" i="8"/>
  <c r="S1515" i="8" s="1"/>
  <c r="U1515" i="8"/>
  <c r="W1514" i="8"/>
  <c r="R1513" i="8"/>
  <c r="S1513" i="8" s="1"/>
  <c r="U1513" i="8"/>
  <c r="W1512" i="8"/>
  <c r="R1511" i="8"/>
  <c r="S1511" i="8" s="1"/>
  <c r="U1511" i="8"/>
  <c r="W1510" i="8"/>
  <c r="R1509" i="8"/>
  <c r="S1509" i="8" s="1"/>
  <c r="U1509" i="8"/>
  <c r="W1508" i="8"/>
  <c r="R1507" i="8"/>
  <c r="U1507" i="8"/>
  <c r="Q34" i="5" s="1"/>
  <c r="W1505" i="8"/>
  <c r="O1504" i="8"/>
  <c r="U1504" i="8"/>
  <c r="W1503" i="8"/>
  <c r="U1502" i="8"/>
  <c r="W1501" i="8"/>
  <c r="O1500" i="8"/>
  <c r="U1500" i="8"/>
  <c r="W1499" i="8"/>
  <c r="U1498" i="8"/>
  <c r="W1497" i="8"/>
  <c r="O1496" i="8"/>
  <c r="U1496" i="8"/>
  <c r="W1495" i="8"/>
  <c r="U1494" i="8"/>
  <c r="W1493" i="8"/>
  <c r="O1492" i="8"/>
  <c r="U1492" i="8"/>
  <c r="W1491" i="8"/>
  <c r="U1490" i="8"/>
  <c r="W1489" i="8"/>
  <c r="O1488" i="8"/>
  <c r="U1488" i="8"/>
  <c r="W1487" i="8"/>
  <c r="U1486" i="8"/>
  <c r="W1485" i="8"/>
  <c r="O1484" i="8"/>
  <c r="U1484" i="8"/>
  <c r="W1483" i="8"/>
  <c r="U1482" i="8"/>
  <c r="W1481" i="8"/>
  <c r="O1480" i="8"/>
  <c r="U1480" i="8"/>
  <c r="Q57" i="5" s="1"/>
  <c r="W1479" i="8"/>
  <c r="O1476" i="8"/>
  <c r="O1472" i="8"/>
  <c r="O1468" i="8"/>
  <c r="O1464" i="8"/>
  <c r="O1460" i="8"/>
  <c r="O1456" i="8"/>
  <c r="O1452" i="8"/>
  <c r="O1448" i="8"/>
  <c r="O1446" i="8"/>
  <c r="R1446" i="8" s="1"/>
  <c r="S1446" i="8" s="1"/>
  <c r="R1444" i="8"/>
  <c r="S1444" i="8" s="1"/>
  <c r="R1442" i="8"/>
  <c r="S1442" i="8" s="1"/>
  <c r="R1440" i="8"/>
  <c r="S1440" i="8" s="1"/>
  <c r="R1438" i="8"/>
  <c r="S1438" i="8" s="1"/>
  <c r="R1436" i="8"/>
  <c r="S1436" i="8" s="1"/>
  <c r="R1434" i="8"/>
  <c r="S1434" i="8" s="1"/>
  <c r="R1432" i="8"/>
  <c r="S1432" i="8" s="1"/>
  <c r="R1430" i="8"/>
  <c r="S1430" i="8" s="1"/>
  <c r="R1428" i="8"/>
  <c r="S1428" i="8" s="1"/>
  <c r="R1426" i="8"/>
  <c r="R1424" i="8"/>
  <c r="S1424" i="8" s="1"/>
  <c r="R1422" i="8"/>
  <c r="S1422" i="8" s="1"/>
  <c r="R1420" i="8"/>
  <c r="S1420" i="8" s="1"/>
  <c r="R1418" i="8"/>
  <c r="S1418" i="8" s="1"/>
  <c r="R1416" i="8"/>
  <c r="S1416" i="8" s="1"/>
  <c r="R1414" i="8"/>
  <c r="S1414" i="8" s="1"/>
  <c r="R1412" i="8"/>
  <c r="S1412" i="8" s="1"/>
  <c r="R1410" i="8"/>
  <c r="S1410" i="8" s="1"/>
  <c r="R1408" i="8"/>
  <c r="S1408" i="8" s="1"/>
  <c r="R1406" i="8"/>
  <c r="S1406" i="8" s="1"/>
  <c r="R1404" i="8"/>
  <c r="S1404" i="8" s="1"/>
  <c r="R1402" i="8"/>
  <c r="S1402" i="8" s="1"/>
  <c r="R1400" i="8"/>
  <c r="S1400" i="8" s="1"/>
  <c r="R1398" i="8"/>
  <c r="S1398" i="8" s="1"/>
  <c r="R1396" i="8"/>
  <c r="S1396" i="8" s="1"/>
  <c r="R1394" i="8"/>
  <c r="S1394" i="8" s="1"/>
  <c r="R1392" i="8"/>
  <c r="S1392" i="8" s="1"/>
  <c r="R1390" i="8"/>
  <c r="S1390" i="8" s="1"/>
  <c r="R1388" i="8"/>
  <c r="S1388" i="8" s="1"/>
  <c r="R1386" i="8"/>
  <c r="S1386" i="8" s="1"/>
  <c r="R1384" i="8"/>
  <c r="S1384" i="8" s="1"/>
  <c r="R1382" i="8"/>
  <c r="R1380" i="8"/>
  <c r="S1380" i="8" s="1"/>
  <c r="R1378" i="8"/>
  <c r="S1378" i="8" s="1"/>
  <c r="R1376" i="8"/>
  <c r="S1376" i="8" s="1"/>
  <c r="R1374" i="8"/>
  <c r="S1374" i="8" s="1"/>
  <c r="R1372" i="8"/>
  <c r="S1372" i="8" s="1"/>
  <c r="R1370" i="8"/>
  <c r="S1370" i="8" s="1"/>
  <c r="R1368" i="8"/>
  <c r="S1368" i="8" s="1"/>
  <c r="R1366" i="8"/>
  <c r="S1366" i="8" s="1"/>
  <c r="R1364" i="8"/>
  <c r="S1364" i="8" s="1"/>
  <c r="R1362" i="8"/>
  <c r="S1362" i="8" s="1"/>
  <c r="R1360" i="8"/>
  <c r="S1360" i="8" s="1"/>
  <c r="R1358" i="8"/>
  <c r="S1358" i="8" s="1"/>
  <c r="R1356" i="8"/>
  <c r="S1356" i="8" s="1"/>
  <c r="R1354" i="8"/>
  <c r="S1354" i="8" s="1"/>
  <c r="R1352" i="8"/>
  <c r="S1352" i="8" s="1"/>
  <c r="R1350" i="8"/>
  <c r="S1350" i="8" s="1"/>
  <c r="R1348" i="8"/>
  <c r="S1348" i="8" s="1"/>
  <c r="R1346" i="8"/>
  <c r="S1346" i="8" s="1"/>
  <c r="R1344" i="8"/>
  <c r="S1344" i="8" s="1"/>
  <c r="R1342" i="8"/>
  <c r="S1342" i="8" s="1"/>
  <c r="R1340" i="8"/>
  <c r="S1340" i="8" s="1"/>
  <c r="R1338" i="8"/>
  <c r="S1338" i="8" s="1"/>
  <c r="R1336" i="8"/>
  <c r="S1336" i="8" s="1"/>
  <c r="R1334" i="8"/>
  <c r="S1334" i="8" s="1"/>
  <c r="R1332" i="8"/>
  <c r="S1332" i="8" s="1"/>
  <c r="R1330" i="8"/>
  <c r="O1328" i="8"/>
  <c r="R1328" i="8" s="1"/>
  <c r="S1328" i="8" s="1"/>
  <c r="O1326" i="8"/>
  <c r="R1326" i="8" s="1"/>
  <c r="S1326" i="8" s="1"/>
  <c r="O1324" i="8"/>
  <c r="R1324" i="8" s="1"/>
  <c r="S1324" i="8" s="1"/>
  <c r="O1322" i="8"/>
  <c r="R1322" i="8" s="1"/>
  <c r="S1322" i="8" s="1"/>
  <c r="O1320" i="8"/>
  <c r="R1320" i="8" s="1"/>
  <c r="S1320" i="8" s="1"/>
  <c r="O1318" i="8"/>
  <c r="R1318" i="8" s="1"/>
  <c r="S1318" i="8" s="1"/>
  <c r="O1316" i="8"/>
  <c r="R1316" i="8" s="1"/>
  <c r="S1316" i="8" s="1"/>
  <c r="O1314" i="8"/>
  <c r="R1314" i="8" s="1"/>
  <c r="S1314" i="8" s="1"/>
  <c r="O1312" i="8"/>
  <c r="R1312" i="8" s="1"/>
  <c r="S1312" i="8" s="1"/>
  <c r="O1310" i="8"/>
  <c r="R1310" i="8" s="1"/>
  <c r="S1310" i="8" s="1"/>
  <c r="O1308" i="8"/>
  <c r="R1308" i="8" s="1"/>
  <c r="S1308" i="8" s="1"/>
  <c r="O1306" i="8"/>
  <c r="R1306" i="8" s="1"/>
  <c r="S1306" i="8" s="1"/>
  <c r="O1304" i="8"/>
  <c r="R1304" i="8" s="1"/>
  <c r="S1304" i="8" s="1"/>
  <c r="O1302" i="8"/>
  <c r="R1302" i="8" s="1"/>
  <c r="S1302" i="8" s="1"/>
  <c r="O1300" i="8"/>
  <c r="R1300" i="8" s="1"/>
  <c r="S1300" i="8" s="1"/>
  <c r="O1298" i="8"/>
  <c r="R1298" i="8" s="1"/>
  <c r="S1298" i="8" s="1"/>
  <c r="O1296" i="8"/>
  <c r="R1296" i="8" s="1"/>
  <c r="S1296" i="8" s="1"/>
  <c r="O1294" i="8"/>
  <c r="R1294" i="8" s="1"/>
  <c r="S1294" i="8" s="1"/>
  <c r="O1292" i="8"/>
  <c r="R1292" i="8" s="1"/>
  <c r="S1292" i="8" s="1"/>
  <c r="O1290" i="8"/>
  <c r="R1290" i="8" s="1"/>
  <c r="S1290" i="8" s="1"/>
  <c r="R1287" i="8"/>
  <c r="S1287" i="8" s="1"/>
  <c r="R1285" i="8"/>
  <c r="S1285" i="8" s="1"/>
  <c r="R1283" i="8"/>
  <c r="S1283" i="8" s="1"/>
  <c r="R1281" i="8"/>
  <c r="S1281" i="8" s="1"/>
  <c r="R1279" i="8"/>
  <c r="S1279" i="8" s="1"/>
  <c r="R1277" i="8"/>
  <c r="S1277" i="8" s="1"/>
  <c r="R1275" i="8"/>
  <c r="S1275" i="8" s="1"/>
  <c r="R1273" i="8"/>
  <c r="S1273" i="8" s="1"/>
  <c r="O1271" i="8"/>
  <c r="O1269" i="8"/>
  <c r="R1269" i="8" s="1"/>
  <c r="S1269" i="8" s="1"/>
  <c r="O1267" i="8"/>
  <c r="R1267" i="8" s="1"/>
  <c r="S1267" i="8" s="1"/>
  <c r="O1265" i="8"/>
  <c r="R1265" i="8" s="1"/>
  <c r="S1265" i="8" s="1"/>
  <c r="O1263" i="8"/>
  <c r="R1263" i="8" s="1"/>
  <c r="S1263" i="8" s="1"/>
  <c r="R1261" i="8"/>
  <c r="S1261" i="8" s="1"/>
  <c r="O1259" i="8"/>
  <c r="O1257" i="8"/>
  <c r="R1257" i="8" s="1"/>
  <c r="S1257" i="8" s="1"/>
  <c r="R1255" i="8"/>
  <c r="S1255" i="8" s="1"/>
  <c r="R1253" i="8"/>
  <c r="S1253" i="8" s="1"/>
  <c r="R1251" i="8"/>
  <c r="S1251" i="8" s="1"/>
  <c r="O1249" i="8"/>
  <c r="R1249" i="8" s="1"/>
  <c r="S1249" i="8" s="1"/>
  <c r="O1247" i="8"/>
  <c r="R1247" i="8" s="1"/>
  <c r="S1247" i="8" s="1"/>
  <c r="O1245" i="8"/>
  <c r="R1245" i="8" s="1"/>
  <c r="S1245" i="8" s="1"/>
  <c r="O1243" i="8"/>
  <c r="R1243" i="8" s="1"/>
  <c r="S1243" i="8" s="1"/>
  <c r="O1241" i="8"/>
  <c r="R1241" i="8" s="1"/>
  <c r="S1241" i="8" s="1"/>
  <c r="O1239" i="8"/>
  <c r="R1239" i="8" s="1"/>
  <c r="S1239" i="8" s="1"/>
  <c r="O1237" i="8"/>
  <c r="R1237" i="8" s="1"/>
  <c r="S1237" i="8" s="1"/>
  <c r="O1235" i="8"/>
  <c r="R1235" i="8" s="1"/>
  <c r="S1235" i="8" s="1"/>
  <c r="O1233" i="8"/>
  <c r="R1233" i="8" s="1"/>
  <c r="S1233" i="8" s="1"/>
  <c r="O1231" i="8"/>
  <c r="R1231" i="8" s="1"/>
  <c r="S1231" i="8" s="1"/>
  <c r="O1229" i="8"/>
  <c r="R1229" i="8" s="1"/>
  <c r="S1229" i="8" s="1"/>
  <c r="O1227" i="8"/>
  <c r="R1227" i="8" s="1"/>
  <c r="S1227" i="8" s="1"/>
  <c r="O1225" i="8"/>
  <c r="R1225" i="8" s="1"/>
  <c r="S1225" i="8" s="1"/>
  <c r="O1223" i="8"/>
  <c r="R1223" i="8" s="1"/>
  <c r="S1223" i="8" s="1"/>
  <c r="O1221" i="8"/>
  <c r="R1221" i="8" s="1"/>
  <c r="S1221" i="8" s="1"/>
  <c r="R1219" i="8"/>
  <c r="S1219" i="8" s="1"/>
  <c r="R1217" i="8"/>
  <c r="S1217" i="8" s="1"/>
  <c r="R1215" i="8"/>
  <c r="S1215" i="8" s="1"/>
  <c r="R1213" i="8"/>
  <c r="S1213" i="8" s="1"/>
  <c r="R1211" i="8"/>
  <c r="S1211" i="8" s="1"/>
  <c r="R1209" i="8"/>
  <c r="R1207" i="8"/>
  <c r="S1207" i="8" s="1"/>
  <c r="R1205" i="8"/>
  <c r="S1205" i="8" s="1"/>
  <c r="R1203" i="8"/>
  <c r="S1203" i="8" s="1"/>
  <c r="R1201" i="8"/>
  <c r="S1201" i="8" s="1"/>
  <c r="R1199" i="8"/>
  <c r="S1199" i="8" s="1"/>
  <c r="R1197" i="8"/>
  <c r="S1197" i="8" s="1"/>
  <c r="R1195" i="8"/>
  <c r="S1195" i="8" s="1"/>
  <c r="R1193" i="8"/>
  <c r="S1193" i="8" s="1"/>
  <c r="R1191" i="8"/>
  <c r="S1191" i="8" s="1"/>
  <c r="R1189" i="8"/>
  <c r="S1189" i="8" s="1"/>
  <c r="R1187" i="8"/>
  <c r="S1187" i="8" s="1"/>
  <c r="R1185" i="8"/>
  <c r="S1185" i="8" s="1"/>
  <c r="R1183" i="8"/>
  <c r="S1183" i="8" s="1"/>
  <c r="R1181" i="8"/>
  <c r="S1181" i="8" s="1"/>
  <c r="R1179" i="8"/>
  <c r="S1179" i="8" s="1"/>
  <c r="R1177" i="8"/>
  <c r="O1175" i="8"/>
  <c r="R1175" i="8" s="1"/>
  <c r="S1175" i="8" s="1"/>
  <c r="O1173" i="8"/>
  <c r="R1173" i="8" s="1"/>
  <c r="S1173" i="8" s="1"/>
  <c r="O1171" i="8"/>
  <c r="R1171" i="8" s="1"/>
  <c r="S1171" i="8" s="1"/>
  <c r="O1169" i="8"/>
  <c r="R1169" i="8" s="1"/>
  <c r="S1169" i="8" s="1"/>
  <c r="O1167" i="8"/>
  <c r="R1167" i="8" s="1"/>
  <c r="S1167" i="8" s="1"/>
  <c r="O1165" i="8"/>
  <c r="R1165" i="8" s="1"/>
  <c r="S1165" i="8" s="1"/>
  <c r="O1163" i="8"/>
  <c r="R1163" i="8" s="1"/>
  <c r="S1163" i="8" s="1"/>
  <c r="O1161" i="8"/>
  <c r="R1161" i="8" s="1"/>
  <c r="S1161" i="8" s="1"/>
  <c r="O1159" i="8"/>
  <c r="R1159" i="8" s="1"/>
  <c r="S1159" i="8" s="1"/>
  <c r="O1157" i="8"/>
  <c r="R1157" i="8" s="1"/>
  <c r="S1157" i="8" s="1"/>
  <c r="O1155" i="8"/>
  <c r="R1155" i="8" s="1"/>
  <c r="S1155" i="8" s="1"/>
  <c r="O1153" i="8"/>
  <c r="R1153" i="8" s="1"/>
  <c r="S1153" i="8" s="1"/>
  <c r="O1151" i="8"/>
  <c r="R1151" i="8" s="1"/>
  <c r="S1151" i="8" s="1"/>
  <c r="R1149" i="8"/>
  <c r="S1149" i="8" s="1"/>
  <c r="R1147" i="8"/>
  <c r="S1147" i="8" s="1"/>
  <c r="R1145" i="8"/>
  <c r="S1145" i="8" s="1"/>
  <c r="R1143" i="8"/>
  <c r="S1143" i="8" s="1"/>
  <c r="R1141" i="8"/>
  <c r="S1141" i="8" s="1"/>
  <c r="O1139" i="8"/>
  <c r="O1137" i="8"/>
  <c r="R1137" i="8" s="1"/>
  <c r="S1137" i="8" s="1"/>
  <c r="O1135" i="8"/>
  <c r="R1135" i="8" s="1"/>
  <c r="S1135" i="8" s="1"/>
  <c r="O1133" i="8"/>
  <c r="R1133" i="8" s="1"/>
  <c r="S1133" i="8" s="1"/>
  <c r="R1131" i="8"/>
  <c r="S1131" i="8" s="1"/>
  <c r="R1129" i="8"/>
  <c r="S1129" i="8" s="1"/>
  <c r="R1127" i="8"/>
  <c r="S1127" i="8" s="1"/>
  <c r="R1125" i="8"/>
  <c r="R1123" i="8"/>
  <c r="S1123" i="8" s="1"/>
  <c r="R1121" i="8"/>
  <c r="S1121" i="8" s="1"/>
  <c r="R1116" i="8"/>
  <c r="S1116" i="8" s="1"/>
  <c r="R1112" i="8"/>
  <c r="S1112" i="8" s="1"/>
  <c r="R1108" i="8"/>
  <c r="S1108" i="8" s="1"/>
  <c r="R1104" i="8"/>
  <c r="S1104" i="8" s="1"/>
  <c r="R1100" i="8"/>
  <c r="S1100" i="8" s="1"/>
  <c r="R1096" i="8"/>
  <c r="S1096" i="8" s="1"/>
  <c r="R1092" i="8"/>
  <c r="S1092" i="8" s="1"/>
  <c r="R1088" i="8"/>
  <c r="S1088" i="8" s="1"/>
  <c r="R1084" i="8"/>
  <c r="S1084" i="8" s="1"/>
  <c r="R1081" i="8"/>
  <c r="S1081" i="8" s="1"/>
  <c r="R1077" i="8"/>
  <c r="S1077" i="8" s="1"/>
  <c r="R1073" i="8"/>
  <c r="S1073" i="8" s="1"/>
  <c r="R1069" i="8"/>
  <c r="S1069" i="8" s="1"/>
  <c r="R1065" i="8"/>
  <c r="S1065" i="8" s="1"/>
  <c r="R1062" i="8"/>
  <c r="S1062" i="8" s="1"/>
  <c r="R1058" i="8"/>
  <c r="S1058" i="8" s="1"/>
  <c r="R1054" i="8"/>
  <c r="S1054" i="8" s="1"/>
  <c r="R1050" i="8"/>
  <c r="S1050" i="8" s="1"/>
  <c r="R1046" i="8"/>
  <c r="S1046" i="8" s="1"/>
  <c r="R1043" i="8"/>
  <c r="S1043" i="8" s="1"/>
  <c r="R1039" i="8"/>
  <c r="S1039" i="8" s="1"/>
  <c r="R1035" i="8"/>
  <c r="S1035" i="8" s="1"/>
  <c r="R1031" i="8"/>
  <c r="S1031" i="8" s="1"/>
  <c r="R1027" i="8"/>
  <c r="S1027" i="8" s="1"/>
  <c r="R1023" i="8"/>
  <c r="S1023" i="8" s="1"/>
  <c r="R1019" i="8"/>
  <c r="S1019" i="8" s="1"/>
  <c r="R1008" i="8"/>
  <c r="S1008" i="8" s="1"/>
  <c r="O1009" i="8"/>
  <c r="R1000" i="8"/>
  <c r="S1000" i="8" s="1"/>
  <c r="O1001" i="8"/>
  <c r="R994" i="8"/>
  <c r="S994" i="8" s="1"/>
  <c r="O995" i="8"/>
  <c r="R984" i="8"/>
  <c r="S984" i="8" s="1"/>
  <c r="O985" i="8"/>
  <c r="R978" i="8"/>
  <c r="S978" i="8" s="1"/>
  <c r="R969" i="8"/>
  <c r="S969" i="8" s="1"/>
  <c r="R962" i="8"/>
  <c r="S962" i="8" s="1"/>
  <c r="R958" i="8"/>
  <c r="S958" i="8" s="1"/>
  <c r="R954" i="8"/>
  <c r="S954" i="8" s="1"/>
  <c r="R951" i="8"/>
  <c r="S951" i="8" s="1"/>
  <c r="R947" i="8"/>
  <c r="S947" i="8" s="1"/>
  <c r="R943" i="8"/>
  <c r="S943" i="8" s="1"/>
  <c r="R939" i="8"/>
  <c r="S939" i="8" s="1"/>
  <c r="R935" i="8"/>
  <c r="S935" i="8" s="1"/>
  <c r="R931" i="8"/>
  <c r="S931" i="8" s="1"/>
  <c r="R927" i="8"/>
  <c r="S927" i="8" s="1"/>
  <c r="R920" i="8"/>
  <c r="S920" i="8" s="1"/>
  <c r="R916" i="8"/>
  <c r="S916" i="8" s="1"/>
  <c r="R912" i="8"/>
  <c r="S912" i="8" s="1"/>
  <c r="R908" i="8"/>
  <c r="S908" i="8" s="1"/>
  <c r="R904" i="8"/>
  <c r="S904" i="8" s="1"/>
  <c r="R900" i="8"/>
  <c r="S900" i="8" s="1"/>
  <c r="R896" i="8"/>
  <c r="S896" i="8" s="1"/>
  <c r="R889" i="8"/>
  <c r="S889" i="8" s="1"/>
  <c r="R886" i="8"/>
  <c r="S886" i="8" s="1"/>
  <c r="R882" i="8"/>
  <c r="S882" i="8" s="1"/>
  <c r="R878" i="8"/>
  <c r="S878" i="8" s="1"/>
  <c r="R874" i="8"/>
  <c r="S874" i="8" s="1"/>
  <c r="R870" i="8"/>
  <c r="S870" i="8" s="1"/>
  <c r="U868" i="8"/>
  <c r="O868" i="8"/>
  <c r="R868" i="8" s="1"/>
  <c r="S868" i="8" s="1"/>
  <c r="U866" i="8"/>
  <c r="O866" i="8"/>
  <c r="R866" i="8" s="1"/>
  <c r="S866" i="8" s="1"/>
  <c r="U864" i="8"/>
  <c r="O864" i="8"/>
  <c r="R864" i="8" s="1"/>
  <c r="S864" i="8" s="1"/>
  <c r="U862" i="8"/>
  <c r="O862" i="8"/>
  <c r="R862" i="8" s="1"/>
  <c r="S862" i="8" s="1"/>
  <c r="O860" i="8"/>
  <c r="R860" i="8" s="1"/>
  <c r="S860" i="8" s="1"/>
  <c r="U858" i="8"/>
  <c r="R858" i="8"/>
  <c r="S858" i="8" s="1"/>
  <c r="W857" i="8"/>
  <c r="R856" i="8"/>
  <c r="S856" i="8" s="1"/>
  <c r="R852" i="8"/>
  <c r="S852" i="8" s="1"/>
  <c r="R849" i="8"/>
  <c r="S849" i="8" s="1"/>
  <c r="R845" i="8"/>
  <c r="S845" i="8" s="1"/>
  <c r="R842" i="8"/>
  <c r="S842" i="8" s="1"/>
  <c r="O843" i="8"/>
  <c r="R843" i="8" s="1"/>
  <c r="S843" i="8" s="1"/>
  <c r="R839" i="8"/>
  <c r="S839" i="8" s="1"/>
  <c r="O840" i="8"/>
  <c r="R840" i="8" s="1"/>
  <c r="S840" i="8" s="1"/>
  <c r="R835" i="8"/>
  <c r="S835" i="8" s="1"/>
  <c r="R828" i="8"/>
  <c r="S828" i="8" s="1"/>
  <c r="R824" i="8"/>
  <c r="S824" i="8" s="1"/>
  <c r="R820" i="8"/>
  <c r="S820" i="8" s="1"/>
  <c r="R816" i="8"/>
  <c r="S816" i="8" s="1"/>
  <c r="R812" i="8"/>
  <c r="S812" i="8" s="1"/>
  <c r="R808" i="8"/>
  <c r="S808" i="8" s="1"/>
  <c r="R804" i="8"/>
  <c r="S804" i="8" s="1"/>
  <c r="R800" i="8"/>
  <c r="S800" i="8" s="1"/>
  <c r="R796" i="8"/>
  <c r="S796" i="8" s="1"/>
  <c r="R792" i="8"/>
  <c r="S792" i="8" s="1"/>
  <c r="R788" i="8"/>
  <c r="S788" i="8" s="1"/>
  <c r="R784" i="8"/>
  <c r="S784" i="8" s="1"/>
  <c r="R780" i="8"/>
  <c r="S780" i="8" s="1"/>
  <c r="R774" i="8"/>
  <c r="S774" i="8" s="1"/>
  <c r="O775" i="8"/>
  <c r="U769" i="8"/>
  <c r="R769" i="8"/>
  <c r="S769" i="8" s="1"/>
  <c r="O770" i="8"/>
  <c r="R770" i="8" s="1"/>
  <c r="S770" i="8" s="1"/>
  <c r="U767" i="8"/>
  <c r="R767" i="8"/>
  <c r="S767" i="8" s="1"/>
  <c r="U765" i="8"/>
  <c r="R765" i="8"/>
  <c r="S765" i="8" s="1"/>
  <c r="U763" i="8"/>
  <c r="R763" i="8"/>
  <c r="S763" i="8" s="1"/>
  <c r="U761" i="8"/>
  <c r="O761" i="8"/>
  <c r="U759" i="8"/>
  <c r="O759" i="8"/>
  <c r="R759" i="8" s="1"/>
  <c r="S759" i="8" s="1"/>
  <c r="U757" i="8"/>
  <c r="O757" i="8"/>
  <c r="R757" i="8" s="1"/>
  <c r="S757" i="8" s="1"/>
  <c r="U755" i="8"/>
  <c r="R755" i="8"/>
  <c r="S755" i="8" s="1"/>
  <c r="U753" i="8"/>
  <c r="R753" i="8"/>
  <c r="S753" i="8" s="1"/>
  <c r="U751" i="8"/>
  <c r="O751" i="8"/>
  <c r="U749" i="8"/>
  <c r="R749" i="8"/>
  <c r="S749" i="8" s="1"/>
  <c r="U747" i="8"/>
  <c r="U745" i="8"/>
  <c r="U743" i="8"/>
  <c r="O743" i="8"/>
  <c r="U741" i="8"/>
  <c r="R741" i="8"/>
  <c r="S741" i="8" s="1"/>
  <c r="U739" i="8"/>
  <c r="U737" i="8"/>
  <c r="U735" i="8"/>
  <c r="U733" i="8"/>
  <c r="O733" i="8"/>
  <c r="U731" i="8"/>
  <c r="O731" i="8"/>
  <c r="R731" i="8" s="1"/>
  <c r="S731" i="8" s="1"/>
  <c r="U729" i="8"/>
  <c r="O729" i="8"/>
  <c r="R729" i="8" s="1"/>
  <c r="S729" i="8" s="1"/>
  <c r="U727" i="8"/>
  <c r="R727" i="8"/>
  <c r="S727" i="8" s="1"/>
  <c r="U725" i="8"/>
  <c r="R725" i="8"/>
  <c r="S725" i="8" s="1"/>
  <c r="U723" i="8"/>
  <c r="R723" i="8"/>
  <c r="S723" i="8" s="1"/>
  <c r="U721" i="8"/>
  <c r="O721" i="8"/>
  <c r="R721" i="8" s="1"/>
  <c r="S721" i="8" s="1"/>
  <c r="U719" i="8"/>
  <c r="O719" i="8"/>
  <c r="R719" i="8" s="1"/>
  <c r="S719" i="8" s="1"/>
  <c r="U717" i="8"/>
  <c r="O717" i="8"/>
  <c r="R717" i="8" s="1"/>
  <c r="S717" i="8" s="1"/>
  <c r="U715" i="8"/>
  <c r="O715" i="8"/>
  <c r="R715" i="8" s="1"/>
  <c r="S715" i="8" s="1"/>
  <c r="U713" i="8"/>
  <c r="O713" i="8"/>
  <c r="R713" i="8" s="1"/>
  <c r="S713" i="8" s="1"/>
  <c r="U711" i="8"/>
  <c r="O711" i="8"/>
  <c r="R711" i="8" s="1"/>
  <c r="S711" i="8" s="1"/>
  <c r="U709" i="8"/>
  <c r="O709" i="8"/>
  <c r="R709" i="8" s="1"/>
  <c r="S709" i="8" s="1"/>
  <c r="U707" i="8"/>
  <c r="O707" i="8"/>
  <c r="R707" i="8" s="1"/>
  <c r="S707" i="8" s="1"/>
  <c r="U705" i="8"/>
  <c r="O705" i="8"/>
  <c r="R705" i="8" s="1"/>
  <c r="S705" i="8" s="1"/>
  <c r="U703" i="8"/>
  <c r="O703" i="8"/>
  <c r="R703" i="8" s="1"/>
  <c r="S703" i="8" s="1"/>
  <c r="U701" i="8"/>
  <c r="O701" i="8"/>
  <c r="R701" i="8" s="1"/>
  <c r="S701" i="8" s="1"/>
  <c r="U699" i="8"/>
  <c r="O699" i="8"/>
  <c r="R699" i="8" s="1"/>
  <c r="S699" i="8" s="1"/>
  <c r="U697" i="8"/>
  <c r="O697" i="8"/>
  <c r="R697" i="8" s="1"/>
  <c r="S697" i="8" s="1"/>
  <c r="O695" i="8"/>
  <c r="R695" i="8" s="1"/>
  <c r="S695" i="8" s="1"/>
  <c r="U693" i="8"/>
  <c r="O693" i="8"/>
  <c r="R693" i="8" s="1"/>
  <c r="S693" i="8" s="1"/>
  <c r="U691" i="8"/>
  <c r="O691" i="8"/>
  <c r="R691" i="8" s="1"/>
  <c r="S691" i="8" s="1"/>
  <c r="U689" i="8"/>
  <c r="O689" i="8"/>
  <c r="R689" i="8" s="1"/>
  <c r="S689" i="8" s="1"/>
  <c r="U687" i="8"/>
  <c r="O687" i="8"/>
  <c r="R687" i="8" s="1"/>
  <c r="S687" i="8" s="1"/>
  <c r="U685" i="8"/>
  <c r="O685" i="8"/>
  <c r="R685" i="8" s="1"/>
  <c r="S685" i="8" s="1"/>
  <c r="U683" i="8"/>
  <c r="O683" i="8"/>
  <c r="R683" i="8" s="1"/>
  <c r="S683" i="8" s="1"/>
  <c r="U681" i="8"/>
  <c r="O681" i="8"/>
  <c r="R681" i="8" s="1"/>
  <c r="S681" i="8" s="1"/>
  <c r="U679" i="8"/>
  <c r="O679" i="8"/>
  <c r="R679" i="8" s="1"/>
  <c r="S679" i="8" s="1"/>
  <c r="U677" i="8"/>
  <c r="O677" i="8"/>
  <c r="R677" i="8" s="1"/>
  <c r="S677" i="8" s="1"/>
  <c r="U675" i="8"/>
  <c r="O675" i="8"/>
  <c r="R675" i="8" s="1"/>
  <c r="S675" i="8" s="1"/>
  <c r="U673" i="8"/>
  <c r="O673" i="8"/>
  <c r="R673" i="8" s="1"/>
  <c r="S673" i="8" s="1"/>
  <c r="U671" i="8"/>
  <c r="O671" i="8"/>
  <c r="R671" i="8" s="1"/>
  <c r="S671" i="8" s="1"/>
  <c r="O669" i="8"/>
  <c r="R669" i="8" s="1"/>
  <c r="S669" i="8" s="1"/>
  <c r="O667" i="8"/>
  <c r="R667" i="8" s="1"/>
  <c r="S667" i="8" s="1"/>
  <c r="O665" i="8"/>
  <c r="R665" i="8" s="1"/>
  <c r="S665" i="8" s="1"/>
  <c r="O663" i="8"/>
  <c r="R663" i="8" s="1"/>
  <c r="S663" i="8" s="1"/>
  <c r="O661" i="8"/>
  <c r="R661" i="8" s="1"/>
  <c r="S661" i="8" s="1"/>
  <c r="O659" i="8"/>
  <c r="R659" i="8" s="1"/>
  <c r="S659" i="8" s="1"/>
  <c r="O651" i="8"/>
  <c r="O649" i="8"/>
  <c r="R649" i="8" s="1"/>
  <c r="S649" i="8" s="1"/>
  <c r="O637" i="8"/>
  <c r="O635" i="8"/>
  <c r="R635" i="8" s="1"/>
  <c r="S635" i="8" s="1"/>
  <c r="O633" i="8"/>
  <c r="R633" i="8" s="1"/>
  <c r="S633" i="8" s="1"/>
  <c r="O631" i="8"/>
  <c r="R631" i="8" s="1"/>
  <c r="S631" i="8" s="1"/>
  <c r="O629" i="8"/>
  <c r="R629" i="8" s="1"/>
  <c r="S629" i="8" s="1"/>
  <c r="O627" i="8"/>
  <c r="R627" i="8" s="1"/>
  <c r="S627" i="8" s="1"/>
  <c r="O625" i="8"/>
  <c r="R625" i="8" s="1"/>
  <c r="S625" i="8" s="1"/>
  <c r="O623" i="8"/>
  <c r="R623" i="8" s="1"/>
  <c r="S623" i="8" s="1"/>
  <c r="O621" i="8"/>
  <c r="R621" i="8" s="1"/>
  <c r="S621" i="8" s="1"/>
  <c r="O619" i="8"/>
  <c r="R619" i="8" s="1"/>
  <c r="S619" i="8" s="1"/>
  <c r="O617" i="8"/>
  <c r="R617" i="8" s="1"/>
  <c r="S617" i="8" s="1"/>
  <c r="O615" i="8"/>
  <c r="R615" i="8" s="1"/>
  <c r="S615" i="8" s="1"/>
  <c r="O613" i="8"/>
  <c r="R613" i="8" s="1"/>
  <c r="S613" i="8" s="1"/>
  <c r="O611" i="8"/>
  <c r="R611" i="8" s="1"/>
  <c r="S611" i="8" s="1"/>
  <c r="O609" i="8"/>
  <c r="R609" i="8" s="1"/>
  <c r="S609" i="8" s="1"/>
  <c r="O607" i="8"/>
  <c r="R607" i="8" s="1"/>
  <c r="S607" i="8" s="1"/>
  <c r="O605" i="8"/>
  <c r="R605" i="8" s="1"/>
  <c r="S605" i="8" s="1"/>
  <c r="O603" i="8"/>
  <c r="R603" i="8" s="1"/>
  <c r="S603" i="8" s="1"/>
  <c r="O601" i="8"/>
  <c r="R601" i="8" s="1"/>
  <c r="S601" i="8" s="1"/>
  <c r="O599" i="8"/>
  <c r="R599" i="8" s="1"/>
  <c r="S599" i="8" s="1"/>
  <c r="O597" i="8"/>
  <c r="R597" i="8" s="1"/>
  <c r="S597" i="8" s="1"/>
  <c r="O595" i="8"/>
  <c r="R595" i="8" s="1"/>
  <c r="S595" i="8" s="1"/>
  <c r="O593" i="8"/>
  <c r="R593" i="8" s="1"/>
  <c r="S593" i="8" s="1"/>
  <c r="O591" i="8"/>
  <c r="R591" i="8" s="1"/>
  <c r="S591" i="8" s="1"/>
  <c r="O589" i="8"/>
  <c r="R589" i="8" s="1"/>
  <c r="S589" i="8" s="1"/>
  <c r="O587" i="8"/>
  <c r="R587" i="8" s="1"/>
  <c r="S587" i="8" s="1"/>
  <c r="O585" i="8"/>
  <c r="R585" i="8" s="1"/>
  <c r="S585" i="8" s="1"/>
  <c r="O583" i="8"/>
  <c r="R583" i="8" s="1"/>
  <c r="S583" i="8" s="1"/>
  <c r="O581" i="8"/>
  <c r="R581" i="8" s="1"/>
  <c r="S581" i="8" s="1"/>
  <c r="O579" i="8"/>
  <c r="R579" i="8" s="1"/>
  <c r="S579" i="8" s="1"/>
  <c r="O577" i="8"/>
  <c r="R577" i="8" s="1"/>
  <c r="S577" i="8" s="1"/>
  <c r="O575" i="8"/>
  <c r="R575" i="8" s="1"/>
  <c r="S575" i="8" s="1"/>
  <c r="O573" i="8"/>
  <c r="R573" i="8" s="1"/>
  <c r="S573" i="8" s="1"/>
  <c r="O571" i="8"/>
  <c r="R571" i="8" s="1"/>
  <c r="S571" i="8" s="1"/>
  <c r="O569" i="8"/>
  <c r="R569" i="8" s="1"/>
  <c r="S569" i="8" s="1"/>
  <c r="O567" i="8"/>
  <c r="R567" i="8" s="1"/>
  <c r="S567" i="8" s="1"/>
  <c r="O565" i="8"/>
  <c r="R565" i="8" s="1"/>
  <c r="S565" i="8" s="1"/>
  <c r="O563" i="8"/>
  <c r="R563" i="8" s="1"/>
  <c r="S563" i="8" s="1"/>
  <c r="O561" i="8"/>
  <c r="R561" i="8" s="1"/>
  <c r="S561" i="8" s="1"/>
  <c r="O559" i="8"/>
  <c r="R559" i="8" s="1"/>
  <c r="S559" i="8" s="1"/>
  <c r="U557" i="8"/>
  <c r="O557" i="8"/>
  <c r="R557" i="8" s="1"/>
  <c r="S557" i="8" s="1"/>
  <c r="U555" i="8"/>
  <c r="O555" i="8"/>
  <c r="R555" i="8" s="1"/>
  <c r="S555" i="8" s="1"/>
  <c r="U553" i="8"/>
  <c r="O553" i="8"/>
  <c r="R553" i="8" s="1"/>
  <c r="S553" i="8" s="1"/>
  <c r="U551" i="8"/>
  <c r="O551" i="8"/>
  <c r="R551" i="8" s="1"/>
  <c r="S551" i="8" s="1"/>
  <c r="U549" i="8"/>
  <c r="O549" i="8"/>
  <c r="R549" i="8" s="1"/>
  <c r="S549" i="8" s="1"/>
  <c r="U547" i="8"/>
  <c r="O547" i="8"/>
  <c r="R547" i="8" s="1"/>
  <c r="S547" i="8" s="1"/>
  <c r="U545" i="8"/>
  <c r="O545" i="8"/>
  <c r="R545" i="8" s="1"/>
  <c r="S545" i="8" s="1"/>
  <c r="U543" i="8"/>
  <c r="O543" i="8"/>
  <c r="R543" i="8" s="1"/>
  <c r="S543" i="8" s="1"/>
  <c r="U541" i="8"/>
  <c r="O541" i="8"/>
  <c r="R541" i="8" s="1"/>
  <c r="S541" i="8" s="1"/>
  <c r="U539" i="8"/>
  <c r="O539" i="8"/>
  <c r="R539" i="8" s="1"/>
  <c r="S539" i="8" s="1"/>
  <c r="U537" i="8"/>
  <c r="O537" i="8"/>
  <c r="R537" i="8" s="1"/>
  <c r="S537" i="8" s="1"/>
  <c r="U535" i="8"/>
  <c r="O535" i="8"/>
  <c r="R535" i="8" s="1"/>
  <c r="S535" i="8" s="1"/>
  <c r="U533" i="8"/>
  <c r="R533" i="8"/>
  <c r="S533" i="8" s="1"/>
  <c r="U531" i="8"/>
  <c r="O531" i="8"/>
  <c r="U529" i="8"/>
  <c r="O529" i="8"/>
  <c r="R529" i="8" s="1"/>
  <c r="S529" i="8" s="1"/>
  <c r="U527" i="8"/>
  <c r="O527" i="8"/>
  <c r="R527" i="8" s="1"/>
  <c r="S527" i="8" s="1"/>
  <c r="U525" i="8"/>
  <c r="O525" i="8"/>
  <c r="R525" i="8" s="1"/>
  <c r="S525" i="8" s="1"/>
  <c r="U523" i="8"/>
  <c r="R523" i="8"/>
  <c r="S523" i="8" s="1"/>
  <c r="U521" i="8"/>
  <c r="R521" i="8"/>
  <c r="S521" i="8" s="1"/>
  <c r="U519" i="8"/>
  <c r="R519" i="8"/>
  <c r="S519" i="8" s="1"/>
  <c r="U517" i="8"/>
  <c r="Q9" i="5" s="1"/>
  <c r="F33" i="4" s="1"/>
  <c r="R517" i="8"/>
  <c r="U515" i="8"/>
  <c r="R515" i="8"/>
  <c r="S515" i="8" s="1"/>
  <c r="U513" i="8"/>
  <c r="R513" i="8"/>
  <c r="S513" i="8" s="1"/>
  <c r="U511" i="8"/>
  <c r="R511" i="8"/>
  <c r="S511" i="8" s="1"/>
  <c r="U509" i="8"/>
  <c r="R509" i="8"/>
  <c r="S509" i="8" s="1"/>
  <c r="U507" i="8"/>
  <c r="R507" i="8"/>
  <c r="S507" i="8" s="1"/>
  <c r="U505" i="8"/>
  <c r="R505" i="8"/>
  <c r="S505" i="8" s="1"/>
  <c r="U503" i="8"/>
  <c r="R503" i="8"/>
  <c r="S503" i="8" s="1"/>
  <c r="U501" i="8"/>
  <c r="R501" i="8"/>
  <c r="S501" i="8" s="1"/>
  <c r="U499" i="8"/>
  <c r="R499" i="8"/>
  <c r="S499" i="8" s="1"/>
  <c r="U497" i="8"/>
  <c r="R497" i="8"/>
  <c r="S497" i="8" s="1"/>
  <c r="U495" i="8"/>
  <c r="R495" i="8"/>
  <c r="S495" i="8" s="1"/>
  <c r="U493" i="8"/>
  <c r="R493" i="8"/>
  <c r="S493" i="8" s="1"/>
  <c r="U491" i="8"/>
  <c r="R491" i="8"/>
  <c r="S491" i="8" s="1"/>
  <c r="U489" i="8"/>
  <c r="Q8" i="5" s="1"/>
  <c r="R489" i="8"/>
  <c r="U487" i="8"/>
  <c r="R487" i="8"/>
  <c r="S487" i="8" s="1"/>
  <c r="U485" i="8"/>
  <c r="R485" i="8"/>
  <c r="S485" i="8" s="1"/>
  <c r="U483" i="8"/>
  <c r="R483" i="8"/>
  <c r="S483" i="8" s="1"/>
  <c r="U481" i="8"/>
  <c r="R481" i="8"/>
  <c r="S481" i="8" s="1"/>
  <c r="U479" i="8"/>
  <c r="R479" i="8"/>
  <c r="S479" i="8" s="1"/>
  <c r="U477" i="8"/>
  <c r="R477" i="8"/>
  <c r="S477" i="8" s="1"/>
  <c r="U475" i="8"/>
  <c r="R475" i="8"/>
  <c r="S475" i="8" s="1"/>
  <c r="U473" i="8"/>
  <c r="R473" i="8"/>
  <c r="S473" i="8" s="1"/>
  <c r="U471" i="8"/>
  <c r="R471" i="8"/>
  <c r="S471" i="8" s="1"/>
  <c r="U469" i="8"/>
  <c r="R469" i="8"/>
  <c r="S469" i="8" s="1"/>
  <c r="U467" i="8"/>
  <c r="R467" i="8"/>
  <c r="S467" i="8" s="1"/>
  <c r="U465" i="8"/>
  <c r="R465" i="8"/>
  <c r="S465" i="8" s="1"/>
  <c r="U463" i="8"/>
  <c r="R463" i="8"/>
  <c r="S463" i="8" s="1"/>
  <c r="U461" i="8"/>
  <c r="Q104" i="5" s="1"/>
  <c r="E57" i="4" s="1"/>
  <c r="R461" i="8"/>
  <c r="U459" i="8"/>
  <c r="R459" i="8"/>
  <c r="S459" i="8" s="1"/>
  <c r="U457" i="8"/>
  <c r="R457" i="8"/>
  <c r="S457" i="8" s="1"/>
  <c r="U455" i="8"/>
  <c r="R455" i="8"/>
  <c r="S455" i="8" s="1"/>
  <c r="U453" i="8"/>
  <c r="R453" i="8"/>
  <c r="S453" i="8" s="1"/>
  <c r="U451" i="8"/>
  <c r="R451" i="8"/>
  <c r="S451" i="8" s="1"/>
  <c r="U449" i="8"/>
  <c r="R449" i="8"/>
  <c r="S449" i="8" s="1"/>
  <c r="U447" i="8"/>
  <c r="R447" i="8"/>
  <c r="S447" i="8" s="1"/>
  <c r="U445" i="8"/>
  <c r="R445" i="8"/>
  <c r="S445" i="8" s="1"/>
  <c r="U443" i="8"/>
  <c r="R443" i="8"/>
  <c r="S443" i="8" s="1"/>
  <c r="U441" i="8"/>
  <c r="R441" i="8"/>
  <c r="S441" i="8" s="1"/>
  <c r="U439" i="8"/>
  <c r="R439" i="8"/>
  <c r="S439" i="8" s="1"/>
  <c r="U437" i="8"/>
  <c r="R437" i="8"/>
  <c r="S437" i="8" s="1"/>
  <c r="U435" i="8"/>
  <c r="R435" i="8"/>
  <c r="S435" i="8" s="1"/>
  <c r="U433" i="8"/>
  <c r="R433" i="8"/>
  <c r="S433" i="8" s="1"/>
  <c r="U431" i="8"/>
  <c r="R431" i="8"/>
  <c r="S431" i="8" s="1"/>
  <c r="U429" i="8"/>
  <c r="R429" i="8"/>
  <c r="S429" i="8" s="1"/>
  <c r="U427" i="8"/>
  <c r="O427" i="8"/>
  <c r="R427" i="8" s="1"/>
  <c r="S427" i="8" s="1"/>
  <c r="U425" i="8"/>
  <c r="O425" i="8"/>
  <c r="R425" i="8" s="1"/>
  <c r="S425" i="8" s="1"/>
  <c r="U423" i="8"/>
  <c r="O423" i="8"/>
  <c r="R423" i="8" s="1"/>
  <c r="S423" i="8" s="1"/>
  <c r="U421" i="8"/>
  <c r="O421" i="8"/>
  <c r="R421" i="8" s="1"/>
  <c r="S421" i="8" s="1"/>
  <c r="U419" i="8"/>
  <c r="R419" i="8"/>
  <c r="S419" i="8" s="1"/>
  <c r="U417" i="8"/>
  <c r="R417" i="8"/>
  <c r="S417" i="8" s="1"/>
  <c r="U415" i="8"/>
  <c r="R415" i="8"/>
  <c r="S415" i="8" s="1"/>
  <c r="U413" i="8"/>
  <c r="R413" i="8"/>
  <c r="S413" i="8" s="1"/>
  <c r="U411" i="8"/>
  <c r="R411" i="8"/>
  <c r="S411" i="8" s="1"/>
  <c r="U409" i="8"/>
  <c r="R409" i="8"/>
  <c r="S409" i="8" s="1"/>
  <c r="O407" i="8"/>
  <c r="R407" i="8" s="1"/>
  <c r="S407" i="8" s="1"/>
  <c r="U405" i="8"/>
  <c r="O405" i="8"/>
  <c r="R405" i="8" s="1"/>
  <c r="S405" i="8" s="1"/>
  <c r="U403" i="8"/>
  <c r="O403" i="8"/>
  <c r="R403" i="8" s="1"/>
  <c r="S403" i="8" s="1"/>
  <c r="U401" i="8"/>
  <c r="O401" i="8"/>
  <c r="R401" i="8" s="1"/>
  <c r="S401" i="8" s="1"/>
  <c r="U399" i="8"/>
  <c r="O399" i="8"/>
  <c r="R399" i="8" s="1"/>
  <c r="S399" i="8" s="1"/>
  <c r="U397" i="8"/>
  <c r="O397" i="8"/>
  <c r="R397" i="8" s="1"/>
  <c r="S397" i="8" s="1"/>
  <c r="U395" i="8"/>
  <c r="U393" i="8"/>
  <c r="O393" i="8"/>
  <c r="U391" i="8"/>
  <c r="O391" i="8"/>
  <c r="R391" i="8" s="1"/>
  <c r="S391" i="8" s="1"/>
  <c r="U389" i="8"/>
  <c r="O389" i="8"/>
  <c r="R389" i="8" s="1"/>
  <c r="S389" i="8" s="1"/>
  <c r="U387" i="8"/>
  <c r="R387" i="8"/>
  <c r="S387" i="8" s="1"/>
  <c r="U385" i="8"/>
  <c r="R385" i="8"/>
  <c r="S385" i="8" s="1"/>
  <c r="U383" i="8"/>
  <c r="R383" i="8"/>
  <c r="S383" i="8" s="1"/>
  <c r="U381" i="8"/>
  <c r="R381" i="8"/>
  <c r="S381" i="8" s="1"/>
  <c r="U379" i="8"/>
  <c r="R379" i="8"/>
  <c r="S379" i="8" s="1"/>
  <c r="U377" i="8"/>
  <c r="O377" i="8"/>
  <c r="R377" i="8" s="1"/>
  <c r="S377" i="8" s="1"/>
  <c r="U375" i="8"/>
  <c r="R375" i="8"/>
  <c r="S375" i="8" s="1"/>
  <c r="U373" i="8"/>
  <c r="O373" i="8"/>
  <c r="U371" i="8"/>
  <c r="O371" i="8"/>
  <c r="R371" i="8" s="1"/>
  <c r="S371" i="8" s="1"/>
  <c r="U369" i="8"/>
  <c r="O369" i="8"/>
  <c r="R369" i="8" s="1"/>
  <c r="S369" i="8" s="1"/>
  <c r="U367" i="8"/>
  <c r="R367" i="8"/>
  <c r="S367" i="8" s="1"/>
  <c r="U365" i="8"/>
  <c r="R365" i="8"/>
  <c r="S365" i="8" s="1"/>
  <c r="U363" i="8"/>
  <c r="R363" i="8"/>
  <c r="S363" i="8" s="1"/>
  <c r="U361" i="8"/>
  <c r="Q5" i="5" s="1"/>
  <c r="R361" i="8"/>
  <c r="U359" i="8"/>
  <c r="R359" i="8"/>
  <c r="S359" i="8" s="1"/>
  <c r="U357" i="8"/>
  <c r="R357" i="8"/>
  <c r="S357" i="8" s="1"/>
  <c r="U355" i="8"/>
  <c r="R355" i="8"/>
  <c r="S355" i="8" s="1"/>
  <c r="U353" i="8"/>
  <c r="R353" i="8"/>
  <c r="S353" i="8" s="1"/>
  <c r="U351" i="8"/>
  <c r="R351" i="8"/>
  <c r="S351" i="8" s="1"/>
  <c r="U349" i="8"/>
  <c r="R349" i="8"/>
  <c r="S349" i="8" s="1"/>
  <c r="U347" i="8"/>
  <c r="R347" i="8"/>
  <c r="S347" i="8" s="1"/>
  <c r="U345" i="8"/>
  <c r="R345" i="8"/>
  <c r="S345" i="8" s="1"/>
  <c r="U343" i="8"/>
  <c r="R343" i="8"/>
  <c r="S343" i="8" s="1"/>
  <c r="U341" i="8"/>
  <c r="R341" i="8"/>
  <c r="S341" i="8" s="1"/>
  <c r="U339" i="8"/>
  <c r="R339" i="8"/>
  <c r="S339" i="8" s="1"/>
  <c r="U337" i="8"/>
  <c r="R337" i="8"/>
  <c r="S337" i="8" s="1"/>
  <c r="U335" i="8"/>
  <c r="R335" i="8"/>
  <c r="S335" i="8" s="1"/>
  <c r="U333" i="8"/>
  <c r="R333" i="8"/>
  <c r="S333" i="8" s="1"/>
  <c r="U331" i="8"/>
  <c r="R331" i="8"/>
  <c r="S331" i="8" s="1"/>
  <c r="U329" i="8"/>
  <c r="R329" i="8"/>
  <c r="S329" i="8" s="1"/>
  <c r="U327" i="8"/>
  <c r="O327" i="8"/>
  <c r="R327" i="8" s="1"/>
  <c r="S327" i="8" s="1"/>
  <c r="U325" i="8"/>
  <c r="O325" i="8"/>
  <c r="R325" i="8" s="1"/>
  <c r="S325" i="8" s="1"/>
  <c r="U323" i="8"/>
  <c r="O323" i="8"/>
  <c r="R323" i="8" s="1"/>
  <c r="S323" i="8" s="1"/>
  <c r="U321" i="8"/>
  <c r="O321" i="8"/>
  <c r="R321" i="8" s="1"/>
  <c r="S321" i="8" s="1"/>
  <c r="U319" i="8"/>
  <c r="O319" i="8"/>
  <c r="R319" i="8" s="1"/>
  <c r="S319" i="8" s="1"/>
  <c r="U317" i="8"/>
  <c r="O317" i="8"/>
  <c r="R317" i="8" s="1"/>
  <c r="S317" i="8" s="1"/>
  <c r="U315" i="8"/>
  <c r="O315" i="8"/>
  <c r="R315" i="8" s="1"/>
  <c r="S315" i="8" s="1"/>
  <c r="U313" i="8"/>
  <c r="O313" i="8"/>
  <c r="R313" i="8" s="1"/>
  <c r="S313" i="8" s="1"/>
  <c r="U311" i="8"/>
  <c r="O311" i="8"/>
  <c r="R311" i="8" s="1"/>
  <c r="S311" i="8" s="1"/>
  <c r="U309" i="8"/>
  <c r="O309" i="8"/>
  <c r="R309" i="8" s="1"/>
  <c r="S309" i="8" s="1"/>
  <c r="U307" i="8"/>
  <c r="O307" i="8"/>
  <c r="R307" i="8" s="1"/>
  <c r="S307" i="8" s="1"/>
  <c r="U305" i="8"/>
  <c r="O305" i="8"/>
  <c r="R305" i="8" s="1"/>
  <c r="S305" i="8" s="1"/>
  <c r="U303" i="8"/>
  <c r="O303" i="8"/>
  <c r="R303" i="8" s="1"/>
  <c r="S303" i="8" s="1"/>
  <c r="U301" i="8"/>
  <c r="O301" i="8"/>
  <c r="R301" i="8" s="1"/>
  <c r="S301" i="8" s="1"/>
  <c r="U299" i="8"/>
  <c r="O299" i="8"/>
  <c r="R299" i="8" s="1"/>
  <c r="S299" i="8" s="1"/>
  <c r="U297" i="8"/>
  <c r="O297" i="8"/>
  <c r="R297" i="8" s="1"/>
  <c r="S297" i="8" s="1"/>
  <c r="U295" i="8"/>
  <c r="O295" i="8"/>
  <c r="R295" i="8" s="1"/>
  <c r="S295" i="8" s="1"/>
  <c r="U293" i="8"/>
  <c r="O293" i="8"/>
  <c r="R293" i="8" s="1"/>
  <c r="S293" i="8" s="1"/>
  <c r="U291" i="8"/>
  <c r="O291" i="8"/>
  <c r="R291" i="8" s="1"/>
  <c r="S291" i="8" s="1"/>
  <c r="U289" i="8"/>
  <c r="O289" i="8"/>
  <c r="R289" i="8" s="1"/>
  <c r="S289" i="8" s="1"/>
  <c r="U287" i="8"/>
  <c r="O287" i="8"/>
  <c r="R287" i="8" s="1"/>
  <c r="S287" i="8" s="1"/>
  <c r="U285" i="8"/>
  <c r="R285" i="8"/>
  <c r="S285" i="8" s="1"/>
  <c r="U283" i="8"/>
  <c r="R283" i="8"/>
  <c r="S283" i="8" s="1"/>
  <c r="U281" i="8"/>
  <c r="R281" i="8"/>
  <c r="S281" i="8" s="1"/>
  <c r="U279" i="8"/>
  <c r="R279" i="8"/>
  <c r="S279" i="8" s="1"/>
  <c r="U277" i="8"/>
  <c r="R277" i="8"/>
  <c r="S277" i="8" s="1"/>
  <c r="U275" i="8"/>
  <c r="O275" i="8"/>
  <c r="R275" i="8" s="1"/>
  <c r="S275" i="8" s="1"/>
  <c r="U273" i="8"/>
  <c r="O273" i="8"/>
  <c r="R273" i="8" s="1"/>
  <c r="S273" i="8" s="1"/>
  <c r="U271" i="8"/>
  <c r="O271" i="8"/>
  <c r="R271" i="8" s="1"/>
  <c r="S271" i="8" s="1"/>
  <c r="U269" i="8"/>
  <c r="O269" i="8"/>
  <c r="R269" i="8" s="1"/>
  <c r="S269" i="8" s="1"/>
  <c r="U267" i="8"/>
  <c r="O267" i="8"/>
  <c r="R267" i="8" s="1"/>
  <c r="S267" i="8" s="1"/>
  <c r="U265" i="8"/>
  <c r="O265" i="8"/>
  <c r="R265" i="8" s="1"/>
  <c r="S265" i="8" s="1"/>
  <c r="U263" i="8"/>
  <c r="O263" i="8"/>
  <c r="R263" i="8" s="1"/>
  <c r="S263" i="8" s="1"/>
  <c r="U261" i="8"/>
  <c r="O261" i="8"/>
  <c r="R261" i="8" s="1"/>
  <c r="S261" i="8" s="1"/>
  <c r="U259" i="8"/>
  <c r="O259" i="8"/>
  <c r="R259" i="8" s="1"/>
  <c r="S259" i="8" s="1"/>
  <c r="O257" i="8"/>
  <c r="R257" i="8" s="1"/>
  <c r="S257" i="8" s="1"/>
  <c r="U255" i="8"/>
  <c r="O255" i="8"/>
  <c r="R255" i="8" s="1"/>
  <c r="S255" i="8" s="1"/>
  <c r="U253" i="8"/>
  <c r="O253" i="8"/>
  <c r="R253" i="8" s="1"/>
  <c r="S253" i="8" s="1"/>
  <c r="U251" i="8"/>
  <c r="O251" i="8"/>
  <c r="R251" i="8" s="1"/>
  <c r="S251" i="8" s="1"/>
  <c r="U249" i="8"/>
  <c r="O249" i="8"/>
  <c r="R249" i="8" s="1"/>
  <c r="S249" i="8" s="1"/>
  <c r="U247" i="8"/>
  <c r="O247" i="8"/>
  <c r="R247" i="8" s="1"/>
  <c r="S247" i="8" s="1"/>
  <c r="U245" i="8"/>
  <c r="O245" i="8"/>
  <c r="R245" i="8" s="1"/>
  <c r="S245" i="8" s="1"/>
  <c r="U243" i="8"/>
  <c r="O243" i="8"/>
  <c r="R243" i="8" s="1"/>
  <c r="S243" i="8" s="1"/>
  <c r="U241" i="8"/>
  <c r="O241" i="8"/>
  <c r="R241" i="8" s="1"/>
  <c r="S241" i="8" s="1"/>
  <c r="U239" i="8"/>
  <c r="O239" i="8"/>
  <c r="R239" i="8" s="1"/>
  <c r="S239" i="8" s="1"/>
  <c r="U237" i="8"/>
  <c r="O237" i="8"/>
  <c r="R237" i="8" s="1"/>
  <c r="S237" i="8" s="1"/>
  <c r="U235" i="8"/>
  <c r="O235" i="8"/>
  <c r="R235" i="8" s="1"/>
  <c r="S235" i="8" s="1"/>
  <c r="U233" i="8"/>
  <c r="O233" i="8"/>
  <c r="R233" i="8" s="1"/>
  <c r="S233" i="8" s="1"/>
  <c r="U231" i="8"/>
  <c r="O231" i="8"/>
  <c r="R231" i="8" s="1"/>
  <c r="S231" i="8" s="1"/>
  <c r="U229" i="8"/>
  <c r="O229" i="8"/>
  <c r="R229" i="8" s="1"/>
  <c r="S229" i="8" s="1"/>
  <c r="U227" i="8"/>
  <c r="R227" i="8"/>
  <c r="S227" i="8" s="1"/>
  <c r="U225" i="8"/>
  <c r="O225" i="8"/>
  <c r="U223" i="8"/>
  <c r="O223" i="8"/>
  <c r="R223" i="8" s="1"/>
  <c r="S223" i="8" s="1"/>
  <c r="U221" i="8"/>
  <c r="O221" i="8"/>
  <c r="R221" i="8" s="1"/>
  <c r="S221" i="8" s="1"/>
  <c r="U219" i="8"/>
  <c r="R219" i="8"/>
  <c r="S219" i="8" s="1"/>
  <c r="U217" i="8"/>
  <c r="R217" i="8"/>
  <c r="S217" i="8" s="1"/>
  <c r="U215" i="8"/>
  <c r="R215" i="8"/>
  <c r="S215" i="8" s="1"/>
  <c r="U213" i="8"/>
  <c r="R213" i="8"/>
  <c r="U211" i="8"/>
  <c r="R211" i="8"/>
  <c r="S211" i="8" s="1"/>
  <c r="U209" i="8"/>
  <c r="R209" i="8"/>
  <c r="S209" i="8" s="1"/>
  <c r="U207" i="8"/>
  <c r="R207" i="8"/>
  <c r="S207" i="8" s="1"/>
  <c r="U205" i="8"/>
  <c r="R205" i="8"/>
  <c r="S205" i="8" s="1"/>
  <c r="U203" i="8"/>
  <c r="R203" i="8"/>
  <c r="S203" i="8" s="1"/>
  <c r="U201" i="8"/>
  <c r="R201" i="8"/>
  <c r="S201" i="8" s="1"/>
  <c r="U199" i="8"/>
  <c r="R199" i="8"/>
  <c r="S199" i="8" s="1"/>
  <c r="U197" i="8"/>
  <c r="R197" i="8"/>
  <c r="S197" i="8" s="1"/>
  <c r="U195" i="8"/>
  <c r="R195" i="8"/>
  <c r="S195" i="8" s="1"/>
  <c r="U193" i="8"/>
  <c r="R193" i="8"/>
  <c r="S193" i="8" s="1"/>
  <c r="U191" i="8"/>
  <c r="R191" i="8"/>
  <c r="S191" i="8" s="1"/>
  <c r="U189" i="8"/>
  <c r="R189" i="8"/>
  <c r="S189" i="8" s="1"/>
  <c r="U187" i="8"/>
  <c r="R187" i="8"/>
  <c r="S187" i="8" s="1"/>
  <c r="U185" i="8"/>
  <c r="R185" i="8"/>
  <c r="S185" i="8" s="1"/>
  <c r="U183" i="8"/>
  <c r="R183" i="8"/>
  <c r="S183" i="8" s="1"/>
  <c r="U181" i="8"/>
  <c r="R181" i="8"/>
  <c r="S181" i="8" s="1"/>
  <c r="U179" i="8"/>
  <c r="R179" i="8"/>
  <c r="S179" i="8" s="1"/>
  <c r="U177" i="8"/>
  <c r="R177" i="8"/>
  <c r="S177" i="8" s="1"/>
  <c r="U175" i="8"/>
  <c r="Q96" i="5" s="1"/>
  <c r="E55" i="4" s="1"/>
  <c r="R175" i="8"/>
  <c r="U173" i="8"/>
  <c r="R173" i="8"/>
  <c r="S173" i="8" s="1"/>
  <c r="U171" i="8"/>
  <c r="R171" i="8"/>
  <c r="S171" i="8" s="1"/>
  <c r="U169" i="8"/>
  <c r="R169" i="8"/>
  <c r="S169" i="8" s="1"/>
  <c r="U167" i="8"/>
  <c r="R167" i="8"/>
  <c r="S167" i="8" s="1"/>
  <c r="U165" i="8"/>
  <c r="R165" i="8"/>
  <c r="S165" i="8" s="1"/>
  <c r="U163" i="8"/>
  <c r="R163" i="8"/>
  <c r="S163" i="8" s="1"/>
  <c r="U161" i="8"/>
  <c r="R161" i="8"/>
  <c r="S161" i="8" s="1"/>
  <c r="U159" i="8"/>
  <c r="R159" i="8"/>
  <c r="S159" i="8" s="1"/>
  <c r="U157" i="8"/>
  <c r="R157" i="8"/>
  <c r="S157" i="8" s="1"/>
  <c r="U155" i="8"/>
  <c r="R155" i="8"/>
  <c r="S155" i="8" s="1"/>
  <c r="U153" i="8"/>
  <c r="R153" i="8"/>
  <c r="S153" i="8" s="1"/>
  <c r="U151" i="8"/>
  <c r="R151" i="8"/>
  <c r="S151" i="8" s="1"/>
  <c r="U149" i="8"/>
  <c r="R149" i="8"/>
  <c r="S149" i="8" s="1"/>
  <c r="U147" i="8"/>
  <c r="R147" i="8"/>
  <c r="S147" i="8" s="1"/>
  <c r="U145" i="8"/>
  <c r="R145" i="8"/>
  <c r="S145" i="8" s="1"/>
  <c r="U143" i="8"/>
  <c r="R143" i="8"/>
  <c r="S143" i="8" s="1"/>
  <c r="U141" i="8"/>
  <c r="R141" i="8"/>
  <c r="S141" i="8" s="1"/>
  <c r="U139" i="8"/>
  <c r="R139" i="8"/>
  <c r="S139" i="8" s="1"/>
  <c r="U137" i="8"/>
  <c r="R137" i="8"/>
  <c r="S137" i="8" s="1"/>
  <c r="U135" i="8"/>
  <c r="Q95" i="5" s="1"/>
  <c r="D55" i="4" s="1"/>
  <c r="R135" i="8"/>
  <c r="U133" i="8"/>
  <c r="O133" i="8"/>
  <c r="R133" i="8" s="1"/>
  <c r="S133" i="8" s="1"/>
  <c r="U131" i="8"/>
  <c r="O131" i="8"/>
  <c r="R131" i="8" s="1"/>
  <c r="S131" i="8" s="1"/>
  <c r="U129" i="8"/>
  <c r="O129" i="8"/>
  <c r="R129" i="8" s="1"/>
  <c r="S129" i="8" s="1"/>
  <c r="U127" i="8"/>
  <c r="O127" i="8"/>
  <c r="R127" i="8" s="1"/>
  <c r="S127" i="8" s="1"/>
  <c r="U125" i="8"/>
  <c r="O125" i="8"/>
  <c r="R125" i="8" s="1"/>
  <c r="S125" i="8" s="1"/>
  <c r="U123" i="8"/>
  <c r="O123" i="8"/>
  <c r="R123" i="8" s="1"/>
  <c r="S123" i="8" s="1"/>
  <c r="U121" i="8"/>
  <c r="O121" i="8"/>
  <c r="R121" i="8" s="1"/>
  <c r="S121" i="8" s="1"/>
  <c r="U119" i="8"/>
  <c r="O119" i="8"/>
  <c r="R119" i="8" s="1"/>
  <c r="S119" i="8" s="1"/>
  <c r="U117" i="8"/>
  <c r="O117" i="8"/>
  <c r="R117" i="8" s="1"/>
  <c r="S117" i="8" s="1"/>
  <c r="U115" i="8"/>
  <c r="O115" i="8"/>
  <c r="R115" i="8" s="1"/>
  <c r="S115" i="8" s="1"/>
  <c r="U113" i="8"/>
  <c r="O113" i="8"/>
  <c r="R113" i="8" s="1"/>
  <c r="S113" i="8" s="1"/>
  <c r="U111" i="8"/>
  <c r="O111" i="8"/>
  <c r="R111" i="8" s="1"/>
  <c r="S111" i="8" s="1"/>
  <c r="U109" i="8"/>
  <c r="O109" i="8"/>
  <c r="R109" i="8" s="1"/>
  <c r="S109" i="8" s="1"/>
  <c r="U107" i="8"/>
  <c r="O107" i="8"/>
  <c r="R107" i="8" s="1"/>
  <c r="S107" i="8" s="1"/>
  <c r="U105" i="8"/>
  <c r="O105" i="8"/>
  <c r="R105" i="8" s="1"/>
  <c r="S105" i="8" s="1"/>
  <c r="U103" i="8"/>
  <c r="O103" i="8"/>
  <c r="R103" i="8" s="1"/>
  <c r="S103" i="8" s="1"/>
  <c r="U101" i="8"/>
  <c r="O101" i="8"/>
  <c r="R101" i="8" s="1"/>
  <c r="S101" i="8" s="1"/>
  <c r="U99" i="8"/>
  <c r="O99" i="8"/>
  <c r="R99" i="8" s="1"/>
  <c r="S99" i="8" s="1"/>
  <c r="U97" i="8"/>
  <c r="O97" i="8"/>
  <c r="R97" i="8" s="1"/>
  <c r="S97" i="8" s="1"/>
  <c r="O95" i="8"/>
  <c r="R95" i="8" s="1"/>
  <c r="S95" i="8" s="1"/>
  <c r="W94" i="8"/>
  <c r="O93" i="8"/>
  <c r="R93" i="8" s="1"/>
  <c r="S93" i="8" s="1"/>
  <c r="W92" i="8"/>
  <c r="O91" i="8"/>
  <c r="R91" i="8" s="1"/>
  <c r="S91" i="8" s="1"/>
  <c r="W90" i="8"/>
  <c r="O89" i="8"/>
  <c r="R89" i="8" s="1"/>
  <c r="S89" i="8" s="1"/>
  <c r="W88" i="8"/>
  <c r="O87" i="8"/>
  <c r="R87" i="8" s="1"/>
  <c r="S87" i="8" s="1"/>
  <c r="W86" i="8"/>
  <c r="O85" i="8"/>
  <c r="R85" i="8" s="1"/>
  <c r="S85" i="8" s="1"/>
  <c r="W84" i="8"/>
  <c r="M129" i="5" s="1"/>
  <c r="N67" i="1" s="1"/>
  <c r="O83" i="8"/>
  <c r="R83" i="8" s="1"/>
  <c r="S83" i="8" s="1"/>
  <c r="U81" i="8"/>
  <c r="R81" i="8"/>
  <c r="S81" i="8" s="1"/>
  <c r="U79" i="8"/>
  <c r="O79" i="8"/>
  <c r="R79" i="8" s="1"/>
  <c r="S79" i="8" s="1"/>
  <c r="U77" i="8"/>
  <c r="O77" i="8"/>
  <c r="R77" i="8" s="1"/>
  <c r="S77" i="8" s="1"/>
  <c r="U75" i="8"/>
  <c r="O75" i="8"/>
  <c r="R75" i="8" s="1"/>
  <c r="S75" i="8" s="1"/>
  <c r="U73" i="8"/>
  <c r="R73" i="8"/>
  <c r="S73" i="8" s="1"/>
  <c r="U71" i="8"/>
  <c r="O71" i="8"/>
  <c r="U69" i="8"/>
  <c r="Q125" i="5" s="1"/>
  <c r="R69" i="8"/>
  <c r="R67" i="8"/>
  <c r="S67" i="8" s="1"/>
  <c r="W66" i="8"/>
  <c r="R65" i="8"/>
  <c r="S65" i="8" s="1"/>
  <c r="W64" i="8"/>
  <c r="R63" i="8"/>
  <c r="S63" i="8" s="1"/>
  <c r="W62" i="8"/>
  <c r="R61" i="8"/>
  <c r="S61" i="8" s="1"/>
  <c r="W60" i="8"/>
  <c r="R59" i="8"/>
  <c r="S59" i="8" s="1"/>
  <c r="W58" i="8"/>
  <c r="R57" i="8"/>
  <c r="S57" i="8" s="1"/>
  <c r="W56" i="8"/>
  <c r="O55" i="8"/>
  <c r="W54" i="8"/>
  <c r="O53" i="8"/>
  <c r="R53" i="8" s="1"/>
  <c r="S53" i="8" s="1"/>
  <c r="W52" i="8"/>
  <c r="O51" i="8"/>
  <c r="R51" i="8" s="1"/>
  <c r="S51" i="8" s="1"/>
  <c r="W50" i="8"/>
  <c r="O49" i="8"/>
  <c r="R49" i="8" s="1"/>
  <c r="S49" i="8" s="1"/>
  <c r="W48" i="8"/>
  <c r="R47" i="8"/>
  <c r="S47" i="8" s="1"/>
  <c r="W46" i="8"/>
  <c r="O45" i="8"/>
  <c r="W44" i="8"/>
  <c r="O43" i="8"/>
  <c r="R43" i="8" s="1"/>
  <c r="S43" i="8" s="1"/>
  <c r="W42" i="8"/>
  <c r="R41" i="8"/>
  <c r="S41" i="8" s="1"/>
  <c r="W40" i="8"/>
  <c r="R39" i="8"/>
  <c r="S39" i="8" s="1"/>
  <c r="W38" i="8"/>
  <c r="R37" i="8"/>
  <c r="S37" i="8" s="1"/>
  <c r="W36" i="8"/>
  <c r="O35" i="8"/>
  <c r="R35" i="8" s="1"/>
  <c r="S35" i="8" s="1"/>
  <c r="W34" i="8"/>
  <c r="O33" i="8"/>
  <c r="R33" i="8" s="1"/>
  <c r="S33" i="8" s="1"/>
  <c r="W32" i="8"/>
  <c r="O31" i="8"/>
  <c r="R31" i="8" s="1"/>
  <c r="S31" i="8" s="1"/>
  <c r="W30" i="8"/>
  <c r="M61" i="5" s="1"/>
  <c r="N70" i="1" s="1"/>
  <c r="O29" i="8"/>
  <c r="R29" i="8" s="1"/>
  <c r="S29" i="8" s="1"/>
  <c r="W28" i="8"/>
  <c r="O27" i="8"/>
  <c r="R27" i="8" s="1"/>
  <c r="S27" i="8" s="1"/>
  <c r="W26" i="8"/>
  <c r="O25" i="8"/>
  <c r="R25" i="8" s="1"/>
  <c r="S25" i="8" s="1"/>
  <c r="W24" i="8"/>
  <c r="O23" i="8"/>
  <c r="R23" i="8" s="1"/>
  <c r="S23" i="8" s="1"/>
  <c r="W22" i="8"/>
  <c r="O21" i="8"/>
  <c r="R21" i="8" s="1"/>
  <c r="S21" i="8" s="1"/>
  <c r="W20" i="8"/>
  <c r="O19" i="8"/>
  <c r="R19" i="8" s="1"/>
  <c r="S19" i="8" s="1"/>
  <c r="W18" i="8"/>
  <c r="O17" i="8"/>
  <c r="R17" i="8" s="1"/>
  <c r="S17" i="8" s="1"/>
  <c r="W16" i="8"/>
  <c r="O15" i="8"/>
  <c r="R15" i="8" s="1"/>
  <c r="S15" i="8" s="1"/>
  <c r="W14" i="8"/>
  <c r="O13" i="8"/>
  <c r="R13" i="8" s="1"/>
  <c r="S13" i="8" s="1"/>
  <c r="W12" i="8"/>
  <c r="O11" i="8"/>
  <c r="R11" i="8" s="1"/>
  <c r="S11" i="8" s="1"/>
  <c r="W10" i="8"/>
  <c r="O9" i="8"/>
  <c r="R9" i="8" s="1"/>
  <c r="S9" i="8" s="1"/>
  <c r="W8" i="8"/>
  <c r="O7" i="8"/>
  <c r="R7" i="8" s="1"/>
  <c r="S7" i="8" s="1"/>
  <c r="W6" i="8"/>
  <c r="O5" i="8"/>
  <c r="R5" i="8" s="1"/>
  <c r="S5" i="8" s="1"/>
  <c r="W4" i="8"/>
  <c r="O3" i="8"/>
  <c r="R3" i="8" s="1"/>
  <c r="S3" i="8" s="1"/>
  <c r="W2" i="8"/>
  <c r="M60" i="5" s="1"/>
  <c r="M70" i="1" s="1"/>
  <c r="U2950" i="8"/>
  <c r="Q31" i="5" s="1"/>
  <c r="W2950" i="8"/>
  <c r="M31" i="5" s="1"/>
  <c r="U2952" i="8"/>
  <c r="W2952" i="8"/>
  <c r="U2954" i="8"/>
  <c r="W2954" i="8"/>
  <c r="U2956" i="8"/>
  <c r="W2956" i="8"/>
  <c r="U2958" i="8"/>
  <c r="W2958" i="8"/>
  <c r="U2960" i="8"/>
  <c r="W2960" i="8"/>
  <c r="U2962" i="8"/>
  <c r="W2962" i="8"/>
  <c r="U2964" i="8"/>
  <c r="W2964" i="8"/>
  <c r="U2966" i="8"/>
  <c r="W2966" i="8"/>
  <c r="U2968" i="8"/>
  <c r="W2968" i="8"/>
  <c r="U2970" i="8"/>
  <c r="W2970" i="8"/>
  <c r="U2972" i="8"/>
  <c r="W2972" i="8"/>
  <c r="U2974" i="8"/>
  <c r="W2974" i="8"/>
  <c r="U2976" i="8"/>
  <c r="W2976" i="8"/>
  <c r="U2978" i="8"/>
  <c r="W2978" i="8"/>
  <c r="U2980" i="8"/>
  <c r="W2980" i="8"/>
  <c r="U2982" i="8"/>
  <c r="W2982" i="8"/>
  <c r="U2984" i="8"/>
  <c r="W2984" i="8"/>
  <c r="U2986" i="8"/>
  <c r="W2986" i="8"/>
  <c r="U2988" i="8"/>
  <c r="W2988" i="8"/>
  <c r="U2990" i="8"/>
  <c r="W2990" i="8"/>
  <c r="U2992" i="8"/>
  <c r="W2992" i="8"/>
  <c r="U2994" i="8"/>
  <c r="W2994" i="8"/>
  <c r="U2996" i="8"/>
  <c r="W2996" i="8"/>
  <c r="U2998" i="8"/>
  <c r="W2998" i="8"/>
  <c r="U3000" i="8"/>
  <c r="W3000" i="8"/>
  <c r="U3002" i="8"/>
  <c r="W3002" i="8"/>
  <c r="U3004" i="8"/>
  <c r="W3004" i="8"/>
  <c r="U3006" i="8"/>
  <c r="W3006" i="8"/>
  <c r="U3008" i="8"/>
  <c r="W3008" i="8"/>
  <c r="U3010" i="8"/>
  <c r="W3010" i="8"/>
  <c r="W3845" i="8"/>
  <c r="U3845" i="8"/>
  <c r="W3847" i="8"/>
  <c r="U3847" i="8"/>
  <c r="W3849" i="8"/>
  <c r="U3849" i="8"/>
  <c r="W3851" i="8"/>
  <c r="U3851" i="8"/>
  <c r="W3853" i="8"/>
  <c r="U3853" i="8"/>
  <c r="W3855" i="8"/>
  <c r="U3855" i="8"/>
  <c r="W3857" i="8"/>
  <c r="U3857" i="8"/>
  <c r="W3859" i="8"/>
  <c r="U3859" i="8"/>
  <c r="W3863" i="8"/>
  <c r="U3863" i="8"/>
  <c r="U3865" i="8"/>
  <c r="W3865" i="8"/>
  <c r="U3867" i="8"/>
  <c r="W3867" i="8"/>
  <c r="U3869" i="8"/>
  <c r="W3869" i="8"/>
  <c r="U3871" i="8"/>
  <c r="W3871" i="8"/>
  <c r="U3873" i="8"/>
  <c r="W3873" i="8"/>
  <c r="U3875" i="8"/>
  <c r="W3875" i="8"/>
  <c r="U3877" i="8"/>
  <c r="W3877" i="8"/>
  <c r="U3879" i="8"/>
  <c r="W3879" i="8"/>
  <c r="U3881" i="8"/>
  <c r="W3881" i="8"/>
  <c r="U3883" i="8"/>
  <c r="W3883" i="8"/>
  <c r="U3885" i="8"/>
  <c r="W3885" i="8"/>
  <c r="U3887" i="8"/>
  <c r="W3887" i="8"/>
  <c r="U3889" i="8"/>
  <c r="W3889" i="8"/>
  <c r="U3891" i="8"/>
  <c r="W3891" i="8"/>
  <c r="U3893" i="8"/>
  <c r="W3893" i="8"/>
  <c r="U3895" i="8"/>
  <c r="W3895" i="8"/>
  <c r="U3897" i="8"/>
  <c r="W3897" i="8"/>
  <c r="U3899" i="8"/>
  <c r="W3899" i="8"/>
  <c r="U3901" i="8"/>
  <c r="W3901" i="8"/>
  <c r="U3903" i="8"/>
  <c r="W3903" i="8"/>
  <c r="U3905" i="8"/>
  <c r="W3905" i="8"/>
  <c r="U3907" i="8"/>
  <c r="W3907" i="8"/>
  <c r="U3909" i="8"/>
  <c r="W3909" i="8"/>
  <c r="U3911" i="8"/>
  <c r="W3911" i="8"/>
  <c r="U3913" i="8"/>
  <c r="W3913" i="8"/>
  <c r="U3915" i="8"/>
  <c r="W3915" i="8"/>
  <c r="U3917" i="8"/>
  <c r="W3917" i="8"/>
  <c r="U3919" i="8"/>
  <c r="W3919" i="8"/>
  <c r="U3921" i="8"/>
  <c r="W3921" i="8"/>
  <c r="U3923" i="8"/>
  <c r="W3923" i="8"/>
  <c r="N137" i="5"/>
  <c r="M59" i="1"/>
  <c r="N136" i="5"/>
  <c r="K59" i="1"/>
  <c r="G36" i="1"/>
  <c r="H36" i="1" s="1"/>
  <c r="N133" i="5"/>
  <c r="N132" i="5"/>
  <c r="N131" i="5"/>
  <c r="N130" i="5"/>
  <c r="M130" i="1" s="1"/>
  <c r="M69" i="1"/>
  <c r="K69" i="1"/>
  <c r="G46" i="1"/>
  <c r="N121" i="5"/>
  <c r="M124" i="1" s="1"/>
  <c r="N117" i="5"/>
  <c r="N116" i="5"/>
  <c r="N115" i="5"/>
  <c r="N114" i="5"/>
  <c r="M123" i="1" s="1"/>
  <c r="N111" i="5"/>
  <c r="N110" i="5"/>
  <c r="M122" i="1" s="1"/>
  <c r="G50" i="1"/>
  <c r="M71" i="1"/>
  <c r="G48" i="1"/>
  <c r="N101" i="5"/>
  <c r="N100" i="5"/>
  <c r="N99" i="5"/>
  <c r="M117" i="1" s="1"/>
  <c r="G37" i="1"/>
  <c r="N93" i="5"/>
  <c r="M63" i="1"/>
  <c r="N92" i="5"/>
  <c r="N91" i="5"/>
  <c r="K63" i="1"/>
  <c r="G40" i="1"/>
  <c r="H40" i="1" s="1"/>
  <c r="N90" i="5"/>
  <c r="M114" i="1" s="1"/>
  <c r="M61" i="1"/>
  <c r="K61" i="1"/>
  <c r="G38" i="1"/>
  <c r="N85" i="5"/>
  <c r="M110" i="1" s="1"/>
  <c r="G41" i="1"/>
  <c r="H41" i="1" s="1"/>
  <c r="G35" i="1"/>
  <c r="N78" i="5"/>
  <c r="N77" i="5"/>
  <c r="N76" i="5"/>
  <c r="N75" i="5"/>
  <c r="G45" i="1"/>
  <c r="H45" i="1" s="1"/>
  <c r="N74" i="5"/>
  <c r="N71" i="5"/>
  <c r="N70" i="5"/>
  <c r="M104" i="1" s="1"/>
  <c r="N69" i="5"/>
  <c r="M57" i="1"/>
  <c r="N68" i="5"/>
  <c r="N67" i="5"/>
  <c r="K57" i="1"/>
  <c r="G34" i="1"/>
  <c r="N66" i="5"/>
  <c r="M103" i="1" s="1"/>
  <c r="N65" i="5"/>
  <c r="N64" i="5"/>
  <c r="M101" i="1" s="1"/>
  <c r="G47" i="1"/>
  <c r="G39" i="1"/>
  <c r="N54" i="5"/>
  <c r="N53" i="5"/>
  <c r="N52" i="5"/>
  <c r="N51" i="5"/>
  <c r="N50" i="5"/>
  <c r="M96" i="1" s="1"/>
  <c r="G49" i="1"/>
  <c r="N43" i="5"/>
  <c r="N42" i="5"/>
  <c r="M93" i="1" s="1"/>
  <c r="G43" i="1"/>
  <c r="N37" i="5"/>
  <c r="N36" i="5"/>
  <c r="N35" i="5"/>
  <c r="N32" i="5"/>
  <c r="N31" i="5"/>
  <c r="K67" i="1"/>
  <c r="G44" i="1"/>
  <c r="N30" i="5"/>
  <c r="M88" i="1" s="1"/>
  <c r="N29" i="5"/>
  <c r="N28" i="5"/>
  <c r="N27" i="5"/>
  <c r="N26" i="5"/>
  <c r="M86" i="1" s="1"/>
  <c r="N25" i="5"/>
  <c r="N24" i="5"/>
  <c r="N23" i="5"/>
  <c r="N22" i="5"/>
  <c r="M85" i="1" s="1"/>
  <c r="N21" i="5"/>
  <c r="N20" i="5"/>
  <c r="M84" i="1" s="1"/>
  <c r="N17" i="5"/>
  <c r="N16" i="5"/>
  <c r="N15" i="5"/>
  <c r="N14" i="5"/>
  <c r="M83" i="1" s="1"/>
  <c r="G42" i="1"/>
  <c r="L7" i="4"/>
  <c r="L6" i="4"/>
  <c r="L5" i="4"/>
  <c r="L4" i="4"/>
  <c r="F43" i="2"/>
  <c r="F35" i="2"/>
  <c r="F31" i="2"/>
  <c r="E24" i="2"/>
  <c r="F23" i="2"/>
  <c r="F19" i="2"/>
  <c r="G10" i="2"/>
  <c r="K68" i="1"/>
  <c r="K64" i="1"/>
  <c r="T1117" i="8"/>
  <c r="R1115" i="8"/>
  <c r="S1115" i="8" s="1"/>
  <c r="T1112" i="8"/>
  <c r="T1109" i="8"/>
  <c r="R1107" i="8"/>
  <c r="S1107" i="8" s="1"/>
  <c r="T1104" i="8"/>
  <c r="T1101" i="8"/>
  <c r="R1099" i="8"/>
  <c r="S1099" i="8" s="1"/>
  <c r="T1096" i="8"/>
  <c r="T1093" i="8"/>
  <c r="R1091" i="8"/>
  <c r="S1091" i="8" s="1"/>
  <c r="T1088" i="8"/>
  <c r="P108" i="5" s="1"/>
  <c r="T1085" i="8"/>
  <c r="R1083" i="8"/>
  <c r="S1083" i="8" s="1"/>
  <c r="T1081" i="8"/>
  <c r="T1078" i="8"/>
  <c r="R1076" i="8"/>
  <c r="S1076" i="8" s="1"/>
  <c r="T1073" i="8"/>
  <c r="T1070" i="8"/>
  <c r="R1068" i="8"/>
  <c r="S1068" i="8" s="1"/>
  <c r="T1065" i="8"/>
  <c r="T1063" i="8"/>
  <c r="R1061" i="8"/>
  <c r="S1061" i="8" s="1"/>
  <c r="T1058" i="8"/>
  <c r="T1055" i="8"/>
  <c r="R1053" i="8"/>
  <c r="S1053" i="8" s="1"/>
  <c r="T1050" i="8"/>
  <c r="T1047" i="8"/>
  <c r="R1045" i="8"/>
  <c r="T1043" i="8"/>
  <c r="T1040" i="8"/>
  <c r="R1038" i="8"/>
  <c r="S1038" i="8" s="1"/>
  <c r="T1035" i="8"/>
  <c r="T1032" i="8"/>
  <c r="R1030" i="8"/>
  <c r="S1030" i="8" s="1"/>
  <c r="T1027" i="8"/>
  <c r="T1024" i="8"/>
  <c r="R1022" i="8"/>
  <c r="S1022" i="8" s="1"/>
  <c r="T1019" i="8"/>
  <c r="T1016" i="8"/>
  <c r="P106" i="5" s="1"/>
  <c r="P121" i="1" s="1"/>
  <c r="I19" i="1" s="1"/>
  <c r="T1011" i="8"/>
  <c r="T1009" i="8"/>
  <c r="R1007" i="8"/>
  <c r="S1007" i="8" s="1"/>
  <c r="T1002" i="8"/>
  <c r="T1000" i="8"/>
  <c r="T997" i="8"/>
  <c r="T995" i="8"/>
  <c r="R993" i="8"/>
  <c r="S993" i="8" s="1"/>
  <c r="T988" i="8"/>
  <c r="T986" i="8"/>
  <c r="T984" i="8"/>
  <c r="T979" i="8"/>
  <c r="R977" i="8"/>
  <c r="S977" i="8" s="1"/>
  <c r="T972" i="8"/>
  <c r="R970" i="8"/>
  <c r="S970" i="8" s="1"/>
  <c r="T967" i="8"/>
  <c r="T965" i="8"/>
  <c r="R963" i="8"/>
  <c r="S963" i="8" s="1"/>
  <c r="T960" i="8"/>
  <c r="T957" i="8"/>
  <c r="R955" i="8"/>
  <c r="S955" i="8" s="1"/>
  <c r="R952" i="8"/>
  <c r="S952" i="8" s="1"/>
  <c r="T949" i="8"/>
  <c r="T946" i="8"/>
  <c r="R944" i="8"/>
  <c r="S944" i="8" s="1"/>
  <c r="T941" i="8"/>
  <c r="T938" i="8"/>
  <c r="R936" i="8"/>
  <c r="S936" i="8" s="1"/>
  <c r="T933" i="8"/>
  <c r="T930" i="8"/>
  <c r="R928" i="8"/>
  <c r="S928" i="8" s="1"/>
  <c r="T925" i="8"/>
  <c r="T923" i="8"/>
  <c r="R921" i="8"/>
  <c r="S921" i="8" s="1"/>
  <c r="T918" i="8"/>
  <c r="T915" i="8"/>
  <c r="R913" i="8"/>
  <c r="S913" i="8" s="1"/>
  <c r="T910" i="8"/>
  <c r="T907" i="8"/>
  <c r="R905" i="8"/>
  <c r="S905" i="8" s="1"/>
  <c r="T902" i="8"/>
  <c r="T899" i="8"/>
  <c r="R897" i="8"/>
  <c r="S897" i="8" s="1"/>
  <c r="T894" i="8"/>
  <c r="T892" i="8"/>
  <c r="R890" i="8"/>
  <c r="S890" i="8" s="1"/>
  <c r="R887" i="8"/>
  <c r="S887" i="8" s="1"/>
  <c r="T884" i="8"/>
  <c r="T881" i="8"/>
  <c r="R879" i="8"/>
  <c r="S879" i="8" s="1"/>
  <c r="T876" i="8"/>
  <c r="T873" i="8"/>
  <c r="R871" i="8"/>
  <c r="S871" i="8" s="1"/>
  <c r="T855" i="8"/>
  <c r="R853" i="8"/>
  <c r="S853" i="8" s="1"/>
  <c r="R850" i="8"/>
  <c r="S850" i="8" s="1"/>
  <c r="T847" i="8"/>
  <c r="T844" i="8"/>
  <c r="T842" i="8"/>
  <c r="T838" i="8"/>
  <c r="R836" i="8"/>
  <c r="S836" i="8" s="1"/>
  <c r="T833" i="8"/>
  <c r="T831" i="8"/>
  <c r="R829" i="8"/>
  <c r="S829" i="8" s="1"/>
  <c r="T826" i="8"/>
  <c r="P41" i="5" s="1"/>
  <c r="T823" i="8"/>
  <c r="R821" i="8"/>
  <c r="S821" i="8" s="1"/>
  <c r="T818" i="8"/>
  <c r="T815" i="8"/>
  <c r="R813" i="8"/>
  <c r="S813" i="8" s="1"/>
  <c r="T810" i="8"/>
  <c r="T807" i="8"/>
  <c r="R805" i="8"/>
  <c r="S805" i="8" s="1"/>
  <c r="T802" i="8"/>
  <c r="T799" i="8"/>
  <c r="R797" i="8"/>
  <c r="S797" i="8" s="1"/>
  <c r="T794" i="8"/>
  <c r="T791" i="8"/>
  <c r="R789" i="8"/>
  <c r="S789" i="8" s="1"/>
  <c r="T786" i="8"/>
  <c r="T783" i="8"/>
  <c r="R781" i="8"/>
  <c r="S781" i="8" s="1"/>
  <c r="T778" i="8"/>
  <c r="P39" i="5" s="1"/>
  <c r="T773" i="8"/>
  <c r="R771" i="8"/>
  <c r="S771" i="8" s="1"/>
  <c r="E101" i="2"/>
  <c r="E97" i="2"/>
  <c r="T1118" i="8"/>
  <c r="T1115" i="8"/>
  <c r="R1113" i="8"/>
  <c r="S1113" i="8" s="1"/>
  <c r="T1110" i="8"/>
  <c r="T1107" i="8"/>
  <c r="R1105" i="8"/>
  <c r="S1105" i="8" s="1"/>
  <c r="T1102" i="8"/>
  <c r="T1099" i="8"/>
  <c r="R1097" i="8"/>
  <c r="S1097" i="8" s="1"/>
  <c r="T1094" i="8"/>
  <c r="T1091" i="8"/>
  <c r="R1089" i="8"/>
  <c r="S1089" i="8" s="1"/>
  <c r="T1086" i="8"/>
  <c r="T1083" i="8"/>
  <c r="T1080" i="8"/>
  <c r="R1078" i="8"/>
  <c r="S1078" i="8" s="1"/>
  <c r="T1075" i="8"/>
  <c r="T1072" i="8"/>
  <c r="R1070" i="8"/>
  <c r="S1070" i="8" s="1"/>
  <c r="T1067" i="8"/>
  <c r="T1064" i="8"/>
  <c r="T1061" i="8"/>
  <c r="R1059" i="8"/>
  <c r="S1059" i="8" s="1"/>
  <c r="T1056" i="8"/>
  <c r="T1053" i="8"/>
  <c r="R1051" i="8"/>
  <c r="S1051" i="8" s="1"/>
  <c r="T1048" i="8"/>
  <c r="T1045" i="8"/>
  <c r="P107" i="5" s="1"/>
  <c r="T1042" i="8"/>
  <c r="R1040" i="8"/>
  <c r="S1040" i="8" s="1"/>
  <c r="T1037" i="8"/>
  <c r="T1034" i="8"/>
  <c r="R1032" i="8"/>
  <c r="S1032" i="8" s="1"/>
  <c r="T1029" i="8"/>
  <c r="T1026" i="8"/>
  <c r="R1024" i="8"/>
  <c r="S1024" i="8" s="1"/>
  <c r="T1021" i="8"/>
  <c r="T1018" i="8"/>
  <c r="R1016" i="8"/>
  <c r="S1016" i="8" s="1"/>
  <c r="T1012" i="8"/>
  <c r="T1007" i="8"/>
  <c r="T1005" i="8"/>
  <c r="R1003" i="8"/>
  <c r="S1003" i="8" s="1"/>
  <c r="T998" i="8"/>
  <c r="T993" i="8"/>
  <c r="T991" i="8"/>
  <c r="R989" i="8"/>
  <c r="S989" i="8" s="1"/>
  <c r="T982" i="8"/>
  <c r="T980" i="8"/>
  <c r="T977" i="8"/>
  <c r="T975" i="8"/>
  <c r="R973" i="8"/>
  <c r="S973" i="8" s="1"/>
  <c r="T969" i="8"/>
  <c r="T966" i="8"/>
  <c r="T963" i="8"/>
  <c r="R961" i="8"/>
  <c r="S961" i="8" s="1"/>
  <c r="T958" i="8"/>
  <c r="T955" i="8"/>
  <c r="R953" i="8"/>
  <c r="S953" i="8" s="1"/>
  <c r="T951" i="8"/>
  <c r="T948" i="8"/>
  <c r="R946" i="8"/>
  <c r="S946" i="8" s="1"/>
  <c r="T943" i="8"/>
  <c r="T940" i="8"/>
  <c r="R938" i="8"/>
  <c r="S938" i="8" s="1"/>
  <c r="T935" i="8"/>
  <c r="T932" i="8"/>
  <c r="R930" i="8"/>
  <c r="S930" i="8" s="1"/>
  <c r="T927" i="8"/>
  <c r="T924" i="8"/>
  <c r="T921" i="8"/>
  <c r="R919" i="8"/>
  <c r="S919" i="8" s="1"/>
  <c r="T916" i="8"/>
  <c r="T913" i="8"/>
  <c r="R911" i="8"/>
  <c r="S911" i="8" s="1"/>
  <c r="T908" i="8"/>
  <c r="T905" i="8"/>
  <c r="R903" i="8"/>
  <c r="S903" i="8" s="1"/>
  <c r="T900" i="8"/>
  <c r="T897" i="8"/>
  <c r="R895" i="8"/>
  <c r="S895" i="8" s="1"/>
  <c r="R892" i="8"/>
  <c r="S892" i="8" s="1"/>
  <c r="T889" i="8"/>
  <c r="T887" i="8"/>
  <c r="R885" i="8"/>
  <c r="S885" i="8" s="1"/>
  <c r="T882" i="8"/>
  <c r="T879" i="8"/>
  <c r="R877" i="8"/>
  <c r="S877" i="8" s="1"/>
  <c r="T874" i="8"/>
  <c r="T871" i="8"/>
  <c r="R869" i="8"/>
  <c r="S869" i="8" s="1"/>
  <c r="T856" i="8"/>
  <c r="T853" i="8"/>
  <c r="R851" i="8"/>
  <c r="S851" i="8" s="1"/>
  <c r="T849" i="8"/>
  <c r="T846" i="8"/>
  <c r="R844" i="8"/>
  <c r="S844" i="8" s="1"/>
  <c r="T840" i="8"/>
  <c r="R838" i="8"/>
  <c r="S838" i="8" s="1"/>
  <c r="T835" i="8"/>
  <c r="T832" i="8"/>
  <c r="T829" i="8"/>
  <c r="R827" i="8"/>
  <c r="S827" i="8" s="1"/>
  <c r="T824" i="8"/>
  <c r="T821" i="8"/>
  <c r="R819" i="8"/>
  <c r="S819" i="8" s="1"/>
  <c r="T816" i="8"/>
  <c r="T813" i="8"/>
  <c r="R811" i="8"/>
  <c r="S811" i="8" s="1"/>
  <c r="T808" i="8"/>
  <c r="T805" i="8"/>
  <c r="R803" i="8"/>
  <c r="S803" i="8" s="1"/>
  <c r="T800" i="8"/>
  <c r="T797" i="8"/>
  <c r="R795" i="8"/>
  <c r="S795" i="8" s="1"/>
  <c r="T792" i="8"/>
  <c r="T789" i="8"/>
  <c r="R787" i="8"/>
  <c r="S787" i="8" s="1"/>
  <c r="T784" i="8"/>
  <c r="T781" i="8"/>
  <c r="R779" i="8"/>
  <c r="S779" i="8" s="1"/>
  <c r="T774" i="8"/>
  <c r="T771" i="8"/>
  <c r="E103" i="2"/>
  <c r="E95" i="2"/>
  <c r="E93" i="2"/>
  <c r="E91" i="2"/>
  <c r="E87" i="2"/>
  <c r="H20" i="2" l="1"/>
  <c r="H30" i="2"/>
  <c r="H22" i="2"/>
  <c r="H28" i="2"/>
  <c r="H32" i="2"/>
  <c r="I27" i="2"/>
  <c r="I37" i="2"/>
  <c r="N101" i="1"/>
  <c r="AA101" i="1"/>
  <c r="O101" i="1"/>
  <c r="Q98" i="1"/>
  <c r="E35" i="2"/>
  <c r="F48" i="1"/>
  <c r="K71" i="1"/>
  <c r="E31" i="2"/>
  <c r="N61" i="1"/>
  <c r="F38" i="1"/>
  <c r="I12" i="2"/>
  <c r="H12" i="2"/>
  <c r="E29" i="2"/>
  <c r="F35" i="1"/>
  <c r="K58" i="1"/>
  <c r="K62" i="1"/>
  <c r="C45" i="4"/>
  <c r="L67" i="1"/>
  <c r="N117" i="1"/>
  <c r="AA117" i="1"/>
  <c r="O117" i="1"/>
  <c r="D39" i="4"/>
  <c r="K60" i="1"/>
  <c r="E21" i="2"/>
  <c r="F49" i="1"/>
  <c r="K72" i="1"/>
  <c r="M1507" i="8"/>
  <c r="M3012" i="8"/>
  <c r="M2475" i="8"/>
  <c r="M2743" i="8"/>
  <c r="M3319" i="8"/>
  <c r="M3771" i="8"/>
  <c r="M97" i="8"/>
  <c r="M1666" i="8"/>
  <c r="M2474" i="8"/>
  <c r="M3318" i="8"/>
  <c r="M3474" i="8"/>
  <c r="M3770" i="8"/>
  <c r="M1161" i="8"/>
  <c r="M1665" i="8"/>
  <c r="M1160" i="8"/>
  <c r="M1508" i="8"/>
  <c r="M2908" i="8"/>
  <c r="M3168" i="8"/>
  <c r="M3924" i="8"/>
  <c r="M1015" i="8"/>
  <c r="M96" i="8"/>
  <c r="P40" i="5"/>
  <c r="E88" i="2"/>
  <c r="D91" i="2"/>
  <c r="G91" i="2" s="1"/>
  <c r="H35" i="2"/>
  <c r="E99" i="2"/>
  <c r="H43" i="2"/>
  <c r="E104" i="2"/>
  <c r="AA96" i="1"/>
  <c r="N96" i="1"/>
  <c r="O96" i="1"/>
  <c r="G52" i="1"/>
  <c r="H34" i="1"/>
  <c r="AA104" i="1"/>
  <c r="N104" i="1"/>
  <c r="O104" i="1"/>
  <c r="M106" i="1"/>
  <c r="H35" i="1"/>
  <c r="AA110" i="1"/>
  <c r="N110" i="1"/>
  <c r="G14" i="1"/>
  <c r="H14" i="1" s="1"/>
  <c r="O110" i="1"/>
  <c r="H38" i="1"/>
  <c r="H48" i="1"/>
  <c r="AA122" i="1"/>
  <c r="N122" i="1"/>
  <c r="O122" i="1"/>
  <c r="N123" i="1"/>
  <c r="AA123" i="1"/>
  <c r="O123" i="1"/>
  <c r="AA130" i="1"/>
  <c r="G22" i="1"/>
  <c r="O130" i="1"/>
  <c r="M132" i="1"/>
  <c r="M32" i="5"/>
  <c r="M67" i="1" s="1"/>
  <c r="R55" i="8"/>
  <c r="S55" i="8" s="1"/>
  <c r="O56" i="8"/>
  <c r="R56" i="8" s="1"/>
  <c r="S56" i="8" s="1"/>
  <c r="S69" i="8"/>
  <c r="S135" i="8"/>
  <c r="O95" i="5" s="1"/>
  <c r="N95" i="5"/>
  <c r="S175" i="8"/>
  <c r="O96" i="5" s="1"/>
  <c r="N96" i="5"/>
  <c r="Q97" i="5"/>
  <c r="S361" i="8"/>
  <c r="R373" i="8"/>
  <c r="S373" i="8" s="1"/>
  <c r="O374" i="8"/>
  <c r="R374" i="8" s="1"/>
  <c r="S374" i="8" s="1"/>
  <c r="R393" i="8"/>
  <c r="S393" i="8" s="1"/>
  <c r="O394" i="8"/>
  <c r="S461" i="8"/>
  <c r="O104" i="5" s="1"/>
  <c r="N104" i="5"/>
  <c r="S489" i="8"/>
  <c r="O8" i="5" s="1"/>
  <c r="N8" i="5"/>
  <c r="S517" i="8"/>
  <c r="R651" i="8"/>
  <c r="S651" i="8" s="1"/>
  <c r="O652" i="8"/>
  <c r="R761" i="8"/>
  <c r="S761" i="8" s="1"/>
  <c r="O762" i="8"/>
  <c r="R762" i="8" s="1"/>
  <c r="S762" i="8" s="1"/>
  <c r="R775" i="8"/>
  <c r="S775" i="8" s="1"/>
  <c r="O776" i="8"/>
  <c r="R776" i="8" s="1"/>
  <c r="S776" i="8" s="1"/>
  <c r="R995" i="8"/>
  <c r="S995" i="8" s="1"/>
  <c r="O996" i="8"/>
  <c r="R996" i="8" s="1"/>
  <c r="S996" i="8" s="1"/>
  <c r="S1125" i="8"/>
  <c r="O78" i="5"/>
  <c r="S1177" i="8"/>
  <c r="O79" i="5" s="1"/>
  <c r="N79" i="5"/>
  <c r="S1209" i="8"/>
  <c r="O80" i="5" s="1"/>
  <c r="N80" i="5"/>
  <c r="O54" i="5"/>
  <c r="S1330" i="8"/>
  <c r="O55" i="5" s="1"/>
  <c r="N55" i="5"/>
  <c r="S1382" i="8"/>
  <c r="O56" i="5" s="1"/>
  <c r="N56" i="5"/>
  <c r="S1426" i="8"/>
  <c r="R1452" i="8"/>
  <c r="S1452" i="8" s="1"/>
  <c r="O1453" i="8"/>
  <c r="R1460" i="8"/>
  <c r="S1460" i="8" s="1"/>
  <c r="O1461" i="8"/>
  <c r="R1468" i="8"/>
  <c r="S1468" i="8" s="1"/>
  <c r="O1469" i="8"/>
  <c r="R1476" i="8"/>
  <c r="S1476" i="8" s="1"/>
  <c r="O1477" i="8"/>
  <c r="R1484" i="8"/>
  <c r="S1484" i="8" s="1"/>
  <c r="O1485" i="8"/>
  <c r="R1492" i="8"/>
  <c r="S1492" i="8" s="1"/>
  <c r="O1493" i="8"/>
  <c r="R1500" i="8"/>
  <c r="S1500" i="8" s="1"/>
  <c r="O1501" i="8"/>
  <c r="S1507" i="8"/>
  <c r="O34" i="5" s="1"/>
  <c r="N34" i="5"/>
  <c r="M90" i="1" s="1"/>
  <c r="F44" i="2"/>
  <c r="H24" i="2"/>
  <c r="E41" i="2"/>
  <c r="D104" i="2"/>
  <c r="G104" i="2" s="1"/>
  <c r="M28" i="5"/>
  <c r="M27" i="5"/>
  <c r="N5" i="4" s="1"/>
  <c r="M132" i="5"/>
  <c r="M73" i="1" s="1"/>
  <c r="M130" i="5"/>
  <c r="D41" i="4"/>
  <c r="Q92" i="1"/>
  <c r="Q41" i="5"/>
  <c r="C58" i="4"/>
  <c r="J19" i="1"/>
  <c r="Q121" i="1"/>
  <c r="R121" i="1" s="1"/>
  <c r="P94" i="5"/>
  <c r="P116" i="1" s="1"/>
  <c r="I17" i="1" s="1"/>
  <c r="P4" i="5"/>
  <c r="P102" i="5"/>
  <c r="P103" i="5"/>
  <c r="P92" i="1" s="1"/>
  <c r="I7" i="1" s="1"/>
  <c r="P12" i="5"/>
  <c r="S888" i="8"/>
  <c r="O47" i="5" s="1"/>
  <c r="N47" i="5"/>
  <c r="S777" i="8"/>
  <c r="O39" i="5" s="1"/>
  <c r="N39" i="5"/>
  <c r="S825" i="8"/>
  <c r="O41" i="5" s="1"/>
  <c r="N41" i="5"/>
  <c r="P46" i="5"/>
  <c r="S959" i="8"/>
  <c r="I21" i="2"/>
  <c r="I25" i="2"/>
  <c r="I29" i="2"/>
  <c r="I41" i="2"/>
  <c r="M25" i="5"/>
  <c r="Q24" i="5"/>
  <c r="S2" i="8"/>
  <c r="O60" i="5" s="1"/>
  <c r="N60" i="5"/>
  <c r="S30" i="8"/>
  <c r="S84" i="8"/>
  <c r="O129" i="5" s="1"/>
  <c r="N129" i="5"/>
  <c r="M128" i="1" s="1"/>
  <c r="Q94" i="5"/>
  <c r="M97" i="5"/>
  <c r="N60" i="1" s="1"/>
  <c r="Q2" i="5"/>
  <c r="Q3" i="5"/>
  <c r="Q4" i="5"/>
  <c r="M5" i="5"/>
  <c r="F42" i="1" s="1"/>
  <c r="S408" i="8"/>
  <c r="O102" i="5" s="1"/>
  <c r="N102" i="5"/>
  <c r="S420" i="8"/>
  <c r="O103" i="5" s="1"/>
  <c r="N103" i="5"/>
  <c r="Q89" i="5"/>
  <c r="S696" i="8"/>
  <c r="O12" i="5" s="1"/>
  <c r="N12" i="5"/>
  <c r="S722" i="8"/>
  <c r="Q46" i="5"/>
  <c r="R981" i="8"/>
  <c r="S981" i="8" s="1"/>
  <c r="O982" i="8"/>
  <c r="R982" i="8" s="1"/>
  <c r="S982" i="8" s="1"/>
  <c r="A6" i="6"/>
  <c r="C5" i="6"/>
  <c r="D5" i="6"/>
  <c r="B5" i="6"/>
  <c r="Q26" i="5"/>
  <c r="Q133" i="5"/>
  <c r="Q131" i="5"/>
  <c r="I14" i="2"/>
  <c r="I24" i="2"/>
  <c r="J13" i="1"/>
  <c r="Q108" i="1"/>
  <c r="R108" i="1" s="1"/>
  <c r="C51" i="4"/>
  <c r="D51" i="4"/>
  <c r="F51" i="4"/>
  <c r="N40" i="5"/>
  <c r="H11" i="2"/>
  <c r="H25" i="2"/>
  <c r="D45" i="4"/>
  <c r="L30" i="2"/>
  <c r="D95" i="2"/>
  <c r="G95" i="2" s="1"/>
  <c r="S40" i="1"/>
  <c r="K40" i="1"/>
  <c r="I40" i="1"/>
  <c r="S45" i="1"/>
  <c r="K45" i="1"/>
  <c r="I45" i="1"/>
  <c r="D92" i="2"/>
  <c r="F91" i="2"/>
  <c r="F95" i="2"/>
  <c r="P48" i="5"/>
  <c r="S1045" i="8"/>
  <c r="O107" i="5" s="1"/>
  <c r="N107" i="5"/>
  <c r="G44" i="2"/>
  <c r="E90" i="2"/>
  <c r="H31" i="2"/>
  <c r="E96" i="2"/>
  <c r="N83" i="1"/>
  <c r="AA83" i="1"/>
  <c r="O83" i="1"/>
  <c r="AA84" i="1"/>
  <c r="N84" i="1"/>
  <c r="O84" i="1"/>
  <c r="AA85" i="1"/>
  <c r="O85" i="1"/>
  <c r="AA86" i="1"/>
  <c r="O86" i="1"/>
  <c r="AA88" i="1"/>
  <c r="N88" i="1"/>
  <c r="G5" i="1"/>
  <c r="H5" i="1" s="1"/>
  <c r="O88" i="1"/>
  <c r="N93" i="1"/>
  <c r="AA93" i="1"/>
  <c r="O93" i="1"/>
  <c r="H49" i="1"/>
  <c r="N103" i="1"/>
  <c r="AA103" i="1"/>
  <c r="G11" i="1"/>
  <c r="H11" i="1" s="1"/>
  <c r="O103" i="1"/>
  <c r="AA114" i="1"/>
  <c r="N114" i="1"/>
  <c r="G16" i="1"/>
  <c r="H16" i="1" s="1"/>
  <c r="O114" i="1"/>
  <c r="AA124" i="1"/>
  <c r="N124" i="1"/>
  <c r="O124" i="1"/>
  <c r="Q32" i="5"/>
  <c r="E39" i="4" s="1"/>
  <c r="R45" i="8"/>
  <c r="S45" i="8" s="1"/>
  <c r="O46" i="8"/>
  <c r="R46" i="8" s="1"/>
  <c r="S46" i="8" s="1"/>
  <c r="Q126" i="1"/>
  <c r="R71" i="8"/>
  <c r="S71" i="8" s="1"/>
  <c r="O72" i="8"/>
  <c r="R72" i="8" s="1"/>
  <c r="S72" i="8" s="1"/>
  <c r="S213" i="8"/>
  <c r="R225" i="8"/>
  <c r="S225" i="8" s="1"/>
  <c r="O226" i="8"/>
  <c r="R226" i="8" s="1"/>
  <c r="S226" i="8" s="1"/>
  <c r="F32" i="4"/>
  <c r="E33" i="4"/>
  <c r="Q81" i="1"/>
  <c r="R81" i="1" s="1"/>
  <c r="R531" i="8"/>
  <c r="S531" i="8" s="1"/>
  <c r="O532" i="8"/>
  <c r="R532" i="8" s="1"/>
  <c r="S532" i="8" s="1"/>
  <c r="R637" i="8"/>
  <c r="S637" i="8" s="1"/>
  <c r="O638" i="8"/>
  <c r="R638" i="8" s="1"/>
  <c r="S638" i="8" s="1"/>
  <c r="R733" i="8"/>
  <c r="S733" i="8" s="1"/>
  <c r="O734" i="8"/>
  <c r="R743" i="8"/>
  <c r="S743" i="8" s="1"/>
  <c r="O744" i="8"/>
  <c r="R751" i="8"/>
  <c r="S751" i="8" s="1"/>
  <c r="O752" i="8"/>
  <c r="R752" i="8" s="1"/>
  <c r="S752" i="8" s="1"/>
  <c r="R985" i="8"/>
  <c r="S985" i="8" s="1"/>
  <c r="O986" i="8"/>
  <c r="R1001" i="8"/>
  <c r="S1001" i="8" s="1"/>
  <c r="O1002" i="8"/>
  <c r="R1002" i="8" s="1"/>
  <c r="S1002" i="8" s="1"/>
  <c r="R1009" i="8"/>
  <c r="S1009" i="8" s="1"/>
  <c r="O1010" i="8"/>
  <c r="R1010" i="8" s="1"/>
  <c r="S1010" i="8" s="1"/>
  <c r="R1139" i="8"/>
  <c r="S1139" i="8" s="1"/>
  <c r="O1140" i="8"/>
  <c r="R1140" i="8" s="1"/>
  <c r="S1140" i="8" s="1"/>
  <c r="R1259" i="8"/>
  <c r="O1260" i="8"/>
  <c r="R1260" i="8" s="1"/>
  <c r="S1260" i="8" s="1"/>
  <c r="R1271" i="8"/>
  <c r="S1271" i="8" s="1"/>
  <c r="O1272" i="8"/>
  <c r="R1272" i="8" s="1"/>
  <c r="S1272" i="8" s="1"/>
  <c r="R1448" i="8"/>
  <c r="S1448" i="8" s="1"/>
  <c r="O1449" i="8"/>
  <c r="R1456" i="8"/>
  <c r="S1456" i="8" s="1"/>
  <c r="O1457" i="8"/>
  <c r="R1464" i="8"/>
  <c r="S1464" i="8" s="1"/>
  <c r="O1465" i="8"/>
  <c r="R1472" i="8"/>
  <c r="S1472" i="8" s="1"/>
  <c r="O1473" i="8"/>
  <c r="R1480" i="8"/>
  <c r="S1480" i="8" s="1"/>
  <c r="O1481" i="8"/>
  <c r="R1488" i="8"/>
  <c r="S1488" i="8" s="1"/>
  <c r="O1489" i="8"/>
  <c r="R1496" i="8"/>
  <c r="S1496" i="8" s="1"/>
  <c r="O1497" i="8"/>
  <c r="R1504" i="8"/>
  <c r="S1504" i="8" s="1"/>
  <c r="O1505" i="8"/>
  <c r="Q90" i="1"/>
  <c r="F47" i="1"/>
  <c r="S41" i="1"/>
  <c r="Q41" i="1"/>
  <c r="R41" i="1" s="1"/>
  <c r="O41" i="1"/>
  <c r="P41" i="1" s="1"/>
  <c r="K41" i="1"/>
  <c r="I41" i="1"/>
  <c r="S36" i="1"/>
  <c r="K36" i="1"/>
  <c r="I36" i="1"/>
  <c r="Q28" i="5"/>
  <c r="E38" i="4" s="1"/>
  <c r="Q27" i="5"/>
  <c r="D38" i="4" s="1"/>
  <c r="Q132" i="5"/>
  <c r="E64" i="4" s="1"/>
  <c r="Q130" i="5"/>
  <c r="M41" i="5"/>
  <c r="E36" i="2"/>
  <c r="R3282" i="8"/>
  <c r="S3282" i="8" s="1"/>
  <c r="O3283" i="8"/>
  <c r="R3283" i="8" s="1"/>
  <c r="S3283" i="8" s="1"/>
  <c r="P80" i="1"/>
  <c r="J4" i="4"/>
  <c r="P13" i="5"/>
  <c r="J7" i="4" s="1"/>
  <c r="S923" i="8"/>
  <c r="O48" i="5" s="1"/>
  <c r="N48" i="5"/>
  <c r="P49" i="5"/>
  <c r="P47" i="5"/>
  <c r="J5" i="4" s="1"/>
  <c r="S1015" i="8"/>
  <c r="O106" i="5" s="1"/>
  <c r="N106" i="5"/>
  <c r="S1087" i="8"/>
  <c r="O108" i="5" s="1"/>
  <c r="N108" i="5"/>
  <c r="H29" i="2"/>
  <c r="E94" i="2"/>
  <c r="I11" i="2"/>
  <c r="I31" i="2"/>
  <c r="I35" i="2"/>
  <c r="I39" i="2"/>
  <c r="I43" i="2"/>
  <c r="Q25" i="5"/>
  <c r="F37" i="4" s="1"/>
  <c r="M24" i="5"/>
  <c r="E15" i="2" s="1"/>
  <c r="E46" i="4"/>
  <c r="Q61" i="5"/>
  <c r="F46" i="4" s="1"/>
  <c r="M125" i="5"/>
  <c r="Q128" i="1"/>
  <c r="R128" i="1" s="1"/>
  <c r="J21" i="1"/>
  <c r="F63" i="4"/>
  <c r="S96" i="8"/>
  <c r="O94" i="5" s="1"/>
  <c r="N94" i="5"/>
  <c r="S258" i="8"/>
  <c r="O2" i="5" s="1"/>
  <c r="N2" i="5"/>
  <c r="S286" i="8"/>
  <c r="O3" i="5" s="1"/>
  <c r="N3" i="5"/>
  <c r="H5" i="4" s="1"/>
  <c r="S324" i="8"/>
  <c r="O4" i="5" s="1"/>
  <c r="N4" i="5"/>
  <c r="H6" i="4" s="1"/>
  <c r="I6" i="4" s="1"/>
  <c r="Q102" i="5"/>
  <c r="Q103" i="5"/>
  <c r="D57" i="4" s="1"/>
  <c r="S670" i="8"/>
  <c r="O89" i="5" s="1"/>
  <c r="N89" i="5"/>
  <c r="M112" i="1" s="1"/>
  <c r="Q12" i="5"/>
  <c r="Q13" i="5"/>
  <c r="F34" i="4" s="1"/>
  <c r="S861" i="8"/>
  <c r="O46" i="5" s="1"/>
  <c r="N46" i="5"/>
  <c r="R975" i="8"/>
  <c r="S975" i="8" s="1"/>
  <c r="O976" i="8"/>
  <c r="R976" i="8" s="1"/>
  <c r="S976" i="8" s="1"/>
  <c r="R991" i="8"/>
  <c r="S991" i="8" s="1"/>
  <c r="O992" i="8"/>
  <c r="R992" i="8" s="1"/>
  <c r="S992" i="8" s="1"/>
  <c r="R1005" i="8"/>
  <c r="S1005" i="8" s="1"/>
  <c r="O1006" i="8"/>
  <c r="R1006" i="8" s="1"/>
  <c r="S1006" i="8" s="1"/>
  <c r="R1013" i="8"/>
  <c r="S1013" i="8" s="1"/>
  <c r="O1014" i="8"/>
  <c r="R1014" i="8" s="1"/>
  <c r="S1014" i="8" s="1"/>
  <c r="M57" i="5"/>
  <c r="N62" i="1" s="1"/>
  <c r="M34" i="5"/>
  <c r="E18" i="2" s="1"/>
  <c r="M26" i="5"/>
  <c r="E16" i="2" s="1"/>
  <c r="M133" i="5"/>
  <c r="N73" i="1" s="1"/>
  <c r="M131" i="5"/>
  <c r="F50" i="1" s="1"/>
  <c r="I34" i="2"/>
  <c r="F58" i="4"/>
  <c r="E51" i="4"/>
  <c r="O40" i="5"/>
  <c r="H39" i="2"/>
  <c r="J9" i="1"/>
  <c r="E45" i="4"/>
  <c r="D97" i="2"/>
  <c r="G97" i="2" s="1"/>
  <c r="D93" i="2"/>
  <c r="G93" i="2" s="1"/>
  <c r="S34" i="1"/>
  <c r="K34" i="1"/>
  <c r="I34" i="1"/>
  <c r="S50" i="1" l="1"/>
  <c r="K50" i="1"/>
  <c r="I50" i="1"/>
  <c r="H50" i="1"/>
  <c r="S42" i="1"/>
  <c r="K42" i="1"/>
  <c r="I42" i="1"/>
  <c r="H42" i="1"/>
  <c r="I16" i="2"/>
  <c r="H16" i="2"/>
  <c r="Q82" i="1"/>
  <c r="R82" i="1" s="1"/>
  <c r="E34" i="4"/>
  <c r="Q119" i="1"/>
  <c r="R119" i="1" s="1"/>
  <c r="J18" i="1"/>
  <c r="C57" i="4"/>
  <c r="N69" i="1"/>
  <c r="F46" i="1"/>
  <c r="E40" i="2"/>
  <c r="Q100" i="1"/>
  <c r="R100" i="1" s="1"/>
  <c r="C64" i="4"/>
  <c r="J22" i="1"/>
  <c r="Q130" i="1"/>
  <c r="R130" i="1" s="1"/>
  <c r="S47" i="1"/>
  <c r="K47" i="1"/>
  <c r="I47" i="1"/>
  <c r="C40" i="4"/>
  <c r="R1505" i="8"/>
  <c r="S1505" i="8" s="1"/>
  <c r="O1506" i="8"/>
  <c r="R1506" i="8" s="1"/>
  <c r="S1506" i="8" s="1"/>
  <c r="R1497" i="8"/>
  <c r="S1497" i="8" s="1"/>
  <c r="O1498" i="8"/>
  <c r="R1498" i="8" s="1"/>
  <c r="S1498" i="8" s="1"/>
  <c r="R1489" i="8"/>
  <c r="S1489" i="8" s="1"/>
  <c r="O1490" i="8"/>
  <c r="R1490" i="8" s="1"/>
  <c r="S1490" i="8" s="1"/>
  <c r="R1481" i="8"/>
  <c r="S1481" i="8" s="1"/>
  <c r="O1482" i="8"/>
  <c r="R1482" i="8" s="1"/>
  <c r="S1482" i="8" s="1"/>
  <c r="R1473" i="8"/>
  <c r="S1473" i="8" s="1"/>
  <c r="O1474" i="8"/>
  <c r="R1474" i="8" s="1"/>
  <c r="S1474" i="8" s="1"/>
  <c r="R1465" i="8"/>
  <c r="S1465" i="8" s="1"/>
  <c r="O1466" i="8"/>
  <c r="R1466" i="8" s="1"/>
  <c r="S1466" i="8" s="1"/>
  <c r="R1457" i="8"/>
  <c r="S1457" i="8" s="1"/>
  <c r="O1458" i="8"/>
  <c r="R1458" i="8" s="1"/>
  <c r="S1458" i="8" s="1"/>
  <c r="R1449" i="8"/>
  <c r="S1449" i="8" s="1"/>
  <c r="O1450" i="8"/>
  <c r="R1450" i="8" s="1"/>
  <c r="S1450" i="8" s="1"/>
  <c r="R986" i="8"/>
  <c r="S986" i="8" s="1"/>
  <c r="O987" i="8"/>
  <c r="R744" i="8"/>
  <c r="S744" i="8" s="1"/>
  <c r="O745" i="8"/>
  <c r="R734" i="8"/>
  <c r="S734" i="8" s="1"/>
  <c r="O735" i="8"/>
  <c r="K7" i="4"/>
  <c r="N97" i="5"/>
  <c r="R126" i="1"/>
  <c r="J20" i="1"/>
  <c r="F97" i="2"/>
  <c r="F64" i="4"/>
  <c r="J15" i="1"/>
  <c r="F53" i="4"/>
  <c r="Q112" i="1"/>
  <c r="R112" i="1" s="1"/>
  <c r="E32" i="4"/>
  <c r="K6" i="4"/>
  <c r="J24" i="1"/>
  <c r="F13" i="3" s="1"/>
  <c r="Q80" i="1"/>
  <c r="R80" i="1" s="1"/>
  <c r="C32" i="4"/>
  <c r="J4" i="1"/>
  <c r="K4" i="4"/>
  <c r="J17" i="1"/>
  <c r="Q116" i="1"/>
  <c r="R116" i="1" s="1"/>
  <c r="C55" i="4"/>
  <c r="O61" i="5"/>
  <c r="M92" i="1"/>
  <c r="P82" i="1"/>
  <c r="I4" i="1" s="1"/>
  <c r="I24" i="1" s="1"/>
  <c r="P119" i="1"/>
  <c r="I18" i="1" s="1"/>
  <c r="F41" i="4"/>
  <c r="J7" i="1"/>
  <c r="E42" i="2"/>
  <c r="K73" i="1"/>
  <c r="D102" i="2"/>
  <c r="H41" i="2"/>
  <c r="N109" i="5"/>
  <c r="R652" i="8"/>
  <c r="S652" i="8" s="1"/>
  <c r="O653" i="8"/>
  <c r="N9" i="5"/>
  <c r="M81" i="1"/>
  <c r="R394" i="8"/>
  <c r="S394" i="8" s="1"/>
  <c r="O395" i="8"/>
  <c r="R395" i="8" s="1"/>
  <c r="S395" i="8" s="1"/>
  <c r="F55" i="4"/>
  <c r="O125" i="5"/>
  <c r="AA132" i="1"/>
  <c r="N132" i="1"/>
  <c r="G23" i="1"/>
  <c r="H23" i="1" s="1"/>
  <c r="O132" i="1"/>
  <c r="N130" i="1"/>
  <c r="AA106" i="1"/>
  <c r="N106" i="1"/>
  <c r="G12" i="1"/>
  <c r="H12" i="1" s="1"/>
  <c r="O106" i="1"/>
  <c r="H47" i="1"/>
  <c r="F93" i="2"/>
  <c r="Q96" i="8"/>
  <c r="P96" i="8"/>
  <c r="Q3924" i="8"/>
  <c r="P3924" i="8"/>
  <c r="P2908" i="8"/>
  <c r="Q2908" i="8"/>
  <c r="Q1160" i="8"/>
  <c r="P1160" i="8"/>
  <c r="Q1665" i="8"/>
  <c r="P1665" i="8"/>
  <c r="Q3770" i="8"/>
  <c r="P3770" i="8"/>
  <c r="Q3318" i="8"/>
  <c r="P3318" i="8"/>
  <c r="Q1666" i="8"/>
  <c r="P1666" i="8"/>
  <c r="Q97" i="8"/>
  <c r="P97" i="8"/>
  <c r="Q3319" i="8"/>
  <c r="P3319" i="8"/>
  <c r="P2475" i="8"/>
  <c r="Q2475" i="8"/>
  <c r="P1507" i="8"/>
  <c r="Q1507" i="8"/>
  <c r="S49" i="1"/>
  <c r="K49" i="1"/>
  <c r="I49" i="1"/>
  <c r="M65" i="1"/>
  <c r="M6" i="4"/>
  <c r="F37" i="1"/>
  <c r="J5" i="1"/>
  <c r="E17" i="2"/>
  <c r="F39" i="1"/>
  <c r="D94" i="2"/>
  <c r="G94" i="2" s="1"/>
  <c r="D99" i="2"/>
  <c r="G99" i="2" s="1"/>
  <c r="M5" i="4"/>
  <c r="K65" i="1"/>
  <c r="C5" i="2"/>
  <c r="M4" i="4"/>
  <c r="F45" i="4"/>
  <c r="D87" i="2"/>
  <c r="I18" i="2"/>
  <c r="H18" i="2"/>
  <c r="AA112" i="1"/>
  <c r="N112" i="1"/>
  <c r="G15" i="1"/>
  <c r="H15" i="1" s="1"/>
  <c r="O112" i="1"/>
  <c r="I5" i="4"/>
  <c r="H4" i="4"/>
  <c r="I4" i="4" s="1"/>
  <c r="M116" i="1"/>
  <c r="J10" i="1"/>
  <c r="H15" i="2"/>
  <c r="I15" i="2"/>
  <c r="F94" i="2"/>
  <c r="M121" i="1"/>
  <c r="D100" i="2"/>
  <c r="I36" i="2"/>
  <c r="H36" i="2"/>
  <c r="F43" i="1"/>
  <c r="N66" i="1"/>
  <c r="E19" i="2"/>
  <c r="J6" i="1"/>
  <c r="R90" i="1"/>
  <c r="S1259" i="8"/>
  <c r="O81" i="5" s="1"/>
  <c r="N81" i="5"/>
  <c r="M108" i="1" s="1"/>
  <c r="O97" i="5"/>
  <c r="F62" i="4"/>
  <c r="N86" i="1"/>
  <c r="N85" i="1"/>
  <c r="G92" i="2"/>
  <c r="F92" i="2"/>
  <c r="D64" i="4"/>
  <c r="Q86" i="1"/>
  <c r="R86" i="1" s="1"/>
  <c r="C38" i="4"/>
  <c r="M1667" i="8"/>
  <c r="M99" i="8"/>
  <c r="M1510" i="8"/>
  <c r="M98" i="8"/>
  <c r="M1509" i="8"/>
  <c r="M2477" i="8"/>
  <c r="M3321" i="8"/>
  <c r="M3773" i="8"/>
  <c r="M1668" i="8"/>
  <c r="M2476" i="8"/>
  <c r="M3320" i="8"/>
  <c r="M3772" i="8"/>
  <c r="A7" i="6"/>
  <c r="C6" i="6"/>
  <c r="D6" i="6"/>
  <c r="B6" i="6"/>
  <c r="M1163" i="8"/>
  <c r="M1511" i="8"/>
  <c r="M2479" i="8"/>
  <c r="M3475" i="8"/>
  <c r="M3775" i="8"/>
  <c r="M259" i="8"/>
  <c r="M101" i="8"/>
  <c r="M1162" i="8"/>
  <c r="M1670" i="8"/>
  <c r="M2478" i="8"/>
  <c r="M2910" i="8"/>
  <c r="M3170" i="8"/>
  <c r="M3322" i="8"/>
  <c r="M3774" i="8"/>
  <c r="M3926" i="8"/>
  <c r="M1017" i="8"/>
  <c r="M1669" i="8"/>
  <c r="M3014" i="8"/>
  <c r="M2745" i="8"/>
  <c r="M2909" i="8"/>
  <c r="M3169" i="8"/>
  <c r="M3925" i="8"/>
  <c r="M1016" i="8"/>
  <c r="M1512" i="8"/>
  <c r="M3013" i="8"/>
  <c r="M2744" i="8"/>
  <c r="M3476" i="8"/>
  <c r="M258" i="8"/>
  <c r="M100" i="8"/>
  <c r="Q95" i="1"/>
  <c r="R95" i="1" s="1"/>
  <c r="J8" i="1"/>
  <c r="C43" i="4"/>
  <c r="M119" i="1"/>
  <c r="N7" i="4"/>
  <c r="M7" i="4"/>
  <c r="N65" i="1"/>
  <c r="D32" i="4"/>
  <c r="K5" i="4"/>
  <c r="AA128" i="1"/>
  <c r="N128" i="1"/>
  <c r="G21" i="1"/>
  <c r="H21" i="1" s="1"/>
  <c r="O128" i="1"/>
  <c r="N61" i="5"/>
  <c r="M100" i="1" s="1"/>
  <c r="E37" i="4"/>
  <c r="Q85" i="1"/>
  <c r="R85" i="1" s="1"/>
  <c r="P95" i="1"/>
  <c r="I8" i="1" s="1"/>
  <c r="J6" i="4"/>
  <c r="R92" i="1"/>
  <c r="AA90" i="1"/>
  <c r="N90" i="1"/>
  <c r="G6" i="1"/>
  <c r="H6" i="1" s="1"/>
  <c r="O90" i="1"/>
  <c r="R1501" i="8"/>
  <c r="S1501" i="8" s="1"/>
  <c r="O1502" i="8"/>
  <c r="R1502" i="8" s="1"/>
  <c r="S1502" i="8" s="1"/>
  <c r="R1493" i="8"/>
  <c r="S1493" i="8" s="1"/>
  <c r="O1494" i="8"/>
  <c r="R1494" i="8" s="1"/>
  <c r="S1494" i="8" s="1"/>
  <c r="R1485" i="8"/>
  <c r="S1485" i="8" s="1"/>
  <c r="O1486" i="8"/>
  <c r="R1486" i="8" s="1"/>
  <c r="S1486" i="8" s="1"/>
  <c r="R1477" i="8"/>
  <c r="S1477" i="8" s="1"/>
  <c r="O1478" i="8"/>
  <c r="R1478" i="8" s="1"/>
  <c r="S1478" i="8" s="1"/>
  <c r="R1469" i="8"/>
  <c r="S1469" i="8" s="1"/>
  <c r="O1470" i="8"/>
  <c r="R1470" i="8" s="1"/>
  <c r="S1470" i="8" s="1"/>
  <c r="R1461" i="8"/>
  <c r="S1461" i="8" s="1"/>
  <c r="O1462" i="8"/>
  <c r="R1462" i="8" s="1"/>
  <c r="S1462" i="8" s="1"/>
  <c r="R1453" i="8"/>
  <c r="S1453" i="8" s="1"/>
  <c r="O57" i="5" s="1"/>
  <c r="O1454" i="8"/>
  <c r="R1454" i="8" s="1"/>
  <c r="S1454" i="8" s="1"/>
  <c r="N57" i="5"/>
  <c r="O109" i="5"/>
  <c r="O9" i="5"/>
  <c r="O5" i="5"/>
  <c r="N125" i="5"/>
  <c r="M126" i="1" s="1"/>
  <c r="H22" i="1"/>
  <c r="F104" i="2"/>
  <c r="Q1015" i="8"/>
  <c r="P1015" i="8"/>
  <c r="P3168" i="8"/>
  <c r="Q3168" i="8"/>
  <c r="P1508" i="8"/>
  <c r="Q1508" i="8"/>
  <c r="P1161" i="8"/>
  <c r="Q1161" i="8"/>
  <c r="P3474" i="8"/>
  <c r="Q3474" i="8"/>
  <c r="P2474" i="8"/>
  <c r="Q2474" i="8"/>
  <c r="P3771" i="8"/>
  <c r="Q3771" i="8"/>
  <c r="P2743" i="8"/>
  <c r="Q2743" i="8"/>
  <c r="Q3012" i="8"/>
  <c r="P3012" i="8"/>
  <c r="D89" i="2"/>
  <c r="H21" i="2"/>
  <c r="N6" i="4"/>
  <c r="E33" i="2"/>
  <c r="L73" i="1"/>
  <c r="Q88" i="1"/>
  <c r="R88" i="1" s="1"/>
  <c r="F44" i="1"/>
  <c r="E23" i="2"/>
  <c r="S35" i="1"/>
  <c r="K35" i="1"/>
  <c r="I35" i="1"/>
  <c r="S38" i="1"/>
  <c r="K38" i="1"/>
  <c r="I38" i="1"/>
  <c r="D96" i="2"/>
  <c r="G96" i="2" s="1"/>
  <c r="S48" i="1"/>
  <c r="K48" i="1"/>
  <c r="I48" i="1"/>
  <c r="L65" i="1"/>
  <c r="C6" i="2"/>
  <c r="H95" i="2" s="1"/>
  <c r="N4" i="4"/>
  <c r="E10" i="2"/>
  <c r="R98" i="1"/>
  <c r="J21" i="2" l="1"/>
  <c r="F99" i="2"/>
  <c r="H99" i="2" s="1"/>
  <c r="J39" i="2"/>
  <c r="AA100" i="1"/>
  <c r="N100" i="1"/>
  <c r="G10" i="1"/>
  <c r="H10" i="1" s="1"/>
  <c r="O100" i="1"/>
  <c r="K39" i="2"/>
  <c r="AG124" i="1" s="1"/>
  <c r="T39" i="2"/>
  <c r="AF124" i="1"/>
  <c r="L39" i="2"/>
  <c r="D98" i="2"/>
  <c r="H33" i="2"/>
  <c r="I33" i="2"/>
  <c r="K21" i="2"/>
  <c r="AG95" i="1" s="1"/>
  <c r="AF95" i="1"/>
  <c r="T21" i="2"/>
  <c r="L21" i="2"/>
  <c r="AA126" i="1"/>
  <c r="N126" i="1"/>
  <c r="G20" i="1"/>
  <c r="H20" i="1" s="1"/>
  <c r="O126" i="1"/>
  <c r="N119" i="1"/>
  <c r="AA119" i="1"/>
  <c r="G18" i="1"/>
  <c r="H18" i="1" s="1"/>
  <c r="O119" i="1"/>
  <c r="Q3925" i="8"/>
  <c r="P3925" i="8"/>
  <c r="P2909" i="8"/>
  <c r="Q2909" i="8"/>
  <c r="Q3322" i="8"/>
  <c r="P3322" i="8"/>
  <c r="P2910" i="8"/>
  <c r="Q2910" i="8"/>
  <c r="P2478" i="8"/>
  <c r="Q2478" i="8"/>
  <c r="Q1162" i="8"/>
  <c r="P1162" i="8"/>
  <c r="Q101" i="8"/>
  <c r="P101" i="8"/>
  <c r="P3775" i="8"/>
  <c r="Q3775" i="8"/>
  <c r="Q3475" i="8"/>
  <c r="P3475" i="8"/>
  <c r="P1511" i="8"/>
  <c r="Q1511" i="8"/>
  <c r="P1163" i="8"/>
  <c r="Q1163" i="8"/>
  <c r="A8" i="6"/>
  <c r="C7" i="6"/>
  <c r="D7" i="6"/>
  <c r="B7" i="6"/>
  <c r="Q3320" i="8"/>
  <c r="P3320" i="8"/>
  <c r="Q1668" i="8"/>
  <c r="P1668" i="8"/>
  <c r="Q3321" i="8"/>
  <c r="P3321" i="8"/>
  <c r="P1509" i="8"/>
  <c r="Q1509" i="8"/>
  <c r="P1510" i="8"/>
  <c r="Q1510" i="8"/>
  <c r="Q1667" i="8"/>
  <c r="P1667" i="8"/>
  <c r="J25" i="2"/>
  <c r="AA108" i="1"/>
  <c r="N108" i="1"/>
  <c r="G13" i="1"/>
  <c r="H13" i="1" s="1"/>
  <c r="O108" i="1"/>
  <c r="D88" i="2"/>
  <c r="H19" i="2"/>
  <c r="I19" i="2"/>
  <c r="S43" i="1"/>
  <c r="K43" i="1"/>
  <c r="I43" i="1"/>
  <c r="H43" i="1"/>
  <c r="H94" i="2"/>
  <c r="J15" i="2"/>
  <c r="J12" i="2"/>
  <c r="D86" i="2"/>
  <c r="H17" i="2"/>
  <c r="I17" i="2"/>
  <c r="S37" i="1"/>
  <c r="K37" i="1"/>
  <c r="I37" i="1"/>
  <c r="H37" i="1"/>
  <c r="F52" i="1"/>
  <c r="J35" i="2"/>
  <c r="N5" i="5"/>
  <c r="J24" i="2"/>
  <c r="G102" i="2"/>
  <c r="F102" i="2"/>
  <c r="AA92" i="1"/>
  <c r="N92" i="1"/>
  <c r="G7" i="1"/>
  <c r="H7" i="1" s="1"/>
  <c r="O92" i="1"/>
  <c r="H91" i="2"/>
  <c r="S46" i="1"/>
  <c r="K46" i="1"/>
  <c r="I46" i="1"/>
  <c r="H46" i="1"/>
  <c r="M98" i="1"/>
  <c r="D90" i="2"/>
  <c r="I23" i="2"/>
  <c r="H23" i="2"/>
  <c r="E44" i="2"/>
  <c r="H10" i="2"/>
  <c r="D85" i="2"/>
  <c r="I10" i="2"/>
  <c r="S44" i="1"/>
  <c r="K44" i="1"/>
  <c r="I44" i="1"/>
  <c r="H44" i="1"/>
  <c r="G89" i="2"/>
  <c r="F89" i="2"/>
  <c r="H104" i="2"/>
  <c r="Q100" i="8"/>
  <c r="P100" i="8"/>
  <c r="Q258" i="8"/>
  <c r="P258" i="8"/>
  <c r="P3476" i="8"/>
  <c r="Q3476" i="8"/>
  <c r="P2744" i="8"/>
  <c r="Q2744" i="8"/>
  <c r="Q3013" i="8"/>
  <c r="P3013" i="8"/>
  <c r="P1512" i="8"/>
  <c r="Q1512" i="8"/>
  <c r="Q1016" i="8"/>
  <c r="P1016" i="8"/>
  <c r="Q3169" i="8"/>
  <c r="P3169" i="8"/>
  <c r="P2745" i="8"/>
  <c r="Q2745" i="8"/>
  <c r="Q3014" i="8"/>
  <c r="P3014" i="8"/>
  <c r="Q1669" i="8"/>
  <c r="P1669" i="8"/>
  <c r="Q1017" i="8"/>
  <c r="P1017" i="8"/>
  <c r="Q3926" i="8"/>
  <c r="P3926" i="8"/>
  <c r="Q3774" i="8"/>
  <c r="P3774" i="8"/>
  <c r="P3170" i="8"/>
  <c r="Q3170" i="8"/>
  <c r="Q1670" i="8"/>
  <c r="P1670" i="8"/>
  <c r="P259" i="8"/>
  <c r="Q259" i="8"/>
  <c r="P2479" i="8"/>
  <c r="Q2479" i="8"/>
  <c r="M1671" i="8"/>
  <c r="Q3772" i="8"/>
  <c r="P3772" i="8"/>
  <c r="P2476" i="8"/>
  <c r="Q2476" i="8"/>
  <c r="P3773" i="8"/>
  <c r="Q3773" i="8"/>
  <c r="P2477" i="8"/>
  <c r="Q2477" i="8"/>
  <c r="Q98" i="8"/>
  <c r="P98" i="8"/>
  <c r="Q99" i="8"/>
  <c r="P99" i="8"/>
  <c r="H92" i="2"/>
  <c r="F96" i="2"/>
  <c r="H96" i="2" s="1"/>
  <c r="J36" i="2"/>
  <c r="G100" i="2"/>
  <c r="F100" i="2"/>
  <c r="N121" i="1"/>
  <c r="AA121" i="1"/>
  <c r="G19" i="1"/>
  <c r="H19" i="1" s="1"/>
  <c r="O121" i="1"/>
  <c r="AA116" i="1"/>
  <c r="N116" i="1"/>
  <c r="G17" i="1"/>
  <c r="H17" i="1" s="1"/>
  <c r="O116" i="1"/>
  <c r="J18" i="2"/>
  <c r="G87" i="2"/>
  <c r="F87" i="2"/>
  <c r="Q43" i="2"/>
  <c r="O43" i="2"/>
  <c r="Q41" i="2"/>
  <c r="O41" i="2"/>
  <c r="Q39" i="2"/>
  <c r="O39" i="2"/>
  <c r="Q37" i="2"/>
  <c r="O37" i="2"/>
  <c r="Q35" i="2"/>
  <c r="O35" i="2"/>
  <c r="Q33" i="2"/>
  <c r="O33" i="2"/>
  <c r="Q31" i="2"/>
  <c r="O31" i="2"/>
  <c r="Q29" i="2"/>
  <c r="O29" i="2"/>
  <c r="Q27" i="2"/>
  <c r="O27" i="2"/>
  <c r="Q25" i="2"/>
  <c r="O25" i="2"/>
  <c r="Q23" i="2"/>
  <c r="O23" i="2"/>
  <c r="Q21" i="2"/>
  <c r="O21" i="2"/>
  <c r="Q19" i="2"/>
  <c r="O19" i="2"/>
  <c r="Q17" i="2"/>
  <c r="O17" i="2"/>
  <c r="Q15" i="2"/>
  <c r="O15" i="2"/>
  <c r="Q13" i="2"/>
  <c r="O13" i="2"/>
  <c r="Q11" i="2"/>
  <c r="O11" i="2"/>
  <c r="Q10" i="2"/>
  <c r="N11" i="2"/>
  <c r="O12" i="2"/>
  <c r="P13" i="2"/>
  <c r="Q14" i="2"/>
  <c r="N15" i="2"/>
  <c r="O16" i="2"/>
  <c r="P17" i="2"/>
  <c r="Q18" i="2"/>
  <c r="N19" i="2"/>
  <c r="O20" i="2"/>
  <c r="P21" i="2"/>
  <c r="Q22" i="2"/>
  <c r="N23" i="2"/>
  <c r="O24" i="2"/>
  <c r="P25" i="2"/>
  <c r="Q26" i="2"/>
  <c r="N27" i="2"/>
  <c r="O28" i="2"/>
  <c r="P29" i="2"/>
  <c r="Q30" i="2"/>
  <c r="N31" i="2"/>
  <c r="O32" i="2"/>
  <c r="P33" i="2"/>
  <c r="Q34" i="2"/>
  <c r="N35" i="2"/>
  <c r="O36" i="2"/>
  <c r="P37" i="2"/>
  <c r="Q38" i="2"/>
  <c r="N39" i="2"/>
  <c r="O40" i="2"/>
  <c r="P41" i="2"/>
  <c r="Q42" i="2"/>
  <c r="N43" i="2"/>
  <c r="P10" i="2"/>
  <c r="P12" i="2"/>
  <c r="P14" i="2"/>
  <c r="P16" i="2"/>
  <c r="P18" i="2"/>
  <c r="P20" i="2"/>
  <c r="P22" i="2"/>
  <c r="P24" i="2"/>
  <c r="P26" i="2"/>
  <c r="P28" i="2"/>
  <c r="P30" i="2"/>
  <c r="P32" i="2"/>
  <c r="P34" i="2"/>
  <c r="P36" i="2"/>
  <c r="P38" i="2"/>
  <c r="P40" i="2"/>
  <c r="P42" i="2"/>
  <c r="O10" i="2"/>
  <c r="P11" i="2"/>
  <c r="Q12" i="2"/>
  <c r="N13" i="2"/>
  <c r="O14" i="2"/>
  <c r="P15" i="2"/>
  <c r="Q16" i="2"/>
  <c r="N17" i="2"/>
  <c r="O18" i="2"/>
  <c r="P19" i="2"/>
  <c r="Q20" i="2"/>
  <c r="N21" i="2"/>
  <c r="O22" i="2"/>
  <c r="P23" i="2"/>
  <c r="Q24" i="2"/>
  <c r="N25" i="2"/>
  <c r="O26" i="2"/>
  <c r="P27" i="2"/>
  <c r="Q28" i="2"/>
  <c r="N29" i="2"/>
  <c r="O30" i="2"/>
  <c r="P31" i="2"/>
  <c r="Q32" i="2"/>
  <c r="N33" i="2"/>
  <c r="O34" i="2"/>
  <c r="P35" i="2"/>
  <c r="Q36" i="2"/>
  <c r="N37" i="2"/>
  <c r="O38" i="2"/>
  <c r="P39" i="2"/>
  <c r="Q40" i="2"/>
  <c r="N41" i="2"/>
  <c r="O42" i="2"/>
  <c r="P43" i="2"/>
  <c r="N10" i="2"/>
  <c r="N12" i="2"/>
  <c r="N14" i="2"/>
  <c r="N16" i="2"/>
  <c r="N18" i="2"/>
  <c r="N20" i="2"/>
  <c r="N22" i="2"/>
  <c r="N24" i="2"/>
  <c r="N26" i="2"/>
  <c r="N28" i="2"/>
  <c r="N30" i="2"/>
  <c r="N32" i="2"/>
  <c r="N34" i="2"/>
  <c r="N36" i="2"/>
  <c r="N38" i="2"/>
  <c r="N40" i="2"/>
  <c r="N42" i="2"/>
  <c r="J20" i="2"/>
  <c r="J28" i="2"/>
  <c r="J37" i="2"/>
  <c r="J22" i="2"/>
  <c r="J30" i="2"/>
  <c r="J38" i="2"/>
  <c r="J13" i="2"/>
  <c r="J27" i="2"/>
  <c r="J32" i="2"/>
  <c r="J14" i="2"/>
  <c r="J26" i="2"/>
  <c r="J34" i="2"/>
  <c r="S39" i="1"/>
  <c r="K39" i="1"/>
  <c r="I39" i="1"/>
  <c r="H39" i="1"/>
  <c r="H93" i="2"/>
  <c r="J43" i="2"/>
  <c r="N81" i="1"/>
  <c r="AA81" i="1"/>
  <c r="O81" i="1"/>
  <c r="R653" i="8"/>
  <c r="S653" i="8" s="1"/>
  <c r="O654" i="8"/>
  <c r="J41" i="2"/>
  <c r="D103" i="2"/>
  <c r="H42" i="2"/>
  <c r="I42" i="2"/>
  <c r="J11" i="2"/>
  <c r="H97" i="2"/>
  <c r="J31" i="2"/>
  <c r="R735" i="8"/>
  <c r="O736" i="8"/>
  <c r="R745" i="8"/>
  <c r="S745" i="8" s="1"/>
  <c r="O746" i="8"/>
  <c r="R987" i="8"/>
  <c r="O988" i="8"/>
  <c r="R988" i="8" s="1"/>
  <c r="S988" i="8" s="1"/>
  <c r="J29" i="2"/>
  <c r="D101" i="2"/>
  <c r="I40" i="2"/>
  <c r="H40" i="2"/>
  <c r="J16" i="2"/>
  <c r="J40" i="2" l="1"/>
  <c r="H89" i="2"/>
  <c r="J23" i="2"/>
  <c r="L23" i="2" s="1"/>
  <c r="J17" i="2"/>
  <c r="T17" i="2" s="1"/>
  <c r="H100" i="2"/>
  <c r="J33" i="2"/>
  <c r="T33" i="2" s="1"/>
  <c r="T40" i="2"/>
  <c r="K40" i="2"/>
  <c r="AG126" i="1" s="1"/>
  <c r="AF126" i="1"/>
  <c r="G101" i="2"/>
  <c r="F101" i="2"/>
  <c r="K29" i="2"/>
  <c r="AG108" i="1" s="1"/>
  <c r="T29" i="2"/>
  <c r="AF108" i="1"/>
  <c r="L29" i="2"/>
  <c r="S987" i="8"/>
  <c r="O49" i="5" s="1"/>
  <c r="N49" i="5"/>
  <c r="M95" i="1" s="1"/>
  <c r="S735" i="8"/>
  <c r="G103" i="2"/>
  <c r="F103" i="2"/>
  <c r="K41" i="2"/>
  <c r="AG128" i="1" s="1"/>
  <c r="T41" i="2"/>
  <c r="AF128" i="1"/>
  <c r="L41" i="2"/>
  <c r="K43" i="2"/>
  <c r="AG132" i="1" s="1"/>
  <c r="T43" i="2"/>
  <c r="AF132" i="1"/>
  <c r="L43" i="2"/>
  <c r="T16" i="2"/>
  <c r="K16" i="2"/>
  <c r="AG86" i="1" s="1"/>
  <c r="AF86" i="1"/>
  <c r="L16" i="2"/>
  <c r="L40" i="2"/>
  <c r="R746" i="8"/>
  <c r="S746" i="8" s="1"/>
  <c r="O747" i="8"/>
  <c r="R747" i="8" s="1"/>
  <c r="S747" i="8" s="1"/>
  <c r="R736" i="8"/>
  <c r="S736" i="8" s="1"/>
  <c r="O737" i="8"/>
  <c r="K31" i="2"/>
  <c r="AG112" i="1" s="1"/>
  <c r="T31" i="2"/>
  <c r="AF112" i="1"/>
  <c r="L31" i="2"/>
  <c r="K11" i="2"/>
  <c r="AG81" i="1" s="1"/>
  <c r="AF81" i="1"/>
  <c r="T11" i="2"/>
  <c r="L11" i="2"/>
  <c r="J42" i="2"/>
  <c r="R654" i="8"/>
  <c r="S654" i="8" s="1"/>
  <c r="O655" i="8"/>
  <c r="T34" i="2"/>
  <c r="AF117" i="1"/>
  <c r="K34" i="2"/>
  <c r="AG117" i="1" s="1"/>
  <c r="L34" i="2"/>
  <c r="T14" i="2"/>
  <c r="K14" i="2"/>
  <c r="AG84" i="1" s="1"/>
  <c r="AF84" i="1"/>
  <c r="L14" i="2"/>
  <c r="K27" i="2"/>
  <c r="AG104" i="1" s="1"/>
  <c r="T27" i="2"/>
  <c r="AF104" i="1"/>
  <c r="L27" i="2"/>
  <c r="T38" i="2"/>
  <c r="AF123" i="1"/>
  <c r="K38" i="2"/>
  <c r="AG123" i="1" s="1"/>
  <c r="L38" i="2"/>
  <c r="T22" i="2"/>
  <c r="K22" i="2"/>
  <c r="AG96" i="1" s="1"/>
  <c r="AF96" i="1"/>
  <c r="L22" i="2"/>
  <c r="T28" i="2"/>
  <c r="K28" i="2"/>
  <c r="AG106" i="1" s="1"/>
  <c r="AF106" i="1"/>
  <c r="L28" i="2"/>
  <c r="H87" i="2"/>
  <c r="T18" i="2"/>
  <c r="K18" i="2"/>
  <c r="AG90" i="1" s="1"/>
  <c r="AF90" i="1"/>
  <c r="L18" i="2"/>
  <c r="G85" i="2"/>
  <c r="F85" i="2"/>
  <c r="H102" i="2"/>
  <c r="T24" i="2"/>
  <c r="K24" i="2"/>
  <c r="AG100" i="1" s="1"/>
  <c r="AF100" i="1"/>
  <c r="L24" i="2"/>
  <c r="K52" i="1"/>
  <c r="I52" i="1"/>
  <c r="H52" i="1"/>
  <c r="J43" i="1" s="1"/>
  <c r="K17" i="2"/>
  <c r="AG88" i="1" s="1"/>
  <c r="AF88" i="1"/>
  <c r="K15" i="2"/>
  <c r="AG85" i="1" s="1"/>
  <c r="AF85" i="1"/>
  <c r="T15" i="2"/>
  <c r="L15" i="2"/>
  <c r="G88" i="2"/>
  <c r="F88" i="2"/>
  <c r="K25" i="2"/>
  <c r="AG101" i="1" s="1"/>
  <c r="AF101" i="1"/>
  <c r="T25" i="2"/>
  <c r="L25" i="2"/>
  <c r="M2747" i="8"/>
  <c r="M3171" i="8"/>
  <c r="M103" i="8"/>
  <c r="M1514" i="8"/>
  <c r="M3015" i="8"/>
  <c r="M2318" i="8"/>
  <c r="M2746" i="8"/>
  <c r="M861" i="8"/>
  <c r="M102" i="8"/>
  <c r="M1165" i="8"/>
  <c r="M1513" i="8"/>
  <c r="M2317" i="8"/>
  <c r="M2481" i="8"/>
  <c r="M3477" i="8"/>
  <c r="M3645" i="8"/>
  <c r="M3777" i="8"/>
  <c r="M1164" i="8"/>
  <c r="M2480" i="8"/>
  <c r="M3324" i="8"/>
  <c r="M3644" i="8"/>
  <c r="M3776" i="8"/>
  <c r="M3016" i="8"/>
  <c r="M2775" i="8"/>
  <c r="M2911" i="8"/>
  <c r="M3323" i="8"/>
  <c r="M3927" i="8"/>
  <c r="M862" i="8"/>
  <c r="M261" i="8"/>
  <c r="M1290" i="8"/>
  <c r="M2774" i="8"/>
  <c r="M3478" i="8"/>
  <c r="M260" i="8"/>
  <c r="M1289" i="8"/>
  <c r="M1019" i="8"/>
  <c r="M1672" i="8"/>
  <c r="M2912" i="8"/>
  <c r="M3928" i="8"/>
  <c r="M1018" i="8"/>
  <c r="A9" i="6"/>
  <c r="C8" i="6"/>
  <c r="D8" i="6"/>
  <c r="B8" i="6"/>
  <c r="M1292" i="8"/>
  <c r="M1291" i="8"/>
  <c r="K33" i="2"/>
  <c r="AG116" i="1" s="1"/>
  <c r="T26" i="2"/>
  <c r="AF103" i="1"/>
  <c r="K26" i="2"/>
  <c r="AG103" i="1" s="1"/>
  <c r="L26" i="2"/>
  <c r="T32" i="2"/>
  <c r="K32" i="2"/>
  <c r="AG114" i="1" s="1"/>
  <c r="AF114" i="1"/>
  <c r="L32" i="2"/>
  <c r="K13" i="2"/>
  <c r="AG83" i="1" s="1"/>
  <c r="AF83" i="1"/>
  <c r="T13" i="2"/>
  <c r="L13" i="2"/>
  <c r="T30" i="2"/>
  <c r="K30" i="2"/>
  <c r="AG110" i="1" s="1"/>
  <c r="AF110" i="1"/>
  <c r="K37" i="2"/>
  <c r="AG122" i="1" s="1"/>
  <c r="T37" i="2"/>
  <c r="AF122" i="1"/>
  <c r="L37" i="2"/>
  <c r="T20" i="2"/>
  <c r="AF93" i="1"/>
  <c r="K20" i="2"/>
  <c r="AG93" i="1" s="1"/>
  <c r="L20" i="2"/>
  <c r="T36" i="2"/>
  <c r="AF121" i="1"/>
  <c r="K36" i="2"/>
  <c r="AG121" i="1" s="1"/>
  <c r="L36" i="2"/>
  <c r="Q1671" i="8"/>
  <c r="P1671" i="8"/>
  <c r="J44" i="1"/>
  <c r="J10" i="2"/>
  <c r="H44" i="2"/>
  <c r="I44" i="2"/>
  <c r="K23" i="2"/>
  <c r="AG98" i="1" s="1"/>
  <c r="T23" i="2"/>
  <c r="AF98" i="1"/>
  <c r="G90" i="2"/>
  <c r="F90" i="2"/>
  <c r="AA98" i="1"/>
  <c r="N98" i="1"/>
  <c r="G9" i="1"/>
  <c r="H9" i="1" s="1"/>
  <c r="O98" i="1"/>
  <c r="J46" i="1"/>
  <c r="M80" i="1"/>
  <c r="K35" i="2"/>
  <c r="AG119" i="1" s="1"/>
  <c r="AF119" i="1"/>
  <c r="T35" i="2"/>
  <c r="L35" i="2"/>
  <c r="J37" i="1"/>
  <c r="G86" i="2"/>
  <c r="F86" i="2"/>
  <c r="H86" i="2" s="1"/>
  <c r="T12" i="2"/>
  <c r="K12" i="2"/>
  <c r="AG82" i="1" s="1"/>
  <c r="AF82" i="1"/>
  <c r="L12" i="2"/>
  <c r="J19" i="2"/>
  <c r="G98" i="2"/>
  <c r="F98" i="2"/>
  <c r="AF116" i="1" l="1"/>
  <c r="L17" i="2"/>
  <c r="H90" i="2"/>
  <c r="L33" i="2"/>
  <c r="H85" i="2"/>
  <c r="H98" i="2"/>
  <c r="K19" i="2"/>
  <c r="AG92" i="1" s="1"/>
  <c r="T19" i="2"/>
  <c r="AF92" i="1"/>
  <c r="L19" i="2"/>
  <c r="AA80" i="1"/>
  <c r="N80" i="1"/>
  <c r="O80" i="1"/>
  <c r="F19" i="3"/>
  <c r="T10" i="2"/>
  <c r="K10" i="2"/>
  <c r="AF80" i="1"/>
  <c r="L10" i="2"/>
  <c r="Q1291" i="8"/>
  <c r="P1291" i="8"/>
  <c r="P1292" i="8"/>
  <c r="Q1292" i="8"/>
  <c r="Q3928" i="8"/>
  <c r="P3928" i="8"/>
  <c r="Q1672" i="8"/>
  <c r="P1672" i="8"/>
  <c r="Q1289" i="8"/>
  <c r="P1289" i="8"/>
  <c r="P3478" i="8"/>
  <c r="Q3478" i="8"/>
  <c r="P1290" i="8"/>
  <c r="Q1290" i="8"/>
  <c r="P862" i="8"/>
  <c r="Q862" i="8"/>
  <c r="Q3323" i="8"/>
  <c r="P3323" i="8"/>
  <c r="P2775" i="8"/>
  <c r="Q2775" i="8"/>
  <c r="P3644" i="8"/>
  <c r="Q3644" i="8"/>
  <c r="P2480" i="8"/>
  <c r="Q2480" i="8"/>
  <c r="P3777" i="8"/>
  <c r="Q3777" i="8"/>
  <c r="Q3477" i="8"/>
  <c r="P3477" i="8"/>
  <c r="P2317" i="8"/>
  <c r="Q2317" i="8"/>
  <c r="P1165" i="8"/>
  <c r="Q1165" i="8"/>
  <c r="Q861" i="8"/>
  <c r="P861" i="8"/>
  <c r="P2318" i="8"/>
  <c r="Q2318" i="8"/>
  <c r="P1514" i="8"/>
  <c r="Q1514" i="8"/>
  <c r="Q3171" i="8"/>
  <c r="P3171" i="8"/>
  <c r="H88" i="2"/>
  <c r="R655" i="8"/>
  <c r="S655" i="8" s="1"/>
  <c r="O656" i="8"/>
  <c r="T42" i="2"/>
  <c r="M42" i="2" s="1"/>
  <c r="K42" i="2"/>
  <c r="AG130" i="1" s="1"/>
  <c r="AF130" i="1"/>
  <c r="L42" i="2"/>
  <c r="M11" i="2"/>
  <c r="M41" i="2"/>
  <c r="H103" i="2"/>
  <c r="N95" i="1"/>
  <c r="AA95" i="1"/>
  <c r="G8" i="1"/>
  <c r="H8" i="1" s="1"/>
  <c r="O95" i="1"/>
  <c r="M29" i="2"/>
  <c r="H101" i="2"/>
  <c r="M40" i="2"/>
  <c r="M30" i="2"/>
  <c r="M32" i="2"/>
  <c r="A10" i="6"/>
  <c r="C9" i="6"/>
  <c r="D9" i="6"/>
  <c r="B9" i="6"/>
  <c r="Q1018" i="8"/>
  <c r="P1018" i="8"/>
  <c r="P2912" i="8"/>
  <c r="Q2912" i="8"/>
  <c r="Q1019" i="8"/>
  <c r="P1019" i="8"/>
  <c r="Q260" i="8"/>
  <c r="P260" i="8"/>
  <c r="P2774" i="8"/>
  <c r="Q2774" i="8"/>
  <c r="P261" i="8"/>
  <c r="Q261" i="8"/>
  <c r="Q3927" i="8"/>
  <c r="P3927" i="8"/>
  <c r="P2911" i="8"/>
  <c r="Q2911" i="8"/>
  <c r="Q3016" i="8"/>
  <c r="P3016" i="8"/>
  <c r="Q3776" i="8"/>
  <c r="P3776" i="8"/>
  <c r="Q3324" i="8"/>
  <c r="P3324" i="8"/>
  <c r="Q1164" i="8"/>
  <c r="P1164" i="8"/>
  <c r="P3645" i="8"/>
  <c r="Q3645" i="8"/>
  <c r="Q2481" i="8"/>
  <c r="P2481" i="8"/>
  <c r="P1513" i="8"/>
  <c r="Q1513" i="8"/>
  <c r="Q102" i="8"/>
  <c r="P102" i="8"/>
  <c r="P2746" i="8"/>
  <c r="Q2746" i="8"/>
  <c r="Q3015" i="8"/>
  <c r="P3015" i="8"/>
  <c r="Q103" i="8"/>
  <c r="P103" i="8"/>
  <c r="P2747" i="8"/>
  <c r="Q2747" i="8"/>
  <c r="M25" i="2"/>
  <c r="J36" i="1"/>
  <c r="J41" i="1"/>
  <c r="J40" i="1"/>
  <c r="J45" i="1"/>
  <c r="J34" i="1"/>
  <c r="J35" i="1"/>
  <c r="J49" i="1"/>
  <c r="J48" i="1"/>
  <c r="J38" i="1"/>
  <c r="J47" i="1"/>
  <c r="J42" i="1"/>
  <c r="J50" i="1"/>
  <c r="M24" i="2"/>
  <c r="M27" i="2"/>
  <c r="J39" i="1"/>
  <c r="M31" i="2"/>
  <c r="R737" i="8"/>
  <c r="S737" i="8" s="1"/>
  <c r="O738" i="8"/>
  <c r="M43" i="2" l="1"/>
  <c r="M16" i="2"/>
  <c r="M18" i="2"/>
  <c r="M17" i="2"/>
  <c r="M26" i="2"/>
  <c r="M13" i="2"/>
  <c r="M37" i="2"/>
  <c r="R738" i="8"/>
  <c r="S738" i="8" s="1"/>
  <c r="O739" i="8"/>
  <c r="R656" i="8"/>
  <c r="S656" i="8" s="1"/>
  <c r="O657" i="8"/>
  <c r="R657" i="8" s="1"/>
  <c r="S657" i="8" s="1"/>
  <c r="M34" i="2"/>
  <c r="M38" i="2"/>
  <c r="M28" i="2"/>
  <c r="M33" i="2"/>
  <c r="M36" i="2"/>
  <c r="E81" i="2"/>
  <c r="C81" i="2"/>
  <c r="F80" i="2"/>
  <c r="D80" i="2"/>
  <c r="B80" i="2"/>
  <c r="E79" i="2"/>
  <c r="C79" i="2"/>
  <c r="F78" i="2"/>
  <c r="D78" i="2"/>
  <c r="B78" i="2"/>
  <c r="E77" i="2"/>
  <c r="C77" i="2"/>
  <c r="F76" i="2"/>
  <c r="D76" i="2"/>
  <c r="B76" i="2"/>
  <c r="E75" i="2"/>
  <c r="C75" i="2"/>
  <c r="F74" i="2"/>
  <c r="D74" i="2"/>
  <c r="B74" i="2"/>
  <c r="E73" i="2"/>
  <c r="C73" i="2"/>
  <c r="F72" i="2"/>
  <c r="D72" i="2"/>
  <c r="B72" i="2"/>
  <c r="E71" i="2"/>
  <c r="C71" i="2"/>
  <c r="F70" i="2"/>
  <c r="D70" i="2"/>
  <c r="B70" i="2"/>
  <c r="E69" i="2"/>
  <c r="C69" i="2"/>
  <c r="F68" i="2"/>
  <c r="D68" i="2"/>
  <c r="B68" i="2"/>
  <c r="E67" i="2"/>
  <c r="C67" i="2"/>
  <c r="F66" i="2"/>
  <c r="D66" i="2"/>
  <c r="B66" i="2"/>
  <c r="E65" i="2"/>
  <c r="C65" i="2"/>
  <c r="F64" i="2"/>
  <c r="D64" i="2"/>
  <c r="B64" i="2"/>
  <c r="E63" i="2"/>
  <c r="C63" i="2"/>
  <c r="F62" i="2"/>
  <c r="D62" i="2"/>
  <c r="B62" i="2"/>
  <c r="E61" i="2"/>
  <c r="C61" i="2"/>
  <c r="F60" i="2"/>
  <c r="D60" i="2"/>
  <c r="B60" i="2"/>
  <c r="E59" i="2"/>
  <c r="C59" i="2"/>
  <c r="F58" i="2"/>
  <c r="D58" i="2"/>
  <c r="B58" i="2"/>
  <c r="E57" i="2"/>
  <c r="C61" i="3" s="1"/>
  <c r="C57" i="2"/>
  <c r="E61" i="3" s="1"/>
  <c r="F56" i="2"/>
  <c r="D60" i="3" s="1"/>
  <c r="D56" i="2"/>
  <c r="B56" i="2"/>
  <c r="B60" i="3" s="1"/>
  <c r="E55" i="2"/>
  <c r="C59" i="3" s="1"/>
  <c r="C55" i="2"/>
  <c r="E59" i="3" s="1"/>
  <c r="F54" i="2"/>
  <c r="D58" i="3" s="1"/>
  <c r="D54" i="2"/>
  <c r="B54" i="2"/>
  <c r="B58" i="3" s="1"/>
  <c r="E53" i="2"/>
  <c r="C57" i="3" s="1"/>
  <c r="C53" i="2"/>
  <c r="E57" i="3" s="1"/>
  <c r="F52" i="2"/>
  <c r="D56" i="3" s="1"/>
  <c r="D52" i="2"/>
  <c r="B52" i="2"/>
  <c r="B56" i="3" s="1"/>
  <c r="E51" i="2"/>
  <c r="C55" i="3" s="1"/>
  <c r="C51" i="2"/>
  <c r="E55" i="3" s="1"/>
  <c r="F50" i="2"/>
  <c r="D54" i="3" s="1"/>
  <c r="D50" i="2"/>
  <c r="B50" i="2"/>
  <c r="B54" i="3" s="1"/>
  <c r="E49" i="2"/>
  <c r="C53" i="3" s="1"/>
  <c r="C49" i="2"/>
  <c r="E53" i="3" s="1"/>
  <c r="F48" i="2"/>
  <c r="D52" i="3" s="1"/>
  <c r="D48" i="2"/>
  <c r="B48" i="2"/>
  <c r="B52" i="3" s="1"/>
  <c r="F81" i="2"/>
  <c r="D81" i="2"/>
  <c r="B81" i="2"/>
  <c r="E80" i="2"/>
  <c r="C80" i="2"/>
  <c r="F79" i="2"/>
  <c r="D79" i="2"/>
  <c r="B79" i="2"/>
  <c r="E78" i="2"/>
  <c r="C78" i="2"/>
  <c r="F77" i="2"/>
  <c r="D77" i="2"/>
  <c r="B77" i="2"/>
  <c r="E76" i="2"/>
  <c r="C76" i="2"/>
  <c r="F75" i="2"/>
  <c r="D75" i="2"/>
  <c r="B75" i="2"/>
  <c r="E74" i="2"/>
  <c r="C74" i="2"/>
  <c r="F73" i="2"/>
  <c r="D73" i="2"/>
  <c r="B73" i="2"/>
  <c r="E72" i="2"/>
  <c r="C72" i="2"/>
  <c r="F71" i="2"/>
  <c r="D71" i="2"/>
  <c r="B71" i="2"/>
  <c r="E70" i="2"/>
  <c r="C70" i="2"/>
  <c r="F69" i="2"/>
  <c r="D69" i="2"/>
  <c r="B69" i="2"/>
  <c r="E68" i="2"/>
  <c r="C68" i="2"/>
  <c r="F67" i="2"/>
  <c r="D67" i="2"/>
  <c r="B67" i="2"/>
  <c r="E66" i="2"/>
  <c r="C66" i="2"/>
  <c r="F65" i="2"/>
  <c r="D65" i="2"/>
  <c r="B65" i="2"/>
  <c r="E64" i="2"/>
  <c r="C64" i="2"/>
  <c r="F63" i="2"/>
  <c r="D63" i="2"/>
  <c r="B63" i="2"/>
  <c r="E62" i="2"/>
  <c r="C62" i="2"/>
  <c r="F61" i="2"/>
  <c r="D61" i="2"/>
  <c r="B61" i="2"/>
  <c r="E60" i="2"/>
  <c r="C60" i="2"/>
  <c r="F59" i="2"/>
  <c r="D59" i="2"/>
  <c r="B59" i="2"/>
  <c r="E58" i="2"/>
  <c r="C58" i="2"/>
  <c r="F57" i="2"/>
  <c r="D61" i="3" s="1"/>
  <c r="D57" i="2"/>
  <c r="B57" i="2"/>
  <c r="B61" i="3" s="1"/>
  <c r="E56" i="2"/>
  <c r="C60" i="3" s="1"/>
  <c r="C56" i="2"/>
  <c r="E60" i="3" s="1"/>
  <c r="F55" i="2"/>
  <c r="D59" i="3" s="1"/>
  <c r="D55" i="2"/>
  <c r="B55" i="2"/>
  <c r="B59" i="3" s="1"/>
  <c r="E54" i="2"/>
  <c r="C58" i="3" s="1"/>
  <c r="C54" i="2"/>
  <c r="E58" i="3" s="1"/>
  <c r="F53" i="2"/>
  <c r="D57" i="3" s="1"/>
  <c r="D53" i="2"/>
  <c r="B53" i="2"/>
  <c r="B57" i="3" s="1"/>
  <c r="E52" i="2"/>
  <c r="C56" i="3" s="1"/>
  <c r="C52" i="2"/>
  <c r="E56" i="3" s="1"/>
  <c r="F51" i="2"/>
  <c r="D55" i="3" s="1"/>
  <c r="D51" i="2"/>
  <c r="B51" i="2"/>
  <c r="B55" i="3" s="1"/>
  <c r="E50" i="2"/>
  <c r="C54" i="3" s="1"/>
  <c r="C50" i="2"/>
  <c r="E54" i="3" s="1"/>
  <c r="F49" i="2"/>
  <c r="D53" i="3" s="1"/>
  <c r="D49" i="2"/>
  <c r="B49" i="2"/>
  <c r="B53" i="3" s="1"/>
  <c r="E48" i="2"/>
  <c r="C52" i="3" s="1"/>
  <c r="C48" i="2"/>
  <c r="E52" i="3" s="1"/>
  <c r="M10" i="2"/>
  <c r="I98" i="2"/>
  <c r="J98" i="2" s="1"/>
  <c r="I86" i="2"/>
  <c r="J86" i="2" s="1"/>
  <c r="I90" i="2"/>
  <c r="J90" i="2" s="1"/>
  <c r="I94" i="2"/>
  <c r="J94" i="2" s="1"/>
  <c r="I102" i="2"/>
  <c r="J102" i="2" s="1"/>
  <c r="I87" i="2"/>
  <c r="J87" i="2" s="1"/>
  <c r="I89" i="2"/>
  <c r="J89" i="2" s="1"/>
  <c r="I91" i="2"/>
  <c r="J91" i="2" s="1"/>
  <c r="I93" i="2"/>
  <c r="J93" i="2" s="1"/>
  <c r="I95" i="2"/>
  <c r="J95" i="2" s="1"/>
  <c r="I97" i="2"/>
  <c r="J97" i="2" s="1"/>
  <c r="I99" i="2"/>
  <c r="J99" i="2" s="1"/>
  <c r="I101" i="2"/>
  <c r="J101" i="2" s="1"/>
  <c r="I100" i="2"/>
  <c r="J100" i="2" s="1"/>
  <c r="I103" i="2"/>
  <c r="J103" i="2" s="1"/>
  <c r="I88" i="2"/>
  <c r="J88" i="2" s="1"/>
  <c r="I92" i="2"/>
  <c r="J92" i="2" s="1"/>
  <c r="I96" i="2"/>
  <c r="J96" i="2" s="1"/>
  <c r="I104" i="2"/>
  <c r="J104" i="2" s="1"/>
  <c r="I85" i="2"/>
  <c r="J85" i="2" s="1"/>
  <c r="M39" i="2"/>
  <c r="M21" i="2"/>
  <c r="M23" i="2"/>
  <c r="M19" i="2"/>
  <c r="A11" i="6"/>
  <c r="C10" i="6"/>
  <c r="B10" i="6"/>
  <c r="D10" i="6" s="1"/>
  <c r="M14" i="2"/>
  <c r="M22" i="2"/>
  <c r="M15" i="2"/>
  <c r="M20" i="2"/>
  <c r="F20" i="3"/>
  <c r="K44" i="2"/>
  <c r="AG80" i="1"/>
  <c r="M12" i="2"/>
  <c r="M35" i="2"/>
  <c r="A12" i="6" l="1"/>
  <c r="C11" i="6"/>
  <c r="B11" i="6"/>
  <c r="D11" i="6" s="1"/>
  <c r="R739" i="8"/>
  <c r="S739" i="8" s="1"/>
  <c r="O740" i="8"/>
  <c r="R740" i="8" s="1"/>
  <c r="S740" i="8" l="1"/>
  <c r="O13" i="5" s="1"/>
  <c r="N13" i="5"/>
  <c r="A13" i="6"/>
  <c r="C12" i="6"/>
  <c r="D12" i="6"/>
  <c r="B12" i="6"/>
  <c r="M82" i="1" l="1"/>
  <c r="H7" i="4"/>
  <c r="I7" i="4" s="1"/>
  <c r="A14" i="6"/>
  <c r="C13" i="6"/>
  <c r="B13" i="6"/>
  <c r="D13" i="6" s="1"/>
  <c r="A15" i="6" l="1"/>
  <c r="C14" i="6"/>
  <c r="B14" i="6"/>
  <c r="D14" i="6" s="1"/>
  <c r="AA82" i="1"/>
  <c r="N82" i="1"/>
  <c r="O82" i="1"/>
  <c r="G4" i="1"/>
  <c r="G24" i="1" l="1"/>
  <c r="H24" i="1" s="1"/>
  <c r="F12" i="3" s="1"/>
  <c r="H4" i="1"/>
  <c r="D34" i="3"/>
  <c r="D33" i="3"/>
  <c r="D32" i="3"/>
  <c r="D31" i="3"/>
  <c r="D30" i="3"/>
  <c r="E34" i="3"/>
  <c r="E33" i="3"/>
  <c r="E32" i="3"/>
  <c r="E31" i="3"/>
  <c r="E30" i="3"/>
  <c r="B34" i="3"/>
  <c r="B33" i="3"/>
  <c r="B32" i="3"/>
  <c r="B31" i="3"/>
  <c r="B30" i="3"/>
  <c r="C34" i="3"/>
  <c r="C33" i="3"/>
  <c r="C32" i="3"/>
  <c r="C31" i="3"/>
  <c r="C30" i="3"/>
  <c r="A16" i="6"/>
  <c r="C15" i="6"/>
  <c r="D15" i="6"/>
  <c r="B15" i="6"/>
  <c r="A17" i="6" l="1"/>
  <c r="C16" i="6"/>
  <c r="D16" i="6"/>
  <c r="B16" i="6"/>
  <c r="A18" i="6" l="1"/>
  <c r="C17" i="6"/>
  <c r="B17" i="6"/>
  <c r="D17" i="6" s="1"/>
  <c r="A19" i="6" l="1"/>
  <c r="C18" i="6"/>
  <c r="D18" i="6"/>
  <c r="B18" i="6"/>
  <c r="A20" i="6" l="1"/>
  <c r="C19" i="6"/>
  <c r="B19" i="6"/>
  <c r="D19" i="6" s="1"/>
  <c r="A21" i="6" l="1"/>
  <c r="C20" i="6"/>
  <c r="B20" i="6"/>
  <c r="D20" i="6" s="1"/>
  <c r="A22" i="6" l="1"/>
  <c r="C21" i="6"/>
  <c r="B21" i="6"/>
  <c r="D21" i="6" s="1"/>
  <c r="A23" i="6" l="1"/>
  <c r="C22" i="6"/>
  <c r="D22" i="6"/>
  <c r="B22" i="6"/>
  <c r="A24" i="6" l="1"/>
  <c r="C23" i="6"/>
  <c r="D23" i="6"/>
  <c r="B23" i="6"/>
  <c r="A25" i="6" l="1"/>
  <c r="C24" i="6"/>
  <c r="B24" i="6"/>
  <c r="D24" i="6" s="1"/>
  <c r="A26" i="6" l="1"/>
  <c r="C25" i="6"/>
  <c r="B25" i="6"/>
  <c r="D25" i="6" s="1"/>
  <c r="A27" i="6" l="1"/>
  <c r="C26" i="6"/>
  <c r="B26" i="6"/>
  <c r="D26" i="6" s="1"/>
  <c r="A28" i="6" l="1"/>
  <c r="C27" i="6"/>
  <c r="B27" i="6"/>
  <c r="D27" i="6" s="1"/>
  <c r="A29" i="6" l="1"/>
  <c r="C28" i="6"/>
  <c r="B28" i="6"/>
  <c r="D28" i="6" s="1"/>
  <c r="A30" i="6" l="1"/>
  <c r="C29" i="6"/>
  <c r="D29" i="6"/>
  <c r="B29" i="6"/>
  <c r="A31" i="6" l="1"/>
  <c r="C30" i="6"/>
  <c r="D30" i="6"/>
  <c r="B30" i="6"/>
  <c r="A32" i="6" l="1"/>
  <c r="C31" i="6"/>
  <c r="B31" i="6"/>
  <c r="D31" i="6" s="1"/>
  <c r="A33" i="6" l="1"/>
  <c r="C32" i="6"/>
  <c r="B32" i="6"/>
  <c r="D32" i="6" s="1"/>
  <c r="A34" i="6" l="1"/>
  <c r="C33" i="6"/>
  <c r="B33" i="6"/>
  <c r="D33" i="6" s="1"/>
  <c r="A35" i="6" l="1"/>
  <c r="C34" i="6"/>
  <c r="B34" i="6"/>
  <c r="D34" i="6" s="1"/>
  <c r="A36" i="6" l="1"/>
  <c r="C35" i="6"/>
  <c r="B35" i="6"/>
  <c r="D35" i="6" s="1"/>
  <c r="A37" i="6" l="1"/>
  <c r="C36" i="6"/>
  <c r="D36" i="6"/>
  <c r="B36" i="6"/>
  <c r="A38" i="6" l="1"/>
  <c r="C37" i="6"/>
  <c r="D37" i="6"/>
  <c r="B37" i="6"/>
  <c r="A39" i="6" l="1"/>
  <c r="C38" i="6"/>
  <c r="B38" i="6"/>
  <c r="D38" i="6" s="1"/>
  <c r="A40" i="6" l="1"/>
  <c r="C39" i="6"/>
  <c r="B39" i="6"/>
  <c r="D39" i="6" s="1"/>
  <c r="A41" i="6" l="1"/>
  <c r="C40" i="6"/>
  <c r="B40" i="6"/>
  <c r="D40" i="6" s="1"/>
  <c r="A42" i="6" l="1"/>
  <c r="C41" i="6"/>
  <c r="B41" i="6"/>
  <c r="D41" i="6" s="1"/>
  <c r="A43" i="6" l="1"/>
  <c r="C42" i="6"/>
  <c r="B42" i="6"/>
  <c r="D42" i="6" s="1"/>
  <c r="A44" i="6" l="1"/>
  <c r="C43" i="6"/>
  <c r="D43" i="6"/>
  <c r="B43" i="6"/>
  <c r="A45" i="6" l="1"/>
  <c r="C44" i="6"/>
  <c r="D44" i="6"/>
  <c r="B44" i="6"/>
  <c r="A46" i="6" l="1"/>
  <c r="C45" i="6"/>
  <c r="B45" i="6"/>
  <c r="D45" i="6" s="1"/>
  <c r="A47" i="6" l="1"/>
  <c r="C46" i="6"/>
  <c r="B46" i="6"/>
  <c r="D46" i="6" s="1"/>
  <c r="A48" i="6" l="1"/>
  <c r="C47" i="6"/>
  <c r="B47" i="6"/>
  <c r="D47" i="6" s="1"/>
  <c r="A49" i="6" l="1"/>
  <c r="C48" i="6"/>
  <c r="B48" i="6"/>
  <c r="D48" i="6" s="1"/>
  <c r="A50" i="6" l="1"/>
  <c r="C49" i="6"/>
  <c r="B49" i="6"/>
  <c r="D49" i="6" s="1"/>
  <c r="A51" i="6" l="1"/>
  <c r="C50" i="6"/>
  <c r="D50" i="6"/>
  <c r="B50" i="6"/>
  <c r="A52" i="6" l="1"/>
  <c r="C51" i="6"/>
  <c r="D51" i="6"/>
  <c r="B51" i="6"/>
  <c r="A53" i="6" l="1"/>
  <c r="C52" i="6"/>
  <c r="B52" i="6"/>
  <c r="D52" i="6" s="1"/>
  <c r="A54" i="6" l="1"/>
  <c r="C53" i="6"/>
  <c r="B53" i="6"/>
  <c r="D53" i="6" s="1"/>
  <c r="A55" i="6" l="1"/>
  <c r="C54" i="6"/>
  <c r="B54" i="6"/>
  <c r="D54" i="6" s="1"/>
  <c r="A56" i="6" l="1"/>
  <c r="C55" i="6"/>
  <c r="B55" i="6"/>
  <c r="D55" i="6" s="1"/>
  <c r="A57" i="6" l="1"/>
  <c r="C56" i="6"/>
  <c r="B56" i="6"/>
  <c r="D56" i="6" s="1"/>
  <c r="A58" i="6" l="1"/>
  <c r="C57" i="6"/>
  <c r="D57" i="6"/>
  <c r="B57" i="6"/>
  <c r="A59" i="6" l="1"/>
  <c r="C58" i="6"/>
  <c r="D58" i="6"/>
  <c r="B58" i="6"/>
  <c r="A60" i="6" l="1"/>
  <c r="C59" i="6"/>
  <c r="B59" i="6"/>
  <c r="D59" i="6" s="1"/>
  <c r="A61" i="6" l="1"/>
  <c r="C60" i="6"/>
  <c r="B60" i="6"/>
  <c r="D60" i="6" s="1"/>
  <c r="A62" i="6" l="1"/>
  <c r="C61" i="6"/>
  <c r="B61" i="6"/>
  <c r="D61" i="6" s="1"/>
  <c r="A63" i="6" l="1"/>
  <c r="C62" i="6"/>
  <c r="B62" i="6"/>
  <c r="D62" i="6" s="1"/>
  <c r="A64" i="6" l="1"/>
  <c r="C63" i="6"/>
  <c r="B63" i="6"/>
  <c r="D63" i="6" s="1"/>
  <c r="A65" i="6" l="1"/>
  <c r="C64" i="6"/>
  <c r="D64" i="6"/>
  <c r="B64" i="6"/>
  <c r="A66" i="6" l="1"/>
  <c r="C65" i="6"/>
  <c r="D65" i="6"/>
  <c r="B65" i="6"/>
  <c r="A67" i="6" l="1"/>
  <c r="C66" i="6"/>
  <c r="B66" i="6"/>
  <c r="D66" i="6" s="1"/>
  <c r="A68" i="6" l="1"/>
  <c r="C67" i="6"/>
  <c r="B67" i="6"/>
  <c r="D67" i="6" s="1"/>
  <c r="A69" i="6" l="1"/>
  <c r="C68" i="6"/>
  <c r="B68" i="6"/>
  <c r="D68" i="6" s="1"/>
  <c r="A70" i="6" l="1"/>
  <c r="C69" i="6"/>
  <c r="B69" i="6"/>
  <c r="D69" i="6" s="1"/>
  <c r="A71" i="6" l="1"/>
  <c r="C70" i="6"/>
  <c r="B70" i="6"/>
  <c r="D70" i="6" s="1"/>
  <c r="A72" i="6" l="1"/>
  <c r="C71" i="6"/>
  <c r="D71" i="6"/>
  <c r="B71" i="6"/>
  <c r="A73" i="6" l="1"/>
  <c r="C72" i="6"/>
  <c r="D72" i="6"/>
  <c r="B72" i="6"/>
  <c r="A74" i="6" l="1"/>
  <c r="C73" i="6"/>
  <c r="D73" i="6"/>
  <c r="B73" i="6"/>
  <c r="A75" i="6" l="1"/>
  <c r="C74" i="6"/>
  <c r="B74" i="6"/>
  <c r="D74" i="6" s="1"/>
  <c r="A76" i="6" l="1"/>
  <c r="C75" i="6"/>
  <c r="B75" i="6"/>
  <c r="D75" i="6" s="1"/>
  <c r="A77" i="6" l="1"/>
  <c r="C76" i="6"/>
  <c r="B76" i="6"/>
  <c r="D76" i="6" s="1"/>
  <c r="A78" i="6" l="1"/>
  <c r="C77" i="6"/>
  <c r="B77" i="6"/>
  <c r="D77" i="6" s="1"/>
  <c r="A79" i="6" l="1"/>
  <c r="C78" i="6"/>
  <c r="D78" i="6"/>
  <c r="B78" i="6"/>
  <c r="A80" i="6" l="1"/>
  <c r="C79" i="6"/>
  <c r="D79" i="6"/>
  <c r="B79" i="6"/>
  <c r="A81" i="6" l="1"/>
  <c r="C80" i="6"/>
  <c r="D80" i="6"/>
  <c r="B80" i="6"/>
  <c r="A82" i="6" l="1"/>
  <c r="C81" i="6"/>
  <c r="B81" i="6"/>
  <c r="D81" i="6" s="1"/>
  <c r="A83" i="6" l="1"/>
  <c r="C82" i="6"/>
  <c r="B82" i="6"/>
  <c r="D82" i="6" s="1"/>
  <c r="A84" i="6" l="1"/>
  <c r="C83" i="6"/>
  <c r="B83" i="6"/>
  <c r="D83" i="6" s="1"/>
  <c r="A85" i="6" l="1"/>
  <c r="C84" i="6"/>
  <c r="D84" i="6"/>
  <c r="B84" i="6"/>
  <c r="A86" i="6" l="1"/>
  <c r="C85" i="6"/>
  <c r="D85" i="6"/>
  <c r="B85" i="6"/>
  <c r="A87" i="6" l="1"/>
  <c r="C86" i="6"/>
  <c r="D86" i="6"/>
  <c r="B86" i="6"/>
  <c r="A88" i="6" l="1"/>
  <c r="C87" i="6"/>
  <c r="B87" i="6"/>
  <c r="D87" i="6" s="1"/>
  <c r="A89" i="6" l="1"/>
  <c r="C88" i="6"/>
  <c r="D88" i="6"/>
  <c r="B88" i="6"/>
  <c r="A90" i="6" l="1"/>
  <c r="C89" i="6"/>
  <c r="B89" i="6"/>
  <c r="D89" i="6" s="1"/>
  <c r="A91" i="6" l="1"/>
  <c r="C90" i="6"/>
  <c r="B90" i="6"/>
  <c r="D90" i="6" s="1"/>
  <c r="A92" i="6" l="1"/>
  <c r="C91" i="6"/>
  <c r="B91" i="6"/>
  <c r="D91" i="6" s="1"/>
  <c r="A93" i="6" l="1"/>
  <c r="C92" i="6"/>
  <c r="D92" i="6"/>
  <c r="B92" i="6"/>
  <c r="A94" i="6" l="1"/>
  <c r="C93" i="6"/>
  <c r="D93" i="6"/>
  <c r="B93" i="6"/>
  <c r="A95" i="6" l="1"/>
  <c r="C94" i="6"/>
  <c r="D94" i="6"/>
  <c r="B94" i="6"/>
  <c r="A96" i="6" l="1"/>
  <c r="C95" i="6"/>
  <c r="B95" i="6"/>
  <c r="D95" i="6" s="1"/>
  <c r="A97" i="6" l="1"/>
  <c r="C96" i="6"/>
  <c r="B96" i="6"/>
  <c r="D96" i="6" s="1"/>
  <c r="A98" i="6" l="1"/>
  <c r="C97" i="6"/>
  <c r="B97" i="6"/>
  <c r="D97" i="6" s="1"/>
  <c r="A99" i="6" l="1"/>
  <c r="C98" i="6"/>
  <c r="B98" i="6"/>
  <c r="D98" i="6" s="1"/>
  <c r="A100" i="6" l="1"/>
  <c r="C99" i="6"/>
  <c r="D99" i="6"/>
  <c r="B99" i="6"/>
  <c r="A101" i="6" l="1"/>
  <c r="C100" i="6"/>
  <c r="D100" i="6"/>
  <c r="B100" i="6"/>
  <c r="A102" i="6" l="1"/>
  <c r="C101" i="6"/>
  <c r="B101" i="6"/>
  <c r="D101" i="6" s="1"/>
  <c r="A103" i="6" l="1"/>
  <c r="C102" i="6"/>
  <c r="B102" i="6"/>
  <c r="D102" i="6" s="1"/>
  <c r="A104" i="6" l="1"/>
  <c r="C103" i="6"/>
  <c r="B103" i="6"/>
  <c r="D103" i="6" s="1"/>
  <c r="A105" i="6" l="1"/>
  <c r="C104" i="6"/>
  <c r="B104" i="6"/>
  <c r="D104" i="6" s="1"/>
  <c r="A106" i="6" l="1"/>
  <c r="C105" i="6"/>
  <c r="D105" i="6"/>
  <c r="B105" i="6"/>
  <c r="A107" i="6" l="1"/>
  <c r="C106" i="6"/>
  <c r="D106" i="6"/>
  <c r="B106" i="6"/>
  <c r="A108" i="6" l="1"/>
  <c r="C107" i="6"/>
  <c r="D107" i="6"/>
  <c r="B107" i="6"/>
  <c r="A109" i="6" l="1"/>
  <c r="C108" i="6"/>
  <c r="B108" i="6"/>
  <c r="D108" i="6" s="1"/>
  <c r="A110" i="6" l="1"/>
  <c r="C109" i="6"/>
  <c r="B109" i="6"/>
  <c r="D109" i="6" s="1"/>
  <c r="A111" i="6" l="1"/>
  <c r="C110" i="6"/>
  <c r="B110" i="6"/>
  <c r="D110" i="6" s="1"/>
  <c r="A112" i="6" l="1"/>
  <c r="C111" i="6"/>
  <c r="B111" i="6"/>
  <c r="D111" i="6" s="1"/>
  <c r="A113" i="6" l="1"/>
  <c r="C112" i="6"/>
  <c r="B112" i="6"/>
  <c r="D112" i="6" s="1"/>
  <c r="A114" i="6" l="1"/>
  <c r="C113" i="6"/>
  <c r="D113" i="6"/>
  <c r="B113" i="6"/>
  <c r="A115" i="6" l="1"/>
  <c r="C114" i="6"/>
  <c r="D114" i="6"/>
  <c r="B114" i="6"/>
  <c r="A116" i="6" l="1"/>
  <c r="C115" i="6"/>
  <c r="B115" i="6"/>
  <c r="D115" i="6" s="1"/>
  <c r="A117" i="6" l="1"/>
  <c r="C116" i="6"/>
  <c r="B116" i="6"/>
  <c r="D116" i="6" s="1"/>
  <c r="A118" i="6" l="1"/>
  <c r="C117" i="6"/>
  <c r="B117" i="6"/>
  <c r="D117" i="6" s="1"/>
  <c r="A119" i="6" l="1"/>
  <c r="C118" i="6"/>
  <c r="B118" i="6"/>
  <c r="D118" i="6" s="1"/>
  <c r="A120" i="6" l="1"/>
  <c r="C119" i="6"/>
  <c r="B119" i="6"/>
  <c r="D119" i="6" s="1"/>
  <c r="A121" i="6" l="1"/>
  <c r="C120" i="6"/>
  <c r="D120" i="6"/>
  <c r="B120" i="6"/>
  <c r="A122" i="6" l="1"/>
  <c r="C121" i="6"/>
  <c r="D121" i="6"/>
  <c r="B121" i="6"/>
  <c r="A123" i="6" l="1"/>
  <c r="C122" i="6"/>
  <c r="B122" i="6"/>
  <c r="D122" i="6" s="1"/>
  <c r="A124" i="6" l="1"/>
  <c r="C123" i="6"/>
  <c r="B123" i="6"/>
  <c r="D123" i="6" s="1"/>
  <c r="A125" i="6" l="1"/>
  <c r="C124" i="6"/>
  <c r="D124" i="6"/>
  <c r="B124" i="6"/>
  <c r="A126" i="6" l="1"/>
  <c r="C125" i="6"/>
  <c r="D125" i="6"/>
  <c r="B125" i="6"/>
  <c r="A127" i="6" l="1"/>
  <c r="C126" i="6"/>
  <c r="D126" i="6"/>
  <c r="B126" i="6"/>
  <c r="A128" i="6" l="1"/>
  <c r="C127" i="6"/>
  <c r="D127" i="6"/>
  <c r="B127" i="6"/>
  <c r="A129" i="6" l="1"/>
  <c r="C128" i="6"/>
  <c r="D128" i="6"/>
  <c r="B128" i="6"/>
  <c r="A130" i="6" l="1"/>
  <c r="C129" i="6"/>
  <c r="D129" i="6"/>
  <c r="B129" i="6"/>
  <c r="A131" i="6" l="1"/>
  <c r="C130" i="6"/>
  <c r="D130" i="6"/>
  <c r="B130" i="6"/>
  <c r="A132" i="6" l="1"/>
  <c r="C131" i="6"/>
  <c r="D131" i="6"/>
  <c r="B131" i="6"/>
  <c r="C132" i="6" l="1"/>
  <c r="D132" i="6"/>
  <c r="B132" i="6"/>
  <c r="M1120" i="8"/>
  <c r="M2051" i="8"/>
  <c r="M3227" i="8"/>
  <c r="M3195" i="8"/>
  <c r="M2939" i="8"/>
  <c r="M2907" i="8"/>
  <c r="M2875" i="8"/>
  <c r="M2843" i="8"/>
  <c r="M2811" i="8"/>
  <c r="M2779" i="8"/>
  <c r="M2735" i="8"/>
  <c r="M2703" i="8"/>
  <c r="M2671" i="8"/>
  <c r="M2639" i="8"/>
  <c r="M2607" i="8"/>
  <c r="M2575" i="8"/>
  <c r="M2543" i="8"/>
  <c r="M2511" i="8"/>
  <c r="M2467" i="8"/>
  <c r="M2435" i="8"/>
  <c r="M2403" i="8"/>
  <c r="M2371" i="8"/>
  <c r="M2339" i="8"/>
  <c r="M2307" i="8"/>
  <c r="M2275" i="8"/>
  <c r="M2243" i="8"/>
  <c r="M2211" i="8"/>
  <c r="M2179" i="8"/>
  <c r="M2147" i="8"/>
  <c r="M2115" i="8"/>
  <c r="M2083" i="8"/>
  <c r="M2035" i="8"/>
  <c r="M2003" i="8"/>
  <c r="M1971" i="8"/>
  <c r="M1939" i="8"/>
  <c r="M1907" i="8"/>
  <c r="M1875" i="8"/>
  <c r="M3140" i="8"/>
  <c r="M3108" i="8"/>
  <c r="M3076" i="8"/>
  <c r="M3044" i="8"/>
  <c r="M3008" i="8"/>
  <c r="M2976" i="8"/>
  <c r="M1863" i="8"/>
  <c r="M1831" i="8"/>
  <c r="M1799" i="8"/>
  <c r="M1767" i="8"/>
  <c r="M1735" i="8"/>
  <c r="M1703" i="8"/>
  <c r="M1651" i="8"/>
  <c r="M1619" i="8"/>
  <c r="M1587" i="8"/>
  <c r="M1555" i="8"/>
  <c r="M1523" i="8"/>
  <c r="M1487" i="8"/>
  <c r="M1455" i="8"/>
  <c r="M1423" i="8"/>
  <c r="M1391" i="8"/>
  <c r="M1359" i="8"/>
  <c r="M1327" i="8"/>
  <c r="M1295" i="8"/>
  <c r="M1263" i="8"/>
  <c r="M1231" i="8"/>
  <c r="M1199" i="8"/>
  <c r="M1135" i="8"/>
  <c r="M2011" i="8"/>
  <c r="M1979" i="8"/>
  <c r="M1947" i="8"/>
  <c r="M1915" i="8"/>
  <c r="M1883" i="8"/>
  <c r="M3148" i="8"/>
  <c r="M3116" i="8"/>
  <c r="M3084" i="8"/>
  <c r="M3052" i="8"/>
  <c r="M3020" i="8"/>
  <c r="M2984" i="8"/>
  <c r="M2952" i="8"/>
  <c r="M1839" i="8"/>
  <c r="M1807" i="8"/>
  <c r="M1775" i="8"/>
  <c r="M1743" i="8"/>
  <c r="M1711" i="8"/>
  <c r="M1679" i="8"/>
  <c r="M1643" i="8"/>
  <c r="M1611" i="8"/>
  <c r="M1579" i="8"/>
  <c r="M1547" i="8"/>
  <c r="M1479" i="8"/>
  <c r="M1447" i="8"/>
  <c r="M1415" i="8"/>
  <c r="M1383" i="8"/>
  <c r="M1351" i="8"/>
  <c r="M1319" i="8"/>
  <c r="M1287" i="8"/>
  <c r="M1255" i="8"/>
  <c r="M1223" i="8"/>
  <c r="M1191" i="8"/>
  <c r="M1159" i="8"/>
  <c r="M1127" i="8"/>
  <c r="M3211" i="8"/>
  <c r="M3179" i="8"/>
  <c r="M2923" i="8"/>
  <c r="M2891" i="8"/>
  <c r="M2859" i="8"/>
  <c r="M2827" i="8"/>
  <c r="M2795" i="8"/>
  <c r="M2763" i="8"/>
  <c r="M2719" i="8"/>
  <c r="M2687" i="8"/>
  <c r="M2655" i="8"/>
  <c r="M2623" i="8"/>
  <c r="M2591" i="8"/>
  <c r="M2559" i="8"/>
  <c r="M2527" i="8"/>
  <c r="M2495" i="8"/>
  <c r="M2451" i="8"/>
  <c r="M2419" i="8"/>
  <c r="M2387" i="8"/>
  <c r="M2355" i="8"/>
  <c r="M2323" i="8"/>
  <c r="M2291" i="8"/>
  <c r="M2259" i="8"/>
  <c r="M2227" i="8"/>
  <c r="M2195" i="8"/>
  <c r="M2163" i="8"/>
  <c r="M2131" i="8"/>
  <c r="M2099" i="8"/>
  <c r="M2067" i="8"/>
  <c r="M2019" i="8"/>
  <c r="M1987" i="8"/>
  <c r="M1955" i="8"/>
  <c r="M1923" i="8"/>
  <c r="M1891" i="8"/>
  <c r="M3156" i="8"/>
  <c r="M3124" i="8"/>
  <c r="M3092" i="8"/>
  <c r="M3060" i="8"/>
  <c r="M3028" i="8"/>
  <c r="M2992" i="8"/>
  <c r="M2960" i="8"/>
  <c r="M1847" i="8"/>
  <c r="M1815" i="8"/>
  <c r="M1783" i="8"/>
  <c r="M1751" i="8"/>
  <c r="M1719" i="8"/>
  <c r="M1687" i="8"/>
  <c r="M1635" i="8"/>
  <c r="M1603" i="8"/>
  <c r="M1571" i="8"/>
  <c r="M1539" i="8"/>
  <c r="M1503" i="8"/>
  <c r="M1471" i="8"/>
  <c r="M1439" i="8"/>
  <c r="M1407" i="8"/>
  <c r="M1375" i="8"/>
  <c r="M1343" i="8"/>
  <c r="M1311" i="8"/>
  <c r="M1279" i="8"/>
  <c r="M1247" i="8"/>
  <c r="M1215" i="8"/>
  <c r="M1183" i="8"/>
  <c r="M1151" i="8"/>
  <c r="M2027" i="8"/>
  <c r="M1995" i="8"/>
  <c r="M1963" i="8"/>
  <c r="M1931" i="8"/>
  <c r="M1899" i="8"/>
  <c r="M3164" i="8"/>
  <c r="M3132" i="8"/>
  <c r="M3100" i="8"/>
  <c r="M3068" i="8"/>
  <c r="M3036" i="8"/>
  <c r="M3000" i="8"/>
  <c r="M2968" i="8"/>
  <c r="M1855" i="8"/>
  <c r="M1823" i="8"/>
  <c r="M1791" i="8"/>
  <c r="M1759" i="8"/>
  <c r="M1727" i="8"/>
  <c r="M1695" i="8"/>
  <c r="M1659" i="8"/>
  <c r="M1627" i="8"/>
  <c r="M1595" i="8"/>
  <c r="M1563" i="8"/>
  <c r="M1531" i="8"/>
  <c r="M1495" i="8"/>
  <c r="M1463" i="8"/>
  <c r="M1431" i="8"/>
  <c r="M1399" i="8"/>
  <c r="M1367" i="8"/>
  <c r="M1335" i="8"/>
  <c r="M1303" i="8"/>
  <c r="M1271" i="8"/>
  <c r="M1239" i="8"/>
  <c r="M1207" i="8"/>
  <c r="M1175" i="8"/>
  <c r="M1143" i="8"/>
  <c r="M2059" i="8"/>
  <c r="M2091" i="8"/>
  <c r="M2123" i="8"/>
  <c r="M2155" i="8"/>
  <c r="M2187" i="8"/>
  <c r="M2219" i="8"/>
  <c r="M2251" i="8"/>
  <c r="M2283" i="8"/>
  <c r="M2315" i="8"/>
  <c r="M2347" i="8"/>
  <c r="M2379" i="8"/>
  <c r="M2411" i="8"/>
  <c r="M2443" i="8"/>
  <c r="M2487" i="8"/>
  <c r="M2519" i="8"/>
  <c r="M2551" i="8"/>
  <c r="M2583" i="8"/>
  <c r="M2615" i="8"/>
  <c r="M2647" i="8"/>
  <c r="M2679" i="8"/>
  <c r="M2711" i="8"/>
  <c r="M2755" i="8"/>
  <c r="M2787" i="8"/>
  <c r="M2819" i="8"/>
  <c r="M2851" i="8"/>
  <c r="M2883" i="8"/>
  <c r="M2947" i="8"/>
  <c r="M3203" i="8"/>
  <c r="M3235" i="8"/>
  <c r="M3267" i="8"/>
  <c r="M3299" i="8"/>
  <c r="M3335" i="8"/>
  <c r="M3367" i="8"/>
  <c r="M3399" i="8"/>
  <c r="M3431" i="8"/>
  <c r="M3463" i="8"/>
  <c r="M3495" i="8"/>
  <c r="M3527" i="8"/>
  <c r="M3559" i="8"/>
  <c r="M3591" i="8"/>
  <c r="M3623" i="8"/>
  <c r="M3655" i="8"/>
  <c r="M3687" i="8"/>
  <c r="M3719" i="8"/>
  <c r="M3751" i="8"/>
  <c r="M3787" i="8"/>
  <c r="M3819" i="8"/>
  <c r="M3851" i="8"/>
  <c r="M3883" i="8"/>
  <c r="M3915" i="8"/>
  <c r="M3947" i="8"/>
  <c r="M3979" i="8"/>
  <c r="M4011" i="8"/>
  <c r="M4043" i="8"/>
  <c r="M4075" i="8"/>
  <c r="M1104" i="8"/>
  <c r="M1074" i="8"/>
  <c r="M1044" i="8"/>
  <c r="M1009" i="8"/>
  <c r="M976" i="8"/>
  <c r="M940" i="8"/>
  <c r="M908" i="8"/>
  <c r="M875" i="8"/>
  <c r="M849" i="8"/>
  <c r="M821" i="8"/>
  <c r="M789" i="8"/>
  <c r="M753" i="8"/>
  <c r="M687" i="8"/>
  <c r="M671" i="8"/>
  <c r="M639" i="8"/>
  <c r="M607" i="8"/>
  <c r="M575" i="8"/>
  <c r="M551" i="8"/>
  <c r="M535" i="8"/>
  <c r="M395" i="8"/>
  <c r="M359" i="8"/>
  <c r="M343" i="8"/>
  <c r="M327" i="8"/>
  <c r="M311" i="8"/>
  <c r="M295" i="8"/>
  <c r="M279" i="8"/>
  <c r="M211" i="8"/>
  <c r="M195" i="8"/>
  <c r="M179" i="8"/>
  <c r="M163" i="8"/>
  <c r="M147" i="8"/>
  <c r="M131" i="8"/>
  <c r="M115" i="8"/>
  <c r="M79" i="8"/>
  <c r="M47" i="8"/>
  <c r="M1150" i="8"/>
  <c r="M1182" i="8"/>
  <c r="M1214" i="8"/>
  <c r="M1246" i="8"/>
  <c r="M1278" i="8"/>
  <c r="M1310" i="8"/>
  <c r="M1342" i="8"/>
  <c r="M1374" i="8"/>
  <c r="M1406" i="8"/>
  <c r="M1438" i="8"/>
  <c r="M1470" i="8"/>
  <c r="M1502" i="8"/>
  <c r="M1546" i="8"/>
  <c r="M1578" i="8"/>
  <c r="M1610" i="8"/>
  <c r="M1642" i="8"/>
  <c r="M1686" i="8"/>
  <c r="M1718" i="8"/>
  <c r="M1750" i="8"/>
  <c r="M1782" i="8"/>
  <c r="M1814" i="8"/>
  <c r="M1846" i="8"/>
  <c r="M2959" i="8"/>
  <c r="M2991" i="8"/>
  <c r="M3031" i="8"/>
  <c r="M3063" i="8"/>
  <c r="M3095" i="8"/>
  <c r="M3127" i="8"/>
  <c r="M3159" i="8"/>
  <c r="M1894" i="8"/>
  <c r="M1926" i="8"/>
  <c r="M1958" i="8"/>
  <c r="M1990" i="8"/>
  <c r="M2022" i="8"/>
  <c r="M2054" i="8"/>
  <c r="M2086" i="8"/>
  <c r="M2118" i="8"/>
  <c r="M2150" i="8"/>
  <c r="M2182" i="8"/>
  <c r="M2214" i="8"/>
  <c r="M2246" i="8"/>
  <c r="M2278" i="8"/>
  <c r="M2310" i="8"/>
  <c r="M2350" i="8"/>
  <c r="M2382" i="8"/>
  <c r="M2414" i="8"/>
  <c r="M2446" i="8"/>
  <c r="M2514" i="8"/>
  <c r="M2546" i="8"/>
  <c r="M2578" i="8"/>
  <c r="M2610" i="8"/>
  <c r="M2642" i="8"/>
  <c r="M2674" i="8"/>
  <c r="M2706" i="8"/>
  <c r="M2738" i="8"/>
  <c r="M2810" i="8"/>
  <c r="M2842" i="8"/>
  <c r="M2874" i="8"/>
  <c r="M2906" i="8"/>
  <c r="M2938" i="8"/>
  <c r="M3194" i="8"/>
  <c r="M3226" i="8"/>
  <c r="M3258" i="8"/>
  <c r="M3290" i="8"/>
  <c r="M3358" i="8"/>
  <c r="M3390" i="8"/>
  <c r="M3422" i="8"/>
  <c r="M3454" i="8"/>
  <c r="M3490" i="8"/>
  <c r="M3522" i="8"/>
  <c r="M3554" i="8"/>
  <c r="M3586" i="8"/>
  <c r="M3618" i="8"/>
  <c r="M3650" i="8"/>
  <c r="M3682" i="8"/>
  <c r="M3714" i="8"/>
  <c r="M3746" i="8"/>
  <c r="M3790" i="8"/>
  <c r="M3822" i="8"/>
  <c r="M3854" i="8"/>
  <c r="M3886" i="8"/>
  <c r="M3918" i="8"/>
  <c r="M3958" i="8"/>
  <c r="M3990" i="8"/>
  <c r="M4022" i="8"/>
  <c r="M4054" i="8"/>
  <c r="M4086" i="8"/>
  <c r="M1098" i="8"/>
  <c r="M1060" i="8"/>
  <c r="M1025" i="8"/>
  <c r="M986" i="8"/>
  <c r="M953" i="8"/>
  <c r="M923" i="8"/>
  <c r="M891" i="8"/>
  <c r="M854" i="8"/>
  <c r="M823" i="8"/>
  <c r="M791" i="8"/>
  <c r="M760" i="8"/>
  <c r="M736" i="8"/>
  <c r="M706" i="8"/>
  <c r="M672" i="8"/>
  <c r="M552" i="8"/>
  <c r="M520" i="8"/>
  <c r="M488" i="8"/>
  <c r="M456" i="8"/>
  <c r="M424" i="8"/>
  <c r="M392" i="8"/>
  <c r="M360" i="8"/>
  <c r="M328" i="8"/>
  <c r="M296" i="8"/>
  <c r="M230" i="8"/>
  <c r="M198" i="8"/>
  <c r="M166" i="8"/>
  <c r="M134" i="8"/>
  <c r="M90" i="8"/>
  <c r="M56" i="8"/>
  <c r="M24" i="8"/>
  <c r="M1129" i="8"/>
  <c r="M1173" i="8"/>
  <c r="M1205" i="8"/>
  <c r="M1237" i="8"/>
  <c r="M1269" i="8"/>
  <c r="M1301" i="8"/>
  <c r="M1333" i="8"/>
  <c r="M1365" i="8"/>
  <c r="M1397" i="8"/>
  <c r="M1429" i="8"/>
  <c r="M1461" i="8"/>
  <c r="M1493" i="8"/>
  <c r="M1537" i="8"/>
  <c r="M1569" i="8"/>
  <c r="M1601" i="8"/>
  <c r="M1633" i="8"/>
  <c r="M1677" i="8"/>
  <c r="M1709" i="8"/>
  <c r="M1741" i="8"/>
  <c r="M1773" i="8"/>
  <c r="M1805" i="8"/>
  <c r="M1837" i="8"/>
  <c r="M2950" i="8"/>
  <c r="M2982" i="8"/>
  <c r="M3022" i="8"/>
  <c r="M3054" i="8"/>
  <c r="M3086" i="8"/>
  <c r="M3118" i="8"/>
  <c r="M3150" i="8"/>
  <c r="M1885" i="8"/>
  <c r="M1917" i="8"/>
  <c r="M1949" i="8"/>
  <c r="M1981" i="8"/>
  <c r="M2013" i="8"/>
  <c r="M2045" i="8"/>
  <c r="M2077" i="8"/>
  <c r="M2109" i="8"/>
  <c r="M2141" i="8"/>
  <c r="M2173" i="8"/>
  <c r="M2205" i="8"/>
  <c r="M2237" i="8"/>
  <c r="M2269" i="8"/>
  <c r="M2301" i="8"/>
  <c r="M2341" i="8"/>
  <c r="M2373" i="8"/>
  <c r="M2405" i="8"/>
  <c r="M2437" i="8"/>
  <c r="M2469" i="8"/>
  <c r="M2513" i="8"/>
  <c r="M2545" i="8"/>
  <c r="M2577" i="8"/>
  <c r="M2609" i="8"/>
  <c r="M2641" i="8"/>
  <c r="M2673" i="8"/>
  <c r="M2705" i="8"/>
  <c r="M2737" i="8"/>
  <c r="M2809" i="8"/>
  <c r="M2841" i="8"/>
  <c r="M2873" i="8"/>
  <c r="M2905" i="8"/>
  <c r="M2937" i="8"/>
  <c r="M3193" i="8"/>
  <c r="M3225" i="8"/>
  <c r="M3257" i="8"/>
  <c r="M3289" i="8"/>
  <c r="M3357" i="8"/>
  <c r="M3389" i="8"/>
  <c r="M3421" i="8"/>
  <c r="M3453" i="8"/>
  <c r="M3493" i="8"/>
  <c r="M3525" i="8"/>
  <c r="M3557" i="8"/>
  <c r="M3589" i="8"/>
  <c r="M3621" i="8"/>
  <c r="M3661" i="8"/>
  <c r="M3693" i="8"/>
  <c r="M3725" i="8"/>
  <c r="M3757" i="8"/>
  <c r="M3801" i="8"/>
  <c r="M3833" i="8"/>
  <c r="M3865" i="8"/>
  <c r="M3897" i="8"/>
  <c r="M3961" i="8"/>
  <c r="M3993" i="8"/>
  <c r="M4025" i="8"/>
  <c r="M4057" i="8"/>
  <c r="M4089" i="8"/>
  <c r="M1092" i="8"/>
  <c r="M1062" i="8"/>
  <c r="M1032" i="8"/>
  <c r="M994" i="8"/>
  <c r="M963" i="8"/>
  <c r="M931" i="8"/>
  <c r="M896" i="8"/>
  <c r="M860" i="8"/>
  <c r="M836" i="8"/>
  <c r="M801" i="8"/>
  <c r="M771" i="8"/>
  <c r="M743" i="8"/>
  <c r="M723" i="8"/>
  <c r="M707" i="8"/>
  <c r="M661" i="8"/>
  <c r="M629" i="8"/>
  <c r="M597" i="8"/>
  <c r="M565" i="8"/>
  <c r="M519" i="8"/>
  <c r="M503" i="8"/>
  <c r="M487" i="8"/>
  <c r="M471" i="8"/>
  <c r="M455" i="8"/>
  <c r="M439" i="8"/>
  <c r="M423" i="8"/>
  <c r="M393" i="8"/>
  <c r="M377" i="8"/>
  <c r="M245" i="8"/>
  <c r="M229" i="8"/>
  <c r="M71" i="8"/>
  <c r="M45" i="8"/>
  <c r="M29" i="8"/>
  <c r="M13" i="8"/>
  <c r="M1128" i="8"/>
  <c r="M1172" i="8"/>
  <c r="M1204" i="8"/>
  <c r="M1236" i="8"/>
  <c r="M1268" i="8"/>
  <c r="M1300" i="8"/>
  <c r="M1332" i="8"/>
  <c r="M1364" i="8"/>
  <c r="M1396" i="8"/>
  <c r="M1428" i="8"/>
  <c r="M1460" i="8"/>
  <c r="M1492" i="8"/>
  <c r="M1536" i="8"/>
  <c r="M1568" i="8"/>
  <c r="M1600" i="8"/>
  <c r="M1632" i="8"/>
  <c r="M1664" i="8"/>
  <c r="M1700" i="8"/>
  <c r="M1732" i="8"/>
  <c r="M1764" i="8"/>
  <c r="M1796" i="8"/>
  <c r="M1828" i="8"/>
  <c r="M1860" i="8"/>
  <c r="M2973" i="8"/>
  <c r="M3005" i="8"/>
  <c r="M3045" i="8"/>
  <c r="M3077" i="8"/>
  <c r="M3109" i="8"/>
  <c r="M3141" i="8"/>
  <c r="M1876" i="8"/>
  <c r="M1908" i="8"/>
  <c r="M1940" i="8"/>
  <c r="M1972" i="8"/>
  <c r="M2004" i="8"/>
  <c r="M2036" i="8"/>
  <c r="M2068" i="8"/>
  <c r="M2100" i="8"/>
  <c r="M2132" i="8"/>
  <c r="M2164" i="8"/>
  <c r="M2196" i="8"/>
  <c r="M2228" i="8"/>
  <c r="M2260" i="8"/>
  <c r="M2292" i="8"/>
  <c r="M2324" i="8"/>
  <c r="M2356" i="8"/>
  <c r="M2388" i="8"/>
  <c r="M2420" i="8"/>
  <c r="M2452" i="8"/>
  <c r="M2496" i="8"/>
  <c r="M2528" i="8"/>
  <c r="M2560" i="8"/>
  <c r="M2592" i="8"/>
  <c r="M2624" i="8"/>
  <c r="M2656" i="8"/>
  <c r="M2688" i="8"/>
  <c r="M2720" i="8"/>
  <c r="M2760" i="8"/>
  <c r="M2792" i="8"/>
  <c r="M2824" i="8"/>
  <c r="M2856" i="8"/>
  <c r="M2888" i="8"/>
  <c r="M2924" i="8"/>
  <c r="M3176" i="8"/>
  <c r="M3208" i="8"/>
  <c r="M3240" i="8"/>
  <c r="M3272" i="8"/>
  <c r="M3304" i="8"/>
  <c r="M3348" i="8"/>
  <c r="M3380" i="8"/>
  <c r="M3412" i="8"/>
  <c r="M3444" i="8"/>
  <c r="M3484" i="8"/>
  <c r="M3516" i="8"/>
  <c r="M3548" i="8"/>
  <c r="M3580" i="8"/>
  <c r="M3612" i="8"/>
  <c r="M3652" i="8"/>
  <c r="M3684" i="8"/>
  <c r="M3716" i="8"/>
  <c r="M3748" i="8"/>
  <c r="M3792" i="8"/>
  <c r="M3824" i="8"/>
  <c r="M3856" i="8"/>
  <c r="M3888" i="8"/>
  <c r="M3920" i="8"/>
  <c r="M3956" i="8"/>
  <c r="M3988" i="8"/>
  <c r="M4020" i="8"/>
  <c r="M4052" i="8"/>
  <c r="M4084" i="8"/>
  <c r="M1099" i="8"/>
  <c r="M1067" i="8"/>
  <c r="M1037" i="8"/>
  <c r="M1004" i="8"/>
  <c r="M974" i="8"/>
  <c r="M941" i="8"/>
  <c r="M911" i="8"/>
  <c r="M876" i="8"/>
  <c r="M833" i="8"/>
  <c r="M803" i="8"/>
  <c r="M772" i="8"/>
  <c r="M728" i="8"/>
  <c r="M696" i="8"/>
  <c r="M668" i="8"/>
  <c r="M642" i="8"/>
  <c r="M624" i="8"/>
  <c r="M608" i="8"/>
  <c r="M592" i="8"/>
  <c r="M576" i="8"/>
  <c r="M560" i="8"/>
  <c r="M530" i="8"/>
  <c r="M498" i="8"/>
  <c r="M466" i="8"/>
  <c r="M434" i="8"/>
  <c r="M400" i="8"/>
  <c r="M370" i="8"/>
  <c r="M338" i="8"/>
  <c r="M306" i="8"/>
  <c r="M274" i="8"/>
  <c r="M236" i="8"/>
  <c r="M204" i="8"/>
  <c r="M172" i="8"/>
  <c r="M140" i="8"/>
  <c r="M108" i="8"/>
  <c r="M66" i="8"/>
  <c r="M34" i="8"/>
  <c r="M2" i="8"/>
  <c r="M1147" i="8"/>
  <c r="M1187" i="8"/>
  <c r="M1219" i="8"/>
  <c r="M1251" i="8"/>
  <c r="M1283" i="8"/>
  <c r="M1315" i="8"/>
  <c r="M1347" i="8"/>
  <c r="M1379" i="8"/>
  <c r="M1411" i="8"/>
  <c r="M1443" i="8"/>
  <c r="M1475" i="8"/>
  <c r="M1519" i="8"/>
  <c r="M1551" i="8"/>
  <c r="M1583" i="8"/>
  <c r="M1615" i="8"/>
  <c r="M1647" i="8"/>
  <c r="M1683" i="8"/>
  <c r="M1715" i="8"/>
  <c r="M1747" i="8"/>
  <c r="M1779" i="8"/>
  <c r="M1811" i="8"/>
  <c r="M1843" i="8"/>
  <c r="M2956" i="8"/>
  <c r="M2988" i="8"/>
  <c r="M3032" i="8"/>
  <c r="M3064" i="8"/>
  <c r="M3096" i="8"/>
  <c r="M3128" i="8"/>
  <c r="M3160" i="8"/>
  <c r="M1895" i="8"/>
  <c r="M1927" i="8"/>
  <c r="M1959" i="8"/>
  <c r="M1991" i="8"/>
  <c r="M2023" i="8"/>
  <c r="M2055" i="8"/>
  <c r="M2087" i="8"/>
  <c r="M2119" i="8"/>
  <c r="M2151" i="8"/>
  <c r="M2183" i="8"/>
  <c r="M2215" i="8"/>
  <c r="M2247" i="8"/>
  <c r="M2279" i="8"/>
  <c r="M2311" i="8"/>
  <c r="M2343" i="8"/>
  <c r="M2375" i="8"/>
  <c r="M2407" i="8"/>
  <c r="M2439" i="8"/>
  <c r="M2471" i="8"/>
  <c r="M2507" i="8"/>
  <c r="M2539" i="8"/>
  <c r="M2571" i="8"/>
  <c r="M2603" i="8"/>
  <c r="M2635" i="8"/>
  <c r="M2667" i="8"/>
  <c r="M2699" i="8"/>
  <c r="M2731" i="8"/>
  <c r="M2767" i="8"/>
  <c r="M2807" i="8"/>
  <c r="M2839" i="8"/>
  <c r="M2871" i="8"/>
  <c r="M2903" i="8"/>
  <c r="M2943" i="8"/>
  <c r="M3191" i="8"/>
  <c r="M3223" i="8"/>
  <c r="M3255" i="8"/>
  <c r="M3287" i="8"/>
  <c r="M3331" i="8"/>
  <c r="M3363" i="8"/>
  <c r="M3395" i="8"/>
  <c r="M3427" i="8"/>
  <c r="M3459" i="8"/>
  <c r="M3499" i="8"/>
  <c r="M3531" i="8"/>
  <c r="M3563" i="8"/>
  <c r="M3595" i="8"/>
  <c r="M3627" i="8"/>
  <c r="M3659" i="8"/>
  <c r="M3691" i="8"/>
  <c r="M3723" i="8"/>
  <c r="M3755" i="8"/>
  <c r="M3799" i="8"/>
  <c r="M3831" i="8"/>
  <c r="M3863" i="8"/>
  <c r="M3895" i="8"/>
  <c r="M3935" i="8"/>
  <c r="M3967" i="8"/>
  <c r="M3999" i="8"/>
  <c r="M4031" i="8"/>
  <c r="M4063" i="8"/>
  <c r="M1117" i="8"/>
  <c r="M1085" i="8"/>
  <c r="M1055" i="8"/>
  <c r="M987" i="8"/>
  <c r="M951" i="8"/>
  <c r="M921" i="8"/>
  <c r="M886" i="8"/>
  <c r="M852" i="8"/>
  <c r="M824" i="8"/>
  <c r="M792" i="8"/>
  <c r="M755" i="8"/>
  <c r="M689" i="8"/>
  <c r="M673" i="8"/>
  <c r="M643" i="8"/>
  <c r="M611" i="8"/>
  <c r="M579" i="8"/>
  <c r="M553" i="8"/>
  <c r="M537" i="8"/>
  <c r="M397" i="8"/>
  <c r="M361" i="8"/>
  <c r="M345" i="8"/>
  <c r="M329" i="8"/>
  <c r="M313" i="8"/>
  <c r="M297" i="8"/>
  <c r="M281" i="8"/>
  <c r="M213" i="8"/>
  <c r="M197" i="8"/>
  <c r="M181" i="8"/>
  <c r="M165" i="8"/>
  <c r="M149" i="8"/>
  <c r="M133" i="8"/>
  <c r="M117" i="8"/>
  <c r="M81" i="8"/>
  <c r="M49" i="8"/>
  <c r="M1146" i="8"/>
  <c r="M1186" i="8"/>
  <c r="M1218" i="8"/>
  <c r="M1250" i="8"/>
  <c r="M1282" i="8"/>
  <c r="M1322" i="8"/>
  <c r="M1354" i="8"/>
  <c r="M1386" i="8"/>
  <c r="M1418" i="8"/>
  <c r="M1450" i="8"/>
  <c r="M1482" i="8"/>
  <c r="M1550" i="8"/>
  <c r="M1582" i="8"/>
  <c r="M1614" i="8"/>
  <c r="M1646" i="8"/>
  <c r="M1682" i="8"/>
  <c r="M1714" i="8"/>
  <c r="M1746" i="8"/>
  <c r="M1778" i="8"/>
  <c r="M1810" i="8"/>
  <c r="M1842" i="8"/>
  <c r="M2955" i="8"/>
  <c r="M2987" i="8"/>
  <c r="M3051" i="8"/>
  <c r="M3083" i="8"/>
  <c r="M3115" i="8"/>
  <c r="M3147" i="8"/>
  <c r="M1882" i="8"/>
  <c r="M1914" i="8"/>
  <c r="M1946" i="8"/>
  <c r="M1978" i="8"/>
  <c r="M2010" i="8"/>
  <c r="M2042" i="8"/>
  <c r="M2074" i="8"/>
  <c r="M2106" i="8"/>
  <c r="M2138" i="8"/>
  <c r="M2170" i="8"/>
  <c r="M2202" i="8"/>
  <c r="M2234" i="8"/>
  <c r="M2266" i="8"/>
  <c r="M2298" i="8"/>
  <c r="M2330" i="8"/>
  <c r="M2362" i="8"/>
  <c r="M2394" i="8"/>
  <c r="M2426" i="8"/>
  <c r="M2458" i="8"/>
  <c r="M2502" i="8"/>
  <c r="M2534" i="8"/>
  <c r="M2566" i="8"/>
  <c r="M2598" i="8"/>
  <c r="M2630" i="8"/>
  <c r="M2662" i="8"/>
  <c r="M2694" i="8"/>
  <c r="M2726" i="8"/>
  <c r="M2758" i="8"/>
  <c r="M2798" i="8"/>
  <c r="M2830" i="8"/>
  <c r="M2862" i="8"/>
  <c r="M2894" i="8"/>
  <c r="M2934" i="8"/>
  <c r="M3182" i="8"/>
  <c r="M3214" i="8"/>
  <c r="M3246" i="8"/>
  <c r="M3278" i="8"/>
  <c r="M3310" i="8"/>
  <c r="M3354" i="8"/>
  <c r="M3386" i="8"/>
  <c r="M3418" i="8"/>
  <c r="M3450" i="8"/>
  <c r="M3494" i="8"/>
  <c r="M3526" i="8"/>
  <c r="M3558" i="8"/>
  <c r="M3590" i="8"/>
  <c r="M3622" i="8"/>
  <c r="M3654" i="8"/>
  <c r="M3686" i="8"/>
  <c r="M3718" i="8"/>
  <c r="M3750" i="8"/>
  <c r="M3786" i="8"/>
  <c r="M3818" i="8"/>
  <c r="M3850" i="8"/>
  <c r="M3882" i="8"/>
  <c r="M3914" i="8"/>
  <c r="M3946" i="8"/>
  <c r="M3978" i="8"/>
  <c r="M4010" i="8"/>
  <c r="M4042" i="8"/>
  <c r="M4074" i="8"/>
  <c r="M1111" i="8"/>
  <c r="M1076" i="8"/>
  <c r="M1038" i="8"/>
  <c r="M1005" i="8"/>
  <c r="M972" i="8"/>
  <c r="M942" i="8"/>
  <c r="M910" i="8"/>
  <c r="M880" i="8"/>
  <c r="M851" i="8"/>
  <c r="M818" i="8"/>
  <c r="M786" i="8"/>
  <c r="M756" i="8"/>
  <c r="M734" i="8"/>
  <c r="M702" i="8"/>
  <c r="M656" i="8"/>
  <c r="M548" i="8"/>
  <c r="M516" i="8"/>
  <c r="M484" i="8"/>
  <c r="M452" i="8"/>
  <c r="M420" i="8"/>
  <c r="M388" i="8"/>
  <c r="M356" i="8"/>
  <c r="M324" i="8"/>
  <c r="M292" i="8"/>
  <c r="M250" i="8"/>
  <c r="M218" i="8"/>
  <c r="M186" i="8"/>
  <c r="M154" i="8"/>
  <c r="M122" i="8"/>
  <c r="M86" i="8"/>
  <c r="M52" i="8"/>
  <c r="M20" i="8"/>
  <c r="M1133" i="8"/>
  <c r="M1201" i="8"/>
  <c r="M1233" i="8"/>
  <c r="M1265" i="8"/>
  <c r="M1305" i="8"/>
  <c r="M1337" i="8"/>
  <c r="M1369" i="8"/>
  <c r="M1401" i="8"/>
  <c r="M1433" i="8"/>
  <c r="M1465" i="8"/>
  <c r="M1497" i="8"/>
  <c r="M1533" i="8"/>
  <c r="M1565" i="8"/>
  <c r="M1597" i="8"/>
  <c r="M1629" i="8"/>
  <c r="M1661" i="8"/>
  <c r="M1697" i="8"/>
  <c r="M1729" i="8"/>
  <c r="M1761" i="8"/>
  <c r="M1793" i="8"/>
  <c r="M1825" i="8"/>
  <c r="M1857" i="8"/>
  <c r="M2970" i="8"/>
  <c r="M3002" i="8"/>
  <c r="M3034" i="8"/>
  <c r="M3066" i="8"/>
  <c r="M3098" i="8"/>
  <c r="M3130" i="8"/>
  <c r="M3162" i="8"/>
  <c r="M1897" i="8"/>
  <c r="M1929" i="8"/>
  <c r="M1961" i="8"/>
  <c r="M1993" i="8"/>
  <c r="M2025" i="8"/>
  <c r="M2057" i="8"/>
  <c r="M2089" i="8"/>
  <c r="M2121" i="8"/>
  <c r="M2153" i="8"/>
  <c r="M2185" i="8"/>
  <c r="M2217" i="8"/>
  <c r="M2249" i="8"/>
  <c r="M2281" i="8"/>
  <c r="M2313" i="8"/>
  <c r="M2345" i="8"/>
  <c r="M2377" i="8"/>
  <c r="M2409" i="8"/>
  <c r="M2441" i="8"/>
  <c r="M2473" i="8"/>
  <c r="M2509" i="8"/>
  <c r="M2541" i="8"/>
  <c r="M2573" i="8"/>
  <c r="M2605" i="8"/>
  <c r="M2637" i="8"/>
  <c r="M2669" i="8"/>
  <c r="M2701" i="8"/>
  <c r="M2733" i="8"/>
  <c r="M2765" i="8"/>
  <c r="M2797" i="8"/>
  <c r="M2829" i="8"/>
  <c r="M2861" i="8"/>
  <c r="M2893" i="8"/>
  <c r="M2933" i="8"/>
  <c r="M3181" i="8"/>
  <c r="M3213" i="8"/>
  <c r="M3245" i="8"/>
  <c r="M3277" i="8"/>
  <c r="M3309" i="8"/>
  <c r="M3345" i="8"/>
  <c r="M3377" i="8"/>
  <c r="M3409" i="8"/>
  <c r="M3441" i="8"/>
  <c r="M3473" i="8"/>
  <c r="M3505" i="8"/>
  <c r="M3537" i="8"/>
  <c r="M3569" i="8"/>
  <c r="M3601" i="8"/>
  <c r="M3633" i="8"/>
  <c r="M3665" i="8"/>
  <c r="M3697" i="8"/>
  <c r="M3729" i="8"/>
  <c r="M3761" i="8"/>
  <c r="M3797" i="8"/>
  <c r="M3829" i="8"/>
  <c r="M3861" i="8"/>
  <c r="M3893" i="8"/>
  <c r="M3933" i="8"/>
  <c r="M3965" i="8"/>
  <c r="M3997" i="8"/>
  <c r="M4029" i="8"/>
  <c r="M4061" i="8"/>
  <c r="M4093" i="8"/>
  <c r="M1089" i="8"/>
  <c r="M1059" i="8"/>
  <c r="M1027" i="8"/>
  <c r="M989" i="8"/>
  <c r="M958" i="8"/>
  <c r="M928" i="8"/>
  <c r="M893" i="8"/>
  <c r="M858" i="8"/>
  <c r="M828" i="8"/>
  <c r="M796" i="8"/>
  <c r="M769" i="8"/>
  <c r="M741" i="8"/>
  <c r="M721" i="8"/>
  <c r="M705" i="8"/>
  <c r="M657" i="8"/>
  <c r="M625" i="8"/>
  <c r="M593" i="8"/>
  <c r="M561" i="8"/>
  <c r="M517" i="8"/>
  <c r="M501" i="8"/>
  <c r="M485" i="8"/>
  <c r="M469" i="8"/>
  <c r="M453" i="8"/>
  <c r="M437" i="8"/>
  <c r="M421" i="8"/>
  <c r="M391" i="8"/>
  <c r="M375" i="8"/>
  <c r="M243" i="8"/>
  <c r="M227" i="8"/>
  <c r="M69" i="8"/>
  <c r="M43" i="8"/>
  <c r="M27" i="8"/>
  <c r="M11" i="8"/>
  <c r="M1132" i="8"/>
  <c r="M1200" i="8"/>
  <c r="M1232" i="8"/>
  <c r="M1264" i="8"/>
  <c r="M1328" i="8"/>
  <c r="M1360" i="8"/>
  <c r="M1392" i="8"/>
  <c r="M1424" i="8"/>
  <c r="M1456" i="8"/>
  <c r="M1488" i="8"/>
  <c r="M1524" i="8"/>
  <c r="M1556" i="8"/>
  <c r="M1588" i="8"/>
  <c r="M1620" i="8"/>
  <c r="M1652" i="8"/>
  <c r="M1696" i="8"/>
  <c r="M1728" i="8"/>
  <c r="M1760" i="8"/>
  <c r="M1792" i="8"/>
  <c r="M1824" i="8"/>
  <c r="M1856" i="8"/>
  <c r="M2969" i="8"/>
  <c r="M3001" i="8"/>
  <c r="M3033" i="8"/>
  <c r="M3065" i="8"/>
  <c r="M3097" i="8"/>
  <c r="M3129" i="8"/>
  <c r="M3161" i="8"/>
  <c r="M1896" i="8"/>
  <c r="M1928" i="8"/>
  <c r="M1960" i="8"/>
  <c r="M1992" i="8"/>
  <c r="M2024" i="8"/>
  <c r="M2056" i="8"/>
  <c r="M2088" i="8"/>
  <c r="M2120" i="8"/>
  <c r="M2152" i="8"/>
  <c r="M2184" i="8"/>
  <c r="M2216" i="8"/>
  <c r="M2248" i="8"/>
  <c r="M2280" i="8"/>
  <c r="M2312" i="8"/>
  <c r="M2344" i="8"/>
  <c r="M2376" i="8"/>
  <c r="M2408" i="8"/>
  <c r="M2440" i="8"/>
  <c r="M2472" i="8"/>
  <c r="M2508" i="8"/>
  <c r="M2540" i="8"/>
  <c r="M2572" i="8"/>
  <c r="M2604" i="8"/>
  <c r="M2636" i="8"/>
  <c r="M2668" i="8"/>
  <c r="M2700" i="8"/>
  <c r="M2732" i="8"/>
  <c r="M2764" i="8"/>
  <c r="M2796" i="8"/>
  <c r="M2828" i="8"/>
  <c r="M2860" i="8"/>
  <c r="M2892" i="8"/>
  <c r="M2936" i="8"/>
  <c r="M3188" i="8"/>
  <c r="M3220" i="8"/>
  <c r="M3252" i="8"/>
  <c r="M3284" i="8"/>
  <c r="M3316" i="8"/>
  <c r="M3352" i="8"/>
  <c r="M3384" i="8"/>
  <c r="M3416" i="8"/>
  <c r="M3448" i="8"/>
  <c r="M3512" i="8"/>
  <c r="M3544" i="8"/>
  <c r="M3576" i="8"/>
  <c r="M3608" i="8"/>
  <c r="M3640" i="8"/>
  <c r="M3672" i="8"/>
  <c r="M3704" i="8"/>
  <c r="M3736" i="8"/>
  <c r="M3768" i="8"/>
  <c r="M3804" i="8"/>
  <c r="M3836" i="8"/>
  <c r="M3868" i="8"/>
  <c r="M3900" i="8"/>
  <c r="M3944" i="8"/>
  <c r="M3976" i="8"/>
  <c r="M4008" i="8"/>
  <c r="M4040" i="8"/>
  <c r="M4072" i="8"/>
  <c r="M1110" i="8"/>
  <c r="M1080" i="8"/>
  <c r="M1048" i="8"/>
  <c r="M1007" i="8"/>
  <c r="M977" i="8"/>
  <c r="M946" i="8"/>
  <c r="M914" i="8"/>
  <c r="M881" i="8"/>
  <c r="M838" i="8"/>
  <c r="M806" i="8"/>
  <c r="M776" i="8"/>
  <c r="M732" i="8"/>
  <c r="M700" i="8"/>
  <c r="M670" i="8"/>
  <c r="M646" i="8"/>
  <c r="M626" i="8"/>
  <c r="M610" i="8"/>
  <c r="M594" i="8"/>
  <c r="M578" i="8"/>
  <c r="M562" i="8"/>
  <c r="M534" i="8"/>
  <c r="M502" i="8"/>
  <c r="M470" i="8"/>
  <c r="M438" i="8"/>
  <c r="M404" i="8"/>
  <c r="M374" i="8"/>
  <c r="M342" i="8"/>
  <c r="M310" i="8"/>
  <c r="M278" i="8"/>
  <c r="M248" i="8"/>
  <c r="M216" i="8"/>
  <c r="M184" i="8"/>
  <c r="M152" i="8"/>
  <c r="M120" i="8"/>
  <c r="M84" i="8"/>
  <c r="M54" i="8"/>
  <c r="M22" i="8"/>
  <c r="M3243" i="8"/>
  <c r="M3275" i="8"/>
  <c r="M3307" i="8"/>
  <c r="M3343" i="8"/>
  <c r="M3375" i="8"/>
  <c r="M3407" i="8"/>
  <c r="M3439" i="8"/>
  <c r="M3471" i="8"/>
  <c r="M3503" i="8"/>
  <c r="M3535" i="8"/>
  <c r="M3567" i="8"/>
  <c r="M3599" i="8"/>
  <c r="M3631" i="8"/>
  <c r="M3663" i="8"/>
  <c r="M3695" i="8"/>
  <c r="M3727" i="8"/>
  <c r="M3759" i="8"/>
  <c r="M3795" i="8"/>
  <c r="M3827" i="8"/>
  <c r="M3859" i="8"/>
  <c r="M3891" i="8"/>
  <c r="M3923" i="8"/>
  <c r="M3955" i="8"/>
  <c r="M3987" i="8"/>
  <c r="M4019" i="8"/>
  <c r="M4051" i="8"/>
  <c r="M4083" i="8"/>
  <c r="M1096" i="8"/>
  <c r="M1066" i="8"/>
  <c r="M1036" i="8"/>
  <c r="M1001" i="8"/>
  <c r="M962" i="8"/>
  <c r="M932" i="8"/>
  <c r="M900" i="8"/>
  <c r="M868" i="8"/>
  <c r="M843" i="8"/>
  <c r="M813" i="8"/>
  <c r="M781" i="8"/>
  <c r="M739" i="8"/>
  <c r="M683" i="8"/>
  <c r="M663" i="8"/>
  <c r="M631" i="8"/>
  <c r="M599" i="8"/>
  <c r="M567" i="8"/>
  <c r="M547" i="8"/>
  <c r="M407" i="8"/>
  <c r="M371" i="8"/>
  <c r="M355" i="8"/>
  <c r="M339" i="8"/>
  <c r="M323" i="8"/>
  <c r="M307" i="8"/>
  <c r="M291" i="8"/>
  <c r="M275" i="8"/>
  <c r="M223" i="8"/>
  <c r="M207" i="8"/>
  <c r="M191" i="8"/>
  <c r="M175" i="8"/>
  <c r="M159" i="8"/>
  <c r="M143" i="8"/>
  <c r="M127" i="8"/>
  <c r="M111" i="8"/>
  <c r="M75" i="8"/>
  <c r="M1126" i="8"/>
  <c r="M1158" i="8"/>
  <c r="M1190" i="8"/>
  <c r="M1222" i="8"/>
  <c r="M1254" i="8"/>
  <c r="M1286" i="8"/>
  <c r="M1318" i="8"/>
  <c r="M1350" i="8"/>
  <c r="M1382" i="8"/>
  <c r="M1414" i="8"/>
  <c r="M1446" i="8"/>
  <c r="M1478" i="8"/>
  <c r="M1522" i="8"/>
  <c r="M1554" i="8"/>
  <c r="M1586" i="8"/>
  <c r="M1618" i="8"/>
  <c r="M1650" i="8"/>
  <c r="M1694" i="8"/>
  <c r="M1726" i="8"/>
  <c r="M1758" i="8"/>
  <c r="M1790" i="8"/>
  <c r="M1822" i="8"/>
  <c r="M1854" i="8"/>
  <c r="M2967" i="8"/>
  <c r="M2999" i="8"/>
  <c r="M3039" i="8"/>
  <c r="M3071" i="8"/>
  <c r="M3103" i="8"/>
  <c r="M3135" i="8"/>
  <c r="M1870" i="8"/>
  <c r="M1902" i="8"/>
  <c r="M1934" i="8"/>
  <c r="M1966" i="8"/>
  <c r="M1998" i="8"/>
  <c r="M2030" i="8"/>
  <c r="M2062" i="8"/>
  <c r="M2094" i="8"/>
  <c r="M2126" i="8"/>
  <c r="M2158" i="8"/>
  <c r="M2190" i="8"/>
  <c r="M2222" i="8"/>
  <c r="M2254" i="8"/>
  <c r="M2286" i="8"/>
  <c r="M2326" i="8"/>
  <c r="M2358" i="8"/>
  <c r="M2390" i="8"/>
  <c r="M2422" i="8"/>
  <c r="M2454" i="8"/>
  <c r="M2490" i="8"/>
  <c r="M2522" i="8"/>
  <c r="M2554" i="8"/>
  <c r="M2586" i="8"/>
  <c r="M2618" i="8"/>
  <c r="M2650" i="8"/>
  <c r="M2682" i="8"/>
  <c r="M2714" i="8"/>
  <c r="M2754" i="8"/>
  <c r="M2786" i="8"/>
  <c r="M2818" i="8"/>
  <c r="M2850" i="8"/>
  <c r="M2882" i="8"/>
  <c r="M2946" i="8"/>
  <c r="M3202" i="8"/>
  <c r="M3234" i="8"/>
  <c r="M3266" i="8"/>
  <c r="M3298" i="8"/>
  <c r="M3334" i="8"/>
  <c r="M3366" i="8"/>
  <c r="M3398" i="8"/>
  <c r="M3430" i="8"/>
  <c r="M3462" i="8"/>
  <c r="M3498" i="8"/>
  <c r="M3530" i="8"/>
  <c r="M3562" i="8"/>
  <c r="M3594" i="8"/>
  <c r="M3626" i="8"/>
  <c r="M3658" i="8"/>
  <c r="M3690" i="8"/>
  <c r="M3722" i="8"/>
  <c r="M3754" i="8"/>
  <c r="M3798" i="8"/>
  <c r="M3830" i="8"/>
  <c r="M3862" i="8"/>
  <c r="M3894" i="8"/>
  <c r="M3934" i="8"/>
  <c r="M3966" i="8"/>
  <c r="M3998" i="8"/>
  <c r="M4030" i="8"/>
  <c r="M4062" i="8"/>
  <c r="M4094" i="8"/>
  <c r="M1090" i="8"/>
  <c r="M1052" i="8"/>
  <c r="M1010" i="8"/>
  <c r="M975" i="8"/>
  <c r="M945" i="8"/>
  <c r="M915" i="8"/>
  <c r="M885" i="8"/>
  <c r="M848" i="8"/>
  <c r="M815" i="8"/>
  <c r="M783" i="8"/>
  <c r="M752" i="8"/>
  <c r="M730" i="8"/>
  <c r="M698" i="8"/>
  <c r="M652" i="8"/>
  <c r="M544" i="8"/>
  <c r="M512" i="8"/>
  <c r="M480" i="8"/>
  <c r="M448" i="8"/>
  <c r="M416" i="8"/>
  <c r="M384" i="8"/>
  <c r="M352" i="8"/>
  <c r="M320" i="8"/>
  <c r="M288" i="8"/>
  <c r="M254" i="8"/>
  <c r="M222" i="8"/>
  <c r="M190" i="8"/>
  <c r="M158" i="8"/>
  <c r="M126" i="8"/>
  <c r="M80" i="8"/>
  <c r="M48" i="8"/>
  <c r="M16" i="8"/>
  <c r="M1137" i="8"/>
  <c r="M1181" i="8"/>
  <c r="M1213" i="8"/>
  <c r="M1245" i="8"/>
  <c r="M1277" i="8"/>
  <c r="M1309" i="8"/>
  <c r="M1341" i="8"/>
  <c r="M1373" i="8"/>
  <c r="M1405" i="8"/>
  <c r="M1437" i="8"/>
  <c r="M1469" i="8"/>
  <c r="M1501" i="8"/>
  <c r="M1545" i="8"/>
  <c r="M1577" i="8"/>
  <c r="M1609" i="8"/>
  <c r="M1641" i="8"/>
  <c r="M1685" i="8"/>
  <c r="M1717" i="8"/>
  <c r="M1749" i="8"/>
  <c r="M1781" i="8"/>
  <c r="M1813" i="8"/>
  <c r="M1845" i="8"/>
  <c r="M2958" i="8"/>
  <c r="M2990" i="8"/>
  <c r="M3030" i="8"/>
  <c r="M3062" i="8"/>
  <c r="M3094" i="8"/>
  <c r="M3126" i="8"/>
  <c r="M3158" i="8"/>
  <c r="M1893" i="8"/>
  <c r="M1925" i="8"/>
  <c r="M1957" i="8"/>
  <c r="M1989" i="8"/>
  <c r="M2021" i="8"/>
  <c r="M2053" i="8"/>
  <c r="M2085" i="8"/>
  <c r="M2117" i="8"/>
  <c r="M2149" i="8"/>
  <c r="M2181" i="8"/>
  <c r="M2213" i="8"/>
  <c r="M2245" i="8"/>
  <c r="M2277" i="8"/>
  <c r="M2309" i="8"/>
  <c r="M2349" i="8"/>
  <c r="M2381" i="8"/>
  <c r="M2413" i="8"/>
  <c r="M2445" i="8"/>
  <c r="M2489" i="8"/>
  <c r="M2521" i="8"/>
  <c r="M2553" i="8"/>
  <c r="M2585" i="8"/>
  <c r="M2617" i="8"/>
  <c r="M2649" i="8"/>
  <c r="M2681" i="8"/>
  <c r="M2713" i="8"/>
  <c r="M2753" i="8"/>
  <c r="M2785" i="8"/>
  <c r="M2817" i="8"/>
  <c r="M2849" i="8"/>
  <c r="M2881" i="8"/>
  <c r="M2945" i="8"/>
  <c r="M3201" i="8"/>
  <c r="M3233" i="8"/>
  <c r="M3265" i="8"/>
  <c r="M3297" i="8"/>
  <c r="M3333" i="8"/>
  <c r="M3365" i="8"/>
  <c r="M3397" i="8"/>
  <c r="M3429" i="8"/>
  <c r="M3461" i="8"/>
  <c r="M3501" i="8"/>
  <c r="M3533" i="8"/>
  <c r="M3565" i="8"/>
  <c r="M3597" i="8"/>
  <c r="M3629" i="8"/>
  <c r="M3669" i="8"/>
  <c r="M3701" i="8"/>
  <c r="M3733" i="8"/>
  <c r="M3765" i="8"/>
  <c r="M3809" i="8"/>
  <c r="M3841" i="8"/>
  <c r="M3873" i="8"/>
  <c r="M3905" i="8"/>
  <c r="M3937" i="8"/>
  <c r="M3969" i="8"/>
  <c r="M4001" i="8"/>
  <c r="M4033" i="8"/>
  <c r="M4065" i="8"/>
  <c r="M1116" i="8"/>
  <c r="M1084" i="8"/>
  <c r="M1054" i="8"/>
  <c r="M1024" i="8"/>
  <c r="M985" i="8"/>
  <c r="M955" i="8"/>
  <c r="M920" i="8"/>
  <c r="M890" i="8"/>
  <c r="M856" i="8"/>
  <c r="M825" i="8"/>
  <c r="M793" i="8"/>
  <c r="M767" i="8"/>
  <c r="M737" i="8"/>
  <c r="M719" i="8"/>
  <c r="M703" i="8"/>
  <c r="M653" i="8"/>
  <c r="M621" i="8"/>
  <c r="M589" i="8"/>
  <c r="M531" i="8"/>
  <c r="M515" i="8"/>
  <c r="M499" i="8"/>
  <c r="M483" i="8"/>
  <c r="M467" i="8"/>
  <c r="M451" i="8"/>
  <c r="M435" i="8"/>
  <c r="M419" i="8"/>
  <c r="M389" i="8"/>
  <c r="M257" i="8"/>
  <c r="M241" i="8"/>
  <c r="M95" i="8"/>
  <c r="M67" i="8"/>
  <c r="M41" i="8"/>
  <c r="M25" i="8"/>
  <c r="M9" i="8"/>
  <c r="M1152" i="8"/>
  <c r="M1196" i="8"/>
  <c r="M1228" i="8"/>
  <c r="M1260" i="8"/>
  <c r="M1308" i="8"/>
  <c r="M1340" i="8"/>
  <c r="M1372" i="8"/>
  <c r="M1404" i="8"/>
  <c r="M1436" i="8"/>
  <c r="M1468" i="8"/>
  <c r="M1500" i="8"/>
  <c r="M1544" i="8"/>
  <c r="M1576" i="8"/>
  <c r="M1608" i="8"/>
  <c r="M1640" i="8"/>
  <c r="M1708" i="8"/>
  <c r="M1740" i="8"/>
  <c r="M1772" i="8"/>
  <c r="M1804" i="8"/>
  <c r="M1836" i="8"/>
  <c r="M1868" i="8"/>
  <c r="M2981" i="8"/>
  <c r="M3021" i="8"/>
  <c r="M3053" i="8"/>
  <c r="M3085" i="8"/>
  <c r="M3117" i="8"/>
  <c r="M3149" i="8"/>
  <c r="M1884" i="8"/>
  <c r="M1916" i="8"/>
  <c r="M1948" i="8"/>
  <c r="M1980" i="8"/>
  <c r="M2012" i="8"/>
  <c r="M2044" i="8"/>
  <c r="M2076" i="8"/>
  <c r="M2108" i="8"/>
  <c r="M2140" i="8"/>
  <c r="M2172" i="8"/>
  <c r="M2204" i="8"/>
  <c r="M2236" i="8"/>
  <c r="M2268" i="8"/>
  <c r="M2300" i="8"/>
  <c r="M2332" i="8"/>
  <c r="M2364" i="8"/>
  <c r="M2396" i="8"/>
  <c r="M2428" i="8"/>
  <c r="M2460" i="8"/>
  <c r="M2504" i="8"/>
  <c r="M2536" i="8"/>
  <c r="M2568" i="8"/>
  <c r="M2600" i="8"/>
  <c r="M2632" i="8"/>
  <c r="M2664" i="8"/>
  <c r="M2696" i="8"/>
  <c r="M2728" i="8"/>
  <c r="M2768" i="8"/>
  <c r="M2800" i="8"/>
  <c r="M2832" i="8"/>
  <c r="M2864" i="8"/>
  <c r="M2896" i="8"/>
  <c r="M2932" i="8"/>
  <c r="M3184" i="8"/>
  <c r="M3216" i="8"/>
  <c r="M3248" i="8"/>
  <c r="M3280" i="8"/>
  <c r="M3312" i="8"/>
  <c r="M3356" i="8"/>
  <c r="M3388" i="8"/>
  <c r="M3420" i="8"/>
  <c r="M3452" i="8"/>
  <c r="M3492" i="8"/>
  <c r="M3524" i="8"/>
  <c r="M3556" i="8"/>
  <c r="M3588" i="8"/>
  <c r="M3620" i="8"/>
  <c r="M3660" i="8"/>
  <c r="M3692" i="8"/>
  <c r="M3724" i="8"/>
  <c r="M3756" i="8"/>
  <c r="M3800" i="8"/>
  <c r="M3832" i="8"/>
  <c r="M3864" i="8"/>
  <c r="M3896" i="8"/>
  <c r="M3932" i="8"/>
  <c r="M3964" i="8"/>
  <c r="M3996" i="8"/>
  <c r="M4028" i="8"/>
  <c r="M4060" i="8"/>
  <c r="M4092" i="8"/>
  <c r="M1091" i="8"/>
  <c r="M1061" i="8"/>
  <c r="M1029" i="8"/>
  <c r="M996" i="8"/>
  <c r="M968" i="8"/>
  <c r="M933" i="8"/>
  <c r="M903" i="8"/>
  <c r="M867" i="8"/>
  <c r="M827" i="8"/>
  <c r="M795" i="8"/>
  <c r="M762" i="8"/>
  <c r="M720" i="8"/>
  <c r="M690" i="8"/>
  <c r="M664" i="8"/>
  <c r="M636" i="8"/>
  <c r="M620" i="8"/>
  <c r="M604" i="8"/>
  <c r="M588" i="8"/>
  <c r="M572" i="8"/>
  <c r="M554" i="8"/>
  <c r="M522" i="8"/>
  <c r="M490" i="8"/>
  <c r="M458" i="8"/>
  <c r="M426" i="8"/>
  <c r="M394" i="8"/>
  <c r="M362" i="8"/>
  <c r="M330" i="8"/>
  <c r="M298" i="8"/>
  <c r="M266" i="8"/>
  <c r="M228" i="8"/>
  <c r="M196" i="8"/>
  <c r="M164" i="8"/>
  <c r="M132" i="8"/>
  <c r="M88" i="8"/>
  <c r="M58" i="8"/>
  <c r="M26" i="8"/>
  <c r="M1123" i="8"/>
  <c r="M1155" i="8"/>
  <c r="M1195" i="8"/>
  <c r="M1227" i="8"/>
  <c r="M1259" i="8"/>
  <c r="M1307" i="8"/>
  <c r="M1339" i="8"/>
  <c r="M1371" i="8"/>
  <c r="M1403" i="8"/>
  <c r="M1435" i="8"/>
  <c r="M1467" i="8"/>
  <c r="M1499" i="8"/>
  <c r="M1543" i="8"/>
  <c r="M1575" i="8"/>
  <c r="M1607" i="8"/>
  <c r="M1639" i="8"/>
  <c r="M1707" i="8"/>
  <c r="M1739" i="8"/>
  <c r="M1771" i="8"/>
  <c r="M1803" i="8"/>
  <c r="M1835" i="8"/>
  <c r="M1867" i="8"/>
  <c r="M2980" i="8"/>
  <c r="M3024" i="8"/>
  <c r="M3056" i="8"/>
  <c r="M3088" i="8"/>
  <c r="M3120" i="8"/>
  <c r="M3152" i="8"/>
  <c r="M1887" i="8"/>
  <c r="M1919" i="8"/>
  <c r="M1951" i="8"/>
  <c r="M1983" i="8"/>
  <c r="M2015" i="8"/>
  <c r="M2047" i="8"/>
  <c r="M2079" i="8"/>
  <c r="M2111" i="8"/>
  <c r="M2143" i="8"/>
  <c r="M2175" i="8"/>
  <c r="M2207" i="8"/>
  <c r="M2239" i="8"/>
  <c r="M2271" i="8"/>
  <c r="M2303" i="8"/>
  <c r="M2335" i="8"/>
  <c r="M2367" i="8"/>
  <c r="M2399" i="8"/>
  <c r="M2431" i="8"/>
  <c r="M2463" i="8"/>
  <c r="M2499" i="8"/>
  <c r="M2531" i="8"/>
  <c r="M2563" i="8"/>
  <c r="M2595" i="8"/>
  <c r="M2627" i="8"/>
  <c r="M2659" i="8"/>
  <c r="M2691" i="8"/>
  <c r="M2723" i="8"/>
  <c r="M2759" i="8"/>
  <c r="M2799" i="8"/>
  <c r="M2831" i="8"/>
  <c r="M2863" i="8"/>
  <c r="M2895" i="8"/>
  <c r="M2935" i="8"/>
  <c r="M3183" i="8"/>
  <c r="M3215" i="8"/>
  <c r="M3247" i="8"/>
  <c r="M3279" i="8"/>
  <c r="M3311" i="8"/>
  <c r="M3355" i="8"/>
  <c r="M3387" i="8"/>
  <c r="M3419" i="8"/>
  <c r="M3451" i="8"/>
  <c r="M3491" i="8"/>
  <c r="M3523" i="8"/>
  <c r="M3555" i="8"/>
  <c r="M3587" i="8"/>
  <c r="M3619" i="8"/>
  <c r="M3651" i="8"/>
  <c r="M3683" i="8"/>
  <c r="M3715" i="8"/>
  <c r="M3747" i="8"/>
  <c r="M3791" i="8"/>
  <c r="M3823" i="8"/>
  <c r="M3855" i="8"/>
  <c r="M3887" i="8"/>
  <c r="M3919" i="8"/>
  <c r="M3959" i="8"/>
  <c r="M3991" i="8"/>
  <c r="M4023" i="8"/>
  <c r="M4055" i="8"/>
  <c r="M4087" i="8"/>
  <c r="M1093" i="8"/>
  <c r="M1063" i="8"/>
  <c r="M1031" i="8"/>
  <c r="M995" i="8"/>
  <c r="M959" i="8"/>
  <c r="M927" i="8"/>
  <c r="M897" i="8"/>
  <c r="M832" i="8"/>
  <c r="M800" i="8"/>
  <c r="M759" i="8"/>
  <c r="M693" i="8"/>
  <c r="M677" i="8"/>
  <c r="M651" i="8"/>
  <c r="M619" i="8"/>
  <c r="M587" i="8"/>
  <c r="M557" i="8"/>
  <c r="M541" i="8"/>
  <c r="M401" i="8"/>
  <c r="M365" i="8"/>
  <c r="M349" i="8"/>
  <c r="M333" i="8"/>
  <c r="M317" i="8"/>
  <c r="M301" i="8"/>
  <c r="M285" i="8"/>
  <c r="M269" i="8"/>
  <c r="M217" i="8"/>
  <c r="M201" i="8"/>
  <c r="M185" i="8"/>
  <c r="M169" i="8"/>
  <c r="M153" i="8"/>
  <c r="M137" i="8"/>
  <c r="M121" i="8"/>
  <c r="M53" i="8"/>
  <c r="M1138" i="8"/>
  <c r="M1178" i="8"/>
  <c r="M1210" i="8"/>
  <c r="M1242" i="8"/>
  <c r="M1274" i="8"/>
  <c r="M1314" i="8"/>
  <c r="M1346" i="8"/>
  <c r="M1378" i="8"/>
  <c r="M1410" i="8"/>
  <c r="M1442" i="8"/>
  <c r="M1474" i="8"/>
  <c r="M1506" i="8"/>
  <c r="M1542" i="8"/>
  <c r="M1574" i="8"/>
  <c r="M1606" i="8"/>
  <c r="M1638" i="8"/>
  <c r="M1706" i="8"/>
  <c r="M1738" i="8"/>
  <c r="M1770" i="8"/>
  <c r="M1802" i="8"/>
  <c r="M1834" i="8"/>
  <c r="M1866" i="8"/>
  <c r="M2979" i="8"/>
  <c r="M3011" i="8"/>
  <c r="M3043" i="8"/>
  <c r="M3075" i="8"/>
  <c r="M3107" i="8"/>
  <c r="M3139" i="8"/>
  <c r="M1874" i="8"/>
  <c r="M1906" i="8"/>
  <c r="M1938" i="8"/>
  <c r="M1970" i="8"/>
  <c r="M2002" i="8"/>
  <c r="M2034" i="8"/>
  <c r="M2066" i="8"/>
  <c r="M2098" i="8"/>
  <c r="M2130" i="8"/>
  <c r="M2162" i="8"/>
  <c r="M2194" i="8"/>
  <c r="M2226" i="8"/>
  <c r="M2258" i="8"/>
  <c r="M2290" i="8"/>
  <c r="M2354" i="8"/>
  <c r="M2386" i="8"/>
  <c r="M2418" i="8"/>
  <c r="M2450" i="8"/>
  <c r="M2494" i="8"/>
  <c r="M2526" i="8"/>
  <c r="M2558" i="8"/>
  <c r="M2590" i="8"/>
  <c r="M2622" i="8"/>
  <c r="M2654" i="8"/>
  <c r="M2686" i="8"/>
  <c r="M2718" i="8"/>
  <c r="M2790" i="8"/>
  <c r="M2822" i="8"/>
  <c r="M2854" i="8"/>
  <c r="M2886" i="8"/>
  <c r="M2926" i="8"/>
  <c r="M3206" i="8"/>
  <c r="M3238" i="8"/>
  <c r="M3270" i="8"/>
  <c r="M3302" i="8"/>
  <c r="M3346" i="8"/>
  <c r="M3378" i="8"/>
  <c r="M3410" i="8"/>
  <c r="M3442" i="8"/>
  <c r="M3486" i="8"/>
  <c r="M3518" i="8"/>
  <c r="M3550" i="8"/>
  <c r="M3582" i="8"/>
  <c r="M3614" i="8"/>
  <c r="M3678" i="8"/>
  <c r="M3710" i="8"/>
  <c r="M3742" i="8"/>
  <c r="M3810" i="8"/>
  <c r="M3842" i="8"/>
  <c r="M3874" i="8"/>
  <c r="M3906" i="8"/>
  <c r="M3938" i="8"/>
  <c r="M3970" i="8"/>
  <c r="M4002" i="8"/>
  <c r="M4034" i="8"/>
  <c r="M4066" i="8"/>
  <c r="M1119" i="8"/>
  <c r="M1087" i="8"/>
  <c r="M1049" i="8"/>
  <c r="M1013" i="8"/>
  <c r="M981" i="8"/>
  <c r="M950" i="8"/>
  <c r="M918" i="8"/>
  <c r="M888" i="8"/>
  <c r="M859" i="8"/>
  <c r="M826" i="8"/>
  <c r="M794" i="8"/>
  <c r="M764" i="8"/>
  <c r="M738" i="8"/>
  <c r="M710" i="8"/>
  <c r="M676" i="8"/>
  <c r="M556" i="8"/>
  <c r="M524" i="8"/>
  <c r="M492" i="8"/>
  <c r="M460" i="8"/>
  <c r="M428" i="8"/>
  <c r="M398" i="8"/>
  <c r="M364" i="8"/>
  <c r="M332" i="8"/>
  <c r="M300" i="8"/>
  <c r="M268" i="8"/>
  <c r="M226" i="8"/>
  <c r="M194" i="8"/>
  <c r="M162" i="8"/>
  <c r="M130" i="8"/>
  <c r="M94" i="8"/>
  <c r="M60" i="8"/>
  <c r="M28" i="8"/>
  <c r="M1125" i="8"/>
  <c r="M1157" i="8"/>
  <c r="M1193" i="8"/>
  <c r="M1225" i="8"/>
  <c r="M1257" i="8"/>
  <c r="M1297" i="8"/>
  <c r="M1329" i="8"/>
  <c r="M1361" i="8"/>
  <c r="M1393" i="8"/>
  <c r="M1425" i="8"/>
  <c r="M1457" i="8"/>
  <c r="M1489" i="8"/>
  <c r="M1525" i="8"/>
  <c r="M1557" i="8"/>
  <c r="M1589" i="8"/>
  <c r="M1621" i="8"/>
  <c r="M1653" i="8"/>
  <c r="M1689" i="8"/>
  <c r="M1721" i="8"/>
  <c r="M1753" i="8"/>
  <c r="M1785" i="8"/>
  <c r="M1817" i="8"/>
  <c r="M1849" i="8"/>
  <c r="M2962" i="8"/>
  <c r="M2994" i="8"/>
  <c r="M3026" i="8"/>
  <c r="M3058" i="8"/>
  <c r="M3090" i="8"/>
  <c r="M3122" i="8"/>
  <c r="M3154" i="8"/>
  <c r="M1889" i="8"/>
  <c r="M1921" i="8"/>
  <c r="M1953" i="8"/>
  <c r="M1985" i="8"/>
  <c r="M2017" i="8"/>
  <c r="M2049" i="8"/>
  <c r="M2081" i="8"/>
  <c r="M2113" i="8"/>
  <c r="M2145" i="8"/>
  <c r="M2177" i="8"/>
  <c r="M2209" i="8"/>
  <c r="M2241" i="8"/>
  <c r="M2273" i="8"/>
  <c r="M2305" i="8"/>
  <c r="M2337" i="8"/>
  <c r="M2369" i="8"/>
  <c r="M2401" i="8"/>
  <c r="M2433" i="8"/>
  <c r="M2465" i="8"/>
  <c r="M2501" i="8"/>
  <c r="M2533" i="8"/>
  <c r="M2565" i="8"/>
  <c r="M2597" i="8"/>
  <c r="M2629" i="8"/>
  <c r="M2661" i="8"/>
  <c r="M2693" i="8"/>
  <c r="M2725" i="8"/>
  <c r="M2757" i="8"/>
  <c r="M2789" i="8"/>
  <c r="M2821" i="8"/>
  <c r="M2853" i="8"/>
  <c r="M2885" i="8"/>
  <c r="M2925" i="8"/>
  <c r="M3205" i="8"/>
  <c r="M3237" i="8"/>
  <c r="M3269" i="8"/>
  <c r="M3301" i="8"/>
  <c r="M3337" i="8"/>
  <c r="M3369" i="8"/>
  <c r="M3401" i="8"/>
  <c r="M3433" i="8"/>
  <c r="M3465" i="8"/>
  <c r="M3497" i="8"/>
  <c r="M3529" i="8"/>
  <c r="M3561" i="8"/>
  <c r="M3593" i="8"/>
  <c r="M3625" i="8"/>
  <c r="M3657" i="8"/>
  <c r="M3689" i="8"/>
  <c r="M3721" i="8"/>
  <c r="M3753" i="8"/>
  <c r="M3789" i="8"/>
  <c r="M3821" i="8"/>
  <c r="M3853" i="8"/>
  <c r="M3885" i="8"/>
  <c r="M3917" i="8"/>
  <c r="M3957" i="8"/>
  <c r="M3989" i="8"/>
  <c r="M4021" i="8"/>
  <c r="M4053" i="8"/>
  <c r="M4085" i="8"/>
  <c r="M1097" i="8"/>
  <c r="M1065" i="8"/>
  <c r="M1035" i="8"/>
  <c r="M997" i="8"/>
  <c r="M966" i="8"/>
  <c r="M936" i="8"/>
  <c r="M901" i="8"/>
  <c r="M871" i="8"/>
  <c r="M839" i="8"/>
  <c r="M804" i="8"/>
  <c r="M774" i="8"/>
  <c r="M747" i="8"/>
  <c r="M725" i="8"/>
  <c r="M709" i="8"/>
  <c r="M665" i="8"/>
  <c r="M633" i="8"/>
  <c r="M601" i="8"/>
  <c r="M569" i="8"/>
  <c r="M521" i="8"/>
  <c r="M505" i="8"/>
  <c r="M489" i="8"/>
  <c r="M473" i="8"/>
  <c r="M457" i="8"/>
  <c r="M441" i="8"/>
  <c r="M425" i="8"/>
  <c r="M409" i="8"/>
  <c r="M379" i="8"/>
  <c r="M247" i="8"/>
  <c r="M231" i="8"/>
  <c r="M85" i="8"/>
  <c r="M57" i="8"/>
  <c r="M31" i="8"/>
  <c r="M15" i="8"/>
  <c r="M1124" i="8"/>
  <c r="M1156" i="8"/>
  <c r="M1192" i="8"/>
  <c r="M1224" i="8"/>
  <c r="M1256" i="8"/>
  <c r="M1288" i="8"/>
  <c r="M1320" i="8"/>
  <c r="M1352" i="8"/>
  <c r="M1384" i="8"/>
  <c r="M1416" i="8"/>
  <c r="M1448" i="8"/>
  <c r="M1480" i="8"/>
  <c r="M1548" i="8"/>
  <c r="M1580" i="8"/>
  <c r="M1612" i="8"/>
  <c r="M1644" i="8"/>
  <c r="M1688" i="8"/>
  <c r="M1720" i="8"/>
  <c r="M1752" i="8"/>
  <c r="M1784" i="8"/>
  <c r="M1816" i="8"/>
  <c r="M1848" i="8"/>
  <c r="M2961" i="8"/>
  <c r="M2993" i="8"/>
  <c r="M3025" i="8"/>
  <c r="M3057" i="8"/>
  <c r="M3089" i="8"/>
  <c r="M3121" i="8"/>
  <c r="M3153" i="8"/>
  <c r="M1888" i="8"/>
  <c r="M1920" i="8"/>
  <c r="M1952" i="8"/>
  <c r="M1984" i="8"/>
  <c r="M2016" i="8"/>
  <c r="M2048" i="8"/>
  <c r="M2080" i="8"/>
  <c r="M2112" i="8"/>
  <c r="M2144" i="8"/>
  <c r="M2176" i="8"/>
  <c r="M2208" i="8"/>
  <c r="M2240" i="8"/>
  <c r="M2272" i="8"/>
  <c r="M2304" i="8"/>
  <c r="M2336" i="8"/>
  <c r="M2368" i="8"/>
  <c r="M2400" i="8"/>
  <c r="M2432" i="8"/>
  <c r="M2464" i="8"/>
  <c r="M2500" i="8"/>
  <c r="M2532" i="8"/>
  <c r="M2564" i="8"/>
  <c r="M2596" i="8"/>
  <c r="M2628" i="8"/>
  <c r="M2660" i="8"/>
  <c r="M2692" i="8"/>
  <c r="M2724" i="8"/>
  <c r="M2756" i="8"/>
  <c r="M2788" i="8"/>
  <c r="M2820" i="8"/>
  <c r="M2852" i="8"/>
  <c r="M2884" i="8"/>
  <c r="M2928" i="8"/>
  <c r="M3180" i="8"/>
  <c r="M3212" i="8"/>
  <c r="M3244" i="8"/>
  <c r="M3276" i="8"/>
  <c r="M3308" i="8"/>
  <c r="M3344" i="8"/>
  <c r="M3376" i="8"/>
  <c r="M3408" i="8"/>
  <c r="M3440" i="8"/>
  <c r="M3472" i="8"/>
  <c r="M3504" i="8"/>
  <c r="M3536" i="8"/>
  <c r="M3568" i="8"/>
  <c r="M3600" i="8"/>
  <c r="M3632" i="8"/>
  <c r="M3664" i="8"/>
  <c r="M3696" i="8"/>
  <c r="M3728" i="8"/>
  <c r="M3760" i="8"/>
  <c r="M3796" i="8"/>
  <c r="M3828" i="8"/>
  <c r="M3860" i="8"/>
  <c r="M3892" i="8"/>
  <c r="M3936" i="8"/>
  <c r="M3968" i="8"/>
  <c r="M4000" i="8"/>
  <c r="M4032" i="8"/>
  <c r="M4064" i="8"/>
  <c r="M1118" i="8"/>
  <c r="M1086" i="8"/>
  <c r="M1056" i="8"/>
  <c r="M1026" i="8"/>
  <c r="M983" i="8"/>
  <c r="M957" i="8"/>
  <c r="M922" i="8"/>
  <c r="M892" i="8"/>
  <c r="M847" i="8"/>
  <c r="M814" i="8"/>
  <c r="M782" i="8"/>
  <c r="M750" i="8"/>
  <c r="M708" i="8"/>
  <c r="M678" i="8"/>
  <c r="M658" i="8"/>
  <c r="M630" i="8"/>
  <c r="M614" i="8"/>
  <c r="M598" i="8"/>
  <c r="M582" i="8"/>
  <c r="M566" i="8"/>
  <c r="M542" i="8"/>
  <c r="M510" i="8"/>
  <c r="M478" i="8"/>
  <c r="M446" i="8"/>
  <c r="M414" i="8"/>
  <c r="M382" i="8"/>
  <c r="M350" i="8"/>
  <c r="M318" i="8"/>
  <c r="M286" i="8"/>
  <c r="M256" i="8"/>
  <c r="M224" i="8"/>
  <c r="M192" i="8"/>
  <c r="M160" i="8"/>
  <c r="M128" i="8"/>
  <c r="M92" i="8"/>
  <c r="M62" i="8"/>
  <c r="M30" i="8"/>
  <c r="M2043" i="8"/>
  <c r="M2075" i="8"/>
  <c r="M2107" i="8"/>
  <c r="M2139" i="8"/>
  <c r="M2171" i="8"/>
  <c r="M2203" i="8"/>
  <c r="M2235" i="8"/>
  <c r="M2267" i="8"/>
  <c r="M2299" i="8"/>
  <c r="M2331" i="8"/>
  <c r="M2363" i="8"/>
  <c r="M2395" i="8"/>
  <c r="M2427" i="8"/>
  <c r="M2459" i="8"/>
  <c r="M2503" i="8"/>
  <c r="M2535" i="8"/>
  <c r="M2567" i="8"/>
  <c r="M2599" i="8"/>
  <c r="M2631" i="8"/>
  <c r="M2663" i="8"/>
  <c r="M2695" i="8"/>
  <c r="M2727" i="8"/>
  <c r="M2771" i="8"/>
  <c r="M2803" i="8"/>
  <c r="M2835" i="8"/>
  <c r="M2867" i="8"/>
  <c r="M2899" i="8"/>
  <c r="M2931" i="8"/>
  <c r="M3187" i="8"/>
  <c r="M3219" i="8"/>
  <c r="M3251" i="8"/>
  <c r="M3283" i="8"/>
  <c r="M3315" i="8"/>
  <c r="M3351" i="8"/>
  <c r="M3383" i="8"/>
  <c r="M3415" i="8"/>
  <c r="M3447" i="8"/>
  <c r="M3511" i="8"/>
  <c r="M3543" i="8"/>
  <c r="M3575" i="8"/>
  <c r="M3607" i="8"/>
  <c r="M3639" i="8"/>
  <c r="M3671" i="8"/>
  <c r="M3703" i="8"/>
  <c r="M3735" i="8"/>
  <c r="M3767" i="8"/>
  <c r="M3803" i="8"/>
  <c r="M3835" i="8"/>
  <c r="M3867" i="8"/>
  <c r="M3899" i="8"/>
  <c r="M3963" i="8"/>
  <c r="M3995" i="8"/>
  <c r="M4027" i="8"/>
  <c r="M4059" i="8"/>
  <c r="M4091" i="8"/>
  <c r="M1088" i="8"/>
  <c r="M1058" i="8"/>
  <c r="M1028" i="8"/>
  <c r="M992" i="8"/>
  <c r="M954" i="8"/>
  <c r="M924" i="8"/>
  <c r="M889" i="8"/>
  <c r="M835" i="8"/>
  <c r="M805" i="8"/>
  <c r="M761" i="8"/>
  <c r="M695" i="8"/>
  <c r="M679" i="8"/>
  <c r="M655" i="8"/>
  <c r="M623" i="8"/>
  <c r="M591" i="8"/>
  <c r="M559" i="8"/>
  <c r="M543" i="8"/>
  <c r="M403" i="8"/>
  <c r="M367" i="8"/>
  <c r="M351" i="8"/>
  <c r="M335" i="8"/>
  <c r="M319" i="8"/>
  <c r="M303" i="8"/>
  <c r="M287" i="8"/>
  <c r="M271" i="8"/>
  <c r="M219" i="8"/>
  <c r="M203" i="8"/>
  <c r="M187" i="8"/>
  <c r="M171" i="8"/>
  <c r="M155" i="8"/>
  <c r="M139" i="8"/>
  <c r="M123" i="8"/>
  <c r="M55" i="8"/>
  <c r="M1134" i="8"/>
  <c r="M1198" i="8"/>
  <c r="M1230" i="8"/>
  <c r="M1262" i="8"/>
  <c r="M1326" i="8"/>
  <c r="M1358" i="8"/>
  <c r="M1390" i="8"/>
  <c r="M1422" i="8"/>
  <c r="M1454" i="8"/>
  <c r="M1486" i="8"/>
  <c r="M1530" i="8"/>
  <c r="M1562" i="8"/>
  <c r="M1594" i="8"/>
  <c r="M1626" i="8"/>
  <c r="M1658" i="8"/>
  <c r="M1702" i="8"/>
  <c r="M1734" i="8"/>
  <c r="M1766" i="8"/>
  <c r="M1798" i="8"/>
  <c r="M1830" i="8"/>
  <c r="M1862" i="8"/>
  <c r="M2975" i="8"/>
  <c r="M3007" i="8"/>
  <c r="M3047" i="8"/>
  <c r="M3079" i="8"/>
  <c r="M3111" i="8"/>
  <c r="M3143" i="8"/>
  <c r="M1878" i="8"/>
  <c r="M1910" i="8"/>
  <c r="M1942" i="8"/>
  <c r="M1974" i="8"/>
  <c r="M2006" i="8"/>
  <c r="M2038" i="8"/>
  <c r="M2070" i="8"/>
  <c r="M2102" i="8"/>
  <c r="M2134" i="8"/>
  <c r="M2166" i="8"/>
  <c r="M2198" i="8"/>
  <c r="M2230" i="8"/>
  <c r="M2262" i="8"/>
  <c r="M2294" i="8"/>
  <c r="M2334" i="8"/>
  <c r="M2366" i="8"/>
  <c r="M2398" i="8"/>
  <c r="M2430" i="8"/>
  <c r="M2462" i="8"/>
  <c r="M2498" i="8"/>
  <c r="M2530" i="8"/>
  <c r="M2562" i="8"/>
  <c r="M2594" i="8"/>
  <c r="M2626" i="8"/>
  <c r="M2658" i="8"/>
  <c r="M2690" i="8"/>
  <c r="M2722" i="8"/>
  <c r="M2762" i="8"/>
  <c r="M2794" i="8"/>
  <c r="M2826" i="8"/>
  <c r="M2858" i="8"/>
  <c r="M2890" i="8"/>
  <c r="M2922" i="8"/>
  <c r="M3178" i="8"/>
  <c r="M3210" i="8"/>
  <c r="M3242" i="8"/>
  <c r="M3274" i="8"/>
  <c r="M3306" i="8"/>
  <c r="M3342" i="8"/>
  <c r="M3374" i="8"/>
  <c r="M3406" i="8"/>
  <c r="M3438" i="8"/>
  <c r="M3470" i="8"/>
  <c r="M3506" i="8"/>
  <c r="M3538" i="8"/>
  <c r="M3570" i="8"/>
  <c r="M3602" i="8"/>
  <c r="M3634" i="8"/>
  <c r="M3666" i="8"/>
  <c r="M3698" i="8"/>
  <c r="M3730" i="8"/>
  <c r="M3762" i="8"/>
  <c r="M3806" i="8"/>
  <c r="M3838" i="8"/>
  <c r="M3870" i="8"/>
  <c r="M3902" i="8"/>
  <c r="M3942" i="8"/>
  <c r="M3974" i="8"/>
  <c r="M4006" i="8"/>
  <c r="M4038" i="8"/>
  <c r="M4070" i="8"/>
  <c r="M1114" i="8"/>
  <c r="M1079" i="8"/>
  <c r="M1041" i="8"/>
  <c r="M1002" i="8"/>
  <c r="M967" i="8"/>
  <c r="M937" i="8"/>
  <c r="M907" i="8"/>
  <c r="M877" i="8"/>
  <c r="M837" i="8"/>
  <c r="M807" i="8"/>
  <c r="M773" i="8"/>
  <c r="M746" i="8"/>
  <c r="M722" i="8"/>
  <c r="M688" i="8"/>
  <c r="M648" i="8"/>
  <c r="M536" i="8"/>
  <c r="M504" i="8"/>
  <c r="M472" i="8"/>
  <c r="M440" i="8"/>
  <c r="M408" i="8"/>
  <c r="M376" i="8"/>
  <c r="M344" i="8"/>
  <c r="M312" i="8"/>
  <c r="M280" i="8"/>
  <c r="M246" i="8"/>
  <c r="M214" i="8"/>
  <c r="M182" i="8"/>
  <c r="M150" i="8"/>
  <c r="M118" i="8"/>
  <c r="M72" i="8"/>
  <c r="M40" i="8"/>
  <c r="M8" i="8"/>
  <c r="M1145" i="8"/>
  <c r="M1189" i="8"/>
  <c r="M1221" i="8"/>
  <c r="M1253" i="8"/>
  <c r="M1285" i="8"/>
  <c r="M1317" i="8"/>
  <c r="M1349" i="8"/>
  <c r="M1381" i="8"/>
  <c r="M1413" i="8"/>
  <c r="M1445" i="8"/>
  <c r="M1477" i="8"/>
  <c r="M1521" i="8"/>
  <c r="M1553" i="8"/>
  <c r="M1585" i="8"/>
  <c r="M1617" i="8"/>
  <c r="M1649" i="8"/>
  <c r="M1693" i="8"/>
  <c r="M1725" i="8"/>
  <c r="M1757" i="8"/>
  <c r="M1789" i="8"/>
  <c r="M1821" i="8"/>
  <c r="M1853" i="8"/>
  <c r="M2966" i="8"/>
  <c r="M2998" i="8"/>
  <c r="M3038" i="8"/>
  <c r="M3070" i="8"/>
  <c r="M3102" i="8"/>
  <c r="M3134" i="8"/>
  <c r="M1869" i="8"/>
  <c r="M1901" i="8"/>
  <c r="M1933" i="8"/>
  <c r="M1965" i="8"/>
  <c r="M1997" i="8"/>
  <c r="M2029" i="8"/>
  <c r="M2061" i="8"/>
  <c r="M2093" i="8"/>
  <c r="M2125" i="8"/>
  <c r="M2157" i="8"/>
  <c r="M2189" i="8"/>
  <c r="M2221" i="8"/>
  <c r="M2253" i="8"/>
  <c r="M2285" i="8"/>
  <c r="M2325" i="8"/>
  <c r="M2357" i="8"/>
  <c r="M2389" i="8"/>
  <c r="M2421" i="8"/>
  <c r="M2453" i="8"/>
  <c r="M2497" i="8"/>
  <c r="M2529" i="8"/>
  <c r="M2561" i="8"/>
  <c r="M2593" i="8"/>
  <c r="M2625" i="8"/>
  <c r="M2657" i="8"/>
  <c r="M2689" i="8"/>
  <c r="M2721" i="8"/>
  <c r="M2761" i="8"/>
  <c r="M2793" i="8"/>
  <c r="M2825" i="8"/>
  <c r="M2857" i="8"/>
  <c r="M2889" i="8"/>
  <c r="M2921" i="8"/>
  <c r="M3177" i="8"/>
  <c r="M3209" i="8"/>
  <c r="M3241" i="8"/>
  <c r="M3273" i="8"/>
  <c r="M3305" i="8"/>
  <c r="M3341" i="8"/>
  <c r="M3373" i="8"/>
  <c r="M3405" i="8"/>
  <c r="M3437" i="8"/>
  <c r="M3469" i="8"/>
  <c r="M3509" i="8"/>
  <c r="M3541" i="8"/>
  <c r="M3573" i="8"/>
  <c r="M3605" i="8"/>
  <c r="M3637" i="8"/>
  <c r="M3677" i="8"/>
  <c r="M3709" i="8"/>
  <c r="M3741" i="8"/>
  <c r="M3785" i="8"/>
  <c r="M3817" i="8"/>
  <c r="M3849" i="8"/>
  <c r="M3881" i="8"/>
  <c r="M3913" i="8"/>
  <c r="M3945" i="8"/>
  <c r="M3977" i="8"/>
  <c r="M4009" i="8"/>
  <c r="M4041" i="8"/>
  <c r="M4073" i="8"/>
  <c r="M1108" i="8"/>
  <c r="M1078" i="8"/>
  <c r="M1046" i="8"/>
  <c r="M1008" i="8"/>
  <c r="M978" i="8"/>
  <c r="M947" i="8"/>
  <c r="M912" i="8"/>
  <c r="M882" i="8"/>
  <c r="M850" i="8"/>
  <c r="M817" i="8"/>
  <c r="M785" i="8"/>
  <c r="M763" i="8"/>
  <c r="M731" i="8"/>
  <c r="M715" i="8"/>
  <c r="M699" i="8"/>
  <c r="M645" i="8"/>
  <c r="M613" i="8"/>
  <c r="M581" i="8"/>
  <c r="M527" i="8"/>
  <c r="M511" i="8"/>
  <c r="M495" i="8"/>
  <c r="M479" i="8"/>
  <c r="M463" i="8"/>
  <c r="M447" i="8"/>
  <c r="M431" i="8"/>
  <c r="M415" i="8"/>
  <c r="M385" i="8"/>
  <c r="M253" i="8"/>
  <c r="M237" i="8"/>
  <c r="M91" i="8"/>
  <c r="M63" i="8"/>
  <c r="M37" i="8"/>
  <c r="M21" i="8"/>
  <c r="M5" i="8"/>
  <c r="M1144" i="8"/>
  <c r="M1188" i="8"/>
  <c r="M1220" i="8"/>
  <c r="M1252" i="8"/>
  <c r="M1284" i="8"/>
  <c r="M1316" i="8"/>
  <c r="M1348" i="8"/>
  <c r="M1380" i="8"/>
  <c r="M1412" i="8"/>
  <c r="M1444" i="8"/>
  <c r="M1476" i="8"/>
  <c r="M1520" i="8"/>
  <c r="M1552" i="8"/>
  <c r="M1584" i="8"/>
  <c r="M1616" i="8"/>
  <c r="M1648" i="8"/>
  <c r="M1684" i="8"/>
  <c r="M1716" i="8"/>
  <c r="M1748" i="8"/>
  <c r="M1780" i="8"/>
  <c r="M1812" i="8"/>
  <c r="M1844" i="8"/>
  <c r="M2957" i="8"/>
  <c r="M2989" i="8"/>
  <c r="M3029" i="8"/>
  <c r="M3061" i="8"/>
  <c r="M3093" i="8"/>
  <c r="M3125" i="8"/>
  <c r="M3157" i="8"/>
  <c r="M1892" i="8"/>
  <c r="M1924" i="8"/>
  <c r="M1956" i="8"/>
  <c r="M1988" i="8"/>
  <c r="M2020" i="8"/>
  <c r="M2052" i="8"/>
  <c r="M2084" i="8"/>
  <c r="M2116" i="8"/>
  <c r="M2148" i="8"/>
  <c r="M2180" i="8"/>
  <c r="M2212" i="8"/>
  <c r="M2244" i="8"/>
  <c r="M2276" i="8"/>
  <c r="M2308" i="8"/>
  <c r="M2340" i="8"/>
  <c r="M2372" i="8"/>
  <c r="M2404" i="8"/>
  <c r="M2436" i="8"/>
  <c r="M2468" i="8"/>
  <c r="M2512" i="8"/>
  <c r="M2544" i="8"/>
  <c r="M2576" i="8"/>
  <c r="M2608" i="8"/>
  <c r="M2640" i="8"/>
  <c r="M2672" i="8"/>
  <c r="M2704" i="8"/>
  <c r="M2736" i="8"/>
  <c r="M2808" i="8"/>
  <c r="M2840" i="8"/>
  <c r="M2872" i="8"/>
  <c r="M2904" i="8"/>
  <c r="M2940" i="8"/>
  <c r="M3192" i="8"/>
  <c r="M3224" i="8"/>
  <c r="M3256" i="8"/>
  <c r="M3288" i="8"/>
  <c r="M3332" i="8"/>
  <c r="M3364" i="8"/>
  <c r="M3396" i="8"/>
  <c r="M3428" i="8"/>
  <c r="M3460" i="8"/>
  <c r="M3500" i="8"/>
  <c r="M3532" i="8"/>
  <c r="M3564" i="8"/>
  <c r="M3596" i="8"/>
  <c r="M3628" i="8"/>
  <c r="M3668" i="8"/>
  <c r="M3700" i="8"/>
  <c r="M3732" i="8"/>
  <c r="M3764" i="8"/>
  <c r="M3808" i="8"/>
  <c r="M3840" i="8"/>
  <c r="M3872" i="8"/>
  <c r="M3904" i="8"/>
  <c r="M3940" i="8"/>
  <c r="M3972" i="8"/>
  <c r="M4004" i="8"/>
  <c r="M4036" i="8"/>
  <c r="M4068" i="8"/>
  <c r="M1115" i="8"/>
  <c r="M1083" i="8"/>
  <c r="M1053" i="8"/>
  <c r="M988" i="8"/>
  <c r="M960" i="8"/>
  <c r="M925" i="8"/>
  <c r="M895" i="8"/>
  <c r="M855" i="8"/>
  <c r="M819" i="8"/>
  <c r="M787" i="8"/>
  <c r="M754" i="8"/>
  <c r="M712" i="8"/>
  <c r="M682" i="8"/>
  <c r="M660" i="8"/>
  <c r="M632" i="8"/>
  <c r="M616" i="8"/>
  <c r="M600" i="8"/>
  <c r="M584" i="8"/>
  <c r="M568" i="8"/>
  <c r="M546" i="8"/>
  <c r="M514" i="8"/>
  <c r="M482" i="8"/>
  <c r="M450" i="8"/>
  <c r="M418" i="8"/>
  <c r="M386" i="8"/>
  <c r="M354" i="8"/>
  <c r="M322" i="8"/>
  <c r="M290" i="8"/>
  <c r="M252" i="8"/>
  <c r="M220" i="8"/>
  <c r="M188" i="8"/>
  <c r="M156" i="8"/>
  <c r="M124" i="8"/>
  <c r="M82" i="8"/>
  <c r="M50" i="8"/>
  <c r="M18" i="8"/>
  <c r="M1131" i="8"/>
  <c r="M1171" i="8"/>
  <c r="M1203" i="8"/>
  <c r="M1235" i="8"/>
  <c r="M1267" i="8"/>
  <c r="M1299" i="8"/>
  <c r="M1331" i="8"/>
  <c r="M1363" i="8"/>
  <c r="M1395" i="8"/>
  <c r="M1427" i="8"/>
  <c r="M1459" i="8"/>
  <c r="M1491" i="8"/>
  <c r="M1535" i="8"/>
  <c r="M1567" i="8"/>
  <c r="M1599" i="8"/>
  <c r="M1631" i="8"/>
  <c r="M1663" i="8"/>
  <c r="M1699" i="8"/>
  <c r="M1731" i="8"/>
  <c r="M1763" i="8"/>
  <c r="M1795" i="8"/>
  <c r="M1827" i="8"/>
  <c r="M1859" i="8"/>
  <c r="M2972" i="8"/>
  <c r="M3004" i="8"/>
  <c r="M3048" i="8"/>
  <c r="M3080" i="8"/>
  <c r="M3112" i="8"/>
  <c r="M3144" i="8"/>
  <c r="M1879" i="8"/>
  <c r="M1911" i="8"/>
  <c r="M1943" i="8"/>
  <c r="M1975" i="8"/>
  <c r="M2007" i="8"/>
  <c r="M2039" i="8"/>
  <c r="M2071" i="8"/>
  <c r="M2103" i="8"/>
  <c r="M2135" i="8"/>
  <c r="M2167" i="8"/>
  <c r="M2199" i="8"/>
  <c r="M2231" i="8"/>
  <c r="M2263" i="8"/>
  <c r="M2295" i="8"/>
  <c r="M2327" i="8"/>
  <c r="M2359" i="8"/>
  <c r="M2391" i="8"/>
  <c r="M2423" i="8"/>
  <c r="M2455" i="8"/>
  <c r="M2491" i="8"/>
  <c r="M2523" i="8"/>
  <c r="M2555" i="8"/>
  <c r="M2587" i="8"/>
  <c r="M2619" i="8"/>
  <c r="M2651" i="8"/>
  <c r="M2683" i="8"/>
  <c r="M2715" i="8"/>
  <c r="M2791" i="8"/>
  <c r="M2823" i="8"/>
  <c r="M2855" i="8"/>
  <c r="M2887" i="8"/>
  <c r="M2927" i="8"/>
  <c r="M3207" i="8"/>
  <c r="M3239" i="8"/>
  <c r="M3271" i="8"/>
  <c r="M3303" i="8"/>
  <c r="M3347" i="8"/>
  <c r="M3379" i="8"/>
  <c r="M3411" i="8"/>
  <c r="M3443" i="8"/>
  <c r="M3483" i="8"/>
  <c r="M3515" i="8"/>
  <c r="M3547" i="8"/>
  <c r="M3579" i="8"/>
  <c r="M3611" i="8"/>
  <c r="M3643" i="8"/>
  <c r="M3675" i="8"/>
  <c r="M3707" i="8"/>
  <c r="M3739" i="8"/>
  <c r="M3783" i="8"/>
  <c r="M3815" i="8"/>
  <c r="M3847" i="8"/>
  <c r="M3879" i="8"/>
  <c r="M3911" i="8"/>
  <c r="M3951" i="8"/>
  <c r="M3983" i="8"/>
  <c r="M4015" i="8"/>
  <c r="M4047" i="8"/>
  <c r="M4079" i="8"/>
  <c r="M1101" i="8"/>
  <c r="M1069" i="8"/>
  <c r="M1039" i="8"/>
  <c r="M1006" i="8"/>
  <c r="M970" i="8"/>
  <c r="M935" i="8"/>
  <c r="M905" i="8"/>
  <c r="M870" i="8"/>
  <c r="M840" i="8"/>
  <c r="M808" i="8"/>
  <c r="M775" i="8"/>
  <c r="M735" i="8"/>
  <c r="M681" i="8"/>
  <c r="M659" i="8"/>
  <c r="M627" i="8"/>
  <c r="M595" i="8"/>
  <c r="M563" i="8"/>
  <c r="M545" i="8"/>
  <c r="M405" i="8"/>
  <c r="M369" i="8"/>
  <c r="M353" i="8"/>
  <c r="M337" i="8"/>
  <c r="M321" i="8"/>
  <c r="M305" i="8"/>
  <c r="M289" i="8"/>
  <c r="M273" i="8"/>
  <c r="M221" i="8"/>
  <c r="M205" i="8"/>
  <c r="M189" i="8"/>
  <c r="M173" i="8"/>
  <c r="M157" i="8"/>
  <c r="M141" i="8"/>
  <c r="M125" i="8"/>
  <c r="M109" i="8"/>
  <c r="M73" i="8"/>
  <c r="M1130" i="8"/>
  <c r="M1170" i="8"/>
  <c r="M1202" i="8"/>
  <c r="M1234" i="8"/>
  <c r="M1266" i="8"/>
  <c r="M1306" i="8"/>
  <c r="M1338" i="8"/>
  <c r="M1370" i="8"/>
  <c r="M1402" i="8"/>
  <c r="M1434" i="8"/>
  <c r="M1466" i="8"/>
  <c r="M1498" i="8"/>
  <c r="M1534" i="8"/>
  <c r="M1566" i="8"/>
  <c r="M1598" i="8"/>
  <c r="M1630" i="8"/>
  <c r="M1662" i="8"/>
  <c r="M1698" i="8"/>
  <c r="M1730" i="8"/>
  <c r="M1762" i="8"/>
  <c r="M1794" i="8"/>
  <c r="M1826" i="8"/>
  <c r="M1858" i="8"/>
  <c r="M2971" i="8"/>
  <c r="M3003" i="8"/>
  <c r="M3035" i="8"/>
  <c r="M3067" i="8"/>
  <c r="M3099" i="8"/>
  <c r="M3131" i="8"/>
  <c r="M3163" i="8"/>
  <c r="M1898" i="8"/>
  <c r="M1930" i="8"/>
  <c r="M1962" i="8"/>
  <c r="M1994" i="8"/>
  <c r="M2026" i="8"/>
  <c r="M2058" i="8"/>
  <c r="M2090" i="8"/>
  <c r="M2122" i="8"/>
  <c r="M2154" i="8"/>
  <c r="M2186" i="8"/>
  <c r="M2218" i="8"/>
  <c r="M2250" i="8"/>
  <c r="M2282" i="8"/>
  <c r="M2314" i="8"/>
  <c r="M2346" i="8"/>
  <c r="M2378" i="8"/>
  <c r="M2410" i="8"/>
  <c r="M2442" i="8"/>
  <c r="M2486" i="8"/>
  <c r="M2518" i="8"/>
  <c r="M2550" i="8"/>
  <c r="M2582" i="8"/>
  <c r="M2614" i="8"/>
  <c r="M2646" i="8"/>
  <c r="M2678" i="8"/>
  <c r="M2710" i="8"/>
  <c r="M2742" i="8"/>
  <c r="M2782" i="8"/>
  <c r="M2814" i="8"/>
  <c r="M2846" i="8"/>
  <c r="M2878" i="8"/>
  <c r="M2918" i="8"/>
  <c r="M3166" i="8"/>
  <c r="M3198" i="8"/>
  <c r="M3230" i="8"/>
  <c r="M3262" i="8"/>
  <c r="M3294" i="8"/>
  <c r="M3338" i="8"/>
  <c r="M3370" i="8"/>
  <c r="M3402" i="8"/>
  <c r="M3434" i="8"/>
  <c r="M3466" i="8"/>
  <c r="M3510" i="8"/>
  <c r="M3542" i="8"/>
  <c r="M3574" i="8"/>
  <c r="M3606" i="8"/>
  <c r="M3638" i="8"/>
  <c r="M3670" i="8"/>
  <c r="M3702" i="8"/>
  <c r="M3734" i="8"/>
  <c r="M3766" i="8"/>
  <c r="M3802" i="8"/>
  <c r="M3834" i="8"/>
  <c r="M3866" i="8"/>
  <c r="M3898" i="8"/>
  <c r="M3962" i="8"/>
  <c r="M3994" i="8"/>
  <c r="M4026" i="8"/>
  <c r="M4058" i="8"/>
  <c r="M4090" i="8"/>
  <c r="M1095" i="8"/>
  <c r="M1057" i="8"/>
  <c r="M990" i="8"/>
  <c r="M956" i="8"/>
  <c r="M926" i="8"/>
  <c r="M894" i="8"/>
  <c r="M834" i="8"/>
  <c r="M802" i="8"/>
  <c r="M770" i="8"/>
  <c r="M744" i="8"/>
  <c r="M718" i="8"/>
  <c r="M684" i="8"/>
  <c r="M644" i="8"/>
  <c r="M532" i="8"/>
  <c r="M500" i="8"/>
  <c r="M468" i="8"/>
  <c r="M436" i="8"/>
  <c r="M406" i="8"/>
  <c r="M372" i="8"/>
  <c r="M340" i="8"/>
  <c r="M308" i="8"/>
  <c r="M276" i="8"/>
  <c r="M234" i="8"/>
  <c r="M202" i="8"/>
  <c r="M170" i="8"/>
  <c r="M138" i="8"/>
  <c r="M68" i="8"/>
  <c r="M36" i="8"/>
  <c r="M4" i="8"/>
  <c r="M1149" i="8"/>
  <c r="M1185" i="8"/>
  <c r="M1217" i="8"/>
  <c r="M1249" i="8"/>
  <c r="M1281" i="8"/>
  <c r="M1321" i="8"/>
  <c r="M1353" i="8"/>
  <c r="M1385" i="8"/>
  <c r="M1417" i="8"/>
  <c r="M1449" i="8"/>
  <c r="M1481" i="8"/>
  <c r="M1549" i="8"/>
  <c r="M1581" i="8"/>
  <c r="M1613" i="8"/>
  <c r="M1645" i="8"/>
  <c r="M1681" i="8"/>
  <c r="M1713" i="8"/>
  <c r="M1745" i="8"/>
  <c r="M1777" i="8"/>
  <c r="M1809" i="8"/>
  <c r="M1841" i="8"/>
  <c r="M2954" i="8"/>
  <c r="M2986" i="8"/>
  <c r="M3050" i="8"/>
  <c r="M3082" i="8"/>
  <c r="M3114" i="8"/>
  <c r="M3146" i="8"/>
  <c r="M1881" i="8"/>
  <c r="M1913" i="8"/>
  <c r="M1945" i="8"/>
  <c r="M1977" i="8"/>
  <c r="M2009" i="8"/>
  <c r="M2041" i="8"/>
  <c r="M2073" i="8"/>
  <c r="M2105" i="8"/>
  <c r="M2137" i="8"/>
  <c r="M2169" i="8"/>
  <c r="M2201" i="8"/>
  <c r="M2233" i="8"/>
  <c r="M2265" i="8"/>
  <c r="M2297" i="8"/>
  <c r="M2329" i="8"/>
  <c r="M2361" i="8"/>
  <c r="M2393" i="8"/>
  <c r="M2425" i="8"/>
  <c r="M2457" i="8"/>
  <c r="M2493" i="8"/>
  <c r="M2525" i="8"/>
  <c r="M2557" i="8"/>
  <c r="M2589" i="8"/>
  <c r="M2621" i="8"/>
  <c r="M2653" i="8"/>
  <c r="M2685" i="8"/>
  <c r="M2717" i="8"/>
  <c r="M2781" i="8"/>
  <c r="M2813" i="8"/>
  <c r="M2845" i="8"/>
  <c r="M2877" i="8"/>
  <c r="M2917" i="8"/>
  <c r="M2949" i="8"/>
  <c r="M3197" i="8"/>
  <c r="M3229" i="8"/>
  <c r="M3261" i="8"/>
  <c r="M3293" i="8"/>
  <c r="M3329" i="8"/>
  <c r="M3361" i="8"/>
  <c r="M3393" i="8"/>
  <c r="M3425" i="8"/>
  <c r="M3457" i="8"/>
  <c r="M3489" i="8"/>
  <c r="M3521" i="8"/>
  <c r="M3553" i="8"/>
  <c r="M3585" i="8"/>
  <c r="M3617" i="8"/>
  <c r="M3681" i="8"/>
  <c r="M3713" i="8"/>
  <c r="M3745" i="8"/>
  <c r="M3813" i="8"/>
  <c r="M3845" i="8"/>
  <c r="M3877" i="8"/>
  <c r="M3909" i="8"/>
  <c r="M3949" i="8"/>
  <c r="M3981" i="8"/>
  <c r="M4013" i="8"/>
  <c r="M4045" i="8"/>
  <c r="M4077" i="8"/>
  <c r="M1105" i="8"/>
  <c r="M1073" i="8"/>
  <c r="M1043" i="8"/>
  <c r="M1003" i="8"/>
  <c r="M973" i="8"/>
  <c r="M944" i="8"/>
  <c r="M909" i="8"/>
  <c r="M879" i="8"/>
  <c r="M845" i="8"/>
  <c r="M812" i="8"/>
  <c r="M780" i="8"/>
  <c r="M751" i="8"/>
  <c r="M729" i="8"/>
  <c r="M713" i="8"/>
  <c r="M697" i="8"/>
  <c r="M641" i="8"/>
  <c r="M609" i="8"/>
  <c r="M577" i="8"/>
  <c r="M525" i="8"/>
  <c r="M509" i="8"/>
  <c r="M493" i="8"/>
  <c r="M477" i="8"/>
  <c r="M461" i="8"/>
  <c r="M445" i="8"/>
  <c r="M429" i="8"/>
  <c r="M413" i="8"/>
  <c r="M383" i="8"/>
  <c r="M251" i="8"/>
  <c r="M235" i="8"/>
  <c r="M89" i="8"/>
  <c r="M61" i="8"/>
  <c r="M35" i="8"/>
  <c r="M19" i="8"/>
  <c r="M3" i="8"/>
  <c r="M1148" i="8"/>
  <c r="M1184" i="8"/>
  <c r="M1216" i="8"/>
  <c r="M1248" i="8"/>
  <c r="M1280" i="8"/>
  <c r="M1312" i="8"/>
  <c r="M1344" i="8"/>
  <c r="M1376" i="8"/>
  <c r="M1408" i="8"/>
  <c r="M1440" i="8"/>
  <c r="M1472" i="8"/>
  <c r="M1504" i="8"/>
  <c r="M1540" i="8"/>
  <c r="M1572" i="8"/>
  <c r="M1604" i="8"/>
  <c r="M1636" i="8"/>
  <c r="M1680" i="8"/>
  <c r="M1712" i="8"/>
  <c r="M1744" i="8"/>
  <c r="M1776" i="8"/>
  <c r="M1808" i="8"/>
  <c r="M1840" i="8"/>
  <c r="M2953" i="8"/>
  <c r="M2985" i="8"/>
  <c r="M3049" i="8"/>
  <c r="M3081" i="8"/>
  <c r="M3113" i="8"/>
  <c r="M3145" i="8"/>
  <c r="M1880" i="8"/>
  <c r="M1912" i="8"/>
  <c r="M1944" i="8"/>
  <c r="M1976" i="8"/>
  <c r="M2008" i="8"/>
  <c r="M2040" i="8"/>
  <c r="M2072" i="8"/>
  <c r="M2104" i="8"/>
  <c r="M2136" i="8"/>
  <c r="M2168" i="8"/>
  <c r="M2200" i="8"/>
  <c r="M2232" i="8"/>
  <c r="M2264" i="8"/>
  <c r="M2296" i="8"/>
  <c r="M2328" i="8"/>
  <c r="M2360" i="8"/>
  <c r="M2392" i="8"/>
  <c r="M2424" i="8"/>
  <c r="M2456" i="8"/>
  <c r="M2492" i="8"/>
  <c r="M2524" i="8"/>
  <c r="M2556" i="8"/>
  <c r="M2588" i="8"/>
  <c r="M2620" i="8"/>
  <c r="M2652" i="8"/>
  <c r="M2684" i="8"/>
  <c r="M2716" i="8"/>
  <c r="M2780" i="8"/>
  <c r="M2812" i="8"/>
  <c r="M2844" i="8"/>
  <c r="M2876" i="8"/>
  <c r="M2920" i="8"/>
  <c r="M3204" i="8"/>
  <c r="M3236" i="8"/>
  <c r="M3268" i="8"/>
  <c r="M3300" i="8"/>
  <c r="M3336" i="8"/>
  <c r="M3368" i="8"/>
  <c r="M3400" i="8"/>
  <c r="M3432" i="8"/>
  <c r="M3464" i="8"/>
  <c r="M3496" i="8"/>
  <c r="M3528" i="8"/>
  <c r="M3560" i="8"/>
  <c r="M3592" i="8"/>
  <c r="M3624" i="8"/>
  <c r="M3656" i="8"/>
  <c r="M3688" i="8"/>
  <c r="M3720" i="8"/>
  <c r="M3752" i="8"/>
  <c r="M3788" i="8"/>
  <c r="M3820" i="8"/>
  <c r="M3852" i="8"/>
  <c r="M3884" i="8"/>
  <c r="M3916" i="8"/>
  <c r="M3960" i="8"/>
  <c r="M3992" i="8"/>
  <c r="M4024" i="8"/>
  <c r="M4056" i="8"/>
  <c r="M4088" i="8"/>
  <c r="M1094" i="8"/>
  <c r="M1064" i="8"/>
  <c r="M1034" i="8"/>
  <c r="M991" i="8"/>
  <c r="M965" i="8"/>
  <c r="M930" i="8"/>
  <c r="M898" i="8"/>
  <c r="M822" i="8"/>
  <c r="M790" i="8"/>
  <c r="M758" i="8"/>
  <c r="M716" i="8"/>
  <c r="M686" i="8"/>
  <c r="M662" i="8"/>
  <c r="M634" i="8"/>
  <c r="M618" i="8"/>
  <c r="M602" i="8"/>
  <c r="M586" i="8"/>
  <c r="M570" i="8"/>
  <c r="M550" i="8"/>
  <c r="M518" i="8"/>
  <c r="M486" i="8"/>
  <c r="M454" i="8"/>
  <c r="M422" i="8"/>
  <c r="M390" i="8"/>
  <c r="M358" i="8"/>
  <c r="M326" i="8"/>
  <c r="M294" i="8"/>
  <c r="M232" i="8"/>
  <c r="M200" i="8"/>
  <c r="M168" i="8"/>
  <c r="M136" i="8"/>
  <c r="M70" i="8"/>
  <c r="M38" i="8"/>
  <c r="M6" i="8"/>
  <c r="M3259" i="8"/>
  <c r="M3291" i="8"/>
  <c r="M3359" i="8"/>
  <c r="M3391" i="8"/>
  <c r="M3423" i="8"/>
  <c r="M3455" i="8"/>
  <c r="M3487" i="8"/>
  <c r="M3519" i="8"/>
  <c r="M3551" i="8"/>
  <c r="M3583" i="8"/>
  <c r="M3615" i="8"/>
  <c r="M3679" i="8"/>
  <c r="M3711" i="8"/>
  <c r="M3743" i="8"/>
  <c r="M3811" i="8"/>
  <c r="M3843" i="8"/>
  <c r="M3875" i="8"/>
  <c r="M3907" i="8"/>
  <c r="M3939" i="8"/>
  <c r="M3971" i="8"/>
  <c r="M4003" i="8"/>
  <c r="M4035" i="8"/>
  <c r="M4067" i="8"/>
  <c r="M1112" i="8"/>
  <c r="M1082" i="8"/>
  <c r="M1050" i="8"/>
  <c r="M984" i="8"/>
  <c r="M948" i="8"/>
  <c r="M916" i="8"/>
  <c r="M883" i="8"/>
  <c r="M857" i="8"/>
  <c r="M829" i="8"/>
  <c r="M797" i="8"/>
  <c r="M757" i="8"/>
  <c r="M691" i="8"/>
  <c r="M675" i="8"/>
  <c r="M647" i="8"/>
  <c r="M615" i="8"/>
  <c r="M583" i="8"/>
  <c r="M555" i="8"/>
  <c r="M539" i="8"/>
  <c r="M399" i="8"/>
  <c r="M363" i="8"/>
  <c r="M347" i="8"/>
  <c r="M331" i="8"/>
  <c r="M315" i="8"/>
  <c r="M299" i="8"/>
  <c r="M283" i="8"/>
  <c r="M267" i="8"/>
  <c r="M215" i="8"/>
  <c r="M199" i="8"/>
  <c r="M183" i="8"/>
  <c r="M167" i="8"/>
  <c r="M151" i="8"/>
  <c r="M135" i="8"/>
  <c r="M119" i="8"/>
  <c r="M83" i="8"/>
  <c r="M51" i="8"/>
  <c r="M1142" i="8"/>
  <c r="M1174" i="8"/>
  <c r="M1206" i="8"/>
  <c r="M1238" i="8"/>
  <c r="M1270" i="8"/>
  <c r="M1302" i="8"/>
  <c r="M1334" i="8"/>
  <c r="M1366" i="8"/>
  <c r="M1398" i="8"/>
  <c r="M1430" i="8"/>
  <c r="M1462" i="8"/>
  <c r="M1494" i="8"/>
  <c r="M1538" i="8"/>
  <c r="M1570" i="8"/>
  <c r="M1602" i="8"/>
  <c r="M1634" i="8"/>
  <c r="M1678" i="8"/>
  <c r="M1710" i="8"/>
  <c r="M1742" i="8"/>
  <c r="M1774" i="8"/>
  <c r="M1806" i="8"/>
  <c r="M1838" i="8"/>
  <c r="M2951" i="8"/>
  <c r="M2983" i="8"/>
  <c r="M3023" i="8"/>
  <c r="M3055" i="8"/>
  <c r="M3087" i="8"/>
  <c r="M3119" i="8"/>
  <c r="M3151" i="8"/>
  <c r="M1886" i="8"/>
  <c r="M1918" i="8"/>
  <c r="M1950" i="8"/>
  <c r="M1982" i="8"/>
  <c r="M2014" i="8"/>
  <c r="M2046" i="8"/>
  <c r="M2078" i="8"/>
  <c r="M2110" i="8"/>
  <c r="M2142" i="8"/>
  <c r="M2174" i="8"/>
  <c r="M2206" i="8"/>
  <c r="M2238" i="8"/>
  <c r="M2270" i="8"/>
  <c r="M2302" i="8"/>
  <c r="M2342" i="8"/>
  <c r="M2374" i="8"/>
  <c r="M2406" i="8"/>
  <c r="M2438" i="8"/>
  <c r="M2470" i="8"/>
  <c r="M2506" i="8"/>
  <c r="M2538" i="8"/>
  <c r="M2570" i="8"/>
  <c r="M2602" i="8"/>
  <c r="M2634" i="8"/>
  <c r="M2666" i="8"/>
  <c r="M2698" i="8"/>
  <c r="M2730" i="8"/>
  <c r="M2770" i="8"/>
  <c r="M2802" i="8"/>
  <c r="M2834" i="8"/>
  <c r="M2866" i="8"/>
  <c r="M2898" i="8"/>
  <c r="M2930" i="8"/>
  <c r="M3186" i="8"/>
  <c r="M3218" i="8"/>
  <c r="M3250" i="8"/>
  <c r="M3282" i="8"/>
  <c r="M3314" i="8"/>
  <c r="M3350" i="8"/>
  <c r="M3382" i="8"/>
  <c r="M3414" i="8"/>
  <c r="M3446" i="8"/>
  <c r="M3514" i="8"/>
  <c r="M3546" i="8"/>
  <c r="M3578" i="8"/>
  <c r="M3610" i="8"/>
  <c r="M3642" i="8"/>
  <c r="M3674" i="8"/>
  <c r="M3706" i="8"/>
  <c r="M3738" i="8"/>
  <c r="M3782" i="8"/>
  <c r="M3814" i="8"/>
  <c r="M3846" i="8"/>
  <c r="M3878" i="8"/>
  <c r="M3910" i="8"/>
  <c r="M3950" i="8"/>
  <c r="M3982" i="8"/>
  <c r="M4014" i="8"/>
  <c r="M4046" i="8"/>
  <c r="M4078" i="8"/>
  <c r="M1106" i="8"/>
  <c r="M1071" i="8"/>
  <c r="M1033" i="8"/>
  <c r="M993" i="8"/>
  <c r="M961" i="8"/>
  <c r="M929" i="8"/>
  <c r="M899" i="8"/>
  <c r="M869" i="8"/>
  <c r="M831" i="8"/>
  <c r="M799" i="8"/>
  <c r="M768" i="8"/>
  <c r="M740" i="8"/>
  <c r="M714" i="8"/>
  <c r="M680" i="8"/>
  <c r="M640" i="8"/>
  <c r="M528" i="8"/>
  <c r="M496" i="8"/>
  <c r="M464" i="8"/>
  <c r="M432" i="8"/>
  <c r="M402" i="8"/>
  <c r="M368" i="8"/>
  <c r="M336" i="8"/>
  <c r="M304" i="8"/>
  <c r="M272" i="8"/>
  <c r="M238" i="8"/>
  <c r="M206" i="8"/>
  <c r="M174" i="8"/>
  <c r="M142" i="8"/>
  <c r="M110" i="8"/>
  <c r="M64" i="8"/>
  <c r="M32" i="8"/>
  <c r="M1121" i="8"/>
  <c r="M1153" i="8"/>
  <c r="M1197" i="8"/>
  <c r="M1229" i="8"/>
  <c r="M1261" i="8"/>
  <c r="M1325" i="8"/>
  <c r="M1357" i="8"/>
  <c r="M1389" i="8"/>
  <c r="M1421" i="8"/>
  <c r="M1453" i="8"/>
  <c r="M1485" i="8"/>
  <c r="M1529" i="8"/>
  <c r="M1561" i="8"/>
  <c r="M1593" i="8"/>
  <c r="M1625" i="8"/>
  <c r="M1657" i="8"/>
  <c r="M1701" i="8"/>
  <c r="M1733" i="8"/>
  <c r="M1765" i="8"/>
  <c r="M1797" i="8"/>
  <c r="M1829" i="8"/>
  <c r="M1861" i="8"/>
  <c r="M2974" i="8"/>
  <c r="M3006" i="8"/>
  <c r="M3046" i="8"/>
  <c r="M3078" i="8"/>
  <c r="M3110" i="8"/>
  <c r="M3142" i="8"/>
  <c r="M1877" i="8"/>
  <c r="M1909" i="8"/>
  <c r="M1941" i="8"/>
  <c r="M1973" i="8"/>
  <c r="M2005" i="8"/>
  <c r="M2037" i="8"/>
  <c r="M2069" i="8"/>
  <c r="M2101" i="8"/>
  <c r="M2133" i="8"/>
  <c r="M2165" i="8"/>
  <c r="M2197" i="8"/>
  <c r="M2229" i="8"/>
  <c r="M2261" i="8"/>
  <c r="M2293" i="8"/>
  <c r="M2333" i="8"/>
  <c r="M2365" i="8"/>
  <c r="M2397" i="8"/>
  <c r="M2429" i="8"/>
  <c r="M2461" i="8"/>
  <c r="M2505" i="8"/>
  <c r="M2537" i="8"/>
  <c r="M2569" i="8"/>
  <c r="M2601" i="8"/>
  <c r="M2633" i="8"/>
  <c r="M2665" i="8"/>
  <c r="M2697" i="8"/>
  <c r="M2729" i="8"/>
  <c r="M2769" i="8"/>
  <c r="M2801" i="8"/>
  <c r="M2833" i="8"/>
  <c r="M2865" i="8"/>
  <c r="M2897" i="8"/>
  <c r="M2929" i="8"/>
  <c r="M3185" i="8"/>
  <c r="M3217" i="8"/>
  <c r="M3249" i="8"/>
  <c r="M3281" i="8"/>
  <c r="M3313" i="8"/>
  <c r="M3349" i="8"/>
  <c r="M3381" i="8"/>
  <c r="M3413" i="8"/>
  <c r="M3445" i="8"/>
  <c r="M3485" i="8"/>
  <c r="M3517" i="8"/>
  <c r="M3549" i="8"/>
  <c r="M3581" i="8"/>
  <c r="M3613" i="8"/>
  <c r="M3653" i="8"/>
  <c r="M3685" i="8"/>
  <c r="M3717" i="8"/>
  <c r="M3749" i="8"/>
  <c r="M3793" i="8"/>
  <c r="M3825" i="8"/>
  <c r="M3857" i="8"/>
  <c r="M3889" i="8"/>
  <c r="M3921" i="8"/>
  <c r="M3953" i="8"/>
  <c r="M3985" i="8"/>
  <c r="M4017" i="8"/>
  <c r="M4049" i="8"/>
  <c r="M4081" i="8"/>
  <c r="M1100" i="8"/>
  <c r="M1070" i="8"/>
  <c r="M1040" i="8"/>
  <c r="M1000" i="8"/>
  <c r="M969" i="8"/>
  <c r="M939" i="8"/>
  <c r="M904" i="8"/>
  <c r="M874" i="8"/>
  <c r="M842" i="8"/>
  <c r="M809" i="8"/>
  <c r="M777" i="8"/>
  <c r="M749" i="8"/>
  <c r="M727" i="8"/>
  <c r="M711" i="8"/>
  <c r="M669" i="8"/>
  <c r="M637" i="8"/>
  <c r="M605" i="8"/>
  <c r="M573" i="8"/>
  <c r="M523" i="8"/>
  <c r="M507" i="8"/>
  <c r="M491" i="8"/>
  <c r="M475" i="8"/>
  <c r="M459" i="8"/>
  <c r="M443" i="8"/>
  <c r="M427" i="8"/>
  <c r="M411" i="8"/>
  <c r="M381" i="8"/>
  <c r="M249" i="8"/>
  <c r="M233" i="8"/>
  <c r="M87" i="8"/>
  <c r="M59" i="8"/>
  <c r="M33" i="8"/>
  <c r="M17" i="8"/>
  <c r="M1136" i="8"/>
  <c r="M1180" i="8"/>
  <c r="M1212" i="8"/>
  <c r="M1244" i="8"/>
  <c r="M1276" i="8"/>
  <c r="M1324" i="8"/>
  <c r="M1356" i="8"/>
  <c r="M1388" i="8"/>
  <c r="M1420" i="8"/>
  <c r="M1452" i="8"/>
  <c r="M1484" i="8"/>
  <c r="M1528" i="8"/>
  <c r="M1560" i="8"/>
  <c r="M1592" i="8"/>
  <c r="M1624" i="8"/>
  <c r="M1656" i="8"/>
  <c r="M1692" i="8"/>
  <c r="M1724" i="8"/>
  <c r="M1756" i="8"/>
  <c r="M1788" i="8"/>
  <c r="M1820" i="8"/>
  <c r="M1852" i="8"/>
  <c r="M2965" i="8"/>
  <c r="M2997" i="8"/>
  <c r="M3037" i="8"/>
  <c r="M3069" i="8"/>
  <c r="M3101" i="8"/>
  <c r="M3133" i="8"/>
  <c r="M3165" i="8"/>
  <c r="M1900" i="8"/>
  <c r="M1932" i="8"/>
  <c r="M1964" i="8"/>
  <c r="M1996" i="8"/>
  <c r="M2028" i="8"/>
  <c r="M2060" i="8"/>
  <c r="M2092" i="8"/>
  <c r="M2124" i="8"/>
  <c r="M2156" i="8"/>
  <c r="M2188" i="8"/>
  <c r="M2220" i="8"/>
  <c r="M2252" i="8"/>
  <c r="M2284" i="8"/>
  <c r="M2316" i="8"/>
  <c r="M2348" i="8"/>
  <c r="M2380" i="8"/>
  <c r="M2412" i="8"/>
  <c r="M2444" i="8"/>
  <c r="M2488" i="8"/>
  <c r="M2520" i="8"/>
  <c r="M2552" i="8"/>
  <c r="M2584" i="8"/>
  <c r="M2616" i="8"/>
  <c r="M2648" i="8"/>
  <c r="M2680" i="8"/>
  <c r="M2712" i="8"/>
  <c r="M2752" i="8"/>
  <c r="M2784" i="8"/>
  <c r="M2816" i="8"/>
  <c r="M2848" i="8"/>
  <c r="M2880" i="8"/>
  <c r="M2948" i="8"/>
  <c r="M3200" i="8"/>
  <c r="M3232" i="8"/>
  <c r="M3264" i="8"/>
  <c r="M3296" i="8"/>
  <c r="M3340" i="8"/>
  <c r="M3372" i="8"/>
  <c r="M3404" i="8"/>
  <c r="M3436" i="8"/>
  <c r="M3468" i="8"/>
  <c r="M3508" i="8"/>
  <c r="M3540" i="8"/>
  <c r="M3572" i="8"/>
  <c r="M3604" i="8"/>
  <c r="M3636" i="8"/>
  <c r="M3676" i="8"/>
  <c r="M3708" i="8"/>
  <c r="M3740" i="8"/>
  <c r="M3784" i="8"/>
  <c r="M3816" i="8"/>
  <c r="M3848" i="8"/>
  <c r="M3880" i="8"/>
  <c r="M3912" i="8"/>
  <c r="M3948" i="8"/>
  <c r="M3980" i="8"/>
  <c r="M4012" i="8"/>
  <c r="M4044" i="8"/>
  <c r="M4076" i="8"/>
  <c r="M1107" i="8"/>
  <c r="M1075" i="8"/>
  <c r="M1045" i="8"/>
  <c r="M1012" i="8"/>
  <c r="M980" i="8"/>
  <c r="M949" i="8"/>
  <c r="M919" i="8"/>
  <c r="M884" i="8"/>
  <c r="M844" i="8"/>
  <c r="M811" i="8"/>
  <c r="M779" i="8"/>
  <c r="M742" i="8"/>
  <c r="M704" i="8"/>
  <c r="M674" i="8"/>
  <c r="M654" i="8"/>
  <c r="M628" i="8"/>
  <c r="M612" i="8"/>
  <c r="M596" i="8"/>
  <c r="M580" i="8"/>
  <c r="M564" i="8"/>
  <c r="M538" i="8"/>
  <c r="M506" i="8"/>
  <c r="M474" i="8"/>
  <c r="M442" i="8"/>
  <c r="M410" i="8"/>
  <c r="M378" i="8"/>
  <c r="M346" i="8"/>
  <c r="M314" i="8"/>
  <c r="M282" i="8"/>
  <c r="M244" i="8"/>
  <c r="M212" i="8"/>
  <c r="M180" i="8"/>
  <c r="M148" i="8"/>
  <c r="M116" i="8"/>
  <c r="M74" i="8"/>
  <c r="M42" i="8"/>
  <c r="M10" i="8"/>
  <c r="M1139" i="8"/>
  <c r="M1179" i="8"/>
  <c r="M1211" i="8"/>
  <c r="M1243" i="8"/>
  <c r="M1275" i="8"/>
  <c r="M1323" i="8"/>
  <c r="M1355" i="8"/>
  <c r="M1387" i="8"/>
  <c r="M1419" i="8"/>
  <c r="M1451" i="8"/>
  <c r="M1483" i="8"/>
  <c r="M1527" i="8"/>
  <c r="M1559" i="8"/>
  <c r="M1591" i="8"/>
  <c r="M1623" i="8"/>
  <c r="M1655" i="8"/>
  <c r="M1691" i="8"/>
  <c r="M1723" i="8"/>
  <c r="M1755" i="8"/>
  <c r="M1787" i="8"/>
  <c r="M1819" i="8"/>
  <c r="M1851" i="8"/>
  <c r="M2964" i="8"/>
  <c r="M2996" i="8"/>
  <c r="M3040" i="8"/>
  <c r="M3072" i="8"/>
  <c r="M3104" i="8"/>
  <c r="M3136" i="8"/>
  <c r="M1871" i="8"/>
  <c r="M1903" i="8"/>
  <c r="M1935" i="8"/>
  <c r="M1967" i="8"/>
  <c r="M1999" i="8"/>
  <c r="M2031" i="8"/>
  <c r="M2063" i="8"/>
  <c r="M2095" i="8"/>
  <c r="M2127" i="8"/>
  <c r="M2159" i="8"/>
  <c r="M2191" i="8"/>
  <c r="M2223" i="8"/>
  <c r="M2255" i="8"/>
  <c r="M2287" i="8"/>
  <c r="M2351" i="8"/>
  <c r="M2383" i="8"/>
  <c r="M2415" i="8"/>
  <c r="M2447" i="8"/>
  <c r="M2515" i="8"/>
  <c r="M2547" i="8"/>
  <c r="M2579" i="8"/>
  <c r="M2611" i="8"/>
  <c r="M2643" i="8"/>
  <c r="M2675" i="8"/>
  <c r="M2707" i="8"/>
  <c r="M2739" i="8"/>
  <c r="M2783" i="8"/>
  <c r="M2815" i="8"/>
  <c r="M2847" i="8"/>
  <c r="M2879" i="8"/>
  <c r="M2919" i="8"/>
  <c r="M3167" i="8"/>
  <c r="M3199" i="8"/>
  <c r="M3231" i="8"/>
  <c r="M3263" i="8"/>
  <c r="M3295" i="8"/>
  <c r="M3339" i="8"/>
  <c r="M3371" i="8"/>
  <c r="M3403" i="8"/>
  <c r="M3435" i="8"/>
  <c r="M3467" i="8"/>
  <c r="M3507" i="8"/>
  <c r="M3539" i="8"/>
  <c r="M3571" i="8"/>
  <c r="M3603" i="8"/>
  <c r="M3635" i="8"/>
  <c r="M3667" i="8"/>
  <c r="M3699" i="8"/>
  <c r="M3731" i="8"/>
  <c r="M3763" i="8"/>
  <c r="M3807" i="8"/>
  <c r="M3839" i="8"/>
  <c r="M3871" i="8"/>
  <c r="M3903" i="8"/>
  <c r="M3943" i="8"/>
  <c r="M3975" i="8"/>
  <c r="M4007" i="8"/>
  <c r="M4039" i="8"/>
  <c r="M4071" i="8"/>
  <c r="M1109" i="8"/>
  <c r="M1077" i="8"/>
  <c r="M1047" i="8"/>
  <c r="M1014" i="8"/>
  <c r="M979" i="8"/>
  <c r="M943" i="8"/>
  <c r="M913" i="8"/>
  <c r="M878" i="8"/>
  <c r="M846" i="8"/>
  <c r="M816" i="8"/>
  <c r="M784" i="8"/>
  <c r="M745" i="8"/>
  <c r="M685" i="8"/>
  <c r="M667" i="8"/>
  <c r="M635" i="8"/>
  <c r="M603" i="8"/>
  <c r="M571" i="8"/>
  <c r="M549" i="8"/>
  <c r="M533" i="8"/>
  <c r="M373" i="8"/>
  <c r="M357" i="8"/>
  <c r="M341" i="8"/>
  <c r="M325" i="8"/>
  <c r="M309" i="8"/>
  <c r="M293" i="8"/>
  <c r="M277" i="8"/>
  <c r="M225" i="8"/>
  <c r="M209" i="8"/>
  <c r="M193" i="8"/>
  <c r="M177" i="8"/>
  <c r="M161" i="8"/>
  <c r="M145" i="8"/>
  <c r="M129" i="8"/>
  <c r="M113" i="8"/>
  <c r="M77" i="8"/>
  <c r="M1122" i="8"/>
  <c r="M1154" i="8"/>
  <c r="M1194" i="8"/>
  <c r="M1226" i="8"/>
  <c r="M1258" i="8"/>
  <c r="M1298" i="8"/>
  <c r="M1330" i="8"/>
  <c r="M1362" i="8"/>
  <c r="M1394" i="8"/>
  <c r="M1426" i="8"/>
  <c r="M1458" i="8"/>
  <c r="M1490" i="8"/>
  <c r="M1526" i="8"/>
  <c r="M1558" i="8"/>
  <c r="M1590" i="8"/>
  <c r="M1622" i="8"/>
  <c r="M1654" i="8"/>
  <c r="M1690" i="8"/>
  <c r="M1722" i="8"/>
  <c r="M1754" i="8"/>
  <c r="M1786" i="8"/>
  <c r="M1818" i="8"/>
  <c r="M1850" i="8"/>
  <c r="M2963" i="8"/>
  <c r="M2995" i="8"/>
  <c r="M3027" i="8"/>
  <c r="M3059" i="8"/>
  <c r="M3091" i="8"/>
  <c r="M3123" i="8"/>
  <c r="M3155" i="8"/>
  <c r="M1890" i="8"/>
  <c r="M1922" i="8"/>
  <c r="M1954" i="8"/>
  <c r="M1986" i="8"/>
  <c r="M2018" i="8"/>
  <c r="M2050" i="8"/>
  <c r="M2082" i="8"/>
  <c r="M2114" i="8"/>
  <c r="M2146" i="8"/>
  <c r="M2178" i="8"/>
  <c r="M2210" i="8"/>
  <c r="M2242" i="8"/>
  <c r="M2274" i="8"/>
  <c r="M2306" i="8"/>
  <c r="M2338" i="8"/>
  <c r="M2370" i="8"/>
  <c r="M2402" i="8"/>
  <c r="M2434" i="8"/>
  <c r="M2466" i="8"/>
  <c r="M2510" i="8"/>
  <c r="M2542" i="8"/>
  <c r="M2574" i="8"/>
  <c r="M2606" i="8"/>
  <c r="M2638" i="8"/>
  <c r="M2670" i="8"/>
  <c r="M2702" i="8"/>
  <c r="M2734" i="8"/>
  <c r="M2766" i="8"/>
  <c r="M2806" i="8"/>
  <c r="M2838" i="8"/>
  <c r="M2870" i="8"/>
  <c r="M2902" i="8"/>
  <c r="M2942" i="8"/>
  <c r="M3190" i="8"/>
  <c r="M3222" i="8"/>
  <c r="M3254" i="8"/>
  <c r="M3286" i="8"/>
  <c r="M3330" i="8"/>
  <c r="M3362" i="8"/>
  <c r="M3394" i="8"/>
  <c r="M3426" i="8"/>
  <c r="M3458" i="8"/>
  <c r="M3502" i="8"/>
  <c r="M3534" i="8"/>
  <c r="M3566" i="8"/>
  <c r="M3598" i="8"/>
  <c r="M3630" i="8"/>
  <c r="M3662" i="8"/>
  <c r="M3694" i="8"/>
  <c r="M3726" i="8"/>
  <c r="M3758" i="8"/>
  <c r="M3794" i="8"/>
  <c r="M3826" i="8"/>
  <c r="M3858" i="8"/>
  <c r="M3890" i="8"/>
  <c r="M3922" i="8"/>
  <c r="M3954" i="8"/>
  <c r="M3986" i="8"/>
  <c r="M4018" i="8"/>
  <c r="M4050" i="8"/>
  <c r="M4082" i="8"/>
  <c r="M1103" i="8"/>
  <c r="M1068" i="8"/>
  <c r="M1030" i="8"/>
  <c r="M998" i="8"/>
  <c r="M964" i="8"/>
  <c r="M934" i="8"/>
  <c r="M902" i="8"/>
  <c r="M872" i="8"/>
  <c r="M841" i="8"/>
  <c r="M810" i="8"/>
  <c r="M778" i="8"/>
  <c r="M748" i="8"/>
  <c r="M726" i="8"/>
  <c r="M692" i="8"/>
  <c r="M650" i="8"/>
  <c r="M540" i="8"/>
  <c r="M508" i="8"/>
  <c r="M476" i="8"/>
  <c r="M444" i="8"/>
  <c r="M412" i="8"/>
  <c r="M380" i="8"/>
  <c r="M348" i="8"/>
  <c r="M316" i="8"/>
  <c r="M284" i="8"/>
  <c r="M242" i="8"/>
  <c r="M210" i="8"/>
  <c r="M178" i="8"/>
  <c r="M146" i="8"/>
  <c r="M114" i="8"/>
  <c r="M76" i="8"/>
  <c r="M44" i="8"/>
  <c r="M12" i="8"/>
  <c r="M1141" i="8"/>
  <c r="M1177" i="8"/>
  <c r="M1209" i="8"/>
  <c r="M1241" i="8"/>
  <c r="M1273" i="8"/>
  <c r="M1313" i="8"/>
  <c r="M1345" i="8"/>
  <c r="M1377" i="8"/>
  <c r="M1409" i="8"/>
  <c r="M1441" i="8"/>
  <c r="M1473" i="8"/>
  <c r="M1505" i="8"/>
  <c r="M1541" i="8"/>
  <c r="M1573" i="8"/>
  <c r="M1605" i="8"/>
  <c r="M1637" i="8"/>
  <c r="M1705" i="8"/>
  <c r="M1737" i="8"/>
  <c r="M1769" i="8"/>
  <c r="M1801" i="8"/>
  <c r="M1833" i="8"/>
  <c r="M1865" i="8"/>
  <c r="M2978" i="8"/>
  <c r="M3010" i="8"/>
  <c r="M3042" i="8"/>
  <c r="M3074" i="8"/>
  <c r="M3106" i="8"/>
  <c r="M3138" i="8"/>
  <c r="M1873" i="8"/>
  <c r="M1905" i="8"/>
  <c r="M1937" i="8"/>
  <c r="M1969" i="8"/>
  <c r="M2001" i="8"/>
  <c r="M2033" i="8"/>
  <c r="M2065" i="8"/>
  <c r="M2097" i="8"/>
  <c r="M2129" i="8"/>
  <c r="M2161" i="8"/>
  <c r="M2193" i="8"/>
  <c r="M2225" i="8"/>
  <c r="M2257" i="8"/>
  <c r="M2289" i="8"/>
  <c r="M2353" i="8"/>
  <c r="M2385" i="8"/>
  <c r="M2417" i="8"/>
  <c r="M2449" i="8"/>
  <c r="M2517" i="8"/>
  <c r="M2549" i="8"/>
  <c r="M2581" i="8"/>
  <c r="M2613" i="8"/>
  <c r="M2645" i="8"/>
  <c r="M2677" i="8"/>
  <c r="M2709" i="8"/>
  <c r="M2741" i="8"/>
  <c r="M2773" i="8"/>
  <c r="M2805" i="8"/>
  <c r="M2837" i="8"/>
  <c r="M2869" i="8"/>
  <c r="M2901" i="8"/>
  <c r="M2941" i="8"/>
  <c r="M3189" i="8"/>
  <c r="M3221" i="8"/>
  <c r="M3253" i="8"/>
  <c r="M3285" i="8"/>
  <c r="M3317" i="8"/>
  <c r="M3353" i="8"/>
  <c r="M3385" i="8"/>
  <c r="M3417" i="8"/>
  <c r="M3449" i="8"/>
  <c r="M3513" i="8"/>
  <c r="M3545" i="8"/>
  <c r="M3577" i="8"/>
  <c r="M3609" i="8"/>
  <c r="M3641" i="8"/>
  <c r="M3673" i="8"/>
  <c r="M3705" i="8"/>
  <c r="M3737" i="8"/>
  <c r="M3769" i="8"/>
  <c r="M3805" i="8"/>
  <c r="M3837" i="8"/>
  <c r="M3869" i="8"/>
  <c r="M3901" i="8"/>
  <c r="M3941" i="8"/>
  <c r="M3973" i="8"/>
  <c r="M4005" i="8"/>
  <c r="M4037" i="8"/>
  <c r="M4069" i="8"/>
  <c r="M1113" i="8"/>
  <c r="M1081" i="8"/>
  <c r="M1051" i="8"/>
  <c r="M1011" i="8"/>
  <c r="M982" i="8"/>
  <c r="M952" i="8"/>
  <c r="M917" i="8"/>
  <c r="M887" i="8"/>
  <c r="M853" i="8"/>
  <c r="M820" i="8"/>
  <c r="M788" i="8"/>
  <c r="M765" i="8"/>
  <c r="M733" i="8"/>
  <c r="M717" i="8"/>
  <c r="M701" i="8"/>
  <c r="M649" i="8"/>
  <c r="M617" i="8"/>
  <c r="M585" i="8"/>
  <c r="M529" i="8"/>
  <c r="M513" i="8"/>
  <c r="M497" i="8"/>
  <c r="M481" i="8"/>
  <c r="M465" i="8"/>
  <c r="M449" i="8"/>
  <c r="M433" i="8"/>
  <c r="M417" i="8"/>
  <c r="M387" i="8"/>
  <c r="M255" i="8"/>
  <c r="M239" i="8"/>
  <c r="M93" i="8"/>
  <c r="M65" i="8"/>
  <c r="M39" i="8"/>
  <c r="M23" i="8"/>
  <c r="M7" i="8"/>
  <c r="M1140" i="8"/>
  <c r="M1176" i="8"/>
  <c r="M1208" i="8"/>
  <c r="M1240" i="8"/>
  <c r="M1272" i="8"/>
  <c r="M1304" i="8"/>
  <c r="M1336" i="8"/>
  <c r="M1368" i="8"/>
  <c r="M1400" i="8"/>
  <c r="M1432" i="8"/>
  <c r="M1464" i="8"/>
  <c r="M1496" i="8"/>
  <c r="M1532" i="8"/>
  <c r="M1564" i="8"/>
  <c r="M1596" i="8"/>
  <c r="M1628" i="8"/>
  <c r="M1660" i="8"/>
  <c r="M1704" i="8"/>
  <c r="M1736" i="8"/>
  <c r="M1768" i="8"/>
  <c r="M1800" i="8"/>
  <c r="M1832" i="8"/>
  <c r="M1864" i="8"/>
  <c r="M2977" i="8"/>
  <c r="M3009" i="8"/>
  <c r="M3041" i="8"/>
  <c r="M3073" i="8"/>
  <c r="M3105" i="8"/>
  <c r="M3137" i="8"/>
  <c r="M1872" i="8"/>
  <c r="M1904" i="8"/>
  <c r="M1936" i="8"/>
  <c r="M1968" i="8"/>
  <c r="M2000" i="8"/>
  <c r="M2032" i="8"/>
  <c r="M2064" i="8"/>
  <c r="M2096" i="8"/>
  <c r="M2128" i="8"/>
  <c r="M2160" i="8"/>
  <c r="M2192" i="8"/>
  <c r="M2224" i="8"/>
  <c r="M2256" i="8"/>
  <c r="M2288" i="8"/>
  <c r="M2352" i="8"/>
  <c r="M2384" i="8"/>
  <c r="M2416" i="8"/>
  <c r="M2448" i="8"/>
  <c r="M2516" i="8"/>
  <c r="M2548" i="8"/>
  <c r="M2580" i="8"/>
  <c r="M2612" i="8"/>
  <c r="M2644" i="8"/>
  <c r="M2676" i="8"/>
  <c r="M2708" i="8"/>
  <c r="M2740" i="8"/>
  <c r="M2772" i="8"/>
  <c r="M2804" i="8"/>
  <c r="M2836" i="8"/>
  <c r="M2868" i="8"/>
  <c r="M2900" i="8"/>
  <c r="M2944" i="8"/>
  <c r="M3196" i="8"/>
  <c r="M3228" i="8"/>
  <c r="M3260" i="8"/>
  <c r="M3292" i="8"/>
  <c r="M3360" i="8"/>
  <c r="M3392" i="8"/>
  <c r="M3424" i="8"/>
  <c r="M3456" i="8"/>
  <c r="M3488" i="8"/>
  <c r="M3520" i="8"/>
  <c r="M3552" i="8"/>
  <c r="M3584" i="8"/>
  <c r="M3616" i="8"/>
  <c r="M3680" i="8"/>
  <c r="M3712" i="8"/>
  <c r="M3744" i="8"/>
  <c r="M3812" i="8"/>
  <c r="M3844" i="8"/>
  <c r="M3876" i="8"/>
  <c r="M3908" i="8"/>
  <c r="M3952" i="8"/>
  <c r="M3984" i="8"/>
  <c r="M4016" i="8"/>
  <c r="M4048" i="8"/>
  <c r="M4080" i="8"/>
  <c r="M1102" i="8"/>
  <c r="M1072" i="8"/>
  <c r="M1042" i="8"/>
  <c r="M999" i="8"/>
  <c r="M971" i="8"/>
  <c r="M938" i="8"/>
  <c r="M906" i="8"/>
  <c r="M873" i="8"/>
  <c r="M830" i="8"/>
  <c r="M798" i="8"/>
  <c r="M766" i="8"/>
  <c r="M724" i="8"/>
  <c r="M694" i="8"/>
  <c r="M666" i="8"/>
  <c r="M638" i="8"/>
  <c r="M622" i="8"/>
  <c r="M606" i="8"/>
  <c r="M590" i="8"/>
  <c r="M574" i="8"/>
  <c r="M558" i="8"/>
  <c r="M526" i="8"/>
  <c r="M494" i="8"/>
  <c r="M462" i="8"/>
  <c r="M430" i="8"/>
  <c r="M396" i="8"/>
  <c r="M366" i="8"/>
  <c r="M334" i="8"/>
  <c r="M302" i="8"/>
  <c r="M270" i="8"/>
  <c r="M240" i="8"/>
  <c r="M208" i="8"/>
  <c r="M176" i="8"/>
  <c r="M144" i="8"/>
  <c r="M112" i="8"/>
  <c r="M78" i="8"/>
  <c r="M46" i="8"/>
  <c r="M14" i="8"/>
  <c r="Q14" i="8" l="1"/>
  <c r="P14" i="8"/>
  <c r="Q144" i="8"/>
  <c r="P144" i="8"/>
  <c r="Q270" i="8"/>
  <c r="P270" i="8"/>
  <c r="Q334" i="8"/>
  <c r="P334" i="8"/>
  <c r="Q462" i="8"/>
  <c r="P462" i="8"/>
  <c r="Q606" i="8"/>
  <c r="P606" i="8"/>
  <c r="Q694" i="8"/>
  <c r="P694" i="8"/>
  <c r="Q830" i="8"/>
  <c r="P830" i="8"/>
  <c r="Q971" i="8"/>
  <c r="P971" i="8"/>
  <c r="Q1102" i="8"/>
  <c r="P1102" i="8"/>
  <c r="Q3908" i="8"/>
  <c r="P3908" i="8"/>
  <c r="Q3844" i="8"/>
  <c r="P3844" i="8"/>
  <c r="P3680" i="8"/>
  <c r="Q3680" i="8"/>
  <c r="P3520" i="8"/>
  <c r="Q3520" i="8"/>
  <c r="Q3392" i="8"/>
  <c r="P3392" i="8"/>
  <c r="P3228" i="8"/>
  <c r="Q3228" i="8"/>
  <c r="P2868" i="8"/>
  <c r="Q2868" i="8"/>
  <c r="P2804" i="8"/>
  <c r="Q2804" i="8"/>
  <c r="P2612" i="8"/>
  <c r="Q2612" i="8"/>
  <c r="P2448" i="8"/>
  <c r="Q2448" i="8"/>
  <c r="P2288" i="8"/>
  <c r="Q2288" i="8"/>
  <c r="P2160" i="8"/>
  <c r="Q2160" i="8"/>
  <c r="P2032" i="8"/>
  <c r="Q2032" i="8"/>
  <c r="Q3137" i="8"/>
  <c r="P3137" i="8"/>
  <c r="Q3073" i="8"/>
  <c r="P3073" i="8"/>
  <c r="Q1800" i="8"/>
  <c r="P1800" i="8"/>
  <c r="Q1660" i="8"/>
  <c r="P1660" i="8"/>
  <c r="P1464" i="8"/>
  <c r="Q1464" i="8"/>
  <c r="Q1272" i="8"/>
  <c r="P1272" i="8"/>
  <c r="Q1140" i="8"/>
  <c r="P1140" i="8"/>
  <c r="P65" i="8"/>
  <c r="Q65" i="8"/>
  <c r="P387" i="8"/>
  <c r="Q387" i="8"/>
  <c r="Q465" i="8"/>
  <c r="P465" i="8"/>
  <c r="P529" i="8"/>
  <c r="Q529" i="8"/>
  <c r="P733" i="8"/>
  <c r="Q733" i="8"/>
  <c r="Q788" i="8"/>
  <c r="P788" i="8"/>
  <c r="Q917" i="8"/>
  <c r="P917" i="8"/>
  <c r="Q1051" i="8"/>
  <c r="P1051" i="8"/>
  <c r="Q4037" i="8"/>
  <c r="P4037" i="8"/>
  <c r="Q3973" i="8"/>
  <c r="P3973" i="8"/>
  <c r="P3769" i="8"/>
  <c r="Q3769" i="8"/>
  <c r="P3641" i="8"/>
  <c r="Q3641" i="8"/>
  <c r="Q3417" i="8"/>
  <c r="P3417" i="8"/>
  <c r="Q3285" i="8"/>
  <c r="P3285" i="8"/>
  <c r="P2941" i="8"/>
  <c r="Q2941" i="8"/>
  <c r="P2741" i="8"/>
  <c r="Q2741" i="8"/>
  <c r="P2677" i="8"/>
  <c r="Q2677" i="8"/>
  <c r="P2449" i="8"/>
  <c r="Q2449" i="8"/>
  <c r="P2289" i="8"/>
  <c r="Q2289" i="8"/>
  <c r="P2161" i="8"/>
  <c r="Q2161" i="8"/>
  <c r="P1969" i="8"/>
  <c r="Q1969" i="8"/>
  <c r="Q46" i="8"/>
  <c r="P46" i="8"/>
  <c r="Q112" i="8"/>
  <c r="P112" i="8"/>
  <c r="Q176" i="8"/>
  <c r="P176" i="8"/>
  <c r="Q240" i="8"/>
  <c r="P240" i="8"/>
  <c r="Q302" i="8"/>
  <c r="P302" i="8"/>
  <c r="Q366" i="8"/>
  <c r="P366" i="8"/>
  <c r="Q430" i="8"/>
  <c r="P430" i="8"/>
  <c r="Q494" i="8"/>
  <c r="P494" i="8"/>
  <c r="Q558" i="8"/>
  <c r="P558" i="8"/>
  <c r="Q590" i="8"/>
  <c r="P590" i="8"/>
  <c r="Q622" i="8"/>
  <c r="P622" i="8"/>
  <c r="Q666" i="8"/>
  <c r="P666" i="8"/>
  <c r="Q724" i="8"/>
  <c r="P724" i="8"/>
  <c r="Q798" i="8"/>
  <c r="P798" i="8"/>
  <c r="Q873" i="8"/>
  <c r="P873" i="8"/>
  <c r="Q938" i="8"/>
  <c r="P938" i="8"/>
  <c r="Q999" i="8"/>
  <c r="P999" i="8"/>
  <c r="Q1072" i="8"/>
  <c r="P1072" i="8"/>
  <c r="P4080" i="8"/>
  <c r="Q4080" i="8"/>
  <c r="Q4016" i="8"/>
  <c r="P4016" i="8"/>
  <c r="Q3952" i="8"/>
  <c r="P3952" i="8"/>
  <c r="Q3876" i="8"/>
  <c r="P3876" i="8"/>
  <c r="Q3812" i="8"/>
  <c r="P3812" i="8"/>
  <c r="P3712" i="8"/>
  <c r="Q3712" i="8"/>
  <c r="P3616" i="8"/>
  <c r="Q3616" i="8"/>
  <c r="P3552" i="8"/>
  <c r="Q3552" i="8"/>
  <c r="P3488" i="8"/>
  <c r="Q3488" i="8"/>
  <c r="P3424" i="8"/>
  <c r="Q3424" i="8"/>
  <c r="Q3360" i="8"/>
  <c r="P3360" i="8"/>
  <c r="P3260" i="8"/>
  <c r="Q3260" i="8"/>
  <c r="P3196" i="8"/>
  <c r="K111" i="5" s="1"/>
  <c r="Q3196" i="8"/>
  <c r="L111" i="5" s="1"/>
  <c r="P2900" i="8"/>
  <c r="Q2900" i="8"/>
  <c r="P2836" i="8"/>
  <c r="Q2836" i="8"/>
  <c r="P2772" i="8"/>
  <c r="Q2772" i="8"/>
  <c r="P2708" i="8"/>
  <c r="Q2708" i="8"/>
  <c r="P2644" i="8"/>
  <c r="Q2644" i="8"/>
  <c r="P2580" i="8"/>
  <c r="Q2580" i="8"/>
  <c r="P2516" i="8"/>
  <c r="Q2516" i="8"/>
  <c r="P2416" i="8"/>
  <c r="Q2416" i="8"/>
  <c r="P2352" i="8"/>
  <c r="Q2352" i="8"/>
  <c r="P2256" i="8"/>
  <c r="Q2256" i="8"/>
  <c r="P2192" i="8"/>
  <c r="Q2192" i="8"/>
  <c r="P2128" i="8"/>
  <c r="Q2128" i="8"/>
  <c r="P2064" i="8"/>
  <c r="Q2064" i="8"/>
  <c r="P2000" i="8"/>
  <c r="Q2000" i="8"/>
  <c r="P1936" i="8"/>
  <c r="Q1936" i="8"/>
  <c r="Q1872" i="8"/>
  <c r="P1872" i="8"/>
  <c r="Q3105" i="8"/>
  <c r="P3105" i="8"/>
  <c r="Q3041" i="8"/>
  <c r="P3041" i="8"/>
  <c r="Q2977" i="8"/>
  <c r="P2977" i="8"/>
  <c r="Q1832" i="8"/>
  <c r="P1832" i="8"/>
  <c r="Q1768" i="8"/>
  <c r="P1768" i="8"/>
  <c r="Q1704" i="8"/>
  <c r="P1704" i="8"/>
  <c r="Q1628" i="8"/>
  <c r="P1628" i="8"/>
  <c r="Q1564" i="8"/>
  <c r="P1564" i="8"/>
  <c r="P1496" i="8"/>
  <c r="Q1496" i="8"/>
  <c r="P1432" i="8"/>
  <c r="Q1432" i="8"/>
  <c r="P1368" i="8"/>
  <c r="Q1368" i="8"/>
  <c r="P1304" i="8"/>
  <c r="Q1304" i="8"/>
  <c r="Q1240" i="8"/>
  <c r="P1240" i="8"/>
  <c r="Q1176" i="8"/>
  <c r="P1176" i="8"/>
  <c r="P7" i="8"/>
  <c r="Q7" i="8"/>
  <c r="P39" i="8"/>
  <c r="Q39" i="8"/>
  <c r="P93" i="8"/>
  <c r="Q93" i="8"/>
  <c r="Q255" i="8"/>
  <c r="P255" i="8"/>
  <c r="Q417" i="8"/>
  <c r="P417" i="8"/>
  <c r="Q449" i="8"/>
  <c r="P449" i="8"/>
  <c r="Q481" i="8"/>
  <c r="P481" i="8"/>
  <c r="P513" i="8"/>
  <c r="Q513" i="8"/>
  <c r="P585" i="8"/>
  <c r="Q585" i="8"/>
  <c r="P649" i="8"/>
  <c r="Q649" i="8"/>
  <c r="P717" i="8"/>
  <c r="Q717" i="8"/>
  <c r="P765" i="8"/>
  <c r="Q765" i="8"/>
  <c r="Q820" i="8"/>
  <c r="P820" i="8"/>
  <c r="Q887" i="8"/>
  <c r="P887" i="8"/>
  <c r="Q952" i="8"/>
  <c r="P952" i="8"/>
  <c r="Q1011" i="8"/>
  <c r="P1011" i="8"/>
  <c r="Q1081" i="8"/>
  <c r="P1081" i="8"/>
  <c r="P4069" i="8"/>
  <c r="Q4069" i="8"/>
  <c r="Q4005" i="8"/>
  <c r="P4005" i="8"/>
  <c r="Q3941" i="8"/>
  <c r="P3941" i="8"/>
  <c r="Q3869" i="8"/>
  <c r="P3869" i="8"/>
  <c r="Q3805" i="8"/>
  <c r="P3805" i="8"/>
  <c r="P3737" i="8"/>
  <c r="Q3737" i="8"/>
  <c r="P3673" i="8"/>
  <c r="Q3673" i="8"/>
  <c r="P3609" i="8"/>
  <c r="Q3609" i="8"/>
  <c r="Q3545" i="8"/>
  <c r="P3545" i="8"/>
  <c r="Q3449" i="8"/>
  <c r="P3449" i="8"/>
  <c r="Q3385" i="8"/>
  <c r="P3385" i="8"/>
  <c r="Q3317" i="8"/>
  <c r="P3317" i="8"/>
  <c r="Q3253" i="8"/>
  <c r="P3253" i="8"/>
  <c r="Q3189" i="8"/>
  <c r="P3189" i="8"/>
  <c r="P2901" i="8"/>
  <c r="Q2901" i="8"/>
  <c r="P2837" i="8"/>
  <c r="Q2837" i="8"/>
  <c r="P2773" i="8"/>
  <c r="K43" i="5" s="1"/>
  <c r="Q2773" i="8"/>
  <c r="L43" i="5" s="1"/>
  <c r="P2709" i="8"/>
  <c r="Q2709" i="8"/>
  <c r="P2645" i="8"/>
  <c r="Q2645" i="8"/>
  <c r="Q2581" i="8"/>
  <c r="P2581" i="8"/>
  <c r="Q2517" i="8"/>
  <c r="P2517" i="8"/>
  <c r="P2417" i="8"/>
  <c r="Q2417" i="8"/>
  <c r="P2353" i="8"/>
  <c r="Q2353" i="8"/>
  <c r="P2257" i="8"/>
  <c r="Q2257" i="8"/>
  <c r="P2193" i="8"/>
  <c r="Q2193" i="8"/>
  <c r="P2129" i="8"/>
  <c r="Q2129" i="8"/>
  <c r="P2065" i="8"/>
  <c r="Q2065" i="8"/>
  <c r="P2001" i="8"/>
  <c r="Q2001" i="8"/>
  <c r="P1937" i="8"/>
  <c r="Q1937" i="8"/>
  <c r="P1873" i="8"/>
  <c r="Q1873" i="8"/>
  <c r="Q3106" i="8"/>
  <c r="P3106" i="8"/>
  <c r="Q3042" i="8"/>
  <c r="P3042" i="8"/>
  <c r="Q2978" i="8"/>
  <c r="P2978" i="8"/>
  <c r="Q1833" i="8"/>
  <c r="P1833" i="8"/>
  <c r="Q1769" i="8"/>
  <c r="P1769" i="8"/>
  <c r="Q1705" i="8"/>
  <c r="P1705" i="8"/>
  <c r="Q1605" i="8"/>
  <c r="P1605" i="8"/>
  <c r="Q1541" i="8"/>
  <c r="P1541" i="8"/>
  <c r="Q1473" i="8"/>
  <c r="P1473" i="8"/>
  <c r="Q1409" i="8"/>
  <c r="P1409" i="8"/>
  <c r="Q1345" i="8"/>
  <c r="P1345" i="8"/>
  <c r="P1273" i="8"/>
  <c r="Q1273" i="8"/>
  <c r="P1209" i="8"/>
  <c r="Q1209" i="8"/>
  <c r="P1141" i="8"/>
  <c r="Q1141" i="8"/>
  <c r="Q44" i="8"/>
  <c r="P44" i="8"/>
  <c r="Q114" i="8"/>
  <c r="P114" i="8"/>
  <c r="Q178" i="8"/>
  <c r="P178" i="8"/>
  <c r="Q242" i="8"/>
  <c r="P242" i="8"/>
  <c r="Q316" i="8"/>
  <c r="P316" i="8"/>
  <c r="Q380" i="8"/>
  <c r="P380" i="8"/>
  <c r="Q444" i="8"/>
  <c r="P444" i="8"/>
  <c r="Q508" i="8"/>
  <c r="P508" i="8"/>
  <c r="Q650" i="8"/>
  <c r="P650" i="8"/>
  <c r="Q726" i="8"/>
  <c r="P726" i="8"/>
  <c r="Q778" i="8"/>
  <c r="P778" i="8"/>
  <c r="Q841" i="8"/>
  <c r="P841" i="8"/>
  <c r="Q902" i="8"/>
  <c r="P902" i="8"/>
  <c r="Q964" i="8"/>
  <c r="P964" i="8"/>
  <c r="Q1030" i="8"/>
  <c r="P1030" i="8"/>
  <c r="Q1103" i="8"/>
  <c r="P1103" i="8"/>
  <c r="P4050" i="8"/>
  <c r="Q4050" i="8"/>
  <c r="Q3986" i="8"/>
  <c r="P3986" i="8"/>
  <c r="Q3922" i="8"/>
  <c r="P3922" i="8"/>
  <c r="Q3858" i="8"/>
  <c r="P3858" i="8"/>
  <c r="Q3794" i="8"/>
  <c r="P3794" i="8"/>
  <c r="P3726" i="8"/>
  <c r="Q3726" i="8"/>
  <c r="P3662" i="8"/>
  <c r="Q3662" i="8"/>
  <c r="P3598" i="8"/>
  <c r="Q3598" i="8"/>
  <c r="P3534" i="8"/>
  <c r="Q3534" i="8"/>
  <c r="P3458" i="8"/>
  <c r="Q3458" i="8"/>
  <c r="Q3394" i="8"/>
  <c r="P3394" i="8"/>
  <c r="Q3330" i="8"/>
  <c r="P3330" i="8"/>
  <c r="P3254" i="8"/>
  <c r="Q3254" i="8"/>
  <c r="P3190" i="8"/>
  <c r="Q3190" i="8"/>
  <c r="P2902" i="8"/>
  <c r="Q2902" i="8"/>
  <c r="P2838" i="8"/>
  <c r="Q2838" i="8"/>
  <c r="P2766" i="8"/>
  <c r="Q2766" i="8"/>
  <c r="P2702" i="8"/>
  <c r="Q2702" i="8"/>
  <c r="P2638" i="8"/>
  <c r="Q2638" i="8"/>
  <c r="P2574" i="8"/>
  <c r="Q2574" i="8"/>
  <c r="P2510" i="8"/>
  <c r="Q2510" i="8"/>
  <c r="P2434" i="8"/>
  <c r="Q2434" i="8"/>
  <c r="P2370" i="8"/>
  <c r="Q2370" i="8"/>
  <c r="P2306" i="8"/>
  <c r="Q2306" i="8"/>
  <c r="P2242" i="8"/>
  <c r="Q2242" i="8"/>
  <c r="P2178" i="8"/>
  <c r="Q2178" i="8"/>
  <c r="P2114" i="8"/>
  <c r="Q2114" i="8"/>
  <c r="P2050" i="8"/>
  <c r="Q2050" i="8"/>
  <c r="P1986" i="8"/>
  <c r="Q1986" i="8"/>
  <c r="P1922" i="8"/>
  <c r="Q1922" i="8"/>
  <c r="Q3155" i="8"/>
  <c r="P3155" i="8"/>
  <c r="Q3091" i="8"/>
  <c r="P3091" i="8"/>
  <c r="Q3027" i="8"/>
  <c r="P3027" i="8"/>
  <c r="Q2963" i="8"/>
  <c r="P2963" i="8"/>
  <c r="Q1818" i="8"/>
  <c r="P1818" i="8"/>
  <c r="Q1754" i="8"/>
  <c r="P1754" i="8"/>
  <c r="Q1690" i="8"/>
  <c r="P1690" i="8"/>
  <c r="Q1622" i="8"/>
  <c r="P1622" i="8"/>
  <c r="Q1558" i="8"/>
  <c r="P1558" i="8"/>
  <c r="P1490" i="8"/>
  <c r="Q1490" i="8"/>
  <c r="P1426" i="8"/>
  <c r="Q1426" i="8"/>
  <c r="P1362" i="8"/>
  <c r="Q1362" i="8"/>
  <c r="P1298" i="8"/>
  <c r="Q1298" i="8"/>
  <c r="Q1226" i="8"/>
  <c r="P1226" i="8"/>
  <c r="Q1154" i="8"/>
  <c r="P1154" i="8"/>
  <c r="Q77" i="8"/>
  <c r="P77" i="8"/>
  <c r="Q129" i="8"/>
  <c r="P129" i="8"/>
  <c r="Q161" i="8"/>
  <c r="P161" i="8"/>
  <c r="Q193" i="8"/>
  <c r="P193" i="8"/>
  <c r="Q225" i="8"/>
  <c r="P225" i="8"/>
  <c r="P293" i="8"/>
  <c r="Q293" i="8"/>
  <c r="P325" i="8"/>
  <c r="Q325" i="8"/>
  <c r="P357" i="8"/>
  <c r="Q357" i="8"/>
  <c r="P533" i="8"/>
  <c r="Q533" i="8"/>
  <c r="P571" i="8"/>
  <c r="Q571" i="8"/>
  <c r="P635" i="8"/>
  <c r="Q635" i="8"/>
  <c r="Q685" i="8"/>
  <c r="P685" i="8"/>
  <c r="Q784" i="8"/>
  <c r="P784" i="8"/>
  <c r="Q846" i="8"/>
  <c r="P846" i="8"/>
  <c r="Q913" i="8"/>
  <c r="P913" i="8"/>
  <c r="Q979" i="8"/>
  <c r="P979" i="8"/>
  <c r="Q1047" i="8"/>
  <c r="P1047" i="8"/>
  <c r="Q1109" i="8"/>
  <c r="P1109" i="8"/>
  <c r="Q4039" i="8"/>
  <c r="P4039" i="8"/>
  <c r="Q3975" i="8"/>
  <c r="P3975" i="8"/>
  <c r="Q3903" i="8"/>
  <c r="P3903" i="8"/>
  <c r="Q3839" i="8"/>
  <c r="P3839" i="8"/>
  <c r="P3763" i="8"/>
  <c r="Q3763" i="8"/>
  <c r="P3699" i="8"/>
  <c r="Q3699" i="8"/>
  <c r="P3635" i="8"/>
  <c r="Q3635" i="8"/>
  <c r="P3571" i="8"/>
  <c r="Q3571" i="8"/>
  <c r="Q3507" i="8"/>
  <c r="P3507" i="8"/>
  <c r="Q3435" i="8"/>
  <c r="P3435" i="8"/>
  <c r="Q3371" i="8"/>
  <c r="P3371" i="8"/>
  <c r="Q3295" i="8"/>
  <c r="P3295" i="8"/>
  <c r="Q3231" i="8"/>
  <c r="P3231" i="8"/>
  <c r="Q3167" i="8"/>
  <c r="P3167" i="8"/>
  <c r="P2879" i="8"/>
  <c r="Q2879" i="8"/>
  <c r="P2815" i="8"/>
  <c r="Q2815" i="8"/>
  <c r="P2739" i="8"/>
  <c r="Q2739" i="8"/>
  <c r="P2675" i="8"/>
  <c r="Q2675" i="8"/>
  <c r="Q2611" i="8"/>
  <c r="P2611" i="8"/>
  <c r="Q2547" i="8"/>
  <c r="P2547" i="8"/>
  <c r="P2447" i="8"/>
  <c r="Q2447" i="8"/>
  <c r="P2383" i="8"/>
  <c r="Q2383" i="8"/>
  <c r="P2287" i="8"/>
  <c r="Q2287" i="8"/>
  <c r="P2223" i="8"/>
  <c r="Q2223" i="8"/>
  <c r="P2159" i="8"/>
  <c r="Q2159" i="8"/>
  <c r="P2095" i="8"/>
  <c r="Q2095" i="8"/>
  <c r="P2031" i="8"/>
  <c r="Q2031" i="8"/>
  <c r="P1967" i="8"/>
  <c r="Q1967" i="8"/>
  <c r="P1903" i="8"/>
  <c r="Q1903" i="8"/>
  <c r="Q3136" i="8"/>
  <c r="P3136" i="8"/>
  <c r="Q3072" i="8"/>
  <c r="P3072" i="8"/>
  <c r="Q2996" i="8"/>
  <c r="P2996" i="8"/>
  <c r="Q1851" i="8"/>
  <c r="P1851" i="8"/>
  <c r="Q1787" i="8"/>
  <c r="P1787" i="8"/>
  <c r="Q1723" i="8"/>
  <c r="P1723" i="8"/>
  <c r="Q1655" i="8"/>
  <c r="P1655" i="8"/>
  <c r="Q1591" i="8"/>
  <c r="P1591" i="8"/>
  <c r="Q1527" i="8"/>
  <c r="P1527" i="8"/>
  <c r="Q1451" i="8"/>
  <c r="P1451" i="8"/>
  <c r="Q1387" i="8"/>
  <c r="P1387" i="8"/>
  <c r="Q1323" i="8"/>
  <c r="P1323" i="8"/>
  <c r="P1243" i="8"/>
  <c r="Q1243" i="8"/>
  <c r="P1179" i="8"/>
  <c r="Q1179" i="8"/>
  <c r="Q10" i="8"/>
  <c r="P10" i="8"/>
  <c r="Q74" i="8"/>
  <c r="P74" i="8"/>
  <c r="Q148" i="8"/>
  <c r="P148" i="8"/>
  <c r="Q212" i="8"/>
  <c r="P212" i="8"/>
  <c r="Q282" i="8"/>
  <c r="P282" i="8"/>
  <c r="Q346" i="8"/>
  <c r="P346" i="8"/>
  <c r="Q410" i="8"/>
  <c r="P410" i="8"/>
  <c r="Q474" i="8"/>
  <c r="P474" i="8"/>
  <c r="Q538" i="8"/>
  <c r="P538" i="8"/>
  <c r="Q580" i="8"/>
  <c r="P580" i="8"/>
  <c r="Q612" i="8"/>
  <c r="P612" i="8"/>
  <c r="Q654" i="8"/>
  <c r="P654" i="8"/>
  <c r="Q704" i="8"/>
  <c r="P704" i="8"/>
  <c r="Q779" i="8"/>
  <c r="P779" i="8"/>
  <c r="Q844" i="8"/>
  <c r="P844" i="8"/>
  <c r="Q919" i="8"/>
  <c r="P919" i="8"/>
  <c r="Q980" i="8"/>
  <c r="P980" i="8"/>
  <c r="Q1045" i="8"/>
  <c r="P1045" i="8"/>
  <c r="Q1107" i="8"/>
  <c r="P1107" i="8"/>
  <c r="Q4044" i="8"/>
  <c r="P4044" i="8"/>
  <c r="Q3980" i="8"/>
  <c r="P3980" i="8"/>
  <c r="Q3912" i="8"/>
  <c r="P3912" i="8"/>
  <c r="Q3848" i="8"/>
  <c r="P3848" i="8"/>
  <c r="Q3784" i="8"/>
  <c r="P3784" i="8"/>
  <c r="P3708" i="8"/>
  <c r="Q3708" i="8"/>
  <c r="P3636" i="8"/>
  <c r="Q3636" i="8"/>
  <c r="P3572" i="8"/>
  <c r="Q3572" i="8"/>
  <c r="P3508" i="8"/>
  <c r="Q3508" i="8"/>
  <c r="P3436" i="8"/>
  <c r="Q3436" i="8"/>
  <c r="Q3372" i="8"/>
  <c r="P3372" i="8"/>
  <c r="P3296" i="8"/>
  <c r="Q3296" i="8"/>
  <c r="P3232" i="8"/>
  <c r="Q3232" i="8"/>
  <c r="P2948" i="8"/>
  <c r="Q2948" i="8"/>
  <c r="P2848" i="8"/>
  <c r="Q2848" i="8"/>
  <c r="P2784" i="8"/>
  <c r="Q2784" i="8"/>
  <c r="P2712" i="8"/>
  <c r="Q2712" i="8"/>
  <c r="P2648" i="8"/>
  <c r="Q2648" i="8"/>
  <c r="P2584" i="8"/>
  <c r="Q2584" i="8"/>
  <c r="P2520" i="8"/>
  <c r="Q2520" i="8"/>
  <c r="P2444" i="8"/>
  <c r="Q2444" i="8"/>
  <c r="P2380" i="8"/>
  <c r="Q2380" i="8"/>
  <c r="P2316" i="8"/>
  <c r="Q2316" i="8"/>
  <c r="P2252" i="8"/>
  <c r="Q2252" i="8"/>
  <c r="P2188" i="8"/>
  <c r="Q2188" i="8"/>
  <c r="P2124" i="8"/>
  <c r="Q2124" i="8"/>
  <c r="P2060" i="8"/>
  <c r="Q2060" i="8"/>
  <c r="P1996" i="8"/>
  <c r="Q1996" i="8"/>
  <c r="P1932" i="8"/>
  <c r="Q1932" i="8"/>
  <c r="Q3165" i="8"/>
  <c r="P3165" i="8"/>
  <c r="Q3101" i="8"/>
  <c r="P3101" i="8"/>
  <c r="Q3037" i="8"/>
  <c r="P3037" i="8"/>
  <c r="Q2965" i="8"/>
  <c r="P2965" i="8"/>
  <c r="Q1820" i="8"/>
  <c r="P1820" i="8"/>
  <c r="Q1756" i="8"/>
  <c r="P1756" i="8"/>
  <c r="Q1692" i="8"/>
  <c r="P1692" i="8"/>
  <c r="Q1624" i="8"/>
  <c r="P1624" i="8"/>
  <c r="Q1560" i="8"/>
  <c r="P1560" i="8"/>
  <c r="P1484" i="8"/>
  <c r="Q1484" i="8"/>
  <c r="P1420" i="8"/>
  <c r="Q1420" i="8"/>
  <c r="P1356" i="8"/>
  <c r="Q1356" i="8"/>
  <c r="Q1276" i="8"/>
  <c r="P1276" i="8"/>
  <c r="Q1212" i="8"/>
  <c r="P1212" i="8"/>
  <c r="Q1136" i="8"/>
  <c r="P1136" i="8"/>
  <c r="P33" i="8"/>
  <c r="Q33" i="8"/>
  <c r="P87" i="8"/>
  <c r="Q87" i="8"/>
  <c r="Q249" i="8"/>
  <c r="P249" i="8"/>
  <c r="Q411" i="8"/>
  <c r="P411" i="8"/>
  <c r="Q443" i="8"/>
  <c r="P443" i="8"/>
  <c r="Q475" i="8"/>
  <c r="P475" i="8"/>
  <c r="P507" i="8"/>
  <c r="Q507" i="8"/>
  <c r="P573" i="8"/>
  <c r="Q573" i="8"/>
  <c r="P637" i="8"/>
  <c r="Q637" i="8"/>
  <c r="P711" i="8"/>
  <c r="Q711" i="8"/>
  <c r="P749" i="8"/>
  <c r="Q749" i="8"/>
  <c r="Q809" i="8"/>
  <c r="P809" i="8"/>
  <c r="Q874" i="8"/>
  <c r="P874" i="8"/>
  <c r="Q939" i="8"/>
  <c r="P939" i="8"/>
  <c r="Q1000" i="8"/>
  <c r="P1000" i="8"/>
  <c r="Q1070" i="8"/>
  <c r="P1070" i="8"/>
  <c r="P4081" i="8"/>
  <c r="Q4081" i="8"/>
  <c r="Q4017" i="8"/>
  <c r="P4017" i="8"/>
  <c r="Q3953" i="8"/>
  <c r="P3953" i="8"/>
  <c r="Q3889" i="8"/>
  <c r="P3889" i="8"/>
  <c r="Q3825" i="8"/>
  <c r="P3825" i="8"/>
  <c r="Q3749" i="8"/>
  <c r="P3749" i="8"/>
  <c r="P3685" i="8"/>
  <c r="Q3685" i="8"/>
  <c r="P3613" i="8"/>
  <c r="Q3613" i="8"/>
  <c r="P3549" i="8"/>
  <c r="Q3549" i="8"/>
  <c r="Q3485" i="8"/>
  <c r="P3485" i="8"/>
  <c r="Q3413" i="8"/>
  <c r="P3413" i="8"/>
  <c r="Q3349" i="8"/>
  <c r="P3349" i="8"/>
  <c r="Q3281" i="8"/>
  <c r="P3281" i="8"/>
  <c r="Q3217" i="8"/>
  <c r="P3217" i="8"/>
  <c r="P2929" i="8"/>
  <c r="Q2929" i="8"/>
  <c r="P2865" i="8"/>
  <c r="Q2865" i="8"/>
  <c r="P2801" i="8"/>
  <c r="Q2801" i="8"/>
  <c r="P2729" i="8"/>
  <c r="Q2729" i="8"/>
  <c r="P2665" i="8"/>
  <c r="Q2665" i="8"/>
  <c r="Q2601" i="8"/>
  <c r="P2601" i="8"/>
  <c r="Q2537" i="8"/>
  <c r="P2537" i="8"/>
  <c r="P2461" i="8"/>
  <c r="Q2461" i="8"/>
  <c r="P2397" i="8"/>
  <c r="Q2397" i="8"/>
  <c r="P2333" i="8"/>
  <c r="Q2333" i="8"/>
  <c r="P2261" i="8"/>
  <c r="Q2261" i="8"/>
  <c r="P2197" i="8"/>
  <c r="Q2197" i="8"/>
  <c r="P2133" i="8"/>
  <c r="Q2133" i="8"/>
  <c r="P2069" i="8"/>
  <c r="Q2069" i="8"/>
  <c r="P2005" i="8"/>
  <c r="Q2005" i="8"/>
  <c r="P1941" i="8"/>
  <c r="Q1941" i="8"/>
  <c r="P1877" i="8"/>
  <c r="Q1877" i="8"/>
  <c r="Q3110" i="8"/>
  <c r="P3110" i="8"/>
  <c r="Q3046" i="8"/>
  <c r="P3046" i="8"/>
  <c r="Q2974" i="8"/>
  <c r="P2974" i="8"/>
  <c r="Q1829" i="8"/>
  <c r="P1829" i="8"/>
  <c r="Q1765" i="8"/>
  <c r="P1765" i="8"/>
  <c r="Q1701" i="8"/>
  <c r="P1701" i="8"/>
  <c r="Q1625" i="8"/>
  <c r="P1625" i="8"/>
  <c r="Q1561" i="8"/>
  <c r="P1561" i="8"/>
  <c r="P1485" i="8"/>
  <c r="Q1485" i="8"/>
  <c r="Q1421" i="8"/>
  <c r="P1421" i="8"/>
  <c r="Q1357" i="8"/>
  <c r="P1357" i="8"/>
  <c r="P1261" i="8"/>
  <c r="Q1261" i="8"/>
  <c r="P1197" i="8"/>
  <c r="Q1197" i="8"/>
  <c r="P1121" i="8"/>
  <c r="Q1121" i="8"/>
  <c r="Q64" i="8"/>
  <c r="P64" i="8"/>
  <c r="Q142" i="8"/>
  <c r="P142" i="8"/>
  <c r="Q206" i="8"/>
  <c r="P206" i="8"/>
  <c r="Q272" i="8"/>
  <c r="P272" i="8"/>
  <c r="Q336" i="8"/>
  <c r="P336" i="8"/>
  <c r="Q402" i="8"/>
  <c r="P402" i="8"/>
  <c r="Q464" i="8"/>
  <c r="P464" i="8"/>
  <c r="Q528" i="8"/>
  <c r="P528" i="8"/>
  <c r="Q680" i="8"/>
  <c r="P680" i="8"/>
  <c r="Q740" i="8"/>
  <c r="P740" i="8"/>
  <c r="Q799" i="8"/>
  <c r="P799" i="8"/>
  <c r="Q869" i="8"/>
  <c r="P869" i="8"/>
  <c r="Q929" i="8"/>
  <c r="P929" i="8"/>
  <c r="Q993" i="8"/>
  <c r="P993" i="8"/>
  <c r="Q1071" i="8"/>
  <c r="P1071" i="8"/>
  <c r="P4078" i="8"/>
  <c r="Q4078" i="8"/>
  <c r="Q4014" i="8"/>
  <c r="P4014" i="8"/>
  <c r="Q3950" i="8"/>
  <c r="P3950" i="8"/>
  <c r="Q3878" i="8"/>
  <c r="P3878" i="8"/>
  <c r="Q3814" i="8"/>
  <c r="P3814" i="8"/>
  <c r="P3738" i="8"/>
  <c r="Q3738" i="8"/>
  <c r="P3674" i="8"/>
  <c r="Q3674" i="8"/>
  <c r="P3610" i="8"/>
  <c r="Q3610" i="8"/>
  <c r="P3546" i="8"/>
  <c r="Q3546" i="8"/>
  <c r="P3446" i="8"/>
  <c r="Q3446" i="8"/>
  <c r="Q3382" i="8"/>
  <c r="P3382" i="8"/>
  <c r="P3314" i="8"/>
  <c r="Q3314" i="8"/>
  <c r="P3250" i="8"/>
  <c r="Q3250" i="8"/>
  <c r="P3186" i="8"/>
  <c r="Q3186" i="8"/>
  <c r="P2898" i="8"/>
  <c r="Q2898" i="8"/>
  <c r="P2834" i="8"/>
  <c r="Q2834" i="8"/>
  <c r="P2770" i="8"/>
  <c r="Q2770" i="8"/>
  <c r="P2698" i="8"/>
  <c r="Q2698" i="8"/>
  <c r="P2634" i="8"/>
  <c r="Q2634" i="8"/>
  <c r="P2570" i="8"/>
  <c r="Q2570" i="8"/>
  <c r="P2506" i="8"/>
  <c r="Q2506" i="8"/>
  <c r="P2438" i="8"/>
  <c r="Q2438" i="8"/>
  <c r="P2374" i="8"/>
  <c r="Q2374" i="8"/>
  <c r="P2302" i="8"/>
  <c r="Q2302" i="8"/>
  <c r="P2238" i="8"/>
  <c r="Q2238" i="8"/>
  <c r="P2174" i="8"/>
  <c r="Q2174" i="8"/>
  <c r="P2110" i="8"/>
  <c r="Q2110" i="8"/>
  <c r="P2046" i="8"/>
  <c r="Q2046" i="8"/>
  <c r="P1982" i="8"/>
  <c r="Q1982" i="8"/>
  <c r="P1918" i="8"/>
  <c r="Q1918" i="8"/>
  <c r="Q3151" i="8"/>
  <c r="P3151" i="8"/>
  <c r="Q3087" i="8"/>
  <c r="P3087" i="8"/>
  <c r="Q3023" i="8"/>
  <c r="P3023" i="8"/>
  <c r="Q2951" i="8"/>
  <c r="P2951" i="8"/>
  <c r="Q1806" i="8"/>
  <c r="P1806" i="8"/>
  <c r="Q1742" i="8"/>
  <c r="P1742" i="8"/>
  <c r="Q1678" i="8"/>
  <c r="P1678" i="8"/>
  <c r="Q1602" i="8"/>
  <c r="P1602" i="8"/>
  <c r="Q1538" i="8"/>
  <c r="P1538" i="8"/>
  <c r="P1462" i="8"/>
  <c r="Q1462" i="8"/>
  <c r="P1398" i="8"/>
  <c r="Q1398" i="8"/>
  <c r="P1334" i="8"/>
  <c r="Q1334" i="8"/>
  <c r="Q1270" i="8"/>
  <c r="P1270" i="8"/>
  <c r="Q1206" i="8"/>
  <c r="P1206" i="8"/>
  <c r="Q1142" i="8"/>
  <c r="P1142" i="8"/>
  <c r="Q83" i="8"/>
  <c r="P83" i="8"/>
  <c r="Q135" i="8"/>
  <c r="P135" i="8"/>
  <c r="Q167" i="8"/>
  <c r="P167" i="8"/>
  <c r="Q199" i="8"/>
  <c r="P199" i="8"/>
  <c r="P267" i="8"/>
  <c r="Q267" i="8"/>
  <c r="P299" i="8"/>
  <c r="Q299" i="8"/>
  <c r="P331" i="8"/>
  <c r="Q331" i="8"/>
  <c r="P363" i="8"/>
  <c r="Q363" i="8"/>
  <c r="P539" i="8"/>
  <c r="Q539" i="8"/>
  <c r="P583" i="8"/>
  <c r="Q583" i="8"/>
  <c r="P647" i="8"/>
  <c r="Q647" i="8"/>
  <c r="Q691" i="8"/>
  <c r="P691" i="8"/>
  <c r="Q797" i="8"/>
  <c r="P797" i="8"/>
  <c r="Q857" i="8"/>
  <c r="P857" i="8"/>
  <c r="Q916" i="8"/>
  <c r="P916" i="8"/>
  <c r="Q984" i="8"/>
  <c r="P984" i="8"/>
  <c r="Q1082" i="8"/>
  <c r="P1082" i="8"/>
  <c r="P4067" i="8"/>
  <c r="Q4067" i="8"/>
  <c r="Q4003" i="8"/>
  <c r="P4003" i="8"/>
  <c r="Q3939" i="8"/>
  <c r="P3939" i="8"/>
  <c r="Q3875" i="8"/>
  <c r="P3875" i="8"/>
  <c r="Q3811" i="8"/>
  <c r="P3811" i="8"/>
  <c r="P3711" i="8"/>
  <c r="Q3711" i="8"/>
  <c r="P3615" i="8"/>
  <c r="Q3615" i="8"/>
  <c r="P3551" i="8"/>
  <c r="Q3551" i="8"/>
  <c r="Q3487" i="8"/>
  <c r="P3487" i="8"/>
  <c r="Q3423" i="8"/>
  <c r="P3423" i="8"/>
  <c r="Q3359" i="8"/>
  <c r="P3359" i="8"/>
  <c r="Q3259" i="8"/>
  <c r="P3259" i="8"/>
  <c r="Q38" i="8"/>
  <c r="P38" i="8"/>
  <c r="Q136" i="8"/>
  <c r="P136" i="8"/>
  <c r="Q200" i="8"/>
  <c r="P200" i="8"/>
  <c r="Q294" i="8"/>
  <c r="P294" i="8"/>
  <c r="Q358" i="8"/>
  <c r="P358" i="8"/>
  <c r="Q422" i="8"/>
  <c r="P422" i="8"/>
  <c r="Q486" i="8"/>
  <c r="P486" i="8"/>
  <c r="Q550" i="8"/>
  <c r="P550" i="8"/>
  <c r="Q586" i="8"/>
  <c r="P586" i="8"/>
  <c r="Q618" i="8"/>
  <c r="P618" i="8"/>
  <c r="Q662" i="8"/>
  <c r="P662" i="8"/>
  <c r="Q716" i="8"/>
  <c r="P716" i="8"/>
  <c r="Q790" i="8"/>
  <c r="P790" i="8"/>
  <c r="Q898" i="8"/>
  <c r="P898" i="8"/>
  <c r="Q965" i="8"/>
  <c r="P965" i="8"/>
  <c r="Q1034" i="8"/>
  <c r="P1034" i="8"/>
  <c r="Q1094" i="8"/>
  <c r="P1094" i="8"/>
  <c r="P4056" i="8"/>
  <c r="Q4056" i="8"/>
  <c r="Q3992" i="8"/>
  <c r="P3992" i="8"/>
  <c r="Q3916" i="8"/>
  <c r="P3916" i="8"/>
  <c r="Q3852" i="8"/>
  <c r="P3852" i="8"/>
  <c r="Q3788" i="8"/>
  <c r="P3788" i="8"/>
  <c r="P3720" i="8"/>
  <c r="Q3720" i="8"/>
  <c r="P3656" i="8"/>
  <c r="Q3656" i="8"/>
  <c r="P3592" i="8"/>
  <c r="Q3592" i="8"/>
  <c r="P3528" i="8"/>
  <c r="Q3528" i="8"/>
  <c r="P3464" i="8"/>
  <c r="Q3464" i="8"/>
  <c r="Q3400" i="8"/>
  <c r="P3400" i="8"/>
  <c r="Q3336" i="8"/>
  <c r="P3336" i="8"/>
  <c r="P3268" i="8"/>
  <c r="Q3268" i="8"/>
  <c r="P3204" i="8"/>
  <c r="Q3204" i="8"/>
  <c r="P2876" i="8"/>
  <c r="Q2876" i="8"/>
  <c r="P2812" i="8"/>
  <c r="Q2812" i="8"/>
  <c r="P2716" i="8"/>
  <c r="Q2716" i="8"/>
  <c r="P2652" i="8"/>
  <c r="Q2652" i="8"/>
  <c r="P2588" i="8"/>
  <c r="Q2588" i="8"/>
  <c r="P2524" i="8"/>
  <c r="Q2524" i="8"/>
  <c r="P2456" i="8"/>
  <c r="Q2456" i="8"/>
  <c r="P2392" i="8"/>
  <c r="Q2392" i="8"/>
  <c r="P2328" i="8"/>
  <c r="Q2328" i="8"/>
  <c r="P2264" i="8"/>
  <c r="Q2264" i="8"/>
  <c r="P2200" i="8"/>
  <c r="Q2200" i="8"/>
  <c r="P2136" i="8"/>
  <c r="Q2136" i="8"/>
  <c r="P2072" i="8"/>
  <c r="Q2072" i="8"/>
  <c r="P2008" i="8"/>
  <c r="Q2008" i="8"/>
  <c r="P1944" i="8"/>
  <c r="Q1944" i="8"/>
  <c r="Q1880" i="8"/>
  <c r="P1880" i="8"/>
  <c r="Q3113" i="8"/>
  <c r="P3113" i="8"/>
  <c r="Q3049" i="8"/>
  <c r="P3049" i="8"/>
  <c r="Q2953" i="8"/>
  <c r="P2953" i="8"/>
  <c r="Q1808" i="8"/>
  <c r="P1808" i="8"/>
  <c r="Q1744" i="8"/>
  <c r="P1744" i="8"/>
  <c r="Q1680" i="8"/>
  <c r="P1680" i="8"/>
  <c r="Q1604" i="8"/>
  <c r="P1604" i="8"/>
  <c r="Q1540" i="8"/>
  <c r="P1540" i="8"/>
  <c r="P1472" i="8"/>
  <c r="Q1472" i="8"/>
  <c r="P1408" i="8"/>
  <c r="Q1408" i="8"/>
  <c r="P1344" i="8"/>
  <c r="Q1344" i="8"/>
  <c r="Q1280" i="8"/>
  <c r="P1280" i="8"/>
  <c r="Q1216" i="8"/>
  <c r="P1216" i="8"/>
  <c r="Q1148" i="8"/>
  <c r="P1148" i="8"/>
  <c r="P19" i="8"/>
  <c r="Q19" i="8"/>
  <c r="P61" i="8"/>
  <c r="Q61" i="8"/>
  <c r="Q235" i="8"/>
  <c r="P235" i="8"/>
  <c r="P383" i="8"/>
  <c r="Q383" i="8"/>
  <c r="Q429" i="8"/>
  <c r="P429" i="8"/>
  <c r="Q461" i="8"/>
  <c r="P461" i="8"/>
  <c r="P493" i="8"/>
  <c r="Q493" i="8"/>
  <c r="P525" i="8"/>
  <c r="Q525" i="8"/>
  <c r="P609" i="8"/>
  <c r="Q609" i="8"/>
  <c r="P697" i="8"/>
  <c r="Q697" i="8"/>
  <c r="P729" i="8"/>
  <c r="Q729" i="8"/>
  <c r="Q780" i="8"/>
  <c r="P780" i="8"/>
  <c r="Q845" i="8"/>
  <c r="P845" i="8"/>
  <c r="Q909" i="8"/>
  <c r="P909" i="8"/>
  <c r="Q973" i="8"/>
  <c r="P973" i="8"/>
  <c r="Q1043" i="8"/>
  <c r="P1043" i="8"/>
  <c r="Q1105" i="8"/>
  <c r="P1105" i="8"/>
  <c r="Q4045" i="8"/>
  <c r="P4045" i="8"/>
  <c r="Q3981" i="8"/>
  <c r="P3981" i="8"/>
  <c r="Q3909" i="8"/>
  <c r="P3909" i="8"/>
  <c r="Q3845" i="8"/>
  <c r="P3845" i="8"/>
  <c r="P3745" i="8"/>
  <c r="Q3745" i="8"/>
  <c r="P3681" i="8"/>
  <c r="Q3681" i="8"/>
  <c r="P3585" i="8"/>
  <c r="Q3585" i="8"/>
  <c r="Q3521" i="8"/>
  <c r="P3521" i="8"/>
  <c r="Q3457" i="8"/>
  <c r="P3457" i="8"/>
  <c r="Q3393" i="8"/>
  <c r="P3393" i="8"/>
  <c r="Q3329" i="8"/>
  <c r="P3329" i="8"/>
  <c r="Q3261" i="8"/>
  <c r="P3261" i="8"/>
  <c r="Q3197" i="8"/>
  <c r="P3197" i="8"/>
  <c r="P2917" i="8"/>
  <c r="Q2917" i="8"/>
  <c r="P2845" i="8"/>
  <c r="Q2845" i="8"/>
  <c r="P2781" i="8"/>
  <c r="Q2781" i="8"/>
  <c r="P2685" i="8"/>
  <c r="Q2685" i="8"/>
  <c r="Q2621" i="8"/>
  <c r="P2621" i="8"/>
  <c r="Q2557" i="8"/>
  <c r="P2557" i="8"/>
  <c r="Q2493" i="8"/>
  <c r="P2493" i="8"/>
  <c r="P2425" i="8"/>
  <c r="Q2425" i="8"/>
  <c r="P2361" i="8"/>
  <c r="Q2361" i="8"/>
  <c r="P2297" i="8"/>
  <c r="Q2297" i="8"/>
  <c r="P2233" i="8"/>
  <c r="Q2233" i="8"/>
  <c r="P2169" i="8"/>
  <c r="Q2169" i="8"/>
  <c r="P2105" i="8"/>
  <c r="Q2105" i="8"/>
  <c r="P2041" i="8"/>
  <c r="Q2041" i="8"/>
  <c r="P1977" i="8"/>
  <c r="Q1977" i="8"/>
  <c r="P1913" i="8"/>
  <c r="Q1913" i="8"/>
  <c r="Q3146" i="8"/>
  <c r="P3146" i="8"/>
  <c r="Q3082" i="8"/>
  <c r="P3082" i="8"/>
  <c r="Q2986" i="8"/>
  <c r="P2986" i="8"/>
  <c r="Q1841" i="8"/>
  <c r="P1841" i="8"/>
  <c r="Q1777" i="8"/>
  <c r="P1777" i="8"/>
  <c r="Q1713" i="8"/>
  <c r="P1713" i="8"/>
  <c r="Q1645" i="8"/>
  <c r="P1645" i="8"/>
  <c r="Q1581" i="8"/>
  <c r="P1581" i="8"/>
  <c r="P1481" i="8"/>
  <c r="Q1481" i="8"/>
  <c r="Q1417" i="8"/>
  <c r="P1417" i="8"/>
  <c r="Q1353" i="8"/>
  <c r="P1353" i="8"/>
  <c r="P1281" i="8"/>
  <c r="Q1281" i="8"/>
  <c r="P1217" i="8"/>
  <c r="Q1217" i="8"/>
  <c r="P1149" i="8"/>
  <c r="Q1149" i="8"/>
  <c r="Q36" i="8"/>
  <c r="P36" i="8"/>
  <c r="Q138" i="8"/>
  <c r="P138" i="8"/>
  <c r="Q202" i="8"/>
  <c r="P202" i="8"/>
  <c r="Q276" i="8"/>
  <c r="P276" i="8"/>
  <c r="Q340" i="8"/>
  <c r="P340" i="8"/>
  <c r="Q406" i="8"/>
  <c r="P406" i="8"/>
  <c r="Q468" i="8"/>
  <c r="P468" i="8"/>
  <c r="Q532" i="8"/>
  <c r="P532" i="8"/>
  <c r="Q684" i="8"/>
  <c r="P684" i="8"/>
  <c r="Q744" i="8"/>
  <c r="P744" i="8"/>
  <c r="Q802" i="8"/>
  <c r="P802" i="8"/>
  <c r="Q894" i="8"/>
  <c r="P894" i="8"/>
  <c r="Q956" i="8"/>
  <c r="P956" i="8"/>
  <c r="Q1057" i="8"/>
  <c r="P1057" i="8"/>
  <c r="P4090" i="8"/>
  <c r="Q4090" i="8"/>
  <c r="Q4026" i="8"/>
  <c r="P4026" i="8"/>
  <c r="Q3962" i="8"/>
  <c r="P3962" i="8"/>
  <c r="Q3866" i="8"/>
  <c r="P3866" i="8"/>
  <c r="Q3802" i="8"/>
  <c r="P3802" i="8"/>
  <c r="P3734" i="8"/>
  <c r="Q3734" i="8"/>
  <c r="P3670" i="8"/>
  <c r="Q3670" i="8"/>
  <c r="P3606" i="8"/>
  <c r="Q3606" i="8"/>
  <c r="P3542" i="8"/>
  <c r="Q3542" i="8"/>
  <c r="P3466" i="8"/>
  <c r="Q3466" i="8"/>
  <c r="Q3402" i="8"/>
  <c r="P3402" i="8"/>
  <c r="Q3338" i="8"/>
  <c r="P3338" i="8"/>
  <c r="P3262" i="8"/>
  <c r="Q3262" i="8"/>
  <c r="P3198" i="8"/>
  <c r="Q3198" i="8"/>
  <c r="P2918" i="8"/>
  <c r="Q2918" i="8"/>
  <c r="P2846" i="8"/>
  <c r="Q2846" i="8"/>
  <c r="P2782" i="8"/>
  <c r="Q2782" i="8"/>
  <c r="P2710" i="8"/>
  <c r="Q2710" i="8"/>
  <c r="P2646" i="8"/>
  <c r="Q2646" i="8"/>
  <c r="P2582" i="8"/>
  <c r="Q2582" i="8"/>
  <c r="P2518" i="8"/>
  <c r="Q2518" i="8"/>
  <c r="P2442" i="8"/>
  <c r="Q2442" i="8"/>
  <c r="P2378" i="8"/>
  <c r="Q2378" i="8"/>
  <c r="P2314" i="8"/>
  <c r="Q2314" i="8"/>
  <c r="P2250" i="8"/>
  <c r="Q2250" i="8"/>
  <c r="P2186" i="8"/>
  <c r="Q2186" i="8"/>
  <c r="P2122" i="8"/>
  <c r="Q2122" i="8"/>
  <c r="P2058" i="8"/>
  <c r="Q2058" i="8"/>
  <c r="P1994" i="8"/>
  <c r="Q1994" i="8"/>
  <c r="P1930" i="8"/>
  <c r="Q1930" i="8"/>
  <c r="Q3163" i="8"/>
  <c r="P3163" i="8"/>
  <c r="Q3099" i="8"/>
  <c r="P3099" i="8"/>
  <c r="Q3035" i="8"/>
  <c r="P3035" i="8"/>
  <c r="Q2971" i="8"/>
  <c r="P2971" i="8"/>
  <c r="Q1826" i="8"/>
  <c r="P1826" i="8"/>
  <c r="Q1762" i="8"/>
  <c r="P1762" i="8"/>
  <c r="Q1698" i="8"/>
  <c r="P1698" i="8"/>
  <c r="Q1630" i="8"/>
  <c r="P1630" i="8"/>
  <c r="Q1566" i="8"/>
  <c r="P1566" i="8"/>
  <c r="P1498" i="8"/>
  <c r="Q1498" i="8"/>
  <c r="P1434" i="8"/>
  <c r="Q1434" i="8"/>
  <c r="P1370" i="8"/>
  <c r="Q1370" i="8"/>
  <c r="P1306" i="8"/>
  <c r="Q1306" i="8"/>
  <c r="Q1234" i="8"/>
  <c r="P1234" i="8"/>
  <c r="Q1170" i="8"/>
  <c r="P1170" i="8"/>
  <c r="Q73" i="8"/>
  <c r="P73" i="8"/>
  <c r="Q125" i="8"/>
  <c r="P125" i="8"/>
  <c r="Q157" i="8"/>
  <c r="P157" i="8"/>
  <c r="Q189" i="8"/>
  <c r="P189" i="8"/>
  <c r="Q221" i="8"/>
  <c r="P221" i="8"/>
  <c r="P289" i="8"/>
  <c r="Q289" i="8"/>
  <c r="P321" i="8"/>
  <c r="Q321" i="8"/>
  <c r="P353" i="8"/>
  <c r="Q353" i="8"/>
  <c r="P405" i="8"/>
  <c r="Q405" i="8"/>
  <c r="P563" i="8"/>
  <c r="Q563" i="8"/>
  <c r="P627" i="8"/>
  <c r="Q627" i="8"/>
  <c r="Q681" i="8"/>
  <c r="P681" i="8"/>
  <c r="Q775" i="8"/>
  <c r="P775" i="8"/>
  <c r="Q840" i="8"/>
  <c r="P840" i="8"/>
  <c r="Q905" i="8"/>
  <c r="P905" i="8"/>
  <c r="Q970" i="8"/>
  <c r="P970" i="8"/>
  <c r="Q1039" i="8"/>
  <c r="P1039" i="8"/>
  <c r="Q1101" i="8"/>
  <c r="P1101" i="8"/>
  <c r="Q4047" i="8"/>
  <c r="P4047" i="8"/>
  <c r="Q3983" i="8"/>
  <c r="P3983" i="8"/>
  <c r="Q3911" i="8"/>
  <c r="P3911" i="8"/>
  <c r="Q3847" i="8"/>
  <c r="P3847" i="8"/>
  <c r="Q3783" i="8"/>
  <c r="P3783" i="8"/>
  <c r="P3707" i="8"/>
  <c r="Q3707" i="8"/>
  <c r="P3643" i="8"/>
  <c r="Q3643" i="8"/>
  <c r="P3579" i="8"/>
  <c r="Q3579" i="8"/>
  <c r="Q3515" i="8"/>
  <c r="P3515" i="8"/>
  <c r="Q3443" i="8"/>
  <c r="P3443" i="8"/>
  <c r="Q3379" i="8"/>
  <c r="P3379" i="8"/>
  <c r="Q3303" i="8"/>
  <c r="P3303" i="8"/>
  <c r="Q3239" i="8"/>
  <c r="P3239" i="8"/>
  <c r="P2927" i="8"/>
  <c r="Q2927" i="8"/>
  <c r="P2855" i="8"/>
  <c r="Q2855" i="8"/>
  <c r="P2791" i="8"/>
  <c r="Q2791" i="8"/>
  <c r="P2683" i="8"/>
  <c r="Q2683" i="8"/>
  <c r="Q2619" i="8"/>
  <c r="P2619" i="8"/>
  <c r="Q2555" i="8"/>
  <c r="P2555" i="8"/>
  <c r="Q2491" i="8"/>
  <c r="P2491" i="8"/>
  <c r="P2423" i="8"/>
  <c r="Q2423" i="8"/>
  <c r="P2359" i="8"/>
  <c r="Q2359" i="8"/>
  <c r="P2295" i="8"/>
  <c r="Q2295" i="8"/>
  <c r="P2231" i="8"/>
  <c r="Q2231" i="8"/>
  <c r="P2167" i="8"/>
  <c r="Q2167" i="8"/>
  <c r="P2103" i="8"/>
  <c r="Q2103" i="8"/>
  <c r="P2039" i="8"/>
  <c r="Q2039" i="8"/>
  <c r="P1975" i="8"/>
  <c r="Q1975" i="8"/>
  <c r="P1911" i="8"/>
  <c r="Q1911" i="8"/>
  <c r="Q3144" i="8"/>
  <c r="P3144" i="8"/>
  <c r="Q3080" i="8"/>
  <c r="P3080" i="8"/>
  <c r="Q3004" i="8"/>
  <c r="P3004" i="8"/>
  <c r="Q1859" i="8"/>
  <c r="P1859" i="8"/>
  <c r="Q1795" i="8"/>
  <c r="P1795" i="8"/>
  <c r="Q1731" i="8"/>
  <c r="P1731" i="8"/>
  <c r="Q1663" i="8"/>
  <c r="P1663" i="8"/>
  <c r="Q1599" i="8"/>
  <c r="P1599" i="8"/>
  <c r="Q1535" i="8"/>
  <c r="P1535" i="8"/>
  <c r="Q1459" i="8"/>
  <c r="P1459" i="8"/>
  <c r="Q1395" i="8"/>
  <c r="P1395" i="8"/>
  <c r="Q1331" i="8"/>
  <c r="P1331" i="8"/>
  <c r="P1267" i="8"/>
  <c r="Q1267" i="8"/>
  <c r="P1203" i="8"/>
  <c r="Q1203" i="8"/>
  <c r="P1131" i="8"/>
  <c r="Q1131" i="8"/>
  <c r="Q50" i="8"/>
  <c r="P50" i="8"/>
  <c r="Q124" i="8"/>
  <c r="P124" i="8"/>
  <c r="Q188" i="8"/>
  <c r="P188" i="8"/>
  <c r="Q252" i="8"/>
  <c r="P252" i="8"/>
  <c r="Q322" i="8"/>
  <c r="P322" i="8"/>
  <c r="Q386" i="8"/>
  <c r="P386" i="8"/>
  <c r="Q450" i="8"/>
  <c r="P450" i="8"/>
  <c r="Q514" i="8"/>
  <c r="P514" i="8"/>
  <c r="Q568" i="8"/>
  <c r="P568" i="8"/>
  <c r="Q600" i="8"/>
  <c r="P600" i="8"/>
  <c r="Q632" i="8"/>
  <c r="P632" i="8"/>
  <c r="Q682" i="8"/>
  <c r="P682" i="8"/>
  <c r="Q754" i="8"/>
  <c r="P754" i="8"/>
  <c r="Q819" i="8"/>
  <c r="P819" i="8"/>
  <c r="Q895" i="8"/>
  <c r="P895" i="8"/>
  <c r="Q960" i="8"/>
  <c r="P960" i="8"/>
  <c r="Q1053" i="8"/>
  <c r="P1053" i="8"/>
  <c r="Q1115" i="8"/>
  <c r="P1115" i="8"/>
  <c r="Q4036" i="8"/>
  <c r="P4036" i="8"/>
  <c r="Q3972" i="8"/>
  <c r="P3972" i="8"/>
  <c r="Q3904" i="8"/>
  <c r="P3904" i="8"/>
  <c r="Q3840" i="8"/>
  <c r="P3840" i="8"/>
  <c r="Q3764" i="8"/>
  <c r="P3764" i="8"/>
  <c r="P3700" i="8"/>
  <c r="Q3700" i="8"/>
  <c r="P3628" i="8"/>
  <c r="Q3628" i="8"/>
  <c r="P3564" i="8"/>
  <c r="Q3564" i="8"/>
  <c r="P3500" i="8"/>
  <c r="Q3500" i="8"/>
  <c r="P3428" i="8"/>
  <c r="Q3428" i="8"/>
  <c r="Q3364" i="8"/>
  <c r="P3364" i="8"/>
  <c r="P3288" i="8"/>
  <c r="Q3288" i="8"/>
  <c r="P3224" i="8"/>
  <c r="Q3224" i="8"/>
  <c r="P2940" i="8"/>
  <c r="Q2940" i="8"/>
  <c r="P2872" i="8"/>
  <c r="Q2872" i="8"/>
  <c r="P2808" i="8"/>
  <c r="Q2808" i="8"/>
  <c r="P2704" i="8"/>
  <c r="Q2704" i="8"/>
  <c r="P2640" i="8"/>
  <c r="Q2640" i="8"/>
  <c r="P2576" i="8"/>
  <c r="Q2576" i="8"/>
  <c r="P2512" i="8"/>
  <c r="Q2512" i="8"/>
  <c r="P2436" i="8"/>
  <c r="Q2436" i="8"/>
  <c r="P2372" i="8"/>
  <c r="Q2372" i="8"/>
  <c r="P2308" i="8"/>
  <c r="Q2308" i="8"/>
  <c r="P2244" i="8"/>
  <c r="Q2244" i="8"/>
  <c r="P2180" i="8"/>
  <c r="Q2180" i="8"/>
  <c r="P2116" i="8"/>
  <c r="Q2116" i="8"/>
  <c r="P2052" i="8"/>
  <c r="Q2052" i="8"/>
  <c r="P1988" i="8"/>
  <c r="Q1988" i="8"/>
  <c r="P1924" i="8"/>
  <c r="Q1924" i="8"/>
  <c r="Q3157" i="8"/>
  <c r="P3157" i="8"/>
  <c r="Q3093" i="8"/>
  <c r="P3093" i="8"/>
  <c r="Q3029" i="8"/>
  <c r="P3029" i="8"/>
  <c r="Q2957" i="8"/>
  <c r="P2957" i="8"/>
  <c r="Q1812" i="8"/>
  <c r="P1812" i="8"/>
  <c r="Q1748" i="8"/>
  <c r="P1748" i="8"/>
  <c r="Q1684" i="8"/>
  <c r="P1684" i="8"/>
  <c r="Q1616" i="8"/>
  <c r="P1616" i="8"/>
  <c r="Q1552" i="8"/>
  <c r="P1552" i="8"/>
  <c r="P1476" i="8"/>
  <c r="Q1476" i="8"/>
  <c r="P1412" i="8"/>
  <c r="Q1412" i="8"/>
  <c r="P1348" i="8"/>
  <c r="Q1348" i="8"/>
  <c r="Q1284" i="8"/>
  <c r="P1284" i="8"/>
  <c r="Q1220" i="8"/>
  <c r="P1220" i="8"/>
  <c r="Q1144" i="8"/>
  <c r="P1144" i="8"/>
  <c r="P21" i="8"/>
  <c r="Q21" i="8"/>
  <c r="P63" i="8"/>
  <c r="Q63" i="8"/>
  <c r="Q237" i="8"/>
  <c r="P237" i="8"/>
  <c r="P385" i="8"/>
  <c r="Q385" i="8"/>
  <c r="Q431" i="8"/>
  <c r="P431" i="8"/>
  <c r="Q463" i="8"/>
  <c r="P463" i="8"/>
  <c r="P495" i="8"/>
  <c r="Q495" i="8"/>
  <c r="P527" i="8"/>
  <c r="Q527" i="8"/>
  <c r="P613" i="8"/>
  <c r="Q613" i="8"/>
  <c r="P699" i="8"/>
  <c r="Q699" i="8"/>
  <c r="P731" i="8"/>
  <c r="Q731" i="8"/>
  <c r="Q785" i="8"/>
  <c r="P785" i="8"/>
  <c r="Q850" i="8"/>
  <c r="P850" i="8"/>
  <c r="Q912" i="8"/>
  <c r="P912" i="8"/>
  <c r="Q978" i="8"/>
  <c r="P978" i="8"/>
  <c r="Q1046" i="8"/>
  <c r="P1046" i="8"/>
  <c r="Q1108" i="8"/>
  <c r="P1108" i="8"/>
  <c r="Q4041" i="8"/>
  <c r="P4041" i="8"/>
  <c r="Q3977" i="8"/>
  <c r="P3977" i="8"/>
  <c r="Q3913" i="8"/>
  <c r="P3913" i="8"/>
  <c r="Q3849" i="8"/>
  <c r="P3849" i="8"/>
  <c r="Q3785" i="8"/>
  <c r="P3785" i="8"/>
  <c r="P3709" i="8"/>
  <c r="Q3709" i="8"/>
  <c r="P3637" i="8"/>
  <c r="Q3637" i="8"/>
  <c r="P3573" i="8"/>
  <c r="Q3573" i="8"/>
  <c r="Q3509" i="8"/>
  <c r="P3509" i="8"/>
  <c r="Q3437" i="8"/>
  <c r="P3437" i="8"/>
  <c r="Q3373" i="8"/>
  <c r="P3373" i="8"/>
  <c r="Q3305" i="8"/>
  <c r="P3305" i="8"/>
  <c r="Q3241" i="8"/>
  <c r="P3241" i="8"/>
  <c r="Q3177" i="8"/>
  <c r="P3177" i="8"/>
  <c r="P2889" i="8"/>
  <c r="Q2889" i="8"/>
  <c r="P2825" i="8"/>
  <c r="Q2825" i="8"/>
  <c r="P2761" i="8"/>
  <c r="Q2761" i="8"/>
  <c r="P2689" i="8"/>
  <c r="Q2689" i="8"/>
  <c r="Q2625" i="8"/>
  <c r="P2625" i="8"/>
  <c r="Q2561" i="8"/>
  <c r="P2561" i="8"/>
  <c r="Q2497" i="8"/>
  <c r="P2497" i="8"/>
  <c r="P2421" i="8"/>
  <c r="Q2421" i="8"/>
  <c r="P2357" i="8"/>
  <c r="Q2357" i="8"/>
  <c r="P2285" i="8"/>
  <c r="Q2285" i="8"/>
  <c r="P2221" i="8"/>
  <c r="Q2221" i="8"/>
  <c r="P2157" i="8"/>
  <c r="Q2157" i="8"/>
  <c r="P2093" i="8"/>
  <c r="Q2093" i="8"/>
  <c r="P2029" i="8"/>
  <c r="Q2029" i="8"/>
  <c r="P1965" i="8"/>
  <c r="Q1965" i="8"/>
  <c r="P1901" i="8"/>
  <c r="Q1901" i="8"/>
  <c r="Q3134" i="8"/>
  <c r="P3134" i="8"/>
  <c r="Q3070" i="8"/>
  <c r="P3070" i="8"/>
  <c r="Q2998" i="8"/>
  <c r="P2998" i="8"/>
  <c r="Q1853" i="8"/>
  <c r="P1853" i="8"/>
  <c r="Q1789" i="8"/>
  <c r="P1789" i="8"/>
  <c r="Q1725" i="8"/>
  <c r="P1725" i="8"/>
  <c r="Q1649" i="8"/>
  <c r="P1649" i="8"/>
  <c r="Q1585" i="8"/>
  <c r="P1585" i="8"/>
  <c r="P1521" i="8"/>
  <c r="Q1521" i="8"/>
  <c r="Q1445" i="8"/>
  <c r="P1445" i="8"/>
  <c r="Q1381" i="8"/>
  <c r="P1381" i="8"/>
  <c r="Q1317" i="8"/>
  <c r="P1317" i="8"/>
  <c r="P1253" i="8"/>
  <c r="Q1253" i="8"/>
  <c r="P1189" i="8"/>
  <c r="Q1189" i="8"/>
  <c r="Q8" i="8"/>
  <c r="P8" i="8"/>
  <c r="Q72" i="8"/>
  <c r="P72" i="8"/>
  <c r="Q150" i="8"/>
  <c r="P150" i="8"/>
  <c r="Q214" i="8"/>
  <c r="P214" i="8"/>
  <c r="Q280" i="8"/>
  <c r="P280" i="8"/>
  <c r="Q344" i="8"/>
  <c r="P344" i="8"/>
  <c r="Q408" i="8"/>
  <c r="P408" i="8"/>
  <c r="Q472" i="8"/>
  <c r="P472" i="8"/>
  <c r="Q536" i="8"/>
  <c r="P536" i="8"/>
  <c r="Q688" i="8"/>
  <c r="P688" i="8"/>
  <c r="Q746" i="8"/>
  <c r="P746" i="8"/>
  <c r="Q807" i="8"/>
  <c r="P807" i="8"/>
  <c r="Q877" i="8"/>
  <c r="P877" i="8"/>
  <c r="Q937" i="8"/>
  <c r="P937" i="8"/>
  <c r="Q1002" i="8"/>
  <c r="P1002" i="8"/>
  <c r="Q1079" i="8"/>
  <c r="P1079" i="8"/>
  <c r="P4070" i="8"/>
  <c r="Q4070" i="8"/>
  <c r="Q4006" i="8"/>
  <c r="P4006" i="8"/>
  <c r="Q3942" i="8"/>
  <c r="P3942" i="8"/>
  <c r="Q3870" i="8"/>
  <c r="P3870" i="8"/>
  <c r="Q3806" i="8"/>
  <c r="P3806" i="8"/>
  <c r="P3730" i="8"/>
  <c r="Q3730" i="8"/>
  <c r="P3666" i="8"/>
  <c r="Q3666" i="8"/>
  <c r="P3602" i="8"/>
  <c r="Q3602" i="8"/>
  <c r="P3538" i="8"/>
  <c r="Q3538" i="8"/>
  <c r="P3470" i="8"/>
  <c r="Q3470" i="8"/>
  <c r="Q3406" i="8"/>
  <c r="P3406" i="8"/>
  <c r="Q3342" i="8"/>
  <c r="P3342" i="8"/>
  <c r="P3274" i="8"/>
  <c r="Q3274" i="8"/>
  <c r="P3210" i="8"/>
  <c r="Q3210" i="8"/>
  <c r="P2922" i="8"/>
  <c r="Q2922" i="8"/>
  <c r="P2858" i="8"/>
  <c r="Q2858" i="8"/>
  <c r="P2794" i="8"/>
  <c r="Q2794" i="8"/>
  <c r="P2722" i="8"/>
  <c r="Q2722" i="8"/>
  <c r="P2658" i="8"/>
  <c r="Q2658" i="8"/>
  <c r="P2594" i="8"/>
  <c r="Q2594" i="8"/>
  <c r="P2530" i="8"/>
  <c r="Q2530" i="8"/>
  <c r="P2462" i="8"/>
  <c r="Q2462" i="8"/>
  <c r="P2398" i="8"/>
  <c r="Q2398" i="8"/>
  <c r="P2334" i="8"/>
  <c r="Q2334" i="8"/>
  <c r="P2262" i="8"/>
  <c r="Q2262" i="8"/>
  <c r="P2198" i="8"/>
  <c r="Q2198" i="8"/>
  <c r="P2134" i="8"/>
  <c r="Q2134" i="8"/>
  <c r="P2070" i="8"/>
  <c r="Q2070" i="8"/>
  <c r="P2006" i="8"/>
  <c r="Q2006" i="8"/>
  <c r="P1942" i="8"/>
  <c r="Q1942" i="8"/>
  <c r="Q1878" i="8"/>
  <c r="P1878" i="8"/>
  <c r="Q3111" i="8"/>
  <c r="P3111" i="8"/>
  <c r="Q3047" i="8"/>
  <c r="P3047" i="8"/>
  <c r="Q2975" i="8"/>
  <c r="P2975" i="8"/>
  <c r="Q1830" i="8"/>
  <c r="P1830" i="8"/>
  <c r="Q1766" i="8"/>
  <c r="P1766" i="8"/>
  <c r="Q1702" i="8"/>
  <c r="P1702" i="8"/>
  <c r="Q1626" i="8"/>
  <c r="P1626" i="8"/>
  <c r="Q1562" i="8"/>
  <c r="P1562" i="8"/>
  <c r="P1486" i="8"/>
  <c r="Q1486" i="8"/>
  <c r="P1422" i="8"/>
  <c r="Q1422" i="8"/>
  <c r="P1358" i="8"/>
  <c r="Q1358" i="8"/>
  <c r="Q1262" i="8"/>
  <c r="P1262" i="8"/>
  <c r="Q1198" i="8"/>
  <c r="P1198" i="8"/>
  <c r="P55" i="8"/>
  <c r="Q55" i="8"/>
  <c r="Q139" i="8"/>
  <c r="P139" i="8"/>
  <c r="Q171" i="8"/>
  <c r="P171" i="8"/>
  <c r="Q203" i="8"/>
  <c r="P203" i="8"/>
  <c r="P271" i="8"/>
  <c r="Q271" i="8"/>
  <c r="P303" i="8"/>
  <c r="Q303" i="8"/>
  <c r="P335" i="8"/>
  <c r="Q335" i="8"/>
  <c r="P367" i="8"/>
  <c r="Q367" i="8"/>
  <c r="P543" i="8"/>
  <c r="Q543" i="8"/>
  <c r="P591" i="8"/>
  <c r="Q591" i="8"/>
  <c r="P655" i="8"/>
  <c r="Q655" i="8"/>
  <c r="Q695" i="8"/>
  <c r="P695" i="8"/>
  <c r="Q805" i="8"/>
  <c r="P805" i="8"/>
  <c r="Q889" i="8"/>
  <c r="P889" i="8"/>
  <c r="Q954" i="8"/>
  <c r="P954" i="8"/>
  <c r="Q1028" i="8"/>
  <c r="P1028" i="8"/>
  <c r="Q1088" i="8"/>
  <c r="P1088" i="8"/>
  <c r="P4059" i="8"/>
  <c r="Q4059" i="8"/>
  <c r="Q3995" i="8"/>
  <c r="P3995" i="8"/>
  <c r="Q3899" i="8"/>
  <c r="P3899" i="8"/>
  <c r="Q3835" i="8"/>
  <c r="P3835" i="8"/>
  <c r="P3767" i="8"/>
  <c r="Q3767" i="8"/>
  <c r="P3703" i="8"/>
  <c r="Q3703" i="8"/>
  <c r="P3639" i="8"/>
  <c r="Q3639" i="8"/>
  <c r="P3575" i="8"/>
  <c r="Q3575" i="8"/>
  <c r="Q3511" i="8"/>
  <c r="P3511" i="8"/>
  <c r="Q3415" i="8"/>
  <c r="P3415" i="8"/>
  <c r="Q3351" i="8"/>
  <c r="P3351" i="8"/>
  <c r="Q3283" i="8"/>
  <c r="P3283" i="8"/>
  <c r="Q3219" i="8"/>
  <c r="P3219" i="8"/>
  <c r="P2931" i="8"/>
  <c r="Q2931" i="8"/>
  <c r="P2867" i="8"/>
  <c r="Q2867" i="8"/>
  <c r="P2803" i="8"/>
  <c r="Q2803" i="8"/>
  <c r="P2727" i="8"/>
  <c r="Q2727" i="8"/>
  <c r="P2663" i="8"/>
  <c r="Q2663" i="8"/>
  <c r="Q2599" i="8"/>
  <c r="P2599" i="8"/>
  <c r="Q2535" i="8"/>
  <c r="P2535" i="8"/>
  <c r="P2459" i="8"/>
  <c r="Q2459" i="8"/>
  <c r="P2395" i="8"/>
  <c r="Q2395" i="8"/>
  <c r="P2331" i="8"/>
  <c r="Q2331" i="8"/>
  <c r="P2267" i="8"/>
  <c r="Q2267" i="8"/>
  <c r="P2203" i="8"/>
  <c r="Q2203" i="8"/>
  <c r="P2139" i="8"/>
  <c r="Q2139" i="8"/>
  <c r="P2075" i="8"/>
  <c r="Q2075" i="8"/>
  <c r="Q30" i="8"/>
  <c r="P30" i="8"/>
  <c r="Q92" i="8"/>
  <c r="P92" i="8"/>
  <c r="Q160" i="8"/>
  <c r="P160" i="8"/>
  <c r="Q224" i="8"/>
  <c r="P224" i="8"/>
  <c r="Q286" i="8"/>
  <c r="P286" i="8"/>
  <c r="Q350" i="8"/>
  <c r="P350" i="8"/>
  <c r="Q414" i="8"/>
  <c r="P414" i="8"/>
  <c r="Q478" i="8"/>
  <c r="P478" i="8"/>
  <c r="Q542" i="8"/>
  <c r="P542" i="8"/>
  <c r="Q582" i="8"/>
  <c r="P582" i="8"/>
  <c r="Q614" i="8"/>
  <c r="P614" i="8"/>
  <c r="Q658" i="8"/>
  <c r="P658" i="8"/>
  <c r="Q708" i="8"/>
  <c r="P708" i="8"/>
  <c r="Q782" i="8"/>
  <c r="P782" i="8"/>
  <c r="Q847" i="8"/>
  <c r="P847" i="8"/>
  <c r="Q922" i="8"/>
  <c r="P922" i="8"/>
  <c r="Q983" i="8"/>
  <c r="P983" i="8"/>
  <c r="Q1056" i="8"/>
  <c r="P1056" i="8"/>
  <c r="Q1118" i="8"/>
  <c r="P1118" i="8"/>
  <c r="Q4032" i="8"/>
  <c r="P4032" i="8"/>
  <c r="Q3968" i="8"/>
  <c r="P3968" i="8"/>
  <c r="Q3892" i="8"/>
  <c r="P3892" i="8"/>
  <c r="Q3828" i="8"/>
  <c r="P3828" i="8"/>
  <c r="Q3760" i="8"/>
  <c r="P3760" i="8"/>
  <c r="P3696" i="8"/>
  <c r="Q3696" i="8"/>
  <c r="P3632" i="8"/>
  <c r="Q3632" i="8"/>
  <c r="P3568" i="8"/>
  <c r="Q3568" i="8"/>
  <c r="P3504" i="8"/>
  <c r="K71" i="5" s="1"/>
  <c r="Q3504" i="8"/>
  <c r="L71" i="5" s="1"/>
  <c r="P3440" i="8"/>
  <c r="Q3440" i="8"/>
  <c r="Q3376" i="8"/>
  <c r="P3376" i="8"/>
  <c r="P3308" i="8"/>
  <c r="Q3308" i="8"/>
  <c r="P3244" i="8"/>
  <c r="Q3244" i="8"/>
  <c r="P3180" i="8"/>
  <c r="Q3180" i="8"/>
  <c r="P2884" i="8"/>
  <c r="Q2884" i="8"/>
  <c r="P2820" i="8"/>
  <c r="Q2820" i="8"/>
  <c r="P2756" i="8"/>
  <c r="Q2756" i="8"/>
  <c r="P2692" i="8"/>
  <c r="Q2692" i="8"/>
  <c r="P2628" i="8"/>
  <c r="Q2628" i="8"/>
  <c r="P2564" i="8"/>
  <c r="Q2564" i="8"/>
  <c r="P2500" i="8"/>
  <c r="Q2500" i="8"/>
  <c r="P2432" i="8"/>
  <c r="Q2432" i="8"/>
  <c r="P2368" i="8"/>
  <c r="Q2368" i="8"/>
  <c r="P2304" i="8"/>
  <c r="Q2304" i="8"/>
  <c r="P2240" i="8"/>
  <c r="Q2240" i="8"/>
  <c r="P2176" i="8"/>
  <c r="Q2176" i="8"/>
  <c r="P2112" i="8"/>
  <c r="Q2112" i="8"/>
  <c r="P2048" i="8"/>
  <c r="Q2048" i="8"/>
  <c r="P1984" i="8"/>
  <c r="Q1984" i="8"/>
  <c r="P1920" i="8"/>
  <c r="Q1920" i="8"/>
  <c r="Q3153" i="8"/>
  <c r="P3153" i="8"/>
  <c r="Q3089" i="8"/>
  <c r="P3089" i="8"/>
  <c r="Q3025" i="8"/>
  <c r="P3025" i="8"/>
  <c r="Q2961" i="8"/>
  <c r="P2961" i="8"/>
  <c r="Q1816" i="8"/>
  <c r="P1816" i="8"/>
  <c r="Q1752" i="8"/>
  <c r="P1752" i="8"/>
  <c r="Q1688" i="8"/>
  <c r="P1688" i="8"/>
  <c r="Q1612" i="8"/>
  <c r="P1612" i="8"/>
  <c r="Q1548" i="8"/>
  <c r="P1548" i="8"/>
  <c r="P1448" i="8"/>
  <c r="Q1448" i="8"/>
  <c r="P1384" i="8"/>
  <c r="Q1384" i="8"/>
  <c r="P1320" i="8"/>
  <c r="Q1320" i="8"/>
  <c r="Q1256" i="8"/>
  <c r="P1256" i="8"/>
  <c r="Q1192" i="8"/>
  <c r="P1192" i="8"/>
  <c r="Q1124" i="8"/>
  <c r="P1124" i="8"/>
  <c r="P31" i="8"/>
  <c r="Q31" i="8"/>
  <c r="P85" i="8"/>
  <c r="Q85" i="8"/>
  <c r="Q247" i="8"/>
  <c r="P247" i="8"/>
  <c r="Q409" i="8"/>
  <c r="P409" i="8"/>
  <c r="Q441" i="8"/>
  <c r="P441" i="8"/>
  <c r="Q473" i="8"/>
  <c r="P473" i="8"/>
  <c r="P505" i="8"/>
  <c r="Q505" i="8"/>
  <c r="P569" i="8"/>
  <c r="Q569" i="8"/>
  <c r="P633" i="8"/>
  <c r="Q633" i="8"/>
  <c r="P709" i="8"/>
  <c r="Q709" i="8"/>
  <c r="P747" i="8"/>
  <c r="Q747" i="8"/>
  <c r="Q804" i="8"/>
  <c r="P804" i="8"/>
  <c r="Q871" i="8"/>
  <c r="P871" i="8"/>
  <c r="Q936" i="8"/>
  <c r="P936" i="8"/>
  <c r="Q997" i="8"/>
  <c r="P997" i="8"/>
  <c r="Q1065" i="8"/>
  <c r="P1065" i="8"/>
  <c r="P4085" i="8"/>
  <c r="Q4085" i="8"/>
  <c r="Q4021" i="8"/>
  <c r="P4021" i="8"/>
  <c r="Q3957" i="8"/>
  <c r="P3957" i="8"/>
  <c r="Q3885" i="8"/>
  <c r="P3885" i="8"/>
  <c r="Q3821" i="8"/>
  <c r="P3821" i="8"/>
  <c r="Q3753" i="8"/>
  <c r="P3753" i="8"/>
  <c r="P3689" i="8"/>
  <c r="Q3689" i="8"/>
  <c r="P3625" i="8"/>
  <c r="Q3625" i="8"/>
  <c r="P3561" i="8"/>
  <c r="Q3561" i="8"/>
  <c r="Q3497" i="8"/>
  <c r="P3497" i="8"/>
  <c r="Q3433" i="8"/>
  <c r="P3433" i="8"/>
  <c r="Q3369" i="8"/>
  <c r="P3369" i="8"/>
  <c r="Q3301" i="8"/>
  <c r="P3301" i="8"/>
  <c r="Q3237" i="8"/>
  <c r="P3237" i="8"/>
  <c r="P2925" i="8"/>
  <c r="Q2925" i="8"/>
  <c r="P2853" i="8"/>
  <c r="Q2853" i="8"/>
  <c r="P2789" i="8"/>
  <c r="Q2789" i="8"/>
  <c r="P2725" i="8"/>
  <c r="Q2725" i="8"/>
  <c r="P2661" i="8"/>
  <c r="Q2661" i="8"/>
  <c r="Q2597" i="8"/>
  <c r="P2597" i="8"/>
  <c r="Q2533" i="8"/>
  <c r="P2533" i="8"/>
  <c r="P2465" i="8"/>
  <c r="Q2465" i="8"/>
  <c r="P2401" i="8"/>
  <c r="Q2401" i="8"/>
  <c r="P2337" i="8"/>
  <c r="Q2337" i="8"/>
  <c r="P2273" i="8"/>
  <c r="Q2273" i="8"/>
  <c r="P2209" i="8"/>
  <c r="Q2209" i="8"/>
  <c r="P2145" i="8"/>
  <c r="Q2145" i="8"/>
  <c r="P2081" i="8"/>
  <c r="Q2081" i="8"/>
  <c r="P2017" i="8"/>
  <c r="Q2017" i="8"/>
  <c r="P1953" i="8"/>
  <c r="Q1953" i="8"/>
  <c r="P1889" i="8"/>
  <c r="Q1889" i="8"/>
  <c r="Q3122" i="8"/>
  <c r="P3122" i="8"/>
  <c r="Q3058" i="8"/>
  <c r="P3058" i="8"/>
  <c r="Q2994" i="8"/>
  <c r="P2994" i="8"/>
  <c r="Q1849" i="8"/>
  <c r="P1849" i="8"/>
  <c r="Q1785" i="8"/>
  <c r="P1785" i="8"/>
  <c r="Q1721" i="8"/>
  <c r="P1721" i="8"/>
  <c r="Q1653" i="8"/>
  <c r="P1653" i="8"/>
  <c r="Q1589" i="8"/>
  <c r="P1589" i="8"/>
  <c r="Q1525" i="8"/>
  <c r="P1525" i="8"/>
  <c r="Q1457" i="8"/>
  <c r="P1457" i="8"/>
  <c r="Q1393" i="8"/>
  <c r="P1393" i="8"/>
  <c r="Q1329" i="8"/>
  <c r="P1329" i="8"/>
  <c r="P1257" i="8"/>
  <c r="Q1257" i="8"/>
  <c r="P1193" i="8"/>
  <c r="Q1193" i="8"/>
  <c r="P1125" i="8"/>
  <c r="Q1125" i="8"/>
  <c r="Q60" i="8"/>
  <c r="P60" i="8"/>
  <c r="Q130" i="8"/>
  <c r="P130" i="8"/>
  <c r="Q194" i="8"/>
  <c r="P194" i="8"/>
  <c r="Q268" i="8"/>
  <c r="P268" i="8"/>
  <c r="Q332" i="8"/>
  <c r="P332" i="8"/>
  <c r="Q398" i="8"/>
  <c r="P398" i="8"/>
  <c r="Q460" i="8"/>
  <c r="P460" i="8"/>
  <c r="Q524" i="8"/>
  <c r="P524" i="8"/>
  <c r="Q676" i="8"/>
  <c r="P676" i="8"/>
  <c r="Q738" i="8"/>
  <c r="P738" i="8"/>
  <c r="Q794" i="8"/>
  <c r="P794" i="8"/>
  <c r="Q859" i="8"/>
  <c r="P859" i="8"/>
  <c r="Q918" i="8"/>
  <c r="P918" i="8"/>
  <c r="Q981" i="8"/>
  <c r="P981" i="8"/>
  <c r="Q1049" i="8"/>
  <c r="P1049" i="8"/>
  <c r="Q1119" i="8"/>
  <c r="P1119" i="8"/>
  <c r="Q4034" i="8"/>
  <c r="P4034" i="8"/>
  <c r="Q3970" i="8"/>
  <c r="P3970" i="8"/>
  <c r="Q3906" i="8"/>
  <c r="P3906" i="8"/>
  <c r="Q3842" i="8"/>
  <c r="P3842" i="8"/>
  <c r="P3742" i="8"/>
  <c r="Q3742" i="8"/>
  <c r="P3678" i="8"/>
  <c r="Q3678" i="8"/>
  <c r="P3582" i="8"/>
  <c r="Q3582" i="8"/>
  <c r="P3518" i="8"/>
  <c r="Q3518" i="8"/>
  <c r="P3442" i="8"/>
  <c r="Q3442" i="8"/>
  <c r="Q3378" i="8"/>
  <c r="P3378" i="8"/>
  <c r="P3302" i="8"/>
  <c r="Q3302" i="8"/>
  <c r="P3238" i="8"/>
  <c r="Q3238" i="8"/>
  <c r="P2926" i="8"/>
  <c r="Q2926" i="8"/>
  <c r="P2854" i="8"/>
  <c r="Q2854" i="8"/>
  <c r="P2790" i="8"/>
  <c r="Q2790" i="8"/>
  <c r="P2686" i="8"/>
  <c r="Q2686" i="8"/>
  <c r="P2622" i="8"/>
  <c r="Q2622" i="8"/>
  <c r="P2558" i="8"/>
  <c r="Q2558" i="8"/>
  <c r="P2494" i="8"/>
  <c r="Q2494" i="8"/>
  <c r="P2418" i="8"/>
  <c r="Q2418" i="8"/>
  <c r="P2354" i="8"/>
  <c r="Q2354" i="8"/>
  <c r="P2258" i="8"/>
  <c r="Q2258" i="8"/>
  <c r="P2194" i="8"/>
  <c r="Q2194" i="8"/>
  <c r="P2130" i="8"/>
  <c r="Q2130" i="8"/>
  <c r="P2066" i="8"/>
  <c r="Q2066" i="8"/>
  <c r="P2002" i="8"/>
  <c r="Q2002" i="8"/>
  <c r="P1938" i="8"/>
  <c r="Q1938" i="8"/>
  <c r="Q1874" i="8"/>
  <c r="P1874" i="8"/>
  <c r="Q3107" i="8"/>
  <c r="P3107" i="8"/>
  <c r="Q3043" i="8"/>
  <c r="P3043" i="8"/>
  <c r="Q2979" i="8"/>
  <c r="P2979" i="8"/>
  <c r="Q1834" i="8"/>
  <c r="P1834" i="8"/>
  <c r="Q1770" i="8"/>
  <c r="P1770" i="8"/>
  <c r="Q1706" i="8"/>
  <c r="P1706" i="8"/>
  <c r="Q1606" i="8"/>
  <c r="P1606" i="8"/>
  <c r="Q1542" i="8"/>
  <c r="P1542" i="8"/>
  <c r="P1474" i="8"/>
  <c r="Q1474" i="8"/>
  <c r="P1410" i="8"/>
  <c r="Q1410" i="8"/>
  <c r="P1346" i="8"/>
  <c r="Q1346" i="8"/>
  <c r="Q1274" i="8"/>
  <c r="P1274" i="8"/>
  <c r="Q1210" i="8"/>
  <c r="P1210" i="8"/>
  <c r="Q1138" i="8"/>
  <c r="P1138" i="8"/>
  <c r="Q121" i="8"/>
  <c r="P121" i="8"/>
  <c r="Q153" i="8"/>
  <c r="P153" i="8"/>
  <c r="Q185" i="8"/>
  <c r="P185" i="8"/>
  <c r="Q217" i="8"/>
  <c r="P217" i="8"/>
  <c r="P285" i="8"/>
  <c r="Q285" i="8"/>
  <c r="P317" i="8"/>
  <c r="Q317" i="8"/>
  <c r="P349" i="8"/>
  <c r="Q349" i="8"/>
  <c r="P401" i="8"/>
  <c r="Q401" i="8"/>
  <c r="P557" i="8"/>
  <c r="Q557" i="8"/>
  <c r="P619" i="8"/>
  <c r="Q619" i="8"/>
  <c r="Q677" i="8"/>
  <c r="P677" i="8"/>
  <c r="P759" i="8"/>
  <c r="Q759" i="8"/>
  <c r="Q832" i="8"/>
  <c r="P832" i="8"/>
  <c r="Q927" i="8"/>
  <c r="P927" i="8"/>
  <c r="Q995" i="8"/>
  <c r="P995" i="8"/>
  <c r="Q1063" i="8"/>
  <c r="P1063" i="8"/>
  <c r="P4087" i="8"/>
  <c r="Q4087" i="8"/>
  <c r="Q4023" i="8"/>
  <c r="P4023" i="8"/>
  <c r="Q3959" i="8"/>
  <c r="P3959" i="8"/>
  <c r="Q3887" i="8"/>
  <c r="P3887" i="8"/>
  <c r="Q3823" i="8"/>
  <c r="P3823" i="8"/>
  <c r="P3747" i="8"/>
  <c r="Q3747" i="8"/>
  <c r="P3683" i="8"/>
  <c r="Q3683" i="8"/>
  <c r="P3619" i="8"/>
  <c r="Q3619" i="8"/>
  <c r="P3555" i="8"/>
  <c r="Q3555" i="8"/>
  <c r="Q3491" i="8"/>
  <c r="P3491" i="8"/>
  <c r="Q3419" i="8"/>
  <c r="P3419" i="8"/>
  <c r="Q3355" i="8"/>
  <c r="P3355" i="8"/>
  <c r="Q3279" i="8"/>
  <c r="P3279" i="8"/>
  <c r="Q3215" i="8"/>
  <c r="P3215" i="8"/>
  <c r="P2935" i="8"/>
  <c r="Q2935" i="8"/>
  <c r="P2863" i="8"/>
  <c r="Q2863" i="8"/>
  <c r="P2799" i="8"/>
  <c r="Q2799" i="8"/>
  <c r="P2723" i="8"/>
  <c r="Q2723" i="8"/>
  <c r="P2659" i="8"/>
  <c r="Q2659" i="8"/>
  <c r="Q2595" i="8"/>
  <c r="P2595" i="8"/>
  <c r="Q2531" i="8"/>
  <c r="P2531" i="8"/>
  <c r="P2463" i="8"/>
  <c r="Q2463" i="8"/>
  <c r="P2399" i="8"/>
  <c r="Q2399" i="8"/>
  <c r="P2335" i="8"/>
  <c r="Q2335" i="8"/>
  <c r="P2271" i="8"/>
  <c r="Q2271" i="8"/>
  <c r="P2207" i="8"/>
  <c r="Q2207" i="8"/>
  <c r="P2143" i="8"/>
  <c r="Q2143" i="8"/>
  <c r="P2079" i="8"/>
  <c r="Q2079" i="8"/>
  <c r="P2015" i="8"/>
  <c r="Q2015" i="8"/>
  <c r="P1951" i="8"/>
  <c r="Q1951" i="8"/>
  <c r="P1887" i="8"/>
  <c r="Q1887" i="8"/>
  <c r="Q3120" i="8"/>
  <c r="P3120" i="8"/>
  <c r="Q3056" i="8"/>
  <c r="P3056" i="8"/>
  <c r="Q2980" i="8"/>
  <c r="P2980" i="8"/>
  <c r="Q1835" i="8"/>
  <c r="P1835" i="8"/>
  <c r="Q1771" i="8"/>
  <c r="P1771" i="8"/>
  <c r="Q1707" i="8"/>
  <c r="P1707" i="8"/>
  <c r="Q1607" i="8"/>
  <c r="P1607" i="8"/>
  <c r="Q1543" i="8"/>
  <c r="P1543" i="8"/>
  <c r="Q1467" i="8"/>
  <c r="P1467" i="8"/>
  <c r="Q1403" i="8"/>
  <c r="P1403" i="8"/>
  <c r="Q1339" i="8"/>
  <c r="P1339" i="8"/>
  <c r="P1259" i="8"/>
  <c r="Q1259" i="8"/>
  <c r="P1195" i="8"/>
  <c r="Q1195" i="8"/>
  <c r="P1123" i="8"/>
  <c r="Q1123" i="8"/>
  <c r="Q58" i="8"/>
  <c r="P58" i="8"/>
  <c r="Q132" i="8"/>
  <c r="P132" i="8"/>
  <c r="Q196" i="8"/>
  <c r="P196" i="8"/>
  <c r="Q266" i="8"/>
  <c r="P266" i="8"/>
  <c r="Q330" i="8"/>
  <c r="P330" i="8"/>
  <c r="Q394" i="8"/>
  <c r="P394" i="8"/>
  <c r="Q458" i="8"/>
  <c r="P458" i="8"/>
  <c r="Q522" i="8"/>
  <c r="P522" i="8"/>
  <c r="Q572" i="8"/>
  <c r="P572" i="8"/>
  <c r="Q604" i="8"/>
  <c r="P604" i="8"/>
  <c r="Q636" i="8"/>
  <c r="P636" i="8"/>
  <c r="Q690" i="8"/>
  <c r="P690" i="8"/>
  <c r="Q762" i="8"/>
  <c r="P762" i="8"/>
  <c r="Q827" i="8"/>
  <c r="P827" i="8"/>
  <c r="Q903" i="8"/>
  <c r="P903" i="8"/>
  <c r="Q968" i="8"/>
  <c r="P968" i="8"/>
  <c r="Q1029" i="8"/>
  <c r="P1029" i="8"/>
  <c r="Q1091" i="8"/>
  <c r="P1091" i="8"/>
  <c r="P4060" i="8"/>
  <c r="Q4060" i="8"/>
  <c r="Q3996" i="8"/>
  <c r="P3996" i="8"/>
  <c r="Q3932" i="8"/>
  <c r="P3932" i="8"/>
  <c r="Q3864" i="8"/>
  <c r="P3864" i="8"/>
  <c r="Q3800" i="8"/>
  <c r="P3800" i="8"/>
  <c r="P3724" i="8"/>
  <c r="Q3724" i="8"/>
  <c r="P3660" i="8"/>
  <c r="Q3660" i="8"/>
  <c r="P3588" i="8"/>
  <c r="Q3588" i="8"/>
  <c r="P3524" i="8"/>
  <c r="Q3524" i="8"/>
  <c r="P3452" i="8"/>
  <c r="Q3452" i="8"/>
  <c r="Q3388" i="8"/>
  <c r="P3388" i="8"/>
  <c r="P3312" i="8"/>
  <c r="Q3312" i="8"/>
  <c r="P3248" i="8"/>
  <c r="Q3248" i="8"/>
  <c r="P3184" i="8"/>
  <c r="Q3184" i="8"/>
  <c r="P2896" i="8"/>
  <c r="Q2896" i="8"/>
  <c r="P2832" i="8"/>
  <c r="Q2832" i="8"/>
  <c r="P2768" i="8"/>
  <c r="Q2768" i="8"/>
  <c r="P2696" i="8"/>
  <c r="Q2696" i="8"/>
  <c r="P2632" i="8"/>
  <c r="Q2632" i="8"/>
  <c r="P2568" i="8"/>
  <c r="Q2568" i="8"/>
  <c r="P2504" i="8"/>
  <c r="Q2504" i="8"/>
  <c r="P2428" i="8"/>
  <c r="Q2428" i="8"/>
  <c r="P2364" i="8"/>
  <c r="Q2364" i="8"/>
  <c r="P2300" i="8"/>
  <c r="Q2300" i="8"/>
  <c r="P2236" i="8"/>
  <c r="Q2236" i="8"/>
  <c r="P2172" i="8"/>
  <c r="Q2172" i="8"/>
  <c r="P2108" i="8"/>
  <c r="Q2108" i="8"/>
  <c r="P2044" i="8"/>
  <c r="Q2044" i="8"/>
  <c r="P1980" i="8"/>
  <c r="Q1980" i="8"/>
  <c r="P1916" i="8"/>
  <c r="Q1916" i="8"/>
  <c r="Q3149" i="8"/>
  <c r="P3149" i="8"/>
  <c r="Q3085" i="8"/>
  <c r="P3085" i="8"/>
  <c r="Q3021" i="8"/>
  <c r="P3021" i="8"/>
  <c r="Q1868" i="8"/>
  <c r="P1868" i="8"/>
  <c r="Q1804" i="8"/>
  <c r="P1804" i="8"/>
  <c r="Q1740" i="8"/>
  <c r="P1740" i="8"/>
  <c r="Q1640" i="8"/>
  <c r="P1640" i="8"/>
  <c r="Q1576" i="8"/>
  <c r="P1576" i="8"/>
  <c r="P1500" i="8"/>
  <c r="Q1500" i="8"/>
  <c r="P1436" i="8"/>
  <c r="Q1436" i="8"/>
  <c r="P1372" i="8"/>
  <c r="Q1372" i="8"/>
  <c r="P1308" i="8"/>
  <c r="Q1308" i="8"/>
  <c r="Q1228" i="8"/>
  <c r="P1228" i="8"/>
  <c r="Q1152" i="8"/>
  <c r="P1152" i="8"/>
  <c r="P25" i="8"/>
  <c r="Q25" i="8"/>
  <c r="P67" i="8"/>
  <c r="Q67" i="8"/>
  <c r="Q241" i="8"/>
  <c r="P241" i="8"/>
  <c r="P389" i="8"/>
  <c r="Q389" i="8"/>
  <c r="Q435" i="8"/>
  <c r="P435" i="8"/>
  <c r="Q467" i="8"/>
  <c r="P467" i="8"/>
  <c r="P499" i="8"/>
  <c r="Q499" i="8"/>
  <c r="P531" i="8"/>
  <c r="Q531" i="8"/>
  <c r="P621" i="8"/>
  <c r="Q621" i="8"/>
  <c r="P703" i="8"/>
  <c r="Q703" i="8"/>
  <c r="P737" i="8"/>
  <c r="Q737" i="8"/>
  <c r="Q793" i="8"/>
  <c r="P793" i="8"/>
  <c r="Q856" i="8"/>
  <c r="P856" i="8"/>
  <c r="Q920" i="8"/>
  <c r="P920" i="8"/>
  <c r="Q985" i="8"/>
  <c r="P985" i="8"/>
  <c r="Q1054" i="8"/>
  <c r="P1054" i="8"/>
  <c r="Q1116" i="8"/>
  <c r="P1116" i="8"/>
  <c r="Q4033" i="8"/>
  <c r="P4033" i="8"/>
  <c r="Q3969" i="8"/>
  <c r="P3969" i="8"/>
  <c r="Q3905" i="8"/>
  <c r="P3905" i="8"/>
  <c r="Q3841" i="8"/>
  <c r="P3841" i="8"/>
  <c r="P3765" i="8"/>
  <c r="Q3765" i="8"/>
  <c r="P3701" i="8"/>
  <c r="Q3701" i="8"/>
  <c r="P3629" i="8"/>
  <c r="Q3629" i="8"/>
  <c r="P3565" i="8"/>
  <c r="Q3565" i="8"/>
  <c r="Q3501" i="8"/>
  <c r="P3501" i="8"/>
  <c r="Q3429" i="8"/>
  <c r="P3429" i="8"/>
  <c r="Q3365" i="8"/>
  <c r="P3365" i="8"/>
  <c r="Q3297" i="8"/>
  <c r="P3297" i="8"/>
  <c r="Q3233" i="8"/>
  <c r="P3233" i="8"/>
  <c r="P2945" i="8"/>
  <c r="Q2945" i="8"/>
  <c r="P2849" i="8"/>
  <c r="Q2849" i="8"/>
  <c r="P2785" i="8"/>
  <c r="Q2785" i="8"/>
  <c r="P2713" i="8"/>
  <c r="Q2713" i="8"/>
  <c r="P2649" i="8"/>
  <c r="Q2649" i="8"/>
  <c r="Q2585" i="8"/>
  <c r="P2585" i="8"/>
  <c r="Q2521" i="8"/>
  <c r="P2521" i="8"/>
  <c r="P2445" i="8"/>
  <c r="Q2445" i="8"/>
  <c r="P2381" i="8"/>
  <c r="Q2381" i="8"/>
  <c r="P2309" i="8"/>
  <c r="Q2309" i="8"/>
  <c r="P2245" i="8"/>
  <c r="Q2245" i="8"/>
  <c r="P2181" i="8"/>
  <c r="Q2181" i="8"/>
  <c r="P2117" i="8"/>
  <c r="Q2117" i="8"/>
  <c r="P2053" i="8"/>
  <c r="Q2053" i="8"/>
  <c r="P1989" i="8"/>
  <c r="Q1989" i="8"/>
  <c r="P1925" i="8"/>
  <c r="Q1925" i="8"/>
  <c r="Q3158" i="8"/>
  <c r="P3158" i="8"/>
  <c r="Q3094" i="8"/>
  <c r="P3094" i="8"/>
  <c r="Q3030" i="8"/>
  <c r="P3030" i="8"/>
  <c r="Q2958" i="8"/>
  <c r="P2958" i="8"/>
  <c r="Q1813" i="8"/>
  <c r="P1813" i="8"/>
  <c r="Q1749" i="8"/>
  <c r="P1749" i="8"/>
  <c r="Q1685" i="8"/>
  <c r="P1685" i="8"/>
  <c r="Q1609" i="8"/>
  <c r="P1609" i="8"/>
  <c r="Q1545" i="8"/>
  <c r="P1545" i="8"/>
  <c r="Q1469" i="8"/>
  <c r="P1469" i="8"/>
  <c r="Q1405" i="8"/>
  <c r="P1405" i="8"/>
  <c r="Q1341" i="8"/>
  <c r="P1341" i="8"/>
  <c r="P1277" i="8"/>
  <c r="Q1277" i="8"/>
  <c r="P1213" i="8"/>
  <c r="Q1213" i="8"/>
  <c r="P1137" i="8"/>
  <c r="Q1137" i="8"/>
  <c r="Q48" i="8"/>
  <c r="P48" i="8"/>
  <c r="Q126" i="8"/>
  <c r="P126" i="8"/>
  <c r="Q190" i="8"/>
  <c r="P190" i="8"/>
  <c r="Q254" i="8"/>
  <c r="P254" i="8"/>
  <c r="Q320" i="8"/>
  <c r="P320" i="8"/>
  <c r="Q384" i="8"/>
  <c r="P384" i="8"/>
  <c r="Q448" i="8"/>
  <c r="P448" i="8"/>
  <c r="Q512" i="8"/>
  <c r="P512" i="8"/>
  <c r="Q652" i="8"/>
  <c r="P652" i="8"/>
  <c r="Q730" i="8"/>
  <c r="P730" i="8"/>
  <c r="Q783" i="8"/>
  <c r="P783" i="8"/>
  <c r="Q848" i="8"/>
  <c r="P848" i="8"/>
  <c r="Q915" i="8"/>
  <c r="P915" i="8"/>
  <c r="Q975" i="8"/>
  <c r="P975" i="8"/>
  <c r="Q1052" i="8"/>
  <c r="P1052" i="8"/>
  <c r="P4094" i="8"/>
  <c r="Q4094" i="8"/>
  <c r="Q4030" i="8"/>
  <c r="P4030" i="8"/>
  <c r="Q3966" i="8"/>
  <c r="P3966" i="8"/>
  <c r="Q3894" i="8"/>
  <c r="P3894" i="8"/>
  <c r="Q3830" i="8"/>
  <c r="P3830" i="8"/>
  <c r="Q3754" i="8"/>
  <c r="P3754" i="8"/>
  <c r="P3690" i="8"/>
  <c r="Q3690" i="8"/>
  <c r="P3626" i="8"/>
  <c r="Q3626" i="8"/>
  <c r="P3562" i="8"/>
  <c r="Q3562" i="8"/>
  <c r="P3498" i="8"/>
  <c r="Q3498" i="8"/>
  <c r="P3430" i="8"/>
  <c r="Q3430" i="8"/>
  <c r="Q3366" i="8"/>
  <c r="P3366" i="8"/>
  <c r="P3298" i="8"/>
  <c r="Q3298" i="8"/>
  <c r="P3234" i="8"/>
  <c r="Q3234" i="8"/>
  <c r="P2946" i="8"/>
  <c r="Q2946" i="8"/>
  <c r="P2850" i="8"/>
  <c r="Q2850" i="8"/>
  <c r="P2786" i="8"/>
  <c r="Q2786" i="8"/>
  <c r="P2714" i="8"/>
  <c r="Q2714" i="8"/>
  <c r="P2650" i="8"/>
  <c r="Q2650" i="8"/>
  <c r="P2586" i="8"/>
  <c r="Q2586" i="8"/>
  <c r="P2522" i="8"/>
  <c r="Q2522" i="8"/>
  <c r="P2454" i="8"/>
  <c r="Q2454" i="8"/>
  <c r="P2390" i="8"/>
  <c r="Q2390" i="8"/>
  <c r="P2326" i="8"/>
  <c r="Q2326" i="8"/>
  <c r="P2254" i="8"/>
  <c r="Q2254" i="8"/>
  <c r="P2190" i="8"/>
  <c r="Q2190" i="8"/>
  <c r="P2126" i="8"/>
  <c r="Q2126" i="8"/>
  <c r="P2062" i="8"/>
  <c r="Q2062" i="8"/>
  <c r="P1998" i="8"/>
  <c r="Q1998" i="8"/>
  <c r="P1934" i="8"/>
  <c r="Q1934" i="8"/>
  <c r="Q1870" i="8"/>
  <c r="P1870" i="8"/>
  <c r="Q3103" i="8"/>
  <c r="P3103" i="8"/>
  <c r="Q3039" i="8"/>
  <c r="P3039" i="8"/>
  <c r="Q2967" i="8"/>
  <c r="P2967" i="8"/>
  <c r="Q1822" i="8"/>
  <c r="P1822" i="8"/>
  <c r="Q1758" i="8"/>
  <c r="P1758" i="8"/>
  <c r="Q1694" i="8"/>
  <c r="P1694" i="8"/>
  <c r="Q1618" i="8"/>
  <c r="P1618" i="8"/>
  <c r="Q1554" i="8"/>
  <c r="P1554" i="8"/>
  <c r="P1478" i="8"/>
  <c r="Q1478" i="8"/>
  <c r="P1414" i="8"/>
  <c r="Q1414" i="8"/>
  <c r="P1350" i="8"/>
  <c r="Q1350" i="8"/>
  <c r="Q1286" i="8"/>
  <c r="P1286" i="8"/>
  <c r="Q1222" i="8"/>
  <c r="P1222" i="8"/>
  <c r="Q1158" i="8"/>
  <c r="P1158" i="8"/>
  <c r="Q75" i="8"/>
  <c r="P75" i="8"/>
  <c r="Q127" i="8"/>
  <c r="P127" i="8"/>
  <c r="Q159" i="8"/>
  <c r="P159" i="8"/>
  <c r="Q191" i="8"/>
  <c r="P191" i="8"/>
  <c r="Q223" i="8"/>
  <c r="P223" i="8"/>
  <c r="P291" i="8"/>
  <c r="Q291" i="8"/>
  <c r="P323" i="8"/>
  <c r="Q323" i="8"/>
  <c r="P355" i="8"/>
  <c r="Q355" i="8"/>
  <c r="P407" i="8"/>
  <c r="Q407" i="8"/>
  <c r="P567" i="8"/>
  <c r="Q567" i="8"/>
  <c r="P631" i="8"/>
  <c r="Q631" i="8"/>
  <c r="Q683" i="8"/>
  <c r="P683" i="8"/>
  <c r="Q781" i="8"/>
  <c r="P781" i="8"/>
  <c r="Q843" i="8"/>
  <c r="P843" i="8"/>
  <c r="Q900" i="8"/>
  <c r="P900" i="8"/>
  <c r="Q962" i="8"/>
  <c r="P962" i="8"/>
  <c r="Q1036" i="8"/>
  <c r="P1036" i="8"/>
  <c r="Q1096" i="8"/>
  <c r="P1096" i="8"/>
  <c r="P4051" i="8"/>
  <c r="Q4051" i="8"/>
  <c r="Q3987" i="8"/>
  <c r="P3987" i="8"/>
  <c r="Q3923" i="8"/>
  <c r="P3923" i="8"/>
  <c r="Q3859" i="8"/>
  <c r="P3859" i="8"/>
  <c r="Q3795" i="8"/>
  <c r="P3795" i="8"/>
  <c r="P3727" i="8"/>
  <c r="Q3727" i="8"/>
  <c r="P3663" i="8"/>
  <c r="Q3663" i="8"/>
  <c r="P3599" i="8"/>
  <c r="Q3599" i="8"/>
  <c r="Q3535" i="8"/>
  <c r="P3535" i="8"/>
  <c r="Q3471" i="8"/>
  <c r="P3471" i="8"/>
  <c r="Q3407" i="8"/>
  <c r="P3407" i="8"/>
  <c r="Q3343" i="8"/>
  <c r="P3343" i="8"/>
  <c r="Q3275" i="8"/>
  <c r="P3275" i="8"/>
  <c r="Q22" i="8"/>
  <c r="P22" i="8"/>
  <c r="Q84" i="8"/>
  <c r="P84" i="8"/>
  <c r="Q152" i="8"/>
  <c r="P152" i="8"/>
  <c r="Q216" i="8"/>
  <c r="P216" i="8"/>
  <c r="Q278" i="8"/>
  <c r="P278" i="8"/>
  <c r="Q342" i="8"/>
  <c r="P342" i="8"/>
  <c r="Q404" i="8"/>
  <c r="P404" i="8"/>
  <c r="Q470" i="8"/>
  <c r="P470" i="8"/>
  <c r="Q534" i="8"/>
  <c r="P534" i="8"/>
  <c r="Q578" i="8"/>
  <c r="P578" i="8"/>
  <c r="Q610" i="8"/>
  <c r="P610" i="8"/>
  <c r="Q646" i="8"/>
  <c r="P646" i="8"/>
  <c r="Q700" i="8"/>
  <c r="P700" i="8"/>
  <c r="Q776" i="8"/>
  <c r="P776" i="8"/>
  <c r="Q838" i="8"/>
  <c r="P838" i="8"/>
  <c r="Q914" i="8"/>
  <c r="P914" i="8"/>
  <c r="Q977" i="8"/>
  <c r="P977" i="8"/>
  <c r="Q1048" i="8"/>
  <c r="P1048" i="8"/>
  <c r="Q1110" i="8"/>
  <c r="P1110" i="8"/>
  <c r="Q4040" i="8"/>
  <c r="P4040" i="8"/>
  <c r="Q3976" i="8"/>
  <c r="P3976" i="8"/>
  <c r="Q3900" i="8"/>
  <c r="P3900" i="8"/>
  <c r="Q3836" i="8"/>
  <c r="P3836" i="8"/>
  <c r="Q3768" i="8"/>
  <c r="P3768" i="8"/>
  <c r="P3704" i="8"/>
  <c r="Q3704" i="8"/>
  <c r="P3640" i="8"/>
  <c r="Q3640" i="8"/>
  <c r="P3576" i="8"/>
  <c r="Q3576" i="8"/>
  <c r="P3512" i="8"/>
  <c r="Q3512" i="8"/>
  <c r="P3416" i="8"/>
  <c r="Q3416" i="8"/>
  <c r="Q3352" i="8"/>
  <c r="P3352" i="8"/>
  <c r="P3284" i="8"/>
  <c r="Q3284" i="8"/>
  <c r="P3220" i="8"/>
  <c r="Q3220" i="8"/>
  <c r="P2936" i="8"/>
  <c r="Q2936" i="8"/>
  <c r="P2860" i="8"/>
  <c r="Q2860" i="8"/>
  <c r="P2796" i="8"/>
  <c r="Q2796" i="8"/>
  <c r="P2732" i="8"/>
  <c r="Q2732" i="8"/>
  <c r="P2668" i="8"/>
  <c r="Q2668" i="8"/>
  <c r="P2604" i="8"/>
  <c r="Q2604" i="8"/>
  <c r="P2540" i="8"/>
  <c r="Q2540" i="8"/>
  <c r="P2472" i="8"/>
  <c r="Q2472" i="8"/>
  <c r="P2408" i="8"/>
  <c r="Q2408" i="8"/>
  <c r="P2344" i="8"/>
  <c r="Q2344" i="8"/>
  <c r="P2280" i="8"/>
  <c r="Q2280" i="8"/>
  <c r="P2216" i="8"/>
  <c r="Q2216" i="8"/>
  <c r="P2152" i="8"/>
  <c r="Q2152" i="8"/>
  <c r="P2088" i="8"/>
  <c r="Q2088" i="8"/>
  <c r="P2024" i="8"/>
  <c r="Q2024" i="8"/>
  <c r="P1960" i="8"/>
  <c r="Q1960" i="8"/>
  <c r="P1896" i="8"/>
  <c r="Q1896" i="8"/>
  <c r="Q3129" i="8"/>
  <c r="P3129" i="8"/>
  <c r="Q3065" i="8"/>
  <c r="P3065" i="8"/>
  <c r="Q3001" i="8"/>
  <c r="P3001" i="8"/>
  <c r="Q1856" i="8"/>
  <c r="P1856" i="8"/>
  <c r="Q1792" i="8"/>
  <c r="P1792" i="8"/>
  <c r="Q1728" i="8"/>
  <c r="P1728" i="8"/>
  <c r="Q1652" i="8"/>
  <c r="P1652" i="8"/>
  <c r="Q1588" i="8"/>
  <c r="P1588" i="8"/>
  <c r="Q1524" i="8"/>
  <c r="P1524" i="8"/>
  <c r="P1456" i="8"/>
  <c r="Q1456" i="8"/>
  <c r="P1392" i="8"/>
  <c r="Q1392" i="8"/>
  <c r="P1328" i="8"/>
  <c r="Q1328" i="8"/>
  <c r="Q1232" i="8"/>
  <c r="P1232" i="8"/>
  <c r="Q1132" i="8"/>
  <c r="P1132" i="8"/>
  <c r="P27" i="8"/>
  <c r="Q27" i="8"/>
  <c r="Q69" i="8"/>
  <c r="P69" i="8"/>
  <c r="Q243" i="8"/>
  <c r="P243" i="8"/>
  <c r="P391" i="8"/>
  <c r="Q391" i="8"/>
  <c r="Q437" i="8"/>
  <c r="P437" i="8"/>
  <c r="Q469" i="8"/>
  <c r="P469" i="8"/>
  <c r="P501" i="8"/>
  <c r="Q501" i="8"/>
  <c r="P561" i="8"/>
  <c r="Q561" i="8"/>
  <c r="P625" i="8"/>
  <c r="Q625" i="8"/>
  <c r="P705" i="8"/>
  <c r="Q705" i="8"/>
  <c r="P741" i="8"/>
  <c r="Q741" i="8"/>
  <c r="Q796" i="8"/>
  <c r="P796" i="8"/>
  <c r="Q858" i="8"/>
  <c r="P858" i="8"/>
  <c r="Q928" i="8"/>
  <c r="P928" i="8"/>
  <c r="Q989" i="8"/>
  <c r="P989" i="8"/>
  <c r="Q1059" i="8"/>
  <c r="P1059" i="8"/>
  <c r="P4093" i="8"/>
  <c r="Q4093" i="8"/>
  <c r="Q4029" i="8"/>
  <c r="P4029" i="8"/>
  <c r="Q3965" i="8"/>
  <c r="P3965" i="8"/>
  <c r="Q3893" i="8"/>
  <c r="P3893" i="8"/>
  <c r="Q3829" i="8"/>
  <c r="P3829" i="8"/>
  <c r="P3761" i="8"/>
  <c r="Q3761" i="8"/>
  <c r="P3697" i="8"/>
  <c r="Q3697" i="8"/>
  <c r="P3633" i="8"/>
  <c r="Q3633" i="8"/>
  <c r="P3569" i="8"/>
  <c r="Q3569" i="8"/>
  <c r="Q3505" i="8"/>
  <c r="P3505" i="8"/>
  <c r="Q3441" i="8"/>
  <c r="P3441" i="8"/>
  <c r="Q3377" i="8"/>
  <c r="P3377" i="8"/>
  <c r="Q3309" i="8"/>
  <c r="P3309" i="8"/>
  <c r="Q3245" i="8"/>
  <c r="P3245" i="8"/>
  <c r="Q3181" i="8"/>
  <c r="P3181" i="8"/>
  <c r="P2893" i="8"/>
  <c r="Q2893" i="8"/>
  <c r="P2829" i="8"/>
  <c r="Q2829" i="8"/>
  <c r="P2765" i="8"/>
  <c r="Q2765" i="8"/>
  <c r="P2701" i="8"/>
  <c r="Q2701" i="8"/>
  <c r="P2637" i="8"/>
  <c r="Q2637" i="8"/>
  <c r="Q2573" i="8"/>
  <c r="P2573" i="8"/>
  <c r="Q2509" i="8"/>
  <c r="P2509" i="8"/>
  <c r="P2441" i="8"/>
  <c r="Q2441" i="8"/>
  <c r="P2377" i="8"/>
  <c r="Q2377" i="8"/>
  <c r="P2313" i="8"/>
  <c r="Q2313" i="8"/>
  <c r="P2249" i="8"/>
  <c r="Q2249" i="8"/>
  <c r="P2185" i="8"/>
  <c r="Q2185" i="8"/>
  <c r="P2121" i="8"/>
  <c r="Q2121" i="8"/>
  <c r="P2057" i="8"/>
  <c r="Q2057" i="8"/>
  <c r="P1993" i="8"/>
  <c r="Q1993" i="8"/>
  <c r="P1929" i="8"/>
  <c r="Q1929" i="8"/>
  <c r="Q3162" i="8"/>
  <c r="P3162" i="8"/>
  <c r="Q3098" i="8"/>
  <c r="P3098" i="8"/>
  <c r="Q3034" i="8"/>
  <c r="P3034" i="8"/>
  <c r="Q2970" i="8"/>
  <c r="P2970" i="8"/>
  <c r="Q1825" i="8"/>
  <c r="P1825" i="8"/>
  <c r="Q1761" i="8"/>
  <c r="P1761" i="8"/>
  <c r="Q1697" i="8"/>
  <c r="P1697" i="8"/>
  <c r="Q1629" i="8"/>
  <c r="P1629" i="8"/>
  <c r="Q1565" i="8"/>
  <c r="P1565" i="8"/>
  <c r="P1497" i="8"/>
  <c r="Q1497" i="8"/>
  <c r="Q1433" i="8"/>
  <c r="P1433" i="8"/>
  <c r="Q1369" i="8"/>
  <c r="P1369" i="8"/>
  <c r="Q1305" i="8"/>
  <c r="P1305" i="8"/>
  <c r="P1233" i="8"/>
  <c r="Q1233" i="8"/>
  <c r="P1133" i="8"/>
  <c r="Q1133" i="8"/>
  <c r="Q52" i="8"/>
  <c r="P52" i="8"/>
  <c r="Q122" i="8"/>
  <c r="P122" i="8"/>
  <c r="Q186" i="8"/>
  <c r="P186" i="8"/>
  <c r="Q250" i="8"/>
  <c r="P250" i="8"/>
  <c r="Q324" i="8"/>
  <c r="P324" i="8"/>
  <c r="Q388" i="8"/>
  <c r="P388" i="8"/>
  <c r="Q452" i="8"/>
  <c r="P452" i="8"/>
  <c r="Q516" i="8"/>
  <c r="P516" i="8"/>
  <c r="Q656" i="8"/>
  <c r="P656" i="8"/>
  <c r="Q734" i="8"/>
  <c r="P734" i="8"/>
  <c r="Q786" i="8"/>
  <c r="P786" i="8"/>
  <c r="Q851" i="8"/>
  <c r="P851" i="8"/>
  <c r="Q910" i="8"/>
  <c r="P910" i="8"/>
  <c r="Q972" i="8"/>
  <c r="P972" i="8"/>
  <c r="Q1038" i="8"/>
  <c r="P1038" i="8"/>
  <c r="Q1111" i="8"/>
  <c r="P1111" i="8"/>
  <c r="Q4042" i="8"/>
  <c r="P4042" i="8"/>
  <c r="Q3978" i="8"/>
  <c r="P3978" i="8"/>
  <c r="Q3914" i="8"/>
  <c r="P3914" i="8"/>
  <c r="Q3850" i="8"/>
  <c r="P3850" i="8"/>
  <c r="Q3786" i="8"/>
  <c r="P3786" i="8"/>
  <c r="P3718" i="8"/>
  <c r="Q3718" i="8"/>
  <c r="P3654" i="8"/>
  <c r="Q3654" i="8"/>
  <c r="P3590" i="8"/>
  <c r="Q3590" i="8"/>
  <c r="P3526" i="8"/>
  <c r="Q3526" i="8"/>
  <c r="P3450" i="8"/>
  <c r="Q3450" i="8"/>
  <c r="Q3386" i="8"/>
  <c r="P3386" i="8"/>
  <c r="P3310" i="8"/>
  <c r="Q3310" i="8"/>
  <c r="P3246" i="8"/>
  <c r="Q3246" i="8"/>
  <c r="P3182" i="8"/>
  <c r="Q3182" i="8"/>
  <c r="P2894" i="8"/>
  <c r="Q2894" i="8"/>
  <c r="P2830" i="8"/>
  <c r="Q2830" i="8"/>
  <c r="P2758" i="8"/>
  <c r="Q2758" i="8"/>
  <c r="P2694" i="8"/>
  <c r="Q2694" i="8"/>
  <c r="P2630" i="8"/>
  <c r="Q2630" i="8"/>
  <c r="P2566" i="8"/>
  <c r="Q2566" i="8"/>
  <c r="P2502" i="8"/>
  <c r="Q2502" i="8"/>
  <c r="P2426" i="8"/>
  <c r="Q2426" i="8"/>
  <c r="P2362" i="8"/>
  <c r="Q2362" i="8"/>
  <c r="P2298" i="8"/>
  <c r="Q2298" i="8"/>
  <c r="P2234" i="8"/>
  <c r="Q2234" i="8"/>
  <c r="P2170" i="8"/>
  <c r="Q2170" i="8"/>
  <c r="P2106" i="8"/>
  <c r="Q2106" i="8"/>
  <c r="P2042" i="8"/>
  <c r="Q2042" i="8"/>
  <c r="P1978" i="8"/>
  <c r="Q1978" i="8"/>
  <c r="P1914" i="8"/>
  <c r="Q1914" i="8"/>
  <c r="Q3147" i="8"/>
  <c r="P3147" i="8"/>
  <c r="Q3083" i="8"/>
  <c r="P3083" i="8"/>
  <c r="Q2987" i="8"/>
  <c r="P2987" i="8"/>
  <c r="Q1842" i="8"/>
  <c r="P1842" i="8"/>
  <c r="Q1778" i="8"/>
  <c r="P1778" i="8"/>
  <c r="Q1714" i="8"/>
  <c r="P1714" i="8"/>
  <c r="Q1646" i="8"/>
  <c r="P1646" i="8"/>
  <c r="Q1582" i="8"/>
  <c r="P1582" i="8"/>
  <c r="P1482" i="8"/>
  <c r="Q1482" i="8"/>
  <c r="P1418" i="8"/>
  <c r="Q1418" i="8"/>
  <c r="P1354" i="8"/>
  <c r="Q1354" i="8"/>
  <c r="Q1282" i="8"/>
  <c r="P1282" i="8"/>
  <c r="Q1218" i="8"/>
  <c r="P1218" i="8"/>
  <c r="Q1146" i="8"/>
  <c r="P1146" i="8"/>
  <c r="Q81" i="8"/>
  <c r="P81" i="8"/>
  <c r="Q133" i="8"/>
  <c r="P133" i="8"/>
  <c r="Q165" i="8"/>
  <c r="P165" i="8"/>
  <c r="Q197" i="8"/>
  <c r="P197" i="8"/>
  <c r="P281" i="8"/>
  <c r="Q281" i="8"/>
  <c r="P313" i="8"/>
  <c r="Q313" i="8"/>
  <c r="P345" i="8"/>
  <c r="Q345" i="8"/>
  <c r="P397" i="8"/>
  <c r="Q397" i="8"/>
  <c r="P553" i="8"/>
  <c r="Q553" i="8"/>
  <c r="P611" i="8"/>
  <c r="Q611" i="8"/>
  <c r="Q673" i="8"/>
  <c r="P673" i="8"/>
  <c r="P755" i="8"/>
  <c r="Q755" i="8"/>
  <c r="Q824" i="8"/>
  <c r="P824" i="8"/>
  <c r="Q886" i="8"/>
  <c r="P886" i="8"/>
  <c r="Q951" i="8"/>
  <c r="P951" i="8"/>
  <c r="Q1055" i="8"/>
  <c r="P1055" i="8"/>
  <c r="Q1117" i="8"/>
  <c r="P1117" i="8"/>
  <c r="Q4031" i="8"/>
  <c r="P4031" i="8"/>
  <c r="Q3967" i="8"/>
  <c r="P3967" i="8"/>
  <c r="Q3895" i="8"/>
  <c r="P3895" i="8"/>
  <c r="Q3831" i="8"/>
  <c r="P3831" i="8"/>
  <c r="Q3755" i="8"/>
  <c r="P3755" i="8"/>
  <c r="P3691" i="8"/>
  <c r="Q3691" i="8"/>
  <c r="P3627" i="8"/>
  <c r="Q3627" i="8"/>
  <c r="P3563" i="8"/>
  <c r="Q3563" i="8"/>
  <c r="Q3499" i="8"/>
  <c r="P3499" i="8"/>
  <c r="Q3427" i="8"/>
  <c r="P3427" i="8"/>
  <c r="Q3363" i="8"/>
  <c r="P3363" i="8"/>
  <c r="Q3287" i="8"/>
  <c r="P3287" i="8"/>
  <c r="Q3223" i="8"/>
  <c r="P3223" i="8"/>
  <c r="P2943" i="8"/>
  <c r="Q2943" i="8"/>
  <c r="P2871" i="8"/>
  <c r="Q2871" i="8"/>
  <c r="P2807" i="8"/>
  <c r="Q2807" i="8"/>
  <c r="P2731" i="8"/>
  <c r="Q2731" i="8"/>
  <c r="P2667" i="8"/>
  <c r="Q2667" i="8"/>
  <c r="Q2603" i="8"/>
  <c r="P2603" i="8"/>
  <c r="Q2539" i="8"/>
  <c r="P2539" i="8"/>
  <c r="P2471" i="8"/>
  <c r="Q2471" i="8"/>
  <c r="P2407" i="8"/>
  <c r="Q2407" i="8"/>
  <c r="P2343" i="8"/>
  <c r="Q2343" i="8"/>
  <c r="P2279" i="8"/>
  <c r="Q2279" i="8"/>
  <c r="P2215" i="8"/>
  <c r="Q2215" i="8"/>
  <c r="P2151" i="8"/>
  <c r="Q2151" i="8"/>
  <c r="P2087" i="8"/>
  <c r="Q2087" i="8"/>
  <c r="P2023" i="8"/>
  <c r="Q2023" i="8"/>
  <c r="P1959" i="8"/>
  <c r="Q1959" i="8"/>
  <c r="P1895" i="8"/>
  <c r="Q1895" i="8"/>
  <c r="Q3128" i="8"/>
  <c r="P3128" i="8"/>
  <c r="Q3064" i="8"/>
  <c r="P3064" i="8"/>
  <c r="Q2988" i="8"/>
  <c r="P2988" i="8"/>
  <c r="Q1843" i="8"/>
  <c r="P1843" i="8"/>
  <c r="Q1779" i="8"/>
  <c r="P1779" i="8"/>
  <c r="Q1715" i="8"/>
  <c r="P1715" i="8"/>
  <c r="Q1647" i="8"/>
  <c r="P1647" i="8"/>
  <c r="Q1583" i="8"/>
  <c r="P1583" i="8"/>
  <c r="P1519" i="8"/>
  <c r="Q1519" i="8"/>
  <c r="Q1443" i="8"/>
  <c r="P1443" i="8"/>
  <c r="Q1379" i="8"/>
  <c r="P1379" i="8"/>
  <c r="Q1315" i="8"/>
  <c r="P1315" i="8"/>
  <c r="P1251" i="8"/>
  <c r="Q1251" i="8"/>
  <c r="P1187" i="8"/>
  <c r="Q1187" i="8"/>
  <c r="Q2" i="8"/>
  <c r="P2" i="8"/>
  <c r="Q66" i="8"/>
  <c r="P66" i="8"/>
  <c r="Q140" i="8"/>
  <c r="P140" i="8"/>
  <c r="Q204" i="8"/>
  <c r="P204" i="8"/>
  <c r="Q274" i="8"/>
  <c r="P274" i="8"/>
  <c r="Q338" i="8"/>
  <c r="P338" i="8"/>
  <c r="Q400" i="8"/>
  <c r="P400" i="8"/>
  <c r="Q466" i="8"/>
  <c r="P466" i="8"/>
  <c r="Q530" i="8"/>
  <c r="P530" i="8"/>
  <c r="Q576" i="8"/>
  <c r="P576" i="8"/>
  <c r="Q608" i="8"/>
  <c r="P608" i="8"/>
  <c r="Q642" i="8"/>
  <c r="P642" i="8"/>
  <c r="Q696" i="8"/>
  <c r="P696" i="8"/>
  <c r="Q772" i="8"/>
  <c r="P772" i="8"/>
  <c r="Q833" i="8"/>
  <c r="P833" i="8"/>
  <c r="Q911" i="8"/>
  <c r="P911" i="8"/>
  <c r="Q974" i="8"/>
  <c r="P974" i="8"/>
  <c r="Q1037" i="8"/>
  <c r="P1037" i="8"/>
  <c r="Q1099" i="8"/>
  <c r="P1099" i="8"/>
  <c r="P4052" i="8"/>
  <c r="Q4052" i="8"/>
  <c r="Q3988" i="8"/>
  <c r="P3988" i="8"/>
  <c r="Q3920" i="8"/>
  <c r="P3920" i="8"/>
  <c r="Q3856" i="8"/>
  <c r="P3856" i="8"/>
  <c r="Q3792" i="8"/>
  <c r="P3792" i="8"/>
  <c r="P3716" i="8"/>
  <c r="Q3716" i="8"/>
  <c r="P3652" i="8"/>
  <c r="Q3652" i="8"/>
  <c r="P3580" i="8"/>
  <c r="Q3580" i="8"/>
  <c r="P3516" i="8"/>
  <c r="Q3516" i="8"/>
  <c r="P3444" i="8"/>
  <c r="Q3444" i="8"/>
  <c r="Q3380" i="8"/>
  <c r="P3380" i="8"/>
  <c r="P3304" i="8"/>
  <c r="Q3304" i="8"/>
  <c r="P3240" i="8"/>
  <c r="Q3240" i="8"/>
  <c r="P3176" i="8"/>
  <c r="Q3176" i="8"/>
  <c r="P2888" i="8"/>
  <c r="Q2888" i="8"/>
  <c r="P2824" i="8"/>
  <c r="Q2824" i="8"/>
  <c r="P2760" i="8"/>
  <c r="Q2760" i="8"/>
  <c r="P2688" i="8"/>
  <c r="Q2688" i="8"/>
  <c r="P2624" i="8"/>
  <c r="Q2624" i="8"/>
  <c r="P2560" i="8"/>
  <c r="Q2560" i="8"/>
  <c r="P2496" i="8"/>
  <c r="Q2496" i="8"/>
  <c r="P2420" i="8"/>
  <c r="Q2420" i="8"/>
  <c r="P2356" i="8"/>
  <c r="Q2356" i="8"/>
  <c r="P2292" i="8"/>
  <c r="Q2292" i="8"/>
  <c r="P2228" i="8"/>
  <c r="Q2228" i="8"/>
  <c r="P2164" i="8"/>
  <c r="Q2164" i="8"/>
  <c r="P2100" i="8"/>
  <c r="Q2100" i="8"/>
  <c r="P2036" i="8"/>
  <c r="Q2036" i="8"/>
  <c r="P1972" i="8"/>
  <c r="Q1972" i="8"/>
  <c r="P1908" i="8"/>
  <c r="Q1908" i="8"/>
  <c r="Q3141" i="8"/>
  <c r="P3141" i="8"/>
  <c r="Q3077" i="8"/>
  <c r="P3077" i="8"/>
  <c r="Q3005" i="8"/>
  <c r="P3005" i="8"/>
  <c r="Q1860" i="8"/>
  <c r="P1860" i="8"/>
  <c r="Q1796" i="8"/>
  <c r="P1796" i="8"/>
  <c r="Q1732" i="8"/>
  <c r="P1732" i="8"/>
  <c r="Q1664" i="8"/>
  <c r="P1664" i="8"/>
  <c r="Q1600" i="8"/>
  <c r="P1600" i="8"/>
  <c r="Q1536" i="8"/>
  <c r="P1536" i="8"/>
  <c r="P1460" i="8"/>
  <c r="Q1460" i="8"/>
  <c r="P1396" i="8"/>
  <c r="Q1396" i="8"/>
  <c r="P1332" i="8"/>
  <c r="Q1332" i="8"/>
  <c r="Q1268" i="8"/>
  <c r="P1268" i="8"/>
  <c r="Q1204" i="8"/>
  <c r="P1204" i="8"/>
  <c r="Q1128" i="8"/>
  <c r="P1128" i="8"/>
  <c r="P29" i="8"/>
  <c r="Q29" i="8"/>
  <c r="Q71" i="8"/>
  <c r="P71" i="8"/>
  <c r="Q245" i="8"/>
  <c r="P245" i="8"/>
  <c r="P393" i="8"/>
  <c r="Q393" i="8"/>
  <c r="Q439" i="8"/>
  <c r="P439" i="8"/>
  <c r="Q471" i="8"/>
  <c r="P471" i="8"/>
  <c r="P503" i="8"/>
  <c r="Q503" i="8"/>
  <c r="P565" i="8"/>
  <c r="Q565" i="8"/>
  <c r="P629" i="8"/>
  <c r="Q629" i="8"/>
  <c r="P707" i="8"/>
  <c r="Q707" i="8"/>
  <c r="P743" i="8"/>
  <c r="Q743" i="8"/>
  <c r="Q801" i="8"/>
  <c r="P801" i="8"/>
  <c r="Q860" i="8"/>
  <c r="P860" i="8"/>
  <c r="Q931" i="8"/>
  <c r="P931" i="8"/>
  <c r="Q994" i="8"/>
  <c r="P994" i="8"/>
  <c r="Q1062" i="8"/>
  <c r="P1062" i="8"/>
  <c r="P4089" i="8"/>
  <c r="Q4089" i="8"/>
  <c r="Q4025" i="8"/>
  <c r="P4025" i="8"/>
  <c r="Q3961" i="8"/>
  <c r="P3961" i="8"/>
  <c r="Q3865" i="8"/>
  <c r="P3865" i="8"/>
  <c r="Q3801" i="8"/>
  <c r="P3801" i="8"/>
  <c r="P3725" i="8"/>
  <c r="Q3725" i="8"/>
  <c r="P3661" i="8"/>
  <c r="Q3661" i="8"/>
  <c r="P3589" i="8"/>
  <c r="Q3589" i="8"/>
  <c r="Q3525" i="8"/>
  <c r="P3525" i="8"/>
  <c r="Q3453" i="8"/>
  <c r="P3453" i="8"/>
  <c r="Q3389" i="8"/>
  <c r="P3389" i="8"/>
  <c r="Q3289" i="8"/>
  <c r="P3289" i="8"/>
  <c r="Q3225" i="8"/>
  <c r="P3225" i="8"/>
  <c r="P2937" i="8"/>
  <c r="Q2937" i="8"/>
  <c r="P2873" i="8"/>
  <c r="Q2873" i="8"/>
  <c r="P2809" i="8"/>
  <c r="Q2809" i="8"/>
  <c r="P2705" i="8"/>
  <c r="Q2705" i="8"/>
  <c r="P2641" i="8"/>
  <c r="Q2641" i="8"/>
  <c r="Q2577" i="8"/>
  <c r="P2577" i="8"/>
  <c r="Q2513" i="8"/>
  <c r="P2513" i="8"/>
  <c r="P2437" i="8"/>
  <c r="Q2437" i="8"/>
  <c r="P2373" i="8"/>
  <c r="Q2373" i="8"/>
  <c r="P2301" i="8"/>
  <c r="Q2301" i="8"/>
  <c r="P2237" i="8"/>
  <c r="Q2237" i="8"/>
  <c r="P2173" i="8"/>
  <c r="Q2173" i="8"/>
  <c r="P2109" i="8"/>
  <c r="Q2109" i="8"/>
  <c r="P2045" i="8"/>
  <c r="Q2045" i="8"/>
  <c r="P1981" i="8"/>
  <c r="Q1981" i="8"/>
  <c r="P1917" i="8"/>
  <c r="Q1917" i="8"/>
  <c r="Q3150" i="8"/>
  <c r="P3150" i="8"/>
  <c r="Q3086" i="8"/>
  <c r="P3086" i="8"/>
  <c r="Q3022" i="8"/>
  <c r="P3022" i="8"/>
  <c r="Q2950" i="8"/>
  <c r="P2950" i="8"/>
  <c r="Q1805" i="8"/>
  <c r="P1805" i="8"/>
  <c r="Q1741" i="8"/>
  <c r="P1741" i="8"/>
  <c r="Q1677" i="8"/>
  <c r="P1677" i="8"/>
  <c r="Q1601" i="8"/>
  <c r="P1601" i="8"/>
  <c r="Q1537" i="8"/>
  <c r="P1537" i="8"/>
  <c r="Q1461" i="8"/>
  <c r="P1461" i="8"/>
  <c r="Q1397" i="8"/>
  <c r="P1397" i="8"/>
  <c r="Q1333" i="8"/>
  <c r="P1333" i="8"/>
  <c r="P1269" i="8"/>
  <c r="Q1269" i="8"/>
  <c r="P1205" i="8"/>
  <c r="Q1205" i="8"/>
  <c r="P1129" i="8"/>
  <c r="Q1129" i="8"/>
  <c r="Q56" i="8"/>
  <c r="P56" i="8"/>
  <c r="Q134" i="8"/>
  <c r="P134" i="8"/>
  <c r="Q198" i="8"/>
  <c r="P198" i="8"/>
  <c r="Q296" i="8"/>
  <c r="P296" i="8"/>
  <c r="Q360" i="8"/>
  <c r="P360" i="8"/>
  <c r="Q424" i="8"/>
  <c r="P424" i="8"/>
  <c r="Q488" i="8"/>
  <c r="P488" i="8"/>
  <c r="Q552" i="8"/>
  <c r="P552" i="8"/>
  <c r="Q706" i="8"/>
  <c r="P706" i="8"/>
  <c r="Q760" i="8"/>
  <c r="P760" i="8"/>
  <c r="Q823" i="8"/>
  <c r="P823" i="8"/>
  <c r="Q891" i="8"/>
  <c r="P891" i="8"/>
  <c r="Q953" i="8"/>
  <c r="P953" i="8"/>
  <c r="Q1025" i="8"/>
  <c r="P1025" i="8"/>
  <c r="Q1098" i="8"/>
  <c r="P1098" i="8"/>
  <c r="P4054" i="8"/>
  <c r="Q4054" i="8"/>
  <c r="Q3990" i="8"/>
  <c r="P3990" i="8"/>
  <c r="Q3918" i="8"/>
  <c r="P3918" i="8"/>
  <c r="Q3854" i="8"/>
  <c r="P3854" i="8"/>
  <c r="Q3790" i="8"/>
  <c r="P3790" i="8"/>
  <c r="P3714" i="8"/>
  <c r="Q3714" i="8"/>
  <c r="P3650" i="8"/>
  <c r="Q3650" i="8"/>
  <c r="P3586" i="8"/>
  <c r="Q3586" i="8"/>
  <c r="P3522" i="8"/>
  <c r="Q3522" i="8"/>
  <c r="P3454" i="8"/>
  <c r="Q3454" i="8"/>
  <c r="Q3390" i="8"/>
  <c r="P3390" i="8"/>
  <c r="P3290" i="8"/>
  <c r="Q3290" i="8"/>
  <c r="P3226" i="8"/>
  <c r="Q3226" i="8"/>
  <c r="P2938" i="8"/>
  <c r="Q2938" i="8"/>
  <c r="P2874" i="8"/>
  <c r="Q2874" i="8"/>
  <c r="P2810" i="8"/>
  <c r="Q2810" i="8"/>
  <c r="P2706" i="8"/>
  <c r="Q2706" i="8"/>
  <c r="P2642" i="8"/>
  <c r="Q2642" i="8"/>
  <c r="P2578" i="8"/>
  <c r="Q2578" i="8"/>
  <c r="P2514" i="8"/>
  <c r="Q2514" i="8"/>
  <c r="P2414" i="8"/>
  <c r="Q2414" i="8"/>
  <c r="P2350" i="8"/>
  <c r="Q2350" i="8"/>
  <c r="P2278" i="8"/>
  <c r="Q2278" i="8"/>
  <c r="P2214" i="8"/>
  <c r="Q2214" i="8"/>
  <c r="P2150" i="8"/>
  <c r="Q2150" i="8"/>
  <c r="P2086" i="8"/>
  <c r="Q2086" i="8"/>
  <c r="P2022" i="8"/>
  <c r="Q2022" i="8"/>
  <c r="P1958" i="8"/>
  <c r="Q1958" i="8"/>
  <c r="P1894" i="8"/>
  <c r="Q1894" i="8"/>
  <c r="Q3127" i="8"/>
  <c r="P3127" i="8"/>
  <c r="Q3063" i="8"/>
  <c r="P3063" i="8"/>
  <c r="Q2991" i="8"/>
  <c r="P2991" i="8"/>
  <c r="Q1846" i="8"/>
  <c r="P1846" i="8"/>
  <c r="Q1782" i="8"/>
  <c r="P1782" i="8"/>
  <c r="Q1718" i="8"/>
  <c r="P1718" i="8"/>
  <c r="Q1642" i="8"/>
  <c r="P1642" i="8"/>
  <c r="Q1578" i="8"/>
  <c r="P1578" i="8"/>
  <c r="P1502" i="8"/>
  <c r="Q1502" i="8"/>
  <c r="P1438" i="8"/>
  <c r="Q1438" i="8"/>
  <c r="P1374" i="8"/>
  <c r="Q1374" i="8"/>
  <c r="P1310" i="8"/>
  <c r="Q1310" i="8"/>
  <c r="Q1246" i="8"/>
  <c r="P1246" i="8"/>
  <c r="Q1182" i="8"/>
  <c r="P1182" i="8"/>
  <c r="P47" i="8"/>
  <c r="Q47" i="8"/>
  <c r="Q115" i="8"/>
  <c r="P115" i="8"/>
  <c r="Q147" i="8"/>
  <c r="P147" i="8"/>
  <c r="Q179" i="8"/>
  <c r="P179" i="8"/>
  <c r="Q211" i="8"/>
  <c r="P211" i="8"/>
  <c r="P295" i="8"/>
  <c r="Q295" i="8"/>
  <c r="P327" i="8"/>
  <c r="Q327" i="8"/>
  <c r="P359" i="8"/>
  <c r="Q359" i="8"/>
  <c r="P535" i="8"/>
  <c r="Q535" i="8"/>
  <c r="P575" i="8"/>
  <c r="Q575" i="8"/>
  <c r="P639" i="8"/>
  <c r="Q639" i="8"/>
  <c r="Q687" i="8"/>
  <c r="P687" i="8"/>
  <c r="Q789" i="8"/>
  <c r="P789" i="8"/>
  <c r="Q849" i="8"/>
  <c r="P849" i="8"/>
  <c r="Q908" i="8"/>
  <c r="P908" i="8"/>
  <c r="Q976" i="8"/>
  <c r="P976" i="8"/>
  <c r="Q1044" i="8"/>
  <c r="P1044" i="8"/>
  <c r="Q1104" i="8"/>
  <c r="P1104" i="8"/>
  <c r="Q4043" i="8"/>
  <c r="P4043" i="8"/>
  <c r="Q3979" i="8"/>
  <c r="P3979" i="8"/>
  <c r="Q3915" i="8"/>
  <c r="P3915" i="8"/>
  <c r="Q3851" i="8"/>
  <c r="P3851" i="8"/>
  <c r="Q3787" i="8"/>
  <c r="P3787" i="8"/>
  <c r="P3719" i="8"/>
  <c r="Q3719" i="8"/>
  <c r="P3655" i="8"/>
  <c r="Q3655" i="8"/>
  <c r="P3591" i="8"/>
  <c r="Q3591" i="8"/>
  <c r="Q3527" i="8"/>
  <c r="P3527" i="8"/>
  <c r="Q3463" i="8"/>
  <c r="P3463" i="8"/>
  <c r="Q3399" i="8"/>
  <c r="P3399" i="8"/>
  <c r="Q3335" i="8"/>
  <c r="P3335" i="8"/>
  <c r="Q3267" i="8"/>
  <c r="P3267" i="8"/>
  <c r="Q3203" i="8"/>
  <c r="P3203" i="8"/>
  <c r="P2883" i="8"/>
  <c r="Q2883" i="8"/>
  <c r="P2819" i="8"/>
  <c r="Q2819" i="8"/>
  <c r="P2755" i="8"/>
  <c r="Q2755" i="8"/>
  <c r="P2679" i="8"/>
  <c r="Q2679" i="8"/>
  <c r="Q2615" i="8"/>
  <c r="P2615" i="8"/>
  <c r="Q2551" i="8"/>
  <c r="P2551" i="8"/>
  <c r="Q2487" i="8"/>
  <c r="P2487" i="8"/>
  <c r="P2411" i="8"/>
  <c r="Q2411" i="8"/>
  <c r="P2347" i="8"/>
  <c r="Q2347" i="8"/>
  <c r="P2283" i="8"/>
  <c r="Q2283" i="8"/>
  <c r="P2219" i="8"/>
  <c r="Q2219" i="8"/>
  <c r="P2155" i="8"/>
  <c r="Q2155" i="8"/>
  <c r="P2091" i="8"/>
  <c r="Q2091" i="8"/>
  <c r="P1143" i="8"/>
  <c r="Q1143" i="8"/>
  <c r="P1207" i="8"/>
  <c r="Q1207" i="8"/>
  <c r="P1271" i="8"/>
  <c r="Q1271" i="8"/>
  <c r="Q1335" i="8"/>
  <c r="P1335" i="8"/>
  <c r="Q1399" i="8"/>
  <c r="P1399" i="8"/>
  <c r="Q1463" i="8"/>
  <c r="P1463" i="8"/>
  <c r="Q1531" i="8"/>
  <c r="P1531" i="8"/>
  <c r="Q1595" i="8"/>
  <c r="P1595" i="8"/>
  <c r="Q1659" i="8"/>
  <c r="P1659" i="8"/>
  <c r="Q1727" i="8"/>
  <c r="P1727" i="8"/>
  <c r="Q1791" i="8"/>
  <c r="P1791" i="8"/>
  <c r="Q1855" i="8"/>
  <c r="P1855" i="8"/>
  <c r="Q3000" i="8"/>
  <c r="P3000" i="8"/>
  <c r="Q3068" i="8"/>
  <c r="P3068" i="8"/>
  <c r="Q3132" i="8"/>
  <c r="P3132" i="8"/>
  <c r="P1899" i="8"/>
  <c r="Q1899" i="8"/>
  <c r="P1963" i="8"/>
  <c r="Q1963" i="8"/>
  <c r="P2027" i="8"/>
  <c r="Q2027" i="8"/>
  <c r="P1183" i="8"/>
  <c r="Q1183" i="8"/>
  <c r="P1247" i="8"/>
  <c r="Q1247" i="8"/>
  <c r="Q1311" i="8"/>
  <c r="P1311" i="8"/>
  <c r="Q1375" i="8"/>
  <c r="P1375" i="8"/>
  <c r="Q1439" i="8"/>
  <c r="P1439" i="8"/>
  <c r="P1503" i="8"/>
  <c r="Q1503" i="8"/>
  <c r="Q1571" i="8"/>
  <c r="P1571" i="8"/>
  <c r="Q1635" i="8"/>
  <c r="P1635" i="8"/>
  <c r="Q1719" i="8"/>
  <c r="P1719" i="8"/>
  <c r="Q1783" i="8"/>
  <c r="P1783" i="8"/>
  <c r="Q1847" i="8"/>
  <c r="P1847" i="8"/>
  <c r="Q2992" i="8"/>
  <c r="P2992" i="8"/>
  <c r="Q3060" i="8"/>
  <c r="P3060" i="8"/>
  <c r="Q3124" i="8"/>
  <c r="P3124" i="8"/>
  <c r="P1891" i="8"/>
  <c r="Q1891" i="8"/>
  <c r="P1955" i="8"/>
  <c r="Q1955" i="8"/>
  <c r="P2019" i="8"/>
  <c r="Q2019" i="8"/>
  <c r="P2099" i="8"/>
  <c r="Q2099" i="8"/>
  <c r="P2163" i="8"/>
  <c r="Q2163" i="8"/>
  <c r="P2227" i="8"/>
  <c r="Q2227" i="8"/>
  <c r="P2291" i="8"/>
  <c r="Q2291" i="8"/>
  <c r="P2355" i="8"/>
  <c r="Q2355" i="8"/>
  <c r="P2419" i="8"/>
  <c r="Q2419" i="8"/>
  <c r="Q2495" i="8"/>
  <c r="P2495" i="8"/>
  <c r="Q2559" i="8"/>
  <c r="P2559" i="8"/>
  <c r="Q2623" i="8"/>
  <c r="P2623" i="8"/>
  <c r="P2687" i="8"/>
  <c r="Q2687" i="8"/>
  <c r="P2763" i="8"/>
  <c r="Q2763" i="8"/>
  <c r="P2827" i="8"/>
  <c r="Q2827" i="8"/>
  <c r="P2891" i="8"/>
  <c r="Q2891" i="8"/>
  <c r="Q3179" i="8"/>
  <c r="P3179" i="8"/>
  <c r="P1127" i="8"/>
  <c r="Q1127" i="8"/>
  <c r="P1191" i="8"/>
  <c r="Q1191" i="8"/>
  <c r="P1255" i="8"/>
  <c r="Q1255" i="8"/>
  <c r="Q1319" i="8"/>
  <c r="P1319" i="8"/>
  <c r="Q1383" i="8"/>
  <c r="P1383" i="8"/>
  <c r="Q1447" i="8"/>
  <c r="P1447" i="8"/>
  <c r="Q1547" i="8"/>
  <c r="P1547" i="8"/>
  <c r="Q1611" i="8"/>
  <c r="P1611" i="8"/>
  <c r="Q1679" i="8"/>
  <c r="P1679" i="8"/>
  <c r="Q1743" i="8"/>
  <c r="P1743" i="8"/>
  <c r="Q1807" i="8"/>
  <c r="P1807" i="8"/>
  <c r="Q2952" i="8"/>
  <c r="P2952" i="8"/>
  <c r="Q3020" i="8"/>
  <c r="P3020" i="8"/>
  <c r="Q3084" i="8"/>
  <c r="P3084" i="8"/>
  <c r="Q3148" i="8"/>
  <c r="P3148" i="8"/>
  <c r="P1915" i="8"/>
  <c r="Q1915" i="8"/>
  <c r="P1979" i="8"/>
  <c r="Q1979" i="8"/>
  <c r="P1135" i="8"/>
  <c r="Q1135" i="8"/>
  <c r="P1231" i="8"/>
  <c r="Q1231" i="8"/>
  <c r="Q1295" i="8"/>
  <c r="P1295" i="8"/>
  <c r="Q1359" i="8"/>
  <c r="P1359" i="8"/>
  <c r="Q1423" i="8"/>
  <c r="P1423" i="8"/>
  <c r="P1487" i="8"/>
  <c r="Q1487" i="8"/>
  <c r="Q1555" i="8"/>
  <c r="P1555" i="8"/>
  <c r="Q1619" i="8"/>
  <c r="P1619" i="8"/>
  <c r="Q1703" i="8"/>
  <c r="P1703" i="8"/>
  <c r="Q1767" i="8"/>
  <c r="P1767" i="8"/>
  <c r="Q1831" i="8"/>
  <c r="P1831" i="8"/>
  <c r="Q2976" i="8"/>
  <c r="P2976" i="8"/>
  <c r="Q3044" i="8"/>
  <c r="P3044" i="8"/>
  <c r="Q3108" i="8"/>
  <c r="P3108" i="8"/>
  <c r="P1875" i="8"/>
  <c r="Q1875" i="8"/>
  <c r="P1939" i="8"/>
  <c r="Q1939" i="8"/>
  <c r="P2003" i="8"/>
  <c r="Q2003" i="8"/>
  <c r="P2083" i="8"/>
  <c r="Q2083" i="8"/>
  <c r="P2147" i="8"/>
  <c r="Q2147" i="8"/>
  <c r="P2211" i="8"/>
  <c r="Q2211" i="8"/>
  <c r="P2275" i="8"/>
  <c r="Q2275" i="8"/>
  <c r="P2339" i="8"/>
  <c r="Q2339" i="8"/>
  <c r="P2403" i="8"/>
  <c r="Q2403" i="8"/>
  <c r="P2467" i="8"/>
  <c r="Q2467" i="8"/>
  <c r="Q2543" i="8"/>
  <c r="P2543" i="8"/>
  <c r="Q2607" i="8"/>
  <c r="P2607" i="8"/>
  <c r="P2671" i="8"/>
  <c r="Q2671" i="8"/>
  <c r="P2735" i="8"/>
  <c r="Q2735" i="8"/>
  <c r="P2811" i="8"/>
  <c r="Q2811" i="8"/>
  <c r="P2875" i="8"/>
  <c r="Q2875" i="8"/>
  <c r="P2939" i="8"/>
  <c r="Q2939" i="8"/>
  <c r="Q3227" i="8"/>
  <c r="P3227" i="8"/>
  <c r="Q1120" i="8"/>
  <c r="P1120" i="8"/>
  <c r="I136" i="5"/>
  <c r="I11" i="5"/>
  <c r="T82" i="1" s="1"/>
  <c r="I27" i="5"/>
  <c r="I43" i="5"/>
  <c r="I59" i="5"/>
  <c r="I75" i="5"/>
  <c r="I91" i="5"/>
  <c r="I107" i="5"/>
  <c r="I123" i="5"/>
  <c r="I6" i="5"/>
  <c r="I22" i="5"/>
  <c r="I38" i="5"/>
  <c r="I54" i="5"/>
  <c r="I70" i="5"/>
  <c r="I86" i="5"/>
  <c r="I102" i="5"/>
  <c r="I118" i="5"/>
  <c r="I134" i="5"/>
  <c r="I13" i="5"/>
  <c r="I29" i="5"/>
  <c r="I45" i="5"/>
  <c r="V93" i="1" s="1"/>
  <c r="I61" i="5"/>
  <c r="I77" i="5"/>
  <c r="I93" i="5"/>
  <c r="I109" i="5"/>
  <c r="I125" i="5"/>
  <c r="I8" i="5"/>
  <c r="I24" i="5"/>
  <c r="I40" i="5"/>
  <c r="I56" i="5"/>
  <c r="I72" i="5"/>
  <c r="U104" i="1" s="1"/>
  <c r="I88" i="5"/>
  <c r="I104" i="5"/>
  <c r="I120" i="5"/>
  <c r="U124" i="1" s="1"/>
  <c r="I15" i="5"/>
  <c r="I31" i="5"/>
  <c r="I47" i="5"/>
  <c r="I63" i="5"/>
  <c r="T101" i="1" s="1"/>
  <c r="I79" i="5"/>
  <c r="I95" i="5"/>
  <c r="I111" i="5"/>
  <c r="I127" i="5"/>
  <c r="T128" i="1" s="1"/>
  <c r="I2" i="5"/>
  <c r="I18" i="5"/>
  <c r="I34" i="5"/>
  <c r="I50" i="5"/>
  <c r="I66" i="5"/>
  <c r="I82" i="5"/>
  <c r="I98" i="5"/>
  <c r="I114" i="5"/>
  <c r="I130" i="5"/>
  <c r="I9" i="5"/>
  <c r="I25" i="5"/>
  <c r="I41" i="5"/>
  <c r="I57" i="5"/>
  <c r="I73" i="5"/>
  <c r="V104" i="1" s="1"/>
  <c r="I89" i="5"/>
  <c r="I105" i="5"/>
  <c r="I121" i="5"/>
  <c r="I137" i="5"/>
  <c r="I12" i="5"/>
  <c r="I28" i="5"/>
  <c r="I44" i="5"/>
  <c r="U93" i="1" s="1"/>
  <c r="I60" i="5"/>
  <c r="I76" i="5"/>
  <c r="I92" i="5"/>
  <c r="I108" i="5"/>
  <c r="I124" i="5"/>
  <c r="I3" i="5"/>
  <c r="I19" i="5"/>
  <c r="T84" i="1" s="1"/>
  <c r="I35" i="5"/>
  <c r="I51" i="5"/>
  <c r="I67" i="5"/>
  <c r="I83" i="5"/>
  <c r="I99" i="5"/>
  <c r="I115" i="5"/>
  <c r="I131" i="5"/>
  <c r="I14" i="5"/>
  <c r="I30" i="5"/>
  <c r="I46" i="5"/>
  <c r="I62" i="5"/>
  <c r="I78" i="5"/>
  <c r="I94" i="5"/>
  <c r="I110" i="5"/>
  <c r="I126" i="5"/>
  <c r="I5" i="5"/>
  <c r="I21" i="5"/>
  <c r="I37" i="5"/>
  <c r="I53" i="5"/>
  <c r="I69" i="5"/>
  <c r="I85" i="5"/>
  <c r="I101" i="5"/>
  <c r="I117" i="5"/>
  <c r="I133" i="5"/>
  <c r="I16" i="5"/>
  <c r="I32" i="5"/>
  <c r="I48" i="5"/>
  <c r="I64" i="5"/>
  <c r="I80" i="5"/>
  <c r="I96" i="5"/>
  <c r="I112" i="5"/>
  <c r="U122" i="1" s="1"/>
  <c r="I128" i="5"/>
  <c r="U128" i="1" s="1"/>
  <c r="I7" i="5"/>
  <c r="T81" i="1" s="1"/>
  <c r="I23" i="5"/>
  <c r="I39" i="5"/>
  <c r="I55" i="5"/>
  <c r="I71" i="5"/>
  <c r="I87" i="5"/>
  <c r="I103" i="5"/>
  <c r="I119" i="5"/>
  <c r="T124" i="1" s="1"/>
  <c r="I135" i="5"/>
  <c r="I10" i="5"/>
  <c r="I26" i="5"/>
  <c r="I86" i="1" s="1"/>
  <c r="I42" i="5"/>
  <c r="I93" i="1" s="1"/>
  <c r="I58" i="5"/>
  <c r="I74" i="5"/>
  <c r="I90" i="5"/>
  <c r="I106" i="5"/>
  <c r="I122" i="5"/>
  <c r="I17" i="5"/>
  <c r="I33" i="5"/>
  <c r="I49" i="5"/>
  <c r="I65" i="5"/>
  <c r="I81" i="5"/>
  <c r="I97" i="5"/>
  <c r="I113" i="5"/>
  <c r="V122" i="1" s="1"/>
  <c r="I129" i="5"/>
  <c r="I4" i="5"/>
  <c r="I20" i="5"/>
  <c r="I36" i="5"/>
  <c r="I52" i="5"/>
  <c r="I68" i="5"/>
  <c r="I84" i="5"/>
  <c r="I100" i="5"/>
  <c r="I116" i="5"/>
  <c r="I132" i="5"/>
  <c r="J2" i="5"/>
  <c r="J130" i="5"/>
  <c r="J115" i="5"/>
  <c r="J102" i="5"/>
  <c r="J89" i="5"/>
  <c r="J74" i="5"/>
  <c r="J58" i="5"/>
  <c r="J45" i="5"/>
  <c r="J19" i="5"/>
  <c r="J124" i="5"/>
  <c r="J103" i="5"/>
  <c r="J80" i="5"/>
  <c r="J66" i="5"/>
  <c r="J47" i="5"/>
  <c r="J31" i="5"/>
  <c r="J23" i="5"/>
  <c r="J14" i="5"/>
  <c r="J126" i="5"/>
  <c r="J112" i="5"/>
  <c r="J100" i="5"/>
  <c r="J86" i="5"/>
  <c r="J71" i="5"/>
  <c r="J54" i="5"/>
  <c r="J11" i="5"/>
  <c r="J134" i="5"/>
  <c r="J120" i="5"/>
  <c r="J110" i="5"/>
  <c r="J97" i="5"/>
  <c r="J83" i="5"/>
  <c r="J69" i="5"/>
  <c r="J52" i="5"/>
  <c r="J37" i="5"/>
  <c r="J7" i="5"/>
  <c r="J135" i="5"/>
  <c r="J113" i="5"/>
  <c r="J91" i="5"/>
  <c r="J75" i="5"/>
  <c r="J60" i="5"/>
  <c r="J42" i="5"/>
  <c r="J27" i="5"/>
  <c r="J18" i="5"/>
  <c r="J6" i="5"/>
  <c r="J132" i="5"/>
  <c r="J117" i="5"/>
  <c r="J105" i="5"/>
  <c r="J94" i="5"/>
  <c r="J81" i="5"/>
  <c r="J61" i="5"/>
  <c r="J50" i="5"/>
  <c r="J35" i="5"/>
  <c r="J4" i="5"/>
  <c r="J127" i="5"/>
  <c r="J108" i="5"/>
  <c r="J87" i="5"/>
  <c r="J68" i="5"/>
  <c r="J55" i="5"/>
  <c r="J34" i="5"/>
  <c r="J25" i="5"/>
  <c r="J16" i="5"/>
  <c r="J39" i="5"/>
  <c r="J121" i="5"/>
  <c r="J96" i="5"/>
  <c r="J77" i="5"/>
  <c r="J64" i="5"/>
  <c r="J44" i="5"/>
  <c r="J29" i="5"/>
  <c r="J21" i="5"/>
  <c r="J10" i="5"/>
  <c r="J12" i="5"/>
  <c r="J22" i="5"/>
  <c r="Y85" i="1" s="1"/>
  <c r="J30" i="5"/>
  <c r="J46" i="5"/>
  <c r="J65" i="5"/>
  <c r="J78" i="5"/>
  <c r="J98" i="5"/>
  <c r="J122" i="5"/>
  <c r="J9" i="5"/>
  <c r="J38" i="5"/>
  <c r="Y92" i="1" s="1"/>
  <c r="J53" i="5"/>
  <c r="J70" i="5"/>
  <c r="Y104" i="1" s="1"/>
  <c r="J85" i="5"/>
  <c r="J99" i="5"/>
  <c r="J111" i="5"/>
  <c r="J123" i="5"/>
  <c r="J136" i="5"/>
  <c r="J15" i="5"/>
  <c r="J24" i="5"/>
  <c r="J32" i="5"/>
  <c r="J49" i="5"/>
  <c r="J67" i="5"/>
  <c r="J84" i="5"/>
  <c r="J106" i="5"/>
  <c r="J125" i="5"/>
  <c r="J13" i="5"/>
  <c r="J41" i="5"/>
  <c r="J56" i="5"/>
  <c r="J72" i="5"/>
  <c r="J88" i="5"/>
  <c r="J101" i="5"/>
  <c r="J114" i="5"/>
  <c r="Y123" i="1" s="1"/>
  <c r="J128" i="5"/>
  <c r="J3" i="5"/>
  <c r="J17" i="5"/>
  <c r="J26" i="5"/>
  <c r="Y86" i="1" s="1"/>
  <c r="J40" i="5"/>
  <c r="J57" i="5"/>
  <c r="J73" i="5"/>
  <c r="J90" i="5"/>
  <c r="Y114" i="1" s="1"/>
  <c r="J109" i="5"/>
  <c r="J129" i="5"/>
  <c r="J33" i="5"/>
  <c r="J48" i="5"/>
  <c r="J59" i="5"/>
  <c r="J79" i="5"/>
  <c r="J93" i="5"/>
  <c r="J104" i="5"/>
  <c r="J116" i="5"/>
  <c r="J131" i="5"/>
  <c r="J8" i="5"/>
  <c r="J20" i="5"/>
  <c r="J28" i="5"/>
  <c r="J43" i="5"/>
  <c r="J62" i="5"/>
  <c r="J76" i="5"/>
  <c r="J92" i="5"/>
  <c r="J119" i="5"/>
  <c r="J137" i="5"/>
  <c r="J5" i="5"/>
  <c r="J36" i="5"/>
  <c r="J51" i="5"/>
  <c r="J63" i="5"/>
  <c r="J82" i="5"/>
  <c r="Y110" i="1" s="1"/>
  <c r="J95" i="5"/>
  <c r="J107" i="5"/>
  <c r="J118" i="5"/>
  <c r="J133" i="5"/>
  <c r="F10" i="3"/>
  <c r="M1167" i="8"/>
  <c r="M1515" i="8"/>
  <c r="F9" i="3"/>
  <c r="M2915" i="8"/>
  <c r="M263" i="8"/>
  <c r="M2482" i="8"/>
  <c r="M2778" i="8"/>
  <c r="M3326" i="8"/>
  <c r="M264" i="8"/>
  <c r="M2777" i="8"/>
  <c r="M3325" i="8"/>
  <c r="M3929" i="8"/>
  <c r="M1023" i="8"/>
  <c r="M265" i="8"/>
  <c r="M1518" i="8"/>
  <c r="M3019" i="8"/>
  <c r="M1169" i="8"/>
  <c r="M1168" i="8"/>
  <c r="M1296" i="8"/>
  <c r="M3480" i="8"/>
  <c r="M2914" i="8"/>
  <c r="M2913" i="8"/>
  <c r="M1676" i="8"/>
  <c r="M1675" i="8"/>
  <c r="M866" i="8"/>
  <c r="M105" i="8"/>
  <c r="M1674" i="8"/>
  <c r="M2322" i="8"/>
  <c r="M2750" i="8"/>
  <c r="M3174" i="8"/>
  <c r="M3646" i="8"/>
  <c r="M3778" i="8"/>
  <c r="M3173" i="8"/>
  <c r="M1516" i="8"/>
  <c r="M3479" i="8"/>
  <c r="M3931" i="8"/>
  <c r="M864" i="8"/>
  <c r="M107" i="8"/>
  <c r="M1166" i="8"/>
  <c r="M1294" i="8"/>
  <c r="M2776" i="8"/>
  <c r="M1021" i="8"/>
  <c r="M2751" i="8"/>
  <c r="M3175" i="8"/>
  <c r="M3930" i="8"/>
  <c r="M1022" i="8"/>
  <c r="M865" i="8"/>
  <c r="M106" i="8"/>
  <c r="M1517" i="8"/>
  <c r="M3018" i="8"/>
  <c r="M2749" i="8"/>
  <c r="M3649" i="8"/>
  <c r="M3781" i="8"/>
  <c r="M3017" i="8"/>
  <c r="M2748" i="8"/>
  <c r="M3172" i="8"/>
  <c r="M863" i="8"/>
  <c r="M262" i="8"/>
  <c r="M104" i="8"/>
  <c r="M3327" i="8"/>
  <c r="M3647" i="8"/>
  <c r="M3779" i="8"/>
  <c r="M1020" i="8"/>
  <c r="M3482" i="8"/>
  <c r="M1293" i="8"/>
  <c r="M2916" i="8"/>
  <c r="M2319" i="8"/>
  <c r="M2483" i="8"/>
  <c r="M1673" i="8"/>
  <c r="M2321" i="8"/>
  <c r="M2485" i="8"/>
  <c r="M3481" i="8"/>
  <c r="M2320" i="8"/>
  <c r="M2484" i="8"/>
  <c r="M3328" i="8"/>
  <c r="M3648" i="8"/>
  <c r="M3780" i="8"/>
  <c r="Q78" i="8"/>
  <c r="P78" i="8"/>
  <c r="Q208" i="8"/>
  <c r="P208" i="8"/>
  <c r="Q396" i="8"/>
  <c r="P396" i="8"/>
  <c r="Q526" i="8"/>
  <c r="P526" i="8"/>
  <c r="Q574" i="8"/>
  <c r="P574" i="8"/>
  <c r="Q638" i="8"/>
  <c r="P638" i="8"/>
  <c r="Q766" i="8"/>
  <c r="P766" i="8"/>
  <c r="Q906" i="8"/>
  <c r="P906" i="8"/>
  <c r="Q1042" i="8"/>
  <c r="P1042" i="8"/>
  <c r="P4048" i="8"/>
  <c r="Q4048" i="8"/>
  <c r="Q3984" i="8"/>
  <c r="P3984" i="8"/>
  <c r="P3744" i="8"/>
  <c r="Q3744" i="8"/>
  <c r="P3584" i="8"/>
  <c r="Q3584" i="8"/>
  <c r="P3456" i="8"/>
  <c r="Q3456" i="8"/>
  <c r="P3292" i="8"/>
  <c r="Q3292" i="8"/>
  <c r="P2944" i="8"/>
  <c r="Q2944" i="8"/>
  <c r="P2740" i="8"/>
  <c r="Q2740" i="8"/>
  <c r="P2676" i="8"/>
  <c r="Q2676" i="8"/>
  <c r="P2548" i="8"/>
  <c r="Q2548" i="8"/>
  <c r="P2384" i="8"/>
  <c r="Q2384" i="8"/>
  <c r="P2224" i="8"/>
  <c r="Q2224" i="8"/>
  <c r="P2096" i="8"/>
  <c r="Q2096" i="8"/>
  <c r="Q1968" i="8"/>
  <c r="P1968" i="8"/>
  <c r="P1904" i="8"/>
  <c r="Q1904" i="8"/>
  <c r="Q3009" i="8"/>
  <c r="P3009" i="8"/>
  <c r="Q1864" i="8"/>
  <c r="P1864" i="8"/>
  <c r="Q1736" i="8"/>
  <c r="P1736" i="8"/>
  <c r="Q1596" i="8"/>
  <c r="P1596" i="8"/>
  <c r="Q1532" i="8"/>
  <c r="P1532" i="8"/>
  <c r="P1400" i="8"/>
  <c r="Q1400" i="8"/>
  <c r="P1336" i="8"/>
  <c r="Q1336" i="8"/>
  <c r="Q1208" i="8"/>
  <c r="P1208" i="8"/>
  <c r="P23" i="8"/>
  <c r="Q23" i="8"/>
  <c r="Q239" i="8"/>
  <c r="P239" i="8"/>
  <c r="Q433" i="8"/>
  <c r="P433" i="8"/>
  <c r="P497" i="8"/>
  <c r="Q497" i="8"/>
  <c r="P617" i="8"/>
  <c r="Q617" i="8"/>
  <c r="P701" i="8"/>
  <c r="Q701" i="8"/>
  <c r="Q853" i="8"/>
  <c r="P853" i="8"/>
  <c r="Q982" i="8"/>
  <c r="P982" i="8"/>
  <c r="Q1113" i="8"/>
  <c r="P1113" i="8"/>
  <c r="Q3901" i="8"/>
  <c r="P3901" i="8"/>
  <c r="Q3837" i="8"/>
  <c r="P3837" i="8"/>
  <c r="P3705" i="8"/>
  <c r="Q3705" i="8"/>
  <c r="P3577" i="8"/>
  <c r="Q3577" i="8"/>
  <c r="Q3513" i="8"/>
  <c r="P3513" i="8"/>
  <c r="Q3353" i="8"/>
  <c r="P3353" i="8"/>
  <c r="Q3221" i="8"/>
  <c r="P3221" i="8"/>
  <c r="P2869" i="8"/>
  <c r="Q2869" i="8"/>
  <c r="P2805" i="8"/>
  <c r="Q2805" i="8"/>
  <c r="Q2613" i="8"/>
  <c r="P2613" i="8"/>
  <c r="Q2549" i="8"/>
  <c r="P2549" i="8"/>
  <c r="P2385" i="8"/>
  <c r="Q2385" i="8"/>
  <c r="P2225" i="8"/>
  <c r="Q2225" i="8"/>
  <c r="P2097" i="8"/>
  <c r="Q2097" i="8"/>
  <c r="P2033" i="8"/>
  <c r="Q2033" i="8"/>
  <c r="P1905" i="8"/>
  <c r="Q1905" i="8"/>
  <c r="Q3138" i="8"/>
  <c r="P3138" i="8"/>
  <c r="Q3074" i="8"/>
  <c r="P3074" i="8"/>
  <c r="Q3010" i="8"/>
  <c r="P3010" i="8"/>
  <c r="Q1865" i="8"/>
  <c r="P1865" i="8"/>
  <c r="Q1801" i="8"/>
  <c r="P1801" i="8"/>
  <c r="Q1737" i="8"/>
  <c r="P1737" i="8"/>
  <c r="Q1637" i="8"/>
  <c r="P1637" i="8"/>
  <c r="Q1573" i="8"/>
  <c r="P1573" i="8"/>
  <c r="P1505" i="8"/>
  <c r="Q1505" i="8"/>
  <c r="Q1441" i="8"/>
  <c r="P1441" i="8"/>
  <c r="Q1377" i="8"/>
  <c r="P1377" i="8"/>
  <c r="Q1313" i="8"/>
  <c r="P1313" i="8"/>
  <c r="P1241" i="8"/>
  <c r="Q1241" i="8"/>
  <c r="P1177" i="8"/>
  <c r="Q1177" i="8"/>
  <c r="Q12" i="8"/>
  <c r="P12" i="8"/>
  <c r="Q76" i="8"/>
  <c r="P76" i="8"/>
  <c r="Q146" i="8"/>
  <c r="P146" i="8"/>
  <c r="Q210" i="8"/>
  <c r="P210" i="8"/>
  <c r="Q284" i="8"/>
  <c r="P284" i="8"/>
  <c r="Q348" i="8"/>
  <c r="P348" i="8"/>
  <c r="Q412" i="8"/>
  <c r="P412" i="8"/>
  <c r="Q476" i="8"/>
  <c r="P476" i="8"/>
  <c r="Q540" i="8"/>
  <c r="P540" i="8"/>
  <c r="Q692" i="8"/>
  <c r="P692" i="8"/>
  <c r="Q748" i="8"/>
  <c r="P748" i="8"/>
  <c r="Q810" i="8"/>
  <c r="P810" i="8"/>
  <c r="Q872" i="8"/>
  <c r="P872" i="8"/>
  <c r="Q934" i="8"/>
  <c r="P934" i="8"/>
  <c r="Q998" i="8"/>
  <c r="P998" i="8"/>
  <c r="Q1068" i="8"/>
  <c r="P1068" i="8"/>
  <c r="P4082" i="8"/>
  <c r="Q4082" i="8"/>
  <c r="Q4018" i="8"/>
  <c r="P4018" i="8"/>
  <c r="Q3954" i="8"/>
  <c r="P3954" i="8"/>
  <c r="Q3890" i="8"/>
  <c r="P3890" i="8"/>
  <c r="Q3826" i="8"/>
  <c r="P3826" i="8"/>
  <c r="Q3758" i="8"/>
  <c r="P3758" i="8"/>
  <c r="P3694" i="8"/>
  <c r="Q3694" i="8"/>
  <c r="P3630" i="8"/>
  <c r="Q3630" i="8"/>
  <c r="P3566" i="8"/>
  <c r="Q3566" i="8"/>
  <c r="P3502" i="8"/>
  <c r="Q3502" i="8"/>
  <c r="P3426" i="8"/>
  <c r="Q3426" i="8"/>
  <c r="Q3362" i="8"/>
  <c r="P3362" i="8"/>
  <c r="P3286" i="8"/>
  <c r="Q3286" i="8"/>
  <c r="P3222" i="8"/>
  <c r="Q3222" i="8"/>
  <c r="P2942" i="8"/>
  <c r="Q2942" i="8"/>
  <c r="P2870" i="8"/>
  <c r="Q2870" i="8"/>
  <c r="P2806" i="8"/>
  <c r="Q2806" i="8"/>
  <c r="P2734" i="8"/>
  <c r="Q2734" i="8"/>
  <c r="P2670" i="8"/>
  <c r="Q2670" i="8"/>
  <c r="P2606" i="8"/>
  <c r="Q2606" i="8"/>
  <c r="P2542" i="8"/>
  <c r="Q2542" i="8"/>
  <c r="P2466" i="8"/>
  <c r="Q2466" i="8"/>
  <c r="P2402" i="8"/>
  <c r="Q2402" i="8"/>
  <c r="P2338" i="8"/>
  <c r="Q2338" i="8"/>
  <c r="P2274" i="8"/>
  <c r="Q2274" i="8"/>
  <c r="P2210" i="8"/>
  <c r="Q2210" i="8"/>
  <c r="P2146" i="8"/>
  <c r="Q2146" i="8"/>
  <c r="P2082" i="8"/>
  <c r="Q2082" i="8"/>
  <c r="P2018" i="8"/>
  <c r="Q2018" i="8"/>
  <c r="P1954" i="8"/>
  <c r="Q1954" i="8"/>
  <c r="P1890" i="8"/>
  <c r="Q1890" i="8"/>
  <c r="Q3123" i="8"/>
  <c r="P3123" i="8"/>
  <c r="Q3059" i="8"/>
  <c r="P3059" i="8"/>
  <c r="Q2995" i="8"/>
  <c r="P2995" i="8"/>
  <c r="Q1850" i="8"/>
  <c r="P1850" i="8"/>
  <c r="Q1786" i="8"/>
  <c r="P1786" i="8"/>
  <c r="Q1722" i="8"/>
  <c r="P1722" i="8"/>
  <c r="Q1654" i="8"/>
  <c r="P1654" i="8"/>
  <c r="Q1590" i="8"/>
  <c r="P1590" i="8"/>
  <c r="Q1526" i="8"/>
  <c r="P1526" i="8"/>
  <c r="P1458" i="8"/>
  <c r="Q1458" i="8"/>
  <c r="P1394" i="8"/>
  <c r="Q1394" i="8"/>
  <c r="P1330" i="8"/>
  <c r="Q1330" i="8"/>
  <c r="Q1258" i="8"/>
  <c r="P1258" i="8"/>
  <c r="Q1194" i="8"/>
  <c r="P1194" i="8"/>
  <c r="Q1122" i="8"/>
  <c r="P1122" i="8"/>
  <c r="Q113" i="8"/>
  <c r="P113" i="8"/>
  <c r="Q145" i="8"/>
  <c r="P145" i="8"/>
  <c r="Q177" i="8"/>
  <c r="P177" i="8"/>
  <c r="Q209" i="8"/>
  <c r="P209" i="8"/>
  <c r="P277" i="8"/>
  <c r="Q277" i="8"/>
  <c r="P309" i="8"/>
  <c r="Q309" i="8"/>
  <c r="P341" i="8"/>
  <c r="Q341" i="8"/>
  <c r="P373" i="8"/>
  <c r="Q373" i="8"/>
  <c r="P549" i="8"/>
  <c r="Q549" i="8"/>
  <c r="P603" i="8"/>
  <c r="Q603" i="8"/>
  <c r="P667" i="8"/>
  <c r="Q667" i="8"/>
  <c r="P745" i="8"/>
  <c r="Q745" i="8"/>
  <c r="Q816" i="8"/>
  <c r="P816" i="8"/>
  <c r="Q878" i="8"/>
  <c r="P878" i="8"/>
  <c r="Q943" i="8"/>
  <c r="P943" i="8"/>
  <c r="Q1014" i="8"/>
  <c r="P1014" i="8"/>
  <c r="Q1077" i="8"/>
  <c r="P1077" i="8"/>
  <c r="P4071" i="8"/>
  <c r="Q4071" i="8"/>
  <c r="Q4007" i="8"/>
  <c r="P4007" i="8"/>
  <c r="Q3943" i="8"/>
  <c r="P3943" i="8"/>
  <c r="Q3871" i="8"/>
  <c r="P3871" i="8"/>
  <c r="Q3807" i="8"/>
  <c r="P3807" i="8"/>
  <c r="P3731" i="8"/>
  <c r="Q3731" i="8"/>
  <c r="P3667" i="8"/>
  <c r="Q3667" i="8"/>
  <c r="P3603" i="8"/>
  <c r="Q3603" i="8"/>
  <c r="Q3539" i="8"/>
  <c r="P3539" i="8"/>
  <c r="Q3467" i="8"/>
  <c r="P3467" i="8"/>
  <c r="Q3403" i="8"/>
  <c r="P3403" i="8"/>
  <c r="Q3339" i="8"/>
  <c r="P3339" i="8"/>
  <c r="Q3263" i="8"/>
  <c r="P3263" i="8"/>
  <c r="Q3199" i="8"/>
  <c r="P3199" i="8"/>
  <c r="P2919" i="8"/>
  <c r="Q2919" i="8"/>
  <c r="P2847" i="8"/>
  <c r="Q2847" i="8"/>
  <c r="P2783" i="8"/>
  <c r="Q2783" i="8"/>
  <c r="P2707" i="8"/>
  <c r="Q2707" i="8"/>
  <c r="P2643" i="8"/>
  <c r="Q2643" i="8"/>
  <c r="Q2579" i="8"/>
  <c r="P2579" i="8"/>
  <c r="Q2515" i="8"/>
  <c r="P2515" i="8"/>
  <c r="P2415" i="8"/>
  <c r="Q2415" i="8"/>
  <c r="P2351" i="8"/>
  <c r="Q2351" i="8"/>
  <c r="P2255" i="8"/>
  <c r="Q2255" i="8"/>
  <c r="P2191" i="8"/>
  <c r="Q2191" i="8"/>
  <c r="P2127" i="8"/>
  <c r="Q2127" i="8"/>
  <c r="P2063" i="8"/>
  <c r="Q2063" i="8"/>
  <c r="P1999" i="8"/>
  <c r="Q1999" i="8"/>
  <c r="P1935" i="8"/>
  <c r="Q1935" i="8"/>
  <c r="P1871" i="8"/>
  <c r="Q1871" i="8"/>
  <c r="Q3104" i="8"/>
  <c r="P3104" i="8"/>
  <c r="Q3040" i="8"/>
  <c r="P3040" i="8"/>
  <c r="Q2964" i="8"/>
  <c r="P2964" i="8"/>
  <c r="Q1819" i="8"/>
  <c r="P1819" i="8"/>
  <c r="Q1755" i="8"/>
  <c r="P1755" i="8"/>
  <c r="Q1691" i="8"/>
  <c r="P1691" i="8"/>
  <c r="Q1623" i="8"/>
  <c r="P1623" i="8"/>
  <c r="Q1559" i="8"/>
  <c r="P1559" i="8"/>
  <c r="P1483" i="8"/>
  <c r="Q1483" i="8"/>
  <c r="Q1419" i="8"/>
  <c r="P1419" i="8"/>
  <c r="Q1355" i="8"/>
  <c r="P1355" i="8"/>
  <c r="P1275" i="8"/>
  <c r="Q1275" i="8"/>
  <c r="P1211" i="8"/>
  <c r="Q1211" i="8"/>
  <c r="P1139" i="8"/>
  <c r="Q1139" i="8"/>
  <c r="Q42" i="8"/>
  <c r="P42" i="8"/>
  <c r="Q116" i="8"/>
  <c r="P116" i="8"/>
  <c r="Q180" i="8"/>
  <c r="P180" i="8"/>
  <c r="Q244" i="8"/>
  <c r="P244" i="8"/>
  <c r="Q314" i="8"/>
  <c r="P314" i="8"/>
  <c r="Q378" i="8"/>
  <c r="P378" i="8"/>
  <c r="Q442" i="8"/>
  <c r="P442" i="8"/>
  <c r="Q506" i="8"/>
  <c r="P506" i="8"/>
  <c r="Q564" i="8"/>
  <c r="P564" i="8"/>
  <c r="Q596" i="8"/>
  <c r="P596" i="8"/>
  <c r="Q628" i="8"/>
  <c r="P628" i="8"/>
  <c r="Q674" i="8"/>
  <c r="P674" i="8"/>
  <c r="Q742" i="8"/>
  <c r="P742" i="8"/>
  <c r="Q811" i="8"/>
  <c r="P811" i="8"/>
  <c r="Q884" i="8"/>
  <c r="P884" i="8"/>
  <c r="Q949" i="8"/>
  <c r="P949" i="8"/>
  <c r="Q1012" i="8"/>
  <c r="P1012" i="8"/>
  <c r="Q1075" i="8"/>
  <c r="P1075" i="8"/>
  <c r="P4076" i="8"/>
  <c r="Q4076" i="8"/>
  <c r="Q4012" i="8"/>
  <c r="P4012" i="8"/>
  <c r="Q3948" i="8"/>
  <c r="P3948" i="8"/>
  <c r="Q3880" i="8"/>
  <c r="P3880" i="8"/>
  <c r="Q3816" i="8"/>
  <c r="P3816" i="8"/>
  <c r="P3740" i="8"/>
  <c r="Q3740" i="8"/>
  <c r="P3676" i="8"/>
  <c r="Q3676" i="8"/>
  <c r="P3604" i="8"/>
  <c r="Q3604" i="8"/>
  <c r="P3540" i="8"/>
  <c r="Q3540" i="8"/>
  <c r="P3468" i="8"/>
  <c r="Q3468" i="8"/>
  <c r="Q3404" i="8"/>
  <c r="P3404" i="8"/>
  <c r="Q3340" i="8"/>
  <c r="P3340" i="8"/>
  <c r="P3264" i="8"/>
  <c r="Q3264" i="8"/>
  <c r="P3200" i="8"/>
  <c r="Q3200" i="8"/>
  <c r="P2880" i="8"/>
  <c r="Q2880" i="8"/>
  <c r="P2816" i="8"/>
  <c r="Q2816" i="8"/>
  <c r="P2752" i="8"/>
  <c r="Q2752" i="8"/>
  <c r="P2680" i="8"/>
  <c r="Q2680" i="8"/>
  <c r="P2616" i="8"/>
  <c r="Q2616" i="8"/>
  <c r="P2552" i="8"/>
  <c r="Q2552" i="8"/>
  <c r="P2488" i="8"/>
  <c r="Q2488" i="8"/>
  <c r="P2412" i="8"/>
  <c r="Q2412" i="8"/>
  <c r="P2348" i="8"/>
  <c r="Q2348" i="8"/>
  <c r="P2284" i="8"/>
  <c r="Q2284" i="8"/>
  <c r="P2220" i="8"/>
  <c r="Q2220" i="8"/>
  <c r="P2156" i="8"/>
  <c r="Q2156" i="8"/>
  <c r="P2092" i="8"/>
  <c r="Q2092" i="8"/>
  <c r="P2028" i="8"/>
  <c r="Q2028" i="8"/>
  <c r="Q1964" i="8"/>
  <c r="P1964" i="8"/>
  <c r="P1900" i="8"/>
  <c r="Q1900" i="8"/>
  <c r="Q3133" i="8"/>
  <c r="P3133" i="8"/>
  <c r="Q3069" i="8"/>
  <c r="P3069" i="8"/>
  <c r="Q2997" i="8"/>
  <c r="P2997" i="8"/>
  <c r="Q1852" i="8"/>
  <c r="P1852" i="8"/>
  <c r="Q1788" i="8"/>
  <c r="P1788" i="8"/>
  <c r="Q1724" i="8"/>
  <c r="P1724" i="8"/>
  <c r="Q1656" i="8"/>
  <c r="P1656" i="8"/>
  <c r="Q1592" i="8"/>
  <c r="P1592" i="8"/>
  <c r="Q1528" i="8"/>
  <c r="P1528" i="8"/>
  <c r="P1452" i="8"/>
  <c r="Q1452" i="8"/>
  <c r="P1388" i="8"/>
  <c r="Q1388" i="8"/>
  <c r="P1324" i="8"/>
  <c r="Q1324" i="8"/>
  <c r="Q1244" i="8"/>
  <c r="P1244" i="8"/>
  <c r="Q1180" i="8"/>
  <c r="P1180" i="8"/>
  <c r="P17" i="8"/>
  <c r="Q17" i="8"/>
  <c r="P59" i="8"/>
  <c r="Q59" i="8"/>
  <c r="Q233" i="8"/>
  <c r="P233" i="8"/>
  <c r="P381" i="8"/>
  <c r="Q381" i="8"/>
  <c r="Q427" i="8"/>
  <c r="P427" i="8"/>
  <c r="Q459" i="8"/>
  <c r="P459" i="8"/>
  <c r="P491" i="8"/>
  <c r="Q491" i="8"/>
  <c r="P523" i="8"/>
  <c r="Q523" i="8"/>
  <c r="P605" i="8"/>
  <c r="Q605" i="8"/>
  <c r="P669" i="8"/>
  <c r="Q669" i="8"/>
  <c r="P727" i="8"/>
  <c r="Q727" i="8"/>
  <c r="Q777" i="8"/>
  <c r="P777" i="8"/>
  <c r="Q842" i="8"/>
  <c r="P842" i="8"/>
  <c r="Q904" i="8"/>
  <c r="P904" i="8"/>
  <c r="Q969" i="8"/>
  <c r="P969" i="8"/>
  <c r="Q1040" i="8"/>
  <c r="P1040" i="8"/>
  <c r="Q1100" i="8"/>
  <c r="P1100" i="8"/>
  <c r="P4049" i="8"/>
  <c r="Q4049" i="8"/>
  <c r="Q3985" i="8"/>
  <c r="P3985" i="8"/>
  <c r="Q3921" i="8"/>
  <c r="P3921" i="8"/>
  <c r="Q3857" i="8"/>
  <c r="P3857" i="8"/>
  <c r="Q3793" i="8"/>
  <c r="P3793" i="8"/>
  <c r="P3717" i="8"/>
  <c r="Q3717" i="8"/>
  <c r="P3653" i="8"/>
  <c r="Q3653" i="8"/>
  <c r="P3581" i="8"/>
  <c r="Q3581" i="8"/>
  <c r="Q3517" i="8"/>
  <c r="P3517" i="8"/>
  <c r="Q3445" i="8"/>
  <c r="P3445" i="8"/>
  <c r="Q3381" i="8"/>
  <c r="P3381" i="8"/>
  <c r="Q3313" i="8"/>
  <c r="P3313" i="8"/>
  <c r="Q3249" i="8"/>
  <c r="P3249" i="8"/>
  <c r="Q3185" i="8"/>
  <c r="P3185" i="8"/>
  <c r="P2897" i="8"/>
  <c r="Q2897" i="8"/>
  <c r="P2833" i="8"/>
  <c r="Q2833" i="8"/>
  <c r="P2769" i="8"/>
  <c r="Q2769" i="8"/>
  <c r="P2697" i="8"/>
  <c r="Q2697" i="8"/>
  <c r="P2633" i="8"/>
  <c r="Q2633" i="8"/>
  <c r="Q2569" i="8"/>
  <c r="P2569" i="8"/>
  <c r="Q2505" i="8"/>
  <c r="P2505" i="8"/>
  <c r="P2429" i="8"/>
  <c r="Q2429" i="8"/>
  <c r="P2365" i="8"/>
  <c r="Q2365" i="8"/>
  <c r="P2293" i="8"/>
  <c r="Q2293" i="8"/>
  <c r="P2229" i="8"/>
  <c r="Q2229" i="8"/>
  <c r="P2165" i="8"/>
  <c r="Q2165" i="8"/>
  <c r="P2101" i="8"/>
  <c r="Q2101" i="8"/>
  <c r="P2037" i="8"/>
  <c r="Q2037" i="8"/>
  <c r="P1973" i="8"/>
  <c r="Q1973" i="8"/>
  <c r="P1909" i="8"/>
  <c r="Q1909" i="8"/>
  <c r="Q3142" i="8"/>
  <c r="P3142" i="8"/>
  <c r="Q3078" i="8"/>
  <c r="P3078" i="8"/>
  <c r="Q3006" i="8"/>
  <c r="P3006" i="8"/>
  <c r="Q1861" i="8"/>
  <c r="P1861" i="8"/>
  <c r="Q1797" i="8"/>
  <c r="P1797" i="8"/>
  <c r="Q1733" i="8"/>
  <c r="P1733" i="8"/>
  <c r="Q1657" i="8"/>
  <c r="P1657" i="8"/>
  <c r="Q1593" i="8"/>
  <c r="P1593" i="8"/>
  <c r="Q1529" i="8"/>
  <c r="P1529" i="8"/>
  <c r="Q1453" i="8"/>
  <c r="P1453" i="8"/>
  <c r="Q1389" i="8"/>
  <c r="P1389" i="8"/>
  <c r="Q1325" i="8"/>
  <c r="P1325" i="8"/>
  <c r="P1229" i="8"/>
  <c r="Q1229" i="8"/>
  <c r="P1153" i="8"/>
  <c r="Q1153" i="8"/>
  <c r="Q32" i="8"/>
  <c r="P32" i="8"/>
  <c r="Q110" i="8"/>
  <c r="P110" i="8"/>
  <c r="Q174" i="8"/>
  <c r="P174" i="8"/>
  <c r="Q238" i="8"/>
  <c r="P238" i="8"/>
  <c r="Q304" i="8"/>
  <c r="P304" i="8"/>
  <c r="Q368" i="8"/>
  <c r="P368" i="8"/>
  <c r="Q432" i="8"/>
  <c r="P432" i="8"/>
  <c r="Q496" i="8"/>
  <c r="P496" i="8"/>
  <c r="Q640" i="8"/>
  <c r="P640" i="8"/>
  <c r="Q714" i="8"/>
  <c r="P714" i="8"/>
  <c r="Q768" i="8"/>
  <c r="P768" i="8"/>
  <c r="Q831" i="8"/>
  <c r="P831" i="8"/>
  <c r="Q899" i="8"/>
  <c r="P899" i="8"/>
  <c r="Q961" i="8"/>
  <c r="P961" i="8"/>
  <c r="Q1033" i="8"/>
  <c r="P1033" i="8"/>
  <c r="Q1106" i="8"/>
  <c r="P1106" i="8"/>
  <c r="Q4046" i="8"/>
  <c r="P4046" i="8"/>
  <c r="Q3982" i="8"/>
  <c r="P3982" i="8"/>
  <c r="Q3910" i="8"/>
  <c r="P3910" i="8"/>
  <c r="Q3846" i="8"/>
  <c r="P3846" i="8"/>
  <c r="Q3782" i="8"/>
  <c r="P3782" i="8"/>
  <c r="P3706" i="8"/>
  <c r="Q3706" i="8"/>
  <c r="P3642" i="8"/>
  <c r="Q3642" i="8"/>
  <c r="P3578" i="8"/>
  <c r="Q3578" i="8"/>
  <c r="P3514" i="8"/>
  <c r="Q3514" i="8"/>
  <c r="Q3414" i="8"/>
  <c r="P3414" i="8"/>
  <c r="Q3350" i="8"/>
  <c r="P3350" i="8"/>
  <c r="P3282" i="8"/>
  <c r="Q3282" i="8"/>
  <c r="P3218" i="8"/>
  <c r="Q3218" i="8"/>
  <c r="P2930" i="8"/>
  <c r="Q2930" i="8"/>
  <c r="P2866" i="8"/>
  <c r="Q2866" i="8"/>
  <c r="P2802" i="8"/>
  <c r="Q2802" i="8"/>
  <c r="P2730" i="8"/>
  <c r="Q2730" i="8"/>
  <c r="P2666" i="8"/>
  <c r="Q2666" i="8"/>
  <c r="P2602" i="8"/>
  <c r="Q2602" i="8"/>
  <c r="P2538" i="8"/>
  <c r="Q2538" i="8"/>
  <c r="P2470" i="8"/>
  <c r="Q2470" i="8"/>
  <c r="P2406" i="8"/>
  <c r="Q2406" i="8"/>
  <c r="P2342" i="8"/>
  <c r="Q2342" i="8"/>
  <c r="P2270" i="8"/>
  <c r="Q2270" i="8"/>
  <c r="P2206" i="8"/>
  <c r="Q2206" i="8"/>
  <c r="P2142" i="8"/>
  <c r="Q2142" i="8"/>
  <c r="P2078" i="8"/>
  <c r="Q2078" i="8"/>
  <c r="P2014" i="8"/>
  <c r="Q2014" i="8"/>
  <c r="P1950" i="8"/>
  <c r="Q1950" i="8"/>
  <c r="Q1886" i="8"/>
  <c r="P1886" i="8"/>
  <c r="Q3119" i="8"/>
  <c r="P3119" i="8"/>
  <c r="Q3055" i="8"/>
  <c r="P3055" i="8"/>
  <c r="Q2983" i="8"/>
  <c r="P2983" i="8"/>
  <c r="Q1838" i="8"/>
  <c r="P1838" i="8"/>
  <c r="Q1774" i="8"/>
  <c r="P1774" i="8"/>
  <c r="Q1710" i="8"/>
  <c r="P1710" i="8"/>
  <c r="Q1634" i="8"/>
  <c r="P1634" i="8"/>
  <c r="Q1570" i="8"/>
  <c r="P1570" i="8"/>
  <c r="P1494" i="8"/>
  <c r="Q1494" i="8"/>
  <c r="P1430" i="8"/>
  <c r="Q1430" i="8"/>
  <c r="P1366" i="8"/>
  <c r="Q1366" i="8"/>
  <c r="P1302" i="8"/>
  <c r="Q1302" i="8"/>
  <c r="Q1238" i="8"/>
  <c r="P1238" i="8"/>
  <c r="Q1174" i="8"/>
  <c r="P1174" i="8"/>
  <c r="P51" i="8"/>
  <c r="Q51" i="8"/>
  <c r="Q119" i="8"/>
  <c r="P119" i="8"/>
  <c r="Q151" i="8"/>
  <c r="P151" i="8"/>
  <c r="Q183" i="8"/>
  <c r="P183" i="8"/>
  <c r="Q215" i="8"/>
  <c r="P215" i="8"/>
  <c r="P283" i="8"/>
  <c r="Q283" i="8"/>
  <c r="P315" i="8"/>
  <c r="Q315" i="8"/>
  <c r="P347" i="8"/>
  <c r="Q347" i="8"/>
  <c r="P399" i="8"/>
  <c r="Q399" i="8"/>
  <c r="P555" i="8"/>
  <c r="Q555" i="8"/>
  <c r="P615" i="8"/>
  <c r="Q615" i="8"/>
  <c r="Q675" i="8"/>
  <c r="P675" i="8"/>
  <c r="P757" i="8"/>
  <c r="Q757" i="8"/>
  <c r="Q829" i="8"/>
  <c r="P829" i="8"/>
  <c r="Q883" i="8"/>
  <c r="P883" i="8"/>
  <c r="Q948" i="8"/>
  <c r="P948" i="8"/>
  <c r="Q1050" i="8"/>
  <c r="P1050" i="8"/>
  <c r="Q1112" i="8"/>
  <c r="P1112" i="8"/>
  <c r="Q4035" i="8"/>
  <c r="P4035" i="8"/>
  <c r="Q3971" i="8"/>
  <c r="P3971" i="8"/>
  <c r="Q3907" i="8"/>
  <c r="P3907" i="8"/>
  <c r="Q3843" i="8"/>
  <c r="P3843" i="8"/>
  <c r="P3743" i="8"/>
  <c r="Q3743" i="8"/>
  <c r="P3679" i="8"/>
  <c r="Q3679" i="8"/>
  <c r="P3583" i="8"/>
  <c r="Q3583" i="8"/>
  <c r="Q3519" i="8"/>
  <c r="P3519" i="8"/>
  <c r="Q3455" i="8"/>
  <c r="P3455" i="8"/>
  <c r="Q3391" i="8"/>
  <c r="P3391" i="8"/>
  <c r="Q3291" i="8"/>
  <c r="P3291" i="8"/>
  <c r="Q6" i="8"/>
  <c r="P6" i="8"/>
  <c r="Q70" i="8"/>
  <c r="P70" i="8"/>
  <c r="Q168" i="8"/>
  <c r="P168" i="8"/>
  <c r="Q232" i="8"/>
  <c r="P232" i="8"/>
  <c r="Q326" i="8"/>
  <c r="P326" i="8"/>
  <c r="Q390" i="8"/>
  <c r="P390" i="8"/>
  <c r="Q454" i="8"/>
  <c r="P454" i="8"/>
  <c r="Q518" i="8"/>
  <c r="P518" i="8"/>
  <c r="Q570" i="8"/>
  <c r="P570" i="8"/>
  <c r="Q602" i="8"/>
  <c r="P602" i="8"/>
  <c r="Q634" i="8"/>
  <c r="P634" i="8"/>
  <c r="Q686" i="8"/>
  <c r="P686" i="8"/>
  <c r="Q758" i="8"/>
  <c r="P758" i="8"/>
  <c r="Q822" i="8"/>
  <c r="P822" i="8"/>
  <c r="Q930" i="8"/>
  <c r="P930" i="8"/>
  <c r="Q991" i="8"/>
  <c r="P991" i="8"/>
  <c r="Q1064" i="8"/>
  <c r="P1064" i="8"/>
  <c r="P4088" i="8"/>
  <c r="Q4088" i="8"/>
  <c r="Q4024" i="8"/>
  <c r="P4024" i="8"/>
  <c r="Q3960" i="8"/>
  <c r="P3960" i="8"/>
  <c r="Q3884" i="8"/>
  <c r="P3884" i="8"/>
  <c r="Q3820" i="8"/>
  <c r="P3820" i="8"/>
  <c r="Q3752" i="8"/>
  <c r="P3752" i="8"/>
  <c r="P3688" i="8"/>
  <c r="Q3688" i="8"/>
  <c r="P3624" i="8"/>
  <c r="Q3624" i="8"/>
  <c r="P3560" i="8"/>
  <c r="Q3560" i="8"/>
  <c r="P3496" i="8"/>
  <c r="Q3496" i="8"/>
  <c r="P3432" i="8"/>
  <c r="Q3432" i="8"/>
  <c r="Q3368" i="8"/>
  <c r="P3368" i="8"/>
  <c r="P3300" i="8"/>
  <c r="Q3300" i="8"/>
  <c r="P3236" i="8"/>
  <c r="Q3236" i="8"/>
  <c r="P2920" i="8"/>
  <c r="Q2920" i="8"/>
  <c r="P2844" i="8"/>
  <c r="Q2844" i="8"/>
  <c r="P2780" i="8"/>
  <c r="Q2780" i="8"/>
  <c r="P2684" i="8"/>
  <c r="Q2684" i="8"/>
  <c r="P2620" i="8"/>
  <c r="Q2620" i="8"/>
  <c r="P2556" i="8"/>
  <c r="Q2556" i="8"/>
  <c r="P2492" i="8"/>
  <c r="Q2492" i="8"/>
  <c r="P2424" i="8"/>
  <c r="Q2424" i="8"/>
  <c r="P2360" i="8"/>
  <c r="Q2360" i="8"/>
  <c r="P2296" i="8"/>
  <c r="Q2296" i="8"/>
  <c r="P2232" i="8"/>
  <c r="Q2232" i="8"/>
  <c r="P2168" i="8"/>
  <c r="Q2168" i="8"/>
  <c r="P2104" i="8"/>
  <c r="Q2104" i="8"/>
  <c r="P2040" i="8"/>
  <c r="Q2040" i="8"/>
  <c r="P1976" i="8"/>
  <c r="Q1976" i="8"/>
  <c r="P1912" i="8"/>
  <c r="Q1912" i="8"/>
  <c r="Q3145" i="8"/>
  <c r="P3145" i="8"/>
  <c r="Q3081" i="8"/>
  <c r="P3081" i="8"/>
  <c r="Q2985" i="8"/>
  <c r="P2985" i="8"/>
  <c r="Q1840" i="8"/>
  <c r="P1840" i="8"/>
  <c r="Q1776" i="8"/>
  <c r="P1776" i="8"/>
  <c r="Q1712" i="8"/>
  <c r="P1712" i="8"/>
  <c r="Q1636" i="8"/>
  <c r="P1636" i="8"/>
  <c r="Q1572" i="8"/>
  <c r="P1572" i="8"/>
  <c r="P1504" i="8"/>
  <c r="Q1504" i="8"/>
  <c r="P1440" i="8"/>
  <c r="Q1440" i="8"/>
  <c r="P1376" i="8"/>
  <c r="Q1376" i="8"/>
  <c r="P1312" i="8"/>
  <c r="Q1312" i="8"/>
  <c r="Q1248" i="8"/>
  <c r="P1248" i="8"/>
  <c r="Q1184" i="8"/>
  <c r="P1184" i="8"/>
  <c r="P3" i="8"/>
  <c r="Q3" i="8"/>
  <c r="P35" i="8"/>
  <c r="Q35" i="8"/>
  <c r="P89" i="8"/>
  <c r="Q89" i="8"/>
  <c r="Q251" i="8"/>
  <c r="P251" i="8"/>
  <c r="Q413" i="8"/>
  <c r="P413" i="8"/>
  <c r="Q445" i="8"/>
  <c r="P445" i="8"/>
  <c r="Q477" i="8"/>
  <c r="P477" i="8"/>
  <c r="P509" i="8"/>
  <c r="Q509" i="8"/>
  <c r="P577" i="8"/>
  <c r="Q577" i="8"/>
  <c r="P641" i="8"/>
  <c r="Q641" i="8"/>
  <c r="P713" i="8"/>
  <c r="Q713" i="8"/>
  <c r="P751" i="8"/>
  <c r="Q751" i="8"/>
  <c r="Q812" i="8"/>
  <c r="P812" i="8"/>
  <c r="Q879" i="8"/>
  <c r="P879" i="8"/>
  <c r="Q944" i="8"/>
  <c r="P944" i="8"/>
  <c r="Q1003" i="8"/>
  <c r="P1003" i="8"/>
  <c r="Q1073" i="8"/>
  <c r="P1073" i="8"/>
  <c r="P4077" i="8"/>
  <c r="Q4077" i="8"/>
  <c r="Q4013" i="8"/>
  <c r="P4013" i="8"/>
  <c r="Q3949" i="8"/>
  <c r="P3949" i="8"/>
  <c r="Q3877" i="8"/>
  <c r="P3877" i="8"/>
  <c r="Q3813" i="8"/>
  <c r="P3813" i="8"/>
  <c r="P3713" i="8"/>
  <c r="Q3713" i="8"/>
  <c r="P3617" i="8"/>
  <c r="Q3617" i="8"/>
  <c r="P3553" i="8"/>
  <c r="Q3553" i="8"/>
  <c r="Q3489" i="8"/>
  <c r="P3489" i="8"/>
  <c r="Q3425" i="8"/>
  <c r="P3425" i="8"/>
  <c r="Q3361" i="8"/>
  <c r="P3361" i="8"/>
  <c r="Q3293" i="8"/>
  <c r="P3293" i="8"/>
  <c r="Q3229" i="8"/>
  <c r="P3229" i="8"/>
  <c r="Q2949" i="8"/>
  <c r="P2949" i="8"/>
  <c r="P2877" i="8"/>
  <c r="Q2877" i="8"/>
  <c r="P2813" i="8"/>
  <c r="Q2813" i="8"/>
  <c r="P2717" i="8"/>
  <c r="Q2717" i="8"/>
  <c r="P2653" i="8"/>
  <c r="Q2653" i="8"/>
  <c r="Q2589" i="8"/>
  <c r="P2589" i="8"/>
  <c r="Q2525" i="8"/>
  <c r="P2525" i="8"/>
  <c r="P2457" i="8"/>
  <c r="Q2457" i="8"/>
  <c r="P2393" i="8"/>
  <c r="Q2393" i="8"/>
  <c r="P2329" i="8"/>
  <c r="Q2329" i="8"/>
  <c r="P2265" i="8"/>
  <c r="Q2265" i="8"/>
  <c r="P2201" i="8"/>
  <c r="Q2201" i="8"/>
  <c r="P2137" i="8"/>
  <c r="Q2137" i="8"/>
  <c r="P2073" i="8"/>
  <c r="Q2073" i="8"/>
  <c r="P2009" i="8"/>
  <c r="Q2009" i="8"/>
  <c r="P1945" i="8"/>
  <c r="Q1945" i="8"/>
  <c r="P1881" i="8"/>
  <c r="Q1881" i="8"/>
  <c r="Q3114" i="8"/>
  <c r="P3114" i="8"/>
  <c r="Q3050" i="8"/>
  <c r="P3050" i="8"/>
  <c r="Q2954" i="8"/>
  <c r="P2954" i="8"/>
  <c r="Q1809" i="8"/>
  <c r="P1809" i="8"/>
  <c r="Q1745" i="8"/>
  <c r="P1745" i="8"/>
  <c r="Q1681" i="8"/>
  <c r="P1681" i="8"/>
  <c r="Q1613" i="8"/>
  <c r="P1613" i="8"/>
  <c r="Q1549" i="8"/>
  <c r="P1549" i="8"/>
  <c r="Q1449" i="8"/>
  <c r="P1449" i="8"/>
  <c r="Q1385" i="8"/>
  <c r="P1385" i="8"/>
  <c r="Q1321" i="8"/>
  <c r="P1321" i="8"/>
  <c r="P1249" i="8"/>
  <c r="Q1249" i="8"/>
  <c r="P1185" i="8"/>
  <c r="Q1185" i="8"/>
  <c r="Q4" i="8"/>
  <c r="P4" i="8"/>
  <c r="Q68" i="8"/>
  <c r="P68" i="8"/>
  <c r="Q170" i="8"/>
  <c r="P170" i="8"/>
  <c r="Q234" i="8"/>
  <c r="P234" i="8"/>
  <c r="Q308" i="8"/>
  <c r="P308" i="8"/>
  <c r="Q372" i="8"/>
  <c r="P372" i="8"/>
  <c r="Q436" i="8"/>
  <c r="P436" i="8"/>
  <c r="Q500" i="8"/>
  <c r="P500" i="8"/>
  <c r="Q644" i="8"/>
  <c r="P644" i="8"/>
  <c r="Q718" i="8"/>
  <c r="P718" i="8"/>
  <c r="Q770" i="8"/>
  <c r="P770" i="8"/>
  <c r="Q834" i="8"/>
  <c r="P834" i="8"/>
  <c r="Q926" i="8"/>
  <c r="P926" i="8"/>
  <c r="Q990" i="8"/>
  <c r="P990" i="8"/>
  <c r="Q1095" i="8"/>
  <c r="P1095" i="8"/>
  <c r="P4058" i="8"/>
  <c r="Q4058" i="8"/>
  <c r="Q3994" i="8"/>
  <c r="P3994" i="8"/>
  <c r="Q3898" i="8"/>
  <c r="P3898" i="8"/>
  <c r="Q3834" i="8"/>
  <c r="P3834" i="8"/>
  <c r="Q3766" i="8"/>
  <c r="P3766" i="8"/>
  <c r="P3702" i="8"/>
  <c r="Q3702" i="8"/>
  <c r="P3638" i="8"/>
  <c r="Q3638" i="8"/>
  <c r="P3574" i="8"/>
  <c r="Q3574" i="8"/>
  <c r="P3510" i="8"/>
  <c r="Q3510" i="8"/>
  <c r="P3434" i="8"/>
  <c r="Q3434" i="8"/>
  <c r="Q3370" i="8"/>
  <c r="P3370" i="8"/>
  <c r="P3294" i="8"/>
  <c r="Q3294" i="8"/>
  <c r="P3230" i="8"/>
  <c r="Q3230" i="8"/>
  <c r="P3166" i="8"/>
  <c r="Q3166" i="8"/>
  <c r="P2878" i="8"/>
  <c r="Q2878" i="8"/>
  <c r="P2814" i="8"/>
  <c r="Q2814" i="8"/>
  <c r="P2742" i="8"/>
  <c r="Q2742" i="8"/>
  <c r="P2678" i="8"/>
  <c r="Q2678" i="8"/>
  <c r="P2614" i="8"/>
  <c r="Q2614" i="8"/>
  <c r="P2550" i="8"/>
  <c r="Q2550" i="8"/>
  <c r="P2486" i="8"/>
  <c r="Q2486" i="8"/>
  <c r="P2410" i="8"/>
  <c r="Q2410" i="8"/>
  <c r="P2346" i="8"/>
  <c r="Q2346" i="8"/>
  <c r="P2282" i="8"/>
  <c r="Q2282" i="8"/>
  <c r="P2218" i="8"/>
  <c r="Q2218" i="8"/>
  <c r="P2154" i="8"/>
  <c r="Q2154" i="8"/>
  <c r="P2090" i="8"/>
  <c r="Q2090" i="8"/>
  <c r="P2026" i="8"/>
  <c r="Q2026" i="8"/>
  <c r="Q1962" i="8"/>
  <c r="P1962" i="8"/>
  <c r="P1898" i="8"/>
  <c r="Q1898" i="8"/>
  <c r="Q3131" i="8"/>
  <c r="P3131" i="8"/>
  <c r="Q3067" i="8"/>
  <c r="P3067" i="8"/>
  <c r="Q3003" i="8"/>
  <c r="P3003" i="8"/>
  <c r="Q1858" i="8"/>
  <c r="P1858" i="8"/>
  <c r="Q1794" i="8"/>
  <c r="P1794" i="8"/>
  <c r="Q1730" i="8"/>
  <c r="P1730" i="8"/>
  <c r="Q1662" i="8"/>
  <c r="P1662" i="8"/>
  <c r="Q1598" i="8"/>
  <c r="P1598" i="8"/>
  <c r="Q1534" i="8"/>
  <c r="P1534" i="8"/>
  <c r="P1466" i="8"/>
  <c r="Q1466" i="8"/>
  <c r="P1402" i="8"/>
  <c r="Q1402" i="8"/>
  <c r="P1338" i="8"/>
  <c r="Q1338" i="8"/>
  <c r="Q1266" i="8"/>
  <c r="P1266" i="8"/>
  <c r="Q1202" i="8"/>
  <c r="P1202" i="8"/>
  <c r="Q1130" i="8"/>
  <c r="P1130" i="8"/>
  <c r="Q109" i="8"/>
  <c r="P109" i="8"/>
  <c r="Q141" i="8"/>
  <c r="P141" i="8"/>
  <c r="Q173" i="8"/>
  <c r="P173" i="8"/>
  <c r="Q205" i="8"/>
  <c r="P205" i="8"/>
  <c r="P273" i="8"/>
  <c r="Q273" i="8"/>
  <c r="P305" i="8"/>
  <c r="Q305" i="8"/>
  <c r="P337" i="8"/>
  <c r="Q337" i="8"/>
  <c r="P369" i="8"/>
  <c r="Q369" i="8"/>
  <c r="P545" i="8"/>
  <c r="Q545" i="8"/>
  <c r="P595" i="8"/>
  <c r="Q595" i="8"/>
  <c r="P659" i="8"/>
  <c r="Q659" i="8"/>
  <c r="P735" i="8"/>
  <c r="Q735" i="8"/>
  <c r="Q808" i="8"/>
  <c r="P808" i="8"/>
  <c r="Q870" i="8"/>
  <c r="P870" i="8"/>
  <c r="Q935" i="8"/>
  <c r="P935" i="8"/>
  <c r="Q1006" i="8"/>
  <c r="P1006" i="8"/>
  <c r="Q1069" i="8"/>
  <c r="P1069" i="8"/>
  <c r="P4079" i="8"/>
  <c r="Q4079" i="8"/>
  <c r="Q4015" i="8"/>
  <c r="P4015" i="8"/>
  <c r="Q3951" i="8"/>
  <c r="P3951" i="8"/>
  <c r="Q3879" i="8"/>
  <c r="P3879" i="8"/>
  <c r="Q3815" i="8"/>
  <c r="P3815" i="8"/>
  <c r="P3739" i="8"/>
  <c r="Q3739" i="8"/>
  <c r="P3675" i="8"/>
  <c r="Q3675" i="8"/>
  <c r="P3611" i="8"/>
  <c r="Q3611" i="8"/>
  <c r="Q3547" i="8"/>
  <c r="P3547" i="8"/>
  <c r="Q3483" i="8"/>
  <c r="P3483" i="8"/>
  <c r="Q3411" i="8"/>
  <c r="P3411" i="8"/>
  <c r="Q3347" i="8"/>
  <c r="P3347" i="8"/>
  <c r="Q3271" i="8"/>
  <c r="P3271" i="8"/>
  <c r="Q3207" i="8"/>
  <c r="P3207" i="8"/>
  <c r="P2887" i="8"/>
  <c r="Q2887" i="8"/>
  <c r="P2823" i="8"/>
  <c r="Q2823" i="8"/>
  <c r="P2715" i="8"/>
  <c r="Q2715" i="8"/>
  <c r="P2651" i="8"/>
  <c r="Q2651" i="8"/>
  <c r="Q2587" i="8"/>
  <c r="P2587" i="8"/>
  <c r="Q2523" i="8"/>
  <c r="P2523" i="8"/>
  <c r="P2455" i="8"/>
  <c r="Q2455" i="8"/>
  <c r="P2391" i="8"/>
  <c r="Q2391" i="8"/>
  <c r="P2327" i="8"/>
  <c r="Q2327" i="8"/>
  <c r="P2263" i="8"/>
  <c r="Q2263" i="8"/>
  <c r="P2199" i="8"/>
  <c r="Q2199" i="8"/>
  <c r="P2135" i="8"/>
  <c r="Q2135" i="8"/>
  <c r="P2071" i="8"/>
  <c r="Q2071" i="8"/>
  <c r="P2007" i="8"/>
  <c r="Q2007" i="8"/>
  <c r="P1943" i="8"/>
  <c r="Q1943" i="8"/>
  <c r="P1879" i="8"/>
  <c r="Q1879" i="8"/>
  <c r="Q3112" i="8"/>
  <c r="P3112" i="8"/>
  <c r="Q3048" i="8"/>
  <c r="P3048" i="8"/>
  <c r="Q2972" i="8"/>
  <c r="P2972" i="8"/>
  <c r="Q1827" i="8"/>
  <c r="P1827" i="8"/>
  <c r="Q1763" i="8"/>
  <c r="P1763" i="8"/>
  <c r="Q1699" i="8"/>
  <c r="P1699" i="8"/>
  <c r="Q1631" i="8"/>
  <c r="P1631" i="8"/>
  <c r="Q1567" i="8"/>
  <c r="P1567" i="8"/>
  <c r="P1491" i="8"/>
  <c r="Q1491" i="8"/>
  <c r="Q1427" i="8"/>
  <c r="P1427" i="8"/>
  <c r="Q1363" i="8"/>
  <c r="P1363" i="8"/>
  <c r="Q1299" i="8"/>
  <c r="P1299" i="8"/>
  <c r="P1235" i="8"/>
  <c r="Q1235" i="8"/>
  <c r="P1171" i="8"/>
  <c r="Q1171" i="8"/>
  <c r="Q18" i="8"/>
  <c r="P18" i="8"/>
  <c r="Q82" i="8"/>
  <c r="P82" i="8"/>
  <c r="Q156" i="8"/>
  <c r="P156" i="8"/>
  <c r="Q220" i="8"/>
  <c r="P220" i="8"/>
  <c r="Q290" i="8"/>
  <c r="P290" i="8"/>
  <c r="Q354" i="8"/>
  <c r="P354" i="8"/>
  <c r="Q418" i="8"/>
  <c r="P418" i="8"/>
  <c r="Q482" i="8"/>
  <c r="P482" i="8"/>
  <c r="Q546" i="8"/>
  <c r="P546" i="8"/>
  <c r="Q584" i="8"/>
  <c r="P584" i="8"/>
  <c r="Q616" i="8"/>
  <c r="P616" i="8"/>
  <c r="Q660" i="8"/>
  <c r="P660" i="8"/>
  <c r="Q712" i="8"/>
  <c r="P712" i="8"/>
  <c r="Q787" i="8"/>
  <c r="P787" i="8"/>
  <c r="Q855" i="8"/>
  <c r="P855" i="8"/>
  <c r="Q925" i="8"/>
  <c r="P925" i="8"/>
  <c r="Q988" i="8"/>
  <c r="P988" i="8"/>
  <c r="Q1083" i="8"/>
  <c r="P1083" i="8"/>
  <c r="P4068" i="8"/>
  <c r="Q4068" i="8"/>
  <c r="Q4004" i="8"/>
  <c r="P4004" i="8"/>
  <c r="Q3940" i="8"/>
  <c r="P3940" i="8"/>
  <c r="Q3872" i="8"/>
  <c r="P3872" i="8"/>
  <c r="Q3808" i="8"/>
  <c r="P3808" i="8"/>
  <c r="P3732" i="8"/>
  <c r="Q3732" i="8"/>
  <c r="P3668" i="8"/>
  <c r="Q3668" i="8"/>
  <c r="P3596" i="8"/>
  <c r="Q3596" i="8"/>
  <c r="P3532" i="8"/>
  <c r="Q3532" i="8"/>
  <c r="P3460" i="8"/>
  <c r="Q3460" i="8"/>
  <c r="Q3396" i="8"/>
  <c r="P3396" i="8"/>
  <c r="Q3332" i="8"/>
  <c r="P3332" i="8"/>
  <c r="P3256" i="8"/>
  <c r="Q3256" i="8"/>
  <c r="P3192" i="8"/>
  <c r="Q3192" i="8"/>
  <c r="P2904" i="8"/>
  <c r="Q2904" i="8"/>
  <c r="P2840" i="8"/>
  <c r="Q2840" i="8"/>
  <c r="P2736" i="8"/>
  <c r="Q2736" i="8"/>
  <c r="P2672" i="8"/>
  <c r="Q2672" i="8"/>
  <c r="P2608" i="8"/>
  <c r="Q2608" i="8"/>
  <c r="P2544" i="8"/>
  <c r="Q2544" i="8"/>
  <c r="P2468" i="8"/>
  <c r="Q2468" i="8"/>
  <c r="P2404" i="8"/>
  <c r="Q2404" i="8"/>
  <c r="P2340" i="8"/>
  <c r="Q2340" i="8"/>
  <c r="P2276" i="8"/>
  <c r="Q2276" i="8"/>
  <c r="P2212" i="8"/>
  <c r="Q2212" i="8"/>
  <c r="P2148" i="8"/>
  <c r="Q2148" i="8"/>
  <c r="P2084" i="8"/>
  <c r="Q2084" i="8"/>
  <c r="P2020" i="8"/>
  <c r="Q2020" i="8"/>
  <c r="P1956" i="8"/>
  <c r="Q1956" i="8"/>
  <c r="P1892" i="8"/>
  <c r="Q1892" i="8"/>
  <c r="Q3125" i="8"/>
  <c r="P3125" i="8"/>
  <c r="Q3061" i="8"/>
  <c r="P3061" i="8"/>
  <c r="Q2989" i="8"/>
  <c r="P2989" i="8"/>
  <c r="Q1844" i="8"/>
  <c r="P1844" i="8"/>
  <c r="Q1780" i="8"/>
  <c r="P1780" i="8"/>
  <c r="Q1716" i="8"/>
  <c r="P1716" i="8"/>
  <c r="Q1648" i="8"/>
  <c r="P1648" i="8"/>
  <c r="Q1584" i="8"/>
  <c r="P1584" i="8"/>
  <c r="P1520" i="8"/>
  <c r="Q1520" i="8"/>
  <c r="P1444" i="8"/>
  <c r="Q1444" i="8"/>
  <c r="P1380" i="8"/>
  <c r="Q1380" i="8"/>
  <c r="P1316" i="8"/>
  <c r="Q1316" i="8"/>
  <c r="Q1252" i="8"/>
  <c r="P1252" i="8"/>
  <c r="Q1188" i="8"/>
  <c r="P1188" i="8"/>
  <c r="P5" i="8"/>
  <c r="Q5" i="8"/>
  <c r="P37" i="8"/>
  <c r="Q37" i="8"/>
  <c r="P91" i="8"/>
  <c r="Q91" i="8"/>
  <c r="Q253" i="8"/>
  <c r="P253" i="8"/>
  <c r="Q415" i="8"/>
  <c r="P415" i="8"/>
  <c r="Q447" i="8"/>
  <c r="P447" i="8"/>
  <c r="Q479" i="8"/>
  <c r="P479" i="8"/>
  <c r="P511" i="8"/>
  <c r="Q511" i="8"/>
  <c r="P581" i="8"/>
  <c r="Q581" i="8"/>
  <c r="P645" i="8"/>
  <c r="Q645" i="8"/>
  <c r="P715" i="8"/>
  <c r="Q715" i="8"/>
  <c r="P763" i="8"/>
  <c r="Q763" i="8"/>
  <c r="Q817" i="8"/>
  <c r="P817" i="8"/>
  <c r="Q882" i="8"/>
  <c r="P882" i="8"/>
  <c r="Q947" i="8"/>
  <c r="P947" i="8"/>
  <c r="Q1008" i="8"/>
  <c r="P1008" i="8"/>
  <c r="Q1078" i="8"/>
  <c r="P1078" i="8"/>
  <c r="P4073" i="8"/>
  <c r="Q4073" i="8"/>
  <c r="Q4009" i="8"/>
  <c r="P4009" i="8"/>
  <c r="Q3945" i="8"/>
  <c r="P3945" i="8"/>
  <c r="Q3881" i="8"/>
  <c r="P3881" i="8"/>
  <c r="Q3817" i="8"/>
  <c r="P3817" i="8"/>
  <c r="P3741" i="8"/>
  <c r="Q3741" i="8"/>
  <c r="P3677" i="8"/>
  <c r="Q3677" i="8"/>
  <c r="P3605" i="8"/>
  <c r="Q3605" i="8"/>
  <c r="Q3541" i="8"/>
  <c r="P3541" i="8"/>
  <c r="Q3469" i="8"/>
  <c r="P3469" i="8"/>
  <c r="Q3405" i="8"/>
  <c r="P3405" i="8"/>
  <c r="Q3341" i="8"/>
  <c r="P3341" i="8"/>
  <c r="Q3273" i="8"/>
  <c r="P3273" i="8"/>
  <c r="Q3209" i="8"/>
  <c r="P3209" i="8"/>
  <c r="P2921" i="8"/>
  <c r="Q2921" i="8"/>
  <c r="P2857" i="8"/>
  <c r="Q2857" i="8"/>
  <c r="P2793" i="8"/>
  <c r="Q2793" i="8"/>
  <c r="P2721" i="8"/>
  <c r="Q2721" i="8"/>
  <c r="P2657" i="8"/>
  <c r="Q2657" i="8"/>
  <c r="Q2593" i="8"/>
  <c r="P2593" i="8"/>
  <c r="Q2529" i="8"/>
  <c r="P2529" i="8"/>
  <c r="P2453" i="8"/>
  <c r="Q2453" i="8"/>
  <c r="P2389" i="8"/>
  <c r="Q2389" i="8"/>
  <c r="P2325" i="8"/>
  <c r="Q2325" i="8"/>
  <c r="P2253" i="8"/>
  <c r="Q2253" i="8"/>
  <c r="P2189" i="8"/>
  <c r="Q2189" i="8"/>
  <c r="P2125" i="8"/>
  <c r="Q2125" i="8"/>
  <c r="P2061" i="8"/>
  <c r="Q2061" i="8"/>
  <c r="P1997" i="8"/>
  <c r="Q1997" i="8"/>
  <c r="P1933" i="8"/>
  <c r="Q1933" i="8"/>
  <c r="P1869" i="8"/>
  <c r="Q1869" i="8"/>
  <c r="Q3102" i="8"/>
  <c r="P3102" i="8"/>
  <c r="Q3038" i="8"/>
  <c r="P3038" i="8"/>
  <c r="Q2966" i="8"/>
  <c r="P2966" i="8"/>
  <c r="Q1821" i="8"/>
  <c r="P1821" i="8"/>
  <c r="Q1757" i="8"/>
  <c r="P1757" i="8"/>
  <c r="Q1693" i="8"/>
  <c r="P1693" i="8"/>
  <c r="Q1617" i="8"/>
  <c r="P1617" i="8"/>
  <c r="Q1553" i="8"/>
  <c r="P1553" i="8"/>
  <c r="Q1477" i="8"/>
  <c r="P1477" i="8"/>
  <c r="Q1413" i="8"/>
  <c r="P1413" i="8"/>
  <c r="Q1349" i="8"/>
  <c r="P1349" i="8"/>
  <c r="P1285" i="8"/>
  <c r="Q1285" i="8"/>
  <c r="P1221" i="8"/>
  <c r="Q1221" i="8"/>
  <c r="P1145" i="8"/>
  <c r="Q1145" i="8"/>
  <c r="Q40" i="8"/>
  <c r="P40" i="8"/>
  <c r="Q118" i="8"/>
  <c r="P118" i="8"/>
  <c r="Q182" i="8"/>
  <c r="P182" i="8"/>
  <c r="Q246" i="8"/>
  <c r="P246" i="8"/>
  <c r="Q312" i="8"/>
  <c r="P312" i="8"/>
  <c r="Q376" i="8"/>
  <c r="P376" i="8"/>
  <c r="Q440" i="8"/>
  <c r="P440" i="8"/>
  <c r="Q504" i="8"/>
  <c r="P504" i="8"/>
  <c r="Q648" i="8"/>
  <c r="P648" i="8"/>
  <c r="Q722" i="8"/>
  <c r="P722" i="8"/>
  <c r="Q773" i="8"/>
  <c r="P773" i="8"/>
  <c r="Q837" i="8"/>
  <c r="P837" i="8"/>
  <c r="Q907" i="8"/>
  <c r="P907" i="8"/>
  <c r="Q967" i="8"/>
  <c r="P967" i="8"/>
  <c r="Q1041" i="8"/>
  <c r="P1041" i="8"/>
  <c r="Q1114" i="8"/>
  <c r="P1114" i="8"/>
  <c r="Q4038" i="8"/>
  <c r="P4038" i="8"/>
  <c r="Q3974" i="8"/>
  <c r="P3974" i="8"/>
  <c r="Q3902" i="8"/>
  <c r="P3902" i="8"/>
  <c r="Q3838" i="8"/>
  <c r="P3838" i="8"/>
  <c r="Q3762" i="8"/>
  <c r="P3762" i="8"/>
  <c r="P3698" i="8"/>
  <c r="Q3698" i="8"/>
  <c r="P3634" i="8"/>
  <c r="Q3634" i="8"/>
  <c r="P3570" i="8"/>
  <c r="Q3570" i="8"/>
  <c r="P3506" i="8"/>
  <c r="Q3506" i="8"/>
  <c r="P3438" i="8"/>
  <c r="Q3438" i="8"/>
  <c r="Q3374" i="8"/>
  <c r="P3374" i="8"/>
  <c r="P3306" i="8"/>
  <c r="Q3306" i="8"/>
  <c r="P3242" i="8"/>
  <c r="Q3242" i="8"/>
  <c r="P3178" i="8"/>
  <c r="Q3178" i="8"/>
  <c r="P2890" i="8"/>
  <c r="Q2890" i="8"/>
  <c r="P2826" i="8"/>
  <c r="Q2826" i="8"/>
  <c r="P2762" i="8"/>
  <c r="Q2762" i="8"/>
  <c r="P2690" i="8"/>
  <c r="Q2690" i="8"/>
  <c r="P2626" i="8"/>
  <c r="Q2626" i="8"/>
  <c r="P2562" i="8"/>
  <c r="Q2562" i="8"/>
  <c r="P2498" i="8"/>
  <c r="Q2498" i="8"/>
  <c r="P2430" i="8"/>
  <c r="Q2430" i="8"/>
  <c r="P2366" i="8"/>
  <c r="Q2366" i="8"/>
  <c r="P2294" i="8"/>
  <c r="Q2294" i="8"/>
  <c r="P2230" i="8"/>
  <c r="Q2230" i="8"/>
  <c r="P2166" i="8"/>
  <c r="Q2166" i="8"/>
  <c r="P2102" i="8"/>
  <c r="Q2102" i="8"/>
  <c r="P2038" i="8"/>
  <c r="Q2038" i="8"/>
  <c r="P1974" i="8"/>
  <c r="Q1974" i="8"/>
  <c r="P1910" i="8"/>
  <c r="Q1910" i="8"/>
  <c r="Q3143" i="8"/>
  <c r="P3143" i="8"/>
  <c r="Q3079" i="8"/>
  <c r="P3079" i="8"/>
  <c r="Q3007" i="8"/>
  <c r="P3007" i="8"/>
  <c r="Q1862" i="8"/>
  <c r="P1862" i="8"/>
  <c r="Q1798" i="8"/>
  <c r="P1798" i="8"/>
  <c r="Q1734" i="8"/>
  <c r="P1734" i="8"/>
  <c r="Q1658" i="8"/>
  <c r="P1658" i="8"/>
  <c r="Q1594" i="8"/>
  <c r="P1594" i="8"/>
  <c r="Q1530" i="8"/>
  <c r="P1530" i="8"/>
  <c r="P1454" i="8"/>
  <c r="Q1454" i="8"/>
  <c r="P1390" i="8"/>
  <c r="Q1390" i="8"/>
  <c r="P1326" i="8"/>
  <c r="Q1326" i="8"/>
  <c r="Q1230" i="8"/>
  <c r="P1230" i="8"/>
  <c r="Q1134" i="8"/>
  <c r="P1134" i="8"/>
  <c r="Q123" i="8"/>
  <c r="P123" i="8"/>
  <c r="Q155" i="8"/>
  <c r="P155" i="8"/>
  <c r="Q187" i="8"/>
  <c r="P187" i="8"/>
  <c r="Q219" i="8"/>
  <c r="P219" i="8"/>
  <c r="P287" i="8"/>
  <c r="Q287" i="8"/>
  <c r="P319" i="8"/>
  <c r="Q319" i="8"/>
  <c r="P351" i="8"/>
  <c r="Q351" i="8"/>
  <c r="P403" i="8"/>
  <c r="Q403" i="8"/>
  <c r="P559" i="8"/>
  <c r="Q559" i="8"/>
  <c r="P623" i="8"/>
  <c r="Q623" i="8"/>
  <c r="Q679" i="8"/>
  <c r="P679" i="8"/>
  <c r="P761" i="8"/>
  <c r="Q761" i="8"/>
  <c r="Q835" i="8"/>
  <c r="P835" i="8"/>
  <c r="Q924" i="8"/>
  <c r="P924" i="8"/>
  <c r="Q992" i="8"/>
  <c r="P992" i="8"/>
  <c r="Q1058" i="8"/>
  <c r="P1058" i="8"/>
  <c r="P4091" i="8"/>
  <c r="Q4091" i="8"/>
  <c r="Q4027" i="8"/>
  <c r="P4027" i="8"/>
  <c r="Q3963" i="8"/>
  <c r="P3963" i="8"/>
  <c r="Q3867" i="8"/>
  <c r="P3867" i="8"/>
  <c r="Q3803" i="8"/>
  <c r="P3803" i="8"/>
  <c r="P3735" i="8"/>
  <c r="Q3735" i="8"/>
  <c r="P3671" i="8"/>
  <c r="Q3671" i="8"/>
  <c r="P3607" i="8"/>
  <c r="Q3607" i="8"/>
  <c r="Q3543" i="8"/>
  <c r="P3543" i="8"/>
  <c r="Q3447" i="8"/>
  <c r="P3447" i="8"/>
  <c r="Q3383" i="8"/>
  <c r="P3383" i="8"/>
  <c r="Q3315" i="8"/>
  <c r="P3315" i="8"/>
  <c r="Q3251" i="8"/>
  <c r="P3251" i="8"/>
  <c r="Q3187" i="8"/>
  <c r="P3187" i="8"/>
  <c r="P2899" i="8"/>
  <c r="Q2899" i="8"/>
  <c r="P2835" i="8"/>
  <c r="Q2835" i="8"/>
  <c r="P2771" i="8"/>
  <c r="Q2771" i="8"/>
  <c r="P2695" i="8"/>
  <c r="Q2695" i="8"/>
  <c r="P2631" i="8"/>
  <c r="Q2631" i="8"/>
  <c r="Q2567" i="8"/>
  <c r="P2567" i="8"/>
  <c r="Q2503" i="8"/>
  <c r="P2503" i="8"/>
  <c r="P2427" i="8"/>
  <c r="Q2427" i="8"/>
  <c r="P2363" i="8"/>
  <c r="Q2363" i="8"/>
  <c r="P2299" i="8"/>
  <c r="Q2299" i="8"/>
  <c r="P2235" i="8"/>
  <c r="Q2235" i="8"/>
  <c r="P2171" i="8"/>
  <c r="Q2171" i="8"/>
  <c r="P2107" i="8"/>
  <c r="Q2107" i="8"/>
  <c r="P2043" i="8"/>
  <c r="Q2043" i="8"/>
  <c r="Q62" i="8"/>
  <c r="P62" i="8"/>
  <c r="Q128" i="8"/>
  <c r="P128" i="8"/>
  <c r="Q192" i="8"/>
  <c r="P192" i="8"/>
  <c r="Q256" i="8"/>
  <c r="P256" i="8"/>
  <c r="Q318" i="8"/>
  <c r="P318" i="8"/>
  <c r="Q382" i="8"/>
  <c r="P382" i="8"/>
  <c r="Q446" i="8"/>
  <c r="P446" i="8"/>
  <c r="Q510" i="8"/>
  <c r="P510" i="8"/>
  <c r="Q566" i="8"/>
  <c r="P566" i="8"/>
  <c r="Q598" i="8"/>
  <c r="P598" i="8"/>
  <c r="Q630" i="8"/>
  <c r="P630" i="8"/>
  <c r="Q678" i="8"/>
  <c r="P678" i="8"/>
  <c r="Q750" i="8"/>
  <c r="P750" i="8"/>
  <c r="Q814" i="8"/>
  <c r="P814" i="8"/>
  <c r="Q892" i="8"/>
  <c r="P892" i="8"/>
  <c r="Q957" i="8"/>
  <c r="P957" i="8"/>
  <c r="Q1026" i="8"/>
  <c r="P1026" i="8"/>
  <c r="Q1086" i="8"/>
  <c r="P1086" i="8"/>
  <c r="P4064" i="8"/>
  <c r="Q4064" i="8"/>
  <c r="Q4000" i="8"/>
  <c r="P4000" i="8"/>
  <c r="Q3936" i="8"/>
  <c r="P3936" i="8"/>
  <c r="Q3860" i="8"/>
  <c r="P3860" i="8"/>
  <c r="Q3796" i="8"/>
  <c r="P3796" i="8"/>
  <c r="P3728" i="8"/>
  <c r="Q3728" i="8"/>
  <c r="P3664" i="8"/>
  <c r="Q3664" i="8"/>
  <c r="P3600" i="8"/>
  <c r="Q3600" i="8"/>
  <c r="P3536" i="8"/>
  <c r="Q3536" i="8"/>
  <c r="P3472" i="8"/>
  <c r="Q3472" i="8"/>
  <c r="Q3408" i="8"/>
  <c r="P3408" i="8"/>
  <c r="Q3344" i="8"/>
  <c r="P3344" i="8"/>
  <c r="P3276" i="8"/>
  <c r="Q3276" i="8"/>
  <c r="P3212" i="8"/>
  <c r="Q3212" i="8"/>
  <c r="P2928" i="8"/>
  <c r="Q2928" i="8"/>
  <c r="P2852" i="8"/>
  <c r="Q2852" i="8"/>
  <c r="P2788" i="8"/>
  <c r="Q2788" i="8"/>
  <c r="P2724" i="8"/>
  <c r="Q2724" i="8"/>
  <c r="P2660" i="8"/>
  <c r="Q2660" i="8"/>
  <c r="P2596" i="8"/>
  <c r="Q2596" i="8"/>
  <c r="P2532" i="8"/>
  <c r="Q2532" i="8"/>
  <c r="P2464" i="8"/>
  <c r="Q2464" i="8"/>
  <c r="P2400" i="8"/>
  <c r="Q2400" i="8"/>
  <c r="P2336" i="8"/>
  <c r="Q2336" i="8"/>
  <c r="P2272" i="8"/>
  <c r="Q2272" i="8"/>
  <c r="P2208" i="8"/>
  <c r="Q2208" i="8"/>
  <c r="P2144" i="8"/>
  <c r="Q2144" i="8"/>
  <c r="P2080" i="8"/>
  <c r="Q2080" i="8"/>
  <c r="P2016" i="8"/>
  <c r="Q2016" i="8"/>
  <c r="P1952" i="8"/>
  <c r="Q1952" i="8"/>
  <c r="P1888" i="8"/>
  <c r="Q1888" i="8"/>
  <c r="Q3121" i="8"/>
  <c r="P3121" i="8"/>
  <c r="Q3057" i="8"/>
  <c r="P3057" i="8"/>
  <c r="Q2993" i="8"/>
  <c r="P2993" i="8"/>
  <c r="Q1848" i="8"/>
  <c r="P1848" i="8"/>
  <c r="Q1784" i="8"/>
  <c r="P1784" i="8"/>
  <c r="Q1720" i="8"/>
  <c r="P1720" i="8"/>
  <c r="Q1644" i="8"/>
  <c r="P1644" i="8"/>
  <c r="Q1580" i="8"/>
  <c r="P1580" i="8"/>
  <c r="P1480" i="8"/>
  <c r="Q1480" i="8"/>
  <c r="P1416" i="8"/>
  <c r="Q1416" i="8"/>
  <c r="P1352" i="8"/>
  <c r="Q1352" i="8"/>
  <c r="Q1288" i="8"/>
  <c r="P1288" i="8"/>
  <c r="Q1224" i="8"/>
  <c r="P1224" i="8"/>
  <c r="Q1156" i="8"/>
  <c r="P1156" i="8"/>
  <c r="P15" i="8"/>
  <c r="Q15" i="8"/>
  <c r="P57" i="8"/>
  <c r="Q57" i="8"/>
  <c r="Q231" i="8"/>
  <c r="P231" i="8"/>
  <c r="P379" i="8"/>
  <c r="Q379" i="8"/>
  <c r="Q425" i="8"/>
  <c r="P425" i="8"/>
  <c r="Q457" i="8"/>
  <c r="P457" i="8"/>
  <c r="P489" i="8"/>
  <c r="Q489" i="8"/>
  <c r="P521" i="8"/>
  <c r="Q521" i="8"/>
  <c r="P601" i="8"/>
  <c r="Q601" i="8"/>
  <c r="P665" i="8"/>
  <c r="Q665" i="8"/>
  <c r="P725" i="8"/>
  <c r="Q725" i="8"/>
  <c r="Q774" i="8"/>
  <c r="P774" i="8"/>
  <c r="Q839" i="8"/>
  <c r="P839" i="8"/>
  <c r="Q901" i="8"/>
  <c r="P901" i="8"/>
  <c r="Q966" i="8"/>
  <c r="P966" i="8"/>
  <c r="Q1035" i="8"/>
  <c r="P1035" i="8"/>
  <c r="Q1097" i="8"/>
  <c r="P1097" i="8"/>
  <c r="P4053" i="8"/>
  <c r="Q4053" i="8"/>
  <c r="Q3989" i="8"/>
  <c r="P3989" i="8"/>
  <c r="Q3917" i="8"/>
  <c r="P3917" i="8"/>
  <c r="Q3853" i="8"/>
  <c r="P3853" i="8"/>
  <c r="Q3789" i="8"/>
  <c r="P3789" i="8"/>
  <c r="P3721" i="8"/>
  <c r="Q3721" i="8"/>
  <c r="P3657" i="8"/>
  <c r="Q3657" i="8"/>
  <c r="P3593" i="8"/>
  <c r="Q3593" i="8"/>
  <c r="Q3529" i="8"/>
  <c r="P3529" i="8"/>
  <c r="Q3465" i="8"/>
  <c r="P3465" i="8"/>
  <c r="Q3401" i="8"/>
  <c r="P3401" i="8"/>
  <c r="Q3337" i="8"/>
  <c r="P3337" i="8"/>
  <c r="Q3269" i="8"/>
  <c r="P3269" i="8"/>
  <c r="Q3205" i="8"/>
  <c r="P3205" i="8"/>
  <c r="P2885" i="8"/>
  <c r="Q2885" i="8"/>
  <c r="P2821" i="8"/>
  <c r="Q2821" i="8"/>
  <c r="P2757" i="8"/>
  <c r="Q2757" i="8"/>
  <c r="P2693" i="8"/>
  <c r="Q2693" i="8"/>
  <c r="P2629" i="8"/>
  <c r="Q2629" i="8"/>
  <c r="Q2565" i="8"/>
  <c r="P2565" i="8"/>
  <c r="Q2501" i="8"/>
  <c r="P2501" i="8"/>
  <c r="P2433" i="8"/>
  <c r="Q2433" i="8"/>
  <c r="P2369" i="8"/>
  <c r="Q2369" i="8"/>
  <c r="P2305" i="8"/>
  <c r="Q2305" i="8"/>
  <c r="P2241" i="8"/>
  <c r="Q2241" i="8"/>
  <c r="P2177" i="8"/>
  <c r="Q2177" i="8"/>
  <c r="P2113" i="8"/>
  <c r="Q2113" i="8"/>
  <c r="P2049" i="8"/>
  <c r="Q2049" i="8"/>
  <c r="P1985" i="8"/>
  <c r="Q1985" i="8"/>
  <c r="P1921" i="8"/>
  <c r="Q1921" i="8"/>
  <c r="Q3154" i="8"/>
  <c r="P3154" i="8"/>
  <c r="Q3090" i="8"/>
  <c r="P3090" i="8"/>
  <c r="Q3026" i="8"/>
  <c r="P3026" i="8"/>
  <c r="Q2962" i="8"/>
  <c r="P2962" i="8"/>
  <c r="Q1817" i="8"/>
  <c r="P1817" i="8"/>
  <c r="Q1753" i="8"/>
  <c r="P1753" i="8"/>
  <c r="Q1689" i="8"/>
  <c r="P1689" i="8"/>
  <c r="Q1621" i="8"/>
  <c r="P1621" i="8"/>
  <c r="Q1557" i="8"/>
  <c r="P1557" i="8"/>
  <c r="P1489" i="8"/>
  <c r="Q1489" i="8"/>
  <c r="Q1425" i="8"/>
  <c r="P1425" i="8"/>
  <c r="Q1361" i="8"/>
  <c r="P1361" i="8"/>
  <c r="Q1297" i="8"/>
  <c r="P1297" i="8"/>
  <c r="P1225" i="8"/>
  <c r="Q1225" i="8"/>
  <c r="P1157" i="8"/>
  <c r="Q1157" i="8"/>
  <c r="Q28" i="8"/>
  <c r="P28" i="8"/>
  <c r="Q94" i="8"/>
  <c r="P94" i="8"/>
  <c r="Q162" i="8"/>
  <c r="P162" i="8"/>
  <c r="Q226" i="8"/>
  <c r="P226" i="8"/>
  <c r="Q300" i="8"/>
  <c r="P300" i="8"/>
  <c r="Q364" i="8"/>
  <c r="P364" i="8"/>
  <c r="Q428" i="8"/>
  <c r="P428" i="8"/>
  <c r="Q492" i="8"/>
  <c r="P492" i="8"/>
  <c r="Q556" i="8"/>
  <c r="P556" i="8"/>
  <c r="Q710" i="8"/>
  <c r="P710" i="8"/>
  <c r="Q764" i="8"/>
  <c r="P764" i="8"/>
  <c r="Q826" i="8"/>
  <c r="P826" i="8"/>
  <c r="Q888" i="8"/>
  <c r="P888" i="8"/>
  <c r="Q950" i="8"/>
  <c r="P950" i="8"/>
  <c r="Q1013" i="8"/>
  <c r="P1013" i="8"/>
  <c r="Q1087" i="8"/>
  <c r="P1087" i="8"/>
  <c r="P4066" i="8"/>
  <c r="Q4066" i="8"/>
  <c r="Q4002" i="8"/>
  <c r="P4002" i="8"/>
  <c r="Q3938" i="8"/>
  <c r="P3938" i="8"/>
  <c r="Q3874" i="8"/>
  <c r="P3874" i="8"/>
  <c r="Q3810" i="8"/>
  <c r="P3810" i="8"/>
  <c r="P3710" i="8"/>
  <c r="Q3710" i="8"/>
  <c r="P3614" i="8"/>
  <c r="Q3614" i="8"/>
  <c r="P3550" i="8"/>
  <c r="Q3550" i="8"/>
  <c r="P3486" i="8"/>
  <c r="Q3486" i="8"/>
  <c r="Q3410" i="8"/>
  <c r="P3410" i="8"/>
  <c r="Q3346" i="8"/>
  <c r="P3346" i="8"/>
  <c r="P3270" i="8"/>
  <c r="Q3270" i="8"/>
  <c r="P3206" i="8"/>
  <c r="Q3206" i="8"/>
  <c r="P2886" i="8"/>
  <c r="Q2886" i="8"/>
  <c r="P2822" i="8"/>
  <c r="Q2822" i="8"/>
  <c r="P2718" i="8"/>
  <c r="Q2718" i="8"/>
  <c r="P2654" i="8"/>
  <c r="Q2654" i="8"/>
  <c r="P2590" i="8"/>
  <c r="Q2590" i="8"/>
  <c r="P2526" i="8"/>
  <c r="Q2526" i="8"/>
  <c r="P2450" i="8"/>
  <c r="Q2450" i="8"/>
  <c r="P2386" i="8"/>
  <c r="Q2386" i="8"/>
  <c r="P2290" i="8"/>
  <c r="Q2290" i="8"/>
  <c r="P2226" i="8"/>
  <c r="Q2226" i="8"/>
  <c r="P2162" i="8"/>
  <c r="Q2162" i="8"/>
  <c r="P2098" i="8"/>
  <c r="Q2098" i="8"/>
  <c r="P2034" i="8"/>
  <c r="Q2034" i="8"/>
  <c r="Q1970" i="8"/>
  <c r="P1970" i="8"/>
  <c r="P1906" i="8"/>
  <c r="Q1906" i="8"/>
  <c r="Q3139" i="8"/>
  <c r="P3139" i="8"/>
  <c r="Q3075" i="8"/>
  <c r="P3075" i="8"/>
  <c r="Q3011" i="8"/>
  <c r="P3011" i="8"/>
  <c r="Q1866" i="8"/>
  <c r="P1866" i="8"/>
  <c r="Q1802" i="8"/>
  <c r="P1802" i="8"/>
  <c r="Q1738" i="8"/>
  <c r="P1738" i="8"/>
  <c r="Q1638" i="8"/>
  <c r="P1638" i="8"/>
  <c r="Q1574" i="8"/>
  <c r="P1574" i="8"/>
  <c r="P1506" i="8"/>
  <c r="Q1506" i="8"/>
  <c r="P1442" i="8"/>
  <c r="Q1442" i="8"/>
  <c r="P1378" i="8"/>
  <c r="Q1378" i="8"/>
  <c r="P1314" i="8"/>
  <c r="Q1314" i="8"/>
  <c r="Q1242" i="8"/>
  <c r="P1242" i="8"/>
  <c r="Q1178" i="8"/>
  <c r="P1178" i="8"/>
  <c r="P53" i="8"/>
  <c r="Q53" i="8"/>
  <c r="Q137" i="8"/>
  <c r="P137" i="8"/>
  <c r="Q169" i="8"/>
  <c r="P169" i="8"/>
  <c r="Q201" i="8"/>
  <c r="P201" i="8"/>
  <c r="P269" i="8"/>
  <c r="Q269" i="8"/>
  <c r="P301" i="8"/>
  <c r="Q301" i="8"/>
  <c r="P333" i="8"/>
  <c r="Q333" i="8"/>
  <c r="P365" i="8"/>
  <c r="Q365" i="8"/>
  <c r="P541" i="8"/>
  <c r="Q541" i="8"/>
  <c r="P587" i="8"/>
  <c r="Q587" i="8"/>
  <c r="P651" i="8"/>
  <c r="Q651" i="8"/>
  <c r="Q693" i="8"/>
  <c r="P693" i="8"/>
  <c r="Q800" i="8"/>
  <c r="P800" i="8"/>
  <c r="Q897" i="8"/>
  <c r="P897" i="8"/>
  <c r="Q959" i="8"/>
  <c r="P959" i="8"/>
  <c r="Q1031" i="8"/>
  <c r="P1031" i="8"/>
  <c r="Q1093" i="8"/>
  <c r="P1093" i="8"/>
  <c r="P4055" i="8"/>
  <c r="Q4055" i="8"/>
  <c r="Q3991" i="8"/>
  <c r="P3991" i="8"/>
  <c r="Q3919" i="8"/>
  <c r="P3919" i="8"/>
  <c r="Q3855" i="8"/>
  <c r="P3855" i="8"/>
  <c r="Q3791" i="8"/>
  <c r="P3791" i="8"/>
  <c r="P3715" i="8"/>
  <c r="Q3715" i="8"/>
  <c r="P3651" i="8"/>
  <c r="Q3651" i="8"/>
  <c r="P3587" i="8"/>
  <c r="Q3587" i="8"/>
  <c r="Q3523" i="8"/>
  <c r="P3523" i="8"/>
  <c r="Q3451" i="8"/>
  <c r="P3451" i="8"/>
  <c r="Q3387" i="8"/>
  <c r="P3387" i="8"/>
  <c r="Q3311" i="8"/>
  <c r="P3311" i="8"/>
  <c r="Q3247" i="8"/>
  <c r="P3247" i="8"/>
  <c r="Q3183" i="8"/>
  <c r="P3183" i="8"/>
  <c r="P2895" i="8"/>
  <c r="Q2895" i="8"/>
  <c r="P2831" i="8"/>
  <c r="Q2831" i="8"/>
  <c r="P2759" i="8"/>
  <c r="Q2759" i="8"/>
  <c r="P2691" i="8"/>
  <c r="Q2691" i="8"/>
  <c r="Q2627" i="8"/>
  <c r="P2627" i="8"/>
  <c r="Q2563" i="8"/>
  <c r="P2563" i="8"/>
  <c r="Q2499" i="8"/>
  <c r="P2499" i="8"/>
  <c r="P2431" i="8"/>
  <c r="Q2431" i="8"/>
  <c r="P2367" i="8"/>
  <c r="Q2367" i="8"/>
  <c r="P2303" i="8"/>
  <c r="Q2303" i="8"/>
  <c r="P2239" i="8"/>
  <c r="Q2239" i="8"/>
  <c r="P2175" i="8"/>
  <c r="Q2175" i="8"/>
  <c r="P2111" i="8"/>
  <c r="Q2111" i="8"/>
  <c r="P2047" i="8"/>
  <c r="Q2047" i="8"/>
  <c r="P1983" i="8"/>
  <c r="Q1983" i="8"/>
  <c r="P1919" i="8"/>
  <c r="Q1919" i="8"/>
  <c r="Q3152" i="8"/>
  <c r="P3152" i="8"/>
  <c r="Q3088" i="8"/>
  <c r="P3088" i="8"/>
  <c r="Q3024" i="8"/>
  <c r="P3024" i="8"/>
  <c r="Q1867" i="8"/>
  <c r="P1867" i="8"/>
  <c r="Q1803" i="8"/>
  <c r="P1803" i="8"/>
  <c r="Q1739" i="8"/>
  <c r="P1739" i="8"/>
  <c r="Q1639" i="8"/>
  <c r="P1639" i="8"/>
  <c r="Q1575" i="8"/>
  <c r="P1575" i="8"/>
  <c r="P1499" i="8"/>
  <c r="Q1499" i="8"/>
  <c r="Q1435" i="8"/>
  <c r="P1435" i="8"/>
  <c r="Q1371" i="8"/>
  <c r="P1371" i="8"/>
  <c r="Q1307" i="8"/>
  <c r="P1307" i="8"/>
  <c r="P1227" i="8"/>
  <c r="Q1227" i="8"/>
  <c r="P1155" i="8"/>
  <c r="Q1155" i="8"/>
  <c r="Q26" i="8"/>
  <c r="P26" i="8"/>
  <c r="Q88" i="8"/>
  <c r="P88" i="8"/>
  <c r="Q164" i="8"/>
  <c r="P164" i="8"/>
  <c r="Q228" i="8"/>
  <c r="P228" i="8"/>
  <c r="Q298" i="8"/>
  <c r="P298" i="8"/>
  <c r="Q362" i="8"/>
  <c r="P362" i="8"/>
  <c r="Q426" i="8"/>
  <c r="P426" i="8"/>
  <c r="Q490" i="8"/>
  <c r="P490" i="8"/>
  <c r="Q554" i="8"/>
  <c r="P554" i="8"/>
  <c r="Q588" i="8"/>
  <c r="P588" i="8"/>
  <c r="Q620" i="8"/>
  <c r="P620" i="8"/>
  <c r="Q664" i="8"/>
  <c r="P664" i="8"/>
  <c r="Q720" i="8"/>
  <c r="P720" i="8"/>
  <c r="Q795" i="8"/>
  <c r="P795" i="8"/>
  <c r="Q867" i="8"/>
  <c r="P867" i="8"/>
  <c r="Q933" i="8"/>
  <c r="P933" i="8"/>
  <c r="Q996" i="8"/>
  <c r="P996" i="8"/>
  <c r="Q1061" i="8"/>
  <c r="P1061" i="8"/>
  <c r="P4092" i="8"/>
  <c r="Q4092" i="8"/>
  <c r="Q4028" i="8"/>
  <c r="P4028" i="8"/>
  <c r="Q3964" i="8"/>
  <c r="P3964" i="8"/>
  <c r="Q3896" i="8"/>
  <c r="P3896" i="8"/>
  <c r="Q3832" i="8"/>
  <c r="P3832" i="8"/>
  <c r="Q3756" i="8"/>
  <c r="P3756" i="8"/>
  <c r="P3692" i="8"/>
  <c r="Q3692" i="8"/>
  <c r="P3620" i="8"/>
  <c r="Q3620" i="8"/>
  <c r="P3556" i="8"/>
  <c r="Q3556" i="8"/>
  <c r="P3492" i="8"/>
  <c r="Q3492" i="8"/>
  <c r="P3420" i="8"/>
  <c r="Q3420" i="8"/>
  <c r="Q3356" i="8"/>
  <c r="P3356" i="8"/>
  <c r="P3280" i="8"/>
  <c r="Q3280" i="8"/>
  <c r="P3216" i="8"/>
  <c r="Q3216" i="8"/>
  <c r="P2932" i="8"/>
  <c r="Q2932" i="8"/>
  <c r="P2864" i="8"/>
  <c r="Q2864" i="8"/>
  <c r="P2800" i="8"/>
  <c r="Q2800" i="8"/>
  <c r="P2728" i="8"/>
  <c r="Q2728" i="8"/>
  <c r="P2664" i="8"/>
  <c r="Q2664" i="8"/>
  <c r="P2600" i="8"/>
  <c r="Q2600" i="8"/>
  <c r="P2536" i="8"/>
  <c r="Q2536" i="8"/>
  <c r="P2460" i="8"/>
  <c r="Q2460" i="8"/>
  <c r="P2396" i="8"/>
  <c r="Q2396" i="8"/>
  <c r="P2332" i="8"/>
  <c r="Q2332" i="8"/>
  <c r="P2268" i="8"/>
  <c r="Q2268" i="8"/>
  <c r="P2204" i="8"/>
  <c r="Q2204" i="8"/>
  <c r="P2140" i="8"/>
  <c r="Q2140" i="8"/>
  <c r="P2076" i="8"/>
  <c r="Q2076" i="8"/>
  <c r="P2012" i="8"/>
  <c r="Q2012" i="8"/>
  <c r="P1948" i="8"/>
  <c r="Q1948" i="8"/>
  <c r="Q1884" i="8"/>
  <c r="P1884" i="8"/>
  <c r="Q3117" i="8"/>
  <c r="P3117" i="8"/>
  <c r="Q3053" i="8"/>
  <c r="P3053" i="8"/>
  <c r="Q2981" i="8"/>
  <c r="P2981" i="8"/>
  <c r="Q1836" i="8"/>
  <c r="P1836" i="8"/>
  <c r="Q1772" i="8"/>
  <c r="P1772" i="8"/>
  <c r="Q1708" i="8"/>
  <c r="P1708" i="8"/>
  <c r="Q1608" i="8"/>
  <c r="P1608" i="8"/>
  <c r="Q1544" i="8"/>
  <c r="P1544" i="8"/>
  <c r="P1468" i="8"/>
  <c r="Q1468" i="8"/>
  <c r="P1404" i="8"/>
  <c r="Q1404" i="8"/>
  <c r="P1340" i="8"/>
  <c r="Q1340" i="8"/>
  <c r="Q1260" i="8"/>
  <c r="P1260" i="8"/>
  <c r="Q1196" i="8"/>
  <c r="P1196" i="8"/>
  <c r="P9" i="8"/>
  <c r="Q9" i="8"/>
  <c r="P41" i="8"/>
  <c r="Q41" i="8"/>
  <c r="P95" i="8"/>
  <c r="Q95" i="8"/>
  <c r="Q257" i="8"/>
  <c r="P257" i="8"/>
  <c r="Q419" i="8"/>
  <c r="P419" i="8"/>
  <c r="Q451" i="8"/>
  <c r="P451" i="8"/>
  <c r="Q483" i="8"/>
  <c r="P483" i="8"/>
  <c r="P515" i="8"/>
  <c r="Q515" i="8"/>
  <c r="P589" i="8"/>
  <c r="Q589" i="8"/>
  <c r="P653" i="8"/>
  <c r="Q653" i="8"/>
  <c r="P719" i="8"/>
  <c r="Q719" i="8"/>
  <c r="P767" i="8"/>
  <c r="Q767" i="8"/>
  <c r="Q825" i="8"/>
  <c r="P825" i="8"/>
  <c r="Q890" i="8"/>
  <c r="P890" i="8"/>
  <c r="Q955" i="8"/>
  <c r="P955" i="8"/>
  <c r="Q1024" i="8"/>
  <c r="P1024" i="8"/>
  <c r="Q1084" i="8"/>
  <c r="P1084" i="8"/>
  <c r="P4065" i="8"/>
  <c r="Q4065" i="8"/>
  <c r="Q4001" i="8"/>
  <c r="P4001" i="8"/>
  <c r="Q3937" i="8"/>
  <c r="P3937" i="8"/>
  <c r="Q3873" i="8"/>
  <c r="P3873" i="8"/>
  <c r="Q3809" i="8"/>
  <c r="P3809" i="8"/>
  <c r="P3733" i="8"/>
  <c r="Q3733" i="8"/>
  <c r="P3669" i="8"/>
  <c r="Q3669" i="8"/>
  <c r="P3597" i="8"/>
  <c r="Q3597" i="8"/>
  <c r="Q3533" i="8"/>
  <c r="P3533" i="8"/>
  <c r="Q3461" i="8"/>
  <c r="P3461" i="8"/>
  <c r="Q3397" i="8"/>
  <c r="P3397" i="8"/>
  <c r="Q3333" i="8"/>
  <c r="P3333" i="8"/>
  <c r="Q3265" i="8"/>
  <c r="P3265" i="8"/>
  <c r="Q3201" i="8"/>
  <c r="P3201" i="8"/>
  <c r="P2881" i="8"/>
  <c r="Q2881" i="8"/>
  <c r="P2817" i="8"/>
  <c r="Q2817" i="8"/>
  <c r="P2753" i="8"/>
  <c r="Q2753" i="8"/>
  <c r="P2681" i="8"/>
  <c r="Q2681" i="8"/>
  <c r="Q2617" i="8"/>
  <c r="P2617" i="8"/>
  <c r="Q2553" i="8"/>
  <c r="P2553" i="8"/>
  <c r="Q2489" i="8"/>
  <c r="P2489" i="8"/>
  <c r="P2413" i="8"/>
  <c r="Q2413" i="8"/>
  <c r="P2349" i="8"/>
  <c r="Q2349" i="8"/>
  <c r="P2277" i="8"/>
  <c r="Q2277" i="8"/>
  <c r="P2213" i="8"/>
  <c r="Q2213" i="8"/>
  <c r="P2149" i="8"/>
  <c r="Q2149" i="8"/>
  <c r="P2085" i="8"/>
  <c r="Q2085" i="8"/>
  <c r="P2021" i="8"/>
  <c r="Q2021" i="8"/>
  <c r="P1957" i="8"/>
  <c r="Q1957" i="8"/>
  <c r="P1893" i="8"/>
  <c r="Q1893" i="8"/>
  <c r="Q3126" i="8"/>
  <c r="P3126" i="8"/>
  <c r="Q3062" i="8"/>
  <c r="P3062" i="8"/>
  <c r="Q2990" i="8"/>
  <c r="P2990" i="8"/>
  <c r="Q1845" i="8"/>
  <c r="P1845" i="8"/>
  <c r="Q1781" i="8"/>
  <c r="P1781" i="8"/>
  <c r="Q1717" i="8"/>
  <c r="P1717" i="8"/>
  <c r="Q1641" i="8"/>
  <c r="P1641" i="8"/>
  <c r="Q1577" i="8"/>
  <c r="P1577" i="8"/>
  <c r="P1501" i="8"/>
  <c r="Q1501" i="8"/>
  <c r="Q1437" i="8"/>
  <c r="P1437" i="8"/>
  <c r="Q1373" i="8"/>
  <c r="P1373" i="8"/>
  <c r="Q1309" i="8"/>
  <c r="P1309" i="8"/>
  <c r="P1245" i="8"/>
  <c r="Q1245" i="8"/>
  <c r="P1181" i="8"/>
  <c r="Q1181" i="8"/>
  <c r="Q16" i="8"/>
  <c r="P16" i="8"/>
  <c r="Q80" i="8"/>
  <c r="P80" i="8"/>
  <c r="Q158" i="8"/>
  <c r="P158" i="8"/>
  <c r="Q222" i="8"/>
  <c r="P222" i="8"/>
  <c r="Q288" i="8"/>
  <c r="P288" i="8"/>
  <c r="Q352" i="8"/>
  <c r="P352" i="8"/>
  <c r="Q416" i="8"/>
  <c r="P416" i="8"/>
  <c r="Q480" i="8"/>
  <c r="P480" i="8"/>
  <c r="Q544" i="8"/>
  <c r="P544" i="8"/>
  <c r="Q698" i="8"/>
  <c r="P698" i="8"/>
  <c r="Q752" i="8"/>
  <c r="P752" i="8"/>
  <c r="Q815" i="8"/>
  <c r="P815" i="8"/>
  <c r="Q885" i="8"/>
  <c r="P885" i="8"/>
  <c r="Q945" i="8"/>
  <c r="P945" i="8"/>
  <c r="Q1010" i="8"/>
  <c r="P1010" i="8"/>
  <c r="Q1090" i="8"/>
  <c r="P1090" i="8"/>
  <c r="P4062" i="8"/>
  <c r="Q4062" i="8"/>
  <c r="Q3998" i="8"/>
  <c r="P3998" i="8"/>
  <c r="Q3934" i="8"/>
  <c r="P3934" i="8"/>
  <c r="Q3862" i="8"/>
  <c r="P3862" i="8"/>
  <c r="Q3798" i="8"/>
  <c r="P3798" i="8"/>
  <c r="P3722" i="8"/>
  <c r="Q3722" i="8"/>
  <c r="P3658" i="8"/>
  <c r="Q3658" i="8"/>
  <c r="P3594" i="8"/>
  <c r="Q3594" i="8"/>
  <c r="P3530" i="8"/>
  <c r="Q3530" i="8"/>
  <c r="P3462" i="8"/>
  <c r="Q3462" i="8"/>
  <c r="Q3398" i="8"/>
  <c r="P3398" i="8"/>
  <c r="Q3334" i="8"/>
  <c r="P3334" i="8"/>
  <c r="P3266" i="8"/>
  <c r="Q3266" i="8"/>
  <c r="P3202" i="8"/>
  <c r="Q3202" i="8"/>
  <c r="P2882" i="8"/>
  <c r="Q2882" i="8"/>
  <c r="P2818" i="8"/>
  <c r="Q2818" i="8"/>
  <c r="P2754" i="8"/>
  <c r="Q2754" i="8"/>
  <c r="P2682" i="8"/>
  <c r="Q2682" i="8"/>
  <c r="P2618" i="8"/>
  <c r="Q2618" i="8"/>
  <c r="P2554" i="8"/>
  <c r="Q2554" i="8"/>
  <c r="P2490" i="8"/>
  <c r="Q2490" i="8"/>
  <c r="P2422" i="8"/>
  <c r="Q2422" i="8"/>
  <c r="P2358" i="8"/>
  <c r="Q2358" i="8"/>
  <c r="P2286" i="8"/>
  <c r="Q2286" i="8"/>
  <c r="P2222" i="8"/>
  <c r="Q2222" i="8"/>
  <c r="P2158" i="8"/>
  <c r="Q2158" i="8"/>
  <c r="P2094" i="8"/>
  <c r="Q2094" i="8"/>
  <c r="P2030" i="8"/>
  <c r="Q2030" i="8"/>
  <c r="Q1966" i="8"/>
  <c r="P1966" i="8"/>
  <c r="P1902" i="8"/>
  <c r="Q1902" i="8"/>
  <c r="Q3135" i="8"/>
  <c r="P3135" i="8"/>
  <c r="Q3071" i="8"/>
  <c r="P3071" i="8"/>
  <c r="Q2999" i="8"/>
  <c r="P2999" i="8"/>
  <c r="Q1854" i="8"/>
  <c r="P1854" i="8"/>
  <c r="Q1790" i="8"/>
  <c r="P1790" i="8"/>
  <c r="Q1726" i="8"/>
  <c r="P1726" i="8"/>
  <c r="Q1650" i="8"/>
  <c r="P1650" i="8"/>
  <c r="Q1586" i="8"/>
  <c r="P1586" i="8"/>
  <c r="P1522" i="8"/>
  <c r="Q1522" i="8"/>
  <c r="P1446" i="8"/>
  <c r="Q1446" i="8"/>
  <c r="P1382" i="8"/>
  <c r="Q1382" i="8"/>
  <c r="P1318" i="8"/>
  <c r="Q1318" i="8"/>
  <c r="Q1254" i="8"/>
  <c r="P1254" i="8"/>
  <c r="Q1190" i="8"/>
  <c r="P1190" i="8"/>
  <c r="Q1126" i="8"/>
  <c r="P1126" i="8"/>
  <c r="Q111" i="8"/>
  <c r="P111" i="8"/>
  <c r="Q143" i="8"/>
  <c r="P143" i="8"/>
  <c r="Q175" i="8"/>
  <c r="P175" i="8"/>
  <c r="Q207" i="8"/>
  <c r="P207" i="8"/>
  <c r="P275" i="8"/>
  <c r="Q275" i="8"/>
  <c r="P307" i="8"/>
  <c r="Q307" i="8"/>
  <c r="P339" i="8"/>
  <c r="Q339" i="8"/>
  <c r="P371" i="8"/>
  <c r="Q371" i="8"/>
  <c r="P547" i="8"/>
  <c r="Q547" i="8"/>
  <c r="P599" i="8"/>
  <c r="Q599" i="8"/>
  <c r="P663" i="8"/>
  <c r="Q663" i="8"/>
  <c r="P739" i="8"/>
  <c r="Q739" i="8"/>
  <c r="Q813" i="8"/>
  <c r="P813" i="8"/>
  <c r="P868" i="8"/>
  <c r="Q868" i="8"/>
  <c r="Q932" i="8"/>
  <c r="P932" i="8"/>
  <c r="Q1001" i="8"/>
  <c r="P1001" i="8"/>
  <c r="Q1066" i="8"/>
  <c r="P1066" i="8"/>
  <c r="P4083" i="8"/>
  <c r="Q4083" i="8"/>
  <c r="Q4019" i="8"/>
  <c r="P4019" i="8"/>
  <c r="Q3955" i="8"/>
  <c r="P3955" i="8"/>
  <c r="Q3891" i="8"/>
  <c r="P3891" i="8"/>
  <c r="Q3827" i="8"/>
  <c r="P3827" i="8"/>
  <c r="P3759" i="8"/>
  <c r="Q3759" i="8"/>
  <c r="P3695" i="8"/>
  <c r="Q3695" i="8"/>
  <c r="P3631" i="8"/>
  <c r="Q3631" i="8"/>
  <c r="P3567" i="8"/>
  <c r="Q3567" i="8"/>
  <c r="Q3503" i="8"/>
  <c r="P3503" i="8"/>
  <c r="Q3439" i="8"/>
  <c r="P3439" i="8"/>
  <c r="Q3375" i="8"/>
  <c r="P3375" i="8"/>
  <c r="Q3307" i="8"/>
  <c r="P3307" i="8"/>
  <c r="Q3243" i="8"/>
  <c r="P3243" i="8"/>
  <c r="Q54" i="8"/>
  <c r="P54" i="8"/>
  <c r="Q120" i="8"/>
  <c r="P120" i="8"/>
  <c r="Q184" i="8"/>
  <c r="P184" i="8"/>
  <c r="Q248" i="8"/>
  <c r="P248" i="8"/>
  <c r="Q310" i="8"/>
  <c r="P310" i="8"/>
  <c r="Q374" i="8"/>
  <c r="P374" i="8"/>
  <c r="Q438" i="8"/>
  <c r="P438" i="8"/>
  <c r="Q502" i="8"/>
  <c r="P502" i="8"/>
  <c r="Q562" i="8"/>
  <c r="P562" i="8"/>
  <c r="Q594" i="8"/>
  <c r="P594" i="8"/>
  <c r="Q626" i="8"/>
  <c r="P626" i="8"/>
  <c r="Q670" i="8"/>
  <c r="P670" i="8"/>
  <c r="Q732" i="8"/>
  <c r="P732" i="8"/>
  <c r="Q806" i="8"/>
  <c r="P806" i="8"/>
  <c r="Q881" i="8"/>
  <c r="P881" i="8"/>
  <c r="Q946" i="8"/>
  <c r="P946" i="8"/>
  <c r="Q1007" i="8"/>
  <c r="P1007" i="8"/>
  <c r="Q1080" i="8"/>
  <c r="P1080" i="8"/>
  <c r="P4072" i="8"/>
  <c r="Q4072" i="8"/>
  <c r="Q4008" i="8"/>
  <c r="P4008" i="8"/>
  <c r="Q3944" i="8"/>
  <c r="P3944" i="8"/>
  <c r="Q3868" i="8"/>
  <c r="P3868" i="8"/>
  <c r="Q3804" i="8"/>
  <c r="P3804" i="8"/>
  <c r="P3736" i="8"/>
  <c r="Q3736" i="8"/>
  <c r="P3672" i="8"/>
  <c r="Q3672" i="8"/>
  <c r="P3608" i="8"/>
  <c r="Q3608" i="8"/>
  <c r="P3544" i="8"/>
  <c r="Q3544" i="8"/>
  <c r="P3448" i="8"/>
  <c r="Q3448" i="8"/>
  <c r="Q3384" i="8"/>
  <c r="P3384" i="8"/>
  <c r="P3316" i="8"/>
  <c r="Q3316" i="8"/>
  <c r="P3252" i="8"/>
  <c r="Q3252" i="8"/>
  <c r="P3188" i="8"/>
  <c r="Q3188" i="8"/>
  <c r="P2892" i="8"/>
  <c r="Q2892" i="8"/>
  <c r="P2828" i="8"/>
  <c r="Q2828" i="8"/>
  <c r="P2764" i="8"/>
  <c r="Q2764" i="8"/>
  <c r="P2700" i="8"/>
  <c r="Q2700" i="8"/>
  <c r="P2636" i="8"/>
  <c r="Q2636" i="8"/>
  <c r="P2572" i="8"/>
  <c r="Q2572" i="8"/>
  <c r="P2508" i="8"/>
  <c r="Q2508" i="8"/>
  <c r="P2440" i="8"/>
  <c r="Q2440" i="8"/>
  <c r="P2376" i="8"/>
  <c r="Q2376" i="8"/>
  <c r="P2312" i="8"/>
  <c r="Q2312" i="8"/>
  <c r="P2248" i="8"/>
  <c r="Q2248" i="8"/>
  <c r="P2184" i="8"/>
  <c r="Q2184" i="8"/>
  <c r="P2120" i="8"/>
  <c r="Q2120" i="8"/>
  <c r="P2056" i="8"/>
  <c r="Q2056" i="8"/>
  <c r="P1992" i="8"/>
  <c r="Q1992" i="8"/>
  <c r="P1928" i="8"/>
  <c r="Q1928" i="8"/>
  <c r="Q3161" i="8"/>
  <c r="P3161" i="8"/>
  <c r="Q3097" i="8"/>
  <c r="P3097" i="8"/>
  <c r="Q3033" i="8"/>
  <c r="P3033" i="8"/>
  <c r="Q2969" i="8"/>
  <c r="P2969" i="8"/>
  <c r="Q1824" i="8"/>
  <c r="P1824" i="8"/>
  <c r="Q1760" i="8"/>
  <c r="P1760" i="8"/>
  <c r="Q1696" i="8"/>
  <c r="P1696" i="8"/>
  <c r="Q1620" i="8"/>
  <c r="P1620" i="8"/>
  <c r="Q1556" i="8"/>
  <c r="P1556" i="8"/>
  <c r="P1488" i="8"/>
  <c r="Q1488" i="8"/>
  <c r="P1424" i="8"/>
  <c r="Q1424" i="8"/>
  <c r="P1360" i="8"/>
  <c r="Q1360" i="8"/>
  <c r="Q1264" i="8"/>
  <c r="P1264" i="8"/>
  <c r="Q1200" i="8"/>
  <c r="P1200" i="8"/>
  <c r="P11" i="8"/>
  <c r="Q11" i="8"/>
  <c r="P43" i="8"/>
  <c r="Q43" i="8"/>
  <c r="Q227" i="8"/>
  <c r="P227" i="8"/>
  <c r="P375" i="8"/>
  <c r="Q375" i="8"/>
  <c r="Q421" i="8"/>
  <c r="P421" i="8"/>
  <c r="Q453" i="8"/>
  <c r="P453" i="8"/>
  <c r="Q485" i="8"/>
  <c r="P485" i="8"/>
  <c r="P517" i="8"/>
  <c r="Q517" i="8"/>
  <c r="P593" i="8"/>
  <c r="Q593" i="8"/>
  <c r="P657" i="8"/>
  <c r="Q657" i="8"/>
  <c r="P721" i="8"/>
  <c r="Q721" i="8"/>
  <c r="P769" i="8"/>
  <c r="Q769" i="8"/>
  <c r="Q828" i="8"/>
  <c r="P828" i="8"/>
  <c r="Q893" i="8"/>
  <c r="P893" i="8"/>
  <c r="Q958" i="8"/>
  <c r="P958" i="8"/>
  <c r="Q1027" i="8"/>
  <c r="P1027" i="8"/>
  <c r="Q1089" i="8"/>
  <c r="P1089" i="8"/>
  <c r="P4061" i="8"/>
  <c r="Q4061" i="8"/>
  <c r="Q3997" i="8"/>
  <c r="P3997" i="8"/>
  <c r="Q3933" i="8"/>
  <c r="P3933" i="8"/>
  <c r="Q3861" i="8"/>
  <c r="P3861" i="8"/>
  <c r="Q3797" i="8"/>
  <c r="P3797" i="8"/>
  <c r="P3729" i="8"/>
  <c r="Q3729" i="8"/>
  <c r="P3665" i="8"/>
  <c r="Q3665" i="8"/>
  <c r="P3601" i="8"/>
  <c r="Q3601" i="8"/>
  <c r="Q3537" i="8"/>
  <c r="P3537" i="8"/>
  <c r="Q3473" i="8"/>
  <c r="P3473" i="8"/>
  <c r="Q3409" i="8"/>
  <c r="P3409" i="8"/>
  <c r="Q3345" i="8"/>
  <c r="P3345" i="8"/>
  <c r="Q3277" i="8"/>
  <c r="P3277" i="8"/>
  <c r="Q3213" i="8"/>
  <c r="P3213" i="8"/>
  <c r="P2933" i="8"/>
  <c r="Q2933" i="8"/>
  <c r="P2861" i="8"/>
  <c r="Q2861" i="8"/>
  <c r="P2797" i="8"/>
  <c r="Q2797" i="8"/>
  <c r="P2733" i="8"/>
  <c r="Q2733" i="8"/>
  <c r="P2669" i="8"/>
  <c r="Q2669" i="8"/>
  <c r="Q2605" i="8"/>
  <c r="P2605" i="8"/>
  <c r="Q2541" i="8"/>
  <c r="P2541" i="8"/>
  <c r="P2473" i="8"/>
  <c r="Q2473" i="8"/>
  <c r="P2409" i="8"/>
  <c r="Q2409" i="8"/>
  <c r="P2345" i="8"/>
  <c r="Q2345" i="8"/>
  <c r="P2281" i="8"/>
  <c r="Q2281" i="8"/>
  <c r="P2217" i="8"/>
  <c r="Q2217" i="8"/>
  <c r="P2153" i="8"/>
  <c r="Q2153" i="8"/>
  <c r="P2089" i="8"/>
  <c r="Q2089" i="8"/>
  <c r="P2025" i="8"/>
  <c r="Q2025" i="8"/>
  <c r="P1961" i="8"/>
  <c r="Q1961" i="8"/>
  <c r="P1897" i="8"/>
  <c r="Q1897" i="8"/>
  <c r="Q3130" i="8"/>
  <c r="P3130" i="8"/>
  <c r="Q3066" i="8"/>
  <c r="P3066" i="8"/>
  <c r="Q3002" i="8"/>
  <c r="P3002" i="8"/>
  <c r="Q1857" i="8"/>
  <c r="P1857" i="8"/>
  <c r="Q1793" i="8"/>
  <c r="P1793" i="8"/>
  <c r="Q1729" i="8"/>
  <c r="P1729" i="8"/>
  <c r="Q1661" i="8"/>
  <c r="P1661" i="8"/>
  <c r="Q1597" i="8"/>
  <c r="P1597" i="8"/>
  <c r="Q1533" i="8"/>
  <c r="P1533" i="8"/>
  <c r="Q1465" i="8"/>
  <c r="P1465" i="8"/>
  <c r="Q1401" i="8"/>
  <c r="P1401" i="8"/>
  <c r="Q1337" i="8"/>
  <c r="P1337" i="8"/>
  <c r="P1265" i="8"/>
  <c r="Q1265" i="8"/>
  <c r="P1201" i="8"/>
  <c r="Q1201" i="8"/>
  <c r="Q20" i="8"/>
  <c r="P20" i="8"/>
  <c r="Q86" i="8"/>
  <c r="P86" i="8"/>
  <c r="Q154" i="8"/>
  <c r="P154" i="8"/>
  <c r="Q218" i="8"/>
  <c r="P218" i="8"/>
  <c r="Q292" i="8"/>
  <c r="P292" i="8"/>
  <c r="Q356" i="8"/>
  <c r="P356" i="8"/>
  <c r="Q420" i="8"/>
  <c r="P420" i="8"/>
  <c r="Q484" i="8"/>
  <c r="P484" i="8"/>
  <c r="Q548" i="8"/>
  <c r="P548" i="8"/>
  <c r="Q702" i="8"/>
  <c r="P702" i="8"/>
  <c r="Q756" i="8"/>
  <c r="P756" i="8"/>
  <c r="Q818" i="8"/>
  <c r="P818" i="8"/>
  <c r="Q880" i="8"/>
  <c r="P880" i="8"/>
  <c r="Q942" i="8"/>
  <c r="P942" i="8"/>
  <c r="Q1005" i="8"/>
  <c r="P1005" i="8"/>
  <c r="Q1076" i="8"/>
  <c r="P1076" i="8"/>
  <c r="P4074" i="8"/>
  <c r="Q4074" i="8"/>
  <c r="Q4010" i="8"/>
  <c r="P4010" i="8"/>
  <c r="Q3946" i="8"/>
  <c r="P3946" i="8"/>
  <c r="Q3882" i="8"/>
  <c r="P3882" i="8"/>
  <c r="Q3818" i="8"/>
  <c r="P3818" i="8"/>
  <c r="Q3750" i="8"/>
  <c r="P3750" i="8"/>
  <c r="P3686" i="8"/>
  <c r="Q3686" i="8"/>
  <c r="P3622" i="8"/>
  <c r="Q3622" i="8"/>
  <c r="P3558" i="8"/>
  <c r="Q3558" i="8"/>
  <c r="P3494" i="8"/>
  <c r="Q3494" i="8"/>
  <c r="P3418" i="8"/>
  <c r="Q3418" i="8"/>
  <c r="Q3354" i="8"/>
  <c r="P3354" i="8"/>
  <c r="P3278" i="8"/>
  <c r="Q3278" i="8"/>
  <c r="P3214" i="8"/>
  <c r="Q3214" i="8"/>
  <c r="P2934" i="8"/>
  <c r="Q2934" i="8"/>
  <c r="P2862" i="8"/>
  <c r="Q2862" i="8"/>
  <c r="P2798" i="8"/>
  <c r="Q2798" i="8"/>
  <c r="P2726" i="8"/>
  <c r="Q2726" i="8"/>
  <c r="P2662" i="8"/>
  <c r="Q2662" i="8"/>
  <c r="P2598" i="8"/>
  <c r="Q2598" i="8"/>
  <c r="P2534" i="8"/>
  <c r="Q2534" i="8"/>
  <c r="P2458" i="8"/>
  <c r="Q2458" i="8"/>
  <c r="P2394" i="8"/>
  <c r="Q2394" i="8"/>
  <c r="P2330" i="8"/>
  <c r="Q2330" i="8"/>
  <c r="P2266" i="8"/>
  <c r="Q2266" i="8"/>
  <c r="P2202" i="8"/>
  <c r="Q2202" i="8"/>
  <c r="P2138" i="8"/>
  <c r="Q2138" i="8"/>
  <c r="P2074" i="8"/>
  <c r="Q2074" i="8"/>
  <c r="P2010" i="8"/>
  <c r="Q2010" i="8"/>
  <c r="P1946" i="8"/>
  <c r="Q1946" i="8"/>
  <c r="Q1882" i="8"/>
  <c r="P1882" i="8"/>
  <c r="Q3115" i="8"/>
  <c r="P3115" i="8"/>
  <c r="Q3051" i="8"/>
  <c r="P3051" i="8"/>
  <c r="Q2955" i="8"/>
  <c r="P2955" i="8"/>
  <c r="Q1810" i="8"/>
  <c r="P1810" i="8"/>
  <c r="Q1746" i="8"/>
  <c r="P1746" i="8"/>
  <c r="Q1682" i="8"/>
  <c r="P1682" i="8"/>
  <c r="Q1614" i="8"/>
  <c r="P1614" i="8"/>
  <c r="Q1550" i="8"/>
  <c r="P1550" i="8"/>
  <c r="P1450" i="8"/>
  <c r="Q1450" i="8"/>
  <c r="P1386" i="8"/>
  <c r="Q1386" i="8"/>
  <c r="P1322" i="8"/>
  <c r="Q1322" i="8"/>
  <c r="Q1250" i="8"/>
  <c r="P1250" i="8"/>
  <c r="Q1186" i="8"/>
  <c r="P1186" i="8"/>
  <c r="P49" i="8"/>
  <c r="Q49" i="8"/>
  <c r="Q117" i="8"/>
  <c r="P117" i="8"/>
  <c r="Q149" i="8"/>
  <c r="P149" i="8"/>
  <c r="Q181" i="8"/>
  <c r="P181" i="8"/>
  <c r="Q213" i="8"/>
  <c r="P213" i="8"/>
  <c r="P297" i="8"/>
  <c r="Q297" i="8"/>
  <c r="P329" i="8"/>
  <c r="Q329" i="8"/>
  <c r="P361" i="8"/>
  <c r="Q361" i="8"/>
  <c r="P537" i="8"/>
  <c r="Q537" i="8"/>
  <c r="P579" i="8"/>
  <c r="Q579" i="8"/>
  <c r="P643" i="8"/>
  <c r="Q643" i="8"/>
  <c r="Q689" i="8"/>
  <c r="P689" i="8"/>
  <c r="Q792" i="8"/>
  <c r="P792" i="8"/>
  <c r="Q852" i="8"/>
  <c r="P852" i="8"/>
  <c r="Q921" i="8"/>
  <c r="P921" i="8"/>
  <c r="Q987" i="8"/>
  <c r="P987" i="8"/>
  <c r="Q1085" i="8"/>
  <c r="P1085" i="8"/>
  <c r="P4063" i="8"/>
  <c r="Q4063" i="8"/>
  <c r="Q3999" i="8"/>
  <c r="P3999" i="8"/>
  <c r="Q3935" i="8"/>
  <c r="P3935" i="8"/>
  <c r="Q3863" i="8"/>
  <c r="P3863" i="8"/>
  <c r="Q3799" i="8"/>
  <c r="P3799" i="8"/>
  <c r="P3723" i="8"/>
  <c r="Q3723" i="8"/>
  <c r="P3659" i="8"/>
  <c r="Q3659" i="8"/>
  <c r="P3595" i="8"/>
  <c r="Q3595" i="8"/>
  <c r="Q3531" i="8"/>
  <c r="P3531" i="8"/>
  <c r="Q3459" i="8"/>
  <c r="P3459" i="8"/>
  <c r="Q3395" i="8"/>
  <c r="P3395" i="8"/>
  <c r="Q3331" i="8"/>
  <c r="P3331" i="8"/>
  <c r="Q3255" i="8"/>
  <c r="P3255" i="8"/>
  <c r="Q3191" i="8"/>
  <c r="P3191" i="8"/>
  <c r="P2903" i="8"/>
  <c r="Q2903" i="8"/>
  <c r="P2839" i="8"/>
  <c r="Q2839" i="8"/>
  <c r="P2767" i="8"/>
  <c r="Q2767" i="8"/>
  <c r="P2699" i="8"/>
  <c r="Q2699" i="8"/>
  <c r="P2635" i="8"/>
  <c r="Q2635" i="8"/>
  <c r="Q2571" i="8"/>
  <c r="P2571" i="8"/>
  <c r="Q2507" i="8"/>
  <c r="P2507" i="8"/>
  <c r="P2439" i="8"/>
  <c r="Q2439" i="8"/>
  <c r="P2375" i="8"/>
  <c r="Q2375" i="8"/>
  <c r="P2311" i="8"/>
  <c r="Q2311" i="8"/>
  <c r="P2247" i="8"/>
  <c r="Q2247" i="8"/>
  <c r="P2183" i="8"/>
  <c r="Q2183" i="8"/>
  <c r="P2119" i="8"/>
  <c r="Q2119" i="8"/>
  <c r="P2055" i="8"/>
  <c r="Q2055" i="8"/>
  <c r="P1991" i="8"/>
  <c r="Q1991" i="8"/>
  <c r="P1927" i="8"/>
  <c r="Q1927" i="8"/>
  <c r="Q3160" i="8"/>
  <c r="P3160" i="8"/>
  <c r="Q3096" i="8"/>
  <c r="P3096" i="8"/>
  <c r="Q3032" i="8"/>
  <c r="P3032" i="8"/>
  <c r="Q2956" i="8"/>
  <c r="P2956" i="8"/>
  <c r="Q1811" i="8"/>
  <c r="P1811" i="8"/>
  <c r="Q1747" i="8"/>
  <c r="P1747" i="8"/>
  <c r="Q1683" i="8"/>
  <c r="P1683" i="8"/>
  <c r="Q1615" i="8"/>
  <c r="P1615" i="8"/>
  <c r="Q1551" i="8"/>
  <c r="P1551" i="8"/>
  <c r="Q1475" i="8"/>
  <c r="P1475" i="8"/>
  <c r="Q1411" i="8"/>
  <c r="P1411" i="8"/>
  <c r="Q1347" i="8"/>
  <c r="P1347" i="8"/>
  <c r="P1283" i="8"/>
  <c r="Q1283" i="8"/>
  <c r="P1219" i="8"/>
  <c r="Q1219" i="8"/>
  <c r="P1147" i="8"/>
  <c r="Q1147" i="8"/>
  <c r="Q34" i="8"/>
  <c r="P34" i="8"/>
  <c r="Q108" i="8"/>
  <c r="P108" i="8"/>
  <c r="Q172" i="8"/>
  <c r="P172" i="8"/>
  <c r="Q236" i="8"/>
  <c r="P236" i="8"/>
  <c r="Q306" i="8"/>
  <c r="P306" i="8"/>
  <c r="Q370" i="8"/>
  <c r="P370" i="8"/>
  <c r="Q434" i="8"/>
  <c r="P434" i="8"/>
  <c r="Q498" i="8"/>
  <c r="P498" i="8"/>
  <c r="Q560" i="8"/>
  <c r="P560" i="8"/>
  <c r="Q592" i="8"/>
  <c r="P592" i="8"/>
  <c r="Q624" i="8"/>
  <c r="P624" i="8"/>
  <c r="Q668" i="8"/>
  <c r="P668" i="8"/>
  <c r="Q728" i="8"/>
  <c r="P728" i="8"/>
  <c r="Q803" i="8"/>
  <c r="P803" i="8"/>
  <c r="Q876" i="8"/>
  <c r="P876" i="8"/>
  <c r="Q941" i="8"/>
  <c r="P941" i="8"/>
  <c r="Q1004" i="8"/>
  <c r="P1004" i="8"/>
  <c r="Q1067" i="8"/>
  <c r="P1067" i="8"/>
  <c r="P4084" i="8"/>
  <c r="Q4084" i="8"/>
  <c r="Q4020" i="8"/>
  <c r="P4020" i="8"/>
  <c r="Q3956" i="8"/>
  <c r="P3956" i="8"/>
  <c r="Q3888" i="8"/>
  <c r="P3888" i="8"/>
  <c r="Q3824" i="8"/>
  <c r="P3824" i="8"/>
  <c r="P3748" i="8"/>
  <c r="Q3748" i="8"/>
  <c r="P3684" i="8"/>
  <c r="Q3684" i="8"/>
  <c r="P3612" i="8"/>
  <c r="Q3612" i="8"/>
  <c r="P3548" i="8"/>
  <c r="Q3548" i="8"/>
  <c r="P3484" i="8"/>
  <c r="Q3484" i="8"/>
  <c r="Q3412" i="8"/>
  <c r="P3412" i="8"/>
  <c r="Q3348" i="8"/>
  <c r="P3348" i="8"/>
  <c r="P3272" i="8"/>
  <c r="Q3272" i="8"/>
  <c r="P3208" i="8"/>
  <c r="Q3208" i="8"/>
  <c r="P2924" i="8"/>
  <c r="Q2924" i="8"/>
  <c r="P2856" i="8"/>
  <c r="Q2856" i="8"/>
  <c r="P2792" i="8"/>
  <c r="Q2792" i="8"/>
  <c r="P2720" i="8"/>
  <c r="Q2720" i="8"/>
  <c r="P2656" i="8"/>
  <c r="Q2656" i="8"/>
  <c r="P2592" i="8"/>
  <c r="Q2592" i="8"/>
  <c r="P2528" i="8"/>
  <c r="Q2528" i="8"/>
  <c r="P2452" i="8"/>
  <c r="Q2452" i="8"/>
  <c r="P2388" i="8"/>
  <c r="Q2388" i="8"/>
  <c r="P2324" i="8"/>
  <c r="Q2324" i="8"/>
  <c r="P2260" i="8"/>
  <c r="Q2260" i="8"/>
  <c r="P2196" i="8"/>
  <c r="Q2196" i="8"/>
  <c r="P2132" i="8"/>
  <c r="Q2132" i="8"/>
  <c r="P2068" i="8"/>
  <c r="Q2068" i="8"/>
  <c r="P2004" i="8"/>
  <c r="Q2004" i="8"/>
  <c r="P1940" i="8"/>
  <c r="Q1940" i="8"/>
  <c r="Q1876" i="8"/>
  <c r="P1876" i="8"/>
  <c r="Q3109" i="8"/>
  <c r="P3109" i="8"/>
  <c r="Q3045" i="8"/>
  <c r="P3045" i="8"/>
  <c r="Q2973" i="8"/>
  <c r="P2973" i="8"/>
  <c r="Q1828" i="8"/>
  <c r="P1828" i="8"/>
  <c r="Q1764" i="8"/>
  <c r="P1764" i="8"/>
  <c r="Q1700" i="8"/>
  <c r="P1700" i="8"/>
  <c r="Q1632" i="8"/>
  <c r="P1632" i="8"/>
  <c r="Q1568" i="8"/>
  <c r="P1568" i="8"/>
  <c r="P1492" i="8"/>
  <c r="Q1492" i="8"/>
  <c r="P1428" i="8"/>
  <c r="Q1428" i="8"/>
  <c r="P1364" i="8"/>
  <c r="Q1364" i="8"/>
  <c r="P1300" i="8"/>
  <c r="Q1300" i="8"/>
  <c r="Q1236" i="8"/>
  <c r="P1236" i="8"/>
  <c r="Q1172" i="8"/>
  <c r="P1172" i="8"/>
  <c r="P13" i="8"/>
  <c r="Q13" i="8"/>
  <c r="P45" i="8"/>
  <c r="Q45" i="8"/>
  <c r="Q229" i="8"/>
  <c r="P229" i="8"/>
  <c r="P377" i="8"/>
  <c r="Q377" i="8"/>
  <c r="Q423" i="8"/>
  <c r="P423" i="8"/>
  <c r="Q455" i="8"/>
  <c r="P455" i="8"/>
  <c r="Q487" i="8"/>
  <c r="P487" i="8"/>
  <c r="P519" i="8"/>
  <c r="Q519" i="8"/>
  <c r="P597" i="8"/>
  <c r="Q597" i="8"/>
  <c r="P661" i="8"/>
  <c r="Q661" i="8"/>
  <c r="P723" i="8"/>
  <c r="Q723" i="8"/>
  <c r="Q771" i="8"/>
  <c r="P771" i="8"/>
  <c r="Q836" i="8"/>
  <c r="P836" i="8"/>
  <c r="Q896" i="8"/>
  <c r="P896" i="8"/>
  <c r="Q963" i="8"/>
  <c r="P963" i="8"/>
  <c r="Q1032" i="8"/>
  <c r="P1032" i="8"/>
  <c r="Q1092" i="8"/>
  <c r="P1092" i="8"/>
  <c r="P4057" i="8"/>
  <c r="Q4057" i="8"/>
  <c r="Q3993" i="8"/>
  <c r="P3993" i="8"/>
  <c r="Q3897" i="8"/>
  <c r="P3897" i="8"/>
  <c r="Q3833" i="8"/>
  <c r="P3833" i="8"/>
  <c r="P3757" i="8"/>
  <c r="Q3757" i="8"/>
  <c r="P3693" i="8"/>
  <c r="Q3693" i="8"/>
  <c r="P3621" i="8"/>
  <c r="Q3621" i="8"/>
  <c r="P3557" i="8"/>
  <c r="Q3557" i="8"/>
  <c r="Q3493" i="8"/>
  <c r="P3493" i="8"/>
  <c r="Q3421" i="8"/>
  <c r="P3421" i="8"/>
  <c r="Q3357" i="8"/>
  <c r="P3357" i="8"/>
  <c r="Q3257" i="8"/>
  <c r="P3257" i="8"/>
  <c r="Q3193" i="8"/>
  <c r="P3193" i="8"/>
  <c r="P2905" i="8"/>
  <c r="Q2905" i="8"/>
  <c r="P2841" i="8"/>
  <c r="Q2841" i="8"/>
  <c r="P2737" i="8"/>
  <c r="Q2737" i="8"/>
  <c r="P2673" i="8"/>
  <c r="Q2673" i="8"/>
  <c r="Q2609" i="8"/>
  <c r="P2609" i="8"/>
  <c r="Q2545" i="8"/>
  <c r="P2545" i="8"/>
  <c r="P2469" i="8"/>
  <c r="Q2469" i="8"/>
  <c r="P2405" i="8"/>
  <c r="Q2405" i="8"/>
  <c r="P2341" i="8"/>
  <c r="Q2341" i="8"/>
  <c r="P2269" i="8"/>
  <c r="Q2269" i="8"/>
  <c r="P2205" i="8"/>
  <c r="Q2205" i="8"/>
  <c r="P2141" i="8"/>
  <c r="Q2141" i="8"/>
  <c r="P2077" i="8"/>
  <c r="Q2077" i="8"/>
  <c r="P2013" i="8"/>
  <c r="Q2013" i="8"/>
  <c r="P1949" i="8"/>
  <c r="Q1949" i="8"/>
  <c r="P1885" i="8"/>
  <c r="Q1885" i="8"/>
  <c r="Q3118" i="8"/>
  <c r="P3118" i="8"/>
  <c r="Q3054" i="8"/>
  <c r="P3054" i="8"/>
  <c r="Q2982" i="8"/>
  <c r="P2982" i="8"/>
  <c r="Q1837" i="8"/>
  <c r="P1837" i="8"/>
  <c r="Q1773" i="8"/>
  <c r="P1773" i="8"/>
  <c r="Q1709" i="8"/>
  <c r="P1709" i="8"/>
  <c r="Q1633" i="8"/>
  <c r="P1633" i="8"/>
  <c r="Q1569" i="8"/>
  <c r="P1569" i="8"/>
  <c r="P1493" i="8"/>
  <c r="Q1493" i="8"/>
  <c r="Q1429" i="8"/>
  <c r="P1429" i="8"/>
  <c r="Q1365" i="8"/>
  <c r="P1365" i="8"/>
  <c r="Q1301" i="8"/>
  <c r="P1301" i="8"/>
  <c r="P1237" i="8"/>
  <c r="Q1237" i="8"/>
  <c r="P1173" i="8"/>
  <c r="Q1173" i="8"/>
  <c r="Q24" i="8"/>
  <c r="P24" i="8"/>
  <c r="Q90" i="8"/>
  <c r="P90" i="8"/>
  <c r="Q166" i="8"/>
  <c r="P166" i="8"/>
  <c r="Q230" i="8"/>
  <c r="P230" i="8"/>
  <c r="Q328" i="8"/>
  <c r="P328" i="8"/>
  <c r="Q392" i="8"/>
  <c r="P392" i="8"/>
  <c r="Q456" i="8"/>
  <c r="P456" i="8"/>
  <c r="Q520" i="8"/>
  <c r="P520" i="8"/>
  <c r="Q672" i="8"/>
  <c r="P672" i="8"/>
  <c r="Q736" i="8"/>
  <c r="P736" i="8"/>
  <c r="Q791" i="8"/>
  <c r="P791" i="8"/>
  <c r="Q854" i="8"/>
  <c r="P854" i="8"/>
  <c r="Q923" i="8"/>
  <c r="P923" i="8"/>
  <c r="Q986" i="8"/>
  <c r="P986" i="8"/>
  <c r="Q1060" i="8"/>
  <c r="P1060" i="8"/>
  <c r="P4086" i="8"/>
  <c r="Q4086" i="8"/>
  <c r="Q4022" i="8"/>
  <c r="P4022" i="8"/>
  <c r="Q3958" i="8"/>
  <c r="P3958" i="8"/>
  <c r="Q3886" i="8"/>
  <c r="P3886" i="8"/>
  <c r="Q3822" i="8"/>
  <c r="P3822" i="8"/>
  <c r="P3746" i="8"/>
  <c r="Q3746" i="8"/>
  <c r="P3682" i="8"/>
  <c r="Q3682" i="8"/>
  <c r="P3618" i="8"/>
  <c r="Q3618" i="8"/>
  <c r="P3554" i="8"/>
  <c r="Q3554" i="8"/>
  <c r="P3490" i="8"/>
  <c r="Q3490" i="8"/>
  <c r="P3422" i="8"/>
  <c r="Q3422" i="8"/>
  <c r="Q3358" i="8"/>
  <c r="P3358" i="8"/>
  <c r="P3258" i="8"/>
  <c r="Q3258" i="8"/>
  <c r="P3194" i="8"/>
  <c r="Q3194" i="8"/>
  <c r="P2906" i="8"/>
  <c r="Q2906" i="8"/>
  <c r="P2842" i="8"/>
  <c r="Q2842" i="8"/>
  <c r="P2738" i="8"/>
  <c r="Q2738" i="8"/>
  <c r="P2674" i="8"/>
  <c r="Q2674" i="8"/>
  <c r="P2610" i="8"/>
  <c r="Q2610" i="8"/>
  <c r="P2546" i="8"/>
  <c r="Q2546" i="8"/>
  <c r="P2446" i="8"/>
  <c r="Q2446" i="8"/>
  <c r="P2382" i="8"/>
  <c r="Q2382" i="8"/>
  <c r="P2310" i="8"/>
  <c r="Q2310" i="8"/>
  <c r="P2246" i="8"/>
  <c r="Q2246" i="8"/>
  <c r="P2182" i="8"/>
  <c r="Q2182" i="8"/>
  <c r="P2118" i="8"/>
  <c r="Q2118" i="8"/>
  <c r="P2054" i="8"/>
  <c r="Q2054" i="8"/>
  <c r="P1990" i="8"/>
  <c r="Q1990" i="8"/>
  <c r="P1926" i="8"/>
  <c r="Q1926" i="8"/>
  <c r="Q3159" i="8"/>
  <c r="P3159" i="8"/>
  <c r="Q3095" i="8"/>
  <c r="P3095" i="8"/>
  <c r="Q3031" i="8"/>
  <c r="P3031" i="8"/>
  <c r="Q2959" i="8"/>
  <c r="P2959" i="8"/>
  <c r="Q1814" i="8"/>
  <c r="P1814" i="8"/>
  <c r="Q1750" i="8"/>
  <c r="P1750" i="8"/>
  <c r="Q1686" i="8"/>
  <c r="P1686" i="8"/>
  <c r="Q1610" i="8"/>
  <c r="P1610" i="8"/>
  <c r="Q1546" i="8"/>
  <c r="P1546" i="8"/>
  <c r="P1470" i="8"/>
  <c r="Q1470" i="8"/>
  <c r="P1406" i="8"/>
  <c r="Q1406" i="8"/>
  <c r="P1342" i="8"/>
  <c r="Q1342" i="8"/>
  <c r="Q1278" i="8"/>
  <c r="P1278" i="8"/>
  <c r="Q1214" i="8"/>
  <c r="P1214" i="8"/>
  <c r="Q1150" i="8"/>
  <c r="P1150" i="8"/>
  <c r="Q79" i="8"/>
  <c r="P79" i="8"/>
  <c r="Q131" i="8"/>
  <c r="P131" i="8"/>
  <c r="Q163" i="8"/>
  <c r="P163" i="8"/>
  <c r="Q195" i="8"/>
  <c r="P195" i="8"/>
  <c r="P279" i="8"/>
  <c r="Q279" i="8"/>
  <c r="P311" i="8"/>
  <c r="Q311" i="8"/>
  <c r="P343" i="8"/>
  <c r="Q343" i="8"/>
  <c r="P395" i="8"/>
  <c r="Q395" i="8"/>
  <c r="P551" i="8"/>
  <c r="Q551" i="8"/>
  <c r="P607" i="8"/>
  <c r="Q607" i="8"/>
  <c r="Q671" i="8"/>
  <c r="P671" i="8"/>
  <c r="P753" i="8"/>
  <c r="Q753" i="8"/>
  <c r="Q821" i="8"/>
  <c r="P821" i="8"/>
  <c r="Q875" i="8"/>
  <c r="P875" i="8"/>
  <c r="Q940" i="8"/>
  <c r="P940" i="8"/>
  <c r="Q1009" i="8"/>
  <c r="P1009" i="8"/>
  <c r="Q1074" i="8"/>
  <c r="P1074" i="8"/>
  <c r="P4075" i="8"/>
  <c r="Q4075" i="8"/>
  <c r="Q4011" i="8"/>
  <c r="P4011" i="8"/>
  <c r="Q3947" i="8"/>
  <c r="P3947" i="8"/>
  <c r="Q3883" i="8"/>
  <c r="P3883" i="8"/>
  <c r="Q3819" i="8"/>
  <c r="P3819" i="8"/>
  <c r="Q3751" i="8"/>
  <c r="P3751" i="8"/>
  <c r="P3687" i="8"/>
  <c r="Q3687" i="8"/>
  <c r="P3623" i="8"/>
  <c r="Q3623" i="8"/>
  <c r="P3559" i="8"/>
  <c r="Q3559" i="8"/>
  <c r="Q3495" i="8"/>
  <c r="P3495" i="8"/>
  <c r="Q3431" i="8"/>
  <c r="P3431" i="8"/>
  <c r="Q3367" i="8"/>
  <c r="P3367" i="8"/>
  <c r="Q3299" i="8"/>
  <c r="P3299" i="8"/>
  <c r="Q3235" i="8"/>
  <c r="P3235" i="8"/>
  <c r="P2947" i="8"/>
  <c r="Q2947" i="8"/>
  <c r="P2851" i="8"/>
  <c r="Q2851" i="8"/>
  <c r="P2787" i="8"/>
  <c r="Q2787" i="8"/>
  <c r="P2711" i="8"/>
  <c r="Q2711" i="8"/>
  <c r="P2647" i="8"/>
  <c r="Q2647" i="8"/>
  <c r="Q2583" i="8"/>
  <c r="P2583" i="8"/>
  <c r="Q2519" i="8"/>
  <c r="P2519" i="8"/>
  <c r="P2443" i="8"/>
  <c r="Q2443" i="8"/>
  <c r="P2379" i="8"/>
  <c r="Q2379" i="8"/>
  <c r="P2315" i="8"/>
  <c r="Q2315" i="8"/>
  <c r="P2251" i="8"/>
  <c r="Q2251" i="8"/>
  <c r="P2187" i="8"/>
  <c r="Q2187" i="8"/>
  <c r="P2123" i="8"/>
  <c r="Q2123" i="8"/>
  <c r="P2059" i="8"/>
  <c r="Q2059" i="8"/>
  <c r="P1175" i="8"/>
  <c r="Q1175" i="8"/>
  <c r="P1239" i="8"/>
  <c r="Q1239" i="8"/>
  <c r="Q1303" i="8"/>
  <c r="P1303" i="8"/>
  <c r="Q1367" i="8"/>
  <c r="P1367" i="8"/>
  <c r="Q1431" i="8"/>
  <c r="P1431" i="8"/>
  <c r="P1495" i="8"/>
  <c r="Q1495" i="8"/>
  <c r="Q1563" i="8"/>
  <c r="P1563" i="8"/>
  <c r="Q1627" i="8"/>
  <c r="P1627" i="8"/>
  <c r="Q1695" i="8"/>
  <c r="P1695" i="8"/>
  <c r="Q1759" i="8"/>
  <c r="P1759" i="8"/>
  <c r="Q1823" i="8"/>
  <c r="P1823" i="8"/>
  <c r="Q2968" i="8"/>
  <c r="P2968" i="8"/>
  <c r="Q3036" i="8"/>
  <c r="P3036" i="8"/>
  <c r="Q3100" i="8"/>
  <c r="P3100" i="8"/>
  <c r="Q3164" i="8"/>
  <c r="P3164" i="8"/>
  <c r="P1931" i="8"/>
  <c r="Q1931" i="8"/>
  <c r="P1995" i="8"/>
  <c r="Q1995" i="8"/>
  <c r="P1151" i="8"/>
  <c r="Q1151" i="8"/>
  <c r="P1215" i="8"/>
  <c r="Q1215" i="8"/>
  <c r="P1279" i="8"/>
  <c r="Q1279" i="8"/>
  <c r="Q1343" i="8"/>
  <c r="P1343" i="8"/>
  <c r="Q1407" i="8"/>
  <c r="P1407" i="8"/>
  <c r="Q1471" i="8"/>
  <c r="P1471" i="8"/>
  <c r="Q1539" i="8"/>
  <c r="P1539" i="8"/>
  <c r="Q1603" i="8"/>
  <c r="P1603" i="8"/>
  <c r="Q1687" i="8"/>
  <c r="P1687" i="8"/>
  <c r="Q1751" i="8"/>
  <c r="P1751" i="8"/>
  <c r="Q1815" i="8"/>
  <c r="P1815" i="8"/>
  <c r="Q2960" i="8"/>
  <c r="P2960" i="8"/>
  <c r="Q3028" i="8"/>
  <c r="P3028" i="8"/>
  <c r="Q3092" i="8"/>
  <c r="P3092" i="8"/>
  <c r="Q3156" i="8"/>
  <c r="P3156" i="8"/>
  <c r="P1923" i="8"/>
  <c r="Q1923" i="8"/>
  <c r="P1987" i="8"/>
  <c r="Q1987" i="8"/>
  <c r="P2067" i="8"/>
  <c r="Q2067" i="8"/>
  <c r="P2131" i="8"/>
  <c r="Q2131" i="8"/>
  <c r="P2195" i="8"/>
  <c r="Q2195" i="8"/>
  <c r="P2259" i="8"/>
  <c r="Q2259" i="8"/>
  <c r="P2323" i="8"/>
  <c r="Q2323" i="8"/>
  <c r="P2387" i="8"/>
  <c r="Q2387" i="8"/>
  <c r="P2451" i="8"/>
  <c r="Q2451" i="8"/>
  <c r="Q2527" i="8"/>
  <c r="P2527" i="8"/>
  <c r="Q2591" i="8"/>
  <c r="P2591" i="8"/>
  <c r="P2655" i="8"/>
  <c r="Q2655" i="8"/>
  <c r="P2719" i="8"/>
  <c r="Q2719" i="8"/>
  <c r="P2795" i="8"/>
  <c r="Q2795" i="8"/>
  <c r="P2859" i="8"/>
  <c r="Q2859" i="8"/>
  <c r="P2923" i="8"/>
  <c r="Q2923" i="8"/>
  <c r="Q3211" i="8"/>
  <c r="P3211" i="8"/>
  <c r="P1159" i="8"/>
  <c r="Q1159" i="8"/>
  <c r="P1223" i="8"/>
  <c r="Q1223" i="8"/>
  <c r="P1287" i="8"/>
  <c r="Q1287" i="8"/>
  <c r="Q1351" i="8"/>
  <c r="P1351" i="8"/>
  <c r="Q1415" i="8"/>
  <c r="P1415" i="8"/>
  <c r="P1479" i="8"/>
  <c r="Q1479" i="8"/>
  <c r="Q1579" i="8"/>
  <c r="P1579" i="8"/>
  <c r="Q1643" i="8"/>
  <c r="P1643" i="8"/>
  <c r="Q1711" i="8"/>
  <c r="P1711" i="8"/>
  <c r="Q1775" i="8"/>
  <c r="P1775" i="8"/>
  <c r="Q1839" i="8"/>
  <c r="P1839" i="8"/>
  <c r="Q2984" i="8"/>
  <c r="P2984" i="8"/>
  <c r="Q3052" i="8"/>
  <c r="P3052" i="8"/>
  <c r="Q3116" i="8"/>
  <c r="P3116" i="8"/>
  <c r="P1883" i="8"/>
  <c r="Q1883" i="8"/>
  <c r="P1947" i="8"/>
  <c r="Q1947" i="8"/>
  <c r="P2011" i="8"/>
  <c r="Q2011" i="8"/>
  <c r="P1199" i="8"/>
  <c r="Q1199" i="8"/>
  <c r="P1263" i="8"/>
  <c r="Q1263" i="8"/>
  <c r="Q1327" i="8"/>
  <c r="P1327" i="8"/>
  <c r="Q1391" i="8"/>
  <c r="P1391" i="8"/>
  <c r="Q1455" i="8"/>
  <c r="P1455" i="8"/>
  <c r="P1523" i="8"/>
  <c r="Q1523" i="8"/>
  <c r="Q1587" i="8"/>
  <c r="P1587" i="8"/>
  <c r="Q1651" i="8"/>
  <c r="P1651" i="8"/>
  <c r="Q1735" i="8"/>
  <c r="P1735" i="8"/>
  <c r="Q1799" i="8"/>
  <c r="P1799" i="8"/>
  <c r="Q1863" i="8"/>
  <c r="P1863" i="8"/>
  <c r="Q3008" i="8"/>
  <c r="P3008" i="8"/>
  <c r="Q3076" i="8"/>
  <c r="P3076" i="8"/>
  <c r="Q3140" i="8"/>
  <c r="P3140" i="8"/>
  <c r="P1907" i="8"/>
  <c r="Q1907" i="8"/>
  <c r="P1971" i="8"/>
  <c r="Q1971" i="8"/>
  <c r="P2035" i="8"/>
  <c r="Q2035" i="8"/>
  <c r="P2115" i="8"/>
  <c r="Q2115" i="8"/>
  <c r="P2179" i="8"/>
  <c r="Q2179" i="8"/>
  <c r="P2243" i="8"/>
  <c r="Q2243" i="8"/>
  <c r="P2307" i="8"/>
  <c r="Q2307" i="8"/>
  <c r="P2371" i="8"/>
  <c r="Q2371" i="8"/>
  <c r="P2435" i="8"/>
  <c r="Q2435" i="8"/>
  <c r="Q2511" i="8"/>
  <c r="P2511" i="8"/>
  <c r="Q2575" i="8"/>
  <c r="P2575" i="8"/>
  <c r="P2639" i="8"/>
  <c r="Q2639" i="8"/>
  <c r="P2703" i="8"/>
  <c r="Q2703" i="8"/>
  <c r="P2779" i="8"/>
  <c r="Q2779" i="8"/>
  <c r="P2843" i="8"/>
  <c r="Q2843" i="8"/>
  <c r="P2907" i="8"/>
  <c r="Q2907" i="8"/>
  <c r="Q3195" i="8"/>
  <c r="P3195" i="8"/>
  <c r="P2051" i="8"/>
  <c r="Q2051" i="8"/>
  <c r="L136" i="5" l="1"/>
  <c r="K35" i="5"/>
  <c r="T90" i="1" s="1"/>
  <c r="K48" i="5"/>
  <c r="U95" i="1" s="1"/>
  <c r="K40" i="5"/>
  <c r="U92" i="1" s="1"/>
  <c r="K131" i="5"/>
  <c r="T130" i="1" s="1"/>
  <c r="L5" i="5"/>
  <c r="K97" i="5"/>
  <c r="V116" i="1" s="1"/>
  <c r="L99" i="5"/>
  <c r="K103" i="5"/>
  <c r="T119" i="1" s="1"/>
  <c r="L9" i="5"/>
  <c r="K89" i="5"/>
  <c r="K96" i="5"/>
  <c r="U116" i="1" s="1"/>
  <c r="L56" i="5"/>
  <c r="L137" i="5"/>
  <c r="K41" i="5"/>
  <c r="V92" i="1" s="1"/>
  <c r="K49" i="5"/>
  <c r="V95" i="1" s="1"/>
  <c r="K92" i="5"/>
  <c r="U114" i="1" s="1"/>
  <c r="K108" i="5"/>
  <c r="U121" i="1" s="1"/>
  <c r="K47" i="5"/>
  <c r="T95" i="1" s="1"/>
  <c r="K37" i="5"/>
  <c r="V90" i="1" s="1"/>
  <c r="K28" i="5"/>
  <c r="U86" i="1" s="1"/>
  <c r="L8" i="5"/>
  <c r="Z81" i="1" s="1"/>
  <c r="L115" i="5"/>
  <c r="K13" i="5"/>
  <c r="V82" i="1" s="1"/>
  <c r="K36" i="5"/>
  <c r="U90" i="1" s="1"/>
  <c r="K133" i="5"/>
  <c r="V130" i="1" s="1"/>
  <c r="L21" i="5"/>
  <c r="K23" i="5"/>
  <c r="T85" i="1" s="1"/>
  <c r="K27" i="5"/>
  <c r="T86" i="1" s="1"/>
  <c r="L64" i="5"/>
  <c r="K77" i="5"/>
  <c r="V106" i="1" s="1"/>
  <c r="K93" i="5"/>
  <c r="V114" i="1" s="1"/>
  <c r="L101" i="5"/>
  <c r="K39" i="5"/>
  <c r="K81" i="5"/>
  <c r="V108" i="1" s="1"/>
  <c r="L55" i="5"/>
  <c r="L79" i="5"/>
  <c r="Q3780" i="8"/>
  <c r="P3780" i="8"/>
  <c r="Q3328" i="8"/>
  <c r="P3328" i="8"/>
  <c r="P2320" i="8"/>
  <c r="Q2320" i="8"/>
  <c r="Q2485" i="8"/>
  <c r="P2485" i="8"/>
  <c r="Q1673" i="8"/>
  <c r="P1673" i="8"/>
  <c r="P2319" i="8"/>
  <c r="Q2319" i="8"/>
  <c r="Q1293" i="8"/>
  <c r="P1293" i="8"/>
  <c r="Q1020" i="8"/>
  <c r="P1020" i="8"/>
  <c r="P3647" i="8"/>
  <c r="Q3647" i="8"/>
  <c r="Q104" i="8"/>
  <c r="P104" i="8"/>
  <c r="Q863" i="8"/>
  <c r="P863" i="8"/>
  <c r="P2748" i="8"/>
  <c r="Q2748" i="8"/>
  <c r="Q3781" i="8"/>
  <c r="P3781" i="8"/>
  <c r="P2749" i="8"/>
  <c r="Q2749" i="8"/>
  <c r="P1517" i="8"/>
  <c r="Q1517" i="8"/>
  <c r="Q865" i="8"/>
  <c r="P865" i="8"/>
  <c r="Q3930" i="8"/>
  <c r="P3930" i="8"/>
  <c r="P2751" i="8"/>
  <c r="Q2751" i="8"/>
  <c r="P2776" i="8"/>
  <c r="Q2776" i="8"/>
  <c r="Q1166" i="8"/>
  <c r="P1166" i="8"/>
  <c r="P864" i="8"/>
  <c r="Q864" i="8"/>
  <c r="Q3479" i="8"/>
  <c r="P3479" i="8"/>
  <c r="Q3173" i="8"/>
  <c r="P3173" i="8"/>
  <c r="P3646" i="8"/>
  <c r="Q3646" i="8"/>
  <c r="P2750" i="8"/>
  <c r="Q2750" i="8"/>
  <c r="Q1674" i="8"/>
  <c r="P1674" i="8"/>
  <c r="P866" i="8"/>
  <c r="Q866" i="8"/>
  <c r="Q1676" i="8"/>
  <c r="P1676" i="8"/>
  <c r="P2914" i="8"/>
  <c r="Q2914" i="8"/>
  <c r="P1296" i="8"/>
  <c r="Q1296" i="8"/>
  <c r="P1169" i="8"/>
  <c r="Q1169" i="8"/>
  <c r="P1518" i="8"/>
  <c r="Q1518" i="8"/>
  <c r="Q1023" i="8"/>
  <c r="P1023" i="8"/>
  <c r="Q3325" i="8"/>
  <c r="P3325" i="8"/>
  <c r="Q264" i="8"/>
  <c r="P264" i="8"/>
  <c r="P2778" i="8"/>
  <c r="Q2778" i="8"/>
  <c r="P263" i="8"/>
  <c r="Q263" i="8"/>
  <c r="P1167" i="8"/>
  <c r="Q1167" i="8"/>
  <c r="E7" i="4"/>
  <c r="E5" i="4"/>
  <c r="Y121" i="1"/>
  <c r="Y126" i="1"/>
  <c r="Y108" i="1"/>
  <c r="Y95" i="1"/>
  <c r="Y82" i="1"/>
  <c r="Y116" i="1"/>
  <c r="Y81" i="1"/>
  <c r="Y128" i="1"/>
  <c r="Y106" i="1"/>
  <c r="Y119" i="1"/>
  <c r="Y130" i="1"/>
  <c r="I57" i="1"/>
  <c r="E57" i="1"/>
  <c r="I65" i="1"/>
  <c r="E65" i="1"/>
  <c r="D6" i="4"/>
  <c r="C6" i="4"/>
  <c r="F58" i="1"/>
  <c r="J58" i="1"/>
  <c r="F72" i="1"/>
  <c r="J72" i="1"/>
  <c r="G73" i="1"/>
  <c r="C73" i="1"/>
  <c r="I121" i="1"/>
  <c r="C68" i="1"/>
  <c r="G68" i="1"/>
  <c r="I106" i="1"/>
  <c r="AC93" i="1"/>
  <c r="I82" i="1"/>
  <c r="S82" i="1"/>
  <c r="D61" i="1"/>
  <c r="H61" i="1"/>
  <c r="T112" i="1"/>
  <c r="D62" i="1"/>
  <c r="H62" i="1"/>
  <c r="E60" i="1"/>
  <c r="I60" i="1"/>
  <c r="I67" i="1"/>
  <c r="E67" i="1"/>
  <c r="F57" i="1"/>
  <c r="J57" i="1"/>
  <c r="D7" i="4"/>
  <c r="F65" i="1"/>
  <c r="J65" i="1"/>
  <c r="C7" i="4"/>
  <c r="I122" i="1"/>
  <c r="I108" i="1"/>
  <c r="C58" i="1"/>
  <c r="G58" i="1"/>
  <c r="C72" i="1"/>
  <c r="G72" i="1"/>
  <c r="I95" i="1"/>
  <c r="I83" i="1"/>
  <c r="D64" i="1"/>
  <c r="H64" i="1"/>
  <c r="T110" i="1"/>
  <c r="I69" i="1"/>
  <c r="E69" i="1"/>
  <c r="U126" i="1"/>
  <c r="I63" i="1"/>
  <c r="E63" i="1"/>
  <c r="E70" i="1"/>
  <c r="I70" i="1"/>
  <c r="F59" i="1"/>
  <c r="J59" i="1"/>
  <c r="F71" i="1"/>
  <c r="J71" i="1"/>
  <c r="V119" i="1"/>
  <c r="F66" i="1"/>
  <c r="J66" i="1"/>
  <c r="I123" i="1"/>
  <c r="C64" i="1"/>
  <c r="G64" i="1"/>
  <c r="I110" i="1"/>
  <c r="S110" i="1"/>
  <c r="I96" i="1"/>
  <c r="I84" i="1"/>
  <c r="S84" i="1"/>
  <c r="D60" i="1"/>
  <c r="H60" i="1"/>
  <c r="D67" i="1"/>
  <c r="H67" i="1"/>
  <c r="I61" i="1"/>
  <c r="E61" i="1"/>
  <c r="U112" i="1"/>
  <c r="E62" i="1"/>
  <c r="I62" i="1"/>
  <c r="F69" i="1"/>
  <c r="J69" i="1"/>
  <c r="F63" i="1"/>
  <c r="J63" i="1"/>
  <c r="F70" i="1"/>
  <c r="J70" i="1"/>
  <c r="G59" i="1"/>
  <c r="C59" i="1"/>
  <c r="I132" i="1"/>
  <c r="S132" i="1"/>
  <c r="G71" i="1"/>
  <c r="C71" i="1"/>
  <c r="I119" i="1"/>
  <c r="I104" i="1"/>
  <c r="I92" i="1"/>
  <c r="C66" i="1"/>
  <c r="G66" i="1"/>
  <c r="S92" i="1"/>
  <c r="I81" i="1"/>
  <c r="S81" i="1"/>
  <c r="D73" i="1"/>
  <c r="H73" i="1"/>
  <c r="D68" i="1"/>
  <c r="H68" i="1"/>
  <c r="K16" i="5"/>
  <c r="U83" i="1" s="1"/>
  <c r="K132" i="5"/>
  <c r="U130" i="1" s="1"/>
  <c r="K15" i="5"/>
  <c r="T83" i="1" s="1"/>
  <c r="L69" i="5"/>
  <c r="L31" i="5"/>
  <c r="K76" i="5"/>
  <c r="U106" i="1" s="1"/>
  <c r="K29" i="5"/>
  <c r="V86" i="1" s="1"/>
  <c r="K12" i="5"/>
  <c r="K60" i="5"/>
  <c r="K4" i="5"/>
  <c r="K20" i="5"/>
  <c r="K125" i="5"/>
  <c r="L51" i="5"/>
  <c r="K129" i="5"/>
  <c r="L42" i="5"/>
  <c r="Z93" i="1" s="1"/>
  <c r="K32" i="5"/>
  <c r="U88" i="1" s="1"/>
  <c r="L109" i="5"/>
  <c r="K17" i="5"/>
  <c r="V83" i="1" s="1"/>
  <c r="K3" i="5"/>
  <c r="K61" i="5"/>
  <c r="V100" i="1" s="1"/>
  <c r="L65" i="5"/>
  <c r="K102" i="5"/>
  <c r="L116" i="5"/>
  <c r="L52" i="5"/>
  <c r="L117" i="5"/>
  <c r="K104" i="5"/>
  <c r="U119" i="1" s="1"/>
  <c r="L121" i="5"/>
  <c r="Z124" i="1" s="1"/>
  <c r="K95" i="5"/>
  <c r="T116" i="1" s="1"/>
  <c r="L100" i="5"/>
  <c r="K25" i="5"/>
  <c r="V85" i="1" s="1"/>
  <c r="L67" i="5"/>
  <c r="K75" i="5"/>
  <c r="T106" i="1" s="1"/>
  <c r="K85" i="5"/>
  <c r="K107" i="5"/>
  <c r="T121" i="1" s="1"/>
  <c r="L57" i="5"/>
  <c r="L80" i="5"/>
  <c r="K91" i="5"/>
  <c r="T114" i="1" s="1"/>
  <c r="L53" i="5"/>
  <c r="L68" i="5"/>
  <c r="K24" i="5"/>
  <c r="U85" i="1" s="1"/>
  <c r="K136" i="5"/>
  <c r="L35" i="5"/>
  <c r="L48" i="5"/>
  <c r="L40" i="5"/>
  <c r="L131" i="5"/>
  <c r="K5" i="5"/>
  <c r="L97" i="5"/>
  <c r="K99" i="5"/>
  <c r="L103" i="5"/>
  <c r="K9" i="5"/>
  <c r="V81" i="1" s="1"/>
  <c r="L89" i="5"/>
  <c r="Z112" i="1" s="1"/>
  <c r="L96" i="5"/>
  <c r="K56" i="5"/>
  <c r="U98" i="1" s="1"/>
  <c r="K137" i="5"/>
  <c r="V132" i="1" s="1"/>
  <c r="L41" i="5"/>
  <c r="L49" i="5"/>
  <c r="L92" i="5"/>
  <c r="L108" i="5"/>
  <c r="L47" i="5"/>
  <c r="L37" i="5"/>
  <c r="L28" i="5"/>
  <c r="K8" i="5"/>
  <c r="K115" i="5"/>
  <c r="T123" i="1" s="1"/>
  <c r="L13" i="5"/>
  <c r="L36" i="5"/>
  <c r="L133" i="5"/>
  <c r="K21" i="5"/>
  <c r="V84" i="1" s="1"/>
  <c r="L23" i="5"/>
  <c r="L27" i="5"/>
  <c r="K64" i="5"/>
  <c r="L77" i="5"/>
  <c r="L93" i="5"/>
  <c r="K101" i="5"/>
  <c r="V117" i="1" s="1"/>
  <c r="L39" i="5"/>
  <c r="Z92" i="1" s="1"/>
  <c r="L81" i="5"/>
  <c r="K55" i="5"/>
  <c r="T98" i="1" s="1"/>
  <c r="K79" i="5"/>
  <c r="T108" i="1" s="1"/>
  <c r="P3648" i="8"/>
  <c r="Q3648" i="8"/>
  <c r="P2484" i="8"/>
  <c r="Q2484" i="8"/>
  <c r="Q3481" i="8"/>
  <c r="P3481" i="8"/>
  <c r="P2321" i="8"/>
  <c r="Q2321" i="8"/>
  <c r="Q2483" i="8"/>
  <c r="P2483" i="8"/>
  <c r="P2916" i="8"/>
  <c r="Q2916" i="8"/>
  <c r="P3482" i="8"/>
  <c r="Q3482" i="8"/>
  <c r="P3779" i="8"/>
  <c r="Q3779" i="8"/>
  <c r="Q3327" i="8"/>
  <c r="P3327" i="8"/>
  <c r="Q262" i="8"/>
  <c r="L2" i="5" s="1"/>
  <c r="Z80" i="1" s="1"/>
  <c r="P262" i="8"/>
  <c r="P3172" i="8"/>
  <c r="Q3172" i="8"/>
  <c r="L110" i="5" s="1"/>
  <c r="Z122" i="1" s="1"/>
  <c r="Q3017" i="8"/>
  <c r="L130" i="5" s="1"/>
  <c r="Z130" i="1" s="1"/>
  <c r="P3017" i="8"/>
  <c r="P3649" i="8"/>
  <c r="Q3649" i="8"/>
  <c r="Q3018" i="8"/>
  <c r="P3018" i="8"/>
  <c r="Q106" i="8"/>
  <c r="P106" i="8"/>
  <c r="Q1022" i="8"/>
  <c r="P1022" i="8"/>
  <c r="Q3175" i="8"/>
  <c r="P3175" i="8"/>
  <c r="Q1021" i="8"/>
  <c r="L106" i="5" s="1"/>
  <c r="Z121" i="1" s="1"/>
  <c r="P1021" i="8"/>
  <c r="P1294" i="8"/>
  <c r="Q1294" i="8"/>
  <c r="Q107" i="8"/>
  <c r="P107" i="8"/>
  <c r="Q3931" i="8"/>
  <c r="P3931" i="8"/>
  <c r="P1516" i="8"/>
  <c r="Q1516" i="8"/>
  <c r="Q3778" i="8"/>
  <c r="L22" i="5" s="1"/>
  <c r="Z85" i="1" s="1"/>
  <c r="P3778" i="8"/>
  <c r="P3174" i="8"/>
  <c r="Q3174" i="8"/>
  <c r="P2322" i="8"/>
  <c r="Q2322" i="8"/>
  <c r="Q105" i="8"/>
  <c r="L94" i="5" s="1"/>
  <c r="Z116" i="1" s="1"/>
  <c r="P105" i="8"/>
  <c r="Q1675" i="8"/>
  <c r="L90" i="5" s="1"/>
  <c r="Z114" i="1" s="1"/>
  <c r="P1675" i="8"/>
  <c r="P2913" i="8"/>
  <c r="Q2913" i="8"/>
  <c r="L30" i="5" s="1"/>
  <c r="Z88" i="1" s="1"/>
  <c r="P3480" i="8"/>
  <c r="Q3480" i="8"/>
  <c r="L70" i="5" s="1"/>
  <c r="Z104" i="1" s="1"/>
  <c r="Q1168" i="8"/>
  <c r="L78" i="5" s="1"/>
  <c r="Z108" i="1" s="1"/>
  <c r="P1168" i="8"/>
  <c r="Q3019" i="8"/>
  <c r="P3019" i="8"/>
  <c r="P265" i="8"/>
  <c r="Q265" i="8"/>
  <c r="Q3929" i="8"/>
  <c r="L26" i="5" s="1"/>
  <c r="Z86" i="1" s="1"/>
  <c r="P3929" i="8"/>
  <c r="P2777" i="8"/>
  <c r="Q2777" i="8"/>
  <c r="Q3326" i="8"/>
  <c r="L74" i="5" s="1"/>
  <c r="Z106" i="1" s="1"/>
  <c r="P3326" i="8"/>
  <c r="P2482" i="8"/>
  <c r="Q2482" i="8"/>
  <c r="L14" i="5" s="1"/>
  <c r="Z83" i="1" s="1"/>
  <c r="P2915" i="8"/>
  <c r="Q2915" i="8"/>
  <c r="P1515" i="8"/>
  <c r="Q1515" i="8"/>
  <c r="L34" i="5" s="1"/>
  <c r="Z90" i="1" s="1"/>
  <c r="Y124" i="1"/>
  <c r="Y101" i="1"/>
  <c r="Y117" i="1"/>
  <c r="Y88" i="1"/>
  <c r="Y90" i="1"/>
  <c r="E6" i="4"/>
  <c r="Y96" i="1"/>
  <c r="Y84" i="1"/>
  <c r="Y93" i="1"/>
  <c r="Y122" i="1"/>
  <c r="Y132" i="1"/>
  <c r="Y98" i="1"/>
  <c r="Y112" i="1"/>
  <c r="Y83" i="1"/>
  <c r="Y103" i="1"/>
  <c r="Y100" i="1"/>
  <c r="E4" i="4"/>
  <c r="Y80" i="1"/>
  <c r="E64" i="1"/>
  <c r="I64" i="1"/>
  <c r="U110" i="1"/>
  <c r="F60" i="1"/>
  <c r="J60" i="1"/>
  <c r="F67" i="1"/>
  <c r="J67" i="1"/>
  <c r="V88" i="1"/>
  <c r="G69" i="1"/>
  <c r="C69" i="1"/>
  <c r="I126" i="1"/>
  <c r="S126" i="1"/>
  <c r="G63" i="1"/>
  <c r="C63" i="1"/>
  <c r="I114" i="1"/>
  <c r="I100" i="1"/>
  <c r="C70" i="1"/>
  <c r="G70" i="1"/>
  <c r="S100" i="1"/>
  <c r="D59" i="1"/>
  <c r="H59" i="1"/>
  <c r="T132" i="1"/>
  <c r="D71" i="1"/>
  <c r="H71" i="1"/>
  <c r="D66" i="1"/>
  <c r="H66" i="1"/>
  <c r="E58" i="1"/>
  <c r="I58" i="1"/>
  <c r="E72" i="1"/>
  <c r="I72" i="1"/>
  <c r="F64" i="1"/>
  <c r="J64" i="1"/>
  <c r="I128" i="1"/>
  <c r="S128" i="1"/>
  <c r="C60" i="1"/>
  <c r="G60" i="1"/>
  <c r="E37" i="1" s="1"/>
  <c r="N37" i="1" s="1"/>
  <c r="O37" i="1" s="1"/>
  <c r="P37" i="1" s="1"/>
  <c r="Q37" i="1" s="1"/>
  <c r="R37" i="1" s="1"/>
  <c r="I116" i="1"/>
  <c r="I101" i="1"/>
  <c r="S101" i="1"/>
  <c r="G67" i="1"/>
  <c r="E44" i="1" s="1"/>
  <c r="N44" i="1" s="1"/>
  <c r="O44" i="1" s="1"/>
  <c r="P44" i="1" s="1"/>
  <c r="Q44" i="1" s="1"/>
  <c r="R44" i="1" s="1"/>
  <c r="C67" i="1"/>
  <c r="I88" i="1"/>
  <c r="D57" i="1"/>
  <c r="H57" i="1"/>
  <c r="D65" i="1"/>
  <c r="H65" i="1"/>
  <c r="D5" i="4"/>
  <c r="C5" i="4"/>
  <c r="I73" i="1"/>
  <c r="E73" i="1"/>
  <c r="E68" i="1"/>
  <c r="I68" i="1"/>
  <c r="F61" i="1"/>
  <c r="J61" i="1"/>
  <c r="F62" i="1"/>
  <c r="J62" i="1"/>
  <c r="I130" i="1"/>
  <c r="I117" i="1"/>
  <c r="S117" i="1"/>
  <c r="G57" i="1"/>
  <c r="E34" i="1" s="1"/>
  <c r="C57" i="1"/>
  <c r="I103" i="1"/>
  <c r="I90" i="1"/>
  <c r="G65" i="1"/>
  <c r="E42" i="1" s="1"/>
  <c r="N42" i="1" s="1"/>
  <c r="O42" i="1" s="1"/>
  <c r="P42" i="1" s="1"/>
  <c r="Q42" i="1" s="1"/>
  <c r="R42" i="1" s="1"/>
  <c r="C65" i="1"/>
  <c r="D4" i="4"/>
  <c r="I80" i="1"/>
  <c r="C4" i="4"/>
  <c r="D58" i="1"/>
  <c r="H58" i="1"/>
  <c r="D72" i="1"/>
  <c r="H72" i="1"/>
  <c r="I71" i="1"/>
  <c r="E71" i="1"/>
  <c r="E66" i="1"/>
  <c r="I66" i="1"/>
  <c r="F73" i="1"/>
  <c r="J73" i="1"/>
  <c r="F68" i="1"/>
  <c r="J68" i="1"/>
  <c r="I124" i="1"/>
  <c r="S124" i="1"/>
  <c r="G61" i="1"/>
  <c r="C61" i="1"/>
  <c r="I112" i="1"/>
  <c r="S112" i="1"/>
  <c r="C62" i="1"/>
  <c r="G62" i="1"/>
  <c r="E39" i="1" s="1"/>
  <c r="N39" i="1" s="1"/>
  <c r="O39" i="1" s="1"/>
  <c r="P39" i="1" s="1"/>
  <c r="Q39" i="1" s="1"/>
  <c r="R39" i="1" s="1"/>
  <c r="I98" i="1"/>
  <c r="I85" i="1"/>
  <c r="D69" i="1"/>
  <c r="H69" i="1"/>
  <c r="T126" i="1"/>
  <c r="D63" i="1"/>
  <c r="H63" i="1"/>
  <c r="D70" i="1"/>
  <c r="H70" i="1"/>
  <c r="T100" i="1"/>
  <c r="I59" i="1"/>
  <c r="E59" i="1"/>
  <c r="L16" i="5"/>
  <c r="L132" i="5"/>
  <c r="L15" i="5"/>
  <c r="K69" i="5"/>
  <c r="V103" i="1" s="1"/>
  <c r="K31" i="5"/>
  <c r="T88" i="1" s="1"/>
  <c r="L76" i="5"/>
  <c r="L29" i="5"/>
  <c r="L12" i="5"/>
  <c r="Z82" i="1" s="1"/>
  <c r="L60" i="5"/>
  <c r="L4" i="5"/>
  <c r="L20" i="5"/>
  <c r="Z84" i="1" s="1"/>
  <c r="L125" i="5"/>
  <c r="Z126" i="1" s="1"/>
  <c r="K51" i="5"/>
  <c r="T96" i="1" s="1"/>
  <c r="L129" i="5"/>
  <c r="Z128" i="1" s="1"/>
  <c r="K14" i="5"/>
  <c r="K106" i="5"/>
  <c r="K130" i="5"/>
  <c r="K26" i="5"/>
  <c r="K42" i="5"/>
  <c r="K110" i="5"/>
  <c r="K70" i="5"/>
  <c r="K94" i="5"/>
  <c r="K22" i="5"/>
  <c r="K90" i="5"/>
  <c r="K30" i="5"/>
  <c r="K74" i="5"/>
  <c r="K2" i="5"/>
  <c r="K34" i="5"/>
  <c r="K78" i="5"/>
  <c r="L32" i="5"/>
  <c r="K109" i="5"/>
  <c r="V121" i="1" s="1"/>
  <c r="L17" i="5"/>
  <c r="T104" i="1"/>
  <c r="L3" i="5"/>
  <c r="L61" i="5"/>
  <c r="K65" i="5"/>
  <c r="V101" i="1" s="1"/>
  <c r="L102" i="5"/>
  <c r="K116" i="5"/>
  <c r="U123" i="1" s="1"/>
  <c r="K52" i="5"/>
  <c r="U96" i="1" s="1"/>
  <c r="K117" i="5"/>
  <c r="V123" i="1" s="1"/>
  <c r="L104" i="5"/>
  <c r="K121" i="5"/>
  <c r="L95" i="5"/>
  <c r="K100" i="5"/>
  <c r="U117" i="1" s="1"/>
  <c r="L25" i="5"/>
  <c r="K67" i="5"/>
  <c r="T103" i="1" s="1"/>
  <c r="L75" i="5"/>
  <c r="L85" i="5"/>
  <c r="Z110" i="1" s="1"/>
  <c r="L107" i="5"/>
  <c r="K57" i="5"/>
  <c r="V98" i="1" s="1"/>
  <c r="K80" i="5"/>
  <c r="U108" i="1" s="1"/>
  <c r="T93" i="1"/>
  <c r="L91" i="5"/>
  <c r="K53" i="5"/>
  <c r="V96" i="1" s="1"/>
  <c r="K68" i="5"/>
  <c r="U103" i="1" s="1"/>
  <c r="T122" i="1"/>
  <c r="L24" i="5"/>
  <c r="V124" i="1" l="1"/>
  <c r="J124" i="1"/>
  <c r="K124" i="1" s="1"/>
  <c r="W124" i="1" s="1"/>
  <c r="J90" i="1"/>
  <c r="S90" i="1"/>
  <c r="L45" i="1"/>
  <c r="J106" i="1"/>
  <c r="S106" i="1"/>
  <c r="L40" i="1"/>
  <c r="J114" i="1"/>
  <c r="S114" i="1"/>
  <c r="L37" i="1"/>
  <c r="J116" i="1"/>
  <c r="S116" i="1"/>
  <c r="S122" i="1"/>
  <c r="J122" i="1"/>
  <c r="K122" i="1" s="1"/>
  <c r="W122" i="1" s="1"/>
  <c r="J86" i="1"/>
  <c r="S86" i="1"/>
  <c r="J121" i="1"/>
  <c r="S121" i="1"/>
  <c r="D11" i="1"/>
  <c r="N34" i="1"/>
  <c r="D5" i="1"/>
  <c r="AC101" i="1"/>
  <c r="E47" i="1"/>
  <c r="N47" i="1" s="1"/>
  <c r="O47" i="1" s="1"/>
  <c r="P47" i="1" s="1"/>
  <c r="Q47" i="1" s="1"/>
  <c r="R47" i="1" s="1"/>
  <c r="AC100" i="1"/>
  <c r="D10" i="1"/>
  <c r="U132" i="1"/>
  <c r="L36" i="1"/>
  <c r="J132" i="1"/>
  <c r="V110" i="1"/>
  <c r="J110" i="1"/>
  <c r="L41" i="1"/>
  <c r="T80" i="1"/>
  <c r="F5" i="4"/>
  <c r="G5" i="4" s="1"/>
  <c r="U84" i="1"/>
  <c r="J84" i="1"/>
  <c r="K84" i="1" s="1"/>
  <c r="W84" i="1" s="1"/>
  <c r="U100" i="1"/>
  <c r="L47" i="1"/>
  <c r="J100" i="1"/>
  <c r="AC81" i="1"/>
  <c r="E43" i="1"/>
  <c r="N43" i="1" s="1"/>
  <c r="O43" i="1" s="1"/>
  <c r="P43" i="1" s="1"/>
  <c r="Q43" i="1" s="1"/>
  <c r="R43" i="1" s="1"/>
  <c r="D7" i="1"/>
  <c r="AC119" i="1"/>
  <c r="D18" i="1"/>
  <c r="E48" i="1"/>
  <c r="N48" i="1" s="1"/>
  <c r="O48" i="1" s="1"/>
  <c r="P48" i="1" s="1"/>
  <c r="Q48" i="1" s="1"/>
  <c r="R48" i="1" s="1"/>
  <c r="AC132" i="1"/>
  <c r="L132" i="1"/>
  <c r="D23" i="1"/>
  <c r="E36" i="1"/>
  <c r="N36" i="1" s="1"/>
  <c r="O36" i="1" s="1"/>
  <c r="P36" i="1" s="1"/>
  <c r="Q36" i="1" s="1"/>
  <c r="R36" i="1" s="1"/>
  <c r="AC110" i="1"/>
  <c r="L110" i="1"/>
  <c r="D14" i="1"/>
  <c r="D8" i="1"/>
  <c r="AC122" i="1"/>
  <c r="L122" i="1"/>
  <c r="L106" i="1"/>
  <c r="D12" i="1"/>
  <c r="K114" i="5"/>
  <c r="K66" i="5"/>
  <c r="L46" i="5"/>
  <c r="Z95" i="1" s="1"/>
  <c r="L54" i="5"/>
  <c r="Z98" i="1" s="1"/>
  <c r="K50" i="5"/>
  <c r="T92" i="1"/>
  <c r="L43" i="1"/>
  <c r="J92" i="1"/>
  <c r="Z101" i="1"/>
  <c r="Z117" i="1"/>
  <c r="Z119" i="1"/>
  <c r="L35" i="1"/>
  <c r="J108" i="1"/>
  <c r="L108" i="1" s="1"/>
  <c r="S108" i="1"/>
  <c r="L42" i="1"/>
  <c r="J80" i="1"/>
  <c r="L80" i="1" s="1"/>
  <c r="S80" i="1"/>
  <c r="L44" i="1"/>
  <c r="J88" i="1"/>
  <c r="S88" i="1"/>
  <c r="J85" i="1"/>
  <c r="K85" i="1" s="1"/>
  <c r="W85" i="1" s="1"/>
  <c r="S85" i="1"/>
  <c r="J104" i="1"/>
  <c r="K104" i="1" s="1"/>
  <c r="W104" i="1" s="1"/>
  <c r="S104" i="1"/>
  <c r="J93" i="1"/>
  <c r="S93" i="1"/>
  <c r="S130" i="1"/>
  <c r="J130" i="1"/>
  <c r="J83" i="1"/>
  <c r="K83" i="1" s="1"/>
  <c r="W83" i="1" s="1"/>
  <c r="S83" i="1"/>
  <c r="Z100" i="1"/>
  <c r="D9" i="1"/>
  <c r="AC112" i="1"/>
  <c r="D15" i="1"/>
  <c r="E38" i="1"/>
  <c r="N38" i="1" s="1"/>
  <c r="O38" i="1" s="1"/>
  <c r="P38" i="1" s="1"/>
  <c r="Q38" i="1" s="1"/>
  <c r="R38" i="1" s="1"/>
  <c r="AC124" i="1"/>
  <c r="L124" i="1"/>
  <c r="D4" i="1"/>
  <c r="L90" i="1"/>
  <c r="D6" i="1"/>
  <c r="L130" i="1"/>
  <c r="D22" i="1"/>
  <c r="L116" i="1"/>
  <c r="D17" i="1"/>
  <c r="AC128" i="1"/>
  <c r="D21" i="1"/>
  <c r="L114" i="1"/>
  <c r="D16" i="1"/>
  <c r="E40" i="1"/>
  <c r="N40" i="1" s="1"/>
  <c r="O40" i="1" s="1"/>
  <c r="P40" i="1" s="1"/>
  <c r="Q40" i="1" s="1"/>
  <c r="R40" i="1" s="1"/>
  <c r="AC126" i="1"/>
  <c r="D20" i="1"/>
  <c r="E46" i="1"/>
  <c r="N46" i="1" s="1"/>
  <c r="O46" i="1" s="1"/>
  <c r="P46" i="1" s="1"/>
  <c r="Q46" i="1" s="1"/>
  <c r="R46" i="1" s="1"/>
  <c r="U101" i="1"/>
  <c r="J101" i="1"/>
  <c r="K101" i="1" s="1"/>
  <c r="W101" i="1" s="1"/>
  <c r="U81" i="1"/>
  <c r="J81" i="1"/>
  <c r="K81" i="1" s="1"/>
  <c r="W81" i="1" s="1"/>
  <c r="T117" i="1"/>
  <c r="J117" i="1"/>
  <c r="K117" i="1" s="1"/>
  <c r="W117" i="1" s="1"/>
  <c r="V80" i="1"/>
  <c r="F7" i="4"/>
  <c r="G7" i="4" s="1"/>
  <c r="J119" i="1"/>
  <c r="L48" i="1"/>
  <c r="S119" i="1"/>
  <c r="V128" i="1"/>
  <c r="J128" i="1"/>
  <c r="V126" i="1"/>
  <c r="L46" i="1"/>
  <c r="J126" i="1"/>
  <c r="U80" i="1"/>
  <c r="F6" i="4"/>
  <c r="G6" i="4" s="1"/>
  <c r="U82" i="1"/>
  <c r="J82" i="1"/>
  <c r="K82" i="1" s="1"/>
  <c r="W82" i="1" s="1"/>
  <c r="AC104" i="1"/>
  <c r="L104" i="1"/>
  <c r="AC84" i="1"/>
  <c r="L84" i="1"/>
  <c r="E41" i="1"/>
  <c r="N41" i="1" s="1"/>
  <c r="L83" i="1"/>
  <c r="E49" i="1"/>
  <c r="N49" i="1" s="1"/>
  <c r="O49" i="1" s="1"/>
  <c r="P49" i="1" s="1"/>
  <c r="Q49" i="1" s="1"/>
  <c r="R49" i="1" s="1"/>
  <c r="E35" i="1"/>
  <c r="N35" i="1" s="1"/>
  <c r="O35" i="1" s="1"/>
  <c r="P35" i="1" s="1"/>
  <c r="Q35" i="1" s="1"/>
  <c r="R35" i="1" s="1"/>
  <c r="D13" i="1"/>
  <c r="AC82" i="1"/>
  <c r="L82" i="1"/>
  <c r="E45" i="1"/>
  <c r="N45" i="1" s="1"/>
  <c r="O45" i="1" s="1"/>
  <c r="P45" i="1" s="1"/>
  <c r="Q45" i="1" s="1"/>
  <c r="R45" i="1" s="1"/>
  <c r="L121" i="1"/>
  <c r="D19" i="1"/>
  <c r="E50" i="1"/>
  <c r="N50" i="1" s="1"/>
  <c r="O50" i="1" s="1"/>
  <c r="P50" i="1" s="1"/>
  <c r="Q50" i="1" s="1"/>
  <c r="R50" i="1" s="1"/>
  <c r="L114" i="5"/>
  <c r="Z123" i="1" s="1"/>
  <c r="L66" i="5"/>
  <c r="Z103" i="1" s="1"/>
  <c r="K46" i="5"/>
  <c r="K54" i="5"/>
  <c r="L50" i="5"/>
  <c r="Z96" i="1" s="1"/>
  <c r="V112" i="1"/>
  <c r="L38" i="1"/>
  <c r="J112" i="1"/>
  <c r="Z132" i="1"/>
  <c r="J95" i="1" l="1"/>
  <c r="L49" i="1"/>
  <c r="S95" i="1"/>
  <c r="K112" i="1"/>
  <c r="W112" i="1" s="1"/>
  <c r="E15" i="1"/>
  <c r="F15" i="1" s="1"/>
  <c r="L39" i="1"/>
  <c r="J98" i="1"/>
  <c r="S98" i="1"/>
  <c r="AC83" i="1"/>
  <c r="K128" i="1"/>
  <c r="W128" i="1" s="1"/>
  <c r="E21" i="1"/>
  <c r="F21" i="1" s="1"/>
  <c r="K119" i="1"/>
  <c r="W119" i="1" s="1"/>
  <c r="E18" i="1"/>
  <c r="F18" i="1" s="1"/>
  <c r="L128" i="1"/>
  <c r="L112" i="1"/>
  <c r="K130" i="1"/>
  <c r="E22" i="1"/>
  <c r="F22" i="1" s="1"/>
  <c r="F4" i="4"/>
  <c r="G4" i="4" s="1"/>
  <c r="K92" i="1"/>
  <c r="E7" i="1"/>
  <c r="F7" i="1" s="1"/>
  <c r="J103" i="1"/>
  <c r="L34" i="1"/>
  <c r="S103" i="1"/>
  <c r="L119" i="1"/>
  <c r="L92" i="1"/>
  <c r="L81" i="1"/>
  <c r="AB84" i="1"/>
  <c r="X84" i="1"/>
  <c r="S14" i="2" s="1"/>
  <c r="H49" i="2" s="1"/>
  <c r="R14" i="2"/>
  <c r="G49" i="2" s="1"/>
  <c r="L117" i="1"/>
  <c r="E52" i="1"/>
  <c r="AC85" i="1"/>
  <c r="K121" i="1"/>
  <c r="K86" i="1"/>
  <c r="L86" i="1"/>
  <c r="K116" i="1"/>
  <c r="E17" i="1"/>
  <c r="F17" i="1" s="1"/>
  <c r="K106" i="1"/>
  <c r="E12" i="1"/>
  <c r="F12" i="1" s="1"/>
  <c r="AB124" i="1"/>
  <c r="X124" i="1"/>
  <c r="S39" i="2" s="1"/>
  <c r="H61" i="2" s="1"/>
  <c r="R39" i="2"/>
  <c r="G61" i="2" s="1"/>
  <c r="AB82" i="1"/>
  <c r="X82" i="1"/>
  <c r="S12" i="2" s="1"/>
  <c r="H66" i="2" s="1"/>
  <c r="R12" i="2"/>
  <c r="G66" i="2" s="1"/>
  <c r="K126" i="1"/>
  <c r="W126" i="1" s="1"/>
  <c r="E20" i="1"/>
  <c r="F20" i="1" s="1"/>
  <c r="AB117" i="1"/>
  <c r="X117" i="1"/>
  <c r="S34" i="2" s="1"/>
  <c r="H70" i="2" s="1"/>
  <c r="R34" i="2"/>
  <c r="G70" i="2" s="1"/>
  <c r="AB81" i="1"/>
  <c r="X81" i="1"/>
  <c r="S11" i="2" s="1"/>
  <c r="H63" i="2" s="1"/>
  <c r="R11" i="2"/>
  <c r="G63" i="2" s="1"/>
  <c r="AB101" i="1"/>
  <c r="X101" i="1"/>
  <c r="S25" i="2" s="1"/>
  <c r="H57" i="2" s="1"/>
  <c r="R25" i="2"/>
  <c r="G57" i="2" s="1"/>
  <c r="L126" i="1"/>
  <c r="D24" i="1"/>
  <c r="AB83" i="1"/>
  <c r="X83" i="1"/>
  <c r="S13" i="2" s="1"/>
  <c r="H68" i="2" s="1"/>
  <c r="R13" i="2"/>
  <c r="G68" i="2" s="1"/>
  <c r="K93" i="1"/>
  <c r="W93" i="1" s="1"/>
  <c r="L93" i="1"/>
  <c r="AB104" i="1"/>
  <c r="X104" i="1"/>
  <c r="S27" i="2" s="1"/>
  <c r="H79" i="2" s="1"/>
  <c r="R27" i="2"/>
  <c r="G79" i="2" s="1"/>
  <c r="AB85" i="1"/>
  <c r="X85" i="1"/>
  <c r="S15" i="2" s="1"/>
  <c r="H54" i="2" s="1"/>
  <c r="R15" i="2"/>
  <c r="G54" i="2" s="1"/>
  <c r="K88" i="1"/>
  <c r="E5" i="1"/>
  <c r="F5" i="1" s="1"/>
  <c r="K80" i="1"/>
  <c r="E4" i="1"/>
  <c r="L52" i="1"/>
  <c r="K108" i="1"/>
  <c r="E13" i="1"/>
  <c r="F13" i="1" s="1"/>
  <c r="J96" i="1"/>
  <c r="S96" i="1"/>
  <c r="J123" i="1"/>
  <c r="S123" i="1"/>
  <c r="K100" i="1"/>
  <c r="W100" i="1" s="1"/>
  <c r="E10" i="1"/>
  <c r="F10" i="1" s="1"/>
  <c r="K110" i="1"/>
  <c r="W110" i="1" s="1"/>
  <c r="E14" i="1"/>
  <c r="F14" i="1" s="1"/>
  <c r="K132" i="1"/>
  <c r="W132" i="1" s="1"/>
  <c r="E23" i="1"/>
  <c r="F23" i="1" s="1"/>
  <c r="L100" i="1"/>
  <c r="L101" i="1"/>
  <c r="L88" i="1"/>
  <c r="AC117" i="1"/>
  <c r="N52" i="1"/>
  <c r="O34" i="1"/>
  <c r="L85" i="1"/>
  <c r="L50" i="1"/>
  <c r="AB122" i="1"/>
  <c r="X122" i="1"/>
  <c r="S37" i="2" s="1"/>
  <c r="H78" i="2" s="1"/>
  <c r="R37" i="2"/>
  <c r="G78" i="2" s="1"/>
  <c r="K114" i="1"/>
  <c r="E16" i="1"/>
  <c r="F16" i="1" s="1"/>
  <c r="K90" i="1"/>
  <c r="E6" i="1"/>
  <c r="F6" i="1" s="1"/>
  <c r="M36" i="1" l="1"/>
  <c r="AB132" i="1"/>
  <c r="X132" i="1"/>
  <c r="S43" i="2" s="1"/>
  <c r="H56" i="2" s="1"/>
  <c r="M23" i="1"/>
  <c r="N23" i="1" s="1"/>
  <c r="K23" i="1"/>
  <c r="R43" i="2"/>
  <c r="G56" i="2" s="1"/>
  <c r="AB110" i="1"/>
  <c r="X110" i="1"/>
  <c r="S30" i="2" s="1"/>
  <c r="H81" i="2" s="1"/>
  <c r="M41" i="1"/>
  <c r="M14" i="1"/>
  <c r="N14" i="1" s="1"/>
  <c r="K14" i="1"/>
  <c r="R30" i="2"/>
  <c r="G81" i="2" s="1"/>
  <c r="AB100" i="1"/>
  <c r="X100" i="1"/>
  <c r="S24" i="2" s="1"/>
  <c r="H53" i="2" s="1"/>
  <c r="M47" i="1"/>
  <c r="M10" i="1"/>
  <c r="N10" i="1" s="1"/>
  <c r="K10" i="1"/>
  <c r="R24" i="2"/>
  <c r="G53" i="2" s="1"/>
  <c r="K123" i="1"/>
  <c r="L123" i="1"/>
  <c r="K96" i="1"/>
  <c r="L96" i="1"/>
  <c r="W108" i="1"/>
  <c r="AC108" i="1"/>
  <c r="F4" i="1"/>
  <c r="E19" i="1"/>
  <c r="F19" i="1" s="1"/>
  <c r="W130" i="1"/>
  <c r="AC130" i="1"/>
  <c r="AB119" i="1"/>
  <c r="X119" i="1"/>
  <c r="S35" i="2" s="1"/>
  <c r="H69" i="2" s="1"/>
  <c r="M48" i="1"/>
  <c r="M18" i="1"/>
  <c r="N18" i="1" s="1"/>
  <c r="K18" i="1"/>
  <c r="R35" i="2"/>
  <c r="G69" i="2" s="1"/>
  <c r="AB128" i="1"/>
  <c r="X128" i="1"/>
  <c r="S41" i="2" s="1"/>
  <c r="H59" i="2" s="1"/>
  <c r="M21" i="1"/>
  <c r="N21" i="1" s="1"/>
  <c r="K21" i="1"/>
  <c r="R41" i="2"/>
  <c r="G59" i="2" s="1"/>
  <c r="M38" i="1"/>
  <c r="AB112" i="1"/>
  <c r="X112" i="1"/>
  <c r="S31" i="2" s="1"/>
  <c r="H65" i="2" s="1"/>
  <c r="M15" i="1"/>
  <c r="N15" i="1" s="1"/>
  <c r="K15" i="1"/>
  <c r="R31" i="2"/>
  <c r="G65" i="2" s="1"/>
  <c r="W90" i="1"/>
  <c r="AC90" i="1"/>
  <c r="W114" i="1"/>
  <c r="AC114" i="1"/>
  <c r="O52" i="1"/>
  <c r="P34" i="1"/>
  <c r="W80" i="1"/>
  <c r="AC80" i="1"/>
  <c r="W88" i="1"/>
  <c r="AC88" i="1"/>
  <c r="AB93" i="1"/>
  <c r="X93" i="1"/>
  <c r="S20" i="2" s="1"/>
  <c r="H76" i="2" s="1"/>
  <c r="R20" i="2"/>
  <c r="G76" i="2" s="1"/>
  <c r="M46" i="1"/>
  <c r="AB126" i="1"/>
  <c r="X126" i="1"/>
  <c r="S40" i="2" s="1"/>
  <c r="H74" i="2" s="1"/>
  <c r="M20" i="1"/>
  <c r="N20" i="1" s="1"/>
  <c r="K20" i="1"/>
  <c r="R40" i="2"/>
  <c r="G74" i="2" s="1"/>
  <c r="W106" i="1"/>
  <c r="AC106" i="1"/>
  <c r="W116" i="1"/>
  <c r="AC116" i="1"/>
  <c r="W86" i="1"/>
  <c r="AC86" i="1"/>
  <c r="W121" i="1"/>
  <c r="AC121" i="1"/>
  <c r="K103" i="1"/>
  <c r="E11" i="1"/>
  <c r="F11" i="1" s="1"/>
  <c r="L103" i="1"/>
  <c r="W92" i="1"/>
  <c r="AC92" i="1"/>
  <c r="K98" i="1"/>
  <c r="E9" i="1"/>
  <c r="F9" i="1" s="1"/>
  <c r="L98" i="1"/>
  <c r="K95" i="1"/>
  <c r="E8" i="1"/>
  <c r="F8" i="1" s="1"/>
  <c r="L95" i="1"/>
  <c r="W98" i="1" l="1"/>
  <c r="AC98" i="1"/>
  <c r="W95" i="1"/>
  <c r="AC95" i="1"/>
  <c r="W103" i="1"/>
  <c r="AC103" i="1"/>
  <c r="AB121" i="1"/>
  <c r="X121" i="1"/>
  <c r="S36" i="2" s="1"/>
  <c r="H64" i="2" s="1"/>
  <c r="R36" i="2"/>
  <c r="G64" i="2" s="1"/>
  <c r="AB86" i="1"/>
  <c r="X86" i="1"/>
  <c r="S16" i="2" s="1"/>
  <c r="H80" i="2" s="1"/>
  <c r="R16" i="2"/>
  <c r="G80" i="2" s="1"/>
  <c r="AB116" i="1"/>
  <c r="X116" i="1"/>
  <c r="S33" i="2" s="1"/>
  <c r="H55" i="2" s="1"/>
  <c r="M37" i="1"/>
  <c r="M17" i="1"/>
  <c r="N17" i="1" s="1"/>
  <c r="K17" i="1"/>
  <c r="R33" i="2"/>
  <c r="G55" i="2" s="1"/>
  <c r="AB106" i="1"/>
  <c r="X106" i="1"/>
  <c r="S28" i="2" s="1"/>
  <c r="H48" i="2" s="1"/>
  <c r="M45" i="1"/>
  <c r="M12" i="1"/>
  <c r="N12" i="1" s="1"/>
  <c r="K12" i="1"/>
  <c r="R28" i="2"/>
  <c r="G48" i="2" s="1"/>
  <c r="L20" i="1"/>
  <c r="O20" i="1"/>
  <c r="P52" i="1"/>
  <c r="Q34" i="1"/>
  <c r="R34" i="1" s="1"/>
  <c r="L18" i="1"/>
  <c r="O18" i="1"/>
  <c r="AB130" i="1"/>
  <c r="X130" i="1"/>
  <c r="S42" i="2" s="1"/>
  <c r="H51" i="2" s="1"/>
  <c r="M22" i="1"/>
  <c r="N22" i="1" s="1"/>
  <c r="K22" i="1"/>
  <c r="R42" i="2"/>
  <c r="G51" i="2" s="1"/>
  <c r="AB92" i="1"/>
  <c r="X92" i="1"/>
  <c r="S19" i="2" s="1"/>
  <c r="H73" i="2" s="1"/>
  <c r="M43" i="1"/>
  <c r="M7" i="1"/>
  <c r="N7" i="1" s="1"/>
  <c r="K7" i="1"/>
  <c r="R19" i="2"/>
  <c r="G73" i="2" s="1"/>
  <c r="M44" i="1"/>
  <c r="AB88" i="1"/>
  <c r="X88" i="1"/>
  <c r="S17" i="2" s="1"/>
  <c r="H58" i="2" s="1"/>
  <c r="M5" i="1"/>
  <c r="N5" i="1" s="1"/>
  <c r="K5" i="1"/>
  <c r="R17" i="2"/>
  <c r="G58" i="2" s="1"/>
  <c r="M42" i="1"/>
  <c r="AB80" i="1"/>
  <c r="X80" i="1"/>
  <c r="M4" i="1"/>
  <c r="N4" i="1" s="1"/>
  <c r="K4" i="1"/>
  <c r="R10" i="2"/>
  <c r="M40" i="1"/>
  <c r="AB114" i="1"/>
  <c r="X114" i="1"/>
  <c r="S32" i="2" s="1"/>
  <c r="H50" i="2" s="1"/>
  <c r="M16" i="1"/>
  <c r="N16" i="1" s="1"/>
  <c r="K16" i="1"/>
  <c r="R32" i="2"/>
  <c r="G50" i="2" s="1"/>
  <c r="AB90" i="1"/>
  <c r="X90" i="1"/>
  <c r="S18" i="2" s="1"/>
  <c r="H52" i="2" s="1"/>
  <c r="M6" i="1"/>
  <c r="N6" i="1" s="1"/>
  <c r="K6" i="1"/>
  <c r="R18" i="2"/>
  <c r="G52" i="2" s="1"/>
  <c r="L15" i="1"/>
  <c r="O15" i="1"/>
  <c r="L21" i="1"/>
  <c r="O21" i="1"/>
  <c r="E24" i="1"/>
  <c r="F24" i="1" s="1"/>
  <c r="F11" i="3" s="1"/>
  <c r="AB108" i="1"/>
  <c r="X108" i="1"/>
  <c r="S29" i="2" s="1"/>
  <c r="H71" i="2" s="1"/>
  <c r="M35" i="1"/>
  <c r="M13" i="1"/>
  <c r="N13" i="1" s="1"/>
  <c r="K13" i="1"/>
  <c r="R29" i="2"/>
  <c r="G71" i="2" s="1"/>
  <c r="W96" i="1"/>
  <c r="AC96" i="1"/>
  <c r="W123" i="1"/>
  <c r="AC123" i="1"/>
  <c r="L10" i="1"/>
  <c r="O10" i="1"/>
  <c r="L14" i="1"/>
  <c r="O14" i="1"/>
  <c r="L23" i="1"/>
  <c r="O23" i="1"/>
  <c r="AB123" i="1" l="1"/>
  <c r="X123" i="1"/>
  <c r="S38" i="2" s="1"/>
  <c r="H60" i="2" s="1"/>
  <c r="R38" i="2"/>
  <c r="G60" i="2" s="1"/>
  <c r="AB96" i="1"/>
  <c r="X96" i="1"/>
  <c r="S22" i="2" s="1"/>
  <c r="H72" i="2" s="1"/>
  <c r="R22" i="2"/>
  <c r="G72" i="2" s="1"/>
  <c r="L13" i="1"/>
  <c r="O13" i="1"/>
  <c r="L16" i="1"/>
  <c r="O16" i="1"/>
  <c r="L4" i="1"/>
  <c r="O4" i="1"/>
  <c r="K24" i="1"/>
  <c r="F14" i="3" s="1"/>
  <c r="S10" i="2"/>
  <c r="H75" i="2" s="1"/>
  <c r="F7" i="3"/>
  <c r="L12" i="1"/>
  <c r="O12" i="1"/>
  <c r="L17" i="1"/>
  <c r="O17" i="1"/>
  <c r="M19" i="1"/>
  <c r="N19" i="1" s="1"/>
  <c r="L6" i="1"/>
  <c r="O6" i="1"/>
  <c r="G75" i="2"/>
  <c r="M52" i="1"/>
  <c r="L5" i="1"/>
  <c r="O5" i="1"/>
  <c r="L7" i="1"/>
  <c r="O7" i="1"/>
  <c r="L22" i="1"/>
  <c r="O22" i="1"/>
  <c r="K19" i="1"/>
  <c r="M50" i="1"/>
  <c r="AB103" i="1"/>
  <c r="X103" i="1"/>
  <c r="S26" i="2" s="1"/>
  <c r="H62" i="2" s="1"/>
  <c r="M34" i="1"/>
  <c r="M11" i="1"/>
  <c r="N11" i="1" s="1"/>
  <c r="K11" i="1"/>
  <c r="R26" i="2"/>
  <c r="G62" i="2" s="1"/>
  <c r="AB95" i="1"/>
  <c r="X95" i="1"/>
  <c r="S21" i="2" s="1"/>
  <c r="H77" i="2" s="1"/>
  <c r="M8" i="1"/>
  <c r="N8" i="1" s="1"/>
  <c r="K8" i="1"/>
  <c r="M49" i="1"/>
  <c r="R21" i="2"/>
  <c r="G77" i="2" s="1"/>
  <c r="AB98" i="1"/>
  <c r="X98" i="1"/>
  <c r="S23" i="2" s="1"/>
  <c r="H67" i="2" s="1"/>
  <c r="M39" i="1"/>
  <c r="M9" i="1"/>
  <c r="N9" i="1" s="1"/>
  <c r="K9" i="1"/>
  <c r="R23" i="2"/>
  <c r="G67" i="2" s="1"/>
  <c r="B48" i="3" l="1"/>
  <c r="L8" i="1"/>
  <c r="O8" i="1"/>
  <c r="L9" i="1"/>
  <c r="O9" i="1"/>
  <c r="L11" i="1"/>
  <c r="O11" i="1"/>
  <c r="L19" i="1"/>
  <c r="O19" i="1"/>
  <c r="E22" i="3"/>
  <c r="E23" i="3"/>
  <c r="E24" i="3"/>
  <c r="E25" i="3"/>
  <c r="E26" i="3"/>
  <c r="E39" i="3"/>
  <c r="E40" i="3"/>
  <c r="E41" i="3"/>
  <c r="E42" i="3"/>
  <c r="E43" i="3"/>
  <c r="E44" i="3"/>
  <c r="E45" i="3"/>
  <c r="E46" i="3"/>
  <c r="E47" i="3"/>
  <c r="E48" i="3"/>
  <c r="D22" i="3"/>
  <c r="D23" i="3"/>
  <c r="D24" i="3"/>
  <c r="D25" i="3"/>
  <c r="D26" i="3"/>
  <c r="D39" i="3"/>
  <c r="D40" i="3"/>
  <c r="D41" i="3"/>
  <c r="D42" i="3"/>
  <c r="D43" i="3"/>
  <c r="D44" i="3"/>
  <c r="D45" i="3"/>
  <c r="D46" i="3"/>
  <c r="D47" i="3"/>
  <c r="D48" i="3"/>
  <c r="F17" i="3"/>
  <c r="F18" i="3"/>
  <c r="C22" i="3"/>
  <c r="C23" i="3"/>
  <c r="C24" i="3"/>
  <c r="C25" i="3"/>
  <c r="C26" i="3"/>
  <c r="C39" i="3"/>
  <c r="C40" i="3"/>
  <c r="C41" i="3"/>
  <c r="C42" i="3"/>
  <c r="C43" i="3"/>
  <c r="C44" i="3"/>
  <c r="C45" i="3"/>
  <c r="C46" i="3"/>
  <c r="C47" i="3"/>
  <c r="C48" i="3"/>
  <c r="B22" i="3"/>
  <c r="B23" i="3"/>
  <c r="B24" i="3"/>
  <c r="B25" i="3"/>
  <c r="B26" i="3"/>
  <c r="B39" i="3"/>
  <c r="B40" i="3"/>
  <c r="B41" i="3"/>
  <c r="B42" i="3"/>
  <c r="B43" i="3"/>
  <c r="B44" i="3"/>
  <c r="B45" i="3"/>
  <c r="B46" i="3"/>
  <c r="B47" i="3"/>
  <c r="R44" i="2"/>
  <c r="F15" i="3"/>
  <c r="F16" i="3"/>
</calcChain>
</file>

<file path=xl/sharedStrings.xml><?xml version="1.0" encoding="utf-8"?>
<sst xmlns="http://schemas.openxmlformats.org/spreadsheetml/2006/main" count="45288" uniqueCount="2871">
  <si>
    <t>EVALUASI PER PEMBIMBING</t>
  </si>
  <si>
    <t>No</t>
  </si>
  <si>
    <t>Pembimbing</t>
  </si>
  <si>
    <t>Jumlah Pemagang</t>
  </si>
  <si>
    <t>Total Hari Kerja</t>
  </si>
  <si>
    <t>Total Hadir</t>
  </si>
  <si>
    <t>% Kehadiran</t>
  </si>
  <si>
    <t>Total Hari Terlambat</t>
  </si>
  <si>
    <t>% Tepat Waktu</t>
  </si>
  <si>
    <t>Tanpa Absen Pulang</t>
  </si>
  <si>
    <t>% Laporan Aktivitas</t>
  </si>
  <si>
    <t>Rata-rata Skor</t>
  </si>
  <si>
    <t>Predikat</t>
  </si>
  <si>
    <t>Skor Terendah</t>
  </si>
  <si>
    <t>Pemagang Skor Terendah</t>
  </si>
  <si>
    <t>key</t>
  </si>
  <si>
    <t>TOTAL / RATA-RATA</t>
  </si>
  <si>
    <t>ANALISIS EFEKTIVITAS PEMAGANG &amp; REKOMENDASI KUOTA PER DEPARTEMEN</t>
  </si>
  <si>
    <t>Rekomendasi kuota dihitung dari beban kerja nyata (laporan aktivitas)</t>
  </si>
  <si>
    <t>Bobot jumlah entri laporan</t>
  </si>
  <si>
    <t>Bobot panjang laporan (karakter)</t>
  </si>
  <si>
    <t>Minimal hari hadir agar rekomendasi meyakinkan</t>
  </si>
  <si>
    <t>Kuota minimal per departemen</t>
  </si>
  <si>
    <t>Departemen Penempatan</t>
  </si>
  <si>
    <t>Jumlah Pemagang (periode)</t>
  </si>
  <si>
    <t>Pemagang Aktif Akhir Periode</t>
  </si>
  <si>
    <t>Rata-rata Pemagang Aktif (bulan berjalan)</t>
  </si>
  <si>
    <t>Total Hari Hadir</t>
  </si>
  <si>
    <t>Total Entri Laporan</t>
  </si>
  <si>
    <t>Entri / Hari Hadir</t>
  </si>
  <si>
    <t>Karakter Laporan / Hari Hadir</t>
  </si>
  <si>
    <t>Indeks Beban per Pemagang</t>
  </si>
  <si>
    <t>% Hari dgn Laporan</t>
  </si>
  <si>
    <t>Kebutuhan Pemagang (hitungan)</t>
  </si>
  <si>
    <t>REKOMENDASI KUOTA</t>
  </si>
  <si>
    <t>Selisih vs Aktif Saat Ini</t>
  </si>
  <si>
    <t>Indikasi</t>
  </si>
  <si>
    <t>Rekomendasi</t>
  </si>
  <si>
    <t>Keyakinan Data</t>
  </si>
  <si>
    <t>CENTRAL JAVA CURAH ADMINISTRATION JR. OFFICER</t>
  </si>
  <si>
    <t>EQUALISATION OFFICER (SID)</t>
  </si>
  <si>
    <t>GM OF TAX &amp; ACCOUNTING</t>
  </si>
  <si>
    <t>MANAGER OF TRANSPORTATION</t>
  </si>
  <si>
    <t>MANAGER OF VERIFICATION</t>
  </si>
  <si>
    <t>MARKETING &amp; EXPANSION MODERN RETAIL OFFICER</t>
  </si>
  <si>
    <t>PGS FINANCIAL ANALYSIS OFFICER</t>
  </si>
  <si>
    <t>PGS MANAGER OF LAMONGAN BRANCH</t>
  </si>
  <si>
    <t>PGS SM OF DIGITAL BUSSINES</t>
  </si>
  <si>
    <t>PGS TREASURY (SID) OFFICER</t>
  </si>
  <si>
    <t>PJ GM OF MARKETING (SID)</t>
  </si>
  <si>
    <t>PKSDM</t>
  </si>
  <si>
    <t>SM OF CEMENT PURCHASING</t>
  </si>
  <si>
    <t>SM OF FINANCE (SID)</t>
  </si>
  <si>
    <t>SM OF LEGAL</t>
  </si>
  <si>
    <t>SM OF SECRETARIAT &amp; FILLING</t>
  </si>
  <si>
    <t>VERIFICATION (SID) JR. OFFICER</t>
  </si>
  <si>
    <t>TOTAL / RATA-RATA SEMUA DEPARTEMEN</t>
  </si>
  <si>
    <t>RINCIAN PER BULAN</t>
  </si>
  <si>
    <t>Kode</t>
  </si>
  <si>
    <t>Nama Pemagang</t>
  </si>
  <si>
    <t>Kategori</t>
  </si>
  <si>
    <t>Tgl Masuk Magang</t>
  </si>
  <si>
    <t>Tgl Selesai Magang</t>
  </si>
  <si>
    <t>Hari Kerja Dinilai</t>
  </si>
  <si>
    <t>Hadir</t>
  </si>
  <si>
    <t>Tidak Hadir</t>
  </si>
  <si>
    <t>Hari Terlambat</t>
  </si>
  <si>
    <t>Rata-rata Telat (menit)</t>
  </si>
  <si>
    <t>Hari dgn Laporan</t>
  </si>
  <si>
    <t>Jun % Hadir</t>
  </si>
  <si>
    <t>Jul % Hadir</t>
  </si>
  <si>
    <t>Agu % Hadir</t>
  </si>
  <si>
    <t>Sep % Hadir</t>
  </si>
  <si>
    <t>Skor</t>
  </si>
  <si>
    <t>Hari WFH (dlm masa magang)</t>
  </si>
  <si>
    <t>Hadir saat WFH/Libur/Luar Masa</t>
  </si>
  <si>
    <t>key telat</t>
  </si>
  <si>
    <t>key skor</t>
  </si>
  <si>
    <t>key hadir</t>
  </si>
  <si>
    <t>Periode Dinilai</t>
  </si>
  <si>
    <t>Status Masa Magang</t>
  </si>
  <si>
    <t>Indeks Produktivitas</t>
  </si>
  <si>
    <t>Nilai Produktivitas</t>
  </si>
  <si>
    <t>ANALISIS PRODUKTIVITAS PEMAGANG</t>
  </si>
  <si>
    <t>Bobot panjang laporan</t>
  </si>
  <si>
    <t>Indeks untuk nilai penuh</t>
  </si>
  <si>
    <t>Rata-rata entri / hari hadir (semua pemagang)</t>
  </si>
  <si>
    <t>Rata-rata karakter / hari hadir (semua pemagang)</t>
  </si>
  <si>
    <t>Batas "Sangat Tinggi" (indeks ≥)</t>
  </si>
  <si>
    <t>Batas "Tinggi" (indeks ≥)</t>
  </si>
  <si>
    <t>Batas "Sedang" (indeks ≥)</t>
  </si>
  <si>
    <t>A. PRODUKTIVITAS PER PEMAGANG</t>
  </si>
  <si>
    <t>Hari Hadir (dlm masa magang)</t>
  </si>
  <si>
    <t>Entri Laporan</t>
  </si>
  <si>
    <t>Karakter Laporan</t>
  </si>
  <si>
    <t>Entri / Hari</t>
  </si>
  <si>
    <t>Karakter / Hari</t>
  </si>
  <si>
    <t>Peringkat</t>
  </si>
  <si>
    <t>Indeks Jun</t>
  </si>
  <si>
    <t>Indeks Jul</t>
  </si>
  <si>
    <t>Indeks Agu</t>
  </si>
  <si>
    <t>Indeks Sep</t>
  </si>
  <si>
    <t>Skor Akhir</t>
  </si>
  <si>
    <t>B. PERINGKAT PRODUKTIVITAS (otomatis terurut)</t>
  </si>
  <si>
    <t>C. PRODUKTIVITAS PER PEMBIMBING</t>
  </si>
  <si>
    <t>Hari Hadir</t>
  </si>
  <si>
    <t>Pemagang Paling Produktif</t>
  </si>
  <si>
    <t>Indeks Tertinggi</t>
  </si>
  <si>
    <t>EVALUASI MAGANG. KEHADIRAN &amp; AKTIVITAS</t>
  </si>
  <si>
    <t>PENGATURAN (sel kuning boleh diubah)</t>
  </si>
  <si>
    <t>Periode awal</t>
  </si>
  <si>
    <t>INDIKATOR UTAMA</t>
  </si>
  <si>
    <t>Periode akhir</t>
  </si>
  <si>
    <t>Jumlah pemagang aktif</t>
  </si>
  <si>
    <t>Hari WFH</t>
  </si>
  <si>
    <t>Rabu</t>
  </si>
  <si>
    <t>Jumlah pembimbing</t>
  </si>
  <si>
    <t>WFH berlaku mulai</t>
  </si>
  <si>
    <t>Total hari kerja kantor dalam periode</t>
  </si>
  <si>
    <t>WFH berlaku sampai</t>
  </si>
  <si>
    <t>Hari WFH dalam periode</t>
  </si>
  <si>
    <t>Bobot Kehadiran</t>
  </si>
  <si>
    <t>% Kehadiran keseluruhan</t>
  </si>
  <si>
    <t>Bobot Ketepatan Waktu</t>
  </si>
  <si>
    <t>% Datang tepat waktu</t>
  </si>
  <si>
    <t>Bobot Laporan Aktivitas (kepatuhan)</t>
  </si>
  <si>
    <t>% Hari hadir dengan laporan aktivitas</t>
  </si>
  <si>
    <t>Batas "Sangat Baik" (≥)</t>
  </si>
  <si>
    <t>Rata-rata skor pemagang</t>
  </si>
  <si>
    <t>Batas "Baik" (≥)</t>
  </si>
  <si>
    <t>Predikat Sangat Baik</t>
  </si>
  <si>
    <t>Batas "Cukup" (≥)</t>
  </si>
  <si>
    <t>Predikat Baik</t>
  </si>
  <si>
    <t>Bobot Produktivitas</t>
  </si>
  <si>
    <t>Jumlah &amp; panjang laporan per hari hadir dibanding rata-rata (sheet PRODUKTIVITAS)</t>
  </si>
  <si>
    <t>Predikat Cukup</t>
  </si>
  <si>
    <t>Indeks produktivitas untuk nilai penuh</t>
  </si>
  <si>
    <t>1,00 = setara rata-rata semua pemagang; di atas ini nilai produktivitas 100</t>
  </si>
  <si>
    <t>Predikat Perlu Pembinaan</t>
  </si>
  <si>
    <t>Cek total bobot (harus 100%)</t>
  </si>
  <si>
    <t>Rata-rata indeks produktivitas</t>
  </si>
  <si>
    <t>5 PEMAGANG SKOR TERENDAH</t>
  </si>
  <si>
    <t>Pemagang produktivitas Tinggi/Sangat Tinggi</t>
  </si>
  <si>
    <t>Nama</t>
  </si>
  <si>
    <t>5 PEMAGANG PALING SERING TERLAMBAT</t>
  </si>
  <si>
    <t>10 PEMAGANG TERBAIK (skor akhir)</t>
  </si>
  <si>
    <t>10 PEMAGANG PALING PRODUKTIF</t>
  </si>
  <si>
    <t>TREN BULANAN SELURUH PEMAGANG</t>
  </si>
  <si>
    <t>Bulan</t>
  </si>
  <si>
    <t>Bulan Ke</t>
  </si>
  <si>
    <t>Pemagang Aktif</t>
  </si>
  <si>
    <t>Hari WFH (per pemagang)</t>
  </si>
  <si>
    <t>Karakter / Hari Hadir</t>
  </si>
  <si>
    <t>Matriks % Laporan Aktivitas per Pemagang per Bulan</t>
  </si>
  <si>
    <t>Mulai Dinilai</t>
  </si>
  <si>
    <t>Selesai Dinilai</t>
  </si>
  <si>
    <t>Hari Kerja</t>
  </si>
  <si>
    <t>Hadir di Hari Kerja</t>
  </si>
  <si>
    <t>Hadir saat WFH/Libur/Luar Masa Magang</t>
  </si>
  <si>
    <t>Total Hari Hadir (dlm masa magang)</t>
  </si>
  <si>
    <t>Total Menit Terlambat</t>
  </si>
  <si>
    <t>Hari Tanpa Absen Pulang</t>
  </si>
  <si>
    <t>Hari Hadir dgn Laporan</t>
  </si>
  <si>
    <t>Jumlah Entri Laporan</t>
  </si>
  <si>
    <t>Total Karakter Laporan</t>
  </si>
  <si>
    <t>KALENDER KERJA (otomatis dari pengaturan di Ringkasan)</t>
  </si>
  <si>
    <t>Tanggal</t>
  </si>
  <si>
    <t>Hari</t>
  </si>
  <si>
    <t>Status Hari</t>
  </si>
  <si>
    <t>Tanggal Libur Nasional</t>
  </si>
  <si>
    <t>Nama Libur</t>
  </si>
  <si>
    <t>Hari Lahir Pancasila</t>
  </si>
  <si>
    <t>Tahun Baru Islam 1448 H</t>
  </si>
  <si>
    <t>HUT Kemerdekaan RI</t>
  </si>
  <si>
    <t>Maulid Nabi Muhammad SAW</t>
  </si>
  <si>
    <t>Isi/hapus tanggal libur nasional di kolom kuning bila perlu.</t>
  </si>
  <si>
    <t>DATA PEMAGANG (data mentah: sheet PEMAGANG &amp; ABSEN). Kolom abu-abu = rumus.</t>
  </si>
  <si>
    <t>Cabang</t>
  </si>
  <si>
    <t>START (master)</t>
  </si>
  <si>
    <t>END (master)</t>
  </si>
  <si>
    <t>Absen Pertama</t>
  </si>
  <si>
    <t>Absen Terakhir</t>
  </si>
  <si>
    <t>Status Masa Magang dlm Periode</t>
  </si>
  <si>
    <t>MG4226</t>
  </si>
  <si>
    <t>ARINDA PUTRI AULIA</t>
  </si>
  <si>
    <t>AHMAD JALALUDDIN BASYAR</t>
  </si>
  <si>
    <t>MANDIRI</t>
  </si>
  <si>
    <t>SID PUSAT</t>
  </si>
  <si>
    <t>MG/KH/4326</t>
  </si>
  <si>
    <t>BERLIAN AURELYA RAHMA</t>
  </si>
  <si>
    <t>KEMNAKER</t>
  </si>
  <si>
    <t>MG/KH/4226</t>
  </si>
  <si>
    <t>CLARA OKTAVIA FIRDAUS</t>
  </si>
  <si>
    <t>MG3625</t>
  </si>
  <si>
    <t>NELLA DIFA SALSABILAH</t>
  </si>
  <si>
    <t>Kontrak Project</t>
  </si>
  <si>
    <t>MG/KH/4526</t>
  </si>
  <si>
    <t>SYAKIRAH TSALTSA FITRIAH</t>
  </si>
  <si>
    <t>MG/KH/3325</t>
  </si>
  <si>
    <t>TIARA MARTHA ASNADHINATA</t>
  </si>
  <si>
    <t>MG4326</t>
  </si>
  <si>
    <t>WIDIYA DESY MAWAR SARI</t>
  </si>
  <si>
    <t>MG4126</t>
  </si>
  <si>
    <t>NURIKA AMELIA ROSYIDAH</t>
  </si>
  <si>
    <t>AKHMAT ABIDIN</t>
  </si>
  <si>
    <t>MG/KH/3525</t>
  </si>
  <si>
    <t>JANU PRASTYO</t>
  </si>
  <si>
    <t>ARIFANO KUSUMA BAYU</t>
  </si>
  <si>
    <t>MG5026</t>
  </si>
  <si>
    <t>DINDA RAHADATUL AISY</t>
  </si>
  <si>
    <t>DIAN RIZKA SARI</t>
  </si>
  <si>
    <t>MG27</t>
  </si>
  <si>
    <t>NIKEN AURELIA SAPUTRI</t>
  </si>
  <si>
    <t>MG4426</t>
  </si>
  <si>
    <t>EKA PUTRI FEBRIANTI</t>
  </si>
  <si>
    <t>DWI SULIASTARI</t>
  </si>
  <si>
    <t>MG4526</t>
  </si>
  <si>
    <t>NABILA RAIS NUR ROMADHONA</t>
  </si>
  <si>
    <t>RK/KH/25008</t>
  </si>
  <si>
    <t>FETI FATMAWATI</t>
  </si>
  <si>
    <t>ELFANO RANGGA PRATAMA</t>
  </si>
  <si>
    <t>ROEMAHKITA</t>
  </si>
  <si>
    <t>MG/KH/4726</t>
  </si>
  <si>
    <t>AHMAD NOVAN JUNIARDY</t>
  </si>
  <si>
    <t>ENDAH YUNIA SRI WINDARI</t>
  </si>
  <si>
    <t>MG/KH/4426</t>
  </si>
  <si>
    <t>TAHYUDIN UZI SAFAAT</t>
  </si>
  <si>
    <t>MG4726</t>
  </si>
  <si>
    <t>NILNA FAIRUSSAKTI SALBANI AFANO</t>
  </si>
  <si>
    <t>FETI MUBAIYINI</t>
  </si>
  <si>
    <t>MG29</t>
  </si>
  <si>
    <t>SYACHIRA FARA NABILA</t>
  </si>
  <si>
    <t>MG12</t>
  </si>
  <si>
    <t>SELVI NURUL HASANAH</t>
  </si>
  <si>
    <t>GANANG MUSYAFFA FAHMI</t>
  </si>
  <si>
    <t>MG3826</t>
  </si>
  <si>
    <t>FARREL ALWIN RAHMADHAN</t>
  </si>
  <si>
    <t>HASKIN AVIONATA</t>
  </si>
  <si>
    <t>INT/SILOG/260353</t>
  </si>
  <si>
    <t>MASDUQI MUHAMMAD</t>
  </si>
  <si>
    <t>IMAM SUBEKTI</t>
  </si>
  <si>
    <t>-</t>
  </si>
  <si>
    <t>SID</t>
  </si>
  <si>
    <t>MG5226</t>
  </si>
  <si>
    <t>CITRA ANGGRAINI</t>
  </si>
  <si>
    <t>IMANIAR PUTRI UTAMI</t>
  </si>
  <si>
    <t>MG/KH/3125</t>
  </si>
  <si>
    <t>KHOFIFATUNNABILAH</t>
  </si>
  <si>
    <t>M. RIZAD FAHRURI</t>
  </si>
  <si>
    <t>MG/KH/3925</t>
  </si>
  <si>
    <t>ANGGUN NUR TSANIA AGUSTIN</t>
  </si>
  <si>
    <t>MOH. AGUS EFENDI</t>
  </si>
  <si>
    <t>MG4926</t>
  </si>
  <si>
    <t>MUHAMMAD FATCHUL ALAM</t>
  </si>
  <si>
    <t>MG4826</t>
  </si>
  <si>
    <t>ASA AGHNIA ZAHIDA</t>
  </si>
  <si>
    <t>MUHAMMAD SADULLAH</t>
  </si>
  <si>
    <t>MG3025</t>
  </si>
  <si>
    <t>EVI WIDIYAH ASTUTIH</t>
  </si>
  <si>
    <t>SITI MUJAYANAH</t>
  </si>
  <si>
    <t>MG28</t>
  </si>
  <si>
    <t>RIZAL AKBAR ARDIANSYAH</t>
  </si>
  <si>
    <t>MG4626</t>
  </si>
  <si>
    <t>THARISSA ADELIA PUTRI</t>
  </si>
  <si>
    <t>MG5126</t>
  </si>
  <si>
    <t>ZALFA NUR ROHMAH</t>
  </si>
  <si>
    <t>MG5326</t>
  </si>
  <si>
    <t>ALFINA ZAKYA ULA</t>
  </si>
  <si>
    <t>TRI HARTANTO</t>
  </si>
  <si>
    <t>MG5426</t>
  </si>
  <si>
    <t>AMELIA KURNIA FITRI</t>
  </si>
  <si>
    <t>WATIN UTARI</t>
  </si>
  <si>
    <t>MG/KH/4025</t>
  </si>
  <si>
    <t>PUTRI WIDYOWATI</t>
  </si>
  <si>
    <t>WAWAN SETIAWAN</t>
  </si>
  <si>
    <t>MG/KH/4626</t>
  </si>
  <si>
    <t>MUHAMMAD QAIRUL UMAM</t>
  </si>
  <si>
    <t>YUSUF REZA MUHAMMAD</t>
  </si>
  <si>
    <t>KODE PEG</t>
  </si>
  <si>
    <t>NAMA</t>
  </si>
  <si>
    <t>CABANG</t>
  </si>
  <si>
    <t>PEMBIMBING</t>
  </si>
  <si>
    <t>DEPARTEMEN</t>
  </si>
  <si>
    <t>STATUS</t>
  </si>
  <si>
    <t>TIMESTAMP</t>
  </si>
  <si>
    <t>TANGGAL</t>
  </si>
  <si>
    <t>WAKTU</t>
  </si>
  <si>
    <t>Menit</t>
  </si>
  <si>
    <t>Keterlambat</t>
  </si>
  <si>
    <t>Hari Baru</t>
  </si>
  <si>
    <t>Urutan MASUK</t>
  </si>
  <si>
    <t>Hadir Hari Kerja</t>
  </si>
  <si>
    <t>Hadir Luar Hari Kerja</t>
  </si>
  <si>
    <t>Terlambat</t>
  </si>
  <si>
    <t>Menit Terlambat</t>
  </si>
  <si>
    <t>Ada Laporan Aktivitas</t>
  </si>
  <si>
    <t>Dalam Masa Magang</t>
  </si>
  <si>
    <t>Hadir Dalam Masa Magang</t>
  </si>
  <si>
    <t>MASUK</t>
  </si>
  <si>
    <t>11:52</t>
  </si>
  <si>
    <t>PULANG</t>
  </si>
  <si>
    <t>17:12</t>
  </si>
  <si>
    <t>Tepat Waktu</t>
  </si>
  <si>
    <t>07:24</t>
  </si>
  <si>
    <t>19:10</t>
  </si>
  <si>
    <t>07:21</t>
  </si>
  <si>
    <t>16:32</t>
  </si>
  <si>
    <t>07:25</t>
  </si>
  <si>
    <t>16:39</t>
  </si>
  <si>
    <t>07:27</t>
  </si>
  <si>
    <t>16:35</t>
  </si>
  <si>
    <t>07:23</t>
  </si>
  <si>
    <t>16:44</t>
  </si>
  <si>
    <t>07:22</t>
  </si>
  <si>
    <t>16:34</t>
  </si>
  <si>
    <t>07:26</t>
  </si>
  <si>
    <t>16:33</t>
  </si>
  <si>
    <t>16:38</t>
  </si>
  <si>
    <t>16:45</t>
  </si>
  <si>
    <t>16:41</t>
  </si>
  <si>
    <t>16:42</t>
  </si>
  <si>
    <t>07:19</t>
  </si>
  <si>
    <t>17:21</t>
  </si>
  <si>
    <t>16:51</t>
  </si>
  <si>
    <t>17:07</t>
  </si>
  <si>
    <t>16:52</t>
  </si>
  <si>
    <t>07:18</t>
  </si>
  <si>
    <t>07:16</t>
  </si>
  <si>
    <t>16:37</t>
  </si>
  <si>
    <t>07:20</t>
  </si>
  <si>
    <t>16:30</t>
  </si>
  <si>
    <t>07:17</t>
  </si>
  <si>
    <t>06:31</t>
  </si>
  <si>
    <t>17:01</t>
  </si>
  <si>
    <t>16:50</t>
  </si>
  <si>
    <t>07:30</t>
  </si>
  <si>
    <t>16:31</t>
  </si>
  <si>
    <t>16:47</t>
  </si>
  <si>
    <t>07:32</t>
  </si>
  <si>
    <t>07:35</t>
  </si>
  <si>
    <t>PJ MARKETING PROGRAM OFFICER</t>
  </si>
  <si>
    <t>13:04</t>
  </si>
  <si>
    <t>16:49</t>
  </si>
  <si>
    <t>16:40</t>
  </si>
  <si>
    <t>16:36</t>
  </si>
  <si>
    <t>EMPLOYEE ON DUTY (TERRITORITY SALES OFFICER - UNIT OF SALES) - PT SEMEN GRESIK</t>
  </si>
  <si>
    <t>16:48</t>
  </si>
  <si>
    <t>16:43</t>
  </si>
  <si>
    <t>06:54</t>
  </si>
  <si>
    <t>07:06</t>
  </si>
  <si>
    <t>17:00</t>
  </si>
  <si>
    <t>18:42</t>
  </si>
  <si>
    <t>18:29</t>
  </si>
  <si>
    <t>06:55</t>
  </si>
  <si>
    <t>18:05</t>
  </si>
  <si>
    <t>07:05</t>
  </si>
  <si>
    <t>18:33</t>
  </si>
  <si>
    <t>17:23</t>
  </si>
  <si>
    <t>18:39</t>
  </si>
  <si>
    <t>18:24</t>
  </si>
  <si>
    <t>18:30</t>
  </si>
  <si>
    <t>18:31</t>
  </si>
  <si>
    <t>17:05</t>
  </si>
  <si>
    <t>18:28</t>
  </si>
  <si>
    <t>16:59</t>
  </si>
  <si>
    <t>07:29</t>
  </si>
  <si>
    <t>17:55</t>
  </si>
  <si>
    <t>07:41</t>
  </si>
  <si>
    <t>17:56</t>
  </si>
  <si>
    <t>17:13</t>
  </si>
  <si>
    <t>07:15</t>
  </si>
  <si>
    <t>17:06</t>
  </si>
  <si>
    <t>18:20</t>
  </si>
  <si>
    <t>07:34</t>
  </si>
  <si>
    <t>18:50</t>
  </si>
  <si>
    <t>17:45</t>
  </si>
  <si>
    <t>07:36</t>
  </si>
  <si>
    <t>07:28</t>
  </si>
  <si>
    <t>17:04</t>
  </si>
  <si>
    <t>17:48</t>
  </si>
  <si>
    <t>18:11</t>
  </si>
  <si>
    <t>07:40</t>
  </si>
  <si>
    <t>17:19</t>
  </si>
  <si>
    <t>07:33</t>
  </si>
  <si>
    <t>17:14</t>
  </si>
  <si>
    <t>17:22</t>
  </si>
  <si>
    <t>07:37</t>
  </si>
  <si>
    <t>17:16</t>
  </si>
  <si>
    <t>19:34</t>
  </si>
  <si>
    <t>17:27</t>
  </si>
  <si>
    <t>17:57</t>
  </si>
  <si>
    <t>17:28</t>
  </si>
  <si>
    <t>07:31</t>
  </si>
  <si>
    <t>18:01</t>
  </si>
  <si>
    <t>16:54</t>
  </si>
  <si>
    <t>17:24</t>
  </si>
  <si>
    <t>17:42</t>
  </si>
  <si>
    <t>17:50</t>
  </si>
  <si>
    <t>18:03</t>
  </si>
  <si>
    <t>17:15</t>
  </si>
  <si>
    <t>17:37</t>
  </si>
  <si>
    <t>17:08</t>
  </si>
  <si>
    <t>07:11</t>
  </si>
  <si>
    <t>16:53</t>
  </si>
  <si>
    <t>17:33</t>
  </si>
  <si>
    <t>17:17</t>
  </si>
  <si>
    <t>17:52</t>
  </si>
  <si>
    <t>17:20</t>
  </si>
  <si>
    <t>17:44</t>
  </si>
  <si>
    <t>17:10</t>
  </si>
  <si>
    <t>07:38</t>
  </si>
  <si>
    <t>07:04</t>
  </si>
  <si>
    <t>11:51</t>
  </si>
  <si>
    <t>17:31</t>
  </si>
  <si>
    <t>17:59</t>
  </si>
  <si>
    <t>17:36</t>
  </si>
  <si>
    <t>07:14</t>
  </si>
  <si>
    <t>18:16</t>
  </si>
  <si>
    <t>17:38</t>
  </si>
  <si>
    <t>PG/OB/2504</t>
  </si>
  <si>
    <t>CHOIRUL HUDA</t>
  </si>
  <si>
    <t>NUR ROHIM</t>
  </si>
  <si>
    <t>PJ GENERAL AFFAIR OFFICER</t>
  </si>
  <si>
    <t>06:12</t>
  </si>
  <si>
    <t>18:25</t>
  </si>
  <si>
    <t>06:25</t>
  </si>
  <si>
    <t>06:14</t>
  </si>
  <si>
    <t>18:23</t>
  </si>
  <si>
    <t>06:16</t>
  </si>
  <si>
    <t>18:35</t>
  </si>
  <si>
    <t>18:19</t>
  </si>
  <si>
    <t>06:18</t>
  </si>
  <si>
    <t>18:02</t>
  </si>
  <si>
    <t>06:00</t>
  </si>
  <si>
    <t>18:22</t>
  </si>
  <si>
    <t>06:15</t>
  </si>
  <si>
    <t>17:02</t>
  </si>
  <si>
    <t>05:57</t>
  </si>
  <si>
    <t>06:20</t>
  </si>
  <si>
    <t>18:14</t>
  </si>
  <si>
    <t>06:17</t>
  </si>
  <si>
    <t>18:10</t>
  </si>
  <si>
    <t>06:05</t>
  </si>
  <si>
    <t>06:26</t>
  </si>
  <si>
    <t>18:09</t>
  </si>
  <si>
    <t>06:23</t>
  </si>
  <si>
    <t>05:52</t>
  </si>
  <si>
    <t>19:21</t>
  </si>
  <si>
    <t>06:21</t>
  </si>
  <si>
    <t>19:04</t>
  </si>
  <si>
    <t>17:03</t>
  </si>
  <si>
    <t>05:59</t>
  </si>
  <si>
    <t>18:27</t>
  </si>
  <si>
    <t>06:32</t>
  </si>
  <si>
    <t>17:41</t>
  </si>
  <si>
    <t>19:51</t>
  </si>
  <si>
    <t>06:13</t>
  </si>
  <si>
    <t>06:09</t>
  </si>
  <si>
    <t>19:29</t>
  </si>
  <si>
    <t>06:03</t>
  </si>
  <si>
    <t>18:06</t>
  </si>
  <si>
    <t>18:32</t>
  </si>
  <si>
    <t>18:26</t>
  </si>
  <si>
    <t>06:11</t>
  </si>
  <si>
    <t>18:17</t>
  </si>
  <si>
    <t>06:07</t>
  </si>
  <si>
    <t>06:02</t>
  </si>
  <si>
    <t>06:19</t>
  </si>
  <si>
    <t>18:04</t>
  </si>
  <si>
    <t>18:08</t>
  </si>
  <si>
    <t>06:01</t>
  </si>
  <si>
    <t>18:13</t>
  </si>
  <si>
    <t>10:52</t>
  </si>
  <si>
    <t>17:18</t>
  </si>
  <si>
    <t>16:56</t>
  </si>
  <si>
    <t>07:13</t>
  </si>
  <si>
    <t>20:23</t>
  </si>
  <si>
    <t>06:57</t>
  </si>
  <si>
    <t>07:12</t>
  </si>
  <si>
    <t>07:09</t>
  </si>
  <si>
    <t>10:48</t>
  </si>
  <si>
    <t>07:10</t>
  </si>
  <si>
    <t>11:13</t>
  </si>
  <si>
    <t>07:03</t>
  </si>
  <si>
    <t>06:40</t>
  </si>
  <si>
    <t>06:59</t>
  </si>
  <si>
    <t>07:08</t>
  </si>
  <si>
    <t>07:07</t>
  </si>
  <si>
    <t>16:46</t>
  </si>
  <si>
    <t>10:18</t>
  </si>
  <si>
    <t>STAF FINANCE, AR &amp; GA</t>
  </si>
  <si>
    <t>07:01</t>
  </si>
  <si>
    <t>07:02</t>
  </si>
  <si>
    <t>06:37</t>
  </si>
  <si>
    <t>06:41</t>
  </si>
  <si>
    <t>06:42</t>
  </si>
  <si>
    <t>06:29</t>
  </si>
  <si>
    <t>06:36</t>
  </si>
  <si>
    <t>06:30</t>
  </si>
  <si>
    <t>06:43</t>
  </si>
  <si>
    <t>06:38</t>
  </si>
  <si>
    <t>06:44</t>
  </si>
  <si>
    <t>06:39</t>
  </si>
  <si>
    <t>06:48</t>
  </si>
  <si>
    <t>06:56</t>
  </si>
  <si>
    <t>06:33</t>
  </si>
  <si>
    <t>06:47</t>
  </si>
  <si>
    <t>16:29</t>
  </si>
  <si>
    <t>06:51</t>
  </si>
  <si>
    <t>06:46</t>
  </si>
  <si>
    <t>06:45</t>
  </si>
  <si>
    <t>06:58</t>
  </si>
  <si>
    <t>06:53</t>
  </si>
  <si>
    <t>06:52</t>
  </si>
  <si>
    <t>06:50</t>
  </si>
  <si>
    <t>07:39</t>
  </si>
  <si>
    <t>08:20</t>
  </si>
  <si>
    <t>17:35</t>
  </si>
  <si>
    <t>08:08</t>
  </si>
  <si>
    <t>14:13</t>
  </si>
  <si>
    <t>15:35</t>
  </si>
  <si>
    <t>15:40</t>
  </si>
  <si>
    <t>15:44</t>
  </si>
  <si>
    <t>17:46</t>
  </si>
  <si>
    <t>15:51</t>
  </si>
  <si>
    <t>13:38</t>
  </si>
  <si>
    <t>15:46</t>
  </si>
  <si>
    <t>15:38</t>
  </si>
  <si>
    <t>15:54</t>
  </si>
  <si>
    <t>15:41</t>
  </si>
  <si>
    <t>13:37</t>
  </si>
  <si>
    <t>07:45</t>
  </si>
  <si>
    <t>15:48</t>
  </si>
  <si>
    <t>16:05</t>
  </si>
  <si>
    <t>15:47</t>
  </si>
  <si>
    <t>15:49</t>
  </si>
  <si>
    <t>07:43</t>
  </si>
  <si>
    <t>14:36</t>
  </si>
  <si>
    <t>11:42</t>
  </si>
  <si>
    <t>21:27</t>
  </si>
  <si>
    <t>07:46</t>
  </si>
  <si>
    <t>15:55</t>
  </si>
  <si>
    <t>10:14</t>
  </si>
  <si>
    <t>22:45</t>
  </si>
  <si>
    <t>10:29</t>
  </si>
  <si>
    <t>23:07</t>
  </si>
  <si>
    <t>16:24</t>
  </si>
  <si>
    <t>16:01</t>
  </si>
  <si>
    <t>14:10</t>
  </si>
  <si>
    <t>16:02</t>
  </si>
  <si>
    <t>15:59</t>
  </si>
  <si>
    <t>16:04</t>
  </si>
  <si>
    <t>17:30</t>
  </si>
  <si>
    <t>15:43</t>
  </si>
  <si>
    <t>16:23</t>
  </si>
  <si>
    <t>09:58</t>
  </si>
  <si>
    <t>16:07</t>
  </si>
  <si>
    <t>14:15</t>
  </si>
  <si>
    <t>15:42</t>
  </si>
  <si>
    <t>15:34</t>
  </si>
  <si>
    <t>13:33</t>
  </si>
  <si>
    <t>15:37</t>
  </si>
  <si>
    <t>16:09</t>
  </si>
  <si>
    <t>13:41</t>
  </si>
  <si>
    <t>17:26</t>
  </si>
  <si>
    <t>07:42</t>
  </si>
  <si>
    <t>16:00</t>
  </si>
  <si>
    <t>07:48</t>
  </si>
  <si>
    <t>13:35</t>
  </si>
  <si>
    <t>15:45</t>
  </si>
  <si>
    <t>13:39</t>
  </si>
  <si>
    <t>07:44</t>
  </si>
  <si>
    <t>14:22</t>
  </si>
  <si>
    <t>17:09</t>
  </si>
  <si>
    <t>14:19</t>
  </si>
  <si>
    <t>15:39</t>
  </si>
  <si>
    <t>PGS MARKETING &amp; EXPANSION DISTRIBUTION OFFICER</t>
  </si>
  <si>
    <t>08:19</t>
  </si>
  <si>
    <t>07:58</t>
  </si>
  <si>
    <t>16:58</t>
  </si>
  <si>
    <t>19:42</t>
  </si>
  <si>
    <t>22:31</t>
  </si>
  <si>
    <t>PJ MARKETING &amp; EXPANSION DISTRIBUTION OFFICER</t>
  </si>
  <si>
    <t>00:52</t>
  </si>
  <si>
    <t>PJ SALES ANALYST OFFICER</t>
  </si>
  <si>
    <t>16:55</t>
  </si>
  <si>
    <t>SM OF ACCOUNT RECEIVABLE (SID)</t>
  </si>
  <si>
    <t>18:36</t>
  </si>
  <si>
    <t>18:46</t>
  </si>
  <si>
    <t>19:52</t>
  </si>
  <si>
    <t>07:49</t>
  </si>
  <si>
    <t>08:24</t>
  </si>
  <si>
    <t>07:51</t>
  </si>
  <si>
    <t>08:48</t>
  </si>
  <si>
    <t>16:11</t>
  </si>
  <si>
    <t>PG/OB/2505</t>
  </si>
  <si>
    <t>MISBAKHUL KHOIRI</t>
  </si>
  <si>
    <t>18:15</t>
  </si>
  <si>
    <t>06:35</t>
  </si>
  <si>
    <t>18:07</t>
  </si>
  <si>
    <t>18:18</t>
  </si>
  <si>
    <t>19:25</t>
  </si>
  <si>
    <t>06:34</t>
  </si>
  <si>
    <t>18:12</t>
  </si>
  <si>
    <t>06:28</t>
  </si>
  <si>
    <t>06:27</t>
  </si>
  <si>
    <t>05:45</t>
  </si>
  <si>
    <t>06:22</t>
  </si>
  <si>
    <t>08:06</t>
  </si>
  <si>
    <t>20:53</t>
  </si>
  <si>
    <t>19:33</t>
  </si>
  <si>
    <t>17:11</t>
  </si>
  <si>
    <t>17:25</t>
  </si>
  <si>
    <t>PG/ST/2503</t>
  </si>
  <si>
    <t>MUNASIR</t>
  </si>
  <si>
    <t>07:00</t>
  </si>
  <si>
    <t>18:56</t>
  </si>
  <si>
    <t>14:53</t>
  </si>
  <si>
    <t>22:57</t>
  </si>
  <si>
    <t>14:56</t>
  </si>
  <si>
    <t>22:59</t>
  </si>
  <si>
    <t>15:01</t>
  </si>
  <si>
    <t>22:53</t>
  </si>
  <si>
    <t>18:48</t>
  </si>
  <si>
    <t>18:47</t>
  </si>
  <si>
    <t>15:18</t>
  </si>
  <si>
    <t>16:16</t>
  </si>
  <si>
    <t>15:00</t>
  </si>
  <si>
    <t>19:01</t>
  </si>
  <si>
    <t>14:51</t>
  </si>
  <si>
    <t>22:58</t>
  </si>
  <si>
    <t>14:49</t>
  </si>
  <si>
    <t>18:51</t>
  </si>
  <si>
    <t>18:41</t>
  </si>
  <si>
    <t>14:54</t>
  </si>
  <si>
    <t>23:03</t>
  </si>
  <si>
    <t>14:52</t>
  </si>
  <si>
    <t>14:32</t>
  </si>
  <si>
    <t>13:55</t>
  </si>
  <si>
    <t>22:55</t>
  </si>
  <si>
    <t>15:10</t>
  </si>
  <si>
    <t>18:44</t>
  </si>
  <si>
    <t>18:57</t>
  </si>
  <si>
    <t>14:55</t>
  </si>
  <si>
    <t>18:52</t>
  </si>
  <si>
    <t>18:59</t>
  </si>
  <si>
    <t>22:56</t>
  </si>
  <si>
    <t>PG/ST/2502</t>
  </si>
  <si>
    <t>MUZAMIL</t>
  </si>
  <si>
    <t>22:05</t>
  </si>
  <si>
    <t>19:02</t>
  </si>
  <si>
    <t>22:06</t>
  </si>
  <si>
    <t>22:25</t>
  </si>
  <si>
    <t>22:03</t>
  </si>
  <si>
    <t>22:01</t>
  </si>
  <si>
    <t>22:02</t>
  </si>
  <si>
    <t>22:00</t>
  </si>
  <si>
    <t>22:11</t>
  </si>
  <si>
    <t>22:04</t>
  </si>
  <si>
    <t>22:12</t>
  </si>
  <si>
    <t>22:09</t>
  </si>
  <si>
    <t>22:28</t>
  </si>
  <si>
    <t>22:15</t>
  </si>
  <si>
    <t>19:03</t>
  </si>
  <si>
    <t>22:19</t>
  </si>
  <si>
    <t>07:57</t>
  </si>
  <si>
    <t>18:49</t>
  </si>
  <si>
    <t>22:47</t>
  </si>
  <si>
    <t>22:07</t>
  </si>
  <si>
    <t>22:08</t>
  </si>
  <si>
    <t>11:12</t>
  </si>
  <si>
    <t>16:57</t>
  </si>
  <si>
    <t>21:22</t>
  </si>
  <si>
    <t>PG/OB/2506</t>
  </si>
  <si>
    <t>NGADULLAH</t>
  </si>
  <si>
    <t>05:55</t>
  </si>
  <si>
    <t>05:53</t>
  </si>
  <si>
    <t>05:56</t>
  </si>
  <si>
    <t>06:06</t>
  </si>
  <si>
    <t>05:54</t>
  </si>
  <si>
    <t>05:58</t>
  </si>
  <si>
    <t>05:50</t>
  </si>
  <si>
    <t>05:42</t>
  </si>
  <si>
    <t>05:43</t>
  </si>
  <si>
    <t>05:40</t>
  </si>
  <si>
    <t>05:47</t>
  </si>
  <si>
    <t>05:33</t>
  </si>
  <si>
    <t>05:35</t>
  </si>
  <si>
    <t>05:39</t>
  </si>
  <si>
    <t>05:38</t>
  </si>
  <si>
    <t>08:22</t>
  </si>
  <si>
    <t>09:22</t>
  </si>
  <si>
    <t>GM OF MARKETING (SID)</t>
  </si>
  <si>
    <t>PGS GM OF TRANSPORTATION &amp; DISTRIBUTION</t>
  </si>
  <si>
    <t>13:46</t>
  </si>
  <si>
    <t>07:47</t>
  </si>
  <si>
    <t>17:32</t>
  </si>
  <si>
    <t>18:38</t>
  </si>
  <si>
    <t>17:29</t>
  </si>
  <si>
    <t>06:49</t>
  </si>
  <si>
    <t>PG/ST/2501</t>
  </si>
  <si>
    <t>SEGER HARIBUSONO</t>
  </si>
  <si>
    <t>15:12</t>
  </si>
  <si>
    <t>19:08</t>
  </si>
  <si>
    <t>19:19</t>
  </si>
  <si>
    <t>15:06</t>
  </si>
  <si>
    <t>15:04</t>
  </si>
  <si>
    <t>19:15</t>
  </si>
  <si>
    <t>19:06</t>
  </si>
  <si>
    <t>15:11</t>
  </si>
  <si>
    <t>15:07</t>
  </si>
  <si>
    <t>19:09</t>
  </si>
  <si>
    <t>15:02</t>
  </si>
  <si>
    <t>15:09</t>
  </si>
  <si>
    <t>19:16</t>
  </si>
  <si>
    <t>20:02</t>
  </si>
  <si>
    <t>05:48</t>
  </si>
  <si>
    <t>19:59</t>
  </si>
  <si>
    <t>05:51</t>
  </si>
  <si>
    <t>19:05</t>
  </si>
  <si>
    <t>15:29</t>
  </si>
  <si>
    <t>15:20</t>
  </si>
  <si>
    <t>05:30</t>
  </si>
  <si>
    <t>15:08</t>
  </si>
  <si>
    <t>15:15</t>
  </si>
  <si>
    <t>05:31</t>
  </si>
  <si>
    <t>19:36</t>
  </si>
  <si>
    <t>05:26</t>
  </si>
  <si>
    <t>05:27</t>
  </si>
  <si>
    <t>20:32</t>
  </si>
  <si>
    <t>05:29</t>
  </si>
  <si>
    <t>15:23</t>
  </si>
  <si>
    <t>05:24</t>
  </si>
  <si>
    <t>05:25</t>
  </si>
  <si>
    <t>19:11</t>
  </si>
  <si>
    <t>20:04</t>
  </si>
  <si>
    <t>05:28</t>
  </si>
  <si>
    <t>05:41</t>
  </si>
  <si>
    <t>19:13</t>
  </si>
  <si>
    <t>19:43</t>
  </si>
  <si>
    <t>05:34</t>
  </si>
  <si>
    <t>05:36</t>
  </si>
  <si>
    <t>19:26</t>
  </si>
  <si>
    <t>19:00</t>
  </si>
  <si>
    <t>15:03</t>
  </si>
  <si>
    <t>MANAGER OF CEMENT DERIVATIVE PURCHASING</t>
  </si>
  <si>
    <t>17:40</t>
  </si>
  <si>
    <t>SUPPORTING STREAMLINE OFFICER</t>
  </si>
  <si>
    <t>11:27</t>
  </si>
  <si>
    <t>12:27</t>
  </si>
  <si>
    <t>10:16</t>
  </si>
  <si>
    <t>20:15</t>
  </si>
  <si>
    <t>08:29</t>
  </si>
  <si>
    <t>17:43</t>
  </si>
  <si>
    <t>17:51</t>
  </si>
  <si>
    <t>08:02</t>
  </si>
  <si>
    <t>08:23</t>
  </si>
  <si>
    <t>13:32</t>
  </si>
  <si>
    <t>17:58</t>
  </si>
  <si>
    <t>18:00</t>
  </si>
  <si>
    <t>08:04</t>
  </si>
  <si>
    <t>08:07</t>
  </si>
  <si>
    <t>08:05</t>
  </si>
  <si>
    <t>14:23</t>
  </si>
  <si>
    <t>08:17</t>
  </si>
  <si>
    <t>08:35</t>
  </si>
  <si>
    <t>11:02</t>
  </si>
  <si>
    <t>18:34</t>
  </si>
  <si>
    <t>17:34</t>
  </si>
  <si>
    <t>17:54</t>
  </si>
  <si>
    <t>Dept</t>
  </si>
  <si>
    <t>ACTIVITY</t>
  </si>
  <si>
    <t>Panjang Laporan (karakter)</t>
  </si>
  <si>
    <t>mempelajari program yang sudah berjalan dan yang sedang di rencanakan, menginput data sia</t>
  </si>
  <si>
    <t>Melanjutkan proses input data SIA agustus 2026, serta crosscheck ulang data SIA yang sudah di input</t>
  </si>
  <si>
    <t>Merapikan serta menginput data SIO dan APAR yang terbaru ke google spreadsheets</t>
  </si>
  <si>
    <t>membuat sebuah dashboard menggunakan data daftar masa aktif SIO PT. Semen Indonesia  Distributor</t>
  </si>
  <si>
    <t>Membuat Spreadsheets pengelompokan data driver seluruh cabang PT Semen Indonesia Distributor, Kemudian menghubungi setiap POA dari setiap Cabang PT Semen Indonesia Distributor</t>
  </si>
  <si>
    <t>Melanjutkan pengelompokan data-data driver terbaru PT Semen Indonesia Distributor yang berisi nama, dan nomor hp driver seluruh cabang. Kemudian menghubungi setiap POA Cabang PT. Semen Indonesia Distributor</t>
  </si>
  <si>
    <t>Membuat tampilan Dashboard dari rekap data SIA PT.Semen Indonesia Distributor, serta merapikan beberapa data SIA karena pada saat pembuatan dashboard ada sedikit kesalahan pada isi datanya</t>
  </si>
  <si>
    <t>Membuat pembaruan materi Safety Driving atau DDT PT. Semen Indonesia Distributor</t>
  </si>
  <si>
    <t>Meneruskan pembuatan PPT materi Safety Driving PT. Semen Indonesia Distributor</t>
  </si>
  <si>
    <t>Mempelajari dan memahami template pembuatan modul milik PT. Semen Indonesia Distributor.</t>
  </si>
  <si>
    <t>Melakukan rekap data driver, melakukan follow up kepada POA yang belum mengisi data driver. Kemudian diberi arahan untuk memasukan POA ke grup POA dan Driver PT. Semen Indonesia Distributor agar memudahkan koordinasi kedepannya</t>
  </si>
  <si>
    <t>Melakukan revisi di beberapa poin dan menambahkan beberapa materi yang diarahkan oleh pembimbing. Serta melakukan perubahan template dari template lama ke template baru sesuai arahan pembimbing</t>
  </si>
  <si>
    <t>Membuat modul menggunakan template dari PT. Semen Indonesia Distributor. Materi yang digunakan untuk modul adalah materi PPT Safety Driving DDT yang sudah di buat sebelumnya.</t>
  </si>
  <si>
    <t>Melakukan rekap data driver kembali, kemudian menginvite driver yang belum masuk ke grup POA dan Driver PT. Semen Indonesia Distributor, agar instruksi dan informasi penting dapat tersampaikan tanpa ada yang tertinggal.</t>
  </si>
  <si>
    <t>Membuat poster K3 dengan berbagai topik</t>
  </si>
  <si>
    <t>Pembuatan Modul mengenai Basic K3 PT. Semen Indonesia Distributor</t>
  </si>
  <si>
    <t>Menyusun PPT mengenai Basic K3 menggunakan patokan modul yang kemarin sudah dibuat</t>
  </si>
  <si>
    <t>Menyusun SOP Safety Driving, Parkir Aman dan Kondisi Darurat, serta Loading Unloading</t>
  </si>
  <si>
    <t>Melakukan scan ke dokumen K3 menjadi sebuah PDF agar lebih mudah di akses dan di simpan dalam bentuk digital</t>
  </si>
  <si>
    <t>Menyusun Materi mengenai tugas dan fungsi POA di tiap cabang PT Semen Indonesia Distributor</t>
  </si>
  <si>
    <t>Membagi 1 SOP ke dalam 3 SOP spesifik yaitu SOP Pelaporan, Penanganan, dan Investigasi</t>
  </si>
  <si>
    <t>Mereview struktur beserta isi buku pedoman K3 PT. Semen Indonesia Distributor</t>
  </si>
  <si>
    <t>Merapikan struktur Buku Pedoman K3 PT. Semen Indonesia Distributor, serta menambahkan beberapa poin yang di revisi oleh Mentor</t>
  </si>
  <si>
    <t>Melanjutkan pembuatan SOP Penanganan dan Pelaporan Kecelakaan Kerja</t>
  </si>
  <si>
    <t>Pembuatan SOP Tanggap Darurat</t>
  </si>
  <si>
    <t>Pembuatan SOP Pemeriksaan dan Pengecekan Harian (P2H) Truk</t>
  </si>
  <si>
    <t>Melakukan pengumpulan data inspeksi APAR dengan cara menghubungi POA cabang melalui Grup WA</t>
  </si>
  <si>
    <t>Menyusun SOP mengenai Penanganan Sampah dan Barang Bekas</t>
  </si>
  <si>
    <t>Membuat formulir terkait pencatatan limbah dan barang bekas</t>
  </si>
  <si>
    <t>Melakukan Inspeksi APAR di area PT. Semen indonesia Distributor</t>
  </si>
  <si>
    <t>Menyusun SOP Keselamatan Pengiriman Barang PT. semen Indonesia Distributor</t>
  </si>
  <si>
    <t>Menyusun SOP P3K PT. semen Indonesia Distributor</t>
  </si>
  <si>
    <t>melakukan crosscheck data APAR yang masih kosong kemudian menghubungi beberapa POA cabang yang belum melakukan input data APAR</t>
  </si>
  <si>
    <t>Menyusun IK mengenai Pemeliharaan APAR PT. Semen Indonesia Distributor</t>
  </si>
  <si>
    <t>Membuat poster mengenai bahaya Kebakaran Hutan dan Asap</t>
  </si>
  <si>
    <t>Menyusun IK mengenai Penggunaan APAR PT. Semen Indonesia Distributor</t>
  </si>
  <si>
    <t>Melakukan crosscheck data APAR, menghubungi kembali POA yang belum mengisi</t>
  </si>
  <si>
    <t>Melakukan revisi pembuatan diagram alir penanganan limbah, barang bekas, dan sampah domestik</t>
  </si>
  <si>
    <t>Melakukan revisi terkait IK APAR, menggabungkan dua IK APAR menjadi satu IK</t>
  </si>
  <si>
    <t>Menghubungi POA Cabang PT. Semen Indonesia Distributor, yang belum mengisi data APAR</t>
  </si>
  <si>
    <t>Menyusun IK mengenai Pengecekan Kondisi Ban</t>
  </si>
  <si>
    <t>Menyusun Draft materi PPT “Kebersihan Lingkungan Kerja, Penataan Barang, dan Fasilitas K3”</t>
  </si>
  <si>
    <t>Menyusun PPT mengenai Kebersihan Lingkungan Kerja, Penataan Barang, dan Fasilitas K3</t>
  </si>
  <si>
    <t>Melanjutkan pembuatan dashboard master data K3 yang berisi data APAR, SIA, SIO</t>
  </si>
  <si>
    <t>Menyusun IK Pemeliharaan dan Penyimpanan APD</t>
  </si>
  <si>
    <t>Menyusun IK Pengecekan Kondisi Sistem Rem</t>
  </si>
  <si>
    <t>Melakukan update data Dashboard K3</t>
  </si>
  <si>
    <t>Melakukan perbaikan dashboard serta update data dashboard</t>
  </si>
  <si>
    <t>Melakukan input beberapa dokumen SIA ke dalam dashboard Master Data K3</t>
  </si>
  <si>
    <t>Membuat dashboard terkait Data Laka Tahun 2026 PT. Semen Indonesia Distributor</t>
  </si>
  <si>
    <t>Melakukan perbaikan pada buku pedoman, melengkapi materi yang belum ada di Buku Pedoman K3</t>
  </si>
  <si>
    <t>Melakukaan perbaikan pada Buku Pedoman K3, menambahkan beberapa materi yang belum ada di Buku Pedoman</t>
  </si>
  <si>
    <t>Mengikuti rapat mengenai Evaluasi Kecelakaan Jan-Ags 2026, dan menjadi notulen dalam rapat</t>
  </si>
  <si>
    <t>Menyusun dan mengumpulkan data status pengadaan APD</t>
  </si>
  <si>
    <t>Menyiapkan formulir laporan pengecekan APAR</t>
  </si>
  <si>
    <t>meminta bukti foto APAR pada tiap cabang</t>
  </si>
  <si>
    <t>Melanjutkan menghubungi POA tiap cabang untuk meminta foto APAR, kemudian di input di drive</t>
  </si>
  <si>
    <t>Menghubungi POA yang belum mengirimkan foto APAR dan Melakukan update data dashboard APAR</t>
  </si>
  <si>
    <t>Mempajari pembuatan video animasi untuk pembuatan video Safety Induction</t>
  </si>
  <si>
    <t>Mempelajari dan membuat sebuah karakter animasi. Karakter ini akan digunakan sebagai pemeran video animasi safety induction</t>
  </si>
  <si>
    <t>Membuat Poster mengenai Influenza A1</t>
  </si>
  <si>
    <t>Revisi poster influenza A</t>
  </si>
  <si>
    <t>Melakukan konsultasi scrpit animasi untuk safety Induction ke mentor kemudian membuat video animasi</t>
  </si>
  <si>
    <t>Membuat banner untuk ketentuan memasuki area operasional gudang</t>
  </si>
  <si>
    <t>Mengikuti kunjungan ke kantor cabang Cepu PT. Semen Indonesia Distributor (memasang safety sign, daftar kotak P3K, mengecek APAR forklift, sosialisasi Safety Driving dan P2H)</t>
  </si>
  <si>
    <t>Melakukan input data tanda terima</t>
  </si>
  <si>
    <t>Input data kwitansi masuk, menyusun dokumen bukti tagihan</t>
  </si>
  <si>
    <t>Input Pp pada rekap billing, melakukan penyusunan dokumen tanda terima kwitansi</t>
  </si>
  <si>
    <t>Melakukan input administrasi tanda terima, Menyusun dokumen invoice dan menyerahkan ke tim terkait, membuat master data vendor</t>
  </si>
  <si>
    <t>Input data tanda terima kwitansi, Menyusun laporan kwitansi, Input nomor pp bulan juni-juli</t>
  </si>
  <si>
    <t>MELAKUKAN INPUT DATA KWITANSI DAN MENYUSUN INVOICE PEMBELIAN</t>
  </si>
  <si>
    <t>MELAKUKAN INPUT TANDA TERIMA, MENYUSUN BUKTI INVOICE, MELAKUKAN INPUT NO PP</t>
  </si>
  <si>
    <t>Membuat dashboard monitoring program di powerbi</t>
  </si>
  <si>
    <t>entry data kontraktual program</t>
  </si>
  <si>
    <t>Melanjutkan dashboard monitoring</t>
  </si>
  <si>
    <t>entry data kontraktual cabang palur</t>
  </si>
  <si>
    <t>melanjutkan entry data link kontraktual</t>
  </si>
  <si>
    <t>melanjutkan dashboard program customer loyalty</t>
  </si>
  <si>
    <t>entry data link kontraktual program customer loyalty 2026</t>
  </si>
  <si>
    <t>update dashboard</t>
  </si>
  <si>
    <t>update data dashboard</t>
  </si>
  <si>
    <t>entry data link kontrak customer loyalty</t>
  </si>
  <si>
    <t>rekap data kontrak customer baru atau upgrade</t>
  </si>
  <si>
    <t>update dashboard customer loyalty</t>
  </si>
  <si>
    <t>entry link kontraktual customer loyalty</t>
  </si>
  <si>
    <t>Pengecekan dan input tambahan tagihan pendapatan Tripilar triarta</t>
  </si>
  <si>
    <t>Penyesuaian feasibility study gudang non semen lumajang</t>
  </si>
  <si>
    <t>Sortir dokumen fisik spj semen dan menyusun tagihan semen februari maret april</t>
  </si>
  <si>
    <t>Sortir dokumen fisik spj semen dan menyusun tagihan asbes februari maret april</t>
  </si>
  <si>
    <t>Rekap asbes reject data tukar asbes</t>
  </si>
  <si>
    <t>Rekap perbaikan truk</t>
  </si>
  <si>
    <t>Input capaian projec carter dari data tukar asbes</t>
  </si>
  <si>
    <t>Input data tukar asbes dari laporan rekonsiliasi</t>
  </si>
  <si>
    <t>Input pP tronton dan capaian projec carter</t>
  </si>
  <si>
    <t>Menyesuaikan feasibility study histori data tegal</t>
  </si>
  <si>
    <t>Menyusun powerpoint antisipasi kelangkaan bbm</t>
  </si>
  <si>
    <t>Mengolah data forecast untuk fs non semen tegal</t>
  </si>
  <si>
    <t>Mengolah data LR untuk fs non semen pekalongan</t>
  </si>
  <si>
    <t>Kelola arsip spj tagihan pendapatan tripilar triarta bulan februari maret</t>
  </si>
  <si>
    <t>Kelola arsip tagihan tripilar triarta bulan april</t>
  </si>
  <si>
    <t>Penyesuaian histori barang untuk feasibility study non semen</t>
  </si>
  <si>
    <t>Pengecekan perubahan biaya ujs</t>
  </si>
  <si>
    <t>Akumulasi berat barang untuk forecast fs</t>
  </si>
  <si>
    <t>Rapat komite eksus progres proker</t>
  </si>
  <si>
    <t>Input laporan rekonsiliasi asbes reject ke data tukar asbes</t>
  </si>
  <si>
    <t>Menyusun Laporan bulanan komite eksus secara keseluruhan proker</t>
  </si>
  <si>
    <t>Input data tukar asbes reject ke project carter juni w1</t>
  </si>
  <si>
    <t>Input data perbaikan armada ke project carter juni w1</t>
  </si>
  <si>
    <t>Menambahkan data fs untuk coverage area</t>
  </si>
  <si>
    <t>Rapat tim eksus progres proker</t>
  </si>
  <si>
    <t>Olah data histori coverage area pekalongan</t>
  </si>
  <si>
    <t>Input histori coverage area pekalongan pada fs non semen</t>
  </si>
  <si>
    <t>Arsip notulen eksus 2026</t>
  </si>
  <si>
    <t>Penambahan data histori penjualan dan penyesuaian asumsi fs non semen</t>
  </si>
  <si>
    <t>Input data perbaikan armada ke project carter juni w2</t>
  </si>
  <si>
    <t>Rekap aktivasi kendaraan dari seluruh cabang</t>
  </si>
  <si>
    <t>Input aktivasi kendaraan data manual dari cabang</t>
  </si>
  <si>
    <t>Sortir data rekap aktivasi kendaraan dari cabang</t>
  </si>
  <si>
    <t>Menyusun surat pengajuan untuk proker eksus</t>
  </si>
  <si>
    <t>Sortir raw data ujs tahun 2025</t>
  </si>
  <si>
    <t>Rekap data ujs tahun 2025</t>
  </si>
  <si>
    <t>Rekap data ujs 1 tahun (2025)</t>
  </si>
  <si>
    <t>Olah data waktu pengiriman dan SLA</t>
  </si>
  <si>
    <t>Input surat pengambilan barang pecah (asbes)</t>
  </si>
  <si>
    <t>Menyusun rekap pengajuan perbaikan armada tahun 2025 (Juni)</t>
  </si>
  <si>
    <t>Menyusun rekap pengajuan armada tahun 2025 (Juli)</t>
  </si>
  <si>
    <t>Input dan grouping pengajuan perbaikan tahun 2025 (Juli)</t>
  </si>
  <si>
    <t>Input pengajuan perbaikan armada tahun 2025 (agustus)</t>
  </si>
  <si>
    <t>Pengecekan data rekap perbaikan juni - agustus 2025</t>
  </si>
  <si>
    <t>Menyusun rekap pengajuan armada tahun 2025 (september)</t>
  </si>
  <si>
    <t>Diskusi eksus terkait integrasi jasa konsultan dengan tim marketing</t>
  </si>
  <si>
    <t>Pembuatan dan pengiriman pengajuan data customer loyalty</t>
  </si>
  <si>
    <t>Menyusun projec carter w3 Juni</t>
  </si>
  <si>
    <t>menyusun rekap data tukar dari rekonsiliasi asbes reject w3</t>
  </si>
  <si>
    <t>Sortir spj tagihan tripilar triarta mei</t>
  </si>
  <si>
    <t>Menyusun rekap pengajuan perbaikan armada tahun 2025 (september)</t>
  </si>
  <si>
    <t>Penambahan rekap perbaikan armada 2025 (september)</t>
  </si>
  <si>
    <t>Rekap perbaikan armada tahun 2025 (oktober)</t>
  </si>
  <si>
    <t>menyusun rekap data tukar dari rekonsiliasi asbes reject w4</t>
  </si>
  <si>
    <t>Menyusun projec carter w4 Juni</t>
  </si>
  <si>
    <t>Menyusun rekap perbaikan armada tahun 2025</t>
  </si>
  <si>
    <t>Menyusun rekap pengajuan perbaikan armada tahun 2025 (penambahan november)</t>
  </si>
  <si>
    <t>Menyusun rekap pengajuan perbaikan armada tahun 2025 (desember)</t>
  </si>
  <si>
    <t>Pengecekan ulang rekap perbaikan armada 2025 dan pengiriman berkas</t>
  </si>
  <si>
    <t>Analisis data penerapan aktivasi cms pada master truk</t>
  </si>
  <si>
    <t>Sortir data rekap ujs</t>
  </si>
  <si>
    <t>menyusun data tukar dari rekonsiliasi asbes reject w1</t>
  </si>
  <si>
    <t>Menyusun projec carter w1 Juli</t>
  </si>
  <si>
    <t>Menyusun data kartu kontrol ban</t>
  </si>
  <si>
    <t>Analisis cpm pada berbagai merk ban</t>
  </si>
  <si>
    <t>MENYUSUN REKAP TOTAL GAJI SOPIR TAHUN 2025</t>
  </si>
  <si>
    <t>Sortir spj semen</t>
  </si>
  <si>
    <t>Menyusun materi laporan eksus</t>
  </si>
  <si>
    <t>Rapat rutin tim eksus</t>
  </si>
  <si>
    <t>Rapat dengan tim vuds</t>
  </si>
  <si>
    <t>Perhitungan estimasi biaya kirim untuk fs gudang non semen lumajang</t>
  </si>
  <si>
    <t>Compare data customer loyalty dengan target jasa konsultan (eksus)</t>
  </si>
  <si>
    <t>Menambahkan estimasi rincian biaya pengiriman untuk fs lumajang</t>
  </si>
  <si>
    <t>Penambahan evidence pada progres eksus</t>
  </si>
  <si>
    <t>Menyusun proposal persetujuan dan rincian biaya baru proker jasa konsultan</t>
  </si>
  <si>
    <t>Penambahan perhitungan fs lumajang</t>
  </si>
  <si>
    <t>Penambahan data FS Lumajang</t>
  </si>
  <si>
    <t>projec carter asbes reject</t>
  </si>
  <si>
    <t>Projec carter perbaikan armada</t>
  </si>
  <si>
    <t>menyusun rekap perbaikan armada pembelian ban</t>
  </si>
  <si>
    <t>menyusun rekap data tukar dari rekonsiliasi asbes reject w2 Juli</t>
  </si>
  <si>
    <t>Rekap perbaikan armada tahun 2025 dan 2026</t>
  </si>
  <si>
    <t>Menyusun pembelian ban tahun 2025 dan 2026</t>
  </si>
  <si>
    <t>Menyusun nilai perbaikan armada tahun 2025 dan 2026</t>
  </si>
  <si>
    <t>Menyusun rincian biaya proker eksus jasa konsultas</t>
  </si>
  <si>
    <t>Sortir spj semen dan asbes bulan mei</t>
  </si>
  <si>
    <t>Rapat komite eksus dengan GA dan Legal</t>
  </si>
  <si>
    <t>Penambahan data perbaikan 2025 2026</t>
  </si>
  <si>
    <t>Sortir spj mei dan juni untuk laporan tagihan</t>
  </si>
  <si>
    <t>Menyusun data master truk untuk perbaruan STNK dan KIR</t>
  </si>
  <si>
    <t>Sortir spj untuk tagihan</t>
  </si>
  <si>
    <t>Menyusun arsip tagihan asbes dan semen</t>
  </si>
  <si>
    <t>Cek dan revisi perbaruan data truk cabang</t>
  </si>
  <si>
    <t>Input spj ke tagihan asbes bulan juli</t>
  </si>
  <si>
    <t>Pengecekan update perbaruan data truk cabang</t>
  </si>
  <si>
    <t>Kelola link master truk cabang</t>
  </si>
  <si>
    <t>menyusun rekap data tukar dari rekonsiliasi asbes reject w3 juli</t>
  </si>
  <si>
    <t>Rekap data perbaikan armada ke project carter juli w3</t>
  </si>
  <si>
    <t>Olah data dan Menyusun pengajuan persetujuan proker eksus jasa konsultan sesuai capaian target</t>
  </si>
  <si>
    <t>Pengecekan perbaruan data master truk seluruh cabang</t>
  </si>
  <si>
    <t>Menyusun dan mengecek ulang tagihan pendapatan asbes bulan juli</t>
  </si>
  <si>
    <t>Menambahkan tagihan asbes bulan juli 2026</t>
  </si>
  <si>
    <t>Pengecekan dan perbaikan data master truk cabang</t>
  </si>
  <si>
    <t>Memperbaiki data master truk cabang</t>
  </si>
  <si>
    <t>Input laporan rekonsiliasi asbes reject ke data tukar asbes Juli W4</t>
  </si>
  <si>
    <t>Input data perbaikan armada ke project carter juni w4</t>
  </si>
  <si>
    <t>Sortir SPJ asbes Bulan Juli 2026</t>
  </si>
  <si>
    <t>Input tagihan muatan semen baliage</t>
  </si>
  <si>
    <t>Input tagihan pendapatan asbes</t>
  </si>
  <si>
    <t>Sortir spj semen dan asbes</t>
  </si>
  <si>
    <t>Menyusun master barang tripilar triarta dengan update harga</t>
  </si>
  <si>
    <t>Collect dokumen pengambilan barang reject</t>
  </si>
  <si>
    <t>Menyusun tagihan asbes reject 2026</t>
  </si>
  <si>
    <t>Menyusun tagihan asbes reject januari-Agustus 2026</t>
  </si>
  <si>
    <t>Input nomor acuan sesuai dengan dokumen asbes reject cabang</t>
  </si>
  <si>
    <t>Menambahkan nomor acuan sesuai dokumen asbes reject</t>
  </si>
  <si>
    <t>Menyusun lanjutan tagihan asbes reject per hari ini</t>
  </si>
  <si>
    <t>Menyusun master barang tripilar triarta dengan harga baru</t>
  </si>
  <si>
    <t>Menyusun tagihan muat asbes</t>
  </si>
  <si>
    <t>Menyusun tagihan muat semen</t>
  </si>
  <si>
    <t>Menyusun tagihan asbes reject</t>
  </si>
  <si>
    <t>Input data perbaikan armada dan asbes reject ke project carter Agustus w1</t>
  </si>
  <si>
    <t>Sortir dokumen bukti retur asbes pecah</t>
  </si>
  <si>
    <t>Menyusun tagihan asbes reject dari berita acara tripilar triarta</t>
  </si>
  <si>
    <t>Olah data ritase traga untuk proker eksus</t>
  </si>
  <si>
    <t>Menyusun tagihan asbes reject februari 2026</t>
  </si>
  <si>
    <t>Ppt progress eksus per bulan juli</t>
  </si>
  <si>
    <t>Menyusun tagihan muat asbes TBM dan TAA</t>
  </si>
  <si>
    <t>Menyusun dan input perbaruan data asbes reject dari pabrik</t>
  </si>
  <si>
    <t>Menyusun data asbes reject yang telah diverifikasi</t>
  </si>
  <si>
    <t>Pengecekan perbaruan tagihan dari tbm</t>
  </si>
  <si>
    <t>Diskusi proker jasa konsultan via gmeet</t>
  </si>
  <si>
    <t>Menyusun tagihan tbm taa agustus</t>
  </si>
  <si>
    <t>Menyusun tagihan semen baliage agustus</t>
  </si>
  <si>
    <t>Menyusun data tukar asbes reject dari rekonsiliasi pabrik</t>
  </si>
  <si>
    <t>Menyusun projec carter W2 Agustus</t>
  </si>
  <si>
    <t>Menyusun perbaikan data master truk cabang yang terduplikat</t>
  </si>
  <si>
    <t>Menyusun tagihan muatan asbes reject</t>
  </si>
  <si>
    <t>Update perbaruan STNK armada cabang</t>
  </si>
  <si>
    <t>Menyusun tagihan semen muatan</t>
  </si>
  <si>
    <t>Menyusun master barang update harga</t>
  </si>
  <si>
    <t>Menyusun perbaikan data master truk cabang</t>
  </si>
  <si>
    <t>Menyusun tagihan asbes reject TBM dan TAA hasil verifikasi pabrik</t>
  </si>
  <si>
    <t>Pengecekan ulang selisih tagihan TBM dan TAA</t>
  </si>
  <si>
    <t>Pengisian rekap progres eksus</t>
  </si>
  <si>
    <t>Input tagihan asbes tripilar triarta Agustus 2026</t>
  </si>
  <si>
    <t>Menyusun data tukar asbes reject dari laporan rekonsiliasi pabrik</t>
  </si>
  <si>
    <t>Menyusun projec carter W3 Agustus</t>
  </si>
  <si>
    <t>Menyortir SPJ Tagihan Tripilar Triarta bulan Juli</t>
  </si>
  <si>
    <t>Analisis selisih nilai tagihan TBM dan SID</t>
  </si>
  <si>
    <t>Input tagihan asbes tripilar triarta agustus 2026</t>
  </si>
  <si>
    <t>Penambahan kuantitas tagihan asbes reject</t>
  </si>
  <si>
    <t>Menyusun tagihan asbes reject berdasarkan dokumen fisik berita acara</t>
  </si>
  <si>
    <t>Menyusun tambahan kuantitas asbes reject TBM</t>
  </si>
  <si>
    <t>Closing month Agustus 2026 TBM TAA</t>
  </si>
  <si>
    <t>Closing month Agustus 2026 Semen baliage</t>
  </si>
  <si>
    <t>Menyusun rekap data tukar asbes reject dari data rekonsiliasi</t>
  </si>
  <si>
    <t>Menyusun projec carter W4 Agustus</t>
  </si>
  <si>
    <t>Pendapatan asbes reject 2025 (jombang)</t>
  </si>
  <si>
    <t>Pendapatan asbes reject mei juni juli 2026 (cirebon)</t>
  </si>
  <si>
    <t>Pembaruan ongkos angkut TBM TAA</t>
  </si>
  <si>
    <t>Rapat eksus penentuan timeline project fs</t>
  </si>
  <si>
    <t>Input tagihan tbm taa 4 september 2026</t>
  </si>
  <si>
    <t>Collect SPJ kiriman TBM TAA</t>
  </si>
  <si>
    <t>Menyusun pendapatan asbes reject 2026</t>
  </si>
  <si>
    <t>Penambahan lampiran berita acara di file asbes reject</t>
  </si>
  <si>
    <t>Follow up spj bulan agustus</t>
  </si>
  <si>
    <t>Collect spj semen untuk penagihan</t>
  </si>
  <si>
    <t>Input muatan tripilar triarta</t>
  </si>
  <si>
    <t>Menyusun rancangan FS project genteng</t>
  </si>
  <si>
    <t>Menyusun rekap data tukar dari data rekonsiliasi asbes reject</t>
  </si>
  <si>
    <t>Menyusun projec carter w1 september</t>
  </si>
  <si>
    <t>Input muatan angkutan tbm taa</t>
  </si>
  <si>
    <t>Menyusun rencana FS project genteng</t>
  </si>
  <si>
    <t>Input data update persyaratan SIO</t>
  </si>
  <si>
    <t>Pengolahan data survey untuk analisis FS</t>
  </si>
  <si>
    <t>Input persyaratan sio perbaruan data</t>
  </si>
  <si>
    <t>Menyusun pendapatan asbes reject tripilar triarta agustus 2026</t>
  </si>
  <si>
    <t>Rapat komite eksus</t>
  </si>
  <si>
    <t>Menyusun proyeksi FS project genteng kraton</t>
  </si>
  <si>
    <t>Menyusun laporan hasil kelayakan project genteng</t>
  </si>
  <si>
    <t>Menyusun tagihan TBM TAA per september 2026</t>
  </si>
  <si>
    <t>Penyelesaian laporan FS project genteng</t>
  </si>
  <si>
    <t>Penambahan data FS genteng</t>
  </si>
  <si>
    <t>Pengelompokan armada cabang</t>
  </si>
  <si>
    <t>Collect berita acara asbes reject yang akan ditagihkan</t>
  </si>
  <si>
    <t>Menyusun data tukar asbes reject dari data rekonsiliasi</t>
  </si>
  <si>
    <t>Menyusun projec carter W2 September</t>
  </si>
  <si>
    <t>Penagihan asbes reject tambahan 2025</t>
  </si>
  <si>
    <t>Menyusun ppt progres eksus bulan agustus</t>
  </si>
  <si>
    <t>Menyusun tagihan pendapatan asbes tbm taa per september</t>
  </si>
  <si>
    <t>Menyusun tagihan tbm taa september 2026</t>
  </si>
  <si>
    <t>Update persyaratan sio seluruh cabang</t>
  </si>
  <si>
    <t>Collect tagihan cirebon</t>
  </si>
  <si>
    <t>Penambahan form survey ecsi</t>
  </si>
  <si>
    <t>Pemilahan BA asbes reject mojosari 2026</t>
  </si>
  <si>
    <t>Menyusun tagihan asbes reject tbm taa september</t>
  </si>
  <si>
    <t>Menyusun tagihan asbes september 2026</t>
  </si>
  <si>
    <t>Memilah tagihan mojosari asbes reject september</t>
  </si>
  <si>
    <t>Menyusun pendapatan OA reguler TBM TAA asbes reject</t>
  </si>
  <si>
    <t>Penambahan asbes reject mojosari pada tagihan</t>
  </si>
  <si>
    <t>Update data sio cabang jawa barat</t>
  </si>
  <si>
    <t>Update persyaratan sio forklift</t>
  </si>
  <si>
    <t>Menyusun tagihan asbes reject salatiga</t>
  </si>
  <si>
    <t>Menyusun tagihan pendapatan asbes tbm taa september</t>
  </si>
  <si>
    <t>Menyusun projec carter w3 september perbaikan armada</t>
  </si>
  <si>
    <t>Menyusun tagihan semen</t>
  </si>
  <si>
    <t>Menyusun project carter W3 rekap asbes reject</t>
  </si>
  <si>
    <t>Collect berita acara asbes reject</t>
  </si>
  <si>
    <t>Menyusun tagihan asbes tbm taa september</t>
  </si>
  <si>
    <t>Menyusun tagihan dan closing month september</t>
  </si>
  <si>
    <t>Pengecekan persyaratan sio</t>
  </si>
  <si>
    <t>mengedit feeds</t>
  </si>
  <si>
    <t>ngedit feed</t>
  </si>
  <si>
    <t>mengedit Rell, feed</t>
  </si>
  <si>
    <t>mengedit feeds sunat massal</t>
  </si>
  <si>
    <t>mengedit feeds, mengedit cover reels, mengedit 2 story</t>
  </si>
  <si>
    <t>mengedit cover reels, feed, reel</t>
  </si>
  <si>
    <t>mengedit, feed, reel</t>
  </si>
  <si>
    <t>mengedit</t>
  </si>
  <si>
    <t>reel dan cover</t>
  </si>
  <si>
    <t>mengedit feed Sid, JM, mengedit VT tiktok</t>
  </si>
  <si>
    <t>mengedit 2 feed dan VT tiktok</t>
  </si>
  <si>
    <t>fedd, reell</t>
  </si>
  <si>
    <t>reels+cover reels Sid, ucapan HUT BNI, feed JM, feed BM,</t>
  </si>
  <si>
    <t>ngedit</t>
  </si>
  <si>
    <t>Konten affiliate, feed JM DAN BM, REELS SID, COVER REELS</t>
  </si>
  <si>
    <t>mengedit feed JM, BM, dan Sid, konten affiliate</t>
  </si>
  <si>
    <t>mengedit reels Sid feed JM dan BM konten affiliate</t>
  </si>
  <si>
    <t xml:space="preserve"> </t>
  </si>
  <si>
    <t>mengedit feed Sid, JM, BM konten affiliate</t>
  </si>
  <si>
    <t>mengedit feed JM BM sid</t>
  </si>
  <si>
    <t>mengedit Feed BM JM Sid</t>
  </si>
  <si>
    <t>feed JM BM, reels Sid, affiliate</t>
  </si>
  <si>
    <t>mengedit feed JM BM affiliate</t>
  </si>
  <si>
    <t>mengedit reels dan cover reels Sid, feed JM BM, affiliate</t>
  </si>
  <si>
    <t>mengedit feed Sid JM dan BM, affiliate</t>
  </si>
  <si>
    <t>mengedit reels Sid, feed JM dan BM , affiliate</t>
  </si>
  <si>
    <t>reels Sid dan cover, feed JM, affiliate</t>
  </si>
  <si>
    <t>mengedit story reels, feed JM dan bm</t>
  </si>
  <si>
    <t>mengedit feed Sid, JM bm</t>
  </si>
  <si>
    <t>mengedit feed dan reels, affiliate</t>
  </si>
  <si>
    <t>mengedit feed</t>
  </si>
  <si>
    <t>reels</t>
  </si>
  <si>
    <t>mengesit</t>
  </si>
  <si>
    <t>edit</t>
  </si>
  <si>
    <t>merapikan nota, packing, edit, take, affiliate</t>
  </si>
  <si>
    <t>editt</t>
  </si>
  <si>
    <t>packing</t>
  </si>
  <si>
    <t>editz Bema</t>
  </si>
  <si>
    <t>mengedit kemarin tgl 1 September</t>
  </si>
  <si>
    <t>edit feed JM hari inii</t>
  </si>
  <si>
    <t>edit reel</t>
  </si>
  <si>
    <t>paking</t>
  </si>
  <si>
    <t>take konten</t>
  </si>
  <si>
    <t>mengedit bema</t>
  </si>
  <si>
    <t>Cek stok</t>
  </si>
  <si>
    <t>mengedit reels+ take kontenyaaaa</t>
  </si>
  <si>
    <t>cek stok melanjutkan</t>
  </si>
  <si>
    <t>Take konten/ne vidio orang yang jadi talent</t>
  </si>
  <si>
    <t>membuat template bema</t>
  </si>
  <si>
    <t>mengedit reel</t>
  </si>
  <si>
    <t>reels belanja</t>
  </si>
  <si>
    <t>bema</t>
  </si>
  <si>
    <t>mengedit dan membantu take konten pada hari Jumat kemarin lalu saya lupa tidak mengisi realisasi jadi mohon untuk dimengerti supaya uang saku saya tidak terpotong</t>
  </si>
  <si>
    <t>edit bema</t>
  </si>
  <si>
    <t>reels rk</t>
  </si>
  <si>
    <t>edit reels Bema</t>
  </si>
  <si>
    <t>edit rk</t>
  </si>
  <si>
    <t>take vidio hari ini</t>
  </si>
  <si>
    <t>take vidio dan edit</t>
  </si>
  <si>
    <t>packing banyak</t>
  </si>
  <si>
    <t>edit reels jm</t>
  </si>
  <si>
    <t>edit feed kr</t>
  </si>
  <si>
    <t>feed kr</t>
  </si>
  <si>
    <t>edits reels JM dan bema</t>
  </si>
  <si>
    <t>mengedit reels</t>
  </si>
  <si>
    <t>editz reels bema</t>
  </si>
  <si>
    <t>editz reels jm</t>
  </si>
  <si>
    <t>edit rells</t>
  </si>
  <si>
    <t>resume materi perseroan</t>
  </si>
  <si>
    <t>membantu analisis pemberian kredit pelanggan</t>
  </si>
  <si>
    <t>belajar kontrak perjanjian jual-beli. sewa menyewa</t>
  </si>
  <si>
    <t>belajar review perjanjian</t>
  </si>
  <si>
    <t>mengurutkan rekap data gudang</t>
  </si>
  <si>
    <t>belajar perjanjian antar perusahaan</t>
  </si>
  <si>
    <t>belajar panduan perjanjian</t>
  </si>
  <si>
    <t>belajar jenis-jenis perjanjian yang ada di perusahaan</t>
  </si>
  <si>
    <t>belajar menghitung njop</t>
  </si>
  <si>
    <t>membantu recheck dokumen perusahaan</t>
  </si>
  <si>
    <t>mempelajari peran legal oponion dalam mencegah risiko hukum pada kontrak kerja sama</t>
  </si>
  <si>
    <t>belajar mengoper excel di rekap dokumen</t>
  </si>
  <si>
    <t>belajar isi-isi dalam perjanjian</t>
  </si>
  <si>
    <t>belajar due legal diligence</t>
  </si>
  <si>
    <t>belajar pp no 28/2025</t>
  </si>
  <si>
    <t>menghubungk pihak penyewa</t>
  </si>
  <si>
    <t>belajar materi mengenai cara mengatasi masalah jika terdapat timdakan pidana dalam hukum privat</t>
  </si>
  <si>
    <t>review undang undang ketenaker</t>
  </si>
  <si>
    <t>mengetik surat perjanjian perpanjangan sewa gudang</t>
  </si>
  <si>
    <t>belajar uu 6/2023 mengenai pbg dan slf</t>
  </si>
  <si>
    <t>review pp 16/2021</t>
  </si>
  <si>
    <t>belajar materi teknik penyusunan perjanjian hukum</t>
  </si>
  <si>
    <t>belajar dokumen jaminan</t>
  </si>
  <si>
    <t>membantu cross check dokumen jaminan</t>
  </si>
  <si>
    <t>mereview perjanjian</t>
  </si>
  <si>
    <t>belajar macam jaminan</t>
  </si>
  <si>
    <t>belajar materi force majerue</t>
  </si>
  <si>
    <t>belajar materi merger pt</t>
  </si>
  <si>
    <t>belajar materi wanprestasi</t>
  </si>
  <si>
    <t>belajar materi penyele wanprestasi dan merapikan dok rangkuman materi</t>
  </si>
  <si>
    <t>belajar materi perhitungan appraisal</t>
  </si>
  <si>
    <t>belajar materi dasar hukum perikatan dan materi 5R</t>
  </si>
  <si>
    <t>belajar jenis perikatan dan membantu mengerjakan tugas nomor SK</t>
  </si>
  <si>
    <t>belajar asas dalam perjanjian</t>
  </si>
  <si>
    <t>MEMBACA DOKUMEN PERHITUNGAN APPRAISAL</t>
  </si>
  <si>
    <t>belajar macam perjanjian yg umumnya ada di sid</t>
  </si>
  <si>
    <t>belajarr mereview perjanjian</t>
  </si>
  <si>
    <t>membantu check ulang nomor sk direksi</t>
  </si>
  <si>
    <t>belajar topik itikad baik dalam perjanjian</t>
  </si>
  <si>
    <t>belajar pembatalan perjanjian</t>
  </si>
  <si>
    <t>belajar pengesampingan pasal dalam perjanjian</t>
  </si>
  <si>
    <t>belajr macam bentuk dan pengesahan perjanjian di pt sid</t>
  </si>
  <si>
    <t>belajar dan analisis putusan 20/pdt.g/2026/pn gresik</t>
  </si>
  <si>
    <t>membantu mengerjakan rekap matriks pemetaan</t>
  </si>
  <si>
    <t>membantu dan belajar rekap kegiatan usaha pt vufa dan pt sid</t>
  </si>
  <si>
    <t>belajar sistem litigasi dan non litigasi</t>
  </si>
  <si>
    <t>belajar membantu mengisi data sensus ekonomi</t>
  </si>
  <si>
    <t>belajar hak membeli kembali</t>
  </si>
  <si>
    <t>belajar review perjanjian pt kbk dan pt sid</t>
  </si>
  <si>
    <t>belajar putusan MA mengenai pt indomarco wanprestasi terhadap pt unilever</t>
  </si>
  <si>
    <t>belajar materi pelanggaran asas good faith pada sewa kendaraan</t>
  </si>
  <si>
    <t>belajar prinsir dasar dan aturan menulis kontrak</t>
  </si>
  <si>
    <t>belajar review perjanjian KBK dan SID (jual-beli material)</t>
  </si>
  <si>
    <t>mengerjakan konten plan dan execute PLAN AWAL untuk roemahkita</t>
  </si>
  <si>
    <t>Mengerjakan 3 feed awal untuk RoemahKita</t>
  </si>
  <si>
    <t>Pembuatan konten untuk reels instagram RoemahKita, dan telah upload satu konten</t>
  </si>
  <si>
    <t>Hari ini mengerjakan feed untuk konten instagram RoemahKita dengan isi konten “Ada apa saja di RoemahKita” selain itu hari ini juga membantu packing barang</t>
  </si>
  <si>
    <t>Take video untuk konten reels instagram RoemahKita (Promo Bundling) dan mengedit video beserta covernya</t>
  </si>
  <si>
    <t>Pengerjaan feeds instagram promo bundling untuk RoemahKita</t>
  </si>
  <si>
    <t>Mengerjakan feeds untuk postingan Instagram ToemahKita</t>
  </si>
  <si>
    <t>Mengeejakan peringatan hari besar maulid nabi untuk instastory Instagram RoemahKita</t>
  </si>
  <si>
    <t>Take video untuk bahan konten di hari berikutnya</t>
  </si>
  <si>
    <t>Rekap nota RoemahKita</t>
  </si>
  <si>
    <t>Take video untuk reels hari kamis dan pengeditan cover</t>
  </si>
  <si>
    <t>Pengeditan konten reels yang akan di tayangkan pada hari ini yaitu tentang perbedaan semen dan mortar</t>
  </si>
  <si>
    <t>Take video konten tentang beragam fungsi cat untuk konten hari sabtu</t>
  </si>
  <si>
    <t>Mengedit video untuk konten hari Sabtu</t>
  </si>
  <si>
    <t>Mendokumentasikan acara maulid nabi di kantor pusat SID</t>
  </si>
  <si>
    <t>Packing orderan yang masuk dari Bahan Material dan Roemahkita</t>
  </si>
  <si>
    <t>Pengeditan feeds instagram untuk RoemahKita</t>
  </si>
  <si>
    <t>take video untuk konten edukasi hari selasa sekaligus menjadi talent</t>
  </si>
  <si>
    <t>Take video konten reels untuk hari berikutnya</t>
  </si>
  <si>
    <t>Take video untuk reels hari beeikutnta</t>
  </si>
  <si>
    <t>Pengeditan video reels edukasi untuk hari kamis</t>
  </si>
  <si>
    <t>Melanjutkan editan untuk reels Granito dan finishing</t>
  </si>
  <si>
    <t>Take konten untuk hari sabtu dan Edit cover dan peringatan hari pelanggan</t>
  </si>
  <si>
    <t>Membantu cek stock fisik yang ada di RoemahKita</t>
  </si>
  <si>
    <t>Menyusun naskah Brief konten, menjadi Talent, seta edit video</t>
  </si>
  <si>
    <t>Editing video untuk konten hari ini yakni tentang sanitary</t>
  </si>
  <si>
    <t>Sebagai Talent untuk konten sanitary di sosmed RoemahKita</t>
  </si>
  <si>
    <t>Membuat naskah brief untuk beberapa planning konten kedepan</t>
  </si>
  <si>
    <t>Mengedit feeds pixel (semen, mortar, dan cat)</t>
  </si>
  <si>
    <t>Take video untuk postingan affiliate</t>
  </si>
  <si>
    <t>Melengkapi konten plan yang telah di upload dan melanjutkan konten plan untuk bulan september</t>
  </si>
  <si>
    <t>Mengedit video yang telah di ambil pada hari ini yakni edukasi tentang handle pintu</t>
  </si>
  <si>
    <t>Take videi untuk reels instagram RoemahKita tentang edukasi handle pintu,sebagai talent</t>
  </si>
  <si>
    <t>Menyusun konten brief dan scrip writer untuk konten hari ini</t>
  </si>
  <si>
    <t>Take video dan edit untuk konten reels instagram pov: customer tanya lokasi toko roemahkita</t>
  </si>
  <si>
    <t>Melengkapi dan mencari referensi untuk ide konten sosial media roemahkita</t>
  </si>
  <si>
    <t>Menyusun naskah brief untuk konten reels hari ini yakni tentang perbedaan atap genteng dan upvc</t>
  </si>
  <si>
    <t>Sebagai talent dalam proses take video untuk konten hari ini</t>
  </si>
  <si>
    <t>Finishing, rander, dan upload konten hari ini</t>
  </si>
  <si>
    <t>Take video untuk konten hari jumat dan sabtu</t>
  </si>
  <si>
    <t>edit video konten untuk hari ini</t>
  </si>
  <si>
    <t>Packing orderan masuk</t>
  </si>
  <si>
    <t>Membuat konten untuk hari ini mulai dari take sampai edit</t>
  </si>
  <si>
    <t>Breafing, talent, dan take konten</t>
  </si>
  <si>
    <t>setelah take konten melanjutkan ke proses editing dan upload</t>
  </si>
  <si>
    <t>Take video untuk bahan konten hari ini</t>
  </si>
  <si>
    <t>Edit video kontem yang telah di ambil hari ini</t>
  </si>
  <si>
    <t>Mengerjakan rekap perkembangan konten RoemahKita</t>
  </si>
  <si>
    <t>Take video untuk hari ini dan besok</t>
  </si>
  <si>
    <t>Edit video untuk konten hari ini</t>
  </si>
  <si>
    <t>Mengerjakan editing video untuk konten hari ini yakni tentang 100 masalah bisa diselesaikan di RoemahKita</t>
  </si>
  <si>
    <t>take video untuk konten hari ini yakni sale up to 50%</t>
  </si>
  <si>
    <t>Melakukan proses editing dari konten yang sudah take sebelumnya</t>
  </si>
  <si>
    <t>Mengerjakan konten untuk hari ini, mulai dri take konten sampai editing konten</t>
  </si>
  <si>
    <t>memverifikasi berkas dari cabang boyolali</t>
  </si>
  <si>
    <t>memverivikasi berkas dari kebumen,banjarmasin,boyolali</t>
  </si>
  <si>
    <t>memverifikasi berkas dari cabang legundi dan mengarsipkan berkas dari cabang sragen</t>
  </si>
  <si>
    <t>mengarsip kan berkas dari cabang palur, megelang, pekalongan,klaten &amp; memverifikasi berkas dari cabang pekalongan, purwosari, sampang, sukoharjo dan pengajuan dropping</t>
  </si>
  <si>
    <t>memverifikasi berkas dari cabang banjarnegara, bantul, sumenep, legundi &amp; mencocokkan pajak</t>
  </si>
  <si>
    <t>mmeverifikasi berkas dari cabang bojonegoro, tegal, purworejo, pekalongan, kulon progo, curah jateng &amp; DIY, sleman, jateng &amp; DIY</t>
  </si>
  <si>
    <t>memverifikasi berkas dari cabang klaten, sidoarjo, tuban, lamongan, surabaya, blora</t>
  </si>
  <si>
    <t>memverifikasi berkas dari cabang tegal, kebumen, sukoharjo &amp; mengambil paket dokumen</t>
  </si>
  <si>
    <t>memverifikasi berkas dari cabang klaten, tegal, pekalongan, cilacap, magelang, cilacap, tegal,</t>
  </si>
  <si>
    <t>memverifikasi berkas dari cabang pamekasan, banjarmasin, pasuruan, sampang, wonogiri &amp; mengarsip kan</t>
  </si>
  <si>
    <t>memverifikasi berkas dari cabang bantul, banjarnegara, pekalongan, kulonprogo, magelang, sragen, bangkalan</t>
  </si>
  <si>
    <t>memverifikasi berkas dari cabang purwokerto, palur, tuban, pamekasan, legundi, surabaya, balikpapan, bojonegoro, sleman</t>
  </si>
  <si>
    <t>memverifikasi berkas dari cabang mojokerto, blora, mojokerto, purwodadi, mojokerto, samarinda &amp; mengambil paket</t>
  </si>
  <si>
    <t>Mengerjakan cover feed Instagram untuk Reels, yaitu membuat cover untuk video ucapan dan konten yang saya buat, serta melengkapi cover untuk Reels lainnya yang sebelumnya belum memiliki cover.</t>
  </si>
  <si>
    <t>Edit reels instagram sid</t>
  </si>
  <si>
    <t>MEMBUAT FEED SID tentang semen kujang sebanyak 6 slide</t>
  </si>
  <si>
    <t>Edit video sid mengenai senyum kalau happy beli material di sid</t>
  </si>
  <si>
    <t>Story pray for kalimantan sid</t>
  </si>
  <si>
    <t>Reels sid pilih semen sesuai kebutuhanmu</t>
  </si>
  <si>
    <t>Edit feed morning briefing gunung sidur</t>
  </si>
  <si>
    <t>Edit reels readymix</t>
  </si>
  <si>
    <t>Story ucapan maulid nabi</t>
  </si>
  <si>
    <t>Cover reels bangun lebih berkelamjutam</t>
  </si>
  <si>
    <t>Readymix pilihan proyek</t>
  </si>
  <si>
    <t>Cover reels pilihan tepat untuk proyek</t>
  </si>
  <si>
    <t>Feed zoom sid</t>
  </si>
  <si>
    <t>Membantu packing untuk customer sid</t>
  </si>
  <si>
    <t>Feed maulid nabi</t>
  </si>
  <si>
    <t>Mengedit reels a day in my life sid</t>
  </si>
  <si>
    <t>Edit reels sid keunggulan jadi mitra</t>
  </si>
  <si>
    <t>Edit reels hari pelanggan</t>
  </si>
  <si>
    <t>Edit cover reels, feed sid</t>
  </si>
  <si>
    <t>Edit cover</t>
  </si>
  <si>
    <t>Edit reels</t>
  </si>
  <si>
    <t>Reels edukasi bata ringan</t>
  </si>
  <si>
    <t>Ucapan hari olahraga nasional</t>
  </si>
  <si>
    <t>Edit feeds kamis</t>
  </si>
  <si>
    <t>Edit feed kerja sama</t>
  </si>
  <si>
    <t>3 cover reels</t>
  </si>
  <si>
    <t>Bg story</t>
  </si>
  <si>
    <t>Cover artikel</t>
  </si>
  <si>
    <t>Mengedit youtube edukasi internal mengenai pengiriman terlambat</t>
  </si>
  <si>
    <t>Edit reels sid atap upvc lapangan padel untuk hari selasa</t>
  </si>
  <si>
    <t>Revisi dan finalisasi youtube edukasi pengiriman terlambat</t>
  </si>
  <si>
    <t>Edit barcode review google sid</t>
  </si>
  <si>
    <t>Edit feed nostalgia sid saat itu 10 slide</t>
  </si>
  <si>
    <t>Edit cover reels solusi atap court padel</t>
  </si>
  <si>
    <t>Edit cover reels jejak memori sid</t>
  </si>
  <si>
    <t>Mengedit konten untuk hari sabtu</t>
  </si>
  <si>
    <t>Revisi dan finalisasi konten untuk hari sabtu sid</t>
  </si>
  <si>
    <t>Mengedit story ucapan nathabumi ke 7 untuk tanggal 27 september</t>
  </si>
  <si>
    <t>Edit cover reels stock material mulai menipis?</t>
  </si>
  <si>
    <t>Edit video reels hari selasa mengenai jangan sampai salah pilih kenali perbedaannya</t>
  </si>
  <si>
    <t>Mengedit feed kamar mandi 1 meter</t>
  </si>
  <si>
    <t>Edit thumbnail youtube edukasi internal pengiriman terlambat</t>
  </si>
  <si>
    <t>Mengedit cover highlight instagram sidak toko</t>
  </si>
  <si>
    <t>Mengedit konten tiktok</t>
  </si>
  <si>
    <t>Take konten reels tile on tile</t>
  </si>
  <si>
    <t>Edit feeds sid breaking news pasuruan</t>
  </si>
  <si>
    <t>Edit reels sid edukasi lantai granit tile on tile</t>
  </si>
  <si>
    <t>Edit video reels untuk ucapan hari kesaktian pancasila</t>
  </si>
  <si>
    <t>Story mengenang TRAGEDI G30SPKI</t>
  </si>
  <si>
    <t>Mengarsipkan dokumen</t>
  </si>
  <si>
    <t>menata dokumen arsip</t>
  </si>
  <si>
    <t>Merekap Arsip</t>
  </si>
  <si>
    <t>Mengarsipkan dokumen, Merekap dokumen arsip, Scan arsip bendahara</t>
  </si>
  <si>
    <t>Mengarsipkan dokumen bendahara, merekap arsip bendahara, scan dokumen bendahara</t>
  </si>
  <si>
    <t>Mengarsipkan Dokumen Bendahara, Merekap Dokumen Bendahara</t>
  </si>
  <si>
    <t>Mengarsipkan Dokumen Bendahara, Merekap Arsip Bendahara</t>
  </si>
  <si>
    <t>Mengarsipkan dokumen bendahara, Merekap Arsip Bendahara</t>
  </si>
  <si>
    <t>MENGARSIPKAN DOKUMEN BENDAHARA, SCAN DOKUMEN BENDAHARA</t>
  </si>
  <si>
    <t>Scan Dokumen Bendahara</t>
  </si>
  <si>
    <t>Scan dokumen bendahara, Mengarsipkan dokumen bendahara</t>
  </si>
  <si>
    <t>Scan Dokumen Bendahara, Merekap Arsip Bendahara</t>
  </si>
  <si>
    <t>SCAN DOKUMEN BENDAHARA, MENGARSIPKAN DOKUMEN BENDAHARA</t>
  </si>
  <si>
    <t>Mengarsipkan dokumen bendahara</t>
  </si>
  <si>
    <t>MENGARSIPKAN DOKUMEN BENDAHARA, MEREKAP DOKUMEN BENDAHARA</t>
  </si>
  <si>
    <t>MENGARSIPKAN DOKUMEN BENDAHARA, SCAN DOKUMEN BENDAHARA, MEREKAP ARSIP BENDAHARA</t>
  </si>
  <si>
    <t>MEREKAP PP, SCAN DOKUMEN BENDAHARA, MEREKAP ARSIP</t>
  </si>
  <si>
    <t>rekap pp, mengarsipkan dokumen bendahara</t>
  </si>
  <si>
    <t>Mengarsipkan dokumen bendahara, Scan dokumen bendahara, Merekap arsip bendahara</t>
  </si>
  <si>
    <t>Mengarsipkan dokumen bendahara, Scan dokumen bendahara, Merekap Arsip Bendahara</t>
  </si>
  <si>
    <t>Mengarsipkan dokumen bendahara, Scan dokumen bendahara</t>
  </si>
  <si>
    <t>merapikan arsip bendahara</t>
  </si>
  <si>
    <t>menginput arsip ke e-filling</t>
  </si>
  <si>
    <t>merapikan arsip accounting</t>
  </si>
  <si>
    <t>memasukkan arsip box dan menginputnya ke e-filling</t>
  </si>
  <si>
    <t>menginput arsip ke e-filling dan mengebox ARsip</t>
  </si>
  <si>
    <t>melakukan pengeboxan dan menginput arsip</t>
  </si>
  <si>
    <t>mengebox arsip</t>
  </si>
  <si>
    <t>merapikan arsip</t>
  </si>
  <si>
    <t>merapikan arsip accounting cab jabar</t>
  </si>
  <si>
    <t>merapikan dan menginput arsip curah</t>
  </si>
  <si>
    <t>menomori dan menginput arsip curah</t>
  </si>
  <si>
    <t>menomori dan menginput arsip</t>
  </si>
  <si>
    <t>menginput dan menomori arsip curah</t>
  </si>
  <si>
    <t>menomori box arsip</t>
  </si>
  <si>
    <t>menginput data arsip di excel</t>
  </si>
  <si>
    <t>merapikan dan mengebox arsip</t>
  </si>
  <si>
    <t>merapikan dan menomori arsip</t>
  </si>
  <si>
    <t>merapikan dan menomori Arsip</t>
  </si>
  <si>
    <t>scanning dokumen</t>
  </si>
  <si>
    <t>scaning dokumen</t>
  </si>
  <si>
    <t>merapikan dan menomori</t>
  </si>
  <si>
    <t>merapikan, menomori, dan memasukkan arsip ke box</t>
  </si>
  <si>
    <t>menomori dan mengebox arsip</t>
  </si>
  <si>
    <t>menomori dan scanning dokumen</t>
  </si>
  <si>
    <t>menomori dan scanning arsip</t>
  </si>
  <si>
    <t>menginput arsip ke e filling</t>
  </si>
  <si>
    <t>mengverifikasi berkas rincian biaya operasional cabang banjar, purwakarta, sukabumi, jembrana, samarinda, pangandaran, tabanan, singaraja,bogor, gunung sindur,bandung, majalengka</t>
  </si>
  <si>
    <t>mengverifikasi berkas rincian biaya operasional cabang sukabumi, majalengka,lombok, banjarmasin,subang, samarinda, cianjur</t>
  </si>
  <si>
    <t>mengarsip, merubah problem vocer, mengverifikasi berkas rincian biaya operasional cabang tasikmalaya, indramayu, balikpapan, banjarmasin</t>
  </si>
  <si>
    <t>mengverifikasi berkas rincian biaya operasional cabang sukabumi II,denpasar, singaraja, tasikmalaya, tabanan, pangandaran, jakarta timur, jembrana, bekasi,banjar, klungkung, cianjur, bogor, padalarang</t>
  </si>
  <si>
    <t>mengverifikasi berkas rincian biaya operasional cabang bandung, sukabumi, banjarmasin, majalengka, tanggerang, subang, cirebon</t>
  </si>
  <si>
    <t>mengarsip, merubah problem vocer, mengverifikasi berkas rincian biaya operasional cabang sukabumi II, klungkung, purwakarta, samarinda</t>
  </si>
  <si>
    <t>mengarsip, mengganti box, mengverifikasi berkas rincian biaya operasional cabang jembrana,bogor,tabanan</t>
  </si>
  <si>
    <t>mengverifikasi berkas rincian biaya operasional cabang purwakarta, pangandaran, sukabumi, indramayu, cirebon, majalengka, tanggerang, denpasar, cianjur, tasikmalaya, jembrana</t>
  </si>
  <si>
    <t>mengganti problem vocer, mengverifikasi berkas rincian biaya operasional cabang padalarang, cianjur</t>
  </si>
  <si>
    <t>mengverifikasi berkas rincian biaya operasional cabang bandung, klungkung, banjarmasin, majalengka, sukabumi, bogor, denpasar, jakarta timur, karawang, indramayu,bekasi</t>
  </si>
  <si>
    <t>mengarsip, merubah problem vocer, mengverifikasi berkas rincian biaya operasional cabang serang, padalarang, cianjur, indramayu, subang, tabanan</t>
  </si>
  <si>
    <t>mengarsip, merubah problem vocer, mengverifikasi berkas rincian biaya operasional cabang tasikmalaya, pangandaran, balikpapan, banjarmasin, gunung sindur, cirebon</t>
  </si>
  <si>
    <t>mengverifikasi berkas rincian biaya operasional cabang jembrana, klungkung, samarinda, banjarmasin, cirebon</t>
  </si>
  <si>
    <t>mengverifikasi berkas rincian biaya operasional cabang banjar, tabanan, jembrana, indramayu, cianjur, tanggerang,bekasi, pangandaran, denpasar, singaraja, lombok, majalengka, padalarang</t>
  </si>
  <si>
    <t>mengarsip, merubah problem vocer, mengverifikasi berkas rincian biaya operasional cabang jembrana, klungkung, tabanan, samarinda, banjarmasin, cirebon, cianjur, tasikmalaya</t>
  </si>
  <si>
    <t>mengarsip, mengverifikasi berkas rincian biaya operasional cabang majalengka, tanggerang, jakarta timur, padalarang</t>
  </si>
  <si>
    <t>mengverifikasi berkas rincian biaya operasional cabang sukabumi II, tasikmalaya,bekasi,bogor,magetan, ponorogo, bandung, gunung sindur, indramayu, madiun</t>
  </si>
  <si>
    <t>mengverifikasi berkas rincian biaya operasional cabang jembrana, sukabumi, tasikmalaya, padalarang, banjar, majalengka, tabanan</t>
  </si>
  <si>
    <t>mendata dokumen yang sudah diverifikasi</t>
  </si>
  <si>
    <t>mengarsip, mengverifikasi berkas rincian biaya operasional cabang jakarta timur,cirebon</t>
  </si>
  <si>
    <t>mengverifikasi berkas rincian biaya operasional cabang nganjuk, curah banten, ngawi, ponorogo, lombok, subang, tanggerang, serang</t>
  </si>
  <si>
    <t>mengarsip, merubah problem vocer, mengverifikasi berkas rincian biaya operasional cabang ngawi, gunung sindur, bogor</t>
  </si>
  <si>
    <t>mencatat dokumen yang sudah diverifikasi</t>
  </si>
  <si>
    <t>mengubah problem vocer, mengverifikasi berkas rincian biaya operasional cabang karawang, magetan, purwakarta, bekasi</t>
  </si>
  <si>
    <t>mengverifikasi berkas rincian biaya operasional cabang kediri, madiun, jakarta timur, roemah kita gresik</t>
  </si>
  <si>
    <t>menganti beberapa box, mengverifikasi berkas rincian biaya operasional cabang serang, subang, bogor, jombang</t>
  </si>
  <si>
    <t>mengarsip, mengverifikasi berkas rincian biaya operasional cabang magetan, rumah kita GKB, purwokerto, tegal, tulungagung, subang</t>
  </si>
  <si>
    <t>mencatat beberapa dokumen yang sudah masuk kedalam ruang arsip</t>
  </si>
  <si>
    <t>mengverifikasi berkas rincian biaya operasional cabang rumah kita GKB, gunung sindur, bekasi, curah</t>
  </si>
  <si>
    <t>scan dokumen, mengverifikasi berkas rincian biaya operasional beberapa cabang</t>
  </si>
  <si>
    <t>mengverifikasi berkas rincian biaya operasional cabang ponorogo, bogor, jombang, magetan, madiun, tanggerang, trenggalek, pare kediri</t>
  </si>
  <si>
    <t>mengverifikasi berkas rincian biaya operasional cabang sidoarjo, pasuruan, ponorogo,golomantung, kediri, nganjuk</t>
  </si>
  <si>
    <t>mengecek pjk lombok, mengverifikasi berkas rincian biaya operasional cabang kulonprogo, gunung sindur, nganjuk, purworejo, golomantung, sukoharjo, bangkalan, ngawi</t>
  </si>
  <si>
    <t>mengarsip, mengverifikasi berkas rincian biaya operasional cabang bogor, madiun, sampang, jakarta timur, bojonegoro</t>
  </si>
  <si>
    <t>mengarsip, mengverifikasi berkas rincian biaya operasional cabang curah banten, samarinda, bekasi, madiun, subang, purworejo, ngawi</t>
  </si>
  <si>
    <t>mengarsip, mengverifikasi berkas rincian biaya operasional cabang pamekasan, sumenep, tuban, surabaya,seragen, banjarnegara, bantul, subang, rumah kita GKB, bojonegoro, magetan, bogor</t>
  </si>
  <si>
    <t>mengverifikasi berkas rincian biaya operasional cabang gunung sindur, purwokerto, rumah kita GKB,serang,legundi, purworejo</t>
  </si>
  <si>
    <t>mengarsip, mengverifikasi berkas rincian biaya operasional cabang jakarta timur, karawang, trenggalek, jombang,</t>
  </si>
  <si>
    <t>mengubah problem vocer, mengverifikasi berkas rincian biaya operasional cabang singaraja, tasikmalaya, ponorogo, serang</t>
  </si>
  <si>
    <t>mengverifikasi berkas rincian biaya operasional cabang tulungagung, jombang, madiun,pare kediri, subang, bekasi, ngawi, jakarta timur</t>
  </si>
  <si>
    <t>mengverifikasi berkas rincian biaya operasional cabang bekasi, tanggerang, trenggalek,kediri</t>
  </si>
  <si>
    <t>mengverifikasi berkas rincian biaya operasional cabang tabanan, samarinda, banjar , singaraja</t>
  </si>
  <si>
    <t>mengverifikasi berkas rincian biaya operasional cabang gunung sindur, sleman dan mengtotal ulang pjk.gaji.tkbmg</t>
  </si>
  <si>
    <t>mengverifikasi berkas rincian biaya operasional cabang gunung sindur, samarinda, klungkung, magetan</t>
  </si>
  <si>
    <t>mengverifikasi berkas rincian biaya operasional cabang bekasi, nganjuk, trenggalek, subang, serang, jakarta timur</t>
  </si>
  <si>
    <t>mengverifikasi berkas rincian biaya operasional cabang bantul, kulonprogo, bandung, curah banten, tabanan, bogor, majalengka</t>
  </si>
  <si>
    <t>mengverifikasi berkas rincian biaya operasional cabang tulungagung, gunung sindur,</t>
  </si>
  <si>
    <t>mengverifikasi berkas rincian biaya operasional cabang tanggerang, rumah kita, klungkung, indramayu</t>
  </si>
  <si>
    <t>mengverifikasi berkas rincian biaya operasional cabang bekasi, nganjuk,magetan, ponorogo,jombang,</t>
  </si>
  <si>
    <t>mengverifikasi berkas rincian biaya operasional cabang madiun, subang, bogor, ngawi, curah banten, kediri</t>
  </si>
  <si>
    <t>mengverifikasi berkas rincian biaya operasional cabang surabaya, bojonegoro, balikpapan, purwokerto</t>
  </si>
  <si>
    <t>mengverifikasi berkas rincian biaya operasional cabang surabaya, tuban, samarinda, pamekasan, golomantung, bangkalan</t>
  </si>
  <si>
    <t>mengverifikasi berkas rincian biaya operasional cabang madiun, bogor, jakarta timur, sukabumi, denpasar, samarinda, tasikmalaya</t>
  </si>
  <si>
    <t>mengverifikasi berkas rincian biaya operasional cabang tanggerang, gunung sindur, tulungagung, nganjuk, trenggalek</t>
  </si>
  <si>
    <t>mengverifikasi berkas rincian biaya operasional cabang karawang, serang, bangkalan, pasuruan, golomantung, tuban</t>
  </si>
  <si>
    <t>mengverifikasi berkas rincian biaya operasional cabang rumah kita GKB, magetan, kediri</t>
  </si>
  <si>
    <t>mengverifikasi berkas rincian biaya operasional cabang subang, curah, bekasi, trenggalek, pare kediri, bogor, magetan</t>
  </si>
  <si>
    <t>mengverifikasi berkas rincian biaya operasional cabang jombang, ngawi, jakarta timur, tulungagung, ponorogo</t>
  </si>
  <si>
    <t>mengverifikasi berkas rincian biaya operasional cabang bogor, subang, padalarang, tasikmalaya</t>
  </si>
  <si>
    <t>mengverifikasi berkas rincian biaya operasional cabang tabanan, cianjur, jembrana, klungkung</t>
  </si>
  <si>
    <t>mengverifikasi berkas rincian biaya operasional cabang magetan, tanggerang</t>
  </si>
  <si>
    <t>mengverifikasi berkas rincian biaya operasional cabang magetan, purwakarta, nganjuk, bogor, gunung sindur</t>
  </si>
  <si>
    <t>mengverifikasi berkas rincian biaya operasional cabang pare kediri, curah banten</t>
  </si>
  <si>
    <t>mengverifikasi berkas rincian biaya operasional cabang klungkung, cianjur, majalengka, singaraja</t>
  </si>
  <si>
    <t>mengverifikasi berkas rincian biaya operasional cabang bekasi, mengganti problem vocer</t>
  </si>
  <si>
    <t>mengverifikasi berkas rincian biaya operasional cabang bogor, tanggerang</t>
  </si>
  <si>
    <t>mengverifikasi berkas rincian biaya operasional cabang serang, tanggerang, kediri, jakarta timur</t>
  </si>
  <si>
    <t>mengverifikasi berkas rincian biaya operasional cabang bandung, lombok, majalengka</t>
  </si>
  <si>
    <t>mengganti problem vocer, mengverifikasi berkas rincian biaya operasional cabang ponorogo</t>
  </si>
  <si>
    <t>mengverifikasi berkas rincian biaya operasional cabang BM pasuruan, gunung sindur, tabanan, padalarang</t>
  </si>
  <si>
    <t>mengurutkan dokumen sppd</t>
  </si>
  <si>
    <t>rekap korin</t>
  </si>
  <si>
    <t>input nomor faktur pajak</t>
  </si>
  <si>
    <t>melampirkan bupot pada faktur pajak</t>
  </si>
  <si>
    <t>rekap faktur pajak masukan</t>
  </si>
  <si>
    <t>verifikasi NIK pelanggan</t>
  </si>
  <si>
    <t>verifikasi nik pelanggan</t>
  </si>
  <si>
    <t>edit ppt</t>
  </si>
  <si>
    <t>input nO Faktur pajak</t>
  </si>
  <si>
    <t>asistensi pendaftaran coretax</t>
  </si>
  <si>
    <t>rekap skp</t>
  </si>
  <si>
    <t>approve sacs</t>
  </si>
  <si>
    <t>cek fp di sacs</t>
  </si>
  <si>
    <t>rekap pm approve juli</t>
  </si>
  <si>
    <t>aktivasi coretax</t>
  </si>
  <si>
    <t>approve budgeting sacs</t>
  </si>
  <si>
    <t>approve sacs budgeting</t>
  </si>
  <si>
    <t>melampirkan bupot ke fp</t>
  </si>
  <si>
    <t>asistensi pengisian spt</t>
  </si>
  <si>
    <t>verifikasi faktur pajak di sacs</t>
  </si>
  <si>
    <t>menyiapkan excel spt pembetulan</t>
  </si>
  <si>
    <t>melampirkan bupot pada fp</t>
  </si>
  <si>
    <t>uncredit fp masukan</t>
  </si>
  <si>
    <t>input nomor fp</t>
  </si>
  <si>
    <t>input faktur pajak</t>
  </si>
  <si>
    <t>verifikasi fp di cms</t>
  </si>
  <si>
    <t>verifikasi pp sps dan growell</t>
  </si>
  <si>
    <t>verifikasi pp sps</t>
  </si>
  <si>
    <t>rekap tunjangan lembur</t>
  </si>
  <si>
    <t>input fp pada bupot</t>
  </si>
  <si>
    <t>rekap tunjangan lembut</t>
  </si>
  <si>
    <t>verifikasi pp sps &amp; growell</t>
  </si>
  <si>
    <t>input fp roemahkita</t>
  </si>
  <si>
    <t>rekap thl</t>
  </si>
  <si>
    <t>input fp roemah kita</t>
  </si>
  <si>
    <t>reka korin 60</t>
  </si>
  <si>
    <t>kredit faktur pajak masukan</t>
  </si>
  <si>
    <t>Melayani customer di store</t>
  </si>
  <si>
    <t>Mencatat barang untuk kegiatan pameran</t>
  </si>
  <si>
    <t>Melakukan live online</t>
  </si>
  <si>
    <t>Mengupdate price tag keramik</t>
  </si>
  <si>
    <t>List keramik untuk di beri price tag</t>
  </si>
  <si>
    <t>Melakukan stock opname</t>
  </si>
  <si>
    <t>Menempel price tag keramik</t>
  </si>
  <si>
    <t>Melanjutkan stock opname</t>
  </si>
  <si>
    <t>Mendisplay fitting pipa dan membuat po</t>
  </si>
  <si>
    <t>Menerima barang datang glass block</t>
  </si>
  <si>
    <t>Menyiapkan list barang yang akan di bawa di pameran petronas</t>
  </si>
  <si>
    <t>Stock opname di ambeng"</t>
  </si>
  <si>
    <t>Persiapan kegiatan pameran petronite</t>
  </si>
  <si>
    <t>Mempersiapkan barang di stand dalam kegiatan pameran petronite</t>
  </si>
  <si>
    <t>Menyiapkan barang pameran</t>
  </si>
  <si>
    <t>Membuat PO keramik</t>
  </si>
  <si>
    <t>Menjaga stand di pameran petronite</t>
  </si>
  <si>
    <t>Jaga stand di pameran petronite</t>
  </si>
  <si>
    <t>Melakukan PO, display barang dan memasang price tag</t>
  </si>
  <si>
    <t>Data barang di gudang</t>
  </si>
  <si>
    <t>Membuat PO</t>
  </si>
  <si>
    <t>Menyiapkan barang orderan dan display barang</t>
  </si>
  <si>
    <t>Melakukan stock opname di gudang ambeng-ambeng</t>
  </si>
  <si>
    <t>Melakukan live tiktok</t>
  </si>
  <si>
    <t>Membuat PO dan mencari item baru untuk keramik</t>
  </si>
  <si>
    <t>Melanjutkan mencari model keramik baru dan melakukan po</t>
  </si>
  <si>
    <t>Melakukan live online tiktok</t>
  </si>
  <si>
    <t>Mengupdate stok online shop</t>
  </si>
  <si>
    <t>Menata keramik sesuai dengan tipenya</t>
  </si>
  <si>
    <t>Menata display barang</t>
  </si>
  <si>
    <t>Memberi barcode barang datang</t>
  </si>
  <si>
    <t>Membuat dan memasang list price tag</t>
  </si>
  <si>
    <t>Bersih" toko dalam persiapan kedatangan tamu</t>
  </si>
  <si>
    <t>Membuat konten</t>
  </si>
  <si>
    <t>Display barang dan mendata barang keluar masuk</t>
  </si>
  <si>
    <t>Menerima barang datang dan memberi barcode</t>
  </si>
  <si>
    <t>Menerima barang datang dan Memasang price tag</t>
  </si>
  <si>
    <t>Menempel barcode dan display barang</t>
  </si>
  <si>
    <t>List order keramik dan cari keramik baru</t>
  </si>
  <si>
    <t>Lomba 17-an</t>
  </si>
  <si>
    <t>Menerima barang datang, memasang barcode dan price tag, serta mendisplay.</t>
  </si>
  <si>
    <t>Memasang barcode dan price tag serta mendisplaynya</t>
  </si>
  <si>
    <t>Menata dan mendata keramik</t>
  </si>
  <si>
    <t>Menata ulang tatanan keramik dan memasukkan keramik yang baru datang</t>
  </si>
  <si>
    <t>Memasang price tag</t>
  </si>
  <si>
    <t>Stock opname</t>
  </si>
  <si>
    <t>Membuat list untuk price tag</t>
  </si>
  <si>
    <t>Menyambut tamu datang ke store</t>
  </si>
  <si>
    <t>Menata display produk</t>
  </si>
  <si>
    <t>Memasang barcode dan membuat PO</t>
  </si>
  <si>
    <t>Membuat po</t>
  </si>
  <si>
    <t>memperbaiki website kley mortar, maintenance website jual hebel, dan membuat artikel, serta rapat untuk progres pengembangan website di bahan material</t>
  </si>
  <si>
    <t>mmebuat artikel dan membenahi fitur website kley mortar</t>
  </si>
  <si>
    <t>membenahi fitur kley mortar, membuat artikel, standarisasi seo</t>
  </si>
  <si>
    <t>memrbuat artikel pada website kley mortar, memecahkan masalah performa website dan mensunting laman, gambar sesuai prosedur seo</t>
  </si>
  <si>
    <t>membuat artikel pada web kley mortar, memperbaiki fitur web kley mortar, dan memperbaiki seo</t>
  </si>
  <si>
    <t>membuat artikel, membenarkan website kley mortar dan belanja material</t>
  </si>
  <si>
    <t>mmebuat artikel sesuai dengan standart seo</t>
  </si>
  <si>
    <t>MENGEDIT COVER DEPAN ANNUAL REPORT</t>
  </si>
  <si>
    <t>MEMBUAT ARTIKEL SESUAI STANDART SEO</t>
  </si>
  <si>
    <t>membenahi website jual hebel</t>
  </si>
  <si>
    <t>membuat artikel sesuai seo, membantu generate vid sid, mengedit website</t>
  </si>
  <si>
    <t>membuat artikel, memperbaiki seo pada laman website, meeting project</t>
  </si>
  <si>
    <t>membuat artikel pada website kley mortar</t>
  </si>
  <si>
    <t>membuat artikel pada websit ekley mortar sesuai standart seo</t>
  </si>
  <si>
    <t>membuat kategori gruping pada website kley mortar agar terindeks google</t>
  </si>
  <si>
    <t>mengatur slug page website jual hebel agar dapat optimalisasi dalam seo</t>
  </si>
  <si>
    <t>gruping artikel pada semua website yang ada</t>
  </si>
  <si>
    <t>membuat artikel pada web kley mortar sesuai standart seo</t>
  </si>
  <si>
    <t>membuat artikel kley mortar, membuat gruping kategori artikel juall hebel, meet implementasi bm</t>
  </si>
  <si>
    <t>membuat artikel pada web kley mortar</t>
  </si>
  <si>
    <t>mengedit sow implementasi website bahan material</t>
  </si>
  <si>
    <t>meet google meet bersama tim neurosoft untuk membahas impelementasi bm tampilan admin</t>
  </si>
  <si>
    <t>membuat artikel sesuai standart seo pada website kley mortar</t>
  </si>
  <si>
    <t>mengikuti rapat online diskusi project website bahan material</t>
  </si>
  <si>
    <t>gruping kategori artikel website belanja material</t>
  </si>
  <si>
    <t>membuat design ui &amp; ux pada figma untuk implementasi website bahan material</t>
  </si>
  <si>
    <t>membuat artikel berdasarkan standart seo pada kley mortar</t>
  </si>
  <si>
    <t>membuat desain figma implementasi bm pada figma</t>
  </si>
  <si>
    <t>mmebuat artikel berdasarkan standart seo pada web kley mortar</t>
  </si>
  <si>
    <t>membuat artikel pada website kley mortar sesuai standart seo</t>
  </si>
  <si>
    <t>melakukan gruping artikel pada website belanja material sesuai standart seo</t>
  </si>
  <si>
    <t>membuat artikel pada website kley mortar berdasarkan standart seo</t>
  </si>
  <si>
    <t>membuat konten untuk bahan material</t>
  </si>
  <si>
    <t>melakukan gruping artikel pada web kley mortar</t>
  </si>
  <si>
    <t>mmbuat artikel tentang kley mortar</t>
  </si>
  <si>
    <t>maintenance dengan menghapus komentar spam yang ada pada web jual mortar, update all plugin</t>
  </si>
  <si>
    <t>membuat artikel untuk website kley mortar berdasarkan seo</t>
  </si>
  <si>
    <t>mengedit foto untuk foto sampul website kley mortar</t>
  </si>
  <si>
    <t>mmebuat artiel untuk kley mortar sesuai standart seo</t>
  </si>
  <si>
    <t>mengikuti rapat online untuk membahas website bahan material bersama vendor nurosoft</t>
  </si>
  <si>
    <t>membuat artikel untuk website kley mortar sesuai standart seo</t>
  </si>
  <si>
    <t>maintenance  website jual mortar</t>
  </si>
  <si>
    <t>melakukan pembuatan artikel pada website kley mortar</t>
  </si>
  <si>
    <t>mengikuto rapat impelementasi bm Trial &amp; UAT Creat Sale Order SAP lewat Interface</t>
  </si>
  <si>
    <t>mendata gudang cabang seluruh indonesia untuk memperbaiki google my business nya</t>
  </si>
  <si>
    <t>mendata dan analisis gudang cabang terkait dengan googmy my bisnis sesuai prosedur yang ada</t>
  </si>
  <si>
    <t>menganalisis cabang gudang yang tersebar diarea distribusi terkait digitalisasi</t>
  </si>
  <si>
    <t>membuat artikel untuk website kley mortar sesuai dengan prosedur seo</t>
  </si>
  <si>
    <t>membuat artikel pada website kley mortar sesuai dengan kaidah seo</t>
  </si>
  <si>
    <t>mengikuti rapat implemtasi bahan material : 1. Review Master Product Web Admin 2. Review fitur Homepage pada Web Customer</t>
  </si>
  <si>
    <t>membuat artikel kley mortar</t>
  </si>
  <si>
    <t>merrekap performa seluruh website yang ada</t>
  </si>
  <si>
    <t>membuat artikel sesuai standart seo</t>
  </si>
  <si>
    <t>membuat konten</t>
  </si>
  <si>
    <t>update plugin wordpress</t>
  </si>
  <si>
    <t>membuat artikel&amp; gambar untuk kley mortar sesuai dengan standarisasi seo</t>
  </si>
  <si>
    <t>membuat artikel pada web kley mortar berdasarkan standart seo</t>
  </si>
  <si>
    <t>membuat report monthly website performance pada bulan juni 2026</t>
  </si>
  <si>
    <t>membuat artikel pada website kley mortar sesuai dengan standart seo</t>
  </si>
  <si>
    <t>mengikuti rapat bersama vendor bahanmaterial dan tim it bahan material</t>
  </si>
  <si>
    <t>membenarkan website kley mortar terkait dengan user interface nya</t>
  </si>
  <si>
    <t>menjadi notulensi terkait dengan tes website bahan material</t>
  </si>
  <si>
    <t>merapikan pelaporan bug pada saat trial web bahan material kepada tim vendor nurosoft</t>
  </si>
  <si>
    <t>membuat, merapikan dan mengupload notulensi hasil rapat implementasi bm</t>
  </si>
  <si>
    <t>membuat artikel sesuai standar seo</t>
  </si>
  <si>
    <t>mengupdate plugin</t>
  </si>
  <si>
    <t>merevisi, dan melengkapi sesuai dengan pencatatan vendor developer terkait progres implementasi bm</t>
  </si>
  <si>
    <t>update plugin web jual hebel</t>
  </si>
  <si>
    <t>membuat tag untuk artikel yang ada</t>
  </si>
  <si>
    <t>mengikuti dan record notulensi uat bahan material (web admin dan web service)</t>
  </si>
  <si>
    <t>merapikan bug report</t>
  </si>
  <si>
    <t>mengupload artikel terkait agenda midyear pt sid</t>
  </si>
  <si>
    <t>merekap laporan performa seluruh website pada bulan juli</t>
  </si>
  <si>
    <t>membuat ppt laporan performa seluruh web</t>
  </si>
  <si>
    <t>meng upoad &amp;edit artikel untuk website utama sid</t>
  </si>
  <si>
    <t>membuat laporan performance wwebsite</t>
  </si>
  <si>
    <t>membuat website monthly report untuk bulan juli</t>
  </si>
  <si>
    <t>membuat notulensi rapat tgl 31 juli (pagi &amp; sore) implementasi bm</t>
  </si>
  <si>
    <t>membuat artikel sesuai standart seo untuk website jual hebel</t>
  </si>
  <si>
    <t>membenarkan tag pada artikel web dengan tujuan masuk dalam beberapa kategori pencarian</t>
  </si>
  <si>
    <t>membuat artikel sesuai dengan standart seo</t>
  </si>
  <si>
    <t>membuat notulensi terkait dengan rapat implementasi bm tgl 04-08-26</t>
  </si>
  <si>
    <t>mensetting sosmed bahan material</t>
  </si>
  <si>
    <t>membuat artikel sesuai standart seo rankmath</t>
  </si>
  <si>
    <t>update plugin</t>
  </si>
  <si>
    <t>membuat dan merapikan norule rapat implementasi bm</t>
  </si>
  <si>
    <t>menghapus chapta web jual hebel</t>
  </si>
  <si>
    <t>memperbarui plugin</t>
  </si>
  <si>
    <t>membenahi titik koordinat lokasi pada web jual hebel</t>
  </si>
  <si>
    <t>membuat artikel pada website jual hebel sesuai standart seo</t>
  </si>
  <si>
    <t>membuat tag terhadap artikel jual hebel dengan tujuan agar mengikuti keywoard yang sedang dicari</t>
  </si>
  <si>
    <t>menghapus spam komentar  terhadap website jual hebel</t>
  </si>
  <si>
    <t>merapikan website kley mortar dengan memberi spacer jarak</t>
  </si>
  <si>
    <t>mengikuti rapat implementasi bahan material</t>
  </si>
  <si>
    <t>membuat dan mencatat hasil rapat tindak lanjut hasil implementasi bahan material</t>
  </si>
  <si>
    <t>membuat artikel sesuai standart yoast seo pada web jual hebel</t>
  </si>
  <si>
    <t>mengikuti rapat implementasi bm bersama vendor tim nurosoft</t>
  </si>
  <si>
    <t>membuat notulensi ahasil rapat bahan material.com tgl 10 agustus 2026</t>
  </si>
  <si>
    <t>mendata list tindak lanjut sesuai dengan tindak lanjut yang ada di notulen</t>
  </si>
  <si>
    <t>membuat notulen hasil rapat bahan material</t>
  </si>
  <si>
    <t>membuat list tindak lanjut terkait implementasi bahan material</t>
  </si>
  <si>
    <t>maintenance dengan update plugin yang ada</t>
  </si>
  <si>
    <t>MEMBUAT SCRIPT ARTIKEL UNTUK ACARA SOLUSI BANGUN INDONESIA YANG DIHADIRI OLEH SID UNTUK WEB SID</t>
  </si>
  <si>
    <t>MEMBUAT DAN MENCOCOKKAN MOM ANTARA VENDOR NUROSOFT DAN PIHAK PT SEMEN INDONESIA DISTRIBUTOR</t>
  </si>
  <si>
    <t>membuat artikel untuk website jual hebel</t>
  </si>
  <si>
    <t>membuat artikel sesuai standart seo pada website jual hebel dengan tema kemerdekaan</t>
  </si>
  <si>
    <t>membuat planing artikel pengenalan semen kujang pada pt semen indonesia distributor</t>
  </si>
  <si>
    <t>mengedit foto untuk penunjang artikel pengenalan semen kujang pada sidistributor</t>
  </si>
  <si>
    <t>membuat konten ads bahan material</t>
  </si>
  <si>
    <t>mengedit foto untuk foto sampul artikel, foto dalam artikel dan</t>
  </si>
  <si>
    <t>membuat artikel perkenalan semen kujang untuk website pt sid</t>
  </si>
  <si>
    <t>pembuatan artikel seo pada website jual hebel</t>
  </si>
  <si>
    <t>mengikuti rapat weekly report bersama vendor nurosoft bahan material</t>
  </si>
  <si>
    <t>membuat notulensi rapat bahan material</t>
  </si>
  <si>
    <t>membuat artikel sesuai standart seo pada website jual hebel</t>
  </si>
  <si>
    <t>membuat tdl bahanmaterial sesuai dengan mom sid</t>
  </si>
  <si>
    <t>membuat artikel dan membenarkan tag artikel agar masuk kaidah seo</t>
  </si>
  <si>
    <t>melakukan pembuatan konten cpas affiliate</t>
  </si>
  <si>
    <t>mengikuti rapat dan melakukan pencatatan bug report dalam trial eror website bahan material</t>
  </si>
  <si>
    <t>membenarkan bug report untuk pelaporan kepada nurosoft</t>
  </si>
  <si>
    <t>membuat dokumen notulen Trial transaction order bahanmaterial.com</t>
  </si>
  <si>
    <t>membuat rekap analisis adsense</t>
  </si>
  <si>
    <t>membuat report ads</t>
  </si>
  <si>
    <t>merekap trafic ads tiktok</t>
  </si>
  <si>
    <t>membuat notulen pada hasil rapat weekly progres bahanmaterial.com</t>
  </si>
  <si>
    <t>membuat list dln berdasarkan timeline progres bahan material</t>
  </si>
  <si>
    <t>membuat rekap toko online shopee roemah kita</t>
  </si>
  <si>
    <t>memelihara plugin wp dengan melakukan update ke versi terbaru</t>
  </si>
  <si>
    <t>melakukan pembenaran terhadap ui ux sesuai request hasil meet pada figma</t>
  </si>
  <si>
    <t>mengikuti rapat implementasi dan menjadi notulen terial bm bersama vendor nurosoft</t>
  </si>
  <si>
    <t>membuat list tindak lanjut bahanmaterial.com sesuai dengan hasil notulen</t>
  </si>
  <si>
    <t>menyesuaikan realisasi antara tgl mom nurosoft (vendor) dan tgl realisasi tdl sebagai data monitoring</t>
  </si>
  <si>
    <t>mengikuti rapat dan menjadi notulen implementasi BM</t>
  </si>
  <si>
    <t>merekap dan memvisualisasi report performance web montly</t>
  </si>
  <si>
    <t>membuat notulensi pada rapat implementasi tim internal</t>
  </si>
  <si>
    <t>membuat notulen untuk weekly met pada tgl 2 september 2026 bersama tim nurosoft</t>
  </si>
  <si>
    <t>membuat list tdl untuk memonitoring progres implementasi bm</t>
  </si>
  <si>
    <t>membuat artikel sesuai dengan standart seo pada web jual hebel</t>
  </si>
  <si>
    <t>mengikuti rapat dan menjadi notulen internal tim project bahan material dengan tim akuntansi</t>
  </si>
  <si>
    <t>membuat notulen dalam rapat diskusi internal project bm antara tim project, akuntansi, dan ict</t>
  </si>
  <si>
    <t>membuat list tdl sesuai dengan notulensi rapat tim internal (project, akuntansi, ict)</t>
  </si>
  <si>
    <t>update pligin yang ada pada web jualhebel.id</t>
  </si>
  <si>
    <t>membuat sop untuk bahan material meliputi superadmin, admin kanpus, admin dabang, dan customer sesuai dengan wireframe nurosoft</t>
  </si>
  <si>
    <t>membuat artikel berdasarkan standart seo pada jual hebel</t>
  </si>
  <si>
    <t>mengikuti rapat implementasi bahanmaterial.com</t>
  </si>
  <si>
    <t>membuat sop bahanmaterial</t>
  </si>
  <si>
    <t>memperbaiki ui ux figma website bahan material sesuai permintaan saat meet</t>
  </si>
  <si>
    <t>membuat notulensi rapat internal dan weekly report bahan material</t>
  </si>
  <si>
    <t>membuat list tdl berdasarkan notulen dari rapat internal dan weekly report</t>
  </si>
  <si>
    <t>membuat artikel sesuai standart seo pada web jual hebel</t>
  </si>
  <si>
    <t>membuat formatan e-receipt untuk penjualan bahan material</t>
  </si>
  <si>
    <t>melakukan pelaporan buf report</t>
  </si>
  <si>
    <t>membuat template billing pada web bahan material</t>
  </si>
  <si>
    <t>menyusuh brief artikel untuk website sid</t>
  </si>
  <si>
    <t>membuat pencatatan notulen atas hasil rapat dan tdl</t>
  </si>
  <si>
    <t>MEMBUAT ARTIKEL SESUAI DENGAN STANDART SEO PADA WEB JUAL HEBEL</t>
  </si>
  <si>
    <t>mencocokkan antara hasl notulen vendor dan list tdl</t>
  </si>
  <si>
    <t>membenahi website kley mortar</t>
  </si>
  <si>
    <t>membuat artikel untuk website jual hebel sesuai standart seo</t>
  </si>
  <si>
    <t>mengedit tampilanv web kley mortar</t>
  </si>
  <si>
    <t>membuat artikel edukasi pada website pt semen indonesia distributor</t>
  </si>
  <si>
    <t>mengedit figma sesuai dengan permintaan saat rapat weekly progres</t>
  </si>
  <si>
    <t>membuat notulen weekly meet pada tanggal 16/09/2026</t>
  </si>
  <si>
    <t>membuat artikel untuk website jualhebel sesuai dengan standart seo</t>
  </si>
  <si>
    <t>pembuatan bug report sebagai pelaporan kepada vendor nurosoft</t>
  </si>
  <si>
    <t>membuat pendataan trial transaction pada web bahanmaterial sesuai dengan trial rapat</t>
  </si>
  <si>
    <t>membuat sop bahan material untuk admin pusat, admin cabang dan customer</t>
  </si>
  <si>
    <t>membuat artikel sesuai standar seo pada web jualhebel.id</t>
  </si>
  <si>
    <t>menjadi notulen saat rapat trial implementasi</t>
  </si>
  <si>
    <t>membuat desain ui ux figma bahanmaterial</t>
  </si>
  <si>
    <t>memperbaiki ui ux pada figma bahanmaterial sesuai dengan hasil request tim akuntan</t>
  </si>
  <si>
    <t>membuat notulen untuk laporan weekly dan trial bahan material</t>
  </si>
  <si>
    <t>mengikuti meet trial progres bahan material</t>
  </si>
  <si>
    <t>membuat notulen rapat internal tgl 210926 bersama tim internal</t>
  </si>
  <si>
    <t>membuat rekapan affiliate all platfom</t>
  </si>
  <si>
    <t>membuat rekap all platform ads</t>
  </si>
  <si>
    <t>membantu merekap all ads manager</t>
  </si>
  <si>
    <t>membuat artikel sesuai standart seo di web jual mortar</t>
  </si>
  <si>
    <t>MELAKUKAN REVISI TAMPILAN WEB KLEY MORTAR</t>
  </si>
  <si>
    <t>MELAKUKAN PEMELIHARAAN WES DENGAN MENGHAPUS SPAM KOMENTAR PADA WEB</t>
  </si>
  <si>
    <t>membenahi tampilan website kley mortar</t>
  </si>
  <si>
    <t>membuat artikel sesuai standart seo pada web jua hebel</t>
  </si>
  <si>
    <t>rekapitulasi pemberian rating pelanggan baru oleh bm</t>
  </si>
  <si>
    <t>verifikasi app pengajuan pelanggan baru</t>
  </si>
  <si>
    <t>desk collection</t>
  </si>
  <si>
    <t>verifikasi pengajuan app baru</t>
  </si>
  <si>
    <t>share jarkoman pemberian rating pengajuan pelanggan baru kepada bm sesuai cabang</t>
  </si>
  <si>
    <t>rekapitulasi peratingan pengajuan pelanggan baru</t>
  </si>
  <si>
    <t>verifikasi pengajuan app pelanggan baru</t>
  </si>
  <si>
    <t>pengisian form rating pelanggan baru berdasarkan data dari bm</t>
  </si>
  <si>
    <t>desk collection cabang purwakarta, sayung, dan pasuruan</t>
  </si>
  <si>
    <t>rekapitulasi pemberian rating pengajuan bulan mei oleh bm sesuai cabang pengajuan</t>
  </si>
  <si>
    <t>verifikasi 14 app pengajuan pelanggan baru per 8/6/2026</t>
  </si>
  <si>
    <t>desk collection cabang tasikmalaya, kulonprogo, sampang, danjember</t>
  </si>
  <si>
    <t>share jarkoman dan rekapitulasi peratingan pengajuan pelanggan baru tanggal 8 dan 9 juni 2026</t>
  </si>
  <si>
    <t>verifikasi 7 pengajuan app baru dan follow up pelanggan pengajuan tanggal 8 juni 2026 yang belum ter verifikasi</t>
  </si>
  <si>
    <t>desk collection untuk cabang jakarta timur, sidayu, dan lumajang</t>
  </si>
  <si>
    <t>verifikasi 9 pengajuan app pelanggan baru cabang probolinggo, malang, samarinda, kediri, sayung</t>
  </si>
  <si>
    <t>desk collection 6 cabang, yaitu serang, sidoarjo, pati, sleman, malang, dan palur</t>
  </si>
  <si>
    <t>melakukan pengecekan, pemberian stampel, dan scan 11 dokumen tagihan</t>
  </si>
  <si>
    <t>desk collection cabang tangerang, sumenep, probolinggo, purwodadi</t>
  </si>
  <si>
    <t>verifikasi pengajuan app baru dan share link rating pelanggan baru kepada bm</t>
  </si>
  <si>
    <t>rekapitulasi rating pengajuan pelanggan baru yang diberikan oleh masing-masing bm</t>
  </si>
  <si>
    <t>verifikasi 7 pengajuan app pelanggan baru dan follow up verifikasi app sebelumnya</t>
  </si>
  <si>
    <t>desk collection cabang bojonegoro, ungaran, dan sukabumi 2</t>
  </si>
  <si>
    <t>verifikasi pengajuan 9 app pelanggan baru</t>
  </si>
  <si>
    <t>desk collection cabang karawang, rembang, dan malang ii</t>
  </si>
  <si>
    <t>desk collection cabang subang, salatiga, sukoharjo, surabaya, dan situbondo</t>
  </si>
  <si>
    <t>verifikasi 15 app pengajuan pelanggan baru</t>
  </si>
  <si>
    <t>pengiriman jarkoman pemberian rating pelanggan baru kepada masing-masing bm</t>
  </si>
  <si>
    <t>verifikasi pengajuan app 10 pelanggan baru</t>
  </si>
  <si>
    <t>share link peratingan pengajuan pelanggan baru ke masing-masing bm</t>
  </si>
  <si>
    <t>rekapitulasi pemberian rating pengajuan pelanggan baru</t>
  </si>
  <si>
    <t>desk collection cabang pangandaran, lamongan, lombok, dan pekalongan</t>
  </si>
  <si>
    <t>pembenahan power point rakor piutang pelanggan dan progress npl cabang</t>
  </si>
  <si>
    <t>desk collection cabang kediri, tegal, tuban, bandung, samarinda</t>
  </si>
  <si>
    <t>verifikasi 10 app toko pengajuan baru yang diajukan oleh cabang</t>
  </si>
  <si>
    <t>desk collection cabang banjar, banjarnegara, pare kediri, dan lombok serta melakukan pendataan janji bayar toko</t>
  </si>
  <si>
    <t>desk collection cabang cianjur, jombang, samarinda, dan cilacap</t>
  </si>
  <si>
    <t>verifikasi pengajuan 9 app toko pengajuan baru</t>
  </si>
  <si>
    <t>desk collection untuk cabang kebumen, singaraja, cirebon, dan madiun</t>
  </si>
  <si>
    <t>rekapitulasi dan share link rating pengajuan pelanggan baru</t>
  </si>
  <si>
    <t>desk collection untuk cabang indramayu, magetan, tabanan, dan trenggalek</t>
  </si>
  <si>
    <t>desk collection cabang majalengka dan jembrana</t>
  </si>
  <si>
    <t>share jarkoman dan rekapitulasi pemberian rating pengajuan pelanggan baru oleh bm</t>
  </si>
  <si>
    <t>verifikasi pengajuan 10 app toko pengajuan baru</t>
  </si>
  <si>
    <t>desk collection cabang klungkung, padalarang, ngawi, nganjuk, purworejo, dan purwokerto</t>
  </si>
  <si>
    <t>desk collection cabang bekasi, blora, dan rogojampi banyuwangi</t>
  </si>
  <si>
    <t>verifikasi pengajuan app pelanggan baru dari cabang indramayu, probolinggo, dan purwakarta</t>
  </si>
  <si>
    <t>share jarkoman kuisioner ke bm masing-masing pengajuan pelanggan baru</t>
  </si>
  <si>
    <t>rekapitulasi pengisian form rating pelanggan oleh bm</t>
  </si>
  <si>
    <t>rekapitulasi hasil pengisian form rating pelanggan oleh bm</t>
  </si>
  <si>
    <t>pembuatan content plan infografis dalam scope aro</t>
  </si>
  <si>
    <t>desk collection cabang mojokerto, bogor, blitar, dan cepu</t>
  </si>
  <si>
    <t>revisi dan diskusi dengan sm aro terkait infografis topik "pengajuan pelanggan baru"</t>
  </si>
  <si>
    <t>desk collection cabang gunung sindur, pamekasan, bondowoso, dan sleman</t>
  </si>
  <si>
    <t>revisi infografis dan detail content pengajuan pelanggan baru</t>
  </si>
  <si>
    <t>verifikasi pengajuan app pelangga baru dan juga rekapitulasi pemberian rating pengajuan pelanggan baru</t>
  </si>
  <si>
    <t>desk collection cabang tasikmalaya, sampang, jember, dan jepara</t>
  </si>
  <si>
    <t>rekapitulasi pengisian rating pengajuan pelanggan baru oleh bm cabang masing-masing pengajuan</t>
  </si>
  <si>
    <t>verifikasi pengajuan pelanggan baru sejumlah 10 toko</t>
  </si>
  <si>
    <t>rekapitulasi pemberian rating pengajuan pelanggan baru oleh masing-masing bm cabang pengajuan</t>
  </si>
  <si>
    <t>finalisasi dan pembuatan sop pengajuan pelanggan baru</t>
  </si>
  <si>
    <t>desk collection cabang tangerang dan purwodadi</t>
  </si>
  <si>
    <t>revisi infografis alur pengajuan pelanggan baru beserta pencantuman sop yang sudah ada</t>
  </si>
  <si>
    <t>desk collection cabang malang</t>
  </si>
  <si>
    <t>verifikasi 24 pengajuan toko baru dari masing-masing cabang sid</t>
  </si>
  <si>
    <t>desk collection cabang sukabumi 2, bondowoso, balikpapan, dan legundi</t>
  </si>
  <si>
    <t>verifikasi 15 pengajuan pelanggan baru dari cabang sid</t>
  </si>
  <si>
    <t>desk collection cabang pangandaran dan denpasar</t>
  </si>
  <si>
    <t>rekapitulasi pengisian rating pengajuan pelanggan baru oleh masing-masing bm</t>
  </si>
  <si>
    <t>pengisian sheets rating pelanggan berdasarkan isian gform bm masing-masing cabang pengajuan</t>
  </si>
  <si>
    <t>verifikasi 6 pengajuan app pelanggan baru dari cabang idramayu, pangandaran,bantul, klaten, dan karawang</t>
  </si>
  <si>
    <t>desk collection cabang klungkung dan bandung</t>
  </si>
  <si>
    <t>verifikasi 7 pengajuan pelanggan baru</t>
  </si>
  <si>
    <t>membuat label pengiriman sampling audit kepada toko yang terpilih</t>
  </si>
  <si>
    <t>menyiapkan 25 berkas untuk sampling auditor</t>
  </si>
  <si>
    <t>desk collection untuk cabang banjar, banjarnegara, lombok, dan pare kediri</t>
  </si>
  <si>
    <t>rekapitulasi hasil pengisian rating pelanggan baru oleh masing-masing bm cabang yang mengajukan</t>
  </si>
  <si>
    <t>verifikasi pengajuan 7 app pengajuan pelanggan baru</t>
  </si>
  <si>
    <t>desk collection cabang cianjur dan jembrana</t>
  </si>
  <si>
    <t>verifikasi pengajuan 10 app pelanggan baru</t>
  </si>
  <si>
    <t>desk collection cabang cirebon, kebumen, dan cilacap</t>
  </si>
  <si>
    <t>rekapitulasi pengisian form rating pengajuan pelanggan baru oleh bm masing-masing cabang pengajuan</t>
  </si>
  <si>
    <t>PEMINDAHAN HASIL PENGISIAN RATING PELANGGAN BARU OLEH BM KE DALAM FORMAT EXCEL YANG TELAH DITENTUKAN</t>
  </si>
  <si>
    <t>VERIFIKASI PENGAJUAN 7 PENGAJUAN PELANGGAN BARU DARI CABANG JEMBER, MALANG, BANYUWANGI, SIDOARJO, BOJONEGORO, TRENGGALEK</t>
  </si>
  <si>
    <t>desk collection untuk cabang indramayu, magetan, dan tabanan</t>
  </si>
  <si>
    <t>rekapitulasi pengisian rating pelanggan baru yang diajukan sales cabang oleh bm</t>
  </si>
  <si>
    <t>desk collection cabang</t>
  </si>
  <si>
    <t>mempelajari sop pengajuan pelanggan baru</t>
  </si>
  <si>
    <t>pengajuan 4 pengajuan app baru dan juga menyampaikan ke bm terkait form rating pengajuan pelanggan baru</t>
  </si>
  <si>
    <t>desk collection 25 toko dari cabang padalarang, ngawi, samarinda, dan pati</t>
  </si>
  <si>
    <t>mempelajari laporan bulanan ar untuk all cabang</t>
  </si>
  <si>
    <t>share form rating pelanggan dan juga rekap hasil pengisian bm</t>
  </si>
  <si>
    <t>verifikasi pengajuan 9 app pengajuan pelanggan baru</t>
  </si>
  <si>
    <t>desk collection cabang sukabumi, ponorogo, tulungagung, dan demak</t>
  </si>
  <si>
    <t>desk collection cabang kediri, trenggalek, demak, dan sukoharjo</t>
  </si>
  <si>
    <t>verifikasi 7 app pengajuan pelanggan baru</t>
  </si>
  <si>
    <t>rekapitulasi hasil pengecekan coretax oleh tim pajak untuk pengajuan pelanggan baru</t>
  </si>
  <si>
    <t>scan dokumen tagihan ongkos angkut mei-juni 2026</t>
  </si>
  <si>
    <t>desk collection cabang lumajang, kendal, dan klaten</t>
  </si>
  <si>
    <t>desk collection cabang jakarta timur, salatiga, singaraja, dan sidayu</t>
  </si>
  <si>
    <t>rekapitulasi pemberian rating pengajuan pelanggan baru oleh bm cabang per tanggal 30-31 juli 2026</t>
  </si>
  <si>
    <t>verifikasi 16 pengajuan app pengajuan pelanggan baru</t>
  </si>
  <si>
    <t>desk collection cabang bekasi,  rogojampi banyuwangi, blora, dan kulonprogo</t>
  </si>
  <si>
    <t>rekapitulasi pemberian rating pengajuan pelanggan baru oleh bm cabang pengajuan masing-masing</t>
  </si>
  <si>
    <t>upskilling formula excel</t>
  </si>
  <si>
    <t>desk collection cabang bogor, golomantung, boyolali, dan blitar</t>
  </si>
  <si>
    <t>verifikasi pengajuan 9 app pengajuan pelanggan baru yang diajukan oleh cabang magetan, serang, jombang, probolinggo, boyolali, tuban, dan curah jabar</t>
  </si>
  <si>
    <t>upskilling excel untuk melihat trend aging piutang</t>
  </si>
  <si>
    <t>rekapitulasi pengisian rating pengajuan pelanggan baru yang diisi oleh bm masing-masing cabang pengajuan</t>
  </si>
  <si>
    <t>rekapitulasi rating pengajuan pelanggan baru yang diisikan oleh bm masing-masing cabang pengajuan</t>
  </si>
  <si>
    <t>verifikasi 7 app pengajuan pelanggan baru yang diajukan oleh sales cabang terkait</t>
  </si>
  <si>
    <t>upskilling excel (baca laporan bulanan ar)</t>
  </si>
  <si>
    <t>rekapitulasi pemberian rating oleh bm berdasarkan pengajuan toko baru</t>
  </si>
  <si>
    <t>verifikasi 6 app pengajuan pelanggan baru</t>
  </si>
  <si>
    <t>desk collection cabang sampang, sidoarjo, jepara, sleman, dan blitar</t>
  </si>
  <si>
    <t>verifikasi pengajuan 8 app pengajuan baru</t>
  </si>
  <si>
    <t>rekapitulasi hasil pengiriman gform peratingan pelanggan baru yang diajukan untuk dasar pedoman customer risk</t>
  </si>
  <si>
    <t>desk collection cabang tangerang, probolinggo, purwodadi</t>
  </si>
  <si>
    <t>pengisian hasil rekapitulasi peratingan pelanggan baru oleh bm di sheets yang telah ditentukan</t>
  </si>
  <si>
    <t>verifikasi pengajuan 5 app pelanggan baru dari cabang madiun, sukoharjo, dan curah banten</t>
  </si>
  <si>
    <t>desk collection cabang karawang, jakarta timur, dan malang 2</t>
  </si>
  <si>
    <t>rekapitulasi hasil pengisian form rating pengajuan pelanggan baru yang diisikan oleh bm berdasarkan tanggal pengajuan yang diterima</t>
  </si>
  <si>
    <t>pembuatan gform peratingan pengajuan pelanggan baru yang diisikan oleh masing-masing bm cabang pengajuan</t>
  </si>
  <si>
    <t>upskilling pemahaman materi mengenai prosedur penagihan dan pembayaran piutang pelanggan, serta prosedur konfirmasi dan rekonsiliasi piutang pelanggan</t>
  </si>
  <si>
    <t>desk collection cabang subang, bondowoso, kendal, wonogiri</t>
  </si>
  <si>
    <t>rekapitulasi pemberian rating pelanggan baru yang diisikan oleh bm</t>
  </si>
  <si>
    <t>verifikasi 6 app pengajuan toko baru</t>
  </si>
  <si>
    <t>desk collection cabang purwakarta, bangkalan, pasuruan, sayung dan salatiga</t>
  </si>
  <si>
    <t>rekapitulasi pengisian rating pengajuan pelanggan baru yang diisikan oleh masing-masing bm cabang pengajuan</t>
  </si>
  <si>
    <t>verifikasi 14 app pengajuan pelanggan baru</t>
  </si>
  <si>
    <t>penyusunan jadwal coaching all tim ar oleh sm ar</t>
  </si>
  <si>
    <t>rekapitulasi hasil pengisian form rating pelanggan baru yang diisikan oleh masing-masing bm cabang pengajuan</t>
  </si>
  <si>
    <t>verifikasi pengajuan app baru 8 pelanggan</t>
  </si>
  <si>
    <t>desk collection untuk cabang pangandaran dan denpasar</t>
  </si>
  <si>
    <t>menyusun kembali jadwal dan topik coaching tim ar oleh sm ar</t>
  </si>
  <si>
    <t>rekapitulasi hasil pengisian form rating pengajuan pelanggan baru yang diisikan oleh masing-masing bm cabang pengajuan</t>
  </si>
  <si>
    <t>verifikasi 5 app pengajuan pelanggan baru cabang padalarang, blitar, klungkung, dan gunung sindur</t>
  </si>
  <si>
    <t>desk collection klungkung, tegal, dan bandung</t>
  </si>
  <si>
    <t>penyusunan sop perhitungan penurunan nilai aset keuangan</t>
  </si>
  <si>
    <t>verifikasi 5 app pengajuan pelanggan baru</t>
  </si>
  <si>
    <t>desk collection 35 pelanggan dari cabang banjar, banjarnegara, pare kediri, kediri, dan lombok</t>
  </si>
  <si>
    <t>rekapitulasi peratingan pengajuan app pelanggan baru yang diisikan oleh masing-masing bm cabang pengajuan</t>
  </si>
  <si>
    <t>melanjutkan penyusunan sop perhitungan penurunan nilai aset keuangan untuk sid</t>
  </si>
  <si>
    <t>verifikasi pengajuan 4 app pengajuan pelanggan baru</t>
  </si>
  <si>
    <t>desk collection 23 toko cabang cianjur, jombang, jembrana, dan cilacap</t>
  </si>
  <si>
    <t>melanjutkan penyusunan sop perhitungan penurunan nilai aset keuangan</t>
  </si>
  <si>
    <t>verifikasi 12 app pengajuan pelanggan baru</t>
  </si>
  <si>
    <t>rekapitulasi asuransi toko</t>
  </si>
  <si>
    <t>desk collection cabang madiun, cirebon, singaraja, dan kebumen</t>
  </si>
  <si>
    <t>desk collection cabang tabanan, indramayu, dan magetan</t>
  </si>
  <si>
    <t>membuat jadwal desk collection bulan september</t>
  </si>
  <si>
    <t>menyusun flowchart sop perhitungan penurunan nilai aset keuangan</t>
  </si>
  <si>
    <t>desk collection cabang majalengka, nganjuk, banjarmasin, dan magelang</t>
  </si>
  <si>
    <t>rekapitulasi hasil peratingan bm untuk pengajuan toko baru berdasarkan wilayah masing-masing</t>
  </si>
  <si>
    <t>verifikasi 4 app pengajuan baru</t>
  </si>
  <si>
    <t>desk collection cabang padalarang, ngawi, samarinda, dan purworejo</t>
  </si>
  <si>
    <t>finalisasi draft sop perhitungan penurunan nilai aset keuangan</t>
  </si>
  <si>
    <t>rekapitulasi pemberian rating pengajuan pelanggan baru oleh masing-masing bm yang mengajukan</t>
  </si>
  <si>
    <t>verifikasi 7 pengajuan pelanggan baru dan juga share form rating kepada masing-masing bm</t>
  </si>
  <si>
    <t>desk collection cabang sukabumi, purworejo, ponorogo, dan tulungagung</t>
  </si>
  <si>
    <t>rekapitulasi pemberian rating pelanggan baru pengajuan bulan juli 2026 oleh bm masing-masing pengajuan</t>
  </si>
  <si>
    <t>verifikasi 11 pengajuan app pelanggan baru</t>
  </si>
  <si>
    <t>desk collection cabang ponorogo, tulungagung, trenggalek, dan bekasi</t>
  </si>
  <si>
    <t>desk collection cabang jaktim, kediri, lumajang</t>
  </si>
  <si>
    <t>rekapitulasi pemberian rating pengajuan pelanggan baru oleh bm pengajuan bulan juli, agustus, dan awal september</t>
  </si>
  <si>
    <t>rekapitulasi data pemberian rating pelanggan baru</t>
  </si>
  <si>
    <t>desk collection cabang mojokerto, blitar, dan bogor</t>
  </si>
  <si>
    <t>desk collection cabang gunung sindur, bondowoso, dan pamekasan</t>
  </si>
  <si>
    <t>rekapitulasi pemberian rating pengajuan app pelanggan baru oleh masing-masing bm cabang pengajuan</t>
  </si>
  <si>
    <t>desk collection cabang jember, jepara, dan boyolali</t>
  </si>
  <si>
    <t>verifikasi pengajuan app pengajuan pelanggan baru</t>
  </si>
  <si>
    <t>desk collection cabang tasikmalaya, pati, dan malang 1</t>
  </si>
  <si>
    <t>rekapitulasi pengisian form rating pelanggan baru yang diajukan oleh masing-masing bm cabang pengajuan</t>
  </si>
  <si>
    <t>verifikasi pengajuan app pelanggan baru dari curah jabar, jumbo bag, cabang tegal, serang, probolinggo, dan banjar</t>
  </si>
  <si>
    <t>desk collection cabang indramayu, banjarmasin, kebumen</t>
  </si>
  <si>
    <t>rekapitulasi dan pengiriman link google form rating pelanggan baru</t>
  </si>
  <si>
    <t>rekap hasil pengisian rating pengajuan pelanggan baru oleh masing-masing bm pengajuan</t>
  </si>
  <si>
    <t>desk collection cabang purwodadi dan probolinggo</t>
  </si>
  <si>
    <t>desk collection cabang kendal dan klaten</t>
  </si>
  <si>
    <t>rekapitulasi pemberian rating pengajuan pelanggan baru oleh masing-masing bm pengajuan</t>
  </si>
  <si>
    <t>desk collection cabang karawang, surabaya, malang ii, dan salatiga</t>
  </si>
  <si>
    <t>rekapitulasi dan pengiriman link gform rating pelanggan baru kepada masing-masing bm yang mengajukan pelanggan baru</t>
  </si>
  <si>
    <t>desk collection 30 toko dari cabang subang, bantul, situbondo, dan bangkalan</t>
  </si>
  <si>
    <t>verifikasi pengajuan app pelanggan baru cabang balikpapan, denpasar, klungkung, tuban, tangerang, dan probolinggo</t>
  </si>
  <si>
    <t>desk collection cabang purwakarta, sayung, bojonegoro, dan pasuruan</t>
  </si>
  <si>
    <t>rekapitulasi pengisian dan pemberian rating pelanggan baru oleh masing-masing bm pengajuan</t>
  </si>
  <si>
    <t>verifikasi pengajuan form app pelanggan baru yang diajukan oleh cabang</t>
  </si>
  <si>
    <t>rekapitulasi pemberian rating pelanggan baru oleh masing-masing bm cabang pengajuan</t>
  </si>
  <si>
    <t>rekapitulasi dan scan dokumen tagihan ongkos angkut, gaji, dan pemberian reward event</t>
  </si>
  <si>
    <t>MENYUSUN DAN RESHUFFLE JADWAL DESK COLLECTION CABANG BULAN OKTOBER 2026</t>
  </si>
  <si>
    <t>desk collection cabang sukabumi 2, balikpapan, ungaran, dan lamongan</t>
  </si>
  <si>
    <t>desk collection cabang padalarang, sidayu, purwokerto, dan curah jatim</t>
  </si>
  <si>
    <t>rekapitulasi hasil pengisian rating pengajuan pelanggan baru</t>
  </si>
  <si>
    <t>desk collection cabang pangandaran, banjar, denpasar, cilacap, tambang, dan curah jatim</t>
  </si>
  <si>
    <t>verifikasi pengajuan 13 app pelanggan baru oleh masing-masing bm</t>
  </si>
  <si>
    <t>rekapitulasi pengisian rating pelanggan baru yang diajukan oleh bm masing-masing cabang</t>
  </si>
  <si>
    <t>rekapitulasi pemberian rating pelanggan baru yang diisikan oleh masing-masing bm yang mengajukan</t>
  </si>
  <si>
    <t>desk collection cabang bandung dan wonogiri</t>
  </si>
  <si>
    <t>desk collection cabang jember, jepara, boyolali</t>
  </si>
  <si>
    <t>share dan rekapitulasi pengisian form rating pelanggan baru kepada bm</t>
  </si>
  <si>
    <t>rekapitulasi hasil share link form pemberian rating pelanggan baru kepada masing-masing bm pengajuan</t>
  </si>
  <si>
    <t>desk collection dan follow up janji bayar untuk cabang sragen dan curah jatim</t>
  </si>
  <si>
    <t>hasil rekap pengisian rating pelanggan baru oleh bm ke template customer risk rating</t>
  </si>
  <si>
    <t>desk collection cabang cianjur</t>
  </si>
  <si>
    <t>rekapitulasi hasil pemberian rating pelanggan baru oleh masing-masing bm</t>
  </si>
  <si>
    <t>rekapitulasi pemberian rating pelanggan baru pada form yang ada oleh masing-masing bm yang mengajukan</t>
  </si>
  <si>
    <t>desk collection cabang majalengka, ponorogo, dan magelang</t>
  </si>
  <si>
    <t>desk collection cabang tulungagung, lombok, dan sukabumi</t>
  </si>
  <si>
    <t>rekapitulasi pengisian formulir pemberian rating pelanggan baru yang diisikan oleh masing-masing bm pengajuan</t>
  </si>
  <si>
    <t>desk collection cabang cirebon dan pekalongan</t>
  </si>
  <si>
    <t>rekapitulasi pemberian rating pengajuan pelanggan baru untuk periode juli dan september 2026</t>
  </si>
  <si>
    <t>rekapitulasi hasil pengisian link form rating pelanggan baru oleh masing-masing bm pengajuan</t>
  </si>
  <si>
    <t>Rekap perbaikan kendaraan bulan juni 2026</t>
  </si>
  <si>
    <t>rekap perbaikan kendaraan januari 2026</t>
  </si>
  <si>
    <t>rekap data kendaraan</t>
  </si>
  <si>
    <t>rekap perbaikan kendaraan maret 2026</t>
  </si>
  <si>
    <t>rekap perbaikan kendaraan april 2026</t>
  </si>
  <si>
    <t>rekap perbaikan kendaraan mei 2026</t>
  </si>
  <si>
    <t>rekap pp kendaraan 2026</t>
  </si>
  <si>
    <t>rekap perbaikan kendaraan bulan juli 2026</t>
  </si>
  <si>
    <t>melanjutkan rekap perbaikan kendaraan juli 2025</t>
  </si>
  <si>
    <t>rekap perbaikan kendaraan juli 2026</t>
  </si>
  <si>
    <t>kroscek spj</t>
  </si>
  <si>
    <t>rekap rental forklift</t>
  </si>
  <si>
    <t>rekap perbaikan kendaraan juni 26</t>
  </si>
  <si>
    <t>rekap kkb truk januari-maret 2026</t>
  </si>
  <si>
    <t>rekap kkb truk april-juli 2026</t>
  </si>
  <si>
    <t>rekap spj angkutan jumbo bag</t>
  </si>
  <si>
    <t>kroscheck spj</t>
  </si>
  <si>
    <t>rekap kkb truk jan-juli 2026</t>
  </si>
  <si>
    <t>rekap spj</t>
  </si>
  <si>
    <t>rekap perbaikan kendaraan</t>
  </si>
  <si>
    <t>rekap spj angkutan semen curah</t>
  </si>
  <si>
    <t>rekap biaya sewa forklift</t>
  </si>
  <si>
    <t>Membuat draft laporan kerja praktek</t>
  </si>
  <si>
    <t>menyusun draft laporan kp/magang</t>
  </si>
  <si>
    <t>cek kwitansi pembelian ban</t>
  </si>
  <si>
    <t>rekap perbaikan kendaraan agustus 2026</t>
  </si>
  <si>
    <t>Mencari dan mengumpulkan referensi untuk bahan penyusunan laporan magang</t>
  </si>
  <si>
    <t>rekap perbaikan kendaraan agustus</t>
  </si>
  <si>
    <t>menyusun draft laporan kp</t>
  </si>
  <si>
    <t>cek spj angkuatan semen curah &amp; jumbo bag</t>
  </si>
  <si>
    <t>bantu rekap rental forklift</t>
  </si>
  <si>
    <t>rekap kwitansi pembelian ban</t>
  </si>
  <si>
    <t>bantu rekap angkutan semen curah</t>
  </si>
  <si>
    <t>bantu rekap kwitansi PP ban truk</t>
  </si>
  <si>
    <t>menyusun draft laporan Kp</t>
  </si>
  <si>
    <t>rekap sewa forklift</t>
  </si>
  <si>
    <t>rekap angkutan semen curah</t>
  </si>
  <si>
    <t>rekap angkutan semen jumbo bag</t>
  </si>
  <si>
    <t>rekap pembelian ban truk</t>
  </si>
  <si>
    <t>rekap angkut semen gresik 40kg dan semen dynamix 40kg</t>
  </si>
  <si>
    <t>rekap tagihan ongkos angkut Semen</t>
  </si>
  <si>
    <t>bantu buat ppt deadstock agustus</t>
  </si>
  <si>
    <t>bantu buat ppt tren damage agustus</t>
  </si>
  <si>
    <t>bantu cek rekapan sewa gps truk</t>
  </si>
  <si>
    <t>rrkap angkutan semen curah</t>
  </si>
  <si>
    <t>rekap tagihan pembayaran Ban truk</t>
  </si>
  <si>
    <t>cek spj angkutan semen curah</t>
  </si>
  <si>
    <t>rrkap sewa forklift</t>
  </si>
  <si>
    <t>Rekap spj angkutan semen curah</t>
  </si>
  <si>
    <t>rekap spj angkutan semen zak</t>
  </si>
  <si>
    <t>rekap pembelian ban truk untuk cabang</t>
  </si>
  <si>
    <t>rekap sewa forklift cabang madiun dan ngawi</t>
  </si>
  <si>
    <t>membantu cek qty pada kwitansi tagihan ongkos angkut semen</t>
  </si>
  <si>
    <t>cek nota kwitansi pembelian ban untuk truk cabang</t>
  </si>
  <si>
    <t>crosChek qty ton semen curah</t>
  </si>
  <si>
    <t>Mencocokkan transaksi, po, surat jalan, dan faktur penjualan</t>
  </si>
  <si>
    <t>Melakukan rekap pada pengajuan dan realisasi di excel untuk memudahkan dalam pencarian data</t>
  </si>
  <si>
    <t>mencocokkan bank giro jatim dan mutasi rekening per cabang</t>
  </si>
  <si>
    <t>melakukan pencocokkan po dan faktur pajak persiapan terkait audit q2</t>
  </si>
  <si>
    <t>finalisasi rekonsiliasi transaksi per bank, per cabang</t>
  </si>
  <si>
    <t>penambahan tiga data cabang untuk direkonsiliasi, serta memindahkan data yang sebelumnya excel ke spreadsheets</t>
  </si>
  <si>
    <t>memindahkan chart of account dari seluruh akun, kemudian dipindahkan ke spreadsheets khusus coa sid</t>
  </si>
  <si>
    <t>pengecekan dan pemindahan coa ke dalam spreadsheets sebanyak 500+</t>
  </si>
  <si>
    <t>Melanjutkan penginputan COA transaksi SAP dan menambahkan Cost/Profit Center ke dalam spreadsheets</t>
  </si>
  <si>
    <t>menginput nature transaksi, menentukan cost element dari data master perusahaan</t>
  </si>
  <si>
    <t>Konsultasi terkait akun akun transaksi dan finalisasi mapping COA dari Bu Jeki</t>
  </si>
  <si>
    <t>Melakukan penambahan bukti dari SAP terkait Jurnal Koreksi Penjualan yang berada di PDF</t>
  </si>
  <si>
    <t>Melakukan rekonsiliasi dari awal untuk tugas pak risky, supaya memudahkan dalam melakukan presentasi data-data transaksi untuk masing-masing cabang</t>
  </si>
  <si>
    <t>Melanjutkan rekonsiliasi dari awal dari tugas Pak Risky, dan menunggu arahan berikutnya apakah langsung di acc atau menunggu revisi lagi</t>
  </si>
  <si>
    <t>Melakukan Rekonsiliasi Permintaan dan Realisasi sebanyak 17.000+ data agar durasi tiap pengajuan diketahui</t>
  </si>
  <si>
    <t>Melakukan rekapan terkait SPJ dan Goods Receipt Slip ke dalam Excel untuk kebutuhan audit</t>
  </si>
  <si>
    <t>Melakukan revisi terkait penugasan sebleumnya serta membuat tampilan dashboard menarik di excel berdasarkan tugas dari Pak Hadafi</t>
  </si>
  <si>
    <t>Melakukan konsultasi terkait rekonsiliasi CSM dan SAP terkait penambahan baris keterangan masing-masing akun</t>
  </si>
  <si>
    <t>Melakukan Rekonsiliasi Uang Muka sementara masing-masing cabang untuk direkap dan ditampilkan ke dalam pivot tabel</t>
  </si>
  <si>
    <t>Melakukan revisi terkait hasil yang ditampilkan pivot table. Menampilkan transaksi mana saja yang tidak memiliki lawan akun di excel</t>
  </si>
  <si>
    <t>Melakukan rekap FOT curah dari transaksi di SAP ke dalam Excel untuk melacak SPJ, tanggal transaksi, dan nilai OA dalam satu excel yang sederhana</t>
  </si>
  <si>
    <t>Melakukan penginputan deposit pelanggan ke dalam excel yang lebih ringkas dan mudah ditracking dalam pencarian data</t>
  </si>
  <si>
    <t>Melakuakan rekonsiliasi antara csm dan sap untuk memastikan keakuratan transaksi sebanyak 6 cabang dari 16 cabang</t>
  </si>
  <si>
    <t>Berhasil merekonsiliasi antara CSMM dan SAP sebanyak 10 cabang tersisa dari 16 cabang, untuk meningkatkan keakuratan pencatatan keuangan</t>
  </si>
  <si>
    <t>Melakukan rekap piutang dari hasil audit internal masing-masing cabang ke dalam spreadsheet untuk keperluan audit kedepannya</t>
  </si>
  <si>
    <t>Melakukan rekonsiliasi atas SAP dan rekening koran cabang untuk memastikan keakuratan transaksi</t>
  </si>
  <si>
    <t>Melakukan finalisasi dari rekonsiliasi antara rekening giro dan SAP untuk cabang Samarinda</t>
  </si>
  <si>
    <t>Melakukan konsultasi terkait revisi dari tugas sebelumnya karena ditemukan beberapa selisih dari data master dan data satelit</t>
  </si>
  <si>
    <t>Melakukan rekonsiliasi pada SAP dan data satelit dari transaksi pendapatan</t>
  </si>
  <si>
    <t>Melakukan rekonsiliasi akun pendapatan antara CSM dan SAP serta penginputan saldo awal dari sheet yang berbeda</t>
  </si>
  <si>
    <t>Melakukan rekonsiliasi antara data CMS dan SAP untuk akun pendapatan dan berhasil melakukan rekonsiliasi sebanyak 16/90 cabang yang tersebar</t>
  </si>
  <si>
    <t>Berhasil melakukan rekonsiliasi antara data CMS dan SAP untuk akun pendapatan</t>
  </si>
  <si>
    <t>Melakukan uji coba dari Macros excel dari kodingan Bu Jeki dan memberikan feedback terkait penggunaan, fitur, dan pelaporan bug yang ditemukan</t>
  </si>
  <si>
    <t>Finalisasi dari tugas rekonsiliasi dari Pak Risky untuk CMS dan SAP</t>
  </si>
  <si>
    <t>memberikan feedback terkait Macros dari Excel Bu Jeki dan memberikan laporan kedepannya jika adanya bug yang ditemukan seiring penggunaan</t>
  </si>
  <si>
    <t>Membuat 1 contoh hasil kerja kemarin ke dalam excel untuk ditampilkan dalam rapat agar dapat dipresentasikan</t>
  </si>
  <si>
    <t>Melakukan rekonsiliasi antara Nilai pencadangan dan nilai realisasi masing-masing ekspeditur, untuk mencari berapa sisa dari biaya yang terpakai</t>
  </si>
  <si>
    <t>Menjadi talent pengambilan video dari divisi kreatif perusahaan untuk kebutuhan konten di sosial media</t>
  </si>
  <si>
    <t>Membantu rekan sesama pemagang untuk konsultasi terkait tugasnya dan beberapa rumus dan fungsi di excel</t>
  </si>
  <si>
    <t>Melakukan penginputan data-data dari hasil audit bulan-bulan sebelumnya ke dalam spreadsheet</t>
  </si>
  <si>
    <t>Melanjutkan penginputan data hasil audit per bulan untuk dimasukkan ke dalam spreadsheet</t>
  </si>
  <si>
    <t>Melakukan rekonsiliasi antara data SAP tanggal 15 dan 20 untuk menyesuaian data penginputan sehingga memiliki lawan transaksi</t>
  </si>
  <si>
    <t>Berhasil melakukan rekonsiliasi antara data dari audit ke dalam spreadsheet untuk kebutuhan audit dan kebutuhan keputusan manajemen kedepannya</t>
  </si>
  <si>
    <t>Menginput data LAIC masing masing cabang ke dalam spreadsheet konsolidasi untuk keperluan manajemen dan audit</t>
  </si>
  <si>
    <t>Berhasil menginput data dari 15 cabang yang berbeda untuk dimasukkan ke dalam spreadsheet untuk kebutuhan manajemen dan audit yang akan datang</t>
  </si>
  <si>
    <t>Revisi pada pivot table agar memudahkan dalam penyajian data rekapan per masing-masing ekspedisi</t>
  </si>
  <si>
    <t>Menginput COA masing-masing akun dari perusahaan Bima Sepaja Abadi ke dalam COA SID untuk dilakukannya penggabungan perusahaan</t>
  </si>
  <si>
    <t>Melanjutkan penginputan COA akun-akun yang berasal dari BSA ke dalam COA SID</t>
  </si>
  <si>
    <t>Berhasil menginput semua COA untuk Perusahaan BSA dan melanjutkan penginputan untuk COA BSAL ke dalam COA SID</t>
  </si>
  <si>
    <t>mengarsip Bendahara</t>
  </si>
  <si>
    <t>arsip bendahara</t>
  </si>
  <si>
    <t>nginput arsip bendahara</t>
  </si>
  <si>
    <t>arsip verifikasi jateng</t>
  </si>
  <si>
    <t>nginput operasional jateng</t>
  </si>
  <si>
    <t>nginput operasional jateng &amp; ngebok</t>
  </si>
  <si>
    <t>nginput &amp; mengebok operasional jateng</t>
  </si>
  <si>
    <t>menginput dan mengentri operasional jabar</t>
  </si>
  <si>
    <t>mengarsip operasional jatim 2026 &amp; menyalin data cabang jabar, jateng 2025</t>
  </si>
  <si>
    <t>mengarsip operasional jawa barat</t>
  </si>
  <si>
    <t>mengarsip curah,jumbo &amp; cp, dan menginput</t>
  </si>
  <si>
    <t>menginput dan mengarsip curah jatim</t>
  </si>
  <si>
    <t>menginput &amp; mengarsip curah jatim</t>
  </si>
  <si>
    <t>mengentry &amp; memilah curah jateng</t>
  </si>
  <si>
    <t>mengarsip &amp; menginput curah jateng</t>
  </si>
  <si>
    <t>mengentry &amp; mengarsip curah jateng 2025</t>
  </si>
  <si>
    <t>menempelkan box data</t>
  </si>
  <si>
    <t>menginput &amp;memilah curah jateng 2025</t>
  </si>
  <si>
    <t>mengentry &amp; memilah curah jateng 2025</t>
  </si>
  <si>
    <t>mengebok curahjatim &amp; jateng</t>
  </si>
  <si>
    <t>merapikan arsip accounting jabar 2026</t>
  </si>
  <si>
    <t>mengarsip clearing bendahara 2026</t>
  </si>
  <si>
    <t>merapikan arsip clearing bendahara 2026</t>
  </si>
  <si>
    <t>merapikan arsip accounting jateng 2026</t>
  </si>
  <si>
    <t>merapikan arsip accounting jateng  2026</t>
  </si>
  <si>
    <t>merapikan arsip accounting jateng 2026  (Boyolali, cepu,cilacap, curah banten, curah jateng, demak,kendal) )</t>
  </si>
  <si>
    <t>merapikan arsip accounting jateng 2026 (kendal,klaten,magelang,sayung )</t>
  </si>
  <si>
    <t>menghitung lembar kertas (2 bendel )</t>
  </si>
  <si>
    <t>merapikan arsip bendahara box 1-18 &amp; scan arsip</t>
  </si>
  <si>
    <t>scan digital dokumen arsip</t>
  </si>
  <si>
    <t>scan digital dokumen arsip bendahara</t>
  </si>
  <si>
    <t>scan digital dokumen arsip bendahara 2026</t>
  </si>
  <si>
    <t>arsip accounting jateng jatim 2026</t>
  </si>
  <si>
    <t>arsip accounting jabar 2026</t>
  </si>
  <si>
    <t>scan dokumen arsip bendahara 2026</t>
  </si>
  <si>
    <t>scan dokumen arsip bendahara februari 2026</t>
  </si>
  <si>
    <t>scaning arsip bendahara februari 2026</t>
  </si>
  <si>
    <t>scan dokumentasi bendahara februari 2026</t>
  </si>
  <si>
    <t>arsip &amp; entry bendahara 2026</t>
  </si>
  <si>
    <t>scan dokumen arsip februari 2026</t>
  </si>
  <si>
    <t>melepas staples &amp; scan dokumen arsip2026</t>
  </si>
  <si>
    <t>melepas staples &amp; scan dokumen arsip bendahara 2026</t>
  </si>
  <si>
    <t>sca dokumen arsip bendahara 2026</t>
  </si>
  <si>
    <t>scan dokumen arsip bendahara juli 2026</t>
  </si>
  <si>
    <t>mengebox arsip verifikasi jatim 2026</t>
  </si>
  <si>
    <t>menginput arsip verifikasi 2026</t>
  </si>
  <si>
    <t>menginput data arsip verifikasi jatim</t>
  </si>
  <si>
    <t>ngebox verifikasi jateng 2026</t>
  </si>
  <si>
    <t>nginpun arsip verifikasi jateng</t>
  </si>
  <si>
    <t>ngebox arsip verifikasi jabar 2026</t>
  </si>
  <si>
    <t>nginput arsip verifikasi jabar 2026</t>
  </si>
  <si>
    <t>melepas staples arsip bendahara</t>
  </si>
  <si>
    <t>lepasin staples &amp; scan arsip bendahara juli</t>
  </si>
  <si>
    <t>scan arsip bendahara juli 2026</t>
  </si>
  <si>
    <t>nginput arsip bendahara juli - Agustus 2026</t>
  </si>
  <si>
    <t>nginput verifikasi jateng jabar 2026</t>
  </si>
  <si>
    <t>scan arsip bendahara agustus 2026</t>
  </si>
  <si>
    <t>scan arsip bendahara maret 2026</t>
  </si>
  <si>
    <t>mengindeks verifikasi jabar jateng</t>
  </si>
  <si>
    <t>scan arsip bendahara april 2026</t>
  </si>
  <si>
    <t>scan arsip bendahara april  2026</t>
  </si>
  <si>
    <t>input Dok.arsip bendahara agus-sep 2026</t>
  </si>
  <si>
    <t>buat konten</t>
  </si>
  <si>
    <t>live</t>
  </si>
  <si>
    <t>riset produk</t>
  </si>
  <si>
    <t>live tiktok dan shopee</t>
  </si>
  <si>
    <t>buat konten affiliate</t>
  </si>
  <si>
    <t>buat konten dan packing</t>
  </si>
  <si>
    <t>packing produk</t>
  </si>
  <si>
    <t>live shopee dan tiktok</t>
  </si>
  <si>
    <t>live tiktok shopee</t>
  </si>
  <si>
    <t>live shopee tiktok</t>
  </si>
  <si>
    <t>mengarsipkan dokumen</t>
  </si>
  <si>
    <t>menempelkan nomor urut clearing</t>
  </si>
  <si>
    <t>mengurutkan dokumen sesuai tanggal jatuh tempo</t>
  </si>
  <si>
    <t>memilah</t>
  </si>
  <si>
    <t>MENEMPELKAN MATERAI</t>
  </si>
  <si>
    <t>FOTO COPY SPJ</t>
  </si>
  <si>
    <t>MENGARSIP</t>
  </si>
  <si>
    <t>FOTOCOPY SPJ</t>
  </si>
  <si>
    <t>MEMILAH</t>
  </si>
  <si>
    <t>mencari arsip</t>
  </si>
  <si>
    <t>fotocopy arsip</t>
  </si>
  <si>
    <t>menempelkan materai</t>
  </si>
  <si>
    <t>mengarsip</t>
  </si>
  <si>
    <t>fotocopy spj</t>
  </si>
  <si>
    <t>NEMILAH</t>
  </si>
  <si>
    <t>MENDATA SPJ</t>
  </si>
  <si>
    <t>MENDATA</t>
  </si>
  <si>
    <t>MENCOCOKAN SPJ DENGAN DATA BAST</t>
  </si>
  <si>
    <t>scan spj</t>
  </si>
  <si>
    <t>MENCARI SPJ SESUAI BAST</t>
  </si>
  <si>
    <t>MENGGABUNGKAN BAST DENGAN FAKTUR</t>
  </si>
  <si>
    <t>MENCOCOKKAN SPJ DENGAN DATA BAST</t>
  </si>
  <si>
    <t>MENCARI SPJ SESUAI DATA BAST</t>
  </si>
  <si>
    <t>MENGURUTKAN SPJ SESUAI PELANGGAN</t>
  </si>
  <si>
    <t>MENGURUTKAN SPB</t>
  </si>
  <si>
    <t>MENEMPELKAN MATERAI KWITANSI</t>
  </si>
  <si>
    <t>SCAN SPJ</t>
  </si>
  <si>
    <t>MENGURUTKAN TANGGAL SPJ</t>
  </si>
  <si>
    <t>MENEMPELKAN MATERAI KE KWINTANSI</t>
  </si>
  <si>
    <t>FOTOCOPY SPj</t>
  </si>
  <si>
    <t>MENGGABUNGKAN SPJ DENGAN BUKTI TIMBANG</t>
  </si>
  <si>
    <t>Memilah</t>
  </si>
  <si>
    <t>SCAN BILLING DAN SPJ</t>
  </si>
  <si>
    <t>mendata</t>
  </si>
  <si>
    <t>VERIFIKASI BAST</t>
  </si>
  <si>
    <t>SCAN SPJ JUMBO</t>
  </si>
  <si>
    <t>MENGARSIP SPJ JUMBO</t>
  </si>
  <si>
    <t>memastikan titik koordinat sudah sesuai sama toko pelanggan (cabang Probolinggo &amp; cabang Bondowoso</t>
  </si>
  <si>
    <t>memastikan titik koordinat sudah sesuai sama toko pelanggan (cabang Purworejo &amp; cabang Serang)</t>
  </si>
  <si>
    <t>Memverifikasi atas sesuai/ketidaksesuaian titik koordinat customer, menghubungi BM bertujuan untuk mengkonfirmasi bahwa titik koordinat yang ada di sistem tidak sesuai, dan memverifikasi periode upload kontraktual pada program customer loyalty 2026</t>
  </si>
  <si>
    <t>Memasukkan update kontraktual customer loyalty di spreadsheet, memverifikasi kesesuaian titik koordinat customer</t>
  </si>
  <si>
    <t>Memverifikasi atas sesuai/ketidaksesuaian titik koordinat customer, menghubungi BM bertujuan untuk mengkonfirmasi bahwa titik koordinat yang ada di sistem tidak sesuai</t>
  </si>
  <si>
    <t>Desain program customer</t>
  </si>
  <si>
    <t>melakukan verifikasi titik koordinat customer dan memasukkan link BAST ke spreadsheets serta menghubungi BM</t>
  </si>
  <si>
    <t>melakukan konfirmasi ke BM atas BAST program ramadhan 2026</t>
  </si>
  <si>
    <t>melakukan konfirmasi ke BM atas BAST program ramadhan 2026 dan juga memverifikasi titik koordinat serta mengkonfirmasi ke BM atas ketidaksesuaian titik koordinat</t>
  </si>
  <si>
    <t>mengkonfirmasi ke BM terkait BAST program ramadhan 2026 dan mengecek ketidaksesuaian titik koordinat</t>
  </si>
  <si>
    <t>mengkonfirmasi ke BM terkait BAST program ramadhan 2026</t>
  </si>
  <si>
    <t>Konfirmasi ke BM terkait program ramadhan wilayah jawa tengah</t>
  </si>
  <si>
    <t>Merekap no rekening customer pada BA pilih hadiah program customer loyalty 2025</t>
  </si>
  <si>
    <t>Verifikasi ketidaksesuaian titik customer</t>
  </si>
  <si>
    <t>Konfirmasi ke BM terkait program ramadhan wilayah jawa tengah dan memasukan file BAST pas monitoring di spreadsheets</t>
  </si>
  <si>
    <t>entry data penjualan luar pulau jawa</t>
  </si>
  <si>
    <t>merekap BAST program customer loyalty 2025 kedalam spreadsheets</t>
  </si>
  <si>
    <t>memverifikasi titik customer (3 cabang)</t>
  </si>
  <si>
    <t>memasukkan BAST program ramadhan 2026 dan menghubungi Bm</t>
  </si>
  <si>
    <t>Melakukan crosscheckk terkait forklif</t>
  </si>
  <si>
    <t>Merekap dan memasukkan file BAST HUT ke spreadsheets monitoring</t>
  </si>
  <si>
    <t>memverifikasi titik customer</t>
  </si>
  <si>
    <t>memverifikasi titik customer wilayah Jawa Tengah</t>
  </si>
  <si>
    <t>memverifikasi titik customer wilayah Jawa Tengah dan menghubungi BM untuk konfirmasi atas ketidaksesuaian</t>
  </si>
  <si>
    <t>Menghubungi BM untuk konfirmasi terkait BAST HUT</t>
  </si>
  <si>
    <t>reminder para BM terkait program HUT dan memasukkan link BAST pada spreadsheets</t>
  </si>
  <si>
    <t>memasukkan BAST program ramadhan di spreadsheets</t>
  </si>
  <si>
    <t>mencari referensi program bahan bangunan untuk program bulan depan</t>
  </si>
  <si>
    <t>Mengelompokkan grup grup barang pada raker midyer 2026</t>
  </si>
  <si>
    <t>memasukkan BAST program ramadhan di spreadsheets dan menghubungi BM</t>
  </si>
  <si>
    <t>memasukkan link BAST program ramadhan 2026 pada spreadsheets</t>
  </si>
  <si>
    <t>memasukkan link BAST program HUT</t>
  </si>
  <si>
    <t>memverifikasi titik customer wilayah Jawa Tengah dan menghubungi BM untuk konfirmasi atas ketidaksesuaian dan melakukan revisi terhadap titik koordinat</t>
  </si>
  <si>
    <t>memverifikasi titik customer wilayah Jawa Tengah, Luar pulau jawa dan menghubungi BM untuk konfirmasi atas ketidaksesuaian dan melakukan revisi terhadap titik koordinat</t>
  </si>
  <si>
    <t>entry data MDXL</t>
  </si>
  <si>
    <t>memverifikasi titik customer wilayah Jawa barat dan menghubungi BM untuk konfirmasi atas ketidaksesuaian</t>
  </si>
  <si>
    <t>mereminder para BM dan memasukkan link BAST program ramadhan 2026 pada spreadsheets</t>
  </si>
  <si>
    <t>memasukkan link BAST program ramadhan 2026 pada spreadsheets lalu menghubungi BM untuk konfirmasi</t>
  </si>
  <si>
    <t>memasukkan link BAST program HUT dan reminder BM</t>
  </si>
  <si>
    <t>Mereminder beberapa BM Cabang terkait Program Mortar MKI</t>
  </si>
  <si>
    <t>merimender BM all cabang terkait program costumer loyalty 2026</t>
  </si>
  <si>
    <t>Mereminder beberapa BM Cabang terkait Program Mortar MKI dan input BAST ke spreadsheets</t>
  </si>
  <si>
    <t>input link kontrakan 2026</t>
  </si>
  <si>
    <t>input form kontrakan 2026</t>
  </si>
  <si>
    <t>mencari program marketing kompetitor</t>
  </si>
  <si>
    <t>reminder BM terkait pengisian tgl PJK</t>
  </si>
  <si>
    <t>input form kontraktual CUSTOM LOYALTY 2026 di spreadsheets dan mereminder para BM</t>
  </si>
  <si>
    <t>crosscheckk terkait pengisian pemenuhan data porsi semen &amp; semen derivatif serta menghubungi BM</t>
  </si>
  <si>
    <t>mencari dan membuat program marketing</t>
  </si>
  <si>
    <t>membuat program marketing</t>
  </si>
  <si>
    <t>input kontraktual 2026 ke spreadsheets dan menghubungi Bm</t>
  </si>
  <si>
    <t>input BAST HUT ke spreadsheets</t>
  </si>
  <si>
    <t>input kontraktual 2026 ke spreadsheets</t>
  </si>
  <si>
    <t>input kontraktual 2025 ke spreadsheets</t>
  </si>
  <si>
    <t>entry data mdxl</t>
  </si>
  <si>
    <t>menarik data Purchase Order (PO) melalui sistem SAP sesuai periode yang dibutuhkan</t>
  </si>
  <si>
    <t>Melakukan rekap setiap tanda terima dari supplier berdasarkan tanggal diterima</t>
  </si>
  <si>
    <t>verifikasi dengan mencocokkan detail invoice, nomor PO, nomor PP, tanggal dokumen, dan jumlah pembayaran untuk memastikan data sudah sesuai</t>
  </si>
  <si>
    <t>Mempelajari alur proses verifikasi realisasi biaya operasional pada sistem SACS, termasuk pengecekan dokumen pendukung, kesesuaian COA, serta memahami mekanisme approve, not verified, dan void pada transaksi cabang.</t>
  </si>
  <si>
    <t>Melakukan verifikasi dropping operasional cabang melalui sistem SIWA dan SACS, serta melakukan pengecekan dan pencocokan data dropping dengan rekening koran dan rekapitulasi pengajuan secara manual untuk memastikan kesesuaian nominal dan kelengkapan data.</t>
  </si>
  <si>
    <t>Melakukan verifikasi seluruh biaya operasional dengan mengecek kelengkapan dan kesesuaian dokumen serta nominal transaksi, dan melakukan proses dropping dana operasional cabang secara harian.</t>
  </si>
  <si>
    <t>Melakukan verifikasi seluruh biaya operasional dengan mengecek kelengkapan dan kesesuaian dokumen serta nominal transaksi, dan melakukan proses dropping dana operasional cabang secara harian.    2026-08-19 16:22:08</t>
  </si>
  <si>
    <t>Melakukan verifikasi seluruh biaya operasional dengan mengecek kelengkapan dan kesesuaian dokumen serta nominal transaksi, dan melakukan proses dropping dana operasional cabang secara harian. 2026-08-19 16:22:08</t>
  </si>
  <si>
    <t>Melakukan verifikasi biaya operasional cabang melalui SACS dengan mengecek kelengkapan dan kesesuaian dokumen serta data transaksi.</t>
  </si>
  <si>
    <t>Melakukan verifikasi dropping biaya operasional cabang secara fisik dengan mengecek kesesuaian dokumen, nominal, dan saldo dana.</t>
  </si>
  <si>
    <t>pengajuan dropping biaya operasional cabang secara harian sesuai kebutuhan dan kelengkapan dokumen pendukung.</t>
  </si>
  <si>
    <t>Melakukan verifikasi biaya operasional cabang melalui SACS dengan mengecek kelengkapan dan kesesuaian dokumen serta data transaksi</t>
  </si>
  <si>
    <t>1. pengajuan dropping biaya operasional cabang secara harian sesuai kebutuhan dan kelengkapan dokumen pendukung.</t>
  </si>
  <si>
    <t>Melakukan verifikasi dropping biaya operasional cabang secara fisik dengan mengecek kesesuaian dokumen, nominal</t>
  </si>
  <si>
    <t>Verifikasi dokumen</t>
  </si>
  <si>
    <t>fervikasi</t>
  </si>
  <si>
    <t>mengupdate data peserta magang baik itu kontrak projek maupun magang mandri di cabang dan di kantor pusat</t>
  </si>
  <si>
    <t>mengvisualisasikan branch overview cabang probolinggo</t>
  </si>
  <si>
    <t>merekap absensi dan aktifitas peserta magang dan pegawai kebersihan serta keamanan</t>
  </si>
  <si>
    <t>Materi ringan SID LC tentang keberagaman</t>
  </si>
  <si>
    <t>Memberikan Materi Pembekalan Peserta Magang Baru</t>
  </si>
  <si>
    <t>membuat surat tindak lanjut sewa barang SID</t>
  </si>
  <si>
    <t>membuat sertifikat magang, peserta magang yang telah menyelesaikan tugasnya</t>
  </si>
  <si>
    <t>merekap aktifitas dan absensi peserta magang, merekap absensi pegawai kebersihan dan keamanan</t>
  </si>
  <si>
    <t>merekap absensi peserta magang dan pegawai kebersihan dan keamanan serta rekap aktifitas peserta magang</t>
  </si>
  <si>
    <t>menyusun materi SID LC - TEMA FOKUS PADA HAL YANG BISADI KENDALIKAN</t>
  </si>
  <si>
    <t>mengvisualisasikan san membuat video overview cabang ponorogo dan probolinggo</t>
  </si>
  <si>
    <t>notulensi pelatihan SPARK SIG 10 JUNI 2026</t>
  </si>
  <si>
    <t>Rekap Absensi &amp; Aktivitas peserta magang SID Cabang &amp; Kanpus  Rekap Absensi Karyawan Kebersihan &amp; Keamanan</t>
  </si>
  <si>
    <t>membuat materi sharing SID LC: Adaptabilitas di Tengah Ketidakpastian Global</t>
  </si>
  <si>
    <t>Menyusun modul ringkasan pelatihan SPARK SESI 2 - Marketing Mix</t>
  </si>
  <si>
    <t>Merekap absensi dan aktifitas peserta magang kantor pusat dan cabang, serta merekap absensi pegawai kebersihan dan keamanan</t>
  </si>
  <si>
    <t>Membuat materi SID LC "BBM NAIK, Bisnis tetap untung"</t>
  </si>
  <si>
    <t>membuat post test pelatihan spark SIG</t>
  </si>
  <si>
    <t>Merekap hasil MBTI / Profiling peserta magang</t>
  </si>
  <si>
    <t>merekap absensi peserta amagang dan aktivitas peserta magang serta rekap absensi pegawai kebersihan dan keamanan</t>
  </si>
  <si>
    <t>membuat materi ringan SID LC "Dari Supplier Menjadi Business Partner"</t>
  </si>
  <si>
    <t>mencatat hasil notulensi rapat bulanan PKSDM Juni</t>
  </si>
  <si>
    <t>koordinasikan id card peserta magang, menjelaskan ulang konsep SID LC ke Divisi ARO, mengkoordinasikan progran clarty coach dengan pak hadi</t>
  </si>
  <si>
    <t>merekap absensi peserta magang dan pegawai kebersihan dan keamanan, serta merekap aktifitas peserta magang</t>
  </si>
  <si>
    <t>membuat materi SID LC, materi ringan tentan Accountability</t>
  </si>
  <si>
    <t>merekap absensi peserta magang dan pegawai kebersihan serta keamanan dan rekap aktifitas</t>
  </si>
  <si>
    <t>koordinasi tindak lanjut TOT ke bapak iqbal &amp; tindak lanjut Clarty Coach</t>
  </si>
  <si>
    <t>membuat materi SID LC Tema Execution Excellence dan mengvisualisasikan</t>
  </si>
  <si>
    <t>mempresentasikan materi pembekalan peserta magang 22 juni 2026 departemen legal dan menyiapkan akun absensi</t>
  </si>
  <si>
    <t>mengikuti rapat dan sebagai notulensi rapat untuk persiapan pelatihan clarty coach</t>
  </si>
  <si>
    <t>MEREKAP ABSENSI PESERTA MAGANG DAN PEGAWAI KEBERSIHAN DAN KEAMANAN SERTA REKAP AKTIVTAS PESERTA MAGANG DAN UPDATE DATA PESERTA MAGANG JUNI 23 2026</t>
  </si>
  <si>
    <t>Membuat QUIZIZ SPARK SESI 3</t>
  </si>
  <si>
    <t>MEMBUAT POST TEST SPARK SESI 3</t>
  </si>
  <si>
    <t>membuat materi SID LC TEMA 1% IMPROVEMENT</t>
  </si>
  <si>
    <t>mempelajari  nilai perencanaan strategis, komponen-komponen yang terlibat, dan pentingnya peran SDM sebagai mitra strategis dalam organisasi.</t>
  </si>
  <si>
    <t>Memandu pelatihan SPARK SESI 3, dan notulensi pelatihan serta dokumenter</t>
  </si>
  <si>
    <t>merekap absensi peserta magang dan aktifitas peserta magang serta merekap absensi pegawai kebersihan dan keamanan</t>
  </si>
  <si>
    <t>membuat materi sharing SID LC Tema Leading Indicator vs Lagging Indicator</t>
  </si>
  <si>
    <t>mendampingi pada pertemuan serah terima SID untuk UISI</t>
  </si>
  <si>
    <t>mendampingi pertemuan serah terima SID untuk UISI</t>
  </si>
  <si>
    <t>menghubungi pemenang kuis pelatihan spark untuk melakukan konfirmasi dan folowup pengisian post test</t>
  </si>
  <si>
    <t>merekap PPT SPARK SESI 3</t>
  </si>
  <si>
    <t>menyusun rekap pelatihan yang diberikan pihak UISI atas permintaan UISI sebagai laporan</t>
  </si>
  <si>
    <t>membuat report dan dashboard implementasi program magang atas nama farel sebgai oenunjang kebutuhan after magang di SID</t>
  </si>
  <si>
    <t>MEREKAP ABSENSI DAN AKTIVITAS PESERTA MAGANG SERTA ABSENSI PEGAWAI KEBERSIHAN DANKEAMANAN</t>
  </si>
  <si>
    <t>merekap poin penting pertemuan dengan pk halim</t>
  </si>
  <si>
    <t>mempelajari Functional Competencies Test,  Psychotest, KPI dan PA</t>
  </si>
  <si>
    <t>membuat indikator  Functional Competencies Test untuk BM, BAO, SALES</t>
  </si>
  <si>
    <t>membuat materi SID LC, TEMA Decision Making Under Uncertainty</t>
  </si>
  <si>
    <t>MENYUSUSN Blueprint Functional DAN SOAL Functional Competencies Test BRANVH MANAGER</t>
  </si>
  <si>
    <t>analisis dan evaluasi dari hasil pre test dan post test saprk SID</t>
  </si>
  <si>
    <t>merekap absensi peserta magang dan aktivitas peseta magang dengan  rekap absensi pegawai kebersihan dan keamanan</t>
  </si>
  <si>
    <t>membuat materi sid lc tema Data-Driven Leadership Manajer Masa Depan Harus Memimpin dengan Data, Bukan Sekadar Perasaan</t>
  </si>
  <si>
    <t>membuat Functional Competencies Test sales dan indikator penentuan soal</t>
  </si>
  <si>
    <t>membuat tes PSYCHOTEST</t>
  </si>
  <si>
    <t>membuat panduan penilaian Test PSYCHOTEST</t>
  </si>
  <si>
    <t>rekap penggajian dan konfirmasi rekening pemagang di laptop bapak rohim</t>
  </si>
  <si>
    <t>memberikn materi pembekalan peserta magang baru UNMU</t>
  </si>
  <si>
    <t>menghubungi pemagang dan mengarsip dokumen perpanjangan magang kontrak</t>
  </si>
  <si>
    <t>merekap absensi dan aktifitas peserta magang serta absensi pegawai kebersihan dan keamanan</t>
  </si>
  <si>
    <t>membuat materi sid lc Influence Without Authority</t>
  </si>
  <si>
    <t>Membuat MODUL PELATIHAN MARKETING INTRODUCTION. SESI 3 Distribusi, POSM, Promosi, Branding &amp; Portofolio Merek</t>
  </si>
  <si>
    <t>membuat materi SIDLC tema Difficult Conversation</t>
  </si>
  <si>
    <t>menyiapkan laporan pelatihan clarty coach sesi 1 BM JATIM &amp; LUAR PULAU untuk persiapan penyusunan modul pelatihan sesi 2 BM JATENG &amp; DKI</t>
  </si>
  <si>
    <t>membuat format report absensi dan aktivitas peserta magang supaya mudah di lihat dan dipahami</t>
  </si>
  <si>
    <t>memetakan data pegawai untuk menyiapkan program ulang tahun pegawai SID</t>
  </si>
  <si>
    <t>merekap absensi peserta magang dan aktivitas peserta magang serta absensi pegawai kebersihan dan keamanan 6 juli 2026</t>
  </si>
  <si>
    <t>membuat materi sid lc tema Curiosity as a Competitive Advantage Mengapa Rasa Ingin Tahu Menjadi Keunggulan Kompetitif di Masa Depan</t>
  </si>
  <si>
    <t>membuat plan materi SID LC bulan 7</t>
  </si>
  <si>
    <t>merekap MBTI pemagang baru</t>
  </si>
  <si>
    <t>membuat g form untuk functional competencies test bm</t>
  </si>
  <si>
    <t>membuat materi sid lc dan mengvisualisasikan dengan tema Negotiation &amp; Influence Menciptakan Kesepakatan, Bukan Sekadar Memenangkan Perdebatan</t>
  </si>
  <si>
    <t>merekap absensi peserta magang dan aktivitasnya serta absensi pegawai kebersihan dan keamanan</t>
  </si>
  <si>
    <t>membuat template poster ultah peg SID</t>
  </si>
  <si>
    <t>membuat ppt program ultah pegawi sid</t>
  </si>
  <si>
    <t>merekab absensi dan aktivitas peserta magang dan absensi pegawai kebersihan dan kemanan Juli 2026</t>
  </si>
  <si>
    <t>mengedit foto pegawai sid dengan serasi dan formal dari foto yang awalnya tidak berseragam dan tidak beraturan, untuk proker ULTAH bln 7</t>
  </si>
  <si>
    <t>editflayer pegawai ultah bulan 7</t>
  </si>
  <si>
    <t>Membuat materi SID LC TEMA From Selling Products to Solving Business Problems Pelanggan Tidak Membeli Produk, Mereka Membeli Solusi</t>
  </si>
  <si>
    <t>membuat desain tempalte untuk program ultah dengan nama saja tanpa foto</t>
  </si>
  <si>
    <t>membuat Flayer Ultah Bulan 8</t>
  </si>
  <si>
    <t>membuat form untuk asesmen ojt penempatan logistik</t>
  </si>
  <si>
    <t>merekab absensi dan aktivitas peserta magang, serta pegawai keamanan dan kebersihan</t>
  </si>
  <si>
    <t>memandu proses Interview dan asesmen MBTI 4 candidat secara ofline</t>
  </si>
  <si>
    <t>mengolah data dan hasil analisa tes mbti kandidat di purcesing dan memandu untuk interview online</t>
  </si>
  <si>
    <t>merekap absensi peserta magang dan pegawai kebersihan dan keamanan serta rekap aktivitas pemagang</t>
  </si>
  <si>
    <t>membuat materi sid lc, tema Mental Models Cara Orang Hebat Mengambil Keputusan dari Berbagai Sudut Pandang</t>
  </si>
  <si>
    <t>formating surat izin pemagang sesuai dengan standart SIG &amp; SID</t>
  </si>
  <si>
    <t>membuat penilaian hasil presentasi pk iqbal</t>
  </si>
  <si>
    <t>rekap absensi peserta magang dan aktivitas peserta magang serta absensi pegawai kebersihan dan keamanan</t>
  </si>
  <si>
    <t>membuat sertifikat pemagang</t>
  </si>
  <si>
    <t>mengarsipkan dokumen faktur pajak dan kuitansi</t>
  </si>
  <si>
    <t>revisi flayer ultah sid</t>
  </si>
  <si>
    <t>merekap absensi dan aktivitas peserta magang dan absensi pegawai kebersihan dan keamanan juli</t>
  </si>
  <si>
    <t>mendampingi monitoring peagangan dari pembimbing sekolah</t>
  </si>
  <si>
    <t>membuat materi SID LC TEMA Signal vs Noise Fokus pada Informasi yang Menggerakkan Bisnis, Bukan Sekadar Memenuhi Laporan</t>
  </si>
  <si>
    <t>membuat materi SID LC tema Inversion Thinking Berhenti Hanya Mencari Cara Berhasil, Mulailah Menghilangkan Penyebab Kegagalan</t>
  </si>
  <si>
    <t>merekap aktivitas dan absensi peserta magang serta absensi pegawai kebersihan dan keamanan</t>
  </si>
  <si>
    <t>mengelola dokumen sewa kendaraan dan sewa gudang lombok sampai ke penandatangan pp</t>
  </si>
  <si>
    <t>membuat materi sid lc tema Mampu Melihat Peluang, Risiko, dan Mengambil Keputusan Jangka Panjang menjadi video dan gambar mudah dipahami</t>
  </si>
  <si>
    <t>merekap absensi dan aktivitas peserta magang dan karyawan kebersihan dan keamanan</t>
  </si>
  <si>
    <t>materi sid lc tema melihat peluang sebelum diketahui kompetitor, visualisasi gambar dan video</t>
  </si>
  <si>
    <t>merekap absensi dan aktivitas peserta magang dan absensi pegawai keamanan dan kebersihan</t>
  </si>
  <si>
    <t>membuat materi SIDLC tema BAB 3 Mengelola Risiko Sebelum Risiko Terjadi mengvisualisasikan sampai menjadi video</t>
  </si>
  <si>
    <t>membuat pre test dan post test pelatihan clarity coach bm jateng dan jabar</t>
  </si>
  <si>
    <t>Membantu bpk rohim mengelola dokumen</t>
  </si>
  <si>
    <t>membuat materi sid lc tema pengambilan keputusan untuk masa depan lalu mengvisualisasikan dan membuat video</t>
  </si>
  <si>
    <t>memberikan materi pembekalan dan arahan serta membuatkan akun absensi untuk peserta magang baru</t>
  </si>
  <si>
    <t>menyiapkan dokumen workboo untuk pelatihan</t>
  </si>
  <si>
    <t>membuat pre test dan post test pelatihan clarty coach</t>
  </si>
  <si>
    <t>merekap absensi dan aktivitas peserta magang dan absensi karyawan keamanan dan kebersihan</t>
  </si>
  <si>
    <t>menyiapkan dokumen studi kasus keperluan pelatihan clarity coach dan ABSENSI/kehadiran pelatihan</t>
  </si>
  <si>
    <t>membuat materi sid lc: Framework ACT: Transformasi Strategi Menjadi Aksi Nyata, menjadi gambar dan video</t>
  </si>
  <si>
    <t>merekap absensi peserta magang dan pegawai kebersihan serta keamanan, rekap aktivitas peserta magang</t>
  </si>
  <si>
    <t>memonitoring pengerjaan pre test dan post test pelatihan clarity coach bm jateng-22 Juli 2026</t>
  </si>
  <si>
    <t>menganalisis hasil pre test dan post test pelatihan clarity coach</t>
  </si>
  <si>
    <t>merekap absensi peserta magang dan pegawai kebersihan dan keamanan serta aktivitas peserta magang</t>
  </si>
  <si>
    <t>abaisis hasil pelatihan clarity coach jateng pre test post test</t>
  </si>
  <si>
    <t>manajemen dokumen permintaan pembayaran membantu bapak rohim</t>
  </si>
  <si>
    <t>mendampingi pelatihan SPARK 2 SIG</t>
  </si>
  <si>
    <t>Merekap absensi dan aktifitas peserta magang dan absensi pegawai kebersihan dan keamanan</t>
  </si>
  <si>
    <t>membuat soal pre test dan post test pelatihan SPARK 2</t>
  </si>
  <si>
    <t>merekap hasil studi kasus pelatihan clarity coach</t>
  </si>
  <si>
    <t>mengolah data pre test dan post test pelatihan clarity coac, final</t>
  </si>
  <si>
    <t>rekap absensi peserta magang dan pegawai kebersihan dan keamanan serta rekap aktivitas</t>
  </si>
  <si>
    <t>Merekap dokumen studi kasus fishbone, 5 whys, root coust analisis dan menganalisis hasilnya</t>
  </si>
  <si>
    <t>Merekap hasil Refleksi 7 dokumen ter rekap</t>
  </si>
  <si>
    <t>Rekap nomor sk pk gannag</t>
  </si>
  <si>
    <t>Merekap absensi dan realisasi peserta magang dan absensi pegawai keamanan dan kebersihan</t>
  </si>
  <si>
    <t>membuat materi sid lc tema Optionality Thinking?</t>
  </si>
  <si>
    <t>menganalisis dan olah data hasil pre test dan post test pelatihan SPARK 2</t>
  </si>
  <si>
    <t>mengtranskip hasil pelatihan SPARK 2 SIG</t>
  </si>
  <si>
    <t>merekap absensi dan aktivitas peserta magang dan pegawai keamanan dan kebersihan dan menangani komplain terkait jumlah uang saku pemagang</t>
  </si>
  <si>
    <t>membuat modul pelatihan sprk 2</t>
  </si>
  <si>
    <t>membuat materi sid lc tema:Weak Signals</t>
  </si>
  <si>
    <t>mempelajari talent manajemen</t>
  </si>
  <si>
    <t>membuat workbook untuk tes psikologi IST</t>
  </si>
  <si>
    <t>mencatat hasil refleksi pelatihan clarity coach</t>
  </si>
  <si>
    <t>membuat workbook epps tes motivasi</t>
  </si>
  <si>
    <t>membuat workbook learning agility untuk melihat potensi</t>
  </si>
  <si>
    <t>merekap absensi dan aktivitas peserta magang serta absensi pegawai keamanan dan kebersihan</t>
  </si>
  <si>
    <t>melengkapi JP DEP ARTEMEN KEUANGAN</t>
  </si>
  <si>
    <t>mengembangkan konsep talent manajemen</t>
  </si>
  <si>
    <t>merekap absensi dan aktivitas peserta magang dan pegawai keamanan dan kebersihan</t>
  </si>
  <si>
    <t>merekap hasil asessmen pelatihan clarity coach</t>
  </si>
  <si>
    <t>membuat contoh modul untuk peserta dalam pelaksanaan talent manajemen</t>
  </si>
  <si>
    <t>merekap absensi dan aktifitas peserta magang serta absensi pegawai keamanan dan kebersihan</t>
  </si>
  <si>
    <t>menyusun job desk dan job analisiss dari job profile</t>
  </si>
  <si>
    <t>job evaluation dan job grading</t>
  </si>
  <si>
    <t>merekap absensi pegawai keamanana dan kebersihan serta absensi peserta magang dan aktivitasnya</t>
  </si>
  <si>
    <t>melengkapi job profile dan menyususn job analisis dan job deskripsi departemen Finance, Account Receivable &amp; General Affair</t>
  </si>
  <si>
    <t>membuat materi sid lc tema strategi trade off</t>
  </si>
  <si>
    <t>melanjutkan pengerjaan analisis job grading dan penentuan harmonisasi</t>
  </si>
  <si>
    <t>merekap absensi dan aktivitas peserta magang dan absensi pegawai kebersihan serta update data pemagang</t>
  </si>
  <si>
    <t>memberikan pembekalan peserta magang dan membuatkan akun absnsi pemagang  10 agustus 2026</t>
  </si>
  <si>
    <t>rekap hasil mbti pemagang baru</t>
  </si>
  <si>
    <t>merapikan atau formating dokumen JPROFIL, JANALISIS, JDESKRIPSI DEPT KEUANGAN, AR, GA</t>
  </si>
  <si>
    <t>mempelajari dan menghitung harmonisasi dept keuangan, ga, ar</t>
  </si>
  <si>
    <t>merekap hasil refleksi pelatihan clarity coach</t>
  </si>
  <si>
    <t>rekap absensi dan aktivitas pemagang san absensi pegawai keamanan dan kebersihan</t>
  </si>
  <si>
    <t>mengolah data pelatihan refleksi clarity coach</t>
  </si>
  <si>
    <t>framework talent manajemen and to and</t>
  </si>
  <si>
    <t>revisi job grading dan skala gaji</t>
  </si>
  <si>
    <t>rekap absensi dan aktivitas peserta magang dan absensi peg keamanan dan kebersihan</t>
  </si>
  <si>
    <t>membuat guidebook penyusunan job grading dan skala gaji</t>
  </si>
  <si>
    <t>merekap absensi peserta magang dan pegawai kebersihan dan keamanan, rekap aktivitas peserta magang</t>
  </si>
  <si>
    <t>mengkoordinasikan kebutuhan pemagangan dengan pihakHC SILOG dan pihak sekolah terkait perpanjangan magang dan penggantian peserta magang</t>
  </si>
  <si>
    <t>finalisasi job greding dan harminisasi serta penyusunan buku panduan dalam perhitungan grading dan saleri</t>
  </si>
  <si>
    <t>menyusun dan menganalisis fungsi dari departemen human capital</t>
  </si>
  <si>
    <t>membuat materi sid lc tema: The Art of Follow-Up</t>
  </si>
  <si>
    <t>membuat soal pre test dan post test pelatihan spark 2 untuk 27 agustus 2026</t>
  </si>
  <si>
    <t>membuat dan menganalisa dalam fungsi dan struktur organisasi yang sesuai dengan core bisnis, visi misi, nilai perusahaan SID</t>
  </si>
  <si>
    <t>membuat materi sid lc tema profitabilitas cabang visualisasi gambar dan video</t>
  </si>
  <si>
    <t>merekap absensi dan aktifitas peserta magang serta absensi pegawai kebersihan dan keamanan dan memperbaiki format excel</t>
  </si>
  <si>
    <t>menganalisis swot dampak dan hubungan kerja serta raji sesuai dengan struktur dan fungsi organisasi yang di rancang</t>
  </si>
  <si>
    <t>menganalisis keseluruhan semua hasil pelathan clarity coach</t>
  </si>
  <si>
    <t>merekap absensi dan aktifitas peserta magang dan absensi pegawai keamanan dan kebersihan</t>
  </si>
  <si>
    <t>membuat materi sid lc, tema futuce emloye</t>
  </si>
  <si>
    <t>merekap absensi dan aktivitas peserta magang dan absensi pegawai kebersihan dan keamanan</t>
  </si>
  <si>
    <t>membuat korin untuk pengajuan sistem informasi hc absensi dan payroll</t>
  </si>
  <si>
    <t>merekap absensi dan aktifitas peserta magang serta pegawai kebersihan dan keamanan</t>
  </si>
  <si>
    <t>membuat materi sid lc tema Digital Adaptability: Membangun Learning Agility dan Problem Solving di Era AI</t>
  </si>
  <si>
    <t>membuat ppt presentasi progre strimeline pak ganang</t>
  </si>
  <si>
    <t>mendampingi pelatihan spark edisi 2, merekap materi ppt pelatihan, merekap materi trainer, mengambil dokumentasi pelatihan</t>
  </si>
  <si>
    <t>membuat soal quis live pelatihan spark edisi 2</t>
  </si>
  <si>
    <t>merekap absensi dan aktifitas peserta magang dan pegawai kebersihan dan keamanan</t>
  </si>
  <si>
    <t>mengembangkan dokumen hasil struktur organisasi baru ke mapping jabtan</t>
  </si>
  <si>
    <t>merekap absensi dan aktivitas peserta magang dan peg keamanan dan kebersihan, membuat format baru yang terrumus untuk laporan pk rohim</t>
  </si>
  <si>
    <t>menganalisis dan olah data hasil pelatihan SPARK EDISI 2 SESI 2</t>
  </si>
  <si>
    <t>mapping fungsi unit berdasarkan SO terbaru</t>
  </si>
  <si>
    <t>merekap absensi dan aktifitas peserta magang dan pegawai keamanan dan kebersihan</t>
  </si>
  <si>
    <t>membuat materi sid lc tema : strategi komunikasi sales</t>
  </si>
  <si>
    <t>menganalisis turunan dari struktur organisasi unit departemen</t>
  </si>
  <si>
    <t>membuat materi sid lc tema the power of small update</t>
  </si>
  <si>
    <t>menganalisis job evaluasi untuk prosisi GM, sbagai pilot</t>
  </si>
  <si>
    <t>melanjutkan penyusunan dokumen job grading job evauasi dan remunerisasi,</t>
  </si>
  <si>
    <t>membuat materi sid lc tema ownership</t>
  </si>
  <si>
    <t>merekap absensi dan aktifitas peserta mahang dan pegawai keamanan dan kebersihan</t>
  </si>
  <si>
    <t>menglenajutkan analisis job evaluasi membuat dokumen panduan pengerjaan</t>
  </si>
  <si>
    <t>membuat materi sid lc</t>
  </si>
  <si>
    <t>membuat materi sid lc tema INVERSION THINKING “Kalau Ingin Berhasil, Pikirkan Dulu Bagaimana Kita Bisa Gagal.”</t>
  </si>
  <si>
    <t>membtuat job arsitektur dan mmebuat jobprofile</t>
  </si>
  <si>
    <t>merekap absensi peserta magang dan pegawai keamanan serta kebersihan, dan aktifitas pemagang</t>
  </si>
  <si>
    <t>merekap rincian anggaran perbaikan kendaraan dan collect kuitansi faktur pajak dan perjanjian kendaraan</t>
  </si>
  <si>
    <t>melakukan rekap absensi dan aktivitas peserta magang dan pegawai keamanan kebersihan</t>
  </si>
  <si>
    <t>membuat materi sid lc tema BUSINESS CONTINUITY, visualisasi slide</t>
  </si>
  <si>
    <t>membuat job desk DEPARTMENT OF LGRC</t>
  </si>
  <si>
    <t>Merekap absensi dan aktivitas peserta magang dan abensi pegawai keamanan dan kebersihan</t>
  </si>
  <si>
    <t>menganalisis dan mengadit kekurangan dan ketidak sesuaian job Pofile dan memperbaiki</t>
  </si>
  <si>
    <t>merekap absensi dan aktifitas peserta magang serta peg keamanan dan kebersihan</t>
  </si>
  <si>
    <t>membuat materi sid lc tema skenario plan hasill 7 slide penjelasan dengan makro materi</t>
  </si>
  <si>
    <t>menganalisis perhitungan beban kerja unit dan fte unit</t>
  </si>
  <si>
    <t>menyempurnakan hasil dari analsisi penyusunan job desk struktur organisasi future</t>
  </si>
  <si>
    <t>memberikan materi pembekalan untuk pemagang baru</t>
  </si>
  <si>
    <t>membuat materi sid lc dengan tema menunggu vs mengabaikan 9 slide pembahasan makro</t>
  </si>
  <si>
    <t>merekap absensi dan aktifitas peserta magang dan pegawai keamanan serta kebersihan</t>
  </si>
  <si>
    <t>membuat materi sid lc tema DON’T WAIT TO BE TOLD 4 slide materi penjelasan</t>
  </si>
  <si>
    <t>memberikan materi pembekalan untuk pemagang baru tim derivative</t>
  </si>
  <si>
    <t>merekap hasil MBTI pemagang baru dan xollect data magang</t>
  </si>
  <si>
    <t>merekap absensi dan aktivitas peserta magang dan pegawai kemanan dan kebersihan</t>
  </si>
  <si>
    <t>mempresentasikan hasil job profile</t>
  </si>
  <si>
    <t>membuat materi sid lc tema ACCOUNTABILITY WITHOUT AUTHORITY “Bagaimana Tetap Bertanggung Jawab Ketika Keputusan Akhir Bukan di Tangan Kita?”</t>
  </si>
  <si>
    <t>merekab absensi pegwai kebersihan dan keamanan serta peserta magang dan aktivitas peserta magang</t>
  </si>
  <si>
    <t>menganalisis IDP base on MBTI dan Talentpool al pegawai SID 2026</t>
  </si>
  <si>
    <t>Merekab absensi magang dan aktivitasnya serta absensi pegawai keamanan dan kebersihan</t>
  </si>
  <si>
    <t>collect data master pegawai pt semen indonesia distributor</t>
  </si>
  <si>
    <t>merekab absensi dan aktivitas peserta magang dan pegawai keamanan dan kebersihan</t>
  </si>
  <si>
    <t>analisis tupoksi dari pt semen indonesia distributor di semua departemen dan masing masing unit departemen</t>
  </si>
  <si>
    <t>membuat materi sid lc "RESPONSIBILITY WITHOUT VISIBILITY"</t>
  </si>
  <si>
    <t>membuat dokumen ppt hasil kerja bulan agustus komite pksdm</t>
  </si>
  <si>
    <t>membuat materi sid lc dengan tema BUILDING A STRONG FOUNDATION FOR STRATEGIC TRANSFORMATION From Strategic to Operational Excellence: Translating Visible Felt Leadership into Sustainable Performance</t>
  </si>
  <si>
    <t>memberikan materi pembekalan peserta magang baru</t>
  </si>
  <si>
    <t>membuat rangkuman materi pelatihan untuk pak imron sebagai persiapan pelatihan untuk bm terkait penguatan ilmu marketing</t>
  </si>
  <si>
    <t>merekab absensi dan aktifitas peserta magang dan pegawai keamanan dan kebersihan</t>
  </si>
  <si>
    <t>Membuat materi sid lc</t>
  </si>
  <si>
    <t>Merekap absensi dan aktivitas pemagang serta pegawai kebersihan dan keamanan</t>
  </si>
  <si>
    <t>Koordinasi dengan sekolah nurul islam dalam penjemputan priode magang evi</t>
  </si>
  <si>
    <t>membuat materi sid lc tema: DECISION FATIGUE “Semakin banyak keputusan kecil, semakin besar energi mental yang kita gunakan.”</t>
  </si>
  <si>
    <t>membangun sistem dan membuat video tutorial sebagi panduan peserta yang akan mengisi fishbone</t>
  </si>
  <si>
    <t>Mengarsip</t>
  </si>
  <si>
    <t>Mencari arsip</t>
  </si>
  <si>
    <t>Kirim surat</t>
  </si>
  <si>
    <t>Memilah, mendata, mengarsip, mencari arsip</t>
  </si>
  <si>
    <t>Memilah mengarsip</t>
  </si>
  <si>
    <t>Memilah, mengarsip, verifikasi</t>
  </si>
  <si>
    <t>Mengerjakan konten feeds instagram belimaterial untuk tanggal 24 agustus2026 hari senin, untuk pengerjaan slide pertama</t>
  </si>
  <si>
    <t>MENGERJAKAN DESAIN FEEDS INSTAGRAM UNTUK INSTAGRAM BELIMATERIAL UNTUK TANGGAL 24 AGUSTUS 2026 HARI SENIN, PROSED PENGERJAAN SLIDE 2</t>
  </si>
  <si>
    <t>MENGERJAKAN DESAIN FEEDS INSTAGRAM UNTUK INSTAGRAM BELIMATERIAL UNTUK TANGGAL 24 AGUSTUS 2026 HARI SENIN, PROSED PENGERJAAN SLIDE 3 yaitu tentang mortar utama</t>
  </si>
  <si>
    <t>MENGERJAKAN DESAIN FEEDS INSTAGRAM UNTUK INSTAGRAM BELIMATERIAL UNTUK TANGGAL 24 AGUSTUS 2026 HARI SENIN, PROSED PENGERJAAN SLIDE 3 yaitu tentang mortar LAWU</t>
  </si>
  <si>
    <t>Mengerjakan bahan gambar untuk reels tgl 15 agustus yaitu tebak kata kemerdekaan</t>
  </si>
  <si>
    <t>Membuat bahan desain untuk video ucapan kemerdekaan hut ri ke 81</t>
  </si>
  <si>
    <t>Mengerjakan video reels instagram bahan material untuk hari ini tgl 15 agustus 2026 yaitu tentang "awet vs sangat awet"</t>
  </si>
  <si>
    <t>Mengedit konten video reels bm untuk hari selasa 18 agustus 2026 yaitu tentang konten edukasi atap upvc</t>
  </si>
  <si>
    <t>Mengedit konten video reels bm untuk hari selasa 18 agustus 2026 yaitu tentang konten edukasi atap upvc, mengedit tulisan dan transisi</t>
  </si>
  <si>
    <t>Merevisi konten video reels bm (bahan material) untuk hari selasa 18 agustus 2026</t>
  </si>
  <si>
    <t>Mengedit video reels untuk konten bahanmaterial. Com tanggal 20 AGUSTUS 2026 , yaitu tema konten nya "saya mau ngasih tau (bm)"</t>
  </si>
  <si>
    <t>Mengerjakan edit video reels instagram bahanmaterial. Com untuk tanggal 22 agustus 2026 yaitu tentang kknten buat kakak kakak yang mau renov, sound tiktok viral drop dead olivia rodrigo</t>
  </si>
  <si>
    <t>Mengedit video untuk iklan cpas 1 BAHAN MATERIAL. COM TENTANG KONTEN YANG VIRAL YAITU SEPRRTI ANG PA GA SE (ANGKAT PASANG GANTI SEKARANG)</t>
  </si>
  <si>
    <t>Mengedit video untuk iklan cpas 2 BAHAN MATERIAL. COM TENTANG KONTEN YANG VIRAL YAITU SEPRRTI ANG PA GA SE (ANGKAT PASANG GANTI SEKARANG)</t>
  </si>
  <si>
    <t>Mengedit video untuk iklan CPAS 3 BAHAN MATERIAL. COM TENTANG KONTEN YANG VIRAL YAITU POV: DAY 1 MINTA BIKIN KONTEN marketing pakai chat gpt</t>
  </si>
  <si>
    <t>Mengedit video untuk iklan CPAS 3 BAHAN MATERIAL. COM TENTANG KONTEN : Sibuk kerja dan gaada waktu buat cari material</t>
  </si>
  <si>
    <t>Mengedit video untuk iklan CPAS 5 BAHAN MATERIAL. COM TENTANG KONTEN VIRAL YAITU seorang TERTABRAK DAN DILANJUTKAN DENGAN KONTEN PROMOSI IKLAN BAHAN MATERIAL. COM</t>
  </si>
  <si>
    <t>MEREVISI DESAIN COVER FEEDS INSTAGRAM BELI MATERIAL.COM YAITU TENTANG MORTAR INI LEBIH SETIA DARI RELATIONSHIP KAMU! "</t>
  </si>
  <si>
    <t>Mengedit video reels bahan material. Com yaitu tentnang konten edukasi trasram itu sebenarnya buat apa sih?</t>
  </si>
  <si>
    <t>Mengedit video untuk konten reels instagram bahanmaterial.com untuk tanggal 27 Agustus 2026 yaitu tentang konten edukasi Investasi Jangka Panjang buat yang mau bangun rumah</t>
  </si>
  <si>
    <t>Merevisi konten video reels instagram bahanmaterial.com untuk tanggal 27 Agustus 2026 yaitu tentang konten edukasi Investasi Jangka Panjang buat yang mau bangun rumah</t>
  </si>
  <si>
    <t>Mengerjakan desain cover feeds instagram bahanmaterial.com untuk tanggal 31 agustus 2026 tentang produk kran sanitary ava collection</t>
  </si>
  <si>
    <t>Mengerjakan desain Slide Feeds Ke-2 instagram bahanmaterial.com untuk tanggal 31 agustus 2026 tentang produk kran sanitary ava collection</t>
  </si>
  <si>
    <t>Mempacking hampers sid untuk acara sidak sid yang berisi kals 2, topi, tumblr, kartu dan e money</t>
  </si>
  <si>
    <t>Mengedit konten video reels instagram bahanmaterial.com untuk tanggal 29 Agustus 2026 yaitu tentang konten 99 masalah beton, 1 solusi = sika</t>
  </si>
  <si>
    <t>Mengerjakan desain Slide Feeds Ke-3 Instagram bahanmaterial.com untuk tanggal 31 agustus 2026 tentang produk kran sanitary ava collection</t>
  </si>
  <si>
    <t>Mengerjakan desain Slide Feeds Ke-4 Instagram bahanmaterial.com untuk tanggal 31 agustus 2026 tentang produk kran sanitary ava collection, koleksinya apa saja</t>
  </si>
  <si>
    <t>Mengerjakan desain Cover Feeds nstagram bahanmaterial.com untuk tanggal 1 September 2026 tentang Hari Pelanggan (Giveaway)</t>
  </si>
  <si>
    <t>Mengerjakan desain Feeds slide 2 Instagram bahanmaterial.com untuk tanggal 1 September 2026 tentang Hari Pelanggan (Giveaway)</t>
  </si>
  <si>
    <t>Mengerjakan desain Feeds slide Tambahan Kuis Instagram bahanmaterial.com untuk tanggal 1 September 2026 tentang Hari Pelanggan (Giveaway)</t>
  </si>
  <si>
    <t>Mengerjakan Revisian desain Feeds slide Tambahan Kuis Instagram bahanmaterial.com untuk tanggal 1 September 2026 tentang Hari Pelanggan (Giveaway)</t>
  </si>
  <si>
    <t>Mengerjakan desain Cover Feeds Instagram bahanmaterial.com untuk tanggal 7 September 2026 tentang uang 100 ribu kalo di BahanMaterial.Com dapet apa aja ya?</t>
  </si>
  <si>
    <t>Mengerjakan desain Feeds Instagram bahanmaterial.com untuk tanggal 7 September 2026 tentang kalau mau renovasi kamar mandi 100 ribu dapat</t>
  </si>
  <si>
    <t>Mengedit konten video reels instagram bahanmaterial.com untuk tanggal 2 September 2026 yaitu tentang konten jangan takut stok nya habis</t>
  </si>
  <si>
    <t>Mengedit desain feeds untuk kebutuhan konten in this economy (total ada 7 slide)</t>
  </si>
  <si>
    <t>Mengedit desain carousel untuk kebutuhan konten Tiktok in this economy (total ada 7 slide)</t>
  </si>
  <si>
    <t>Mengerjakan desain untuk story instagram BahanMaterial.Com yaitu ucapan hari pelanggan nasional tanggal 4 September 2026</t>
  </si>
  <si>
    <t>Mengerjakan desain Feeds Instagram bahanmaterial.com untuk tanggal 7 September 2026 tentang kalau mau renovasi Pagar Rumah 100 ribu dapat</t>
  </si>
  <si>
    <t>Mengerjakan desain Feeds Instagram bahanmaterial.com untuk tanggal 7 September 2026 tentang 100 Ribu mau dipakai baut renovasi apa?</t>
  </si>
  <si>
    <t>Mengedit konten video reels instagram bahanmaterial.com untuk tanggal 8 September 2026 yaitu tentang konten Edukasi Tangga</t>
  </si>
  <si>
    <t>Merevisi konten video reels instagram bahanmaterial.com untuk tanggal 8 September 2026 yaitu tentang konten Edukasi Tangga</t>
  </si>
  <si>
    <t>Mengedit konten video reels instagram bahanmaterial.com untuk tanggal 10 September 2026 yaitu tentang konten Edukasi Bahasa Tukang vs Bahasa Resmi</t>
  </si>
  <si>
    <t>Melanjutkan editing Konten video reels instagram bahanmaterial.com untuk tanggal 10 September 2026 yaitu tentang konten Edukasi Bahasa Tukang vs Bahasa Resmi</t>
  </si>
  <si>
    <t>MENGEDIT Cover Reels instagram bahanmaterial.com untuk Iklan CPAS 1</t>
  </si>
  <si>
    <t>MENGEDIT Cover Reels instagram bahanmaterial.com untuk Tanggal 3 September 2026 Yaitu Konten Promosi</t>
  </si>
  <si>
    <t>MENGEDIT Cover Reels instagram bahanmaterial.com untuk Tanggal 8 September 2026 Yaitu Konten Edukasi Bangun Tangga Ideal</t>
  </si>
  <si>
    <t>Mengedit konten video reels instagram bahanmaterial.com untuk tanggal 12 September 2026 yaitu tentang konten Entertainment yaitu POV : bos minta konten video tapi kamu cuma punya foto</t>
  </si>
  <si>
    <t>Mengerjakan desain Story Instagram bahanmaterial.com untuk tanggal 12 September 2026 tentang Pengumuman Pemenang Giveaway</t>
  </si>
  <si>
    <t>MENGEDIT Cover Reels instagram bahanmaterial.com untuk Tanggal  15 Agustus 2026 Yaitu Tebak Kata Kemerdekaan</t>
  </si>
  <si>
    <t>Mengedit konten video reels instagram bahanmaterial.com untuk tanggal 15 September 2026 yaitu tentang konten Edukasi plesteraneran Rata dan Rapi</t>
  </si>
  <si>
    <t>Mengerjakan Desain Feeds Instagram SID untuk tanggal 14 September tentang konten The only duo yang ada dipikirkan ku</t>
  </si>
  <si>
    <t>Melanjutkan Editing konten video reels instagram bahanmaterial.com untuk tanggal 15 September 2026 yaitu tentang konten Edukasi plesteraneran Rata dan Rapi</t>
  </si>
  <si>
    <t>Mengedit konten video reels instagram bahanmaterial.com untuk Stok Konten yaitu tentang konten POV Punya Tukang Serba Bisa</t>
  </si>
  <si>
    <t>Mengedit konten video reels instagram bahanmaterial.com untuk Stok Konten yaitu tentang konten Edukasi yaitu Sulap kamar Mandi ala hotel</t>
  </si>
  <si>
    <t>Mengedit konten video reels instagram bahanmaterial.com untuk tanggal 19 September 2026 yaitu tentang konten Entertainment Iphone Duo Setara Dengan</t>
  </si>
  <si>
    <t>Mengedit desain elemen informasi untuk konten reels instagram bahanmaterial.com untuk tanggal 19 September 2026 yaitu tentang konten Entertainment Iphone Duo Setara Dengan</t>
  </si>
  <si>
    <t>Mengerjakan desain Cover Reels Instagram bahanmaterial.com untuk tanggal 10 September 2026 tentang Konten Edukasi Bahasa Tukang vs Bahasa Resmi</t>
  </si>
  <si>
    <t>Mengerjakan desain Cover Reels Instagram bahanmaterial.com untuk tanggal 17 Agustus 2026 tentang Ucapan Hari Kemerdekaan Republik Indonesia</t>
  </si>
  <si>
    <t>Mengerjakan desain Cover Reels Instagram bahanmaterial.com untuk tanggal 18 Agustus 2026 tentang Konten : Gak Semua Hal Bisa Diganti Pakai Kimpul</t>
  </si>
  <si>
    <t>Mengerjakan desain Feeds Instagram bahanmaterial.com untuk tanggal 21 September 2026 tentang Konten : Kodenya</t>
  </si>
  <si>
    <t>Mengerjakan desain Feeds Instagram bahanmaterial.com untuk tanggal 21 September 2026 tentang Konten : Kodenya (Slide 2)</t>
  </si>
  <si>
    <t>Mengerjakan desain Feeds Instagram bahanmaterial.com untuk tanggal 21 September 2026 tentang Konten : Kodenya (Slide 3)</t>
  </si>
  <si>
    <t>Mengerjakan layout Brand Guidelines Semen Indonesia Distributor ( seperti melayout bagian warna : mencari warna nya pantone, rgb, cmyk, hex.) Lalu mengatur skala ukuran logo SID dan mengerjakan mock up merchandise SID seperti topi, totebag, tumblr botol</t>
  </si>
  <si>
    <t>Mengerjakan Desain Id Card/ KArtu Identitas untuk Semen Indonesia Distributor Tampak depan dan Tampak Belakang untuk keperluan Brand Guidelines</t>
  </si>
  <si>
    <t>Mengerjakan Brand Guidelines Semen Indonesia Distributor meliputi nomor halaman dan juga Daftar isi</t>
  </si>
  <si>
    <t>Mengerjakan Brosur Katalog Produk Semen Indonesia Distributor meliputi Layout Brosur Produk</t>
  </si>
  <si>
    <t>Membuat motif pattern/Supergrafis untuk kebutuhan logo BahanMaaterial.Com untuk brand guidelines</t>
  </si>
  <si>
    <t>Mengerjakan Brand Guidelines untuk BahanMaterial.Com cari mulai Cover Sampai Slide Aturan Pemakaian Logo</t>
  </si>
  <si>
    <t>Mengerjakan Brand Guidelines untuk BahanMaterial.Com bab Panduan Grafis (dari panduan warna, Panduan Motif Khas, Tipografi, Panduan Tata Letak</t>
  </si>
  <si>
    <t>Membuat Kartu Nama untuk kebutuhan Stationery BahanMaaterial.Com untuk brand guidelines</t>
  </si>
  <si>
    <t>Membuat Map Folder untuk kebutuhan Stationery BahanMaaterial.Com untuk brand guidelines</t>
  </si>
  <si>
    <t>Mengerjakan beberapa alternatif motif/Supergrafis dari brand guideline Bahannaterial.com</t>
  </si>
  <si>
    <t>Merapikan struktur logo Bahanmaterial. Com agar lebih proporsi untuk kebutuhan brand guideline</t>
  </si>
  <si>
    <t>Mengerjakan desain Social Media Guide yang merupakan bagian dari brand guideline Bahanmaterial.com</t>
  </si>
  <si>
    <t>Mengerjakan desain CTA untuk feeds Instagram Bahan material.official yang merupakan bagian dari brand guideline bahanmaterial. Com</t>
  </si>
  <si>
    <t>Mengerjakan desain Logo (Logo Grid) yang merupakan bagian dari brand guideline Bahanmaterial.com</t>
  </si>
  <si>
    <t>Mengerjakan outro reels animasi transisi logo Bahanmaterial.com untuk krbutuhan brand guideline</t>
  </si>
  <si>
    <t>Mengerjakan desain untuk template Brosur/flyer Bahan yang merupakan bagian dari brand guideline Bahanmaterial.com</t>
  </si>
  <si>
    <t>Mengerjakan desain Amplop F4 Aplikasi Stationery yang merupakan bagian dari brand guideline Bahanmaterial.com</t>
  </si>
  <si>
    <t>Mempelajari program kerja perusahaan DAN MENGINPUT data SIA</t>
  </si>
  <si>
    <t>Melakukan crosscheck dan penyelesaian update SIA bulan Agustus 2026</t>
  </si>
  <si>
    <t>Merapikan dan input data mengenai pelaporan daftar expired apar dan masa berlaku sio operator pt. sid</t>
  </si>
  <si>
    <t>membuat dan mempelajari data rekapan SIO operator forklift cabang PT. SID dengan mengolahnya menjadi dashboard sederhana</t>
  </si>
  <si>
    <t>Membuat dan mengelola pengisian data mengenai nama driver dan nomor handphone driver cabang melalui POA dari setiap cabang PT. Semen Indonesia Distributor</t>
  </si>
  <si>
    <t>Melanjutkan pengisian data mengenai nama driver dan nomor handphone driver cabang melalui POA dari setiap cabang PT. Semen Indonesia Distributor</t>
  </si>
  <si>
    <t>Mengelola data rekapan SIA Forklift dan membuat menjadi sebuah dashboard sederhana meliputi status SIA, sebaran cabang dan SIA per wilayah, status gudang, dan status forklift</t>
  </si>
  <si>
    <t>melakukan penambahan dan perubahan materi terkait pelatihan mengemudi defensive dengan basis perilaku</t>
  </si>
  <si>
    <t>Merevisi hasil penambahan materi dan menambahkan studi kasus mengenai kecelakaan yang bisa saja terjadi pada materi pelatihan Defensif Driver Training</t>
  </si>
  <si>
    <t>Mempelajari standar format pembuatan modul sesuai dengan SID Learning Centre</t>
  </si>
  <si>
    <t>Melakukan follow up terkait data driver pada beberapa cabang PT. SID yang belum melakukan pengisian</t>
  </si>
  <si>
    <t>melakukan perbaikan materi PPT pelatihan DDT mengenai pemeriksaan kelengkapan kendaraan dan batas kecepatan kendaraan</t>
  </si>
  <si>
    <t>Membuat modul pembelajaran terkait berkendara secara aman</t>
  </si>
  <si>
    <t>Melakukan invitation para driver cabang PT. SID yang belum bergabung ke dalam grup koordinasi</t>
  </si>
  <si>
    <t>Membuat poster K3 tentang safety driving</t>
  </si>
  <si>
    <t>Membuat modul pembelajaran mengenai basic atau dasar-dasar K3 di area gudang</t>
  </si>
  <si>
    <t>Membuat materi PPT berdasarkan modul Basic K3</t>
  </si>
  <si>
    <t>Menginput data pendidikan POA cabang PT. SID</t>
  </si>
  <si>
    <t>Mempelajari dan merapikan SOP terkait penggunaan APAR dan IBPR</t>
  </si>
  <si>
    <t>Memindai dokumen K3 meliputi kebijakan K3 dan komitmen K3 perusahaan</t>
  </si>
  <si>
    <t>Membuat materi PPT mengenai tugas dan fungsi POA cabang</t>
  </si>
  <si>
    <t>Mereview buku pedoman K3 dan menambahkan beberapa revisi</t>
  </si>
  <si>
    <t>Membedah isi SOP mengenai pelaporan, penanganan, dan investigasi kecelakaan kerja</t>
  </si>
  <si>
    <t>Melakukan finalisasi revisi buku pedoman K3</t>
  </si>
  <si>
    <t>Membuat SOP investigasi kecelakaan kerja</t>
  </si>
  <si>
    <t>Mengumpulkan data inspeksi APAR</t>
  </si>
  <si>
    <t>Membuat formulir pencatatan limbah B3 dan barang bekas</t>
  </si>
  <si>
    <t>Membuat SOP penanganan sampah dan barang bekas</t>
  </si>
  <si>
    <t>Melakukan inspeksi APAR</t>
  </si>
  <si>
    <t>Pembuatan SOP P3K</t>
  </si>
  <si>
    <t>Pembuatan SOP keselamatan pengiriman barang</t>
  </si>
  <si>
    <t>Reminder POA Cabang kelengkapan data inspeksi APAR</t>
  </si>
  <si>
    <t>Pembuatan IK Penggunaan APAR</t>
  </si>
  <si>
    <t>Pembuatan IK Pemeliharaan APAR</t>
  </si>
  <si>
    <t>Pembuatan poster bahaya kebakaran hutan</t>
  </si>
  <si>
    <t>Reminder POA cabang dan melengkapi data inspeksi APAR</t>
  </si>
  <si>
    <t>Menggabung IK Penggunaan APAR dan IK Pemeliharaan APAR menjadi satu kesatuan</t>
  </si>
  <si>
    <t>Melanjutkan pengisian data inspeksi melalui poa cabang</t>
  </si>
  <si>
    <t>Mengelompokkan master data meliputi SIA, SIO, APAR untuk pembuatan dashboard</t>
  </si>
  <si>
    <t>Penyususan ik pENGGANTIAN bAN</t>
  </si>
  <si>
    <t>Pelaksanaan sosialisai DDT</t>
  </si>
  <si>
    <t>Membuat stiker untuk perusahaan cabang ngawi</t>
  </si>
  <si>
    <t>Melakukan simulasi penggunaan APAR</t>
  </si>
  <si>
    <t>Penyusunan IK Pemeliharaan dan Penyimpanan APD</t>
  </si>
  <si>
    <t>Penyusunan IK Pengecekan Kondisi Sistem Rem</t>
  </si>
  <si>
    <t>Melakukan penyesuaian pada dashboard master K3</t>
  </si>
  <si>
    <t>Menyusun materi dan pembuatan PPT Waspada Musim Pancaroba</t>
  </si>
  <si>
    <t>Melakukan revisi buku pedoman</t>
  </si>
  <si>
    <t>MELAKUKAN PERBAIKAN FORMAT sop Penggunaan APD</t>
  </si>
  <si>
    <t>Melanjutkan revisi penambahan materi pada buku pedoman K3</t>
  </si>
  <si>
    <t>Menyelesaikan materi P3K</t>
  </si>
  <si>
    <t>menghubungi POA status pengadaan APD</t>
  </si>
  <si>
    <t>Menyiapkan formulir inspeksi APAR</t>
  </si>
  <si>
    <t>Collect data bukti APAR expired</t>
  </si>
  <si>
    <t>Menghubungi kantor cabang PT. Semen Indonesia Distributor untuk bukti foto APAR</t>
  </si>
  <si>
    <t>Melakukan collect data dan validasi data APAR</t>
  </si>
  <si>
    <t>Mempelajari pembuatan video animasi safety induction</t>
  </si>
  <si>
    <t>penyusunan bagian awal video animasi safety induction</t>
  </si>
  <si>
    <t>Menyusun dan membuat poster mengenai kecepatan aman truk operasional</t>
  </si>
  <si>
    <t>Membuat flyer ketentuan area operasional dan area wajib APD</t>
  </si>
  <si>
    <t>Revisi dan fiksasi poster kecepatan aman truk operasional</t>
  </si>
  <si>
    <t>Editing video animasi safety induction</t>
  </si>
  <si>
    <t>Melanjutkan tahap editing video animasi safety induction</t>
  </si>
  <si>
    <t>Penambahan sound effect pada video animasi safety induction</t>
  </si>
  <si>
    <t>mengarsip surat jalan</t>
  </si>
  <si>
    <t>mendata pengeluaran biaya</t>
  </si>
  <si>
    <t>mendata rincian biaya operasional</t>
  </si>
  <si>
    <t>mendata realisasi beli dan biaya</t>
  </si>
  <si>
    <t>mengarsip spj semen curah jumbo bag 2026</t>
  </si>
  <si>
    <t>MENGARSIP spj semen curah jumbo bag 2025</t>
  </si>
  <si>
    <t>mengarsip copy spj semen curah jumbo BAG 2025 bulan JAN-maret</t>
  </si>
  <si>
    <t>mengarsip copy spj semen curah jumbo bag 2026 bulan mei-Juni</t>
  </si>
  <si>
    <t>mengarsip spj amman mineral nusa tenggara  jumbo-bag 2023,2024,2025</t>
  </si>
  <si>
    <t>mengarsip spj amman mineral nusa tenggara jumbo-bag 2023,2024,2025 bulan Januari-juli</t>
  </si>
  <si>
    <t>mengarsip copy invoice jumbo-bag 2025</t>
  </si>
  <si>
    <t>mengarsip copy invoice tambang 2025</t>
  </si>
  <si>
    <t>mengarsip spj amman mineral nusa tenggara jumbo-bag 2026</t>
  </si>
  <si>
    <t>mengarsip copy invoice tambang 2025,2026 &amp; copy invoice jumbo bag 2025,2026</t>
  </si>
  <si>
    <t>nge scan surat perintah barang</t>
  </si>
  <si>
    <t>mengarsip copy invoice jumbo bag 2023</t>
  </si>
  <si>
    <t>memverifikasi pengajuan dropping</t>
  </si>
  <si>
    <t>mengarsip &amp; fotocopy spj</t>
  </si>
  <si>
    <t>memverifikasi pengajuan dropping &amp; analisis rincian biaya operasional</t>
  </si>
  <si>
    <t>mengarsip copy spj semen curah jumbo bag 2026</t>
  </si>
  <si>
    <t>mengarsip copy spj semen curah jumbo bag bulan juli 2026</t>
  </si>
  <si>
    <t>verifikasi pengajuan dropping &amp; analisis rincian biaya operasional</t>
  </si>
  <si>
    <t>nge scan surat perintah jalan</t>
  </si>
  <si>
    <t>nge scan spj</t>
  </si>
  <si>
    <t>mengarsip copy invoice tambang bulan juni 2026</t>
  </si>
  <si>
    <t>nge scan spb amman mineral bulan februari</t>
  </si>
  <si>
    <t>nge scan spb amman mineral bulan maret 2023</t>
  </si>
  <si>
    <t>nge scan spb amman mineral bulan agustus 2023</t>
  </si>
  <si>
    <t>nge scan spj amman mineral bulan september 2023</t>
  </si>
  <si>
    <t>nge scan spj amman mineral bulan oktober 2023</t>
  </si>
  <si>
    <t>nge scan spj amman mineral bulan november 2023</t>
  </si>
  <si>
    <t>nge scan spj amman mineral bulan desember 2023</t>
  </si>
  <si>
    <t>nge scan spj amman mineral bulan januari 2023</t>
  </si>
  <si>
    <t>nge scan spj amman mineral bulan agustus 2024</t>
  </si>
  <si>
    <t>nge scan spj amman mineral bulan januari 2024</t>
  </si>
  <si>
    <t>nge scan spj amman mineral bulan september 2024</t>
  </si>
  <si>
    <t>nge scan spj amman mineral bulan november 2024</t>
  </si>
  <si>
    <t>nge scan spj amman mineral bulan desember 2024</t>
  </si>
  <si>
    <t>nge scan spj amman mineral bulan januari 2025</t>
  </si>
  <si>
    <t>nge scan spj amman mineral bulan februari 2025</t>
  </si>
  <si>
    <t>mengarsip copy INVOICE tambang bulan juni 2026</t>
  </si>
  <si>
    <t>mengarsip copy spj semen curah jumbo bag juli 2026</t>
  </si>
  <si>
    <t>nge scan spj amman mineral bulan mei 2025</t>
  </si>
  <si>
    <t>nge scan spj amman mineral bulan juli-agustus 2025</t>
  </si>
  <si>
    <t>nge scan spj amman mineral bulan september 2025</t>
  </si>
  <si>
    <t>nge scan spj amman mineral bulan oktober-november 2025</t>
  </si>
  <si>
    <t>verifikasi pengajuan droppinh &amp; analisis rincian biaya operasional</t>
  </si>
  <si>
    <t>packing dokumen</t>
  </si>
  <si>
    <t>nge scan spj amman MINERAL bulan desember 2025</t>
  </si>
  <si>
    <t>mengarsip copy invoice jumbo BAG juni 2026</t>
  </si>
  <si>
    <t>mengarsip copy spj semen curah jumbo BAG juni 2026</t>
  </si>
  <si>
    <t>merapikan dokumen pengajuan dropping</t>
  </si>
  <si>
    <t>nge scan spj amman mineral juli 2026</t>
  </si>
  <si>
    <t>mengarsip berkas rincian biaya OPERASIONAL cabang JATIM 2026</t>
  </si>
  <si>
    <t>mengarsip copy invoice jumbo bag bulan juli 2026</t>
  </si>
  <si>
    <t>mengarsip copy spj semen curah jumbo bag bulan juni 2026</t>
  </si>
  <si>
    <t>verifikasi pengajuan DROPPing &amp; analisis rincian biaya operasional</t>
  </si>
  <si>
    <t>scan arsip bendahara</t>
  </si>
  <si>
    <t>verifikasi pengajuan dropping &amp; ANALISIS rincian biaya operasional</t>
  </si>
  <si>
    <t>CEK &amp; mengurutkan surat perintah BARANG</t>
  </si>
  <si>
    <t>verifikasi dropping reguler &amp; analisis rincian biaya operasional</t>
  </si>
  <si>
    <t>verifikasi dropping reguler &amp; ANALISIS rincian biaya operasional</t>
  </si>
  <si>
    <t>verifikasi DROPPINg reguler &amp; analisis rincian biaya operasional</t>
  </si>
  <si>
    <t>verifikasi dropping reguler &amp; analisis rincian biaya operasion</t>
  </si>
  <si>
    <t>verifikasi dropping reguler &amp; analisis rincian BIAYA operasional</t>
  </si>
  <si>
    <t>verifikasi droppimg reguler &amp; analisis rincian biaya operasional</t>
  </si>
  <si>
    <t>2/6/26 menganalisis konten sid dan bm serta membuat templat brief konten yang baru</t>
  </si>
  <si>
    <t>3/6/26 membuat monthly planning konten untuk bulan juni</t>
  </si>
  <si>
    <t>4/6/26 membuat 3 brief konten sid dan bm</t>
  </si>
  <si>
    <t>membuat script konten feed SID untuk dokumentasi santunan anak yatim</t>
  </si>
  <si>
    <t>membuat 2 script konten proyek sekolah rakyat sragen &amp; collab mortar indonesia</t>
  </si>
  <si>
    <t>mencari ide konten tiktok sid</t>
  </si>
  <si>
    <t>membuat konten brief materi iklan untuk bahanmaterial</t>
  </si>
  <si>
    <t>membuat script untuk reels konten bahan material story telling</t>
  </si>
  <si>
    <t>membuat konten brief untuk sid edukasi tile on tile</t>
  </si>
  <si>
    <t>membuat konten brief sid hard selling</t>
  </si>
  <si>
    <t>membuat script konten campaign zero glangsing</t>
  </si>
  <si>
    <t>membuat script konten dokumentasi sunat massal sid</t>
  </si>
  <si>
    <t>shooting konten reels instagram sid semen. curah</t>
  </si>
  <si>
    <t>membuat brief konten sid timelapse proses pembangunan rumah</t>
  </si>
  <si>
    <t>membuat brief konten feed sid tentang sop forklift</t>
  </si>
  <si>
    <t>membuat video timelapse ai proses pembangunan untuk konten sid</t>
  </si>
  <si>
    <t>membuat brief konten bahan material untuk reels  yakin beli yang murah</t>
  </si>
  <si>
    <t>MEMBUAT SCRIPT UNTUK DOKUMENTASI GATHERING BTN DAN SID</t>
  </si>
  <si>
    <t>MEMBUAT SCRIPT UNTUK STORY TAHUN BARU ISLAM DAN HARI RAYA GALUNGAN SID</t>
  </si>
  <si>
    <t>membuat 4 brief konten instagram sid promotional trend</t>
  </si>
  <si>
    <t>mendesain feed konten sid tentang bahan tambang</t>
  </si>
  <si>
    <t>membuat caption dan skrip untuk sid dan bahan material</t>
  </si>
  <si>
    <t>membuat brief konten breaking news sid cabang bandung</t>
  </si>
  <si>
    <t>membuat brief konten feed bahan material nippon paint spot less</t>
  </si>
  <si>
    <t>mengedit 2 konten tiktok untuk SID</t>
  </si>
  <si>
    <t>merevisi dan mendesain feed sid breaking news cabang bandung</t>
  </si>
  <si>
    <t>membuat script bm terkait edukasi proyek mbg cat epoxy</t>
  </si>
  <si>
    <t>membuat script bahan material 3 script konten edukasi + entertainment</t>
  </si>
  <si>
    <t>membuat script untuk konten reels sid</t>
  </si>
  <si>
    <t>membuat script untuk konten sid terkait produk bata ringan</t>
  </si>
  <si>
    <t>membuat script konten animasi flat desain untuk akun sid</t>
  </si>
  <si>
    <t>melakukan take konten entertainment bahan material</t>
  </si>
  <si>
    <t>membuat script reels untuk instagram sid terkait produk granit ara</t>
  </si>
  <si>
    <t>mmebuat cover gambar untuk website belanja material</t>
  </si>
  <si>
    <t>merevisi referensi konten feed instagram sid green label indonesia</t>
  </si>
  <si>
    <t>shooting konten reels Bahan Material</t>
  </si>
  <si>
    <t>membuat brief konten feed instagram sid edukasi atap upvc dan baja ringan</t>
  </si>
  <si>
    <t>MEMBUAT BRIEF KONTEN BREAKING NEWS CABANG KLATEN</t>
  </si>
  <si>
    <t>MEMBUAT BRIEF KONTEN BAHAN MATERIAL TERKAIT RENOVASI DAPUR</t>
  </si>
  <si>
    <t>MEMBUAT BRIEF STORY HARI RAYA KUNINGAN UNTUK SID</t>
  </si>
  <si>
    <t>membuat brief konten feed bahanmaterial promosi</t>
  </si>
  <si>
    <t>membuat brief konten feed bahanmaterial edukasi dinding retak</t>
  </si>
  <si>
    <t>mencari ide konten entertainment untuk bahanmaterial</t>
  </si>
  <si>
    <t>revisi desain feed cat anti noda di akun bahan material</t>
  </si>
  <si>
    <t>merevisi desain carousel sop forklift untuk sid</t>
  </si>
  <si>
    <t>Shooting konten tanya karyawan untuk reels sid</t>
  </si>
  <si>
    <t>membuat storyboard dan animasi video world cup untuk sid</t>
  </si>
  <si>
    <t>shooting konten reels instagram bahan material</t>
  </si>
  <si>
    <t>membuat script konten edukasi cara menghitung baja ringan untuk bahan material</t>
  </si>
  <si>
    <t>membuat script untuk reels edukasi sid #cerita klien sid</t>
  </si>
  <si>
    <t>membuat script reels instagram untuk bahan material</t>
  </si>
  <si>
    <t>membuat script feed sid tentang isi kamar mandi lebar 1 meter</t>
  </si>
  <si>
    <t>membuat rencana display dekorasi untuk live streaming</t>
  </si>
  <si>
    <t>riset dan membuat materi promosi ads untuk reels instagram sid</t>
  </si>
  <si>
    <t>merevisi desain feed bahanmaterial tentang atap upvc</t>
  </si>
  <si>
    <t>membuat script giveaway back to school untuk reels instagram sid</t>
  </si>
  <si>
    <t>Riset dan membuat script reels edukasi bahanmaterial.com</t>
  </si>
  <si>
    <t>merevisi konten feed sid is coming dan membuat caption</t>
  </si>
  <si>
    <t>shooting konten reels instagram sid untuk konten promosi</t>
  </si>
  <si>
    <t>membuat generate video ai untuk reels instagram sid lalu meravisi hasil editing</t>
  </si>
  <si>
    <t>menyusun konten plan sesuai dengan jadwal konten yang sudah ditentukan</t>
  </si>
  <si>
    <t>shooting konten tiktok untuk sid bersama para talent</t>
  </si>
  <si>
    <t>membuat script feed instGram sid tentang mortar indonesia k-6</t>
  </si>
  <si>
    <t>membuat script feed carousel untuk postingan instagram sid tentag atap fiber semen</t>
  </si>
  <si>
    <t>shooting konten untuk reels bahanmaterial dengan konten pillar entertainment</t>
  </si>
  <si>
    <t>merevisi desain feed sid terkait atap upvc dan baja ringan</t>
  </si>
  <si>
    <t>MEMBUAT SCRIPT UNTUK FEED instagram bahanmaterial (one wish willow)</t>
  </si>
  <si>
    <t>membuat brief feed instagram sid terkait rapat midyear 2026</t>
  </si>
  <si>
    <t>membuat brief konten reels instagram bahan material terkait edukasi tangga ideal</t>
  </si>
  <si>
    <t>membuat brief  untuk feed instagram sid meeting midyear 2026 foto video slide</t>
  </si>
  <si>
    <t>membuat script reels untuk sid tentang edukasi bata ringan</t>
  </si>
  <si>
    <t>membuat script reels untuk bahanmaterial Find the BM Chameleon</t>
  </si>
  <si>
    <t>membuat script reels bahanmaterial awet vs sangat awet</t>
  </si>
  <si>
    <t>shooting konten untuk bahanmaterial &amp; sid</t>
  </si>
  <si>
    <t>mengedit dan membuat prompt gambar dan video untuk hari kejaksaan dan hari anak nasional</t>
  </si>
  <si>
    <t>mengedit video entertaint untuk akun tiktok sid</t>
  </si>
  <si>
    <t>membuat script edukasi tentang besi beton untuk sid</t>
  </si>
  <si>
    <t>membuat script berupa carousel instagram sid tentang sanitary</t>
  </si>
  <si>
    <t>membuat script untuk video edukasi instagram sid tentang jenis pondasi</t>
  </si>
  <si>
    <t>mengedit tumbhnail artikel pada website belanja material</t>
  </si>
  <si>
    <t>membuat script konten reels tentang baja ringan primus untuk sid</t>
  </si>
  <si>
    <t>membuat script untuk bahanmateriall tentang AKSESORIS ATAP UPVC</t>
  </si>
  <si>
    <t>SHOOTING KONTEN REELS BAHANMATERIAL.COM TENTANG SANITARY</t>
  </si>
  <si>
    <t>membuat script untuk feed instagram sid tentang semen gresik</t>
  </si>
  <si>
    <t>shooting konten reels untuk instagram sid tentang granit ara - personal</t>
  </si>
  <si>
    <t>merevisi script feed instagram bahanmaterial terkait produk sanitary</t>
  </si>
  <si>
    <t>membuat script untuk feed dokumentasi rapat kerja tengah tahun regional jawa tengah</t>
  </si>
  <si>
    <t>membuat script untuk feed dokumenrasi rapat kerja jawa barat, dki, banten</t>
  </si>
  <si>
    <t>membuat script untuk konten hari kemerdekaan ri pada instagram sid</t>
  </si>
  <si>
    <t>membuat script konten untuk feed video dokumentasi team building jateng jabar SID</t>
  </si>
  <si>
    <t>membuat script untuk konten reels terkait sejarah rumah gajah mungkur</t>
  </si>
  <si>
    <t>merevisi desain feed dokumentasi raker jabar dki banten</t>
  </si>
  <si>
    <t>merevisi script konten feed video untuk team building saat raker jateng jabar</t>
  </si>
  <si>
    <t>membuat feed bahanmaterial tentang jenis jenis mortar</t>
  </si>
  <si>
    <t>membuat artikel untuk website sid tentang rapat kerja midyear 2026 dan perjanjian kerjasama bersama sikad</t>
  </si>
  <si>
    <t>riset konten bulan agustus pada instagram anak usaha sig</t>
  </si>
  <si>
    <t>merevisi reels konten rapat kerja midyear regional jabar, dki, banten  &amp; team building</t>
  </si>
  <si>
    <t>shooting konten sid rumah ala pinterest fiber semen board</t>
  </si>
  <si>
    <t>membuat postingan linkedin terkait rapat kerja midyear 2026</t>
  </si>
  <si>
    <t>membuat script konten reels edukasi perbedaan semen pcc dan opc pada instagram sid</t>
  </si>
  <si>
    <t>membuat script untuk launching produk kley mortar</t>
  </si>
  <si>
    <t>membuat script bahanmaterial.com terkait perbedaan reng simetris dan reng asimetris</t>
  </si>
  <si>
    <t>membuat script feed sid terkait trend spiderman - setiap proyek butuh pahlawan</t>
  </si>
  <si>
    <t>melakukan shooting konten tiktok sid  pada beberapa talent</t>
  </si>
  <si>
    <t>membuat script dokumentasi MOU perjanjian kerjasama antara sid dan</t>
  </si>
  <si>
    <t>membuat script dan merevisi hasil edit untuk feed bm</t>
  </si>
  <si>
    <t>membuat script konten untuk feed sid tentang memperkenalkan sid ke audiens</t>
  </si>
  <si>
    <t>membuat feed kemerdekaan RI</t>
  </si>
  <si>
    <t>membuat script tentang reels bahanmaterial kalsium</t>
  </si>
  <si>
    <t>generate dan mengedit konten feed trend spiderman</t>
  </si>
  <si>
    <t>MEMBUAT JUDUL DAN SUBJUDUL UNTUK COVER REEL</t>
  </si>
  <si>
    <t>MENCARI IDE DAN RISET KONTEN KEMERDEKAAN</t>
  </si>
  <si>
    <t>MEMBUAT SCRIPT 8.8 SALE UNTUK BM DAN SHOOTING KONTEN</t>
  </si>
  <si>
    <t>membuat script untuk konten feed bm uang 100 ribu bisa dapet apa aja?</t>
  </si>
  <si>
    <t>revisi editor untuk konten perbedaan semen opc dan pcc serta membuat caption</t>
  </si>
  <si>
    <t>membuat script konten edukasi bahan material tentang trasram</t>
  </si>
  <si>
    <t>shooting konten SID UNTUK KEMERDEKAAN REPUBLIK INDONESIA</t>
  </si>
  <si>
    <t>SHOOTING KONTEN BM TENTANG KEMERDEKAAN</t>
  </si>
  <si>
    <t>UPLOAD LINKEDIN TERKAIT ACARA PUSAKARYA BERSAMA SOLUSI BANGUN INDONESIA</t>
  </si>
  <si>
    <t>membuat script konten edukasi untuk tim internal bagi SID</t>
  </si>
  <si>
    <t>shooting konten iklan cpas bahanmaterial dan materi konten reels</t>
  </si>
  <si>
    <t>membuat materi script untuk konten iklan cpas</t>
  </si>
  <si>
    <t>membuat script edukasi tim internal tentang permasalahan yang sering terjadi di lapangan</t>
  </si>
  <si>
    <t>18/08/2026  membuat script untuk feed semen kujang</t>
  </si>
  <si>
    <t>18/08/2026 - [x] membuat script untuk video animasi semen hari sabtu</t>
  </si>
  <si>
    <t>mencari referensi konten entertaint tiktok sid</t>
  </si>
  <si>
    <t>shooting beberapa konten sid entertaintment untuk stok satu minggu</t>
  </si>
  <si>
    <t>membuat script untuk konten ringan sid hari sabtu dan mencari referensi konten hari pelanggan</t>
  </si>
  <si>
    <t>membuat script bm kran air mati pas lagi asyik cuci piring?</t>
  </si>
  <si>
    <t>membuat script bm entertaint + promosi "kodenya apa?"</t>
  </si>
  <si>
    <t>shooting konten bahanmaterial untuk iklan cpas</t>
  </si>
  <si>
    <t>membuat script edukasi internal pelanggan day 2 pelanggan ghosting</t>
  </si>
  <si>
    <t>MEMBUAT SCRIPT HARI PELANGGAN NASIONAL - SIDAK TOKO</t>
  </si>
  <si>
    <t>MEMBUAT VIDEO TIKTOK DAY 1 BELAJAR COPYWRITING DARI PRODUK sid</t>
  </si>
  <si>
    <t>mencari referensi web page sid</t>
  </si>
  <si>
    <t>membuat script untuk hari pelanggan - keuntungan bergabung sebagai mitra sid</t>
  </si>
  <si>
    <t>shooting konten bahanmaterial tentang trasram</t>
  </si>
  <si>
    <t>membuat script hari pelanggan a day in my life collab mba friska</t>
  </si>
  <si>
    <t>membuat script untuk giveaway spesial hari pelanggan sid</t>
  </si>
  <si>
    <t>shooting konten hari pelanggan sid "definisi pelanggan menurut kamu"</t>
  </si>
  <si>
    <t>membuat script untuk bahanmaterial tentang tips pemasangan plesteran agar rapi dan rata</t>
  </si>
  <si>
    <t>shooting konten tiktok untuk sid entertainment</t>
  </si>
  <si>
    <t>membuat script konten sid giveway  hari pelanggan nasional</t>
  </si>
  <si>
    <t>shooting hari pelanggan keliling sidak toko di lamongan</t>
  </si>
  <si>
    <t>membuat script konten feed bahan material jenis jenis fiber cement</t>
  </si>
  <si>
    <t>shooting konten sidak toko di sidayu gresik</t>
  </si>
  <si>
    <t>membuat script konten mahakarya semen gresik (stadion gbk)</t>
  </si>
  <si>
    <t>shooting konten edukasi tim internal</t>
  </si>
  <si>
    <t>mencari referensi konten dan membuat konten brief untuk bahanmaterial</t>
  </si>
  <si>
    <t>membuat brief konten saat di cabang sidayu (cek stok material BM) sekaligus voice over</t>
  </si>
  <si>
    <t>Mengedit story ucapan hari pelanggan nasional</t>
  </si>
  <si>
    <t>membuat script bahanmaterial edukasi bata interlock</t>
  </si>
  <si>
    <t>membuat konten feed sid untuk konten mortar midpro 3in1</t>
  </si>
  <si>
    <t>sHOOTING KONTEN EDUKASI INTERNAL UNTUK TIM CABANG</t>
  </si>
  <si>
    <t>membuat script story hari olahraga nasional</t>
  </si>
  <si>
    <t>mencari referensi untuk konten feed semen gresik + mortar indonesia</t>
  </si>
  <si>
    <t>membuat artikel perjanjian kerja sama antara pt semen indonesia distributor dengan pt krakatau baja konstruksi</t>
  </si>
  <si>
    <t>shooting konten bahanmaterial di roemah kita</t>
  </si>
  <si>
    <t>mengupload artikel kerjasama sid x kbk di linkedin</t>
  </si>
  <si>
    <t>membuat redaksi pesan broadcast terkait penipuan transaksi penagihan dan artikel perjanjian sid</t>
  </si>
  <si>
    <t>SHOOTING KONTEN REELS SID ENTERTAINMENT</t>
  </si>
  <si>
    <t>merevisi script konten sid terkait edukasi atap upvc</t>
  </si>
  <si>
    <t>list pemenang giveaway sid dan bahanmaterial</t>
  </si>
  <si>
    <t>membuat script konten feed sid "the duo"</t>
  </si>
  <si>
    <t>membuat script bahanmaterial terkait bahasa tukang vs bahasa resmi</t>
  </si>
  <si>
    <t>membuat script konten edukasi sid tentang pengenalan produk jumbo bag</t>
  </si>
  <si>
    <t>membuat konten edukasi sid tentang distribusi jumbo bag</t>
  </si>
  <si>
    <t>shooting konten tiktok SID</t>
  </si>
  <si>
    <t>membuat script konten sid jangan sampai salah pilih material kenali perbedaannya</t>
  </si>
  <si>
    <t>membuat script + shooting konten trend foto 80an SID</t>
  </si>
  <si>
    <t>merevisi script konten feed sid tntang midpro 3in1</t>
  </si>
  <si>
    <t>membuat script konten terkait edukasi jenis jenis jumbo bag</t>
  </si>
  <si>
    <t>membuat script untuk konten feed trend produk sid &amp; layanan</t>
  </si>
  <si>
    <t>shooting konten SID terkait perbedaan material</t>
  </si>
  <si>
    <t>membuat script untuk teaser merger sid</t>
  </si>
  <si>
    <t>membuat script konten bahasa tukang vs bahasa resmi part 2</t>
  </si>
  <si>
    <t>membuat script untuk konten bersama cabang ke toko bangunan</t>
  </si>
  <si>
    <t>membuat acript bahanmaterial tentang perbedaan konstruksi di proyek</t>
  </si>
  <si>
    <t>membuat script bahanmaterial untuk keperluan payday sale dan produk tg 300 &amp; cat kayu besi ftalit</t>
  </si>
  <si>
    <t>shooting tiktok partnersidistributor</t>
  </si>
  <si>
    <t>mencetak annual report dan brosur di surabaya</t>
  </si>
  <si>
    <t>shooting konten BM di roemah kita</t>
  </si>
  <si>
    <t>membuat script mitos atau fakta untuk bm</t>
  </si>
  <si>
    <t>shooting konten tiktok dan reels sid</t>
  </si>
  <si>
    <t>shooting konten reels sid</t>
  </si>
  <si>
    <t>membuat script untuk memperingati hari kesaktian pancasila</t>
  </si>
  <si>
    <t>membuat konsep story interaktif sid tes mata</t>
  </si>
  <si>
    <t>membuat artikel jual mortar "Mengenal Teknik Tile on Tile : Renovasi Keramik Tanpa Bongkar"</t>
  </si>
  <si>
    <t>membuat brief teaser merger untuk perusahaan</t>
  </si>
  <si>
    <t>membuat script reels edukasi terkait proses loading di gudang</t>
  </si>
  <si>
    <t>membuat script bahanmaterial terkait bahasa tukang vs bahasa tekni s</t>
  </si>
  <si>
    <t>shooting konten sid lebih berarti jika ada mereka</t>
  </si>
  <si>
    <t>ngedit reels</t>
  </si>
  <si>
    <t>bikin reels</t>
  </si>
  <si>
    <t>buat reels</t>
  </si>
  <si>
    <t>buat feeds ig</t>
  </si>
  <si>
    <t>buat feeds</t>
  </si>
  <si>
    <t>buat 3 reels</t>
  </si>
  <si>
    <t>buat reels, buat feeds</t>
  </si>
  <si>
    <t>buat 2 reels</t>
  </si>
  <si>
    <t>buat reels 2, buat feed live</t>
  </si>
  <si>
    <t>feeds</t>
  </si>
  <si>
    <t>BUAT FEEDS</t>
  </si>
  <si>
    <t>buat rerls</t>
  </si>
  <si>
    <t>buat feed</t>
  </si>
  <si>
    <t>buat youtube</t>
  </si>
  <si>
    <t>youtube</t>
  </si>
  <si>
    <t>feed</t>
  </si>
  <si>
    <t>packing hampers sid</t>
  </si>
  <si>
    <t>buat feed kr</t>
  </si>
  <si>
    <t>buat feed jm</t>
  </si>
  <si>
    <t>buatthumbnail</t>
  </si>
  <si>
    <t>revisi youtube</t>
  </si>
  <si>
    <t>buat story</t>
  </si>
  <si>
    <t>Memverivikasi dan mengarsip dropshipper cabang cilacap dan subang</t>
  </si>
  <si>
    <t>Memverifikasi dan arsip cabang Banjarmasin, bojonegoro dan sargen</t>
  </si>
  <si>
    <t>Memverifikasi dan mengarsip Dropshipper cabang Tuban, bojonegoro, klaten ,Tulungagung. Singosari</t>
  </si>
  <si>
    <t>Memverifikasi dan arsip lalu merapikan  dropping reguler dari cabang pekalongan, klaten, bekasi, bangkalan, curah jatim, pasuruan, jumbo bag</t>
  </si>
  <si>
    <t>Memverifikasi merapikan dan mengarsip droping reguler dari cabang jombang. Trangelak. Bogor. Banjarmasin. Curah benten. Kediri, curah jateng</t>
  </si>
  <si>
    <t>Memverifikasi dan mengarsip droping reguler dari cabang serang, karawang, nganjuk, ngawi, subang,tegal, sukoharjo, jatim curah</t>
  </si>
  <si>
    <t>Memverifikasi dan mengarsip droping reguler dari cabang majalengka. Lombok. Sukabumi II</t>
  </si>
  <si>
    <t>Memverifikasi dan mengarsipkan dropping reguler dari cabang purwokerto, kebumen, Purwakarta, karawang ( lainnya ga kefoto)</t>
  </si>
  <si>
    <t>Memverifikasi dan mengarsipkan dropping reguler dari cabang roemah kita, sayung, gunung kidul, tambanan,cianjur, padalarang, pangandaran ( yg lain ga kefoto)</t>
  </si>
  <si>
    <t>Memeverifikasi dan mengarsip droping dari cabang jakarta timur, cianjur, jambi, sidoarjo, jambi, ( yg lain ngak kefoto)</t>
  </si>
  <si>
    <t>Memverifikasi dan mengarsipkan dropping reguler dari cabang Karawnag Ngawi Jombang Tangerang Magetan Pare kediri</t>
  </si>
  <si>
    <t>Memverifikasi dan mengarsipkan dropping reguler dari cabang karawang, nganjuk, madiun, serang, klungkung, denpasar, jembrana, lombok, tasikmalaya</t>
  </si>
  <si>
    <t>* Mengambil paket di pos * Memverifikasi dan merapikan dropping reguler dari cabang trangelak, tulungagung, sukabumi, tabanan, gunung kidul * mengambil paket yang ke 2 di pos  * mengarsip dropping, membantu pak zul dan mbak putri memverifikasi dropping</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</si>
</sst>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
    <numFmt numFmtId="165" formatCode="0.0"/>
    <numFmt numFmtId="166" formatCode="0.00000"/>
    <numFmt numFmtId="167" formatCode="\+0;\-0;0"/>
    <numFmt numFmtId="168" formatCode="dd\-mm\-yy"/>
    <numFmt numFmtId="169" formatCode="0.0000000"/>
    <numFmt numFmtId="170" formatCode="0.000000"/>
    <numFmt numFmtId="171" formatCode="dd\-mm\-yyyy"/>
    <numFmt numFmtId="172" formatCode="dd\-mm\-yyyy\ hh:mm"/>
  </numFmts>
  <fonts count="25" x14ac:knownFonts="1">
    <font>
      <sz val="11"/>
      <color theme="1"/>
      <name val="Calibri"/>
      <family val="2"/>
      <charset val="1"/>
    </font>
    <font>
      <sz val="8"/>
      <color theme="1"/>
      <name val="Calibri"/>
      <family val="2"/>
      <charset val="1"/>
    </font>
    <font>
      <b/>
      <sz val="8"/>
      <color rgb="FF1F3864"/>
      <name val="Arial"/>
      <family val="2"/>
      <charset val="1"/>
    </font>
    <font>
      <b/>
      <sz val="8"/>
      <name val="Arial"/>
      <family val="2"/>
      <charset val="1"/>
    </font>
    <font>
      <sz val="8"/>
      <name val="Arial"/>
      <family val="2"/>
      <charset val="1"/>
    </font>
    <font>
      <sz val="8"/>
      <color rgb="FF008000"/>
      <name val="Arial"/>
      <family val="2"/>
      <charset val="1"/>
    </font>
    <font>
      <i/>
      <sz val="8"/>
      <color rgb="FF595959"/>
      <name val="Arial"/>
      <family val="2"/>
      <charset val="1"/>
    </font>
    <font>
      <b/>
      <sz val="8"/>
      <color rgb="FF0000FF"/>
      <name val="Arial"/>
      <family val="2"/>
      <charset val="1"/>
    </font>
    <font>
      <b/>
      <sz val="10"/>
      <color rgb="FFFFFFFF"/>
      <name val="Arial"/>
      <charset val="1"/>
    </font>
    <font>
      <sz val="10"/>
      <color rgb="FF008000"/>
      <name val="Arial"/>
      <charset val="1"/>
    </font>
    <font>
      <b/>
      <sz val="10"/>
      <name val="Arial"/>
      <charset val="1"/>
    </font>
    <font>
      <sz val="9"/>
      <color rgb="FF595959"/>
      <name val="Arial"/>
      <charset val="1"/>
    </font>
    <font>
      <b/>
      <sz val="10"/>
      <color rgb="FF0000FF"/>
      <name val="Arial"/>
      <charset val="1"/>
    </font>
    <font>
      <b/>
      <sz val="11"/>
      <color rgb="FF1F3864"/>
      <name val="Arial"/>
      <charset val="1"/>
    </font>
    <font>
      <sz val="10"/>
      <name val="Arial"/>
      <charset val="1"/>
    </font>
    <font>
      <sz val="8"/>
      <color rgb="FF595959"/>
      <name val="Arial"/>
      <family val="2"/>
      <charset val="1"/>
    </font>
    <font>
      <i/>
      <sz val="9"/>
      <name val="Arial"/>
      <charset val="1"/>
    </font>
    <font>
      <b/>
      <sz val="8"/>
      <color rgb="FFFFFFFF"/>
      <name val="Arial"/>
      <family val="2"/>
      <charset val="1"/>
    </font>
    <font>
      <i/>
      <sz val="8"/>
      <name val="Arial"/>
      <family val="2"/>
      <charset val="1"/>
    </font>
    <font>
      <b/>
      <sz val="8"/>
      <color rgb="FF1F3864"/>
      <name val="Arial"/>
      <family val="2"/>
    </font>
    <font>
      <b/>
      <sz val="8"/>
      <name val="Arial"/>
      <family val="2"/>
    </font>
    <font>
      <sz val="8"/>
      <color rgb="FF008000"/>
      <name val="Arial"/>
      <family val="2"/>
    </font>
    <font>
      <b/>
      <sz val="8"/>
      <color rgb="FF0000FF"/>
      <name val="Arial"/>
      <family val="2"/>
    </font>
    <font>
      <b/>
      <sz val="8"/>
      <color rgb="FFFFFFFF"/>
      <name val="Arial"/>
      <family val="2"/>
    </font>
    <font>
      <sz val="8"/>
      <name val="Arial"/>
      <family val="2"/>
    </font>
  </fonts>
  <fills count="7">
    <fill>
      <patternFill patternType="none"/>
    </fill>
    <fill>
      <patternFill patternType="gray125"/>
    </fill>
    <fill>
      <patternFill patternType="solid">
        <fgColor theme="0"/>
        <bgColor rgb="FFF9F9F9"/>
      </patternFill>
    </fill>
    <fill>
      <patternFill patternType="solid">
        <fgColor rgb="FFFFFF00"/>
        <bgColor rgb="FFFFFF00"/>
      </patternFill>
    </fill>
    <fill>
      <patternFill patternType="solid">
        <fgColor rgb="FF1F3864"/>
        <bgColor rgb="FF1F497D"/>
      </patternFill>
    </fill>
    <fill>
      <patternFill patternType="solid">
        <fgColor rgb="FFF2F2F2"/>
        <bgColor rgb="FFEDEDED"/>
      </patternFill>
    </fill>
    <fill>
      <patternFill patternType="solid">
        <fgColor rgb="FF7F7F7F"/>
        <bgColor rgb="FF878787"/>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114">
    <xf numFmtId="0" fontId="0" fillId="0" borderId="0" xfId="0"/>
    <xf numFmtId="0" fontId="2" fillId="2" borderId="2" xfId="0" applyFont="1" applyFill="1" applyBorder="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4" fillId="2" borderId="1" xfId="0" applyFont="1" applyFill="1" applyBorder="1" applyAlignment="1">
      <alignment horizontal="center"/>
    </xf>
    <xf numFmtId="0" fontId="5" fillId="2" borderId="1" xfId="0" applyFont="1" applyFill="1" applyBorder="1"/>
    <xf numFmtId="1" fontId="4" fillId="2" borderId="1" xfId="0" applyNumberFormat="1" applyFont="1" applyFill="1" applyBorder="1" applyAlignment="1">
      <alignment horizontal="center"/>
    </xf>
    <xf numFmtId="164" fontId="4" fillId="2" borderId="1" xfId="0" applyNumberFormat="1" applyFont="1" applyFill="1" applyBorder="1" applyAlignment="1">
      <alignment horizontal="center"/>
    </xf>
    <xf numFmtId="165" fontId="4" fillId="2" borderId="1" xfId="0" applyNumberFormat="1" applyFont="1" applyFill="1" applyBorder="1" applyAlignment="1">
      <alignment horizontal="center"/>
    </xf>
    <xf numFmtId="0" fontId="4" fillId="2" borderId="1" xfId="0" applyFont="1" applyFill="1" applyBorder="1"/>
    <xf numFmtId="166" fontId="4" fillId="2" borderId="1" xfId="0" applyNumberFormat="1" applyFont="1" applyFill="1" applyBorder="1" applyAlignment="1">
      <alignment horizontal="center"/>
    </xf>
    <xf numFmtId="0" fontId="3" fillId="2" borderId="1" xfId="0" applyFont="1" applyFill="1" applyBorder="1"/>
    <xf numFmtId="1" fontId="3" fillId="2" borderId="1" xfId="0" applyNumberFormat="1" applyFont="1" applyFill="1" applyBorder="1" applyAlignment="1">
      <alignment horizontal="center"/>
    </xf>
    <xf numFmtId="164"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0" fontId="6" fillId="2" borderId="0" xfId="0" applyFont="1" applyFill="1"/>
    <xf numFmtId="9" fontId="7" fillId="2" borderId="1" xfId="0" applyNumberFormat="1" applyFont="1" applyFill="1" applyBorder="1" applyAlignment="1">
      <alignment horizontal="center"/>
    </xf>
    <xf numFmtId="1" fontId="7" fillId="2" borderId="1" xfId="0" applyNumberFormat="1" applyFont="1" applyFill="1" applyBorder="1" applyAlignment="1">
      <alignment horizontal="center"/>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1" fontId="4" fillId="2" borderId="1" xfId="0" applyNumberFormat="1" applyFont="1" applyFill="1" applyBorder="1" applyAlignment="1">
      <alignment horizontal="center" vertical="center" wrapText="1"/>
    </xf>
    <xf numFmtId="165" fontId="4" fillId="2" borderId="1" xfId="0" applyNumberFormat="1"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9" fontId="4" fillId="2" borderId="1"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4" fillId="0" borderId="0" xfId="0" applyFont="1" applyBorder="1" applyAlignment="1">
      <alignment horizontal="center" vertical="center" wrapText="1"/>
    </xf>
    <xf numFmtId="0" fontId="4" fillId="0" borderId="0" xfId="0" applyFont="1" applyBorder="1" applyAlignment="1">
      <alignment vertical="center" wrapText="1"/>
    </xf>
    <xf numFmtId="1" fontId="4" fillId="0" borderId="0" xfId="0" applyNumberFormat="1" applyFont="1" applyBorder="1" applyAlignment="1">
      <alignment horizontal="center" vertical="center" wrapText="1"/>
    </xf>
    <xf numFmtId="165" fontId="4" fillId="0" borderId="0" xfId="0" applyNumberFormat="1" applyFont="1" applyBorder="1" applyAlignment="1">
      <alignment horizontal="center" vertical="center" wrapText="1"/>
    </xf>
    <xf numFmtId="2" fontId="4" fillId="0" borderId="0" xfId="0" applyNumberFormat="1" applyFont="1" applyBorder="1" applyAlignment="1">
      <alignment horizontal="center" vertical="center" wrapText="1"/>
    </xf>
    <xf numFmtId="9" fontId="4" fillId="0" borderId="0" xfId="0" applyNumberFormat="1" applyFont="1" applyBorder="1" applyAlignment="1">
      <alignment horizontal="center" vertical="center" wrapText="1"/>
    </xf>
    <xf numFmtId="164" fontId="4" fillId="0" borderId="0" xfId="0" applyNumberFormat="1" applyFont="1" applyBorder="1" applyAlignment="1">
      <alignment horizontal="center" vertical="center" wrapText="1"/>
    </xf>
    <xf numFmtId="1" fontId="2" fillId="0" borderId="0" xfId="0" applyNumberFormat="1" applyFont="1" applyBorder="1" applyAlignment="1">
      <alignment horizontal="center" vertical="center" wrapText="1"/>
    </xf>
    <xf numFmtId="167" fontId="4" fillId="0" borderId="0" xfId="0" applyNumberFormat="1" applyFont="1" applyBorder="1" applyAlignment="1">
      <alignment horizontal="center" vertical="center" wrapText="1"/>
    </xf>
    <xf numFmtId="2" fontId="3" fillId="2" borderId="1" xfId="0" applyNumberFormat="1" applyFont="1" applyFill="1" applyBorder="1" applyAlignment="1">
      <alignment horizontal="center"/>
    </xf>
    <xf numFmtId="9" fontId="3" fillId="2" borderId="1" xfId="0" applyNumberFormat="1" applyFont="1" applyFill="1" applyBorder="1" applyAlignment="1">
      <alignment horizontal="center"/>
    </xf>
    <xf numFmtId="167" fontId="3" fillId="2" borderId="1" xfId="0" applyNumberFormat="1" applyFont="1" applyFill="1" applyBorder="1" applyAlignment="1">
      <alignment horizontal="center"/>
    </xf>
    <xf numFmtId="2" fontId="4" fillId="2" borderId="1" xfId="0" applyNumberFormat="1" applyFont="1" applyFill="1" applyBorder="1" applyAlignment="1">
      <alignment horizontal="center"/>
    </xf>
    <xf numFmtId="0" fontId="4" fillId="0" borderId="0" xfId="0" applyFont="1" applyBorder="1" applyAlignment="1">
      <alignment horizontal="center"/>
    </xf>
    <xf numFmtId="0" fontId="5" fillId="0" borderId="0" xfId="0" applyFont="1" applyBorder="1"/>
    <xf numFmtId="1" fontId="4" fillId="0" borderId="0" xfId="0" applyNumberFormat="1" applyFont="1" applyBorder="1" applyAlignment="1">
      <alignment horizontal="center"/>
    </xf>
    <xf numFmtId="165" fontId="4" fillId="0" borderId="0" xfId="0" applyNumberFormat="1" applyFont="1" applyBorder="1" applyAlignment="1">
      <alignment horizontal="center"/>
    </xf>
    <xf numFmtId="2" fontId="4" fillId="0" borderId="0" xfId="0" applyNumberFormat="1" applyFont="1" applyBorder="1" applyAlignment="1">
      <alignment horizontal="center"/>
    </xf>
    <xf numFmtId="0" fontId="8" fillId="4" borderId="1" xfId="0" applyFont="1" applyFill="1" applyBorder="1" applyAlignment="1">
      <alignment horizontal="center" vertical="center" wrapText="1"/>
    </xf>
    <xf numFmtId="168" fontId="5" fillId="2" borderId="1" xfId="0" applyNumberFormat="1" applyFont="1" applyFill="1" applyBorder="1" applyAlignment="1">
      <alignment horizontal="center"/>
    </xf>
    <xf numFmtId="9" fontId="4" fillId="2" borderId="1" xfId="0" applyNumberFormat="1" applyFont="1" applyFill="1" applyBorder="1" applyAlignment="1">
      <alignment horizontal="center"/>
    </xf>
    <xf numFmtId="169" fontId="4" fillId="2" borderId="1" xfId="0" applyNumberFormat="1" applyFont="1" applyFill="1" applyBorder="1" applyAlignment="1">
      <alignment horizontal="center"/>
    </xf>
    <xf numFmtId="2" fontId="9" fillId="0" borderId="1" xfId="0" applyNumberFormat="1" applyFont="1" applyBorder="1" applyAlignment="1">
      <alignment horizontal="center"/>
    </xf>
    <xf numFmtId="9" fontId="9" fillId="0" borderId="1" xfId="0" applyNumberFormat="1" applyFont="1" applyBorder="1" applyAlignment="1">
      <alignment horizontal="center"/>
    </xf>
    <xf numFmtId="0" fontId="11" fillId="0" borderId="0" xfId="0" applyFont="1"/>
    <xf numFmtId="2" fontId="12" fillId="3" borderId="1" xfId="0" applyNumberFormat="1" applyFont="1" applyFill="1" applyBorder="1" applyAlignment="1">
      <alignment horizontal="center"/>
    </xf>
    <xf numFmtId="0" fontId="13" fillId="0" borderId="0" xfId="0" applyFont="1"/>
    <xf numFmtId="0" fontId="14" fillId="0" borderId="1" xfId="0" applyFont="1" applyBorder="1"/>
    <xf numFmtId="0" fontId="1" fillId="0" borderId="0" xfId="0" applyFont="1"/>
    <xf numFmtId="0" fontId="2" fillId="0" borderId="0" xfId="0" applyFont="1"/>
    <xf numFmtId="0" fontId="6" fillId="0" borderId="0" xfId="0" applyFont="1"/>
    <xf numFmtId="0" fontId="4" fillId="0" borderId="1" xfId="0" applyFont="1" applyBorder="1"/>
    <xf numFmtId="171" fontId="7" fillId="3" borderId="1" xfId="0" applyNumberFormat="1" applyFont="1" applyFill="1" applyBorder="1" applyAlignment="1">
      <alignment horizontal="center"/>
    </xf>
    <xf numFmtId="0" fontId="15" fillId="0" borderId="0" xfId="0" applyFont="1"/>
    <xf numFmtId="1" fontId="3" fillId="0" borderId="1" xfId="0" applyNumberFormat="1" applyFont="1" applyBorder="1" applyAlignment="1">
      <alignment horizontal="center"/>
    </xf>
    <xf numFmtId="0" fontId="7" fillId="3" borderId="1" xfId="0" applyFont="1" applyFill="1" applyBorder="1" applyAlignment="1">
      <alignment horizontal="center"/>
    </xf>
    <xf numFmtId="9" fontId="7" fillId="3" borderId="1" xfId="0" applyNumberFormat="1" applyFont="1" applyFill="1"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9" fontId="12" fillId="3" borderId="1" xfId="0" applyNumberFormat="1" applyFont="1" applyFill="1" applyBorder="1" applyAlignment="1">
      <alignment horizontal="center"/>
    </xf>
    <xf numFmtId="0" fontId="16" fillId="0" borderId="1" xfId="0" applyFont="1" applyBorder="1"/>
    <xf numFmtId="9" fontId="16" fillId="0" borderId="1" xfId="0" applyNumberFormat="1" applyFont="1" applyBorder="1" applyAlignment="1">
      <alignment horizontal="center"/>
    </xf>
    <xf numFmtId="2" fontId="10" fillId="0" borderId="1" xfId="0" applyNumberFormat="1" applyFont="1" applyBorder="1" applyAlignment="1">
      <alignment horizontal="center"/>
    </xf>
    <xf numFmtId="0" fontId="4" fillId="0" borderId="0" xfId="0" applyFont="1"/>
    <xf numFmtId="0" fontId="10" fillId="0" borderId="1" xfId="0" applyFont="1" applyBorder="1" applyAlignment="1">
      <alignment horizontal="center"/>
    </xf>
    <xf numFmtId="0" fontId="17" fillId="4" borderId="1" xfId="0" applyFont="1" applyFill="1" applyBorder="1" applyAlignment="1">
      <alignment horizontal="center" vertical="center" wrapText="1"/>
    </xf>
    <xf numFmtId="165" fontId="4" fillId="0" borderId="1" xfId="0" applyNumberFormat="1" applyFont="1" applyBorder="1" applyAlignment="1">
      <alignment horizontal="center"/>
    </xf>
    <xf numFmtId="0" fontId="4" fillId="0" borderId="1" xfId="0" applyFont="1" applyBorder="1" applyAlignment="1">
      <alignment horizontal="center"/>
    </xf>
    <xf numFmtId="1" fontId="4" fillId="0" borderId="1" xfId="0" applyNumberFormat="1" applyFont="1" applyBorder="1" applyAlignment="1">
      <alignment horizontal="center"/>
    </xf>
    <xf numFmtId="164" fontId="4" fillId="0" borderId="1" xfId="0" applyNumberFormat="1" applyFont="1" applyBorder="1" applyAlignment="1">
      <alignment horizontal="center"/>
    </xf>
    <xf numFmtId="165" fontId="14" fillId="0" borderId="1" xfId="0" applyNumberFormat="1" applyFont="1" applyBorder="1" applyAlignment="1">
      <alignment horizontal="center"/>
    </xf>
    <xf numFmtId="2" fontId="14" fillId="0" borderId="1" xfId="0" applyNumberFormat="1" applyFont="1" applyBorder="1" applyAlignment="1">
      <alignment horizontal="center"/>
    </xf>
    <xf numFmtId="0" fontId="14" fillId="0" borderId="1" xfId="0" applyFont="1" applyBorder="1" applyAlignment="1">
      <alignment horizontal="center"/>
    </xf>
    <xf numFmtId="1" fontId="14" fillId="0" borderId="1" xfId="0" applyNumberFormat="1" applyFont="1" applyBorder="1" applyAlignment="1">
      <alignment horizontal="center"/>
    </xf>
    <xf numFmtId="0" fontId="5" fillId="0" borderId="1" xfId="0" applyFont="1" applyBorder="1"/>
    <xf numFmtId="171" fontId="5" fillId="0" borderId="1" xfId="0" applyNumberFormat="1" applyFont="1" applyBorder="1" applyAlignment="1">
      <alignment horizontal="center"/>
    </xf>
    <xf numFmtId="171" fontId="4" fillId="0" borderId="1" xfId="0" applyNumberFormat="1" applyFont="1" applyBorder="1" applyAlignment="1">
      <alignment horizontal="center"/>
    </xf>
    <xf numFmtId="0" fontId="7" fillId="3" borderId="1" xfId="0" applyFont="1" applyFill="1" applyBorder="1"/>
    <xf numFmtId="0" fontId="18" fillId="0" borderId="0" xfId="0" applyFont="1"/>
    <xf numFmtId="0" fontId="17" fillId="6" borderId="1" xfId="0" applyFont="1" applyFill="1" applyBorder="1" applyAlignment="1">
      <alignment horizontal="center" vertical="center" wrapText="1"/>
    </xf>
    <xf numFmtId="172" fontId="4" fillId="0" borderId="0" xfId="0" applyNumberFormat="1" applyFont="1"/>
    <xf numFmtId="171" fontId="4" fillId="0" borderId="0" xfId="0" applyNumberFormat="1" applyFont="1"/>
    <xf numFmtId="0" fontId="19" fillId="0" borderId="0" xfId="0" applyFont="1"/>
    <xf numFmtId="0" fontId="20" fillId="0" borderId="1" xfId="0" applyFont="1" applyBorder="1"/>
    <xf numFmtId="9" fontId="21" fillId="0" borderId="1" xfId="0" applyNumberFormat="1" applyFont="1" applyBorder="1" applyAlignment="1">
      <alignment horizontal="center"/>
    </xf>
    <xf numFmtId="2" fontId="21" fillId="0" borderId="1" xfId="0" applyNumberFormat="1" applyFont="1" applyBorder="1" applyAlignment="1">
      <alignment horizontal="center"/>
    </xf>
    <xf numFmtId="1" fontId="21" fillId="0" borderId="1" xfId="0" applyNumberFormat="1" applyFont="1" applyBorder="1" applyAlignment="1">
      <alignment horizontal="center"/>
    </xf>
    <xf numFmtId="2" fontId="22" fillId="3" borderId="1" xfId="0" applyNumberFormat="1" applyFont="1" applyFill="1" applyBorder="1" applyAlignment="1">
      <alignment horizontal="center"/>
    </xf>
    <xf numFmtId="0" fontId="23" fillId="4"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1" fillId="0" borderId="1" xfId="0" applyFont="1" applyBorder="1"/>
    <xf numFmtId="1" fontId="24" fillId="0" borderId="1" xfId="0" applyNumberFormat="1" applyFont="1" applyBorder="1" applyAlignment="1">
      <alignment horizontal="center" vertical="center" wrapText="1"/>
    </xf>
    <xf numFmtId="3" fontId="24" fillId="0" borderId="1" xfId="0" applyNumberFormat="1" applyFont="1" applyBorder="1" applyAlignment="1">
      <alignment horizontal="center" vertical="center" wrapText="1"/>
    </xf>
    <xf numFmtId="2" fontId="24" fillId="0" borderId="1" xfId="0" applyNumberFormat="1" applyFont="1" applyBorder="1" applyAlignment="1">
      <alignment horizontal="center" vertical="center" wrapText="1"/>
    </xf>
    <xf numFmtId="9" fontId="24" fillId="0" borderId="1" xfId="0" applyNumberFormat="1" applyFont="1" applyBorder="1" applyAlignment="1">
      <alignment horizontal="center" vertical="center" wrapText="1"/>
    </xf>
    <xf numFmtId="165" fontId="21"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170" fontId="24" fillId="0" borderId="1" xfId="0" applyNumberFormat="1" applyFont="1" applyBorder="1" applyAlignment="1">
      <alignment horizontal="center" vertical="center" wrapText="1"/>
    </xf>
    <xf numFmtId="0" fontId="20" fillId="5" borderId="1" xfId="0" applyFont="1" applyFill="1" applyBorder="1"/>
    <xf numFmtId="1" fontId="20" fillId="5" borderId="1" xfId="0" applyNumberFormat="1" applyFont="1" applyFill="1" applyBorder="1" applyAlignment="1">
      <alignment horizontal="center" vertical="center" wrapText="1"/>
    </xf>
    <xf numFmtId="3" fontId="20" fillId="5" borderId="1" xfId="0" applyNumberFormat="1" applyFont="1" applyFill="1" applyBorder="1" applyAlignment="1">
      <alignment horizontal="center" vertical="center" wrapText="1"/>
    </xf>
    <xf numFmtId="2" fontId="20" fillId="5" borderId="1" xfId="0" applyNumberFormat="1" applyFont="1" applyFill="1" applyBorder="1" applyAlignment="1">
      <alignment horizontal="center" vertical="center" wrapText="1"/>
    </xf>
    <xf numFmtId="9" fontId="20" fillId="5" borderId="1" xfId="0" applyNumberFormat="1"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4" fillId="0" borderId="1" xfId="0" applyFont="1" applyBorder="1"/>
    <xf numFmtId="165" fontId="24" fillId="0" borderId="1" xfId="0" applyNumberFormat="1" applyFont="1" applyBorder="1" applyAlignment="1">
      <alignment horizontal="center" vertical="center" wrapText="1"/>
    </xf>
  </cellXfs>
  <cellStyles count="1">
    <cellStyle name="Normal" xfId="0" builtinId="0"/>
  </cellStyles>
  <dxfs count="26">
    <dxf>
      <fill>
        <patternFill>
          <bgColor rgb="FFEDEDED"/>
        </patternFill>
      </fill>
    </dxf>
    <dxf>
      <fill>
        <patternFill>
          <bgColor rgb="FFFFC7CE"/>
        </patternFill>
      </fill>
    </dxf>
    <dxf>
      <fill>
        <patternFill>
          <bgColor rgb="FFDDEBF7"/>
        </patternFill>
      </fill>
    </dxf>
    <dxf>
      <fill>
        <patternFill>
          <bgColor rgb="FFE2EFDA"/>
        </patternFill>
      </fill>
    </dxf>
    <dxf>
      <fill>
        <patternFill>
          <bgColor rgb="FFFFC7CE"/>
        </patternFill>
      </fill>
    </dxf>
    <dxf>
      <fill>
        <patternFill>
          <bgColor rgb="FFFFEB9C"/>
        </patternFill>
      </fill>
    </dxf>
    <dxf>
      <fill>
        <patternFill>
          <bgColor rgb="FFDDEBF7"/>
        </patternFill>
      </fill>
    </dxf>
    <dxf>
      <fill>
        <patternFill>
          <bgColor rgb="FFC6EFCE"/>
        </patternFill>
      </fill>
    </dxf>
    <dxf>
      <fill>
        <patternFill>
          <bgColor rgb="FFF8696B"/>
        </patternFill>
      </fill>
    </dxf>
    <dxf>
      <fill>
        <patternFill>
          <bgColor rgb="FFFFC7CE"/>
        </patternFill>
      </fill>
    </dxf>
    <dxf>
      <fill>
        <patternFill>
          <bgColor rgb="FFFFEB9C"/>
        </patternFill>
      </fill>
    </dxf>
    <dxf>
      <fill>
        <patternFill>
          <bgColor rgb="FFC6EFCE"/>
        </patternFill>
      </fill>
    </dxf>
    <dxf>
      <fill>
        <patternFill>
          <bgColor rgb="FF63BE7B"/>
        </patternFill>
      </fill>
    </dxf>
    <dxf>
      <fill>
        <patternFill>
          <bgColor rgb="FFFFC7CE"/>
        </patternFill>
      </fill>
    </dxf>
    <dxf>
      <fill>
        <patternFill>
          <bgColor rgb="FFFFEB9C"/>
        </patternFill>
      </fill>
    </dxf>
    <dxf>
      <fill>
        <patternFill>
          <bgColor rgb="FFDDEBF7"/>
        </patternFill>
      </fill>
    </dxf>
    <dxf>
      <fill>
        <patternFill>
          <bgColor rgb="FFC6EFCE"/>
        </patternFill>
      </fill>
    </dxf>
    <dxf>
      <font>
        <i/>
        <color rgb="FFC00000"/>
        <name val="Arial"/>
      </font>
    </dxf>
    <dxf>
      <fill>
        <patternFill>
          <bgColor rgb="FFEDEDED"/>
        </patternFill>
      </fill>
    </dxf>
    <dxf>
      <fill>
        <patternFill>
          <bgColor rgb="FFC6EFCE"/>
        </patternFill>
      </fill>
    </dxf>
    <dxf>
      <fill>
        <patternFill>
          <bgColor rgb="FFFFEB9C"/>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BE4B48"/>
      <rgbColor rgb="FFF9F9F9"/>
      <rgbColor rgb="FFDDEBF7"/>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B3B3B3"/>
      <rgbColor rgb="FFEDEDED"/>
      <rgbColor rgb="FFF2F2F2"/>
      <rgbColor rgb="FFFFC7CE"/>
      <rgbColor rgb="FF4A7EBB"/>
      <rgbColor rgb="FF63BE7B"/>
      <rgbColor rgb="FF98B855"/>
      <rgbColor rgb="FFF5B700"/>
      <rgbColor rgb="FFFF9900"/>
      <rgbColor rgb="FFFF6600"/>
      <rgbColor rgb="FF595959"/>
      <rgbColor rgb="FF878787"/>
      <rgbColor rgb="FF1F3864"/>
      <rgbColor rgb="FF4F81BD"/>
      <rgbColor rgb="FF003300"/>
      <rgbColor rgb="FF333300"/>
      <rgbColor rgb="FF993300"/>
      <rgbColor rgb="FFC0504D"/>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 Kehadiran &amp; % Laporan Aktivitas per Pembimbing</a:t>
            </a:r>
          </a:p>
        </c:rich>
      </c:tx>
      <c:overlay val="0"/>
      <c:spPr>
        <a:noFill/>
        <a:ln w="0">
          <a:noFill/>
        </a:ln>
      </c:spPr>
    </c:title>
    <c:autoTitleDeleted val="0"/>
    <c:plotArea>
      <c:layout/>
      <c:barChart>
        <c:barDir val="bar"/>
        <c:grouping val="clustered"/>
        <c:varyColors val="0"/>
        <c:ser>
          <c:idx val="0"/>
          <c:order val="0"/>
          <c:tx>
            <c:strRef>
              <c:f>EVALUASI!$F$3</c:f>
              <c:strCache>
                <c:ptCount val="1"/>
                <c:pt idx="0">
                  <c:v>% Kehadiran</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EVALUASI!$B$4:$B$23</c:f>
              <c:strCache>
                <c:ptCount val="20"/>
                <c:pt idx="0">
                  <c:v>AHMAD JALALUDDIN BASYAR</c:v>
                </c:pt>
                <c:pt idx="1">
                  <c:v>AKHMAT ABIDIN</c:v>
                </c:pt>
                <c:pt idx="2">
                  <c:v>ARIFANO KUSUMA BAYU</c:v>
                </c:pt>
                <c:pt idx="3">
                  <c:v>DIAN RIZKA SARI</c:v>
                </c:pt>
                <c:pt idx="4">
                  <c:v>DWI SULIASTARI</c:v>
                </c:pt>
                <c:pt idx="5">
                  <c:v>ELFANO RANGGA PRATAMA</c:v>
                </c:pt>
                <c:pt idx="6">
                  <c:v>ENDAH YUNIA SRI WINDARI</c:v>
                </c:pt>
                <c:pt idx="7">
                  <c:v>FETI MUBAIYINI</c:v>
                </c:pt>
                <c:pt idx="8">
                  <c:v>GANANG MUSYAFFA FAHMI</c:v>
                </c:pt>
                <c:pt idx="9">
                  <c:v>HASKIN AVIONATA</c:v>
                </c:pt>
                <c:pt idx="10">
                  <c:v>IMAM SUBEKTI</c:v>
                </c:pt>
                <c:pt idx="11">
                  <c:v>IMANIAR PUTRI UTAMI</c:v>
                </c:pt>
                <c:pt idx="12">
                  <c:v>M. RIZAD FAHRURI</c:v>
                </c:pt>
                <c:pt idx="13">
                  <c:v>MOH. AGUS EFENDI</c:v>
                </c:pt>
                <c:pt idx="14">
                  <c:v>MUHAMMAD SADULLAH</c:v>
                </c:pt>
                <c:pt idx="15">
                  <c:v>SITI MUJAYANAH</c:v>
                </c:pt>
                <c:pt idx="16">
                  <c:v>TRI HARTANTO</c:v>
                </c:pt>
                <c:pt idx="17">
                  <c:v>WATIN UTARI</c:v>
                </c:pt>
                <c:pt idx="18">
                  <c:v>WAWAN SETIAWAN</c:v>
                </c:pt>
                <c:pt idx="19">
                  <c:v>YUSUF REZA MUHAMMAD</c:v>
                </c:pt>
              </c:strCache>
            </c:strRef>
          </c:cat>
          <c:val>
            <c:numRef>
              <c:f>EVALUASI!$F$4:$F$23</c:f>
              <c:numCache>
                <c:formatCode>0.0%</c:formatCode>
                <c:ptCount val="20"/>
                <c:pt idx="0">
                  <c:v>0.9779411764705882</c:v>
                </c:pt>
                <c:pt idx="1">
                  <c:v>0.92307692307692313</c:v>
                </c:pt>
                <c:pt idx="2">
                  <c:v>0.94666666666666666</c:v>
                </c:pt>
                <c:pt idx="3">
                  <c:v>0.89230769230769236</c:v>
                </c:pt>
                <c:pt idx="4">
                  <c:v>0.93243243243243246</c:v>
                </c:pt>
                <c:pt idx="5">
                  <c:v>0.93333333333333335</c:v>
                </c:pt>
                <c:pt idx="6">
                  <c:v>0.94444444444444442</c:v>
                </c:pt>
                <c:pt idx="7">
                  <c:v>0.94444444444444442</c:v>
                </c:pt>
                <c:pt idx="8">
                  <c:v>0.94666666666666666</c:v>
                </c:pt>
                <c:pt idx="9">
                  <c:v>0.85333333333333339</c:v>
                </c:pt>
                <c:pt idx="10">
                  <c:v>0.75</c:v>
                </c:pt>
                <c:pt idx="11">
                  <c:v>1</c:v>
                </c:pt>
                <c:pt idx="12">
                  <c:v>0.96</c:v>
                </c:pt>
                <c:pt idx="13">
                  <c:v>0.95522388059701491</c:v>
                </c:pt>
                <c:pt idx="14">
                  <c:v>1</c:v>
                </c:pt>
                <c:pt idx="15">
                  <c:v>0.96385542168674698</c:v>
                </c:pt>
                <c:pt idx="16">
                  <c:v>0.69230769230769229</c:v>
                </c:pt>
                <c:pt idx="17">
                  <c:v>0.8571428571428571</c:v>
                </c:pt>
                <c:pt idx="18">
                  <c:v>1</c:v>
                </c:pt>
                <c:pt idx="19">
                  <c:v>0.91666666666666663</c:v>
                </c:pt>
              </c:numCache>
            </c:numRef>
          </c:val>
        </c:ser>
        <c:ser>
          <c:idx val="1"/>
          <c:order val="1"/>
          <c:tx>
            <c:strRef>
              <c:f>EVALUASI!$J$3</c:f>
              <c:strCache>
                <c:ptCount val="1"/>
                <c:pt idx="0">
                  <c:v>% Laporan Aktivitas</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EVALUASI!$B$4:$B$23</c:f>
              <c:strCache>
                <c:ptCount val="20"/>
                <c:pt idx="0">
                  <c:v>AHMAD JALALUDDIN BASYAR</c:v>
                </c:pt>
                <c:pt idx="1">
                  <c:v>AKHMAT ABIDIN</c:v>
                </c:pt>
                <c:pt idx="2">
                  <c:v>ARIFANO KUSUMA BAYU</c:v>
                </c:pt>
                <c:pt idx="3">
                  <c:v>DIAN RIZKA SARI</c:v>
                </c:pt>
                <c:pt idx="4">
                  <c:v>DWI SULIASTARI</c:v>
                </c:pt>
                <c:pt idx="5">
                  <c:v>ELFANO RANGGA PRATAMA</c:v>
                </c:pt>
                <c:pt idx="6">
                  <c:v>ENDAH YUNIA SRI WINDARI</c:v>
                </c:pt>
                <c:pt idx="7">
                  <c:v>FETI MUBAIYINI</c:v>
                </c:pt>
                <c:pt idx="8">
                  <c:v>GANANG MUSYAFFA FAHMI</c:v>
                </c:pt>
                <c:pt idx="9">
                  <c:v>HASKIN AVIONATA</c:v>
                </c:pt>
                <c:pt idx="10">
                  <c:v>IMAM SUBEKTI</c:v>
                </c:pt>
                <c:pt idx="11">
                  <c:v>IMANIAR PUTRI UTAMI</c:v>
                </c:pt>
                <c:pt idx="12">
                  <c:v>M. RIZAD FAHRURI</c:v>
                </c:pt>
                <c:pt idx="13">
                  <c:v>MOH. AGUS EFENDI</c:v>
                </c:pt>
                <c:pt idx="14">
                  <c:v>MUHAMMAD SADULLAH</c:v>
                </c:pt>
                <c:pt idx="15">
                  <c:v>SITI MUJAYANAH</c:v>
                </c:pt>
                <c:pt idx="16">
                  <c:v>TRI HARTANTO</c:v>
                </c:pt>
                <c:pt idx="17">
                  <c:v>WATIN UTARI</c:v>
                </c:pt>
                <c:pt idx="18">
                  <c:v>WAWAN SETIAWAN</c:v>
                </c:pt>
                <c:pt idx="19">
                  <c:v>YUSUF REZA MUHAMMAD</c:v>
                </c:pt>
              </c:strCache>
            </c:strRef>
          </c:cat>
          <c:val>
            <c:numRef>
              <c:f>EVALUASI!$J$4:$J$23</c:f>
              <c:numCache>
                <c:formatCode>0.0%</c:formatCode>
                <c:ptCount val="20"/>
                <c:pt idx="0">
                  <c:v>0.87980769230769229</c:v>
                </c:pt>
                <c:pt idx="1">
                  <c:v>0.94444444444444442</c:v>
                </c:pt>
                <c:pt idx="2">
                  <c:v>0.98701298701298701</c:v>
                </c:pt>
                <c:pt idx="3">
                  <c:v>0.98275862068965514</c:v>
                </c:pt>
                <c:pt idx="4">
                  <c:v>0.95652173913043481</c:v>
                </c:pt>
                <c:pt idx="5">
                  <c:v>0.91489361702127658</c:v>
                </c:pt>
                <c:pt idx="6">
                  <c:v>1</c:v>
                </c:pt>
                <c:pt idx="7">
                  <c:v>0.95294117647058818</c:v>
                </c:pt>
                <c:pt idx="8">
                  <c:v>0.97368421052631582</c:v>
                </c:pt>
                <c:pt idx="9">
                  <c:v>0.96923076923076923</c:v>
                </c:pt>
                <c:pt idx="10">
                  <c:v>0</c:v>
                </c:pt>
                <c:pt idx="11">
                  <c:v>1</c:v>
                </c:pt>
                <c:pt idx="12">
                  <c:v>0.98717948717948723</c:v>
                </c:pt>
                <c:pt idx="13">
                  <c:v>0.99264705882352944</c:v>
                </c:pt>
                <c:pt idx="14">
                  <c:v>0.95238095238095233</c:v>
                </c:pt>
                <c:pt idx="15">
                  <c:v>0.95757575757575752</c:v>
                </c:pt>
                <c:pt idx="16">
                  <c:v>0.77777777777777779</c:v>
                </c:pt>
                <c:pt idx="17">
                  <c:v>1</c:v>
                </c:pt>
                <c:pt idx="18">
                  <c:v>0.98750000000000004</c:v>
                </c:pt>
                <c:pt idx="19">
                  <c:v>0.90909090909090906</c:v>
                </c:pt>
              </c:numCache>
            </c:numRef>
          </c:val>
        </c:ser>
        <c:dLbls>
          <c:showLegendKey val="0"/>
          <c:showVal val="0"/>
          <c:showCatName val="0"/>
          <c:showSerName val="0"/>
          <c:showPercent val="0"/>
          <c:showBubbleSize val="0"/>
        </c:dLbls>
        <c:gapWidth val="150"/>
        <c:axId val="715218976"/>
        <c:axId val="715224960"/>
      </c:barChart>
      <c:catAx>
        <c:axId val="715218976"/>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5224960"/>
        <c:crosses val="autoZero"/>
        <c:auto val="1"/>
        <c:lblAlgn val="ctr"/>
        <c:lblOffset val="100"/>
        <c:noMultiLvlLbl val="0"/>
      </c:catAx>
      <c:valAx>
        <c:axId val="715224960"/>
        <c:scaling>
          <c:orientation val="minMax"/>
          <c:max val="1"/>
          <c:min val="0"/>
        </c:scaling>
        <c:delete val="0"/>
        <c:axPos val="t"/>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52189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Pemagang Aktif Saat Ini vs Rekomendasi Kuota</a:t>
            </a:r>
          </a:p>
        </c:rich>
      </c:tx>
      <c:overlay val="0"/>
      <c:spPr>
        <a:noFill/>
        <a:ln w="0">
          <a:noFill/>
        </a:ln>
      </c:spPr>
    </c:title>
    <c:autoTitleDeleted val="0"/>
    <c:plotArea>
      <c:layout/>
      <c:barChart>
        <c:barDir val="bar"/>
        <c:grouping val="clustered"/>
        <c:varyColors val="0"/>
        <c:ser>
          <c:idx val="0"/>
          <c:order val="0"/>
          <c:tx>
            <c:strRef>
              <c:f>EVALUASI!$D$33</c:f>
              <c:strCache>
                <c:ptCount val="1"/>
                <c:pt idx="0">
                  <c:v>Pemagang Aktif Akhir Periode</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EVALUASI!$B$34:$B$50</c:f>
              <c:strCache>
                <c:ptCount val="17"/>
                <c:pt idx="0">
                  <c:v>CENTRAL JAVA CURAH ADMINISTRATION JR. OFFICER</c:v>
                </c:pt>
                <c:pt idx="1">
                  <c:v>EQUALISATION OFFICER (SID)</c:v>
                </c:pt>
                <c:pt idx="2">
                  <c:v>GM OF TAX &amp; ACCOUNTING</c:v>
                </c:pt>
                <c:pt idx="3">
                  <c:v>MANAGER OF TRANSPORTATION</c:v>
                </c:pt>
                <c:pt idx="4">
                  <c:v>MANAGER OF VERIFICATION</c:v>
                </c:pt>
                <c:pt idx="5">
                  <c:v>MARKETING &amp; EXPANSION MODERN RETAIL OFFICER</c:v>
                </c:pt>
                <c:pt idx="6">
                  <c:v>PGS FINANCIAL ANALYSIS OFFICER</c:v>
                </c:pt>
                <c:pt idx="7">
                  <c:v>PGS MANAGER OF LAMONGAN BRANCH</c:v>
                </c:pt>
                <c:pt idx="8">
                  <c:v>PGS SM OF DIGITAL BUSSINES</c:v>
                </c:pt>
                <c:pt idx="9">
                  <c:v>PGS TREASURY (SID) OFFICER</c:v>
                </c:pt>
                <c:pt idx="10">
                  <c:v>PJ GM OF MARKETING (SID)</c:v>
                </c:pt>
                <c:pt idx="11">
                  <c:v>PKSDM</c:v>
                </c:pt>
                <c:pt idx="12">
                  <c:v>SM OF CEMENT PURCHASING</c:v>
                </c:pt>
                <c:pt idx="13">
                  <c:v>SM OF FINANCE (SID)</c:v>
                </c:pt>
                <c:pt idx="14">
                  <c:v>SM OF LEGAL</c:v>
                </c:pt>
                <c:pt idx="15">
                  <c:v>SM OF SECRETARIAT &amp; FILLING</c:v>
                </c:pt>
                <c:pt idx="16">
                  <c:v>VERIFICATION (SID) JR. OFFICER</c:v>
                </c:pt>
              </c:strCache>
            </c:strRef>
          </c:cat>
          <c:val>
            <c:numRef>
              <c:f>EVALUASI!$D$34:$D$50</c:f>
              <c:numCache>
                <c:formatCode>0</c:formatCode>
                <c:ptCount val="17"/>
                <c:pt idx="0">
                  <c:v>1</c:v>
                </c:pt>
                <c:pt idx="1">
                  <c:v>1</c:v>
                </c:pt>
                <c:pt idx="2">
                  <c:v>1</c:v>
                </c:pt>
                <c:pt idx="3">
                  <c:v>2</c:v>
                </c:pt>
                <c:pt idx="4">
                  <c:v>1</c:v>
                </c:pt>
                <c:pt idx="5">
                  <c:v>1</c:v>
                </c:pt>
                <c:pt idx="6">
                  <c:v>1</c:v>
                </c:pt>
                <c:pt idx="7">
                  <c:v>1</c:v>
                </c:pt>
                <c:pt idx="8">
                  <c:v>8</c:v>
                </c:pt>
                <c:pt idx="9">
                  <c:v>1</c:v>
                </c:pt>
                <c:pt idx="10">
                  <c:v>1</c:v>
                </c:pt>
                <c:pt idx="11">
                  <c:v>1</c:v>
                </c:pt>
                <c:pt idx="12">
                  <c:v>1</c:v>
                </c:pt>
                <c:pt idx="13">
                  <c:v>2</c:v>
                </c:pt>
                <c:pt idx="14">
                  <c:v>0</c:v>
                </c:pt>
                <c:pt idx="15">
                  <c:v>2</c:v>
                </c:pt>
                <c:pt idx="16">
                  <c:v>3</c:v>
                </c:pt>
              </c:numCache>
            </c:numRef>
          </c:val>
        </c:ser>
        <c:ser>
          <c:idx val="1"/>
          <c:order val="1"/>
          <c:tx>
            <c:strRef>
              <c:f>EVALUASI!$O$33</c:f>
              <c:strCache>
                <c:ptCount val="1"/>
                <c:pt idx="0">
                  <c:v>REKOMENDASI KUOTA</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EVALUASI!$B$34:$B$50</c:f>
              <c:strCache>
                <c:ptCount val="17"/>
                <c:pt idx="0">
                  <c:v>CENTRAL JAVA CURAH ADMINISTRATION JR. OFFICER</c:v>
                </c:pt>
                <c:pt idx="1">
                  <c:v>EQUALISATION OFFICER (SID)</c:v>
                </c:pt>
                <c:pt idx="2">
                  <c:v>GM OF TAX &amp; ACCOUNTING</c:v>
                </c:pt>
                <c:pt idx="3">
                  <c:v>MANAGER OF TRANSPORTATION</c:v>
                </c:pt>
                <c:pt idx="4">
                  <c:v>MANAGER OF VERIFICATION</c:v>
                </c:pt>
                <c:pt idx="5">
                  <c:v>MARKETING &amp; EXPANSION MODERN RETAIL OFFICER</c:v>
                </c:pt>
                <c:pt idx="6">
                  <c:v>PGS FINANCIAL ANALYSIS OFFICER</c:v>
                </c:pt>
                <c:pt idx="7">
                  <c:v>PGS MANAGER OF LAMONGAN BRANCH</c:v>
                </c:pt>
                <c:pt idx="8">
                  <c:v>PGS SM OF DIGITAL BUSSINES</c:v>
                </c:pt>
                <c:pt idx="9">
                  <c:v>PGS TREASURY (SID) OFFICER</c:v>
                </c:pt>
                <c:pt idx="10">
                  <c:v>PJ GM OF MARKETING (SID)</c:v>
                </c:pt>
                <c:pt idx="11">
                  <c:v>PKSDM</c:v>
                </c:pt>
                <c:pt idx="12">
                  <c:v>SM OF CEMENT PURCHASING</c:v>
                </c:pt>
                <c:pt idx="13">
                  <c:v>SM OF FINANCE (SID)</c:v>
                </c:pt>
                <c:pt idx="14">
                  <c:v>SM OF LEGAL</c:v>
                </c:pt>
                <c:pt idx="15">
                  <c:v>SM OF SECRETARIAT &amp; FILLING</c:v>
                </c:pt>
                <c:pt idx="16">
                  <c:v>VERIFICATION (SID) JR. OFFICER</c:v>
                </c:pt>
              </c:strCache>
            </c:strRef>
          </c:cat>
          <c:val>
            <c:numRef>
              <c:f>EVALUASI!$O$34:$O$50</c:f>
              <c:numCache>
                <c:formatCode>0</c:formatCode>
                <c:ptCount val="17"/>
                <c:pt idx="0">
                  <c:v>1</c:v>
                </c:pt>
                <c:pt idx="1">
                  <c:v>1</c:v>
                </c:pt>
                <c:pt idx="2">
                  <c:v>1</c:v>
                </c:pt>
                <c:pt idx="3">
                  <c:v>2</c:v>
                </c:pt>
                <c:pt idx="4">
                  <c:v>1</c:v>
                </c:pt>
                <c:pt idx="5">
                  <c:v>1</c:v>
                </c:pt>
                <c:pt idx="6">
                  <c:v>2</c:v>
                </c:pt>
                <c:pt idx="7">
                  <c:v>0</c:v>
                </c:pt>
                <c:pt idx="8">
                  <c:v>6</c:v>
                </c:pt>
                <c:pt idx="9">
                  <c:v>1</c:v>
                </c:pt>
                <c:pt idx="10">
                  <c:v>1</c:v>
                </c:pt>
                <c:pt idx="11">
                  <c:v>2</c:v>
                </c:pt>
                <c:pt idx="12">
                  <c:v>1</c:v>
                </c:pt>
                <c:pt idx="13">
                  <c:v>2</c:v>
                </c:pt>
                <c:pt idx="14">
                  <c:v>1</c:v>
                </c:pt>
                <c:pt idx="15">
                  <c:v>1</c:v>
                </c:pt>
                <c:pt idx="16">
                  <c:v>4</c:v>
                </c:pt>
              </c:numCache>
            </c:numRef>
          </c:val>
        </c:ser>
        <c:dLbls>
          <c:showLegendKey val="0"/>
          <c:showVal val="0"/>
          <c:showCatName val="0"/>
          <c:showSerName val="0"/>
          <c:showPercent val="0"/>
          <c:showBubbleSize val="0"/>
        </c:dLbls>
        <c:gapWidth val="150"/>
        <c:axId val="715221696"/>
        <c:axId val="715218432"/>
      </c:barChart>
      <c:catAx>
        <c:axId val="715221696"/>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5218432"/>
        <c:crosses val="autoZero"/>
        <c:auto val="1"/>
        <c:lblAlgn val="ctr"/>
        <c:lblOffset val="100"/>
        <c:noMultiLvlLbl val="0"/>
      </c:catAx>
      <c:valAx>
        <c:axId val="715218432"/>
        <c:scaling>
          <c:orientation val="minMax"/>
        </c:scaling>
        <c:delete val="0"/>
        <c:axPos val="t"/>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52216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Indeks Beban per Pemagang (1 = rata-rata)</a:t>
            </a:r>
          </a:p>
        </c:rich>
      </c:tx>
      <c:overlay val="0"/>
      <c:spPr>
        <a:noFill/>
        <a:ln w="0">
          <a:noFill/>
        </a:ln>
      </c:spPr>
    </c:title>
    <c:autoTitleDeleted val="0"/>
    <c:plotArea>
      <c:layout/>
      <c:barChart>
        <c:barDir val="bar"/>
        <c:grouping val="clustered"/>
        <c:varyColors val="0"/>
        <c:ser>
          <c:idx val="0"/>
          <c:order val="0"/>
          <c:tx>
            <c:strRef>
              <c:f>EVALUASI!$J$33</c:f>
              <c:strCache>
                <c:ptCount val="1"/>
                <c:pt idx="0">
                  <c:v>Indeks Beban per Pemagang</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EVALUASI!$B$34:$B$50</c:f>
              <c:strCache>
                <c:ptCount val="17"/>
                <c:pt idx="0">
                  <c:v>CENTRAL JAVA CURAH ADMINISTRATION JR. OFFICER</c:v>
                </c:pt>
                <c:pt idx="1">
                  <c:v>EQUALISATION OFFICER (SID)</c:v>
                </c:pt>
                <c:pt idx="2">
                  <c:v>GM OF TAX &amp; ACCOUNTING</c:v>
                </c:pt>
                <c:pt idx="3">
                  <c:v>MANAGER OF TRANSPORTATION</c:v>
                </c:pt>
                <c:pt idx="4">
                  <c:v>MANAGER OF VERIFICATION</c:v>
                </c:pt>
                <c:pt idx="5">
                  <c:v>MARKETING &amp; EXPANSION MODERN RETAIL OFFICER</c:v>
                </c:pt>
                <c:pt idx="6">
                  <c:v>PGS FINANCIAL ANALYSIS OFFICER</c:v>
                </c:pt>
                <c:pt idx="7">
                  <c:v>PGS MANAGER OF LAMONGAN BRANCH</c:v>
                </c:pt>
                <c:pt idx="8">
                  <c:v>PGS SM OF DIGITAL BUSSINES</c:v>
                </c:pt>
                <c:pt idx="9">
                  <c:v>PGS TREASURY (SID) OFFICER</c:v>
                </c:pt>
                <c:pt idx="10">
                  <c:v>PJ GM OF MARKETING (SID)</c:v>
                </c:pt>
                <c:pt idx="11">
                  <c:v>PKSDM</c:v>
                </c:pt>
                <c:pt idx="12">
                  <c:v>SM OF CEMENT PURCHASING</c:v>
                </c:pt>
                <c:pt idx="13">
                  <c:v>SM OF FINANCE (SID)</c:v>
                </c:pt>
                <c:pt idx="14">
                  <c:v>SM OF LEGAL</c:v>
                </c:pt>
                <c:pt idx="15">
                  <c:v>SM OF SECRETARIAT &amp; FILLING</c:v>
                </c:pt>
                <c:pt idx="16">
                  <c:v>VERIFICATION (SID) JR. OFFICER</c:v>
                </c:pt>
              </c:strCache>
            </c:strRef>
          </c:cat>
          <c:val>
            <c:numRef>
              <c:f>EVALUASI!$J$34:$J$50</c:f>
              <c:numCache>
                <c:formatCode>0.00</c:formatCode>
                <c:ptCount val="17"/>
                <c:pt idx="0">
                  <c:v>0.77643822014597574</c:v>
                </c:pt>
                <c:pt idx="1">
                  <c:v>0.61100400615748751</c:v>
                </c:pt>
                <c:pt idx="2">
                  <c:v>1.2203613881626374</c:v>
                </c:pt>
                <c:pt idx="3">
                  <c:v>1.0608634492907232</c:v>
                </c:pt>
                <c:pt idx="4">
                  <c:v>0.77912780074043242</c:v>
                </c:pt>
                <c:pt idx="5">
                  <c:v>0.69279780975779437</c:v>
                </c:pt>
                <c:pt idx="6">
                  <c:v>1.9549135907197357</c:v>
                </c:pt>
                <c:pt idx="7">
                  <c:v>0</c:v>
                </c:pt>
                <c:pt idx="8">
                  <c:v>0.94755367517004796</c:v>
                </c:pt>
                <c:pt idx="9">
                  <c:v>0.49506903897265747</c:v>
                </c:pt>
                <c:pt idx="10">
                  <c:v>1.0967611261487751</c:v>
                </c:pt>
                <c:pt idx="11">
                  <c:v>2.212895237895427</c:v>
                </c:pt>
                <c:pt idx="12">
                  <c:v>0.51563698055198692</c:v>
                </c:pt>
                <c:pt idx="13">
                  <c:v>1.2748951025896158</c:v>
                </c:pt>
                <c:pt idx="14">
                  <c:v>0.62542172526773065</c:v>
                </c:pt>
                <c:pt idx="15">
                  <c:v>0.47691159344353345</c:v>
                </c:pt>
                <c:pt idx="16">
                  <c:v>1.1295691283498428</c:v>
                </c:pt>
              </c:numCache>
            </c:numRef>
          </c:val>
        </c:ser>
        <c:dLbls>
          <c:showLegendKey val="0"/>
          <c:showVal val="0"/>
          <c:showCatName val="0"/>
          <c:showSerName val="0"/>
          <c:showPercent val="0"/>
          <c:showBubbleSize val="0"/>
        </c:dLbls>
        <c:gapWidth val="150"/>
        <c:axId val="858510496"/>
        <c:axId val="858499616"/>
      </c:barChart>
      <c:catAx>
        <c:axId val="858510496"/>
        <c:scaling>
          <c:orientation val="maxMin"/>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8499616"/>
        <c:crosses val="autoZero"/>
        <c:auto val="1"/>
        <c:lblAlgn val="ctr"/>
        <c:lblOffset val="100"/>
        <c:noMultiLvlLbl val="0"/>
      </c:catAx>
      <c:valAx>
        <c:axId val="858499616"/>
        <c:scaling>
          <c:orientation val="minMax"/>
        </c:scaling>
        <c:delete val="0"/>
        <c:axPos val="t"/>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85104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Peringkat Indeks Produktivitas (1 = rata-rata)</a:t>
            </a:r>
          </a:p>
        </c:rich>
      </c:tx>
      <c:layout/>
      <c:overlay val="0"/>
      <c:spPr>
        <a:noFill/>
        <a:ln w="0">
          <a:noFill/>
        </a:ln>
      </c:spPr>
    </c:title>
    <c:autoTitleDeleted val="0"/>
    <c:plotArea>
      <c:layout/>
      <c:barChart>
        <c:barDir val="bar"/>
        <c:grouping val="clustered"/>
        <c:varyColors val="0"/>
        <c:ser>
          <c:idx val="0"/>
          <c:order val="0"/>
          <c:tx>
            <c:strRef>
              <c:f>PRODUKTIVITAS!$E$47</c:f>
              <c:strCache>
                <c:ptCount val="1"/>
                <c:pt idx="0">
                  <c:v>Indeks Produktivitas</c:v>
                </c:pt>
              </c:strCache>
            </c:strRef>
          </c:tx>
          <c:spPr>
            <a:solidFill>
              <a:srgbClr val="4F81BD"/>
            </a:solidFill>
            <a:ln w="0">
              <a:solidFill>
                <a:srgbClr val="0000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PRODUKTIVITAS!$B$48:$B$81</c:f>
              <c:strCache>
                <c:ptCount val="34"/>
                <c:pt idx="0">
                  <c:v>SELVI NURUL HASANAH</c:v>
                </c:pt>
                <c:pt idx="1">
                  <c:v>SYAKIRAH TSALTSA FITRIAH</c:v>
                </c:pt>
                <c:pt idx="2">
                  <c:v>KHOFIFATUNNABILAH</c:v>
                </c:pt>
                <c:pt idx="3">
                  <c:v>PUTRI WIDYOWATI</c:v>
                </c:pt>
                <c:pt idx="4">
                  <c:v>JANU PRASTYO</c:v>
                </c:pt>
                <c:pt idx="5">
                  <c:v>AHMAD NOVAN JUNIARDY</c:v>
                </c:pt>
                <c:pt idx="6">
                  <c:v>TIARA MARTHA ASNADHINATA</c:v>
                </c:pt>
                <c:pt idx="7">
                  <c:v>ANGGUN NUR TSANIA AGUSTIN</c:v>
                </c:pt>
                <c:pt idx="8">
                  <c:v>MUHAMMAD QAIRUL UMAM</c:v>
                </c:pt>
                <c:pt idx="9">
                  <c:v>TAHYUDIN UZI SAFAAT</c:v>
                </c:pt>
                <c:pt idx="10">
                  <c:v>NURIKA AMELIA ROSYIDAH</c:v>
                </c:pt>
                <c:pt idx="11">
                  <c:v>AMELIA KURNIA FITRI</c:v>
                </c:pt>
                <c:pt idx="12">
                  <c:v>THARISSA ADELIA PUTRI</c:v>
                </c:pt>
                <c:pt idx="13">
                  <c:v>ZALFA NUR ROHMAH</c:v>
                </c:pt>
                <c:pt idx="14">
                  <c:v>NILNA FAIRUSSAKTI SALBANI AFANO</c:v>
                </c:pt>
                <c:pt idx="15">
                  <c:v>BERLIAN AURELYA RAHMA</c:v>
                </c:pt>
                <c:pt idx="16">
                  <c:v>EVI WIDIYAH ASTUTIH</c:v>
                </c:pt>
                <c:pt idx="17">
                  <c:v>CITRA ANGGRAINI</c:v>
                </c:pt>
                <c:pt idx="18">
                  <c:v>CLARA OKTAVIA FIRDAUS</c:v>
                </c:pt>
                <c:pt idx="19">
                  <c:v>FETI FATMAWATI</c:v>
                </c:pt>
                <c:pt idx="20">
                  <c:v>NELLA DIFA SALSABILAH</c:v>
                </c:pt>
                <c:pt idx="21">
                  <c:v>ASA AGHNIA ZAHIDA</c:v>
                </c:pt>
                <c:pt idx="22">
                  <c:v>MUHAMMAD FATCHUL ALAM</c:v>
                </c:pt>
                <c:pt idx="23">
                  <c:v>FARREL ALWIN RAHMADHAN</c:v>
                </c:pt>
                <c:pt idx="24">
                  <c:v>NABILA RAIS NUR ROMADHONA</c:v>
                </c:pt>
                <c:pt idx="25">
                  <c:v>DINDA RAHADATUL AISY</c:v>
                </c:pt>
                <c:pt idx="26">
                  <c:v>ALFINA ZAKYA ULA</c:v>
                </c:pt>
                <c:pt idx="27">
                  <c:v>ARINDA PUTRI AULIA</c:v>
                </c:pt>
                <c:pt idx="28">
                  <c:v>NIKEN AURELIA SAPUTRI</c:v>
                </c:pt>
                <c:pt idx="29">
                  <c:v>EKA PUTRI FEBRIANTI</c:v>
                </c:pt>
                <c:pt idx="30">
                  <c:v>RIZAL AKBAR ARDIANSYAH</c:v>
                </c:pt>
                <c:pt idx="31">
                  <c:v>SYACHIRA FARA NABILA</c:v>
                </c:pt>
                <c:pt idx="32">
                  <c:v>WIDIYA DESY MAWAR SARI</c:v>
                </c:pt>
                <c:pt idx="33">
                  <c:v>MASDUQI MUHAMMAD</c:v>
                </c:pt>
              </c:strCache>
            </c:strRef>
          </c:cat>
          <c:val>
            <c:numRef>
              <c:f>PRODUKTIVITAS!$E$48:$E$81</c:f>
              <c:numCache>
                <c:formatCode>0.00</c:formatCode>
                <c:ptCount val="34"/>
                <c:pt idx="0">
                  <c:v>2.212895237895427</c:v>
                </c:pt>
                <c:pt idx="1">
                  <c:v>2.059061568497218</c:v>
                </c:pt>
                <c:pt idx="2">
                  <c:v>1.9549135907197357</c:v>
                </c:pt>
                <c:pt idx="3">
                  <c:v>1.7103457696001279</c:v>
                </c:pt>
                <c:pt idx="4">
                  <c:v>1.5320892216427868</c:v>
                </c:pt>
                <c:pt idx="5">
                  <c:v>1.4473095352289529</c:v>
                </c:pt>
                <c:pt idx="6">
                  <c:v>1.4297844267291735</c:v>
                </c:pt>
                <c:pt idx="7">
                  <c:v>1.357747477399295</c:v>
                </c:pt>
                <c:pt idx="8">
                  <c:v>1.2203613881626374</c:v>
                </c:pt>
                <c:pt idx="9">
                  <c:v>1.1123329232439554</c:v>
                </c:pt>
                <c:pt idx="10">
                  <c:v>1.1054906614530671</c:v>
                </c:pt>
                <c:pt idx="11">
                  <c:v>1.018195308410148</c:v>
                </c:pt>
                <c:pt idx="12">
                  <c:v>1.0039204023065387</c:v>
                </c:pt>
                <c:pt idx="13">
                  <c:v>0.92362831183027072</c:v>
                </c:pt>
                <c:pt idx="14">
                  <c:v>0.88536793588822948</c:v>
                </c:pt>
                <c:pt idx="15">
                  <c:v>0.88319872025803892</c:v>
                </c:pt>
                <c:pt idx="16">
                  <c:v>0.8150477062083602</c:v>
                </c:pt>
                <c:pt idx="17">
                  <c:v>0.77912780074043242</c:v>
                </c:pt>
                <c:pt idx="18">
                  <c:v>0.70710565001763537</c:v>
                </c:pt>
                <c:pt idx="19">
                  <c:v>0.69279780975779437</c:v>
                </c:pt>
                <c:pt idx="20">
                  <c:v>0.64718600595651288</c:v>
                </c:pt>
                <c:pt idx="21">
                  <c:v>0.62542172526773065</c:v>
                </c:pt>
                <c:pt idx="22">
                  <c:v>0.62363424425809977</c:v>
                </c:pt>
                <c:pt idx="23">
                  <c:v>0.61100400615748751</c:v>
                </c:pt>
                <c:pt idx="24">
                  <c:v>0.5524851877233824</c:v>
                </c:pt>
                <c:pt idx="25">
                  <c:v>0.52417377709317292</c:v>
                </c:pt>
                <c:pt idx="26">
                  <c:v>0.51563698055198692</c:v>
                </c:pt>
                <c:pt idx="27">
                  <c:v>0.44441105725850683</c:v>
                </c:pt>
                <c:pt idx="28">
                  <c:v>0.41866910140630448</c:v>
                </c:pt>
                <c:pt idx="29">
                  <c:v>0.4013379991636844</c:v>
                </c:pt>
                <c:pt idx="30">
                  <c:v>0.34636776984886958</c:v>
                </c:pt>
                <c:pt idx="31">
                  <c:v>0.3066788210075071</c:v>
                </c:pt>
                <c:pt idx="32">
                  <c:v>0.2797242684723949</c:v>
                </c:pt>
                <c:pt idx="33">
                  <c:v>0</c:v>
                </c:pt>
              </c:numCache>
            </c:numRef>
          </c:val>
        </c:ser>
        <c:dLbls>
          <c:showLegendKey val="0"/>
          <c:showVal val="0"/>
          <c:showCatName val="0"/>
          <c:showSerName val="0"/>
          <c:showPercent val="0"/>
          <c:showBubbleSize val="0"/>
        </c:dLbls>
        <c:gapWidth val="150"/>
        <c:axId val="858507776"/>
        <c:axId val="858502336"/>
      </c:barChart>
      <c:catAx>
        <c:axId val="858507776"/>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58502336"/>
        <c:crosses val="autoZero"/>
        <c:auto val="1"/>
        <c:lblAlgn val="ctr"/>
        <c:lblOffset val="100"/>
        <c:noMultiLvlLbl val="0"/>
      </c:catAx>
      <c:valAx>
        <c:axId val="858502336"/>
        <c:scaling>
          <c:orientation val="minMax"/>
        </c:scaling>
        <c:delete val="0"/>
        <c:axPos val="t"/>
        <c:majorGridlines>
          <c:spPr>
            <a:ln w="0">
              <a:solidFill>
                <a:srgbClr val="B3B3B3"/>
              </a:solidFill>
            </a:ln>
          </c:spPr>
        </c:majorGridlines>
        <c:numFmt formatCode="0.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5850777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Tren % Kehadiran, Tepat Waktu &amp; Laporan</a:t>
            </a:r>
          </a:p>
        </c:rich>
      </c:tx>
      <c:overlay val="0"/>
      <c:spPr>
        <a:noFill/>
        <a:ln w="0">
          <a:noFill/>
        </a:ln>
      </c:spPr>
    </c:title>
    <c:autoTitleDeleted val="0"/>
    <c:plotArea>
      <c:layout/>
      <c:lineChart>
        <c:grouping val="standard"/>
        <c:varyColors val="0"/>
        <c:ser>
          <c:idx val="0"/>
          <c:order val="0"/>
          <c:tx>
            <c:strRef>
              <c:f>TREN!$G$3</c:f>
              <c:strCache>
                <c:ptCount val="1"/>
                <c:pt idx="0">
                  <c:v>% Kehadiran</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TREN!$A$4:$A$7</c:f>
              <c:strCache>
                <c:ptCount val="4"/>
                <c:pt idx="0">
                  <c:v>Juni</c:v>
                </c:pt>
                <c:pt idx="1">
                  <c:v>Juli</c:v>
                </c:pt>
                <c:pt idx="2">
                  <c:v>Agustus</c:v>
                </c:pt>
                <c:pt idx="3">
                  <c:v>September</c:v>
                </c:pt>
              </c:strCache>
            </c:strRef>
          </c:cat>
          <c:val>
            <c:numRef>
              <c:f>TREN!$G$4:$G$7</c:f>
              <c:numCache>
                <c:formatCode>0.0%</c:formatCode>
                <c:ptCount val="4"/>
                <c:pt idx="0">
                  <c:v>0.94720496894409933</c:v>
                </c:pt>
                <c:pt idx="1">
                  <c:v>0.9514285714285714</c:v>
                </c:pt>
                <c:pt idx="2">
                  <c:v>0.96943231441048039</c:v>
                </c:pt>
                <c:pt idx="3">
                  <c:v>0.92611683848797255</c:v>
                </c:pt>
              </c:numCache>
            </c:numRef>
          </c:val>
          <c:smooth val="1"/>
        </c:ser>
        <c:ser>
          <c:idx val="1"/>
          <c:order val="1"/>
          <c:tx>
            <c:strRef>
              <c:f>TREN!$I$3</c:f>
              <c:strCache>
                <c:ptCount val="1"/>
                <c:pt idx="0">
                  <c:v>% Tepat Waktu</c:v>
                </c:pt>
              </c:strCache>
            </c:strRef>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TREN!$A$4:$A$7</c:f>
              <c:strCache>
                <c:ptCount val="4"/>
                <c:pt idx="0">
                  <c:v>Juni</c:v>
                </c:pt>
                <c:pt idx="1">
                  <c:v>Juli</c:v>
                </c:pt>
                <c:pt idx="2">
                  <c:v>Agustus</c:v>
                </c:pt>
                <c:pt idx="3">
                  <c:v>September</c:v>
                </c:pt>
              </c:strCache>
            </c:strRef>
          </c:cat>
          <c:val>
            <c:numRef>
              <c:f>TREN!$I$4:$I$7</c:f>
              <c:numCache>
                <c:formatCode>0.0%</c:formatCode>
                <c:ptCount val="4"/>
                <c:pt idx="0">
                  <c:v>0.83480825958702065</c:v>
                </c:pt>
                <c:pt idx="1">
                  <c:v>0.80952380952380953</c:v>
                </c:pt>
                <c:pt idx="2">
                  <c:v>0.9107142857142857</c:v>
                </c:pt>
                <c:pt idx="3">
                  <c:v>0.8931860036832413</c:v>
                </c:pt>
              </c:numCache>
            </c:numRef>
          </c:val>
          <c:smooth val="1"/>
        </c:ser>
        <c:ser>
          <c:idx val="2"/>
          <c:order val="2"/>
          <c:tx>
            <c:strRef>
              <c:f>TREN!$K$3</c:f>
              <c:strCache>
                <c:ptCount val="1"/>
                <c:pt idx="0">
                  <c:v>% Laporan Aktivitas</c:v>
                </c:pt>
              </c:strCache>
            </c:strRef>
          </c:tx>
          <c:spPr>
            <a:ln w="2844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TREN!$A$4:$A$7</c:f>
              <c:strCache>
                <c:ptCount val="4"/>
                <c:pt idx="0">
                  <c:v>Juni</c:v>
                </c:pt>
                <c:pt idx="1">
                  <c:v>Juli</c:v>
                </c:pt>
                <c:pt idx="2">
                  <c:v>Agustus</c:v>
                </c:pt>
                <c:pt idx="3">
                  <c:v>September</c:v>
                </c:pt>
              </c:strCache>
            </c:strRef>
          </c:cat>
          <c:val>
            <c:numRef>
              <c:f>TREN!$K$4:$K$7</c:f>
              <c:numCache>
                <c:formatCode>0.0%</c:formatCode>
                <c:ptCount val="4"/>
                <c:pt idx="0">
                  <c:v>0.88495575221238942</c:v>
                </c:pt>
                <c:pt idx="1">
                  <c:v>0.95767195767195767</c:v>
                </c:pt>
                <c:pt idx="2">
                  <c:v>0.9464285714285714</c:v>
                </c:pt>
                <c:pt idx="3">
                  <c:v>0.94475138121546964</c:v>
                </c:pt>
              </c:numCache>
            </c:numRef>
          </c:val>
          <c:smooth val="1"/>
        </c:ser>
        <c:dLbls>
          <c:showLegendKey val="0"/>
          <c:showVal val="0"/>
          <c:showCatName val="0"/>
          <c:showSerName val="0"/>
          <c:showPercent val="0"/>
          <c:showBubbleSize val="0"/>
        </c:dLbls>
        <c:hiLowLines>
          <c:spPr>
            <a:ln w="0">
              <a:noFill/>
            </a:ln>
          </c:spPr>
        </c:hiLowLines>
        <c:smooth val="0"/>
        <c:axId val="858511584"/>
        <c:axId val="858507232"/>
      </c:lineChart>
      <c:catAx>
        <c:axId val="85851158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8507232"/>
        <c:crosses val="autoZero"/>
        <c:auto val="1"/>
        <c:lblAlgn val="ctr"/>
        <c:lblOffset val="100"/>
        <c:noMultiLvlLbl val="0"/>
      </c:catAx>
      <c:valAx>
        <c:axId val="858507232"/>
        <c:scaling>
          <c:orientation val="minMax"/>
          <c:max val="1"/>
          <c:min val="0.6"/>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851158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15</xdr:col>
      <xdr:colOff>85680</xdr:colOff>
      <xdr:row>0</xdr:row>
      <xdr:rowOff>32760</xdr:rowOff>
    </xdr:from>
    <xdr:to>
      <xdr:col>25</xdr:col>
      <xdr:colOff>418680</xdr:colOff>
      <xdr:row>22</xdr:row>
      <xdr:rowOff>123480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27</xdr:row>
      <xdr:rowOff>0</xdr:rowOff>
    </xdr:from>
    <xdr:to>
      <xdr:col>30</xdr:col>
      <xdr:colOff>205920</xdr:colOff>
      <xdr:row>44</xdr:row>
      <xdr:rowOff>250200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228600</xdr:colOff>
      <xdr:row>27</xdr:row>
      <xdr:rowOff>0</xdr:rowOff>
    </xdr:from>
    <xdr:to>
      <xdr:col>43</xdr:col>
      <xdr:colOff>108360</xdr:colOff>
      <xdr:row>44</xdr:row>
      <xdr:rowOff>250200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44</xdr:row>
      <xdr:rowOff>14040</xdr:rowOff>
    </xdr:from>
    <xdr:to>
      <xdr:col>17</xdr:col>
      <xdr:colOff>559080</xdr:colOff>
      <xdr:row>72</xdr:row>
      <xdr:rowOff>134910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76680</xdr:rowOff>
    </xdr:from>
    <xdr:to>
      <xdr:col>7</xdr:col>
      <xdr:colOff>104400</xdr:colOff>
      <xdr:row>25</xdr:row>
      <xdr:rowOff>81360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G132"/>
  <sheetViews>
    <sheetView topLeftCell="A7" zoomScaleNormal="100" workbookViewId="0">
      <selection activeCell="G29" sqref="G29"/>
    </sheetView>
  </sheetViews>
  <sheetFormatPr defaultColWidth="12" defaultRowHeight="11.25" x14ac:dyDescent="0.2"/>
  <cols>
    <col min="1" max="1" width="5" style="2" customWidth="1"/>
    <col min="2" max="2" width="28" style="2" customWidth="1"/>
    <col min="3" max="3" width="28.42578125" style="2" customWidth="1"/>
    <col min="4" max="4" width="10" style="2" customWidth="1"/>
    <col min="5" max="5" width="9" style="2" customWidth="1"/>
    <col min="6" max="6" width="11.5703125" style="2" customWidth="1"/>
    <col min="7" max="9" width="10" style="2" customWidth="1"/>
    <col min="10" max="10" width="11" style="2" customWidth="1"/>
    <col min="11" max="11" width="10" style="2" customWidth="1"/>
    <col min="12" max="12" width="14" style="2" customWidth="1"/>
    <col min="13" max="13" width="9" style="2" customWidth="1"/>
    <col min="14" max="14" width="30" style="2" customWidth="1"/>
    <col min="15" max="15" width="13" style="2" customWidth="1"/>
    <col min="16" max="16" width="8.7109375" style="2" customWidth="1"/>
    <col min="17" max="17" width="12.7109375" style="2" customWidth="1"/>
    <col min="18" max="18" width="29.28515625" style="2" customWidth="1"/>
    <col min="19" max="23" width="8.7109375" style="2" customWidth="1"/>
    <col min="24" max="24" width="12.28515625" style="2" customWidth="1"/>
    <col min="25" max="29" width="8.7109375" style="2" customWidth="1"/>
    <col min="30" max="30" width="17.28515625" style="2" customWidth="1"/>
    <col min="31" max="31" width="29.28515625" style="2" customWidth="1"/>
    <col min="32" max="16384" width="12" style="2"/>
  </cols>
  <sheetData>
    <row r="1" spans="1:15" x14ac:dyDescent="0.2">
      <c r="A1" s="3" t="s">
        <v>0</v>
      </c>
    </row>
    <row r="3" spans="1:15" ht="33.75" customHeight="1" x14ac:dyDescent="0.2">
      <c r="A3" s="4" t="s">
        <v>1</v>
      </c>
      <c r="B3" s="4" t="s">
        <v>2</v>
      </c>
      <c r="C3" s="4" t="s">
        <v>3</v>
      </c>
      <c r="D3" s="4" t="s">
        <v>4</v>
      </c>
      <c r="E3" s="4" t="s">
        <v>5</v>
      </c>
      <c r="F3" s="4" t="s">
        <v>6</v>
      </c>
      <c r="G3" s="4" t="s">
        <v>7</v>
      </c>
      <c r="H3" s="4" t="s">
        <v>8</v>
      </c>
      <c r="I3" s="4" t="s">
        <v>9</v>
      </c>
      <c r="J3" s="4" t="s">
        <v>10</v>
      </c>
      <c r="K3" s="4" t="s">
        <v>11</v>
      </c>
      <c r="L3" s="4" t="s">
        <v>12</v>
      </c>
      <c r="M3" s="4" t="s">
        <v>13</v>
      </c>
      <c r="N3" s="4" t="s">
        <v>14</v>
      </c>
      <c r="O3" s="4" t="s">
        <v>15</v>
      </c>
    </row>
    <row r="4" spans="1:15" x14ac:dyDescent="0.2">
      <c r="A4" s="5">
        <v>1</v>
      </c>
      <c r="B4" s="6" t="str">
        <f>EVALUASI!D80</f>
        <v>AHMAD JALALUDDIN BASYAR</v>
      </c>
      <c r="C4" s="7">
        <f>COUNTIF(EVALUASI!$D$79:$D$132,$B4)</f>
        <v>7</v>
      </c>
      <c r="D4" s="7">
        <f>SUMIFS(EVALUASI!$I$79:$I$132,EVALUASI!$D$79:$D$132,$B4)</f>
        <v>408</v>
      </c>
      <c r="E4" s="7">
        <f>SUMIFS(EVALUASI!$J$79:$J$132,EVALUASI!$D$79:$D$132,$B4)</f>
        <v>399</v>
      </c>
      <c r="F4" s="8">
        <f t="shared" ref="F4:F24" si="0">IFERROR(E4/D4,0)</f>
        <v>0.9779411764705882</v>
      </c>
      <c r="G4" s="7">
        <f>SUMIFS(EVALUASI!$M$79:$M$132,EVALUASI!$D$79:$D$132,$B4)</f>
        <v>64</v>
      </c>
      <c r="H4" s="8">
        <f>IFERROR(1-G4/SUMIFS(DETAIL!$M$2:$M$137,DETAIL!$C$2:$C$137,$B4),0)</f>
        <v>0.84615384615384615</v>
      </c>
      <c r="I4" s="7">
        <f>SUMIFS(EVALUASI!$P$79:$P$132,EVALUASI!$D$79:$D$132,$B4)</f>
        <v>20</v>
      </c>
      <c r="J4" s="8">
        <f>IFERROR(SUMIFS(DETAIL!$Q$2:$Q$137,DETAIL!$C$2:$C$137,$B4)/SUMIFS(DETAIL!$M$2:$M$137,DETAIL!$C$2:$C$137,$B4),0)</f>
        <v>0.87980769230769229</v>
      </c>
      <c r="K4" s="9">
        <f>ROUND(AVERAGEIF(EVALUASI!$D$79:$D$132,$B4,EVALUASI!$W$79:$W$132),1)</f>
        <v>85.1</v>
      </c>
      <c r="L4" s="5" t="str">
        <f>IF(K4&gt;=100*SUMMARY!$C$14,"Sangat Baik",IF(K4&gt;=100*SUMMARY!$C$15,"Baik",IF(K4&gt;=100*SUMMARY!$C$16,"Cukup","Perlu Pembinaan")))</f>
        <v>Baik</v>
      </c>
      <c r="M4" s="9">
        <f>MIN(EVALUASI!$W$80:$W$86)</f>
        <v>65.400000000000006</v>
      </c>
      <c r="N4" s="10" t="str">
        <f>INDEX(EVALUASI!$C$80:$C$86,MATCH(M4,EVALUASI!$W$80:$W$86,0))</f>
        <v>WIDIYA DESY MAWAR SARI</v>
      </c>
      <c r="O4" s="11">
        <f t="shared" ref="O4:O23" si="1">K4-ROW()/100000</f>
        <v>85.099959999999996</v>
      </c>
    </row>
    <row r="5" spans="1:15" x14ac:dyDescent="0.2">
      <c r="A5" s="5">
        <v>2</v>
      </c>
      <c r="B5" s="6" t="str">
        <f>EVALUASI!D88</f>
        <v>AKHMAT ABIDIN</v>
      </c>
      <c r="C5" s="7">
        <f>COUNTIF(EVALUASI!$D$79:$D$132,$B5)</f>
        <v>1</v>
      </c>
      <c r="D5" s="7">
        <f>SUMIFS(EVALUASI!$I$79:$I$132,EVALUASI!$D$79:$D$132,$B5)</f>
        <v>52</v>
      </c>
      <c r="E5" s="7">
        <f>SUMIFS(EVALUASI!$J$79:$J$132,EVALUASI!$D$79:$D$132,$B5)</f>
        <v>48</v>
      </c>
      <c r="F5" s="8">
        <f t="shared" si="0"/>
        <v>0.92307692307692313</v>
      </c>
      <c r="G5" s="7">
        <f>SUMIFS(EVALUASI!$M$79:$M$132,EVALUASI!$D$79:$D$132,$B5)</f>
        <v>3</v>
      </c>
      <c r="H5" s="8">
        <f>IFERROR(1-G5/SUMIFS(DETAIL!$M$2:$M$137,DETAIL!$C$2:$C$137,$B5),0)</f>
        <v>0.94444444444444442</v>
      </c>
      <c r="I5" s="7">
        <f>SUMIFS(EVALUASI!$P$79:$P$132,EVALUASI!$D$79:$D$132,$B5)</f>
        <v>5</v>
      </c>
      <c r="J5" s="8">
        <f>IFERROR(SUMIFS(DETAIL!$Q$2:$Q$137,DETAIL!$C$2:$C$137,$B5)/SUMIFS(DETAIL!$M$2:$M$137,DETAIL!$C$2:$C$137,$B5),0)</f>
        <v>0.94444444444444442</v>
      </c>
      <c r="K5" s="9">
        <f>ROUND(AVERAGEIF(EVALUASI!$D$79:$D$132,$B5,EVALUASI!$W$79:$W$132),1)</f>
        <v>95.5</v>
      </c>
      <c r="L5" s="5" t="str">
        <f>IF(K5&gt;=100*SUMMARY!$C$14,"Sangat Baik",IF(K5&gt;=100*SUMMARY!$C$15,"Baik",IF(K5&gt;=100*SUMMARY!$C$16,"Cukup","Perlu Pembinaan")))</f>
        <v>Sangat Baik</v>
      </c>
      <c r="M5" s="9">
        <f>MIN(EVALUASI!$W$88:$W$88)</f>
        <v>95.5</v>
      </c>
      <c r="N5" s="10" t="str">
        <f>INDEX(EVALUASI!$C$88:$C$88,MATCH(M5,EVALUASI!$W$88:$W$88,0))</f>
        <v>NURIKA AMELIA ROSYIDAH</v>
      </c>
      <c r="O5" s="11">
        <f t="shared" si="1"/>
        <v>95.499949999999998</v>
      </c>
    </row>
    <row r="6" spans="1:15" x14ac:dyDescent="0.2">
      <c r="A6" s="5">
        <v>3</v>
      </c>
      <c r="B6" s="6" t="str">
        <f>EVALUASI!D90</f>
        <v>ARIFANO KUSUMA BAYU</v>
      </c>
      <c r="C6" s="7">
        <f>COUNTIF(EVALUASI!$D$79:$D$132,$B6)</f>
        <v>1</v>
      </c>
      <c r="D6" s="7">
        <f>SUMIFS(EVALUASI!$I$79:$I$132,EVALUASI!$D$79:$D$132,$B6)</f>
        <v>75</v>
      </c>
      <c r="E6" s="7">
        <f>SUMIFS(EVALUASI!$J$79:$J$132,EVALUASI!$D$79:$D$132,$B6)</f>
        <v>71</v>
      </c>
      <c r="F6" s="8">
        <f t="shared" si="0"/>
        <v>0.94666666666666666</v>
      </c>
      <c r="G6" s="7">
        <f>SUMIFS(EVALUASI!$M$79:$M$132,EVALUASI!$D$79:$D$132,$B6)</f>
        <v>28</v>
      </c>
      <c r="H6" s="8">
        <f>IFERROR(1-G6/SUMIFS(DETAIL!$M$2:$M$137,DETAIL!$C$2:$C$137,$B6),0)</f>
        <v>0.63636363636363635</v>
      </c>
      <c r="I6" s="7">
        <f>SUMIFS(EVALUASI!$P$79:$P$132,EVALUASI!$D$79:$D$132,$B6)</f>
        <v>3</v>
      </c>
      <c r="J6" s="8">
        <f>IFERROR(SUMIFS(DETAIL!$Q$2:$Q$137,DETAIL!$C$2:$C$137,$B6)/SUMIFS(DETAIL!$M$2:$M$137,DETAIL!$C$2:$C$137,$B6),0)</f>
        <v>0.98701298701298701</v>
      </c>
      <c r="K6" s="9">
        <f>ROUND(AVERAGEIF(EVALUASI!$D$79:$D$132,$B6,EVALUASI!$W$79:$W$132),1)</f>
        <v>90.9</v>
      </c>
      <c r="L6" s="5" t="str">
        <f>IF(K6&gt;=100*SUMMARY!$C$14,"Sangat Baik",IF(K6&gt;=100*SUMMARY!$C$15,"Baik",IF(K6&gt;=100*SUMMARY!$C$16,"Cukup","Perlu Pembinaan")))</f>
        <v>Sangat Baik</v>
      </c>
      <c r="M6" s="9">
        <f>MIN(EVALUASI!$W$90:$W$90)</f>
        <v>90.9</v>
      </c>
      <c r="N6" s="10" t="str">
        <f>INDEX(EVALUASI!$C$90:$C$90,MATCH(M6,EVALUASI!$W$90:$W$90,0))</f>
        <v>JANU PRASTYO</v>
      </c>
      <c r="O6" s="11">
        <f t="shared" si="1"/>
        <v>90.899940000000001</v>
      </c>
    </row>
    <row r="7" spans="1:15" x14ac:dyDescent="0.2">
      <c r="A7" s="5">
        <v>4</v>
      </c>
      <c r="B7" s="6" t="str">
        <f>EVALUASI!D92</f>
        <v>DIAN RIZKA SARI</v>
      </c>
      <c r="C7" s="7">
        <f>COUNTIF(EVALUASI!$D$79:$D$132,$B7)</f>
        <v>2</v>
      </c>
      <c r="D7" s="7">
        <f>SUMIFS(EVALUASI!$I$79:$I$132,EVALUASI!$D$79:$D$132,$B7)</f>
        <v>65</v>
      </c>
      <c r="E7" s="7">
        <f>SUMIFS(EVALUASI!$J$79:$J$132,EVALUASI!$D$79:$D$132,$B7)</f>
        <v>58</v>
      </c>
      <c r="F7" s="8">
        <f t="shared" si="0"/>
        <v>0.89230769230769236</v>
      </c>
      <c r="G7" s="7">
        <f>SUMIFS(EVALUASI!$M$79:$M$132,EVALUASI!$D$79:$D$132,$B7)</f>
        <v>0</v>
      </c>
      <c r="H7" s="8">
        <f>IFERROR(1-G7/SUMIFS(DETAIL!$M$2:$M$137,DETAIL!$C$2:$C$137,$B7),0)</f>
        <v>1</v>
      </c>
      <c r="I7" s="7">
        <f>SUMIFS(EVALUASI!$P$79:$P$132,EVALUASI!$D$79:$D$132,$B7)</f>
        <v>3</v>
      </c>
      <c r="J7" s="8">
        <f>IFERROR(SUMIFS(DETAIL!$Q$2:$Q$137,DETAIL!$C$2:$C$137,$B7)/SUMIFS(DETAIL!$M$2:$M$137,DETAIL!$C$2:$C$137,$B7),0)</f>
        <v>0.98275862068965514</v>
      </c>
      <c r="K7" s="9">
        <f>ROUND(AVERAGEIF(EVALUASI!$D$79:$D$132,$B7,EVALUASI!$W$79:$W$132),1)</f>
        <v>81.400000000000006</v>
      </c>
      <c r="L7" s="5" t="str">
        <f>IF(K7&gt;=100*SUMMARY!$C$14,"Sangat Baik",IF(K7&gt;=100*SUMMARY!$C$15,"Baik",IF(K7&gt;=100*SUMMARY!$C$16,"Cukup","Perlu Pembinaan")))</f>
        <v>Baik</v>
      </c>
      <c r="M7" s="9">
        <f>MIN(EVALUASI!$W$92:$W$93)</f>
        <v>81.3</v>
      </c>
      <c r="N7" s="10" t="str">
        <f>INDEX(EVALUASI!$C$92:$C$93,MATCH(M7,EVALUASI!$W$92:$W$93,0))</f>
        <v>NIKEN AURELIA SAPUTRI</v>
      </c>
      <c r="O7" s="11">
        <f t="shared" si="1"/>
        <v>81.399930000000012</v>
      </c>
    </row>
    <row r="8" spans="1:15" x14ac:dyDescent="0.2">
      <c r="A8" s="5">
        <v>5</v>
      </c>
      <c r="B8" s="6" t="str">
        <f>EVALUASI!D95</f>
        <v>DWI SULIASTARI</v>
      </c>
      <c r="C8" s="7">
        <f>COUNTIF(EVALUASI!$D$79:$D$132,$B8)</f>
        <v>2</v>
      </c>
      <c r="D8" s="7">
        <f>SUMIFS(EVALUASI!$I$79:$I$132,EVALUASI!$D$79:$D$132,$B8)</f>
        <v>148</v>
      </c>
      <c r="E8" s="7">
        <f>SUMIFS(EVALUASI!$J$79:$J$132,EVALUASI!$D$79:$D$132,$B8)</f>
        <v>138</v>
      </c>
      <c r="F8" s="8">
        <f t="shared" si="0"/>
        <v>0.93243243243243246</v>
      </c>
      <c r="G8" s="7">
        <f>SUMIFS(EVALUASI!$M$79:$M$132,EVALUASI!$D$79:$D$132,$B8)</f>
        <v>7</v>
      </c>
      <c r="H8" s="8">
        <f>IFERROR(1-G8/SUMIFS(DETAIL!$M$2:$M$137,DETAIL!$C$2:$C$137,$B8),0)</f>
        <v>0.94927536231884058</v>
      </c>
      <c r="I8" s="7">
        <f>SUMIFS(EVALUASI!$P$79:$P$132,EVALUASI!$D$79:$D$132,$B8)</f>
        <v>6</v>
      </c>
      <c r="J8" s="8">
        <f>IFERROR(SUMIFS(DETAIL!$Q$2:$Q$137,DETAIL!$C$2:$C$137,$B8)/SUMIFS(DETAIL!$M$2:$M$137,DETAIL!$C$2:$C$137,$B8),0)</f>
        <v>0.95652173913043481</v>
      </c>
      <c r="K8" s="9">
        <f>ROUND(AVERAGEIF(EVALUASI!$D$79:$D$132,$B8,EVALUASI!$W$79:$W$132),1)</f>
        <v>80.400000000000006</v>
      </c>
      <c r="L8" s="5" t="str">
        <f>IF(K8&gt;=100*SUMMARY!$C$14,"Sangat Baik",IF(K8&gt;=100*SUMMARY!$C$15,"Baik",IF(K8&gt;=100*SUMMARY!$C$16,"Cukup","Perlu Pembinaan")))</f>
        <v>Baik</v>
      </c>
      <c r="M8" s="9">
        <f>MIN(EVALUASI!$W$95:$W$96)</f>
        <v>77.7</v>
      </c>
      <c r="N8" s="10" t="str">
        <f>INDEX(EVALUASI!$C$95:$C$96,MATCH(M8,EVALUASI!$W$95:$W$96,0))</f>
        <v>EKA PUTRI FEBRIANTI</v>
      </c>
      <c r="O8" s="11">
        <f t="shared" si="1"/>
        <v>80.399920000000009</v>
      </c>
    </row>
    <row r="9" spans="1:15" x14ac:dyDescent="0.2">
      <c r="A9" s="5">
        <v>6</v>
      </c>
      <c r="B9" s="6" t="str">
        <f>EVALUASI!D98</f>
        <v>ELFANO RANGGA PRATAMA</v>
      </c>
      <c r="C9" s="7">
        <f>COUNTIF(EVALUASI!$D$79:$D$132,$B9)</f>
        <v>1</v>
      </c>
      <c r="D9" s="7">
        <f>SUMIFS(EVALUASI!$I$79:$I$132,EVALUASI!$D$79:$D$132,$B9)</f>
        <v>75</v>
      </c>
      <c r="E9" s="7">
        <f>SUMIFS(EVALUASI!$J$79:$J$132,EVALUASI!$D$79:$D$132,$B9)</f>
        <v>70</v>
      </c>
      <c r="F9" s="8">
        <f t="shared" si="0"/>
        <v>0.93333333333333335</v>
      </c>
      <c r="G9" s="7">
        <f>SUMIFS(EVALUASI!$M$79:$M$132,EVALUASI!$D$79:$D$132,$B9)</f>
        <v>59</v>
      </c>
      <c r="H9" s="8">
        <f>IFERROR(1-G9/SUMIFS(DETAIL!$M$2:$M$137,DETAIL!$C$2:$C$137,$B9),0)</f>
        <v>0.37234042553191493</v>
      </c>
      <c r="I9" s="7">
        <f>SUMIFS(EVALUASI!$P$79:$P$132,EVALUASI!$D$79:$D$132,$B9)</f>
        <v>1</v>
      </c>
      <c r="J9" s="8">
        <f>IFERROR(SUMIFS(DETAIL!$Q$2:$Q$137,DETAIL!$C$2:$C$137,$B9)/SUMIFS(DETAIL!$M$2:$M$137,DETAIL!$C$2:$C$137,$B9),0)</f>
        <v>0.91489361702127658</v>
      </c>
      <c r="K9" s="9">
        <f>ROUND(AVERAGEIF(EVALUASI!$D$79:$D$132,$B9,EVALUASI!$W$79:$W$132),1)</f>
        <v>74.5</v>
      </c>
      <c r="L9" s="5" t="str">
        <f>IF(K9&gt;=100*SUMMARY!$C$14,"Sangat Baik",IF(K9&gt;=100*SUMMARY!$C$15,"Baik",IF(K9&gt;=100*SUMMARY!$C$16,"Cukup","Perlu Pembinaan")))</f>
        <v>Cukup</v>
      </c>
      <c r="M9" s="9">
        <f>MIN(EVALUASI!$W$98:$W$98)</f>
        <v>74.5</v>
      </c>
      <c r="N9" s="10" t="str">
        <f>INDEX(EVALUASI!$C$98:$C$98,MATCH(M9,EVALUASI!$W$98:$W$98,0))</f>
        <v>FETI FATMAWATI</v>
      </c>
      <c r="O9" s="11">
        <f t="shared" si="1"/>
        <v>74.49991</v>
      </c>
    </row>
    <row r="10" spans="1:15" x14ac:dyDescent="0.2">
      <c r="A10" s="5">
        <v>7</v>
      </c>
      <c r="B10" s="6" t="str">
        <f>EVALUASI!D100</f>
        <v>ENDAH YUNIA SRI WINDARI</v>
      </c>
      <c r="C10" s="7">
        <f>COUNTIF(EVALUASI!$D$79:$D$132,$B10)</f>
        <v>2</v>
      </c>
      <c r="D10" s="7">
        <f>SUMIFS(EVALUASI!$I$79:$I$132,EVALUASI!$D$79:$D$132,$B10)</f>
        <v>72</v>
      </c>
      <c r="E10" s="7">
        <f>SUMIFS(EVALUASI!$J$79:$J$132,EVALUASI!$D$79:$D$132,$B10)</f>
        <v>68</v>
      </c>
      <c r="F10" s="8">
        <f t="shared" si="0"/>
        <v>0.94444444444444442</v>
      </c>
      <c r="G10" s="7">
        <f>SUMIFS(EVALUASI!$M$79:$M$132,EVALUASI!$D$79:$D$132,$B10)</f>
        <v>2</v>
      </c>
      <c r="H10" s="8">
        <f>IFERROR(1-G10/SUMIFS(DETAIL!$M$2:$M$137,DETAIL!$C$2:$C$137,$B10),0)</f>
        <v>0.97058823529411764</v>
      </c>
      <c r="I10" s="7">
        <f>SUMIFS(EVALUASI!$P$79:$P$132,EVALUASI!$D$79:$D$132,$B10)</f>
        <v>5</v>
      </c>
      <c r="J10" s="8">
        <f>IFERROR(SUMIFS(DETAIL!$Q$2:$Q$137,DETAIL!$C$2:$C$137,$B10)/SUMIFS(DETAIL!$M$2:$M$137,DETAIL!$C$2:$C$137,$B10),0)</f>
        <v>1</v>
      </c>
      <c r="K10" s="9">
        <f>ROUND(AVERAGEIF(EVALUASI!$D$79:$D$132,$B10,EVALUASI!$W$79:$W$132),1)</f>
        <v>97.8</v>
      </c>
      <c r="L10" s="5" t="str">
        <f>IF(K10&gt;=100*SUMMARY!$C$14,"Sangat Baik",IF(K10&gt;=100*SUMMARY!$C$15,"Baik",IF(K10&gt;=100*SUMMARY!$C$16,"Cukup","Perlu Pembinaan")))</f>
        <v>Sangat Baik</v>
      </c>
      <c r="M10" s="9">
        <f>MIN(EVALUASI!$W$100:$W$101)</f>
        <v>96.9</v>
      </c>
      <c r="N10" s="10" t="str">
        <f>INDEX(EVALUASI!$C$100:$C$101,MATCH(M10,EVALUASI!$W$100:$W$101,0))</f>
        <v>AHMAD NOVAN JUNIARDY</v>
      </c>
      <c r="O10" s="11">
        <f t="shared" si="1"/>
        <v>97.799899999999994</v>
      </c>
    </row>
    <row r="11" spans="1:15" x14ac:dyDescent="0.2">
      <c r="A11" s="5">
        <v>8</v>
      </c>
      <c r="B11" s="6" t="str">
        <f>EVALUASI!D103</f>
        <v>FETI MUBAIYINI</v>
      </c>
      <c r="C11" s="7">
        <f>COUNTIF(EVALUASI!$D$79:$D$132,$B11)</f>
        <v>2</v>
      </c>
      <c r="D11" s="7">
        <f>SUMIFS(EVALUASI!$I$79:$I$132,EVALUASI!$D$79:$D$132,$B11)</f>
        <v>90</v>
      </c>
      <c r="E11" s="7">
        <f>SUMIFS(EVALUASI!$J$79:$J$132,EVALUASI!$D$79:$D$132,$B11)</f>
        <v>85</v>
      </c>
      <c r="F11" s="8">
        <f t="shared" si="0"/>
        <v>0.94444444444444442</v>
      </c>
      <c r="G11" s="7">
        <f>SUMIFS(EVALUASI!$M$79:$M$132,EVALUASI!$D$79:$D$132,$B11)</f>
        <v>3</v>
      </c>
      <c r="H11" s="8">
        <f>IFERROR(1-G11/SUMIFS(DETAIL!$M$2:$M$137,DETAIL!$C$2:$C$137,$B11),0)</f>
        <v>0.96470588235294119</v>
      </c>
      <c r="I11" s="7">
        <f>SUMIFS(EVALUASI!$P$79:$P$132,EVALUASI!$D$79:$D$132,$B11)</f>
        <v>8</v>
      </c>
      <c r="J11" s="8">
        <f>IFERROR(SUMIFS(DETAIL!$Q$2:$Q$137,DETAIL!$C$2:$C$137,$B11)/SUMIFS(DETAIL!$M$2:$M$137,DETAIL!$C$2:$C$137,$B11),0)</f>
        <v>0.95294117647058818</v>
      </c>
      <c r="K11" s="9">
        <f>ROUND(AVERAGEIF(EVALUASI!$D$79:$D$132,$B11,EVALUASI!$W$79:$W$132),1)</f>
        <v>84.9</v>
      </c>
      <c r="L11" s="5" t="str">
        <f>IF(K11&gt;=100*SUMMARY!$C$14,"Sangat Baik",IF(K11&gt;=100*SUMMARY!$C$15,"Baik",IF(K11&gt;=100*SUMMARY!$C$16,"Cukup","Perlu Pembinaan")))</f>
        <v>Baik</v>
      </c>
      <c r="M11" s="9">
        <f>MIN(EVALUASI!$W$103:$W$104)</f>
        <v>76.7</v>
      </c>
      <c r="N11" s="10" t="str">
        <f>INDEX(EVALUASI!$C$103:$C$104,MATCH(M11,EVALUASI!$W$103:$W$104,0))</f>
        <v>SYACHIRA FARA NABILA</v>
      </c>
      <c r="O11" s="11">
        <f t="shared" si="1"/>
        <v>84.899889999999999</v>
      </c>
    </row>
    <row r="12" spans="1:15" x14ac:dyDescent="0.2">
      <c r="A12" s="5">
        <v>9</v>
      </c>
      <c r="B12" s="6" t="str">
        <f>EVALUASI!D106</f>
        <v>GANANG MUSYAFFA FAHMI</v>
      </c>
      <c r="C12" s="7">
        <f>COUNTIF(EVALUASI!$D$79:$D$132,$B12)</f>
        <v>1</v>
      </c>
      <c r="D12" s="7">
        <f>SUMIFS(EVALUASI!$I$79:$I$132,EVALUASI!$D$79:$D$132,$B12)</f>
        <v>75</v>
      </c>
      <c r="E12" s="7">
        <f>SUMIFS(EVALUASI!$J$79:$J$132,EVALUASI!$D$79:$D$132,$B12)</f>
        <v>71</v>
      </c>
      <c r="F12" s="8">
        <f t="shared" si="0"/>
        <v>0.94666666666666666</v>
      </c>
      <c r="G12" s="7">
        <f>SUMIFS(EVALUASI!$M$79:$M$132,EVALUASI!$D$79:$D$132,$B12)</f>
        <v>0</v>
      </c>
      <c r="H12" s="8">
        <f>IFERROR(1-G12/SUMIFS(DETAIL!$M$2:$M$137,DETAIL!$C$2:$C$137,$B12),0)</f>
        <v>1</v>
      </c>
      <c r="I12" s="7">
        <f>SUMIFS(EVALUASI!$P$79:$P$132,EVALUASI!$D$79:$D$132,$B12)</f>
        <v>5</v>
      </c>
      <c r="J12" s="8">
        <f>IFERROR(SUMIFS(DETAIL!$Q$2:$Q$137,DETAIL!$C$2:$C$137,$B12)/SUMIFS(DETAIL!$M$2:$M$137,DETAIL!$C$2:$C$137,$B12),0)</f>
        <v>0.97368421052631582</v>
      </c>
      <c r="K12" s="9">
        <f>ROUND(AVERAGEIF(EVALUASI!$D$79:$D$132,$B12,EVALUASI!$W$79:$W$132),1)</f>
        <v>97.9</v>
      </c>
      <c r="L12" s="5" t="str">
        <f>IF(K12&gt;=100*SUMMARY!$C$14,"Sangat Baik",IF(K12&gt;=100*SUMMARY!$C$15,"Baik",IF(K12&gt;=100*SUMMARY!$C$16,"Cukup","Perlu Pembinaan")))</f>
        <v>Sangat Baik</v>
      </c>
      <c r="M12" s="9">
        <f>MIN(EVALUASI!$W$106:$W$106)</f>
        <v>97.9</v>
      </c>
      <c r="N12" s="10" t="str">
        <f>INDEX(EVALUASI!$C$106:$C$106,MATCH(M12,EVALUASI!$W$106:$W$106,0))</f>
        <v>SELVI NURUL HASANAH</v>
      </c>
      <c r="O12" s="11">
        <f t="shared" si="1"/>
        <v>97.89988000000001</v>
      </c>
    </row>
    <row r="13" spans="1:15" x14ac:dyDescent="0.2">
      <c r="A13" s="5">
        <v>10</v>
      </c>
      <c r="B13" s="6" t="str">
        <f>EVALUASI!D108</f>
        <v>HASKIN AVIONATA</v>
      </c>
      <c r="C13" s="7">
        <f>COUNTIF(EVALUASI!$D$79:$D$132,$B13)</f>
        <v>1</v>
      </c>
      <c r="D13" s="7">
        <f>SUMIFS(EVALUASI!$I$79:$I$132,EVALUASI!$D$79:$D$132,$B13)</f>
        <v>75</v>
      </c>
      <c r="E13" s="7">
        <f>SUMIFS(EVALUASI!$J$79:$J$132,EVALUASI!$D$79:$D$132,$B13)</f>
        <v>64</v>
      </c>
      <c r="F13" s="8">
        <f t="shared" si="0"/>
        <v>0.85333333333333339</v>
      </c>
      <c r="G13" s="7">
        <f>SUMIFS(EVALUASI!$M$79:$M$132,EVALUASI!$D$79:$D$132,$B13)</f>
        <v>17</v>
      </c>
      <c r="H13" s="8">
        <f>IFERROR(1-G13/SUMIFS(DETAIL!$M$2:$M$137,DETAIL!$C$2:$C$137,$B13),0)</f>
        <v>0.7384615384615385</v>
      </c>
      <c r="I13" s="7">
        <f>SUMIFS(EVALUASI!$P$79:$P$132,EVALUASI!$D$79:$D$132,$B13)</f>
        <v>3</v>
      </c>
      <c r="J13" s="8">
        <f>IFERROR(SUMIFS(DETAIL!$Q$2:$Q$137,DETAIL!$C$2:$C$137,$B13)/SUMIFS(DETAIL!$M$2:$M$137,DETAIL!$C$2:$C$137,$B13),0)</f>
        <v>0.96923076923076923</v>
      </c>
      <c r="K13" s="9">
        <f>ROUND(AVERAGEIF(EVALUASI!$D$79:$D$132,$B13,EVALUASI!$W$79:$W$132),1)</f>
        <v>78.099999999999994</v>
      </c>
      <c r="L13" s="5" t="str">
        <f>IF(K13&gt;=100*SUMMARY!$C$14,"Sangat Baik",IF(K13&gt;=100*SUMMARY!$C$15,"Baik",IF(K13&gt;=100*SUMMARY!$C$16,"Cukup","Perlu Pembinaan")))</f>
        <v>Cukup</v>
      </c>
      <c r="M13" s="9">
        <f>MIN(EVALUASI!$W$108:$W$108)</f>
        <v>78.099999999999994</v>
      </c>
      <c r="N13" s="10" t="str">
        <f>INDEX(EVALUASI!$C$108:$C$108,MATCH(M13,EVALUASI!$W$108:$W$108,0))</f>
        <v>FARREL ALWIN RAHMADHAN</v>
      </c>
      <c r="O13" s="11">
        <f t="shared" si="1"/>
        <v>78.099869999999996</v>
      </c>
    </row>
    <row r="14" spans="1:15" x14ac:dyDescent="0.2">
      <c r="A14" s="5">
        <v>11</v>
      </c>
      <c r="B14" s="6" t="str">
        <f>EVALUASI!D110</f>
        <v>IMAM SUBEKTI</v>
      </c>
      <c r="C14" s="7">
        <f>COUNTIF(EVALUASI!$D$79:$D$132,$B14)</f>
        <v>1</v>
      </c>
      <c r="D14" s="7">
        <f>SUMIFS(EVALUASI!$I$79:$I$132,EVALUASI!$D$79:$D$132,$B14)</f>
        <v>20</v>
      </c>
      <c r="E14" s="7">
        <f>SUMIFS(EVALUASI!$J$79:$J$132,EVALUASI!$D$79:$D$132,$B14)</f>
        <v>15</v>
      </c>
      <c r="F14" s="8">
        <f t="shared" si="0"/>
        <v>0.75</v>
      </c>
      <c r="G14" s="7">
        <f>SUMIFS(EVALUASI!$M$79:$M$132,EVALUASI!$D$79:$D$132,$B14)</f>
        <v>8</v>
      </c>
      <c r="H14" s="8">
        <f>IFERROR(1-G14/SUMIFS(DETAIL!$M$2:$M$137,DETAIL!$C$2:$C$137,$B14),0)</f>
        <v>0.46666666666666667</v>
      </c>
      <c r="I14" s="7">
        <f>SUMIFS(EVALUASI!$P$79:$P$132,EVALUASI!$D$79:$D$132,$B14)</f>
        <v>12</v>
      </c>
      <c r="J14" s="8">
        <f>IFERROR(SUMIFS(DETAIL!$Q$2:$Q$137,DETAIL!$C$2:$C$137,$B14)/SUMIFS(DETAIL!$M$2:$M$137,DETAIL!$C$2:$C$137,$B14),0)</f>
        <v>0</v>
      </c>
      <c r="K14" s="9">
        <f>ROUND(AVERAGEIF(EVALUASI!$D$79:$D$132,$B14,EVALUASI!$W$79:$W$132),1)</f>
        <v>31.8</v>
      </c>
      <c r="L14" s="5" t="str">
        <f>IF(K14&gt;=100*SUMMARY!$C$14,"Sangat Baik",IF(K14&gt;=100*SUMMARY!$C$15,"Baik",IF(K14&gt;=100*SUMMARY!$C$16,"Cukup","Perlu Pembinaan")))</f>
        <v>Perlu Pembinaan</v>
      </c>
      <c r="M14" s="9">
        <f>MIN(EVALUASI!$W$110:$W$110)</f>
        <v>31.8</v>
      </c>
      <c r="N14" s="10" t="str">
        <f>INDEX(EVALUASI!$C$110:$C$110,MATCH(M14,EVALUASI!$W$110:$W$110,0))</f>
        <v>MASDUQI MUHAMMAD</v>
      </c>
      <c r="O14" s="11">
        <f t="shared" si="1"/>
        <v>31.799860000000002</v>
      </c>
    </row>
    <row r="15" spans="1:15" x14ac:dyDescent="0.2">
      <c r="A15" s="5">
        <v>12</v>
      </c>
      <c r="B15" s="6" t="str">
        <f>EVALUASI!D112</f>
        <v>IMANIAR PUTRI UTAMI</v>
      </c>
      <c r="C15" s="7">
        <f>COUNTIF(EVALUASI!$D$79:$D$132,$B15)</f>
        <v>1</v>
      </c>
      <c r="D15" s="7">
        <f>SUMIFS(EVALUASI!$I$79:$I$132,EVALUASI!$D$79:$D$132,$B15)</f>
        <v>13</v>
      </c>
      <c r="E15" s="7">
        <f>SUMIFS(EVALUASI!$J$79:$J$132,EVALUASI!$D$79:$D$132,$B15)</f>
        <v>13</v>
      </c>
      <c r="F15" s="8">
        <f t="shared" si="0"/>
        <v>1</v>
      </c>
      <c r="G15" s="7">
        <f>SUMIFS(EVALUASI!$M$79:$M$132,EVALUASI!$D$79:$D$132,$B15)</f>
        <v>1</v>
      </c>
      <c r="H15" s="8">
        <f>IFERROR(1-G15/SUMIFS(DETAIL!$M$2:$M$137,DETAIL!$C$2:$C$137,$B15),0)</f>
        <v>0.92307692307692313</v>
      </c>
      <c r="I15" s="7">
        <f>SUMIFS(EVALUASI!$P$79:$P$132,EVALUASI!$D$79:$D$132,$B15)</f>
        <v>0</v>
      </c>
      <c r="J15" s="8">
        <f>IFERROR(SUMIFS(DETAIL!$Q$2:$Q$137,DETAIL!$C$2:$C$137,$B15)/SUMIFS(DETAIL!$M$2:$M$137,DETAIL!$C$2:$C$137,$B15),0)</f>
        <v>1</v>
      </c>
      <c r="K15" s="9">
        <f>ROUND(AVERAGEIF(EVALUASI!$D$79:$D$132,$B15,EVALUASI!$W$79:$W$132),1)</f>
        <v>91.8</v>
      </c>
      <c r="L15" s="5" t="str">
        <f>IF(K15&gt;=100*SUMMARY!$C$14,"Sangat Baik",IF(K15&gt;=100*SUMMARY!$C$15,"Baik",IF(K15&gt;=100*SUMMARY!$C$16,"Cukup","Perlu Pembinaan")))</f>
        <v>Sangat Baik</v>
      </c>
      <c r="M15" s="9">
        <f>MIN(EVALUASI!$W$112:$W$112)</f>
        <v>91.8</v>
      </c>
      <c r="N15" s="10" t="str">
        <f>INDEX(EVALUASI!$C$112:$C$112,MATCH(M15,EVALUASI!$W$112:$W$112,0))</f>
        <v>CITRA ANGGRAINI</v>
      </c>
      <c r="O15" s="11">
        <f t="shared" si="1"/>
        <v>91.799849999999992</v>
      </c>
    </row>
    <row r="16" spans="1:15" x14ac:dyDescent="0.2">
      <c r="A16" s="5">
        <v>13</v>
      </c>
      <c r="B16" s="6" t="str">
        <f>EVALUASI!D114</f>
        <v>M. RIZAD FAHRURI</v>
      </c>
      <c r="C16" s="7">
        <f>COUNTIF(EVALUASI!$D$79:$D$132,$B16)</f>
        <v>1</v>
      </c>
      <c r="D16" s="7">
        <f>SUMIFS(EVALUASI!$I$79:$I$132,EVALUASI!$D$79:$D$132,$B16)</f>
        <v>75</v>
      </c>
      <c r="E16" s="7">
        <f>SUMIFS(EVALUASI!$J$79:$J$132,EVALUASI!$D$79:$D$132,$B16)</f>
        <v>72</v>
      </c>
      <c r="F16" s="8">
        <f t="shared" si="0"/>
        <v>0.96</v>
      </c>
      <c r="G16" s="7">
        <f>SUMIFS(EVALUASI!$M$79:$M$132,EVALUASI!$D$79:$D$132,$B16)</f>
        <v>0</v>
      </c>
      <c r="H16" s="8">
        <f>IFERROR(1-G16/SUMIFS(DETAIL!$M$2:$M$137,DETAIL!$C$2:$C$137,$B16),0)</f>
        <v>1</v>
      </c>
      <c r="I16" s="7">
        <f>SUMIFS(EVALUASI!$P$79:$P$132,EVALUASI!$D$79:$D$132,$B16)</f>
        <v>3</v>
      </c>
      <c r="J16" s="8">
        <f>IFERROR(SUMIFS(DETAIL!$Q$2:$Q$137,DETAIL!$C$2:$C$137,$B16)/SUMIFS(DETAIL!$M$2:$M$137,DETAIL!$C$2:$C$137,$B16),0)</f>
        <v>0.98717948717948723</v>
      </c>
      <c r="K16" s="9">
        <f>ROUND(AVERAGEIF(EVALUASI!$D$79:$D$132,$B16,EVALUASI!$W$79:$W$132),1)</f>
        <v>98.5</v>
      </c>
      <c r="L16" s="5" t="str">
        <f>IF(K16&gt;=100*SUMMARY!$C$14,"Sangat Baik",IF(K16&gt;=100*SUMMARY!$C$15,"Baik",IF(K16&gt;=100*SUMMARY!$C$16,"Cukup","Perlu Pembinaan")))</f>
        <v>Sangat Baik</v>
      </c>
      <c r="M16" s="9">
        <f>MIN(EVALUASI!$W$114:$W$114)</f>
        <v>98.5</v>
      </c>
      <c r="N16" s="10" t="str">
        <f>INDEX(EVALUASI!$C$114:$C$114,MATCH(M16,EVALUASI!$W$114:$W$114,0))</f>
        <v>KHOFIFATUNNABILAH</v>
      </c>
      <c r="O16" s="11">
        <f t="shared" si="1"/>
        <v>98.499840000000006</v>
      </c>
    </row>
    <row r="17" spans="1:15" x14ac:dyDescent="0.2">
      <c r="A17" s="5">
        <v>14</v>
      </c>
      <c r="B17" s="6" t="str">
        <f>EVALUASI!D116</f>
        <v>MOH. AGUS EFENDI</v>
      </c>
      <c r="C17" s="7">
        <f>COUNTIF(EVALUASI!$D$79:$D$132,$B17)</f>
        <v>2</v>
      </c>
      <c r="D17" s="7">
        <f>SUMIFS(EVALUASI!$I$79:$I$132,EVALUASI!$D$79:$D$132,$B17)</f>
        <v>134</v>
      </c>
      <c r="E17" s="7">
        <f>SUMIFS(EVALUASI!$J$79:$J$132,EVALUASI!$D$79:$D$132,$B17)</f>
        <v>128</v>
      </c>
      <c r="F17" s="8">
        <f t="shared" si="0"/>
        <v>0.95522388059701491</v>
      </c>
      <c r="G17" s="7">
        <f>SUMIFS(EVALUASI!$M$79:$M$132,EVALUASI!$D$79:$D$132,$B17)</f>
        <v>3</v>
      </c>
      <c r="H17" s="8">
        <f>IFERROR(1-G17/SUMIFS(DETAIL!$M$2:$M$137,DETAIL!$C$2:$C$137,$B17),0)</f>
        <v>0.9779411764705882</v>
      </c>
      <c r="I17" s="7">
        <f>SUMIFS(EVALUASI!$P$79:$P$132,EVALUASI!$D$79:$D$132,$B17)</f>
        <v>3</v>
      </c>
      <c r="J17" s="8">
        <f>IFERROR(SUMIFS(DETAIL!$Q$2:$Q$137,DETAIL!$C$2:$C$137,$B17)/SUMIFS(DETAIL!$M$2:$M$137,DETAIL!$C$2:$C$137,$B17),0)</f>
        <v>0.99264705882352944</v>
      </c>
      <c r="K17" s="9">
        <f>ROUND(AVERAGEIF(EVALUASI!$D$79:$D$132,$B17,EVALUASI!$W$79:$W$132),1)</f>
        <v>92.3</v>
      </c>
      <c r="L17" s="5" t="str">
        <f>IF(K17&gt;=100*SUMMARY!$C$14,"Sangat Baik",IF(K17&gt;=100*SUMMARY!$C$15,"Baik",IF(K17&gt;=100*SUMMARY!$C$16,"Cukup","Perlu Pembinaan")))</f>
        <v>Sangat Baik</v>
      </c>
      <c r="M17" s="9">
        <f>MIN(EVALUASI!$W$116:$W$117)</f>
        <v>85.6</v>
      </c>
      <c r="N17" s="10" t="str">
        <f>INDEX(EVALUASI!$C$116:$C$117,MATCH(M17,EVALUASI!$W$116:$W$117,0))</f>
        <v>MUHAMMAD FATCHUL ALAM</v>
      </c>
      <c r="O17" s="11">
        <f t="shared" si="1"/>
        <v>92.29983</v>
      </c>
    </row>
    <row r="18" spans="1:15" x14ac:dyDescent="0.2">
      <c r="A18" s="5">
        <v>15</v>
      </c>
      <c r="B18" s="6" t="str">
        <f>EVALUASI!D119</f>
        <v>MUHAMMAD SADULLAH</v>
      </c>
      <c r="C18" s="7">
        <f>COUNTIF(EVALUASI!$D$79:$D$132,$B18)</f>
        <v>1</v>
      </c>
      <c r="D18" s="7">
        <f>SUMIFS(EVALUASI!$I$79:$I$132,EVALUASI!$D$79:$D$132,$B18)</f>
        <v>38</v>
      </c>
      <c r="E18" s="7">
        <f>SUMIFS(EVALUASI!$J$79:$J$132,EVALUASI!$D$79:$D$132,$B18)</f>
        <v>38</v>
      </c>
      <c r="F18" s="8">
        <f t="shared" si="0"/>
        <v>1</v>
      </c>
      <c r="G18" s="7">
        <f>SUMIFS(EVALUASI!$M$79:$M$132,EVALUASI!$D$79:$D$132,$B18)</f>
        <v>7</v>
      </c>
      <c r="H18" s="8">
        <f>IFERROR(1-G18/SUMIFS(DETAIL!$M$2:$M$137,DETAIL!$C$2:$C$137,$B18),0)</f>
        <v>0.83333333333333337</v>
      </c>
      <c r="I18" s="7">
        <f>SUMIFS(EVALUASI!$P$79:$P$132,EVALUASI!$D$79:$D$132,$B18)</f>
        <v>2</v>
      </c>
      <c r="J18" s="8">
        <f>IFERROR(SUMIFS(DETAIL!$Q$2:$Q$137,DETAIL!$C$2:$C$137,$B18)/SUMIFS(DETAIL!$M$2:$M$137,DETAIL!$C$2:$C$137,$B18),0)</f>
        <v>0.95238095238095233</v>
      </c>
      <c r="K18" s="9">
        <f>ROUND(AVERAGEIF(EVALUASI!$D$79:$D$132,$B18,EVALUASI!$W$79:$W$132),1)</f>
        <v>84.5</v>
      </c>
      <c r="L18" s="5" t="str">
        <f>IF(K18&gt;=100*SUMMARY!$C$14,"Sangat Baik",IF(K18&gt;=100*SUMMARY!$C$15,"Baik",IF(K18&gt;=100*SUMMARY!$C$16,"Cukup","Perlu Pembinaan")))</f>
        <v>Baik</v>
      </c>
      <c r="M18" s="9">
        <f>MIN(EVALUASI!$W$119:$W$119)</f>
        <v>84.5</v>
      </c>
      <c r="N18" s="10" t="str">
        <f>INDEX(EVALUASI!$C$119:$C$119,MATCH(M18,EVALUASI!$W$119:$W$119,0))</f>
        <v>ASA AGHNIA ZAHIDA</v>
      </c>
      <c r="O18" s="11">
        <f t="shared" si="1"/>
        <v>84.49982</v>
      </c>
    </row>
    <row r="19" spans="1:15" x14ac:dyDescent="0.2">
      <c r="A19" s="5">
        <v>16</v>
      </c>
      <c r="B19" s="6" t="str">
        <f>EVALUASI!D121</f>
        <v>SITI MUJAYANAH</v>
      </c>
      <c r="C19" s="7">
        <f>COUNTIF(EVALUASI!$D$79:$D$132,$B19)</f>
        <v>4</v>
      </c>
      <c r="D19" s="7">
        <f>SUMIFS(EVALUASI!$I$79:$I$132,EVALUASI!$D$79:$D$132,$B19)</f>
        <v>166</v>
      </c>
      <c r="E19" s="7">
        <f>SUMIFS(EVALUASI!$J$79:$J$132,EVALUASI!$D$79:$D$132,$B19)</f>
        <v>160</v>
      </c>
      <c r="F19" s="8">
        <f t="shared" si="0"/>
        <v>0.96385542168674698</v>
      </c>
      <c r="G19" s="7">
        <f>SUMIFS(EVALUASI!$M$79:$M$132,EVALUASI!$D$79:$D$132,$B19)</f>
        <v>6</v>
      </c>
      <c r="H19" s="8">
        <f>IFERROR(1-G19/SUMIFS(DETAIL!$M$2:$M$137,DETAIL!$C$2:$C$137,$B19),0)</f>
        <v>0.96363636363636362</v>
      </c>
      <c r="I19" s="7">
        <f>SUMIFS(EVALUASI!$P$79:$P$132,EVALUASI!$D$79:$D$132,$B19)</f>
        <v>11</v>
      </c>
      <c r="J19" s="8">
        <f>IFERROR(SUMIFS(DETAIL!$Q$2:$Q$137,DETAIL!$C$2:$C$137,$B19)/SUMIFS(DETAIL!$M$2:$M$137,DETAIL!$C$2:$C$137,$B19),0)</f>
        <v>0.95757575757575752</v>
      </c>
      <c r="K19" s="9">
        <f>ROUND(AVERAGEIF(EVALUASI!$D$79:$D$132,$B19,EVALUASI!$W$79:$W$132),1)</f>
        <v>90.8</v>
      </c>
      <c r="L19" s="5" t="str">
        <f>IF(K19&gt;=100*SUMMARY!$C$14,"Sangat Baik",IF(K19&gt;=100*SUMMARY!$C$15,"Baik",IF(K19&gt;=100*SUMMARY!$C$16,"Cukup","Perlu Pembinaan")))</f>
        <v>Sangat Baik</v>
      </c>
      <c r="M19" s="9">
        <f>MIN(EVALUASI!$W$121:$W$124)</f>
        <v>77.900000000000006</v>
      </c>
      <c r="N19" s="10" t="str">
        <f>INDEX(EVALUASI!$C$121:$C$124,MATCH(M19,EVALUASI!$W$121:$W$124,0))</f>
        <v>RIZAL AKBAR ARDIANSYAH</v>
      </c>
      <c r="O19" s="11">
        <f t="shared" si="1"/>
        <v>90.799809999999994</v>
      </c>
    </row>
    <row r="20" spans="1:15" x14ac:dyDescent="0.2">
      <c r="A20" s="5">
        <v>17</v>
      </c>
      <c r="B20" s="6" t="str">
        <f>EVALUASI!D126</f>
        <v>TRI HARTANTO</v>
      </c>
      <c r="C20" s="7">
        <f>COUNTIF(EVALUASI!$D$79:$D$132,$B20)</f>
        <v>1</v>
      </c>
      <c r="D20" s="7">
        <f>SUMIFS(EVALUASI!$I$79:$I$132,EVALUASI!$D$79:$D$132,$B20)</f>
        <v>13</v>
      </c>
      <c r="E20" s="7">
        <f>SUMIFS(EVALUASI!$J$79:$J$132,EVALUASI!$D$79:$D$132,$B20)</f>
        <v>9</v>
      </c>
      <c r="F20" s="8">
        <f t="shared" si="0"/>
        <v>0.69230769230769229</v>
      </c>
      <c r="G20" s="7">
        <f>SUMIFS(EVALUASI!$M$79:$M$132,EVALUASI!$D$79:$D$132,$B20)</f>
        <v>2</v>
      </c>
      <c r="H20" s="8">
        <f>IFERROR(1-G20/SUMIFS(DETAIL!$M$2:$M$137,DETAIL!$C$2:$C$137,$B20),0)</f>
        <v>0.77777777777777779</v>
      </c>
      <c r="I20" s="7">
        <f>SUMIFS(EVALUASI!$P$79:$P$132,EVALUASI!$D$79:$D$132,$B20)</f>
        <v>3</v>
      </c>
      <c r="J20" s="8">
        <f>IFERROR(SUMIFS(DETAIL!$Q$2:$Q$137,DETAIL!$C$2:$C$137,$B20)/SUMIFS(DETAIL!$M$2:$M$137,DETAIL!$C$2:$C$137,$B20),0)</f>
        <v>0.77777777777777779</v>
      </c>
      <c r="K20" s="9">
        <f>ROUND(AVERAGEIF(EVALUASI!$D$79:$D$132,$B20,EVALUASI!$W$79:$W$132),1)</f>
        <v>67.3</v>
      </c>
      <c r="L20" s="5" t="str">
        <f>IF(K20&gt;=100*SUMMARY!$C$14,"Sangat Baik",IF(K20&gt;=100*SUMMARY!$C$15,"Baik",IF(K20&gt;=100*SUMMARY!$C$16,"Cukup","Perlu Pembinaan")))</f>
        <v>Perlu Pembinaan</v>
      </c>
      <c r="M20" s="9">
        <f>MIN(EVALUASI!$W$126:$W$126)</f>
        <v>67.3</v>
      </c>
      <c r="N20" s="10" t="str">
        <f>INDEX(EVALUASI!$C$126:$C$126,MATCH(M20,EVALUASI!$W$126:$W$126,0))</f>
        <v>ALFINA ZAKYA ULA</v>
      </c>
      <c r="O20" s="11">
        <f t="shared" si="1"/>
        <v>67.299799999999991</v>
      </c>
    </row>
    <row r="21" spans="1:15" x14ac:dyDescent="0.2">
      <c r="A21" s="5">
        <v>18</v>
      </c>
      <c r="B21" s="6" t="str">
        <f>EVALUASI!D128</f>
        <v>WATIN UTARI</v>
      </c>
      <c r="C21" s="7">
        <f>COUNTIF(EVALUASI!$D$79:$D$132,$B21)</f>
        <v>1</v>
      </c>
      <c r="D21" s="7">
        <f>SUMIFS(EVALUASI!$I$79:$I$132,EVALUASI!$D$79:$D$132,$B21)</f>
        <v>7</v>
      </c>
      <c r="E21" s="7">
        <f>SUMIFS(EVALUASI!$J$79:$J$132,EVALUASI!$D$79:$D$132,$B21)</f>
        <v>6</v>
      </c>
      <c r="F21" s="8">
        <f t="shared" si="0"/>
        <v>0.8571428571428571</v>
      </c>
      <c r="G21" s="7">
        <f>SUMIFS(EVALUASI!$M$79:$M$132,EVALUASI!$D$79:$D$132,$B21)</f>
        <v>1</v>
      </c>
      <c r="H21" s="8">
        <f>IFERROR(1-G21/SUMIFS(DETAIL!$M$2:$M$137,DETAIL!$C$2:$C$137,$B21),0)</f>
        <v>0.83333333333333337</v>
      </c>
      <c r="I21" s="7">
        <f>SUMIFS(EVALUASI!$P$79:$P$132,EVALUASI!$D$79:$D$132,$B21)</f>
        <v>0</v>
      </c>
      <c r="J21" s="8">
        <f>IFERROR(SUMIFS(DETAIL!$Q$2:$Q$137,DETAIL!$C$2:$C$137,$B21)/SUMIFS(DETAIL!$M$2:$M$137,DETAIL!$C$2:$C$137,$B21),0)</f>
        <v>1</v>
      </c>
      <c r="K21" s="9">
        <f>ROUND(AVERAGEIF(EVALUASI!$D$79:$D$132,$B21,EVALUASI!$W$79:$W$132),1)</f>
        <v>92.4</v>
      </c>
      <c r="L21" s="5" t="str">
        <f>IF(K21&gt;=100*SUMMARY!$C$14,"Sangat Baik",IF(K21&gt;=100*SUMMARY!$C$15,"Baik",IF(K21&gt;=100*SUMMARY!$C$16,"Cukup","Perlu Pembinaan")))</f>
        <v>Sangat Baik</v>
      </c>
      <c r="M21" s="9">
        <f>MIN(EVALUASI!$W$128:$W$128)</f>
        <v>92.4</v>
      </c>
      <c r="N21" s="10" t="str">
        <f>INDEX(EVALUASI!$C$128:$C$128,MATCH(M21,EVALUASI!$W$128:$W$128,0))</f>
        <v>AMELIA KURNIA FITRI</v>
      </c>
      <c r="O21" s="11">
        <f t="shared" si="1"/>
        <v>92.39979000000001</v>
      </c>
    </row>
    <row r="22" spans="1:15" x14ac:dyDescent="0.2">
      <c r="A22" s="5">
        <v>19</v>
      </c>
      <c r="B22" s="6" t="str">
        <f>EVALUASI!D130</f>
        <v>WAWAN SETIAWAN</v>
      </c>
      <c r="C22" s="7">
        <f>COUNTIF(EVALUASI!$D$79:$D$132,$B22)</f>
        <v>1</v>
      </c>
      <c r="D22" s="7">
        <f>SUMIFS(EVALUASI!$I$79:$I$132,EVALUASI!$D$79:$D$132,$B22)</f>
        <v>75</v>
      </c>
      <c r="E22" s="7">
        <f>SUMIFS(EVALUASI!$J$79:$J$132,EVALUASI!$D$79:$D$132,$B22)</f>
        <v>75</v>
      </c>
      <c r="F22" s="8">
        <f t="shared" si="0"/>
        <v>1</v>
      </c>
      <c r="G22" s="7">
        <f>SUMIFS(EVALUASI!$M$79:$M$132,EVALUASI!$D$79:$D$132,$B22)</f>
        <v>12</v>
      </c>
      <c r="H22" s="8">
        <f>IFERROR(1-G22/SUMIFS(DETAIL!$M$2:$M$137,DETAIL!$C$2:$C$137,$B22),0)</f>
        <v>0.85</v>
      </c>
      <c r="I22" s="7">
        <f>SUMIFS(EVALUASI!$P$79:$P$132,EVALUASI!$D$79:$D$132,$B22)</f>
        <v>6</v>
      </c>
      <c r="J22" s="8">
        <f>IFERROR(SUMIFS(DETAIL!$Q$2:$Q$137,DETAIL!$C$2:$C$137,$B22)/SUMIFS(DETAIL!$M$2:$M$137,DETAIL!$C$2:$C$137,$B22),0)</f>
        <v>0.98750000000000004</v>
      </c>
      <c r="K22" s="9">
        <f>ROUND(AVERAGEIF(EVALUASI!$D$79:$D$132,$B22,EVALUASI!$W$79:$W$132),1)</f>
        <v>96.8</v>
      </c>
      <c r="L22" s="5" t="str">
        <f>IF(K22&gt;=100*SUMMARY!$C$14,"Sangat Baik",IF(K22&gt;=100*SUMMARY!$C$15,"Baik",IF(K22&gt;=100*SUMMARY!$C$16,"Cukup","Perlu Pembinaan")))</f>
        <v>Sangat Baik</v>
      </c>
      <c r="M22" s="9">
        <f>MIN(EVALUASI!$W$130:$W$130)</f>
        <v>96.8</v>
      </c>
      <c r="N22" s="10" t="str">
        <f>INDEX(EVALUASI!$C$130:$C$130,MATCH(M22,EVALUASI!$W$130:$W$130,0))</f>
        <v>PUTRI WIDYOWATI</v>
      </c>
      <c r="O22" s="11">
        <f t="shared" si="1"/>
        <v>96.799779999999998</v>
      </c>
    </row>
    <row r="23" spans="1:15" x14ac:dyDescent="0.2">
      <c r="A23" s="5">
        <v>20</v>
      </c>
      <c r="B23" s="6" t="str">
        <f>EVALUASI!D132</f>
        <v>YUSUF REZA MUHAMMAD</v>
      </c>
      <c r="C23" s="7">
        <f>COUNTIF(EVALUASI!$D$79:$D$132,$B23)</f>
        <v>1</v>
      </c>
      <c r="D23" s="7">
        <f>SUMIFS(EVALUASI!$I$79:$I$132,EVALUASI!$D$79:$D$132,$B23)</f>
        <v>36</v>
      </c>
      <c r="E23" s="7">
        <f>SUMIFS(EVALUASI!$J$79:$J$132,EVALUASI!$D$79:$D$132,$B23)</f>
        <v>33</v>
      </c>
      <c r="F23" s="8">
        <f t="shared" si="0"/>
        <v>0.91666666666666663</v>
      </c>
      <c r="G23" s="7">
        <f>SUMIFS(EVALUASI!$M$79:$M$132,EVALUASI!$D$79:$D$132,$B23)</f>
        <v>3</v>
      </c>
      <c r="H23" s="8">
        <f>IFERROR(1-G23/SUMIFS(DETAIL!$M$2:$M$137,DETAIL!$C$2:$C$137,$B23),0)</f>
        <v>0.90909090909090906</v>
      </c>
      <c r="I23" s="7">
        <f>SUMIFS(EVALUASI!$P$79:$P$132,EVALUASI!$D$79:$D$132,$B23)</f>
        <v>1</v>
      </c>
      <c r="J23" s="8">
        <f>IFERROR(SUMIFS(DETAIL!$Q$2:$Q$137,DETAIL!$C$2:$C$137,$B23)/SUMIFS(DETAIL!$M$2:$M$137,DETAIL!$C$2:$C$137,$B23),0)</f>
        <v>0.90909090909090906</v>
      </c>
      <c r="K23" s="9">
        <f>ROUND(AVERAGEIF(EVALUASI!$D$79:$D$132,$B23,EVALUASI!$W$79:$W$132),1)</f>
        <v>93.9</v>
      </c>
      <c r="L23" s="5" t="str">
        <f>IF(K23&gt;=100*SUMMARY!$C$14,"Sangat Baik",IF(K23&gt;=100*SUMMARY!$C$15,"Baik",IF(K23&gt;=100*SUMMARY!$C$16,"Cukup","Perlu Pembinaan")))</f>
        <v>Sangat Baik</v>
      </c>
      <c r="M23" s="9">
        <f>MIN(EVALUASI!$W$132:$W$132)</f>
        <v>93.9</v>
      </c>
      <c r="N23" s="10" t="str">
        <f>INDEX(EVALUASI!$C$132:$C$132,MATCH(M23,EVALUASI!$W$132:$W$132,0))</f>
        <v>MUHAMMAD QAIRUL UMAM</v>
      </c>
      <c r="O23" s="11">
        <f t="shared" si="1"/>
        <v>93.899770000000004</v>
      </c>
    </row>
    <row r="24" spans="1:15" x14ac:dyDescent="0.2">
      <c r="B24" s="12" t="s">
        <v>16</v>
      </c>
      <c r="C24" s="13">
        <f>SUM(C4:C23)</f>
        <v>34</v>
      </c>
      <c r="D24" s="13">
        <f>SUM(D4:D23)</f>
        <v>1712</v>
      </c>
      <c r="E24" s="13">
        <f>SUM(E4:E23)</f>
        <v>1621</v>
      </c>
      <c r="F24" s="14">
        <f t="shared" si="0"/>
        <v>0.94684579439252337</v>
      </c>
      <c r="G24" s="13">
        <f>SUM(G4:G23)</f>
        <v>226</v>
      </c>
      <c r="H24" s="14">
        <f>IFERROR(1-G24/SUM(DETAIL!$M$2:$M$137),0)</f>
        <v>0.86768149882903978</v>
      </c>
      <c r="I24" s="13">
        <f>SUM(I4:I23)</f>
        <v>100</v>
      </c>
      <c r="J24" s="14">
        <f>IFERROR(SUM(DETAIL!$Q$2:$Q$137)/SUM(DETAIL!$M$2:$M$137),0)</f>
        <v>0.93618266978922715</v>
      </c>
      <c r="K24" s="15">
        <f>ROUND(AVERAGE(EVALUASI!$W$79:$W$132),1)</f>
        <v>86.1</v>
      </c>
    </row>
    <row r="26" spans="1:15" x14ac:dyDescent="0.2">
      <c r="A26" s="3" t="s">
        <v>17</v>
      </c>
    </row>
    <row r="27" spans="1:15" x14ac:dyDescent="0.2">
      <c r="A27" s="16" t="s">
        <v>18</v>
      </c>
    </row>
    <row r="28" spans="1:15" x14ac:dyDescent="0.2">
      <c r="B28" s="12" t="s">
        <v>19</v>
      </c>
      <c r="C28" s="17">
        <v>0.5</v>
      </c>
    </row>
    <row r="29" spans="1:15" x14ac:dyDescent="0.2">
      <c r="B29" s="12" t="s">
        <v>20</v>
      </c>
      <c r="C29" s="17">
        <v>0.5</v>
      </c>
    </row>
    <row r="30" spans="1:15" x14ac:dyDescent="0.2">
      <c r="B30" s="12" t="s">
        <v>21</v>
      </c>
      <c r="C30" s="18">
        <v>20</v>
      </c>
    </row>
    <row r="31" spans="1:15" x14ac:dyDescent="0.2">
      <c r="B31" s="12" t="s">
        <v>22</v>
      </c>
      <c r="C31" s="18">
        <v>1</v>
      </c>
    </row>
    <row r="33" spans="1:19" ht="56.25" customHeight="1" x14ac:dyDescent="0.2">
      <c r="A33" s="4" t="s">
        <v>1</v>
      </c>
      <c r="B33" s="4" t="s">
        <v>23</v>
      </c>
      <c r="C33" s="4" t="s">
        <v>24</v>
      </c>
      <c r="D33" s="4" t="s">
        <v>25</v>
      </c>
      <c r="E33" s="4" t="s">
        <v>26</v>
      </c>
      <c r="F33" s="4" t="s">
        <v>27</v>
      </c>
      <c r="G33" s="4" t="s">
        <v>28</v>
      </c>
      <c r="H33" s="4" t="s">
        <v>29</v>
      </c>
      <c r="I33" s="4" t="s">
        <v>30</v>
      </c>
      <c r="J33" s="4" t="s">
        <v>31</v>
      </c>
      <c r="K33" s="4" t="s">
        <v>32</v>
      </c>
      <c r="L33" s="4" t="s">
        <v>6</v>
      </c>
      <c r="M33" s="4" t="s">
        <v>11</v>
      </c>
      <c r="N33" s="4" t="s">
        <v>33</v>
      </c>
      <c r="O33" s="4" t="s">
        <v>34</v>
      </c>
      <c r="P33" s="4" t="s">
        <v>35</v>
      </c>
      <c r="Q33" s="4" t="s">
        <v>36</v>
      </c>
      <c r="R33" s="4" t="s">
        <v>37</v>
      </c>
      <c r="S33" s="4" t="s">
        <v>38</v>
      </c>
    </row>
    <row r="34" spans="1:19" ht="22.5" customHeight="1" x14ac:dyDescent="0.2">
      <c r="A34" s="19">
        <v>1</v>
      </c>
      <c r="B34" s="20" t="s">
        <v>39</v>
      </c>
      <c r="C34" s="21">
        <f>COUNTIF(PEMAGANG!$F$3:$F$36,$B34)</f>
        <v>2</v>
      </c>
      <c r="D34" s="21">
        <f>COUNTIFS(PEMAGANG!$F$3:$F$36,$B34,PEMAGANG!$K$3:$K$36,SUMMARY!$C$7)</f>
        <v>1</v>
      </c>
      <c r="E34" s="22">
        <f t="shared" ref="E34:E50" si="2">IFERROR(AVERAGEIF(G57:J57,"&gt;0"),0)</f>
        <v>1.234375</v>
      </c>
      <c r="F34" s="21">
        <f>SUMIFS(DETAIL!$M$2:$M$137,DETAIL!$S$2:$S$137,$B34)</f>
        <v>85</v>
      </c>
      <c r="G34" s="21">
        <f>SUMIFS(DETAIL!$R$2:$R$137,DETAIL!$S$2:$S$137,$B34)</f>
        <v>195</v>
      </c>
      <c r="H34" s="23">
        <f t="shared" ref="H34:H50" si="3">IFERROR(G34/F34,0)</f>
        <v>2.2941176470588234</v>
      </c>
      <c r="I34" s="21">
        <f>IFERROR(SUMIFS(DETAIL!$T$2:$T$137,DETAIL!$S$2:$S$137,$B34)/F34,0)</f>
        <v>26.094117647058823</v>
      </c>
      <c r="J34" s="23">
        <f t="shared" ref="J34:J50" si="4">IFERROR($C$28*H34/$H$52+$C$29*I34/$I$52,0)</f>
        <v>0.77643822014597574</v>
      </c>
      <c r="K34" s="24">
        <f>IFERROR(SUMIFS(DETAIL!$Q$2:$Q$137,DETAIL!$S$2:$S$137,$B34)/F34,0)</f>
        <v>0.95294117647058818</v>
      </c>
      <c r="L34" s="25">
        <f>IFERROR(SUMIFS(DETAIL!$K$2:$K$137,DETAIL!$S$2:$S$137,$B34)/SUMIFS(DETAIL!$I$2:$I$137,DETAIL!$S$2:$S$137,$B34),0)</f>
        <v>0.94444444444444442</v>
      </c>
      <c r="M34" s="22">
        <f>IFERROR(ROUND(AVERAGEIF(EVALUASI!$F$79:$F$132,$B34,EVALUASI!$W$79:$W$132),1),"-")</f>
        <v>84.9</v>
      </c>
      <c r="N34" s="22">
        <f t="shared" ref="N34:N50" si="5">E34*J34</f>
        <v>0.95841592799268882</v>
      </c>
      <c r="O34" s="26">
        <f t="shared" ref="O34:O50" si="6">IF(OR(F34=0,G34=0),"-",MAX($C$31,ROUND(N34,0)))</f>
        <v>1</v>
      </c>
      <c r="P34" s="27">
        <f t="shared" ref="P34:P50" si="7">IF(ISNUMBER(O34),O34-D34,"-")</f>
        <v>0</v>
      </c>
      <c r="Q34" s="19" t="str">
        <f t="shared" ref="Q34:Q50" si="8">IF(F34=0,"Belum ada data",IF(G34=0,"Tidak dapat dihitung",IF(P34&lt;0,"Kelebihan pemagang",IF(P34&gt;0,"Kekurangan pemagang","Seimbang"))))</f>
        <v>Seimbang</v>
      </c>
      <c r="R34" s="20" t="str">
        <f t="shared" ref="R34:R50" si="9">IF(Q34="Kelebihan pemagang","Kuota disarankan "&amp;O34&amp;" (kurangi "&amp;-P34&amp;"). Beban per pemagang "&amp;TEXT(J34,"0.00")&amp;"x rata-rata; alihkan pemagang atau tambah variasi tugas.",IF(AND(Q34="Kekurangan pemagang",D34=0),"Saat ini tidak ada pemagang aktif; isi kembali "&amp;O34&amp;" pemagang.",IF(Q34="Kekurangan pemagang","Kuota disarankan "&amp;O34&amp;" (tambah "&amp;P34&amp;"). Beban per pemagang "&amp;TEXT(J34,"0.00")&amp;"x rata-rata.",IF(Q34="Seimbang","Pertahankan "&amp;O34&amp;" pemagang.",IF(Q34="Tidak dapat dihitung","Pemagang tidak mengisi laporan aktivitas; wajibkan laporan harian dulu.","-")))))</f>
        <v>Pertahankan 1 pemagang.</v>
      </c>
      <c r="S34" s="19" t="str">
        <f t="shared" ref="S34:S50" si="10">IF(F34=0,"-",IF(F34&lt;$C$30,"Rendah (hari hadir &lt; "&amp;$C$30&amp;")","Cukup"))</f>
        <v>Cukup</v>
      </c>
    </row>
    <row r="35" spans="1:19" x14ac:dyDescent="0.2">
      <c r="A35" s="19">
        <v>2</v>
      </c>
      <c r="B35" s="20" t="s">
        <v>40</v>
      </c>
      <c r="C35" s="21">
        <f>COUNTIF(PEMAGANG!$F$3:$F$36,$B35)</f>
        <v>1</v>
      </c>
      <c r="D35" s="21">
        <f>COUNTIFS(PEMAGANG!$F$3:$F$36,$B35,PEMAGANG!$K$3:$K$36,SUMMARY!$C$7)</f>
        <v>1</v>
      </c>
      <c r="E35" s="22">
        <f t="shared" si="2"/>
        <v>1</v>
      </c>
      <c r="F35" s="21">
        <f>SUMIFS(DETAIL!$M$2:$M$137,DETAIL!$S$2:$S$137,$B35)</f>
        <v>65</v>
      </c>
      <c r="G35" s="21">
        <f>SUMIFS(DETAIL!$R$2:$R$137,DETAIL!$S$2:$S$137,$B35)</f>
        <v>108</v>
      </c>
      <c r="H35" s="23">
        <f t="shared" si="3"/>
        <v>1.6615384615384616</v>
      </c>
      <c r="I35" s="21">
        <f>IFERROR(SUMIFS(DETAIL!$T$2:$T$137,DETAIL!$S$2:$S$137,$B35)/F35,0)</f>
        <v>28.353846153846153</v>
      </c>
      <c r="J35" s="23">
        <f t="shared" si="4"/>
        <v>0.61100400615748751</v>
      </c>
      <c r="K35" s="24">
        <f>IFERROR(SUMIFS(DETAIL!$Q$2:$Q$137,DETAIL!$S$2:$S$137,$B35)/F35,0)</f>
        <v>0.96923076923076923</v>
      </c>
      <c r="L35" s="25">
        <f>IFERROR(SUMIFS(DETAIL!$K$2:$K$137,DETAIL!$S$2:$S$137,$B35)/SUMIFS(DETAIL!$I$2:$I$137,DETAIL!$S$2:$S$137,$B35),0)</f>
        <v>0.85333333333333339</v>
      </c>
      <c r="M35" s="22">
        <f>IFERROR(ROUND(AVERAGEIF(EVALUASI!$F$79:$F$132,$B35,EVALUASI!$W$79:$W$132),1),"-")</f>
        <v>78.099999999999994</v>
      </c>
      <c r="N35" s="22">
        <f t="shared" si="5"/>
        <v>0.61100400615748751</v>
      </c>
      <c r="O35" s="26">
        <f t="shared" si="6"/>
        <v>1</v>
      </c>
      <c r="P35" s="27">
        <f t="shared" si="7"/>
        <v>0</v>
      </c>
      <c r="Q35" s="19" t="str">
        <f t="shared" si="8"/>
        <v>Seimbang</v>
      </c>
      <c r="R35" s="20" t="str">
        <f t="shared" si="9"/>
        <v>Pertahankan 1 pemagang.</v>
      </c>
      <c r="S35" s="19" t="str">
        <f t="shared" si="10"/>
        <v>Cukup</v>
      </c>
    </row>
    <row r="36" spans="1:19" x14ac:dyDescent="0.2">
      <c r="A36" s="19">
        <v>3</v>
      </c>
      <c r="B36" s="20" t="s">
        <v>41</v>
      </c>
      <c r="C36" s="21">
        <f>COUNTIF(PEMAGANG!$F$3:$F$36,$B36)</f>
        <v>1</v>
      </c>
      <c r="D36" s="21">
        <f>COUNTIFS(PEMAGANG!$F$3:$F$36,$B36,PEMAGANG!$K$3:$K$36,SUMMARY!$C$7)</f>
        <v>1</v>
      </c>
      <c r="E36" s="22">
        <f t="shared" si="2"/>
        <v>0.86842105263157898</v>
      </c>
      <c r="F36" s="21">
        <f>SUMIFS(DETAIL!$M$2:$M$137,DETAIL!$S$2:$S$137,$B36)</f>
        <v>33</v>
      </c>
      <c r="G36" s="21">
        <f>SUMIFS(DETAIL!$R$2:$R$137,DETAIL!$S$2:$S$137,$B36)</f>
        <v>49</v>
      </c>
      <c r="H36" s="23">
        <f t="shared" si="3"/>
        <v>1.4848484848484849</v>
      </c>
      <c r="I36" s="21">
        <f>IFERROR(SUMIFS(DETAIL!$T$2:$T$137,DETAIL!$S$2:$S$137,$B36)/F36,0)</f>
        <v>156.36363636363637</v>
      </c>
      <c r="J36" s="23">
        <f t="shared" si="4"/>
        <v>1.2203613881626374</v>
      </c>
      <c r="K36" s="24">
        <f>IFERROR(SUMIFS(DETAIL!$Q$2:$Q$137,DETAIL!$S$2:$S$137,$B36)/F36,0)</f>
        <v>0.90909090909090906</v>
      </c>
      <c r="L36" s="25">
        <f>IFERROR(SUMIFS(DETAIL!$K$2:$K$137,DETAIL!$S$2:$S$137,$B36)/SUMIFS(DETAIL!$I$2:$I$137,DETAIL!$S$2:$S$137,$B36),0)</f>
        <v>0.91666666666666663</v>
      </c>
      <c r="M36" s="22">
        <f>IFERROR(ROUND(AVERAGEIF(EVALUASI!$F$79:$F$132,$B36,EVALUASI!$W$79:$W$132),1),"-")</f>
        <v>93.9</v>
      </c>
      <c r="N36" s="22">
        <f t="shared" si="5"/>
        <v>1.0597875212991326</v>
      </c>
      <c r="O36" s="26">
        <f t="shared" si="6"/>
        <v>1</v>
      </c>
      <c r="P36" s="27">
        <f t="shared" si="7"/>
        <v>0</v>
      </c>
      <c r="Q36" s="19" t="str">
        <f t="shared" si="8"/>
        <v>Seimbang</v>
      </c>
      <c r="R36" s="20" t="str">
        <f t="shared" si="9"/>
        <v>Pertahankan 1 pemagang.</v>
      </c>
      <c r="S36" s="19" t="str">
        <f t="shared" si="10"/>
        <v>Cukup</v>
      </c>
    </row>
    <row r="37" spans="1:19" x14ac:dyDescent="0.2">
      <c r="A37" s="19">
        <v>4</v>
      </c>
      <c r="B37" s="20" t="s">
        <v>42</v>
      </c>
      <c r="C37" s="21">
        <f>COUNTIF(PEMAGANG!$F$3:$F$36,$B37)</f>
        <v>2</v>
      </c>
      <c r="D37" s="21">
        <f>COUNTIFS(PEMAGANG!$F$3:$F$36,$B37,PEMAGANG!$K$3:$K$36,SUMMARY!$C$7)</f>
        <v>2</v>
      </c>
      <c r="E37" s="22">
        <f t="shared" si="2"/>
        <v>1.75</v>
      </c>
      <c r="F37" s="21">
        <f>SUMIFS(DETAIL!$M$2:$M$137,DETAIL!$S$2:$S$137,$B37)</f>
        <v>136</v>
      </c>
      <c r="G37" s="21">
        <f>SUMIFS(DETAIL!$R$2:$R$137,DETAIL!$S$2:$S$137,$B37)</f>
        <v>296</v>
      </c>
      <c r="H37" s="23">
        <f t="shared" si="3"/>
        <v>2.1764705882352939</v>
      </c>
      <c r="I37" s="21">
        <f>IFERROR(SUMIFS(DETAIL!$T$2:$T$137,DETAIL!$S$2:$S$137,$B37)/F37,0)</f>
        <v>87.757352941176464</v>
      </c>
      <c r="J37" s="23">
        <f t="shared" si="4"/>
        <v>1.0608634492907232</v>
      </c>
      <c r="K37" s="24">
        <f>IFERROR(SUMIFS(DETAIL!$Q$2:$Q$137,DETAIL!$S$2:$S$137,$B37)/F37,0)</f>
        <v>0.99264705882352944</v>
      </c>
      <c r="L37" s="25">
        <f>IFERROR(SUMIFS(DETAIL!$K$2:$K$137,DETAIL!$S$2:$S$137,$B37)/SUMIFS(DETAIL!$I$2:$I$137,DETAIL!$S$2:$S$137,$B37),0)</f>
        <v>0.95522388059701491</v>
      </c>
      <c r="M37" s="22">
        <f>IFERROR(ROUND(AVERAGEIF(EVALUASI!$F$79:$F$132,$B37,EVALUASI!$W$79:$W$132),1),"-")</f>
        <v>92.3</v>
      </c>
      <c r="N37" s="22">
        <f t="shared" si="5"/>
        <v>1.8565110362587656</v>
      </c>
      <c r="O37" s="26">
        <f t="shared" si="6"/>
        <v>2</v>
      </c>
      <c r="P37" s="27">
        <f t="shared" si="7"/>
        <v>0</v>
      </c>
      <c r="Q37" s="19" t="str">
        <f t="shared" si="8"/>
        <v>Seimbang</v>
      </c>
      <c r="R37" s="20" t="str">
        <f t="shared" si="9"/>
        <v>Pertahankan 2 pemagang.</v>
      </c>
      <c r="S37" s="19" t="str">
        <f t="shared" si="10"/>
        <v>Cukup</v>
      </c>
    </row>
    <row r="38" spans="1:19" ht="33.75" customHeight="1" x14ac:dyDescent="0.2">
      <c r="A38" s="19">
        <v>5</v>
      </c>
      <c r="B38" s="20" t="s">
        <v>43</v>
      </c>
      <c r="C38" s="21">
        <f>COUNTIF(PEMAGANG!$F$3:$F$36,$B38)</f>
        <v>1</v>
      </c>
      <c r="D38" s="21">
        <f>COUNTIFS(PEMAGANG!$F$3:$F$36,$B38,PEMAGANG!$K$3:$K$36,SUMMARY!$C$7)</f>
        <v>1</v>
      </c>
      <c r="E38" s="22">
        <f t="shared" si="2"/>
        <v>0.59090909090909094</v>
      </c>
      <c r="F38" s="21">
        <f>SUMIFS(DETAIL!$M$2:$M$137,DETAIL!$S$2:$S$137,$B38)</f>
        <v>13</v>
      </c>
      <c r="G38" s="21">
        <f>SUMIFS(DETAIL!$R$2:$R$137,DETAIL!$S$2:$S$137,$B38)</f>
        <v>13</v>
      </c>
      <c r="H38" s="23">
        <f t="shared" si="3"/>
        <v>1</v>
      </c>
      <c r="I38" s="21">
        <f>IFERROR(SUMIFS(DETAIL!$T$2:$T$137,DETAIL!$S$2:$S$137,$B38)/F38,0)</f>
        <v>97</v>
      </c>
      <c r="J38" s="23">
        <f t="shared" si="4"/>
        <v>0.77912780074043242</v>
      </c>
      <c r="K38" s="24">
        <f>IFERROR(SUMIFS(DETAIL!$Q$2:$Q$137,DETAIL!$S$2:$S$137,$B38)/F38,0)</f>
        <v>1</v>
      </c>
      <c r="L38" s="25">
        <f>IFERROR(SUMIFS(DETAIL!$K$2:$K$137,DETAIL!$S$2:$S$137,$B38)/SUMIFS(DETAIL!$I$2:$I$137,DETAIL!$S$2:$S$137,$B38),0)</f>
        <v>1</v>
      </c>
      <c r="M38" s="22">
        <f>IFERROR(ROUND(AVERAGEIF(EVALUASI!$F$79:$F$132,$B38,EVALUASI!$W$79:$W$132),1),"-")</f>
        <v>91.8</v>
      </c>
      <c r="N38" s="22">
        <f t="shared" si="5"/>
        <v>0.46039370043752825</v>
      </c>
      <c r="O38" s="26">
        <f t="shared" si="6"/>
        <v>1</v>
      </c>
      <c r="P38" s="27">
        <f t="shared" si="7"/>
        <v>0</v>
      </c>
      <c r="Q38" s="19" t="str">
        <f t="shared" si="8"/>
        <v>Seimbang</v>
      </c>
      <c r="R38" s="20" t="str">
        <f t="shared" si="9"/>
        <v>Pertahankan 1 pemagang.</v>
      </c>
      <c r="S38" s="19" t="str">
        <f t="shared" si="10"/>
        <v>Rendah (hari hadir &lt; 20)</v>
      </c>
    </row>
    <row r="39" spans="1:19" ht="22.5" customHeight="1" x14ac:dyDescent="0.2">
      <c r="A39" s="19">
        <v>6</v>
      </c>
      <c r="B39" s="20" t="s">
        <v>44</v>
      </c>
      <c r="C39" s="21">
        <f>COUNTIF(PEMAGANG!$F$3:$F$36,$B39)</f>
        <v>1</v>
      </c>
      <c r="D39" s="21">
        <f>COUNTIFS(PEMAGANG!$F$3:$F$36,$B39,PEMAGANG!$K$3:$K$36,SUMMARY!$C$7)</f>
        <v>1</v>
      </c>
      <c r="E39" s="22">
        <f t="shared" si="2"/>
        <v>1</v>
      </c>
      <c r="F39" s="21">
        <f>SUMIFS(DETAIL!$M$2:$M$137,DETAIL!$S$2:$S$137,$B39)</f>
        <v>94</v>
      </c>
      <c r="G39" s="21">
        <f>SUMIFS(DETAIL!$R$2:$R$137,DETAIL!$S$2:$S$137,$B39)</f>
        <v>154</v>
      </c>
      <c r="H39" s="23">
        <f t="shared" si="3"/>
        <v>1.6382978723404256</v>
      </c>
      <c r="I39" s="21">
        <f>IFERROR(SUMIFS(DETAIL!$T$2:$T$137,DETAIL!$S$2:$S$137,$B39)/F39,0)</f>
        <v>45.51063829787234</v>
      </c>
      <c r="J39" s="23">
        <f t="shared" si="4"/>
        <v>0.69279780975779437</v>
      </c>
      <c r="K39" s="24">
        <f>IFERROR(SUMIFS(DETAIL!$Q$2:$Q$137,DETAIL!$S$2:$S$137,$B39)/F39,0)</f>
        <v>0.91489361702127658</v>
      </c>
      <c r="L39" s="25">
        <f>IFERROR(SUMIFS(DETAIL!$K$2:$K$137,DETAIL!$S$2:$S$137,$B39)/SUMIFS(DETAIL!$I$2:$I$137,DETAIL!$S$2:$S$137,$B39),0)</f>
        <v>0.93333333333333335</v>
      </c>
      <c r="M39" s="22">
        <f>IFERROR(ROUND(AVERAGEIF(EVALUASI!$F$79:$F$132,$B39,EVALUASI!$W$79:$W$132),1),"-")</f>
        <v>74.5</v>
      </c>
      <c r="N39" s="22">
        <f t="shared" si="5"/>
        <v>0.69279780975779437</v>
      </c>
      <c r="O39" s="26">
        <f t="shared" si="6"/>
        <v>1</v>
      </c>
      <c r="P39" s="27">
        <f t="shared" si="7"/>
        <v>0</v>
      </c>
      <c r="Q39" s="19" t="str">
        <f t="shared" si="8"/>
        <v>Seimbang</v>
      </c>
      <c r="R39" s="20" t="str">
        <f t="shared" si="9"/>
        <v>Pertahankan 1 pemagang.</v>
      </c>
      <c r="S39" s="19" t="str">
        <f t="shared" si="10"/>
        <v>Cukup</v>
      </c>
    </row>
    <row r="40" spans="1:19" ht="22.5" customHeight="1" x14ac:dyDescent="0.2">
      <c r="A40" s="19">
        <v>7</v>
      </c>
      <c r="B40" s="20" t="s">
        <v>45</v>
      </c>
      <c r="C40" s="21">
        <f>COUNTIF(PEMAGANG!$F$3:$F$36,$B40)</f>
        <v>1</v>
      </c>
      <c r="D40" s="21">
        <f>COUNTIFS(PEMAGANG!$F$3:$F$36,$B40,PEMAGANG!$K$3:$K$36,SUMMARY!$C$7)</f>
        <v>1</v>
      </c>
      <c r="E40" s="22">
        <f t="shared" si="2"/>
        <v>1</v>
      </c>
      <c r="F40" s="21">
        <f>SUMIFS(DETAIL!$M$2:$M$137,DETAIL!$S$2:$S$137,$B40)</f>
        <v>78</v>
      </c>
      <c r="G40" s="21">
        <f>SUMIFS(DETAIL!$R$2:$R$137,DETAIL!$S$2:$S$137,$B40)</f>
        <v>248</v>
      </c>
      <c r="H40" s="23">
        <f t="shared" si="3"/>
        <v>3.1794871794871793</v>
      </c>
      <c r="I40" s="21">
        <f>IFERROR(SUMIFS(DETAIL!$T$2:$T$137,DETAIL!$S$2:$S$137,$B40)/F40,0)</f>
        <v>206.92307692307693</v>
      </c>
      <c r="J40" s="23">
        <f t="shared" si="4"/>
        <v>1.9549135907197357</v>
      </c>
      <c r="K40" s="24">
        <f>IFERROR(SUMIFS(DETAIL!$Q$2:$Q$137,DETAIL!$S$2:$S$137,$B40)/F40,0)</f>
        <v>0.98717948717948723</v>
      </c>
      <c r="L40" s="25">
        <f>IFERROR(SUMIFS(DETAIL!$K$2:$K$137,DETAIL!$S$2:$S$137,$B40)/SUMIFS(DETAIL!$I$2:$I$137,DETAIL!$S$2:$S$137,$B40),0)</f>
        <v>0.96</v>
      </c>
      <c r="M40" s="22">
        <f>IFERROR(ROUND(AVERAGEIF(EVALUASI!$F$79:$F$132,$B40,EVALUASI!$W$79:$W$132),1),"-")</f>
        <v>98.5</v>
      </c>
      <c r="N40" s="22">
        <f t="shared" si="5"/>
        <v>1.9549135907197357</v>
      </c>
      <c r="O40" s="26">
        <f t="shared" si="6"/>
        <v>2</v>
      </c>
      <c r="P40" s="27">
        <f t="shared" si="7"/>
        <v>1</v>
      </c>
      <c r="Q40" s="19" t="str">
        <f t="shared" si="8"/>
        <v>Kekurangan pemagang</v>
      </c>
      <c r="R40" s="20" t="str">
        <f t="shared" si="9"/>
        <v>Kuota disarankan 2 (tambah 1). Beban per pemagang 1.95x rata-rata.</v>
      </c>
      <c r="S40" s="19" t="str">
        <f t="shared" si="10"/>
        <v>Cukup</v>
      </c>
    </row>
    <row r="41" spans="1:19" ht="33.75" customHeight="1" x14ac:dyDescent="0.2">
      <c r="A41" s="19">
        <v>8</v>
      </c>
      <c r="B41" s="20" t="s">
        <v>46</v>
      </c>
      <c r="C41" s="21">
        <f>COUNTIF(PEMAGANG!$F$3:$F$36,$B41)</f>
        <v>1</v>
      </c>
      <c r="D41" s="21">
        <f>COUNTIFS(PEMAGANG!$F$3:$F$36,$B41,PEMAGANG!$K$3:$K$36,SUMMARY!$C$7)</f>
        <v>1</v>
      </c>
      <c r="E41" s="22">
        <f t="shared" si="2"/>
        <v>0.90909090909090906</v>
      </c>
      <c r="F41" s="21">
        <f>SUMIFS(DETAIL!$M$2:$M$137,DETAIL!$S$2:$S$137,$B41)</f>
        <v>15</v>
      </c>
      <c r="G41" s="21">
        <f>SUMIFS(DETAIL!$R$2:$R$137,DETAIL!$S$2:$S$137,$B41)</f>
        <v>0</v>
      </c>
      <c r="H41" s="23">
        <f t="shared" si="3"/>
        <v>0</v>
      </c>
      <c r="I41" s="21">
        <f>IFERROR(SUMIFS(DETAIL!$T$2:$T$137,DETAIL!$S$2:$S$137,$B41)/F41,0)</f>
        <v>0</v>
      </c>
      <c r="J41" s="23">
        <f t="shared" si="4"/>
        <v>0</v>
      </c>
      <c r="K41" s="24">
        <f>IFERROR(SUMIFS(DETAIL!$Q$2:$Q$137,DETAIL!$S$2:$S$137,$B41)/F41,0)</f>
        <v>0</v>
      </c>
      <c r="L41" s="25">
        <f>IFERROR(SUMIFS(DETAIL!$K$2:$K$137,DETAIL!$S$2:$S$137,$B41)/SUMIFS(DETAIL!$I$2:$I$137,DETAIL!$S$2:$S$137,$B41),0)</f>
        <v>0.75</v>
      </c>
      <c r="M41" s="22">
        <f>IFERROR(ROUND(AVERAGEIF(EVALUASI!$F$79:$F$132,$B41,EVALUASI!$W$79:$W$132),1),"-")</f>
        <v>31.8</v>
      </c>
      <c r="N41" s="22">
        <f t="shared" si="5"/>
        <v>0</v>
      </c>
      <c r="O41" s="26" t="str">
        <f t="shared" si="6"/>
        <v>-</v>
      </c>
      <c r="P41" s="27" t="str">
        <f t="shared" si="7"/>
        <v>-</v>
      </c>
      <c r="Q41" s="19" t="str">
        <f t="shared" si="8"/>
        <v>Tidak dapat dihitung</v>
      </c>
      <c r="R41" s="20" t="str">
        <f t="shared" si="9"/>
        <v>Pemagang tidak mengisi laporan aktivitas; wajibkan laporan harian dulu.</v>
      </c>
      <c r="S41" s="19" t="str">
        <f t="shared" si="10"/>
        <v>Rendah (hari hadir &lt; 20)</v>
      </c>
    </row>
    <row r="42" spans="1:19" ht="33.75" customHeight="1" x14ac:dyDescent="0.2">
      <c r="A42" s="19">
        <v>9</v>
      </c>
      <c r="B42" s="20" t="s">
        <v>47</v>
      </c>
      <c r="C42" s="21">
        <f>COUNTIF(PEMAGANG!$F$3:$F$36,$B42)</f>
        <v>8</v>
      </c>
      <c r="D42" s="21">
        <f>COUNTIFS(PEMAGANG!$F$3:$F$36,$B42,PEMAGANG!$K$3:$K$36,SUMMARY!$C$7)</f>
        <v>8</v>
      </c>
      <c r="E42" s="22">
        <f t="shared" si="2"/>
        <v>6.3026315789473681</v>
      </c>
      <c r="F42" s="21">
        <f>SUMIFS(DETAIL!$M$2:$M$137,DETAIL!$S$2:$S$137,$B42)</f>
        <v>493</v>
      </c>
      <c r="G42" s="21">
        <f>SUMIFS(DETAIL!$R$2:$R$137,DETAIL!$S$2:$S$137,$B42)</f>
        <v>898</v>
      </c>
      <c r="H42" s="23">
        <f t="shared" si="3"/>
        <v>1.8215010141987829</v>
      </c>
      <c r="I42" s="21">
        <f>IFERROR(SUMIFS(DETAIL!$T$2:$T$137,DETAIL!$S$2:$S$137,$B42)/F42,0)</f>
        <v>85.046653144016233</v>
      </c>
      <c r="J42" s="23">
        <f t="shared" si="4"/>
        <v>0.94755367517004796</v>
      </c>
      <c r="K42" s="24">
        <f>IFERROR(SUMIFS(DETAIL!$Q$2:$Q$137,DETAIL!$S$2:$S$137,$B42)/F42,0)</f>
        <v>0.89655172413793105</v>
      </c>
      <c r="L42" s="25">
        <f>IFERROR(SUMIFS(DETAIL!$K$2:$K$137,DETAIL!$S$2:$S$137,$B42)/SUMIFS(DETAIL!$I$2:$I$137,DETAIL!$S$2:$S$137,$B42),0)</f>
        <v>0.97308488612836441</v>
      </c>
      <c r="M42" s="22">
        <f>IFERROR(ROUND(AVERAGEIF(EVALUASI!$F$79:$F$132,$B42,EVALUASI!$W$79:$W$132),1),"-")</f>
        <v>85.8</v>
      </c>
      <c r="N42" s="22">
        <f t="shared" si="5"/>
        <v>5.9720817158743813</v>
      </c>
      <c r="O42" s="26">
        <f t="shared" si="6"/>
        <v>6</v>
      </c>
      <c r="P42" s="27">
        <f t="shared" si="7"/>
        <v>-2</v>
      </c>
      <c r="Q42" s="19" t="str">
        <f t="shared" si="8"/>
        <v>Kelebihan pemagang</v>
      </c>
      <c r="R42" s="20" t="str">
        <f t="shared" si="9"/>
        <v>Kuota disarankan 6 (kurangi 2). Beban per pemagang 0.95x rata-rata; alihkan pemagang atau tambah variasi tugas.</v>
      </c>
      <c r="S42" s="19" t="str">
        <f t="shared" si="10"/>
        <v>Cukup</v>
      </c>
    </row>
    <row r="43" spans="1:19" x14ac:dyDescent="0.2">
      <c r="A43" s="19">
        <v>10</v>
      </c>
      <c r="B43" s="20" t="s">
        <v>48</v>
      </c>
      <c r="C43" s="21">
        <f>COUNTIF(PEMAGANG!$F$3:$F$36,$B43)</f>
        <v>2</v>
      </c>
      <c r="D43" s="21">
        <f>COUNTIFS(PEMAGANG!$F$3:$F$36,$B43,PEMAGANG!$K$3:$K$36,SUMMARY!$C$7)</f>
        <v>1</v>
      </c>
      <c r="E43" s="22">
        <f t="shared" si="2"/>
        <v>0.86111111111111116</v>
      </c>
      <c r="F43" s="21">
        <f>SUMIFS(DETAIL!$M$2:$M$137,DETAIL!$S$2:$S$137,$B43)</f>
        <v>58</v>
      </c>
      <c r="G43" s="21">
        <f>SUMIFS(DETAIL!$R$2:$R$137,DETAIL!$S$2:$S$137,$B43)</f>
        <v>60</v>
      </c>
      <c r="H43" s="23">
        <f t="shared" si="3"/>
        <v>1.0344827586206897</v>
      </c>
      <c r="I43" s="21">
        <f>IFERROR(SUMIFS(DETAIL!$T$2:$T$137,DETAIL!$S$2:$S$137,$B43)/F43,0)</f>
        <v>39.931034482758619</v>
      </c>
      <c r="J43" s="23">
        <f t="shared" si="4"/>
        <v>0.49506903897265747</v>
      </c>
      <c r="K43" s="24">
        <f>IFERROR(SUMIFS(DETAIL!$Q$2:$Q$137,DETAIL!$S$2:$S$137,$B43)/F43,0)</f>
        <v>0.98275862068965514</v>
      </c>
      <c r="L43" s="25">
        <f>IFERROR(SUMIFS(DETAIL!$K$2:$K$137,DETAIL!$S$2:$S$137,$B43)/SUMIFS(DETAIL!$I$2:$I$137,DETAIL!$S$2:$S$137,$B43),0)</f>
        <v>0.89230769230769236</v>
      </c>
      <c r="M43" s="22">
        <f>IFERROR(ROUND(AVERAGEIF(EVALUASI!$F$79:$F$132,$B43,EVALUASI!$W$79:$W$132),1),"-")</f>
        <v>81.400000000000006</v>
      </c>
      <c r="N43" s="22">
        <f t="shared" si="5"/>
        <v>0.42630945022645506</v>
      </c>
      <c r="O43" s="26">
        <f t="shared" si="6"/>
        <v>1</v>
      </c>
      <c r="P43" s="27">
        <f t="shared" si="7"/>
        <v>0</v>
      </c>
      <c r="Q43" s="19" t="str">
        <f t="shared" si="8"/>
        <v>Seimbang</v>
      </c>
      <c r="R43" s="20" t="str">
        <f t="shared" si="9"/>
        <v>Pertahankan 1 pemagang.</v>
      </c>
      <c r="S43" s="19" t="str">
        <f t="shared" si="10"/>
        <v>Cukup</v>
      </c>
    </row>
    <row r="44" spans="1:19" ht="22.5" customHeight="1" x14ac:dyDescent="0.2">
      <c r="A44" s="19">
        <v>11</v>
      </c>
      <c r="B44" s="20" t="s">
        <v>49</v>
      </c>
      <c r="C44" s="21">
        <f>COUNTIF(PEMAGANG!$F$3:$F$36,$B44)</f>
        <v>2</v>
      </c>
      <c r="D44" s="21">
        <f>COUNTIFS(PEMAGANG!$F$3:$F$36,$B44,PEMAGANG!$K$3:$K$36,SUMMARY!$C$7)</f>
        <v>1</v>
      </c>
      <c r="E44" s="22">
        <f t="shared" si="2"/>
        <v>0.81638755980861244</v>
      </c>
      <c r="F44" s="21">
        <f>SUMIFS(DETAIL!$M$2:$M$137,DETAIL!$S$2:$S$137,$B44)</f>
        <v>60</v>
      </c>
      <c r="G44" s="21">
        <f>SUMIFS(DETAIL!$R$2:$R$137,DETAIL!$S$2:$S$137,$B44)</f>
        <v>104</v>
      </c>
      <c r="H44" s="23">
        <f t="shared" si="3"/>
        <v>1.7333333333333334</v>
      </c>
      <c r="I44" s="21">
        <f>IFERROR(SUMIFS(DETAIL!$T$2:$T$137,DETAIL!$S$2:$S$137,$B44)/F44,0)</f>
        <v>118.83333333333333</v>
      </c>
      <c r="J44" s="23">
        <f t="shared" si="4"/>
        <v>1.0967611261487751</v>
      </c>
      <c r="K44" s="24">
        <f>IFERROR(SUMIFS(DETAIL!$Q$2:$Q$137,DETAIL!$S$2:$S$137,$B44)/F44,0)</f>
        <v>0.95</v>
      </c>
      <c r="L44" s="25">
        <f>IFERROR(SUMIFS(DETAIL!$K$2:$K$137,DETAIL!$S$2:$S$137,$B44)/SUMIFS(DETAIL!$I$2:$I$137,DETAIL!$S$2:$S$137,$B44),0)</f>
        <v>0.9152542372881356</v>
      </c>
      <c r="M44" s="22">
        <f>IFERROR(ROUND(AVERAGEIF(EVALUASI!$F$79:$F$132,$B44,EVALUASI!$W$79:$W$132),1),"-")</f>
        <v>94</v>
      </c>
      <c r="N44" s="22">
        <f t="shared" si="5"/>
        <v>0.89538213946954426</v>
      </c>
      <c r="O44" s="26">
        <f t="shared" si="6"/>
        <v>1</v>
      </c>
      <c r="P44" s="27">
        <f t="shared" si="7"/>
        <v>0</v>
      </c>
      <c r="Q44" s="19" t="str">
        <f t="shared" si="8"/>
        <v>Seimbang</v>
      </c>
      <c r="R44" s="20" t="str">
        <f t="shared" si="9"/>
        <v>Pertahankan 1 pemagang.</v>
      </c>
      <c r="S44" s="19" t="str">
        <f t="shared" si="10"/>
        <v>Cukup</v>
      </c>
    </row>
    <row r="45" spans="1:19" ht="33.75" customHeight="1" x14ac:dyDescent="0.2">
      <c r="A45" s="19">
        <v>12</v>
      </c>
      <c r="B45" s="20" t="s">
        <v>50</v>
      </c>
      <c r="C45" s="21">
        <f>COUNTIF(PEMAGANG!$F$3:$F$36,$B45)</f>
        <v>1</v>
      </c>
      <c r="D45" s="21">
        <f>COUNTIFS(PEMAGANG!$F$3:$F$36,$B45,PEMAGANG!$K$3:$K$36,SUMMARY!$C$7)</f>
        <v>1</v>
      </c>
      <c r="E45" s="22">
        <f t="shared" si="2"/>
        <v>1</v>
      </c>
      <c r="F45" s="21">
        <f>SUMIFS(DETAIL!$M$2:$M$137,DETAIL!$S$2:$S$137,$B45)</f>
        <v>76</v>
      </c>
      <c r="G45" s="21">
        <f>SUMIFS(DETAIL!$R$2:$R$137,DETAIL!$S$2:$S$137,$B45)</f>
        <v>253</v>
      </c>
      <c r="H45" s="23">
        <f t="shared" si="3"/>
        <v>3.3289473684210527</v>
      </c>
      <c r="I45" s="21">
        <f>IFERROR(SUMIFS(DETAIL!$T$2:$T$137,DETAIL!$S$2:$S$137,$B45)/F45,0)</f>
        <v>248.92105263157896</v>
      </c>
      <c r="J45" s="23">
        <f t="shared" si="4"/>
        <v>2.212895237895427</v>
      </c>
      <c r="K45" s="24">
        <f>IFERROR(SUMIFS(DETAIL!$Q$2:$Q$137,DETAIL!$S$2:$S$137,$B45)/F45,0)</f>
        <v>0.97368421052631582</v>
      </c>
      <c r="L45" s="25">
        <f>IFERROR(SUMIFS(DETAIL!$K$2:$K$137,DETAIL!$S$2:$S$137,$B45)/SUMIFS(DETAIL!$I$2:$I$137,DETAIL!$S$2:$S$137,$B45),0)</f>
        <v>0.94666666666666666</v>
      </c>
      <c r="M45" s="22">
        <f>IFERROR(ROUND(AVERAGEIF(EVALUASI!$F$79:$F$132,$B45,EVALUASI!$W$79:$W$132),1),"-")</f>
        <v>97.9</v>
      </c>
      <c r="N45" s="22">
        <f t="shared" si="5"/>
        <v>2.212895237895427</v>
      </c>
      <c r="O45" s="26">
        <f t="shared" si="6"/>
        <v>2</v>
      </c>
      <c r="P45" s="27">
        <f t="shared" si="7"/>
        <v>1</v>
      </c>
      <c r="Q45" s="19" t="str">
        <f t="shared" si="8"/>
        <v>Kekurangan pemagang</v>
      </c>
      <c r="R45" s="20" t="str">
        <f t="shared" si="9"/>
        <v>Kuota disarankan 2 (tambah 1). Beban per pemagang 2.21x rata-rata.</v>
      </c>
      <c r="S45" s="19" t="str">
        <f t="shared" si="10"/>
        <v>Cukup</v>
      </c>
    </row>
    <row r="46" spans="1:19" ht="22.5" customHeight="1" x14ac:dyDescent="0.2">
      <c r="A46" s="19">
        <v>13</v>
      </c>
      <c r="B46" s="20" t="s">
        <v>51</v>
      </c>
      <c r="C46" s="21">
        <f>COUNTIF(PEMAGANG!$F$3:$F$36,$B46)</f>
        <v>1</v>
      </c>
      <c r="D46" s="21">
        <f>COUNTIFS(PEMAGANG!$F$3:$F$36,$B46,PEMAGANG!$K$3:$K$36,SUMMARY!$C$7)</f>
        <v>1</v>
      </c>
      <c r="E46" s="22">
        <f t="shared" si="2"/>
        <v>0.59090909090909094</v>
      </c>
      <c r="F46" s="21">
        <f>SUMIFS(DETAIL!$M$2:$M$137,DETAIL!$S$2:$S$137,$B46)</f>
        <v>9</v>
      </c>
      <c r="G46" s="21">
        <f>SUMIFS(DETAIL!$R$2:$R$137,DETAIL!$S$2:$S$137,$B46)</f>
        <v>7</v>
      </c>
      <c r="H46" s="23">
        <f t="shared" si="3"/>
        <v>0.77777777777777779</v>
      </c>
      <c r="I46" s="21">
        <f>IFERROR(SUMIFS(DETAIL!$T$2:$T$137,DETAIL!$S$2:$S$137,$B46)/F46,0)</f>
        <v>57.888888888888886</v>
      </c>
      <c r="J46" s="23">
        <f t="shared" si="4"/>
        <v>0.51563698055198692</v>
      </c>
      <c r="K46" s="24">
        <f>IFERROR(SUMIFS(DETAIL!$Q$2:$Q$137,DETAIL!$S$2:$S$137,$B46)/F46,0)</f>
        <v>0.77777777777777779</v>
      </c>
      <c r="L46" s="25">
        <f>IFERROR(SUMIFS(DETAIL!$K$2:$K$137,DETAIL!$S$2:$S$137,$B46)/SUMIFS(DETAIL!$I$2:$I$137,DETAIL!$S$2:$S$137,$B46),0)</f>
        <v>0.69230769230769229</v>
      </c>
      <c r="M46" s="22">
        <f>IFERROR(ROUND(AVERAGEIF(EVALUASI!$F$79:$F$132,$B46,EVALUASI!$W$79:$W$132),1),"-")</f>
        <v>67.3</v>
      </c>
      <c r="N46" s="22">
        <f t="shared" si="5"/>
        <v>0.30469457941708322</v>
      </c>
      <c r="O46" s="26">
        <f t="shared" si="6"/>
        <v>1</v>
      </c>
      <c r="P46" s="27">
        <f t="shared" si="7"/>
        <v>0</v>
      </c>
      <c r="Q46" s="19" t="str">
        <f t="shared" si="8"/>
        <v>Seimbang</v>
      </c>
      <c r="R46" s="20" t="str">
        <f t="shared" si="9"/>
        <v>Pertahankan 1 pemagang.</v>
      </c>
      <c r="S46" s="19" t="str">
        <f t="shared" si="10"/>
        <v>Rendah (hari hadir &lt; 20)</v>
      </c>
    </row>
    <row r="47" spans="1:19" ht="33.75" customHeight="1" x14ac:dyDescent="0.2">
      <c r="A47" s="19">
        <v>14</v>
      </c>
      <c r="B47" s="20" t="s">
        <v>52</v>
      </c>
      <c r="C47" s="21">
        <f>COUNTIF(PEMAGANG!$F$3:$F$36,$B47)</f>
        <v>2</v>
      </c>
      <c r="D47" s="21">
        <f>COUNTIFS(PEMAGANG!$F$3:$F$36,$B47,PEMAGANG!$K$3:$K$36,SUMMARY!$C$7)</f>
        <v>2</v>
      </c>
      <c r="E47" s="22">
        <f t="shared" si="2"/>
        <v>1.736842105263158</v>
      </c>
      <c r="F47" s="21">
        <f>SUMIFS(DETAIL!$M$2:$M$137,DETAIL!$S$2:$S$137,$B47)</f>
        <v>68</v>
      </c>
      <c r="G47" s="21">
        <f>SUMIFS(DETAIL!$R$2:$R$137,DETAIL!$S$2:$S$137,$B47)</f>
        <v>131</v>
      </c>
      <c r="H47" s="23">
        <f t="shared" si="3"/>
        <v>1.9264705882352942</v>
      </c>
      <c r="I47" s="21">
        <f>IFERROR(SUMIFS(DETAIL!$T$2:$T$137,DETAIL!$S$2:$S$137,$B47)/F47,0)</f>
        <v>142.94117647058823</v>
      </c>
      <c r="J47" s="23">
        <f t="shared" si="4"/>
        <v>1.2748951025896158</v>
      </c>
      <c r="K47" s="24">
        <f>IFERROR(SUMIFS(DETAIL!$Q$2:$Q$137,DETAIL!$S$2:$S$137,$B47)/F47,0)</f>
        <v>1</v>
      </c>
      <c r="L47" s="25">
        <f>IFERROR(SUMIFS(DETAIL!$K$2:$K$137,DETAIL!$S$2:$S$137,$B47)/SUMIFS(DETAIL!$I$2:$I$137,DETAIL!$S$2:$S$137,$B47),0)</f>
        <v>0.94444444444444442</v>
      </c>
      <c r="M47" s="22">
        <f>IFERROR(ROUND(AVERAGEIF(EVALUASI!$F$79:$F$132,$B47,EVALUASI!$W$79:$W$132),1),"-")</f>
        <v>97.8</v>
      </c>
      <c r="N47" s="22">
        <f t="shared" si="5"/>
        <v>2.2142914939714382</v>
      </c>
      <c r="O47" s="26">
        <f t="shared" si="6"/>
        <v>2</v>
      </c>
      <c r="P47" s="27">
        <f t="shared" si="7"/>
        <v>0</v>
      </c>
      <c r="Q47" s="19" t="str">
        <f t="shared" si="8"/>
        <v>Seimbang</v>
      </c>
      <c r="R47" s="20" t="str">
        <f t="shared" si="9"/>
        <v>Pertahankan 2 pemagang.</v>
      </c>
      <c r="S47" s="19" t="str">
        <f t="shared" si="10"/>
        <v>Cukup</v>
      </c>
    </row>
    <row r="48" spans="1:19" ht="22.5" x14ac:dyDescent="0.2">
      <c r="A48" s="19">
        <v>15</v>
      </c>
      <c r="B48" s="20" t="s">
        <v>53</v>
      </c>
      <c r="C48" s="21">
        <f>COUNTIF(PEMAGANG!$F$3:$F$36,$B48)</f>
        <v>1</v>
      </c>
      <c r="D48" s="21">
        <f>COUNTIFS(PEMAGANG!$F$3:$F$36,$B48,PEMAGANG!$K$3:$K$36,SUMMARY!$C$7)</f>
        <v>0</v>
      </c>
      <c r="E48" s="22">
        <f t="shared" si="2"/>
        <v>0.70394736842105265</v>
      </c>
      <c r="F48" s="21">
        <f>SUMIFS(DETAIL!$M$2:$M$137,DETAIL!$S$2:$S$137,$B48)</f>
        <v>42</v>
      </c>
      <c r="G48" s="21">
        <f>SUMIFS(DETAIL!$R$2:$R$137,DETAIL!$S$2:$S$137,$B48)</f>
        <v>54</v>
      </c>
      <c r="H48" s="23">
        <f t="shared" si="3"/>
        <v>1.2857142857142858</v>
      </c>
      <c r="I48" s="21">
        <f>IFERROR(SUMIFS(DETAIL!$T$2:$T$137,DETAIL!$S$2:$S$137,$B48)/F48,0)</f>
        <v>51.595238095238095</v>
      </c>
      <c r="J48" s="23">
        <f t="shared" si="4"/>
        <v>0.62542172526773065</v>
      </c>
      <c r="K48" s="24">
        <f>IFERROR(SUMIFS(DETAIL!$Q$2:$Q$137,DETAIL!$S$2:$S$137,$B48)/F48,0)</f>
        <v>0.95238095238095233</v>
      </c>
      <c r="L48" s="25">
        <f>IFERROR(SUMIFS(DETAIL!$K$2:$K$137,DETAIL!$S$2:$S$137,$B48)/SUMIFS(DETAIL!$I$2:$I$137,DETAIL!$S$2:$S$137,$B48),0)</f>
        <v>1</v>
      </c>
      <c r="M48" s="22">
        <f>IFERROR(ROUND(AVERAGEIF(EVALUASI!$F$79:$F$132,$B48,EVALUASI!$W$79:$W$132),1),"-")</f>
        <v>84.5</v>
      </c>
      <c r="N48" s="22">
        <f t="shared" si="5"/>
        <v>0.44026397765557357</v>
      </c>
      <c r="O48" s="26">
        <f t="shared" si="6"/>
        <v>1</v>
      </c>
      <c r="P48" s="27">
        <f t="shared" si="7"/>
        <v>1</v>
      </c>
      <c r="Q48" s="19" t="str">
        <f t="shared" si="8"/>
        <v>Kekurangan pemagang</v>
      </c>
      <c r="R48" s="20" t="str">
        <f t="shared" si="9"/>
        <v>Saat ini tidak ada pemagang aktif; isi kembali 1 pemagang.</v>
      </c>
      <c r="S48" s="19" t="str">
        <f t="shared" si="10"/>
        <v>Cukup</v>
      </c>
    </row>
    <row r="49" spans="1:19" ht="22.5" customHeight="1" x14ac:dyDescent="0.2">
      <c r="A49" s="19">
        <v>16</v>
      </c>
      <c r="B49" s="20" t="s">
        <v>54</v>
      </c>
      <c r="C49" s="21">
        <f>COUNTIF(PEMAGANG!$F$3:$F$36,$B49)</f>
        <v>2</v>
      </c>
      <c r="D49" s="21">
        <f>COUNTIFS(PEMAGANG!$F$3:$F$36,$B49,PEMAGANG!$K$3:$K$36,SUMMARY!$C$7)</f>
        <v>2</v>
      </c>
      <c r="E49" s="22">
        <f t="shared" si="2"/>
        <v>1.96875</v>
      </c>
      <c r="F49" s="21">
        <f>SUMIFS(DETAIL!$M$2:$M$137,DETAIL!$S$2:$S$137,$B49)</f>
        <v>138</v>
      </c>
      <c r="G49" s="21">
        <f>SUMIFS(DETAIL!$R$2:$R$137,DETAIL!$S$2:$S$137,$B49)</f>
        <v>152</v>
      </c>
      <c r="H49" s="23">
        <f t="shared" si="3"/>
        <v>1.1014492753623188</v>
      </c>
      <c r="I49" s="21">
        <f>IFERROR(SUMIFS(DETAIL!$T$2:$T$137,DETAIL!$S$2:$S$137,$B49)/F49,0)</f>
        <v>32.760869565217391</v>
      </c>
      <c r="J49" s="23">
        <f t="shared" si="4"/>
        <v>0.47691159344353345</v>
      </c>
      <c r="K49" s="24">
        <f>IFERROR(SUMIFS(DETAIL!$Q$2:$Q$137,DETAIL!$S$2:$S$137,$B49)/F49,0)</f>
        <v>0.95652173913043481</v>
      </c>
      <c r="L49" s="25">
        <f>IFERROR(SUMIFS(DETAIL!$K$2:$K$137,DETAIL!$S$2:$S$137,$B49)/SUMIFS(DETAIL!$I$2:$I$137,DETAIL!$S$2:$S$137,$B49),0)</f>
        <v>0.93243243243243246</v>
      </c>
      <c r="M49" s="22">
        <f>IFERROR(ROUND(AVERAGEIF(EVALUASI!$F$79:$F$132,$B49,EVALUASI!$W$79:$W$132),1),"-")</f>
        <v>80.400000000000006</v>
      </c>
      <c r="N49" s="22">
        <f t="shared" si="5"/>
        <v>0.93891969959195654</v>
      </c>
      <c r="O49" s="26">
        <f t="shared" si="6"/>
        <v>1</v>
      </c>
      <c r="P49" s="27">
        <f t="shared" si="7"/>
        <v>-1</v>
      </c>
      <c r="Q49" s="19" t="str">
        <f t="shared" si="8"/>
        <v>Kelebihan pemagang</v>
      </c>
      <c r="R49" s="20" t="str">
        <f t="shared" si="9"/>
        <v>Kuota disarankan 1 (kurangi 1). Beban per pemagang 0.48x rata-rata; alihkan pemagang atau tambah variasi tugas.</v>
      </c>
      <c r="S49" s="19" t="str">
        <f t="shared" si="10"/>
        <v>Cukup</v>
      </c>
    </row>
    <row r="50" spans="1:19" ht="33.75" customHeight="1" x14ac:dyDescent="0.2">
      <c r="A50" s="19">
        <v>17</v>
      </c>
      <c r="B50" s="20" t="s">
        <v>55</v>
      </c>
      <c r="C50" s="21">
        <f>COUNTIF(PEMAGANG!$F$3:$F$36,$B50)</f>
        <v>5</v>
      </c>
      <c r="D50" s="21">
        <f>COUNTIFS(PEMAGANG!$F$3:$F$36,$B50,PEMAGANG!$K$3:$K$36,SUMMARY!$C$7)</f>
        <v>3</v>
      </c>
      <c r="E50" s="22">
        <f t="shared" si="2"/>
        <v>3.2457386363636362</v>
      </c>
      <c r="F50" s="21">
        <f>SUMIFS(DETAIL!$M$2:$M$137,DETAIL!$S$2:$S$137,$B50)</f>
        <v>245</v>
      </c>
      <c r="G50" s="21">
        <f>SUMIFS(DETAIL!$R$2:$R$137,DETAIL!$S$2:$S$137,$B50)</f>
        <v>329</v>
      </c>
      <c r="H50" s="23">
        <f t="shared" si="3"/>
        <v>1.3428571428571427</v>
      </c>
      <c r="I50" s="21">
        <f>IFERROR(SUMIFS(DETAIL!$T$2:$T$137,DETAIL!$S$2:$S$137,$B50)/F50,0)</f>
        <v>146.44489795918366</v>
      </c>
      <c r="J50" s="23">
        <f t="shared" si="4"/>
        <v>1.1295691283498428</v>
      </c>
      <c r="K50" s="24">
        <f>IFERROR(SUMIFS(DETAIL!$Q$2:$Q$137,DETAIL!$S$2:$S$137,$B50)/F50,0)</f>
        <v>0.96734693877551026</v>
      </c>
      <c r="L50" s="25">
        <f>IFERROR(SUMIFS(DETAIL!$K$2:$K$137,DETAIL!$S$2:$S$137,$B50)/SUMIFS(DETAIL!$I$2:$I$137,DETAIL!$S$2:$S$137,$B50),0)</f>
        <v>0.975103734439834</v>
      </c>
      <c r="M50" s="22">
        <f>IFERROR(ROUND(AVERAGEIF(EVALUASI!$F$79:$F$132,$B50,EVALUASI!$W$79:$W$132),1),"-")</f>
        <v>92</v>
      </c>
      <c r="N50" s="22">
        <f t="shared" si="5"/>
        <v>3.6662861623286798</v>
      </c>
      <c r="O50" s="26">
        <f t="shared" si="6"/>
        <v>4</v>
      </c>
      <c r="P50" s="27">
        <f t="shared" si="7"/>
        <v>1</v>
      </c>
      <c r="Q50" s="19" t="str">
        <f t="shared" si="8"/>
        <v>Kekurangan pemagang</v>
      </c>
      <c r="R50" s="20" t="str">
        <f t="shared" si="9"/>
        <v>Kuota disarankan 4 (tambah 1). Beban per pemagang 1.13x rata-rata.</v>
      </c>
      <c r="S50" s="19" t="str">
        <f t="shared" si="10"/>
        <v>Cukup</v>
      </c>
    </row>
    <row r="51" spans="1:19" ht="22.5" customHeight="1" x14ac:dyDescent="0.2">
      <c r="A51" s="28"/>
      <c r="B51" s="29"/>
      <c r="C51" s="30"/>
      <c r="D51" s="30"/>
      <c r="E51" s="31"/>
      <c r="F51" s="30"/>
      <c r="G51" s="30"/>
      <c r="H51" s="32"/>
      <c r="I51" s="30"/>
      <c r="J51" s="32"/>
      <c r="K51" s="33"/>
      <c r="L51" s="34"/>
      <c r="M51" s="31"/>
      <c r="N51" s="31"/>
      <c r="O51" s="35"/>
      <c r="P51" s="36"/>
      <c r="Q51" s="28"/>
      <c r="R51" s="29"/>
      <c r="S51" s="28"/>
    </row>
    <row r="52" spans="1:19" x14ac:dyDescent="0.2">
      <c r="B52" s="12" t="s">
        <v>56</v>
      </c>
      <c r="C52" s="13">
        <f>SUM(C34:C51)</f>
        <v>34</v>
      </c>
      <c r="D52" s="13">
        <f>SUM(D34:D51)</f>
        <v>28</v>
      </c>
      <c r="E52" s="15">
        <f>SUM(E34:E51)</f>
        <v>25.579113503455606</v>
      </c>
      <c r="F52" s="13">
        <f>SUM(F34:F51)</f>
        <v>1708</v>
      </c>
      <c r="G52" s="13">
        <f>SUM(G34:G51)</f>
        <v>3051</v>
      </c>
      <c r="H52" s="37">
        <f>IFERROR(G52/F52,0)</f>
        <v>1.7862997658079625</v>
      </c>
      <c r="I52" s="13">
        <f>IFERROR(SUM(DETAIL!$T$2:$T$137)/F52,0)</f>
        <v>97.151639344262293</v>
      </c>
      <c r="J52" s="37">
        <f>1</f>
        <v>1</v>
      </c>
      <c r="K52" s="38">
        <f>IFERROR(SUM(DETAIL!$Q$2:$Q$137)/F52,0)</f>
        <v>0.93618266978922715</v>
      </c>
      <c r="L52" s="14">
        <f>IFERROR(SUM(DETAIL!$K$2:$K$137)/SUM(DETAIL!$I$2:$I$137),0)</f>
        <v>0.94684579439252337</v>
      </c>
      <c r="M52" s="15">
        <f>ROUND(AVERAGE(EVALUASI!$W$79:$W$132),1)</f>
        <v>86.1</v>
      </c>
      <c r="N52" s="15">
        <f>SUM(N34:N51)</f>
        <v>24.66494804905367</v>
      </c>
      <c r="O52" s="13">
        <f>SUM(O34:O51)</f>
        <v>28</v>
      </c>
      <c r="P52" s="39">
        <f>SUM(P34:P51)</f>
        <v>1</v>
      </c>
    </row>
    <row r="55" spans="1:19" x14ac:dyDescent="0.2">
      <c r="A55" s="3" t="s">
        <v>57</v>
      </c>
    </row>
    <row r="56" spans="1:19" ht="33.75" customHeight="1" x14ac:dyDescent="0.2">
      <c r="A56" s="4" t="s">
        <v>1</v>
      </c>
      <c r="B56" s="4" t="s">
        <v>23</v>
      </c>
      <c r="C56" s="4" t="str">
        <f>"Pemagang: "&amp;TREN!A4</f>
        <v>Pemagang: Juni</v>
      </c>
      <c r="D56" s="4" t="str">
        <f>"Pemagang: "&amp;TREN!A5</f>
        <v>Pemagang: Juli</v>
      </c>
      <c r="E56" s="4" t="str">
        <f>"Pemagang: "&amp;TREN!A6</f>
        <v>Pemagang: Agustus</v>
      </c>
      <c r="F56" s="4" t="str">
        <f>"Pemagang: "&amp;TREN!A7</f>
        <v>Pemagang: September</v>
      </c>
      <c r="G56" s="4" t="str">
        <f>"Rata-rata aktif/hari: "&amp;TREN!A4</f>
        <v>Rata-rata aktif/hari: Juni</v>
      </c>
      <c r="H56" s="4" t="str">
        <f>"Rata-rata aktif/hari: "&amp;TREN!A5</f>
        <v>Rata-rata aktif/hari: Juli</v>
      </c>
      <c r="I56" s="4" t="str">
        <f>"Rata-rata aktif/hari: "&amp;TREN!A6</f>
        <v>Rata-rata aktif/hari: Agustus</v>
      </c>
      <c r="J56" s="4" t="str">
        <f>"Rata-rata aktif/hari: "&amp;TREN!A7</f>
        <v>Rata-rata aktif/hari: September</v>
      </c>
      <c r="K56" s="4" t="str">
        <f>"Entri/hari hadir: "&amp;TREN!A4</f>
        <v>Entri/hari hadir: Juni</v>
      </c>
      <c r="L56" s="4" t="str">
        <f>"Entri/hari hadir: "&amp;TREN!A5</f>
        <v>Entri/hari hadir: Juli</v>
      </c>
      <c r="M56" s="4" t="str">
        <f>"Entri/hari hadir: "&amp;TREN!A6</f>
        <v>Entri/hari hadir: Agustus</v>
      </c>
      <c r="N56" s="4" t="str">
        <f>"Entri/hari hadir: "&amp;TREN!A7</f>
        <v>Entri/hari hadir: September</v>
      </c>
    </row>
    <row r="57" spans="1:19" x14ac:dyDescent="0.2">
      <c r="A57" s="5">
        <v>1</v>
      </c>
      <c r="B57" s="6" t="str">
        <f t="shared" ref="B57:B73" si="11">B34</f>
        <v>CENTRAL JAVA CURAH ADMINISTRATION JR. OFFICER</v>
      </c>
      <c r="C57" s="7">
        <f>COUNTIFS(DETAIL!$S$2:$S$137,$B57,DETAIL!$F$2:$F$137,MONTH(DATE(YEAR(SUMMARY!$C$6),MONTH(SUMMARY!$C$6)+0,1)),DETAIL!$I$2:$I$137,"&gt;0")</f>
        <v>2</v>
      </c>
      <c r="D57" s="7">
        <f>COUNTIFS(DETAIL!$S$2:$S$137,$B57,DETAIL!$F$2:$F$137,MONTH(DATE(YEAR(SUMMARY!$C$6),MONTH(SUMMARY!$C$6)+1,1)),DETAIL!$I$2:$I$137,"&gt;0")</f>
        <v>1</v>
      </c>
      <c r="E57" s="7">
        <f>COUNTIFS(DETAIL!$S$2:$S$137,$B57,DETAIL!$F$2:$F$137,MONTH(DATE(YEAR(SUMMARY!$C$6),MONTH(SUMMARY!$C$6)+2,1)),DETAIL!$I$2:$I$137,"&gt;0")</f>
        <v>1</v>
      </c>
      <c r="F57" s="7">
        <f>COUNTIFS(DETAIL!$S$2:$S$137,$B57,DETAIL!$F$2:$F$137,MONTH(DATE(YEAR(SUMMARY!$C$6),MONTH(SUMMARY!$C$6)+3,1)),DETAIL!$I$2:$I$137,"&gt;0")</f>
        <v>1</v>
      </c>
      <c r="G57" s="9">
        <f>IFERROR(SUMIFS(DETAIL!$I$2:$I$137,DETAIL!$S$2:$S$137,$B57,DETAIL!$F$2:$F$137,MONTH(DATE(YEAR(SUMMARY!$C$6),MONTH(SUMMARY!$C$6)+0,1)))/COUNTIFS(KALENDER!$D$3:$D$132,"Hari Kerja",KALENDER!$C$3:$C$132,MONTH(DATE(YEAR(SUMMARY!$C$6),MONTH(SUMMARY!$C$6)+0,1))),0)</f>
        <v>1.9375</v>
      </c>
      <c r="H57" s="9">
        <f>IFERROR(SUMIFS(DETAIL!$I$2:$I$137,DETAIL!$S$2:$S$137,$B57,DETAIL!$F$2:$F$137,MONTH(DATE(YEAR(SUMMARY!$C$6),MONTH(SUMMARY!$C$6)+1,1)))/COUNTIFS(KALENDER!$D$3:$D$132,"Hari Kerja",KALENDER!$C$3:$C$132,MONTH(DATE(YEAR(SUMMARY!$C$6),MONTH(SUMMARY!$C$6)+1,1))),0)</f>
        <v>1</v>
      </c>
      <c r="I57" s="9">
        <f>IFERROR(SUMIFS(DETAIL!$I$2:$I$137,DETAIL!$S$2:$S$137,$B57,DETAIL!$F$2:$F$137,MONTH(DATE(YEAR(SUMMARY!$C$6),MONTH(SUMMARY!$C$6)+2,1)))/COUNTIFS(KALENDER!$D$3:$D$132,"Hari Kerja",KALENDER!$C$3:$C$132,MONTH(DATE(YEAR(SUMMARY!$C$6),MONTH(SUMMARY!$C$6)+2,1))),0)</f>
        <v>1</v>
      </c>
      <c r="J57" s="9">
        <f>IFERROR(SUMIFS(DETAIL!$I$2:$I$137,DETAIL!$S$2:$S$137,$B57,DETAIL!$F$2:$F$137,MONTH(DATE(YEAR(SUMMARY!$C$6),MONTH(SUMMARY!$C$6)+3,1)))/COUNTIFS(KALENDER!$D$3:$D$132,"Hari Kerja",KALENDER!$C$3:$C$132,MONTH(DATE(YEAR(SUMMARY!$C$6),MONTH(SUMMARY!$C$6)+3,1))),0)</f>
        <v>1</v>
      </c>
      <c r="K57" s="40">
        <f>IFERROR(SUMIFS(DETAIL!$R$2:$R$137,DETAIL!$S$2:$S$137,$B57,DETAIL!$F$2:$F$137,MONTH(DATE(YEAR(SUMMARY!$C$6),MONTH(SUMMARY!$C$6)+0,1)))/SUMIFS(DETAIL!$M$2:$M$137,DETAIL!$S$2:$S$137,$B57,DETAIL!$F$2:$F$137,MONTH(DATE(YEAR(SUMMARY!$C$6),MONTH(SUMMARY!$C$6)+0,1))),"-")</f>
        <v>1.8666666666666667</v>
      </c>
      <c r="L57" s="40">
        <f>IFERROR(SUMIFS(DETAIL!$R$2:$R$137,DETAIL!$S$2:$S$137,$B57,DETAIL!$F$2:$F$137,MONTH(DATE(YEAR(SUMMARY!$C$6),MONTH(SUMMARY!$C$6)+1,1)))/SUMIFS(DETAIL!$M$2:$M$137,DETAIL!$S$2:$S$137,$B57,DETAIL!$F$2:$F$137,MONTH(DATE(YEAR(SUMMARY!$C$6),MONTH(SUMMARY!$C$6)+1,1))),"-")</f>
        <v>3.0555555555555554</v>
      </c>
      <c r="M57" s="40">
        <f>IFERROR(SUMIFS(DETAIL!$R$2:$R$137,DETAIL!$S$2:$S$137,$B57,DETAIL!$F$2:$F$137,MONTH(DATE(YEAR(SUMMARY!$C$6),MONTH(SUMMARY!$C$6)+2,1)))/SUMIFS(DETAIL!$M$2:$M$137,DETAIL!$S$2:$S$137,$B57,DETAIL!$F$2:$F$137,MONTH(DATE(YEAR(SUMMARY!$C$6),MONTH(SUMMARY!$C$6)+2,1))),"-")</f>
        <v>2.6842105263157894</v>
      </c>
      <c r="N57" s="40">
        <f>IFERROR(SUMIFS(DETAIL!$R$2:$R$137,DETAIL!$S$2:$S$137,$B57,DETAIL!$F$2:$F$137,MONTH(DATE(YEAR(SUMMARY!$C$6),MONTH(SUMMARY!$C$6)+3,1)))/SUMIFS(DETAIL!$M$2:$M$137,DETAIL!$S$2:$S$137,$B57,DETAIL!$F$2:$F$137,MONTH(DATE(YEAR(SUMMARY!$C$6),MONTH(SUMMARY!$C$6)+3,1))),"-")</f>
        <v>1.8333333333333333</v>
      </c>
    </row>
    <row r="58" spans="1:19" x14ac:dyDescent="0.2">
      <c r="A58" s="5">
        <v>2</v>
      </c>
      <c r="B58" s="6" t="str">
        <f t="shared" si="11"/>
        <v>EQUALISATION OFFICER (SID)</v>
      </c>
      <c r="C58" s="7">
        <f>COUNTIFS(DETAIL!$S$2:$S$137,$B58,DETAIL!$F$2:$F$137,MONTH(DATE(YEAR(SUMMARY!$C$6),MONTH(SUMMARY!$C$6)+0,1)),DETAIL!$I$2:$I$137,"&gt;0")</f>
        <v>1</v>
      </c>
      <c r="D58" s="7">
        <f>COUNTIFS(DETAIL!$S$2:$S$137,$B58,DETAIL!$F$2:$F$137,MONTH(DATE(YEAR(SUMMARY!$C$6),MONTH(SUMMARY!$C$6)+1,1)),DETAIL!$I$2:$I$137,"&gt;0")</f>
        <v>1</v>
      </c>
      <c r="E58" s="7">
        <f>COUNTIFS(DETAIL!$S$2:$S$137,$B58,DETAIL!$F$2:$F$137,MONTH(DATE(YEAR(SUMMARY!$C$6),MONTH(SUMMARY!$C$6)+2,1)),DETAIL!$I$2:$I$137,"&gt;0")</f>
        <v>1</v>
      </c>
      <c r="F58" s="7">
        <f>COUNTIFS(DETAIL!$S$2:$S$137,$B58,DETAIL!$F$2:$F$137,MONTH(DATE(YEAR(SUMMARY!$C$6),MONTH(SUMMARY!$C$6)+3,1)),DETAIL!$I$2:$I$137,"&gt;0")</f>
        <v>1</v>
      </c>
      <c r="G58" s="9">
        <f>IFERROR(SUMIFS(DETAIL!$I$2:$I$137,DETAIL!$S$2:$S$137,$B58,DETAIL!$F$2:$F$137,MONTH(DATE(YEAR(SUMMARY!$C$6),MONTH(SUMMARY!$C$6)+0,1)))/COUNTIFS(KALENDER!$D$3:$D$132,"Hari Kerja",KALENDER!$C$3:$C$132,MONTH(DATE(YEAR(SUMMARY!$C$6),MONTH(SUMMARY!$C$6)+0,1))),0)</f>
        <v>1</v>
      </c>
      <c r="H58" s="9">
        <f>IFERROR(SUMIFS(DETAIL!$I$2:$I$137,DETAIL!$S$2:$S$137,$B58,DETAIL!$F$2:$F$137,MONTH(DATE(YEAR(SUMMARY!$C$6),MONTH(SUMMARY!$C$6)+1,1)))/COUNTIFS(KALENDER!$D$3:$D$132,"Hari Kerja",KALENDER!$C$3:$C$132,MONTH(DATE(YEAR(SUMMARY!$C$6),MONTH(SUMMARY!$C$6)+1,1))),0)</f>
        <v>1</v>
      </c>
      <c r="I58" s="9">
        <f>IFERROR(SUMIFS(DETAIL!$I$2:$I$137,DETAIL!$S$2:$S$137,$B58,DETAIL!$F$2:$F$137,MONTH(DATE(YEAR(SUMMARY!$C$6),MONTH(SUMMARY!$C$6)+2,1)))/COUNTIFS(KALENDER!$D$3:$D$132,"Hari Kerja",KALENDER!$C$3:$C$132,MONTH(DATE(YEAR(SUMMARY!$C$6),MONTH(SUMMARY!$C$6)+2,1))),0)</f>
        <v>1</v>
      </c>
      <c r="J58" s="9">
        <f>IFERROR(SUMIFS(DETAIL!$I$2:$I$137,DETAIL!$S$2:$S$137,$B58,DETAIL!$F$2:$F$137,MONTH(DATE(YEAR(SUMMARY!$C$6),MONTH(SUMMARY!$C$6)+3,1)))/COUNTIFS(KALENDER!$D$3:$D$132,"Hari Kerja",KALENDER!$C$3:$C$132,MONTH(DATE(YEAR(SUMMARY!$C$6),MONTH(SUMMARY!$C$6)+3,1))),0)</f>
        <v>1</v>
      </c>
      <c r="K58" s="40">
        <f>IFERROR(SUMIFS(DETAIL!$R$2:$R$137,DETAIL!$S$2:$S$137,$B58,DETAIL!$F$2:$F$137,MONTH(DATE(YEAR(SUMMARY!$C$6),MONTH(SUMMARY!$C$6)+0,1)))/SUMIFS(DETAIL!$M$2:$M$137,DETAIL!$S$2:$S$137,$B58,DETAIL!$F$2:$F$137,MONTH(DATE(YEAR(SUMMARY!$C$6),MONTH(SUMMARY!$C$6)+0,1))),"-")</f>
        <v>1.4444444444444444</v>
      </c>
      <c r="L58" s="40">
        <f>IFERROR(SUMIFS(DETAIL!$R$2:$R$137,DETAIL!$S$2:$S$137,$B58,DETAIL!$F$2:$F$137,MONTH(DATE(YEAR(SUMMARY!$C$6),MONTH(SUMMARY!$C$6)+1,1)))/SUMIFS(DETAIL!$M$2:$M$137,DETAIL!$S$2:$S$137,$B58,DETAIL!$F$2:$F$137,MONTH(DATE(YEAR(SUMMARY!$C$6),MONTH(SUMMARY!$C$6)+1,1))),"-")</f>
        <v>1.375</v>
      </c>
      <c r="M58" s="40">
        <f>IFERROR(SUMIFS(DETAIL!$R$2:$R$137,DETAIL!$S$2:$S$137,$B58,DETAIL!$F$2:$F$137,MONTH(DATE(YEAR(SUMMARY!$C$6),MONTH(SUMMARY!$C$6)+2,1)))/SUMIFS(DETAIL!$M$2:$M$137,DETAIL!$S$2:$S$137,$B58,DETAIL!$F$2:$F$137,MONTH(DATE(YEAR(SUMMARY!$C$6),MONTH(SUMMARY!$C$6)+2,1))),"-")</f>
        <v>1.5555555555555556</v>
      </c>
      <c r="N58" s="40">
        <f>IFERROR(SUMIFS(DETAIL!$R$2:$R$137,DETAIL!$S$2:$S$137,$B58,DETAIL!$F$2:$F$137,MONTH(DATE(YEAR(SUMMARY!$C$6),MONTH(SUMMARY!$C$6)+3,1)))/SUMIFS(DETAIL!$M$2:$M$137,DETAIL!$S$2:$S$137,$B58,DETAIL!$F$2:$F$137,MONTH(DATE(YEAR(SUMMARY!$C$6),MONTH(SUMMARY!$C$6)+3,1))),"-")</f>
        <v>2.0454545454545454</v>
      </c>
    </row>
    <row r="59" spans="1:19" x14ac:dyDescent="0.2">
      <c r="A59" s="5">
        <v>3</v>
      </c>
      <c r="B59" s="6" t="str">
        <f t="shared" si="11"/>
        <v>GM OF TAX &amp; ACCOUNTING</v>
      </c>
      <c r="C59" s="7">
        <f>COUNTIFS(DETAIL!$S$2:$S$137,$B59,DETAIL!$F$2:$F$137,MONTH(DATE(YEAR(SUMMARY!$C$6),MONTH(SUMMARY!$C$6)+0,1)),DETAIL!$I$2:$I$137,"&gt;0")</f>
        <v>0</v>
      </c>
      <c r="D59" s="7">
        <f>COUNTIFS(DETAIL!$S$2:$S$137,$B59,DETAIL!$F$2:$F$137,MONTH(DATE(YEAR(SUMMARY!$C$6),MONTH(SUMMARY!$C$6)+1,1)),DETAIL!$I$2:$I$137,"&gt;0")</f>
        <v>0</v>
      </c>
      <c r="E59" s="7">
        <f>COUNTIFS(DETAIL!$S$2:$S$137,$B59,DETAIL!$F$2:$F$137,MONTH(DATE(YEAR(SUMMARY!$C$6),MONTH(SUMMARY!$C$6)+2,1)),DETAIL!$I$2:$I$137,"&gt;0")</f>
        <v>1</v>
      </c>
      <c r="F59" s="7">
        <f>COUNTIFS(DETAIL!$S$2:$S$137,$B59,DETAIL!$F$2:$F$137,MONTH(DATE(YEAR(SUMMARY!$C$6),MONTH(SUMMARY!$C$6)+3,1)),DETAIL!$I$2:$I$137,"&gt;0")</f>
        <v>1</v>
      </c>
      <c r="G59" s="9">
        <f>IFERROR(SUMIFS(DETAIL!$I$2:$I$137,DETAIL!$S$2:$S$137,$B59,DETAIL!$F$2:$F$137,MONTH(DATE(YEAR(SUMMARY!$C$6),MONTH(SUMMARY!$C$6)+0,1)))/COUNTIFS(KALENDER!$D$3:$D$132,"Hari Kerja",KALENDER!$C$3:$C$132,MONTH(DATE(YEAR(SUMMARY!$C$6),MONTH(SUMMARY!$C$6)+0,1))),0)</f>
        <v>0</v>
      </c>
      <c r="H59" s="9">
        <f>IFERROR(SUMIFS(DETAIL!$I$2:$I$137,DETAIL!$S$2:$S$137,$B59,DETAIL!$F$2:$F$137,MONTH(DATE(YEAR(SUMMARY!$C$6),MONTH(SUMMARY!$C$6)+1,1)))/COUNTIFS(KALENDER!$D$3:$D$132,"Hari Kerja",KALENDER!$C$3:$C$132,MONTH(DATE(YEAR(SUMMARY!$C$6),MONTH(SUMMARY!$C$6)+1,1))),0)</f>
        <v>0</v>
      </c>
      <c r="I59" s="9">
        <f>IFERROR(SUMIFS(DETAIL!$I$2:$I$137,DETAIL!$S$2:$S$137,$B59,DETAIL!$F$2:$F$137,MONTH(DATE(YEAR(SUMMARY!$C$6),MONTH(SUMMARY!$C$6)+2,1)))/COUNTIFS(KALENDER!$D$3:$D$132,"Hari Kerja",KALENDER!$C$3:$C$132,MONTH(DATE(YEAR(SUMMARY!$C$6),MONTH(SUMMARY!$C$6)+2,1))),0)</f>
        <v>0.73684210526315785</v>
      </c>
      <c r="J59" s="9">
        <f>IFERROR(SUMIFS(DETAIL!$I$2:$I$137,DETAIL!$S$2:$S$137,$B59,DETAIL!$F$2:$F$137,MONTH(DATE(YEAR(SUMMARY!$C$6),MONTH(SUMMARY!$C$6)+3,1)))/COUNTIFS(KALENDER!$D$3:$D$132,"Hari Kerja",KALENDER!$C$3:$C$132,MONTH(DATE(YEAR(SUMMARY!$C$6),MONTH(SUMMARY!$C$6)+3,1))),0)</f>
        <v>1</v>
      </c>
      <c r="K59" s="40" t="str">
        <f>IFERROR(SUMIFS(DETAIL!$R$2:$R$137,DETAIL!$S$2:$S$137,$B59,DETAIL!$F$2:$F$137,MONTH(DATE(YEAR(SUMMARY!$C$6),MONTH(SUMMARY!$C$6)+0,1)))/SUMIFS(DETAIL!$M$2:$M$137,DETAIL!$S$2:$S$137,$B59,DETAIL!$F$2:$F$137,MONTH(DATE(YEAR(SUMMARY!$C$6),MONTH(SUMMARY!$C$6)+0,1))),"-")</f>
        <v>-</v>
      </c>
      <c r="L59" s="40" t="str">
        <f>IFERROR(SUMIFS(DETAIL!$R$2:$R$137,DETAIL!$S$2:$S$137,$B59,DETAIL!$F$2:$F$137,MONTH(DATE(YEAR(SUMMARY!$C$6),MONTH(SUMMARY!$C$6)+1,1)))/SUMIFS(DETAIL!$M$2:$M$137,DETAIL!$S$2:$S$137,$B59,DETAIL!$F$2:$F$137,MONTH(DATE(YEAR(SUMMARY!$C$6),MONTH(SUMMARY!$C$6)+1,1))),"-")</f>
        <v>-</v>
      </c>
      <c r="M59" s="40">
        <f>IFERROR(SUMIFS(DETAIL!$R$2:$R$137,DETAIL!$S$2:$S$137,$B59,DETAIL!$F$2:$F$137,MONTH(DATE(YEAR(SUMMARY!$C$6),MONTH(SUMMARY!$C$6)+2,1)))/SUMIFS(DETAIL!$M$2:$M$137,DETAIL!$S$2:$S$137,$B59,DETAIL!$F$2:$F$137,MONTH(DATE(YEAR(SUMMARY!$C$6),MONTH(SUMMARY!$C$6)+2,1))),"-")</f>
        <v>1.3846153846153846</v>
      </c>
      <c r="N59" s="40">
        <f>IFERROR(SUMIFS(DETAIL!$R$2:$R$137,DETAIL!$S$2:$S$137,$B59,DETAIL!$F$2:$F$137,MONTH(DATE(YEAR(SUMMARY!$C$6),MONTH(SUMMARY!$C$6)+3,1)))/SUMIFS(DETAIL!$M$2:$M$137,DETAIL!$S$2:$S$137,$B59,DETAIL!$F$2:$F$137,MONTH(DATE(YEAR(SUMMARY!$C$6),MONTH(SUMMARY!$C$6)+3,1))),"-")</f>
        <v>1.55</v>
      </c>
    </row>
    <row r="60" spans="1:19" x14ac:dyDescent="0.2">
      <c r="A60" s="5">
        <v>4</v>
      </c>
      <c r="B60" s="6" t="str">
        <f t="shared" si="11"/>
        <v>MANAGER OF TRANSPORTATION</v>
      </c>
      <c r="C60" s="7">
        <f>COUNTIFS(DETAIL!$S$2:$S$137,$B60,DETAIL!$F$2:$F$137,MONTH(DATE(YEAR(SUMMARY!$C$6),MONTH(SUMMARY!$C$6)+0,1)),DETAIL!$I$2:$I$137,"&gt;0")</f>
        <v>1</v>
      </c>
      <c r="D60" s="7">
        <f>COUNTIFS(DETAIL!$S$2:$S$137,$B60,DETAIL!$F$2:$F$137,MONTH(DATE(YEAR(SUMMARY!$C$6),MONTH(SUMMARY!$C$6)+1,1)),DETAIL!$I$2:$I$137,"&gt;0")</f>
        <v>2</v>
      </c>
      <c r="E60" s="7">
        <f>COUNTIFS(DETAIL!$S$2:$S$137,$B60,DETAIL!$F$2:$F$137,MONTH(DATE(YEAR(SUMMARY!$C$6),MONTH(SUMMARY!$C$6)+2,1)),DETAIL!$I$2:$I$137,"&gt;0")</f>
        <v>2</v>
      </c>
      <c r="F60" s="7">
        <f>COUNTIFS(DETAIL!$S$2:$S$137,$B60,DETAIL!$F$2:$F$137,MONTH(DATE(YEAR(SUMMARY!$C$6),MONTH(SUMMARY!$C$6)+3,1)),DETAIL!$I$2:$I$137,"&gt;0")</f>
        <v>2</v>
      </c>
      <c r="G60" s="9">
        <f>IFERROR(SUMIFS(DETAIL!$I$2:$I$137,DETAIL!$S$2:$S$137,$B60,DETAIL!$F$2:$F$137,MONTH(DATE(YEAR(SUMMARY!$C$6),MONTH(SUMMARY!$C$6)+0,1)))/COUNTIFS(KALENDER!$D$3:$D$132,"Hari Kerja",KALENDER!$C$3:$C$132,MONTH(DATE(YEAR(SUMMARY!$C$6),MONTH(SUMMARY!$C$6)+0,1))),0)</f>
        <v>1</v>
      </c>
      <c r="H60" s="9">
        <f>IFERROR(SUMIFS(DETAIL!$I$2:$I$137,DETAIL!$S$2:$S$137,$B60,DETAIL!$F$2:$F$137,MONTH(DATE(YEAR(SUMMARY!$C$6),MONTH(SUMMARY!$C$6)+1,1)))/COUNTIFS(KALENDER!$D$3:$D$132,"Hari Kerja",KALENDER!$C$3:$C$132,MONTH(DATE(YEAR(SUMMARY!$C$6),MONTH(SUMMARY!$C$6)+1,1))),0)</f>
        <v>2</v>
      </c>
      <c r="I60" s="9">
        <f>IFERROR(SUMIFS(DETAIL!$I$2:$I$137,DETAIL!$S$2:$S$137,$B60,DETAIL!$F$2:$F$137,MONTH(DATE(YEAR(SUMMARY!$C$6),MONTH(SUMMARY!$C$6)+2,1)))/COUNTIFS(KALENDER!$D$3:$D$132,"Hari Kerja",KALENDER!$C$3:$C$132,MONTH(DATE(YEAR(SUMMARY!$C$6),MONTH(SUMMARY!$C$6)+2,1))),0)</f>
        <v>2</v>
      </c>
      <c r="J60" s="9">
        <f>IFERROR(SUMIFS(DETAIL!$I$2:$I$137,DETAIL!$S$2:$S$137,$B60,DETAIL!$F$2:$F$137,MONTH(DATE(YEAR(SUMMARY!$C$6),MONTH(SUMMARY!$C$6)+3,1)))/COUNTIFS(KALENDER!$D$3:$D$132,"Hari Kerja",KALENDER!$C$3:$C$132,MONTH(DATE(YEAR(SUMMARY!$C$6),MONTH(SUMMARY!$C$6)+3,1))),0)</f>
        <v>2</v>
      </c>
      <c r="K60" s="40">
        <f>IFERROR(SUMIFS(DETAIL!$R$2:$R$137,DETAIL!$S$2:$S$137,$B60,DETAIL!$F$2:$F$137,MONTH(DATE(YEAR(SUMMARY!$C$6),MONTH(SUMMARY!$C$6)+0,1)))/SUMIFS(DETAIL!$M$2:$M$137,DETAIL!$S$2:$S$137,$B60,DETAIL!$F$2:$F$137,MONTH(DATE(YEAR(SUMMARY!$C$6),MONTH(SUMMARY!$C$6)+0,1))),"-")</f>
        <v>2.6</v>
      </c>
      <c r="L60" s="40">
        <f>IFERROR(SUMIFS(DETAIL!$R$2:$R$137,DETAIL!$S$2:$S$137,$B60,DETAIL!$F$2:$F$137,MONTH(DATE(YEAR(SUMMARY!$C$6),MONTH(SUMMARY!$C$6)+1,1)))/SUMIFS(DETAIL!$M$2:$M$137,DETAIL!$S$2:$S$137,$B60,DETAIL!$F$2:$F$137,MONTH(DATE(YEAR(SUMMARY!$C$6),MONTH(SUMMARY!$C$6)+1,1))),"-")</f>
        <v>2.0789473684210527</v>
      </c>
      <c r="M60" s="40">
        <f>IFERROR(SUMIFS(DETAIL!$R$2:$R$137,DETAIL!$S$2:$S$137,$B60,DETAIL!$F$2:$F$137,MONTH(DATE(YEAR(SUMMARY!$C$6),MONTH(SUMMARY!$C$6)+2,1)))/SUMIFS(DETAIL!$M$2:$M$137,DETAIL!$S$2:$S$137,$B60,DETAIL!$F$2:$F$137,MONTH(DATE(YEAR(SUMMARY!$C$6),MONTH(SUMMARY!$C$6)+2,1))),"-")</f>
        <v>2.3142857142857145</v>
      </c>
      <c r="N60" s="40">
        <f>IFERROR(SUMIFS(DETAIL!$R$2:$R$137,DETAIL!$S$2:$S$137,$B60,DETAIL!$F$2:$F$137,MONTH(DATE(YEAR(SUMMARY!$C$6),MONTH(SUMMARY!$C$6)+3,1)))/SUMIFS(DETAIL!$M$2:$M$137,DETAIL!$S$2:$S$137,$B60,DETAIL!$F$2:$F$137,MONTH(DATE(YEAR(SUMMARY!$C$6),MONTH(SUMMARY!$C$6)+3,1))),"-")</f>
        <v>1.9534883720930232</v>
      </c>
    </row>
    <row r="61" spans="1:19" x14ac:dyDescent="0.2">
      <c r="A61" s="5">
        <v>5</v>
      </c>
      <c r="B61" s="6" t="str">
        <f t="shared" si="11"/>
        <v>MANAGER OF VERIFICATION</v>
      </c>
      <c r="C61" s="7">
        <f>COUNTIFS(DETAIL!$S$2:$S$137,$B61,DETAIL!$F$2:$F$137,MONTH(DATE(YEAR(SUMMARY!$C$6),MONTH(SUMMARY!$C$6)+0,1)),DETAIL!$I$2:$I$137,"&gt;0")</f>
        <v>0</v>
      </c>
      <c r="D61" s="7">
        <f>COUNTIFS(DETAIL!$S$2:$S$137,$B61,DETAIL!$F$2:$F$137,MONTH(DATE(YEAR(SUMMARY!$C$6),MONTH(SUMMARY!$C$6)+1,1)),DETAIL!$I$2:$I$137,"&gt;0")</f>
        <v>0</v>
      </c>
      <c r="E61" s="7">
        <f>COUNTIFS(DETAIL!$S$2:$S$137,$B61,DETAIL!$F$2:$F$137,MONTH(DATE(YEAR(SUMMARY!$C$6),MONTH(SUMMARY!$C$6)+2,1)),DETAIL!$I$2:$I$137,"&gt;0")</f>
        <v>0</v>
      </c>
      <c r="F61" s="7">
        <f>COUNTIFS(DETAIL!$S$2:$S$137,$B61,DETAIL!$F$2:$F$137,MONTH(DATE(YEAR(SUMMARY!$C$6),MONTH(SUMMARY!$C$6)+3,1)),DETAIL!$I$2:$I$137,"&gt;0")</f>
        <v>1</v>
      </c>
      <c r="G61" s="9">
        <f>IFERROR(SUMIFS(DETAIL!$I$2:$I$137,DETAIL!$S$2:$S$137,$B61,DETAIL!$F$2:$F$137,MONTH(DATE(YEAR(SUMMARY!$C$6),MONTH(SUMMARY!$C$6)+0,1)))/COUNTIFS(KALENDER!$D$3:$D$132,"Hari Kerja",KALENDER!$C$3:$C$132,MONTH(DATE(YEAR(SUMMARY!$C$6),MONTH(SUMMARY!$C$6)+0,1))),0)</f>
        <v>0</v>
      </c>
      <c r="H61" s="9">
        <f>IFERROR(SUMIFS(DETAIL!$I$2:$I$137,DETAIL!$S$2:$S$137,$B61,DETAIL!$F$2:$F$137,MONTH(DATE(YEAR(SUMMARY!$C$6),MONTH(SUMMARY!$C$6)+1,1)))/COUNTIFS(KALENDER!$D$3:$D$132,"Hari Kerja",KALENDER!$C$3:$C$132,MONTH(DATE(YEAR(SUMMARY!$C$6),MONTH(SUMMARY!$C$6)+1,1))),0)</f>
        <v>0</v>
      </c>
      <c r="I61" s="9">
        <f>IFERROR(SUMIFS(DETAIL!$I$2:$I$137,DETAIL!$S$2:$S$137,$B61,DETAIL!$F$2:$F$137,MONTH(DATE(YEAR(SUMMARY!$C$6),MONTH(SUMMARY!$C$6)+2,1)))/COUNTIFS(KALENDER!$D$3:$D$132,"Hari Kerja",KALENDER!$C$3:$C$132,MONTH(DATE(YEAR(SUMMARY!$C$6),MONTH(SUMMARY!$C$6)+2,1))),0)</f>
        <v>0</v>
      </c>
      <c r="J61" s="9">
        <f>IFERROR(SUMIFS(DETAIL!$I$2:$I$137,DETAIL!$S$2:$S$137,$B61,DETAIL!$F$2:$F$137,MONTH(DATE(YEAR(SUMMARY!$C$6),MONTH(SUMMARY!$C$6)+3,1)))/COUNTIFS(KALENDER!$D$3:$D$132,"Hari Kerja",KALENDER!$C$3:$C$132,MONTH(DATE(YEAR(SUMMARY!$C$6),MONTH(SUMMARY!$C$6)+3,1))),0)</f>
        <v>0.59090909090909094</v>
      </c>
      <c r="K61" s="40" t="str">
        <f>IFERROR(SUMIFS(DETAIL!$R$2:$R$137,DETAIL!$S$2:$S$137,$B61,DETAIL!$F$2:$F$137,MONTH(DATE(YEAR(SUMMARY!$C$6),MONTH(SUMMARY!$C$6)+0,1)))/SUMIFS(DETAIL!$M$2:$M$137,DETAIL!$S$2:$S$137,$B61,DETAIL!$F$2:$F$137,MONTH(DATE(YEAR(SUMMARY!$C$6),MONTH(SUMMARY!$C$6)+0,1))),"-")</f>
        <v>-</v>
      </c>
      <c r="L61" s="40" t="str">
        <f>IFERROR(SUMIFS(DETAIL!$R$2:$R$137,DETAIL!$S$2:$S$137,$B61,DETAIL!$F$2:$F$137,MONTH(DATE(YEAR(SUMMARY!$C$6),MONTH(SUMMARY!$C$6)+1,1)))/SUMIFS(DETAIL!$M$2:$M$137,DETAIL!$S$2:$S$137,$B61,DETAIL!$F$2:$F$137,MONTH(DATE(YEAR(SUMMARY!$C$6),MONTH(SUMMARY!$C$6)+1,1))),"-")</f>
        <v>-</v>
      </c>
      <c r="M61" s="40" t="str">
        <f>IFERROR(SUMIFS(DETAIL!$R$2:$R$137,DETAIL!$S$2:$S$137,$B61,DETAIL!$F$2:$F$137,MONTH(DATE(YEAR(SUMMARY!$C$6),MONTH(SUMMARY!$C$6)+2,1)))/SUMIFS(DETAIL!$M$2:$M$137,DETAIL!$S$2:$S$137,$B61,DETAIL!$F$2:$F$137,MONTH(DATE(YEAR(SUMMARY!$C$6),MONTH(SUMMARY!$C$6)+2,1))),"-")</f>
        <v>-</v>
      </c>
      <c r="N61" s="40">
        <f>IFERROR(SUMIFS(DETAIL!$R$2:$R$137,DETAIL!$S$2:$S$137,$B61,DETAIL!$F$2:$F$137,MONTH(DATE(YEAR(SUMMARY!$C$6),MONTH(SUMMARY!$C$6)+3,1)))/SUMIFS(DETAIL!$M$2:$M$137,DETAIL!$S$2:$S$137,$B61,DETAIL!$F$2:$F$137,MONTH(DATE(YEAR(SUMMARY!$C$6),MONTH(SUMMARY!$C$6)+3,1))),"-")</f>
        <v>1</v>
      </c>
    </row>
    <row r="62" spans="1:19" x14ac:dyDescent="0.2">
      <c r="A62" s="5">
        <v>6</v>
      </c>
      <c r="B62" s="6" t="str">
        <f t="shared" si="11"/>
        <v>MARKETING &amp; EXPANSION MODERN RETAIL OFFICER</v>
      </c>
      <c r="C62" s="7">
        <f>COUNTIFS(DETAIL!$S$2:$S$137,$B62,DETAIL!$F$2:$F$137,MONTH(DATE(YEAR(SUMMARY!$C$6),MONTH(SUMMARY!$C$6)+0,1)),DETAIL!$I$2:$I$137,"&gt;0")</f>
        <v>1</v>
      </c>
      <c r="D62" s="7">
        <f>COUNTIFS(DETAIL!$S$2:$S$137,$B62,DETAIL!$F$2:$F$137,MONTH(DATE(YEAR(SUMMARY!$C$6),MONTH(SUMMARY!$C$6)+1,1)),DETAIL!$I$2:$I$137,"&gt;0")</f>
        <v>1</v>
      </c>
      <c r="E62" s="7">
        <f>COUNTIFS(DETAIL!$S$2:$S$137,$B62,DETAIL!$F$2:$F$137,MONTH(DATE(YEAR(SUMMARY!$C$6),MONTH(SUMMARY!$C$6)+2,1)),DETAIL!$I$2:$I$137,"&gt;0")</f>
        <v>1</v>
      </c>
      <c r="F62" s="7">
        <f>COUNTIFS(DETAIL!$S$2:$S$137,$B62,DETAIL!$F$2:$F$137,MONTH(DATE(YEAR(SUMMARY!$C$6),MONTH(SUMMARY!$C$6)+3,1)),DETAIL!$I$2:$I$137,"&gt;0")</f>
        <v>1</v>
      </c>
      <c r="G62" s="9">
        <f>IFERROR(SUMIFS(DETAIL!$I$2:$I$137,DETAIL!$S$2:$S$137,$B62,DETAIL!$F$2:$F$137,MONTH(DATE(YEAR(SUMMARY!$C$6),MONTH(SUMMARY!$C$6)+0,1)))/COUNTIFS(KALENDER!$D$3:$D$132,"Hari Kerja",KALENDER!$C$3:$C$132,MONTH(DATE(YEAR(SUMMARY!$C$6),MONTH(SUMMARY!$C$6)+0,1))),0)</f>
        <v>1</v>
      </c>
      <c r="H62" s="9">
        <f>IFERROR(SUMIFS(DETAIL!$I$2:$I$137,DETAIL!$S$2:$S$137,$B62,DETAIL!$F$2:$F$137,MONTH(DATE(YEAR(SUMMARY!$C$6),MONTH(SUMMARY!$C$6)+1,1)))/COUNTIFS(KALENDER!$D$3:$D$132,"Hari Kerja",KALENDER!$C$3:$C$132,MONTH(DATE(YEAR(SUMMARY!$C$6),MONTH(SUMMARY!$C$6)+1,1))),0)</f>
        <v>1</v>
      </c>
      <c r="I62" s="9">
        <f>IFERROR(SUMIFS(DETAIL!$I$2:$I$137,DETAIL!$S$2:$S$137,$B62,DETAIL!$F$2:$F$137,MONTH(DATE(YEAR(SUMMARY!$C$6),MONTH(SUMMARY!$C$6)+2,1)))/COUNTIFS(KALENDER!$D$3:$D$132,"Hari Kerja",KALENDER!$C$3:$C$132,MONTH(DATE(YEAR(SUMMARY!$C$6),MONTH(SUMMARY!$C$6)+2,1))),0)</f>
        <v>1</v>
      </c>
      <c r="J62" s="9">
        <f>IFERROR(SUMIFS(DETAIL!$I$2:$I$137,DETAIL!$S$2:$S$137,$B62,DETAIL!$F$2:$F$137,MONTH(DATE(YEAR(SUMMARY!$C$6),MONTH(SUMMARY!$C$6)+3,1)))/COUNTIFS(KALENDER!$D$3:$D$132,"Hari Kerja",KALENDER!$C$3:$C$132,MONTH(DATE(YEAR(SUMMARY!$C$6),MONTH(SUMMARY!$C$6)+3,1))),0)</f>
        <v>1</v>
      </c>
      <c r="K62" s="40">
        <f>IFERROR(SUMIFS(DETAIL!$R$2:$R$137,DETAIL!$S$2:$S$137,$B62,DETAIL!$F$2:$F$137,MONTH(DATE(YEAR(SUMMARY!$C$6),MONTH(SUMMARY!$C$6)+0,1)))/SUMIFS(DETAIL!$M$2:$M$137,DETAIL!$S$2:$S$137,$B62,DETAIL!$F$2:$F$137,MONTH(DATE(YEAR(SUMMARY!$C$6),MONTH(SUMMARY!$C$6)+0,1))),"-")</f>
        <v>1.6190476190476191</v>
      </c>
      <c r="L62" s="40">
        <f>IFERROR(SUMIFS(DETAIL!$R$2:$R$137,DETAIL!$S$2:$S$137,$B62,DETAIL!$F$2:$F$137,MONTH(DATE(YEAR(SUMMARY!$C$6),MONTH(SUMMARY!$C$6)+1,1)))/SUMIFS(DETAIL!$M$2:$M$137,DETAIL!$S$2:$S$137,$B62,DETAIL!$F$2:$F$137,MONTH(DATE(YEAR(SUMMARY!$C$6),MONTH(SUMMARY!$C$6)+1,1))),"-")</f>
        <v>2.0384615384615383</v>
      </c>
      <c r="M62" s="40">
        <f>IFERROR(SUMIFS(DETAIL!$R$2:$R$137,DETAIL!$S$2:$S$137,$B62,DETAIL!$F$2:$F$137,MONTH(DATE(YEAR(SUMMARY!$C$6),MONTH(SUMMARY!$C$6)+2,1)))/SUMIFS(DETAIL!$M$2:$M$137,DETAIL!$S$2:$S$137,$B62,DETAIL!$F$2:$F$137,MONTH(DATE(YEAR(SUMMARY!$C$6),MONTH(SUMMARY!$C$6)+2,1))),"-")</f>
        <v>1.5</v>
      </c>
      <c r="N62" s="40">
        <f>IFERROR(SUMIFS(DETAIL!$R$2:$R$137,DETAIL!$S$2:$S$137,$B62,DETAIL!$F$2:$F$137,MONTH(DATE(YEAR(SUMMARY!$C$6),MONTH(SUMMARY!$C$6)+3,1)))/SUMIFS(DETAIL!$M$2:$M$137,DETAIL!$S$2:$S$137,$B62,DETAIL!$F$2:$F$137,MONTH(DATE(YEAR(SUMMARY!$C$6),MONTH(SUMMARY!$C$6)+3,1))),"-")</f>
        <v>1.36</v>
      </c>
    </row>
    <row r="63" spans="1:19" x14ac:dyDescent="0.2">
      <c r="A63" s="5">
        <v>7</v>
      </c>
      <c r="B63" s="6" t="str">
        <f t="shared" si="11"/>
        <v>PGS FINANCIAL ANALYSIS OFFICER</v>
      </c>
      <c r="C63" s="7">
        <f>COUNTIFS(DETAIL!$S$2:$S$137,$B63,DETAIL!$F$2:$F$137,MONTH(DATE(YEAR(SUMMARY!$C$6),MONTH(SUMMARY!$C$6)+0,1)),DETAIL!$I$2:$I$137,"&gt;0")</f>
        <v>1</v>
      </c>
      <c r="D63" s="7">
        <f>COUNTIFS(DETAIL!$S$2:$S$137,$B63,DETAIL!$F$2:$F$137,MONTH(DATE(YEAR(SUMMARY!$C$6),MONTH(SUMMARY!$C$6)+1,1)),DETAIL!$I$2:$I$137,"&gt;0")</f>
        <v>1</v>
      </c>
      <c r="E63" s="7">
        <f>COUNTIFS(DETAIL!$S$2:$S$137,$B63,DETAIL!$F$2:$F$137,MONTH(DATE(YEAR(SUMMARY!$C$6),MONTH(SUMMARY!$C$6)+2,1)),DETAIL!$I$2:$I$137,"&gt;0")</f>
        <v>1</v>
      </c>
      <c r="F63" s="7">
        <f>COUNTIFS(DETAIL!$S$2:$S$137,$B63,DETAIL!$F$2:$F$137,MONTH(DATE(YEAR(SUMMARY!$C$6),MONTH(SUMMARY!$C$6)+3,1)),DETAIL!$I$2:$I$137,"&gt;0")</f>
        <v>1</v>
      </c>
      <c r="G63" s="9">
        <f>IFERROR(SUMIFS(DETAIL!$I$2:$I$137,DETAIL!$S$2:$S$137,$B63,DETAIL!$F$2:$F$137,MONTH(DATE(YEAR(SUMMARY!$C$6),MONTH(SUMMARY!$C$6)+0,1)))/COUNTIFS(KALENDER!$D$3:$D$132,"Hari Kerja",KALENDER!$C$3:$C$132,MONTH(DATE(YEAR(SUMMARY!$C$6),MONTH(SUMMARY!$C$6)+0,1))),0)</f>
        <v>1</v>
      </c>
      <c r="H63" s="9">
        <f>IFERROR(SUMIFS(DETAIL!$I$2:$I$137,DETAIL!$S$2:$S$137,$B63,DETAIL!$F$2:$F$137,MONTH(DATE(YEAR(SUMMARY!$C$6),MONTH(SUMMARY!$C$6)+1,1)))/COUNTIFS(KALENDER!$D$3:$D$132,"Hari Kerja",KALENDER!$C$3:$C$132,MONTH(DATE(YEAR(SUMMARY!$C$6),MONTH(SUMMARY!$C$6)+1,1))),0)</f>
        <v>1</v>
      </c>
      <c r="I63" s="9">
        <f>IFERROR(SUMIFS(DETAIL!$I$2:$I$137,DETAIL!$S$2:$S$137,$B63,DETAIL!$F$2:$F$137,MONTH(DATE(YEAR(SUMMARY!$C$6),MONTH(SUMMARY!$C$6)+2,1)))/COUNTIFS(KALENDER!$D$3:$D$132,"Hari Kerja",KALENDER!$C$3:$C$132,MONTH(DATE(YEAR(SUMMARY!$C$6),MONTH(SUMMARY!$C$6)+2,1))),0)</f>
        <v>1</v>
      </c>
      <c r="J63" s="9">
        <f>IFERROR(SUMIFS(DETAIL!$I$2:$I$137,DETAIL!$S$2:$S$137,$B63,DETAIL!$F$2:$F$137,MONTH(DATE(YEAR(SUMMARY!$C$6),MONTH(SUMMARY!$C$6)+3,1)))/COUNTIFS(KALENDER!$D$3:$D$132,"Hari Kerja",KALENDER!$C$3:$C$132,MONTH(DATE(YEAR(SUMMARY!$C$6),MONTH(SUMMARY!$C$6)+3,1))),0)</f>
        <v>1</v>
      </c>
      <c r="K63" s="40">
        <f>IFERROR(SUMIFS(DETAIL!$R$2:$R$137,DETAIL!$S$2:$S$137,$B63,DETAIL!$F$2:$F$137,MONTH(DATE(YEAR(SUMMARY!$C$6),MONTH(SUMMARY!$C$6)+0,1)))/SUMIFS(DETAIL!$M$2:$M$137,DETAIL!$S$2:$S$137,$B63,DETAIL!$F$2:$F$137,MONTH(DATE(YEAR(SUMMARY!$C$6),MONTH(SUMMARY!$C$6)+0,1))),"-")</f>
        <v>2.6</v>
      </c>
      <c r="L63" s="40">
        <f>IFERROR(SUMIFS(DETAIL!$R$2:$R$137,DETAIL!$S$2:$S$137,$B63,DETAIL!$F$2:$F$137,MONTH(DATE(YEAR(SUMMARY!$C$6),MONTH(SUMMARY!$C$6)+1,1)))/SUMIFS(DETAIL!$M$2:$M$137,DETAIL!$S$2:$S$137,$B63,DETAIL!$F$2:$F$137,MONTH(DATE(YEAR(SUMMARY!$C$6),MONTH(SUMMARY!$C$6)+1,1))),"-")</f>
        <v>3.7058823529411766</v>
      </c>
      <c r="M63" s="40">
        <f>IFERROR(SUMIFS(DETAIL!$R$2:$R$137,DETAIL!$S$2:$S$137,$B63,DETAIL!$F$2:$F$137,MONTH(DATE(YEAR(SUMMARY!$C$6),MONTH(SUMMARY!$C$6)+2,1)))/SUMIFS(DETAIL!$M$2:$M$137,DETAIL!$S$2:$S$137,$B63,DETAIL!$F$2:$F$137,MONTH(DATE(YEAR(SUMMARY!$C$6),MONTH(SUMMARY!$C$6)+2,1))),"-")</f>
        <v>3.263157894736842</v>
      </c>
      <c r="N63" s="40">
        <f>IFERROR(SUMIFS(DETAIL!$R$2:$R$137,DETAIL!$S$2:$S$137,$B63,DETAIL!$F$2:$F$137,MONTH(DATE(YEAR(SUMMARY!$C$6),MONTH(SUMMARY!$C$6)+3,1)))/SUMIFS(DETAIL!$M$2:$M$137,DETAIL!$S$2:$S$137,$B63,DETAIL!$F$2:$F$137,MONTH(DATE(YEAR(SUMMARY!$C$6),MONTH(SUMMARY!$C$6)+3,1))),"-")</f>
        <v>3.2272727272727271</v>
      </c>
    </row>
    <row r="64" spans="1:19" x14ac:dyDescent="0.2">
      <c r="A64" s="5">
        <v>8</v>
      </c>
      <c r="B64" s="6" t="str">
        <f t="shared" si="11"/>
        <v>PGS MANAGER OF LAMONGAN BRANCH</v>
      </c>
      <c r="C64" s="7">
        <f>COUNTIFS(DETAIL!$S$2:$S$137,$B64,DETAIL!$F$2:$F$137,MONTH(DATE(YEAR(SUMMARY!$C$6),MONTH(SUMMARY!$C$6)+0,1)),DETAIL!$I$2:$I$137,"&gt;0")</f>
        <v>0</v>
      </c>
      <c r="D64" s="7">
        <f>COUNTIFS(DETAIL!$S$2:$S$137,$B64,DETAIL!$F$2:$F$137,MONTH(DATE(YEAR(SUMMARY!$C$6),MONTH(SUMMARY!$C$6)+1,1)),DETAIL!$I$2:$I$137,"&gt;0")</f>
        <v>0</v>
      </c>
      <c r="E64" s="7">
        <f>COUNTIFS(DETAIL!$S$2:$S$137,$B64,DETAIL!$F$2:$F$137,MONTH(DATE(YEAR(SUMMARY!$C$6),MONTH(SUMMARY!$C$6)+2,1)),DETAIL!$I$2:$I$137,"&gt;0")</f>
        <v>0</v>
      </c>
      <c r="F64" s="7">
        <f>COUNTIFS(DETAIL!$S$2:$S$137,$B64,DETAIL!$F$2:$F$137,MONTH(DATE(YEAR(SUMMARY!$C$6),MONTH(SUMMARY!$C$6)+3,1)),DETAIL!$I$2:$I$137,"&gt;0")</f>
        <v>1</v>
      </c>
      <c r="G64" s="9">
        <f>IFERROR(SUMIFS(DETAIL!$I$2:$I$137,DETAIL!$S$2:$S$137,$B64,DETAIL!$F$2:$F$137,MONTH(DATE(YEAR(SUMMARY!$C$6),MONTH(SUMMARY!$C$6)+0,1)))/COUNTIFS(KALENDER!$D$3:$D$132,"Hari Kerja",KALENDER!$C$3:$C$132,MONTH(DATE(YEAR(SUMMARY!$C$6),MONTH(SUMMARY!$C$6)+0,1))),0)</f>
        <v>0</v>
      </c>
      <c r="H64" s="9">
        <f>IFERROR(SUMIFS(DETAIL!$I$2:$I$137,DETAIL!$S$2:$S$137,$B64,DETAIL!$F$2:$F$137,MONTH(DATE(YEAR(SUMMARY!$C$6),MONTH(SUMMARY!$C$6)+1,1)))/COUNTIFS(KALENDER!$D$3:$D$132,"Hari Kerja",KALENDER!$C$3:$C$132,MONTH(DATE(YEAR(SUMMARY!$C$6),MONTH(SUMMARY!$C$6)+1,1))),0)</f>
        <v>0</v>
      </c>
      <c r="I64" s="9">
        <f>IFERROR(SUMIFS(DETAIL!$I$2:$I$137,DETAIL!$S$2:$S$137,$B64,DETAIL!$F$2:$F$137,MONTH(DATE(YEAR(SUMMARY!$C$6),MONTH(SUMMARY!$C$6)+2,1)))/COUNTIFS(KALENDER!$D$3:$D$132,"Hari Kerja",KALENDER!$C$3:$C$132,MONTH(DATE(YEAR(SUMMARY!$C$6),MONTH(SUMMARY!$C$6)+2,1))),0)</f>
        <v>0</v>
      </c>
      <c r="J64" s="9">
        <f>IFERROR(SUMIFS(DETAIL!$I$2:$I$137,DETAIL!$S$2:$S$137,$B64,DETAIL!$F$2:$F$137,MONTH(DATE(YEAR(SUMMARY!$C$6),MONTH(SUMMARY!$C$6)+3,1)))/COUNTIFS(KALENDER!$D$3:$D$132,"Hari Kerja",KALENDER!$C$3:$C$132,MONTH(DATE(YEAR(SUMMARY!$C$6),MONTH(SUMMARY!$C$6)+3,1))),0)</f>
        <v>0.90909090909090906</v>
      </c>
      <c r="K64" s="40" t="str">
        <f>IFERROR(SUMIFS(DETAIL!$R$2:$R$137,DETAIL!$S$2:$S$137,$B64,DETAIL!$F$2:$F$137,MONTH(DATE(YEAR(SUMMARY!$C$6),MONTH(SUMMARY!$C$6)+0,1)))/SUMIFS(DETAIL!$M$2:$M$137,DETAIL!$S$2:$S$137,$B64,DETAIL!$F$2:$F$137,MONTH(DATE(YEAR(SUMMARY!$C$6),MONTH(SUMMARY!$C$6)+0,1))),"-")</f>
        <v>-</v>
      </c>
      <c r="L64" s="40" t="str">
        <f>IFERROR(SUMIFS(DETAIL!$R$2:$R$137,DETAIL!$S$2:$S$137,$B64,DETAIL!$F$2:$F$137,MONTH(DATE(YEAR(SUMMARY!$C$6),MONTH(SUMMARY!$C$6)+1,1)))/SUMIFS(DETAIL!$M$2:$M$137,DETAIL!$S$2:$S$137,$B64,DETAIL!$F$2:$F$137,MONTH(DATE(YEAR(SUMMARY!$C$6),MONTH(SUMMARY!$C$6)+1,1))),"-")</f>
        <v>-</v>
      </c>
      <c r="M64" s="40" t="str">
        <f>IFERROR(SUMIFS(DETAIL!$R$2:$R$137,DETAIL!$S$2:$S$137,$B64,DETAIL!$F$2:$F$137,MONTH(DATE(YEAR(SUMMARY!$C$6),MONTH(SUMMARY!$C$6)+2,1)))/SUMIFS(DETAIL!$M$2:$M$137,DETAIL!$S$2:$S$137,$B64,DETAIL!$F$2:$F$137,MONTH(DATE(YEAR(SUMMARY!$C$6),MONTH(SUMMARY!$C$6)+2,1))),"-")</f>
        <v>-</v>
      </c>
      <c r="N64" s="40">
        <f>IFERROR(SUMIFS(DETAIL!$R$2:$R$137,DETAIL!$S$2:$S$137,$B64,DETAIL!$F$2:$F$137,MONTH(DATE(YEAR(SUMMARY!$C$6),MONTH(SUMMARY!$C$6)+3,1)))/SUMIFS(DETAIL!$M$2:$M$137,DETAIL!$S$2:$S$137,$B64,DETAIL!$F$2:$F$137,MONTH(DATE(YEAR(SUMMARY!$C$6),MONTH(SUMMARY!$C$6)+3,1))),"-")</f>
        <v>0</v>
      </c>
    </row>
    <row r="65" spans="1:33" x14ac:dyDescent="0.2">
      <c r="A65" s="5">
        <v>9</v>
      </c>
      <c r="B65" s="6" t="str">
        <f t="shared" si="11"/>
        <v>PGS SM OF DIGITAL BUSSINES</v>
      </c>
      <c r="C65" s="7">
        <f>COUNTIFS(DETAIL!$S$2:$S$137,$B65,DETAIL!$F$2:$F$137,MONTH(DATE(YEAR(SUMMARY!$C$6),MONTH(SUMMARY!$C$6)+0,1)),DETAIL!$I$2:$I$137,"&gt;0")</f>
        <v>5</v>
      </c>
      <c r="D65" s="7">
        <f>COUNTIFS(DETAIL!$S$2:$S$137,$B65,DETAIL!$F$2:$F$137,MONTH(DATE(YEAR(SUMMARY!$C$6),MONTH(SUMMARY!$C$6)+1,1)),DETAIL!$I$2:$I$137,"&gt;0")</f>
        <v>5</v>
      </c>
      <c r="E65" s="7">
        <f>COUNTIFS(DETAIL!$S$2:$S$137,$B65,DETAIL!$F$2:$F$137,MONTH(DATE(YEAR(SUMMARY!$C$6),MONTH(SUMMARY!$C$6)+2,1)),DETAIL!$I$2:$I$137,"&gt;0")</f>
        <v>8</v>
      </c>
      <c r="F65" s="7">
        <f>COUNTIFS(DETAIL!$S$2:$S$137,$B65,DETAIL!$F$2:$F$137,MONTH(DATE(YEAR(SUMMARY!$C$6),MONTH(SUMMARY!$C$6)+3,1)),DETAIL!$I$2:$I$137,"&gt;0")</f>
        <v>8</v>
      </c>
      <c r="G65" s="9">
        <f>IFERROR(SUMIFS(DETAIL!$I$2:$I$137,DETAIL!$S$2:$S$137,$B65,DETAIL!$F$2:$F$137,MONTH(DATE(YEAR(SUMMARY!$C$6),MONTH(SUMMARY!$C$6)+0,1)))/COUNTIFS(KALENDER!$D$3:$D$132,"Hari Kerja",KALENDER!$C$3:$C$132,MONTH(DATE(YEAR(SUMMARY!$C$6),MONTH(SUMMARY!$C$6)+0,1))),0)</f>
        <v>5</v>
      </c>
      <c r="H65" s="9">
        <f>IFERROR(SUMIFS(DETAIL!$I$2:$I$137,DETAIL!$S$2:$S$137,$B65,DETAIL!$F$2:$F$137,MONTH(DATE(YEAR(SUMMARY!$C$6),MONTH(SUMMARY!$C$6)+1,1)))/COUNTIFS(KALENDER!$D$3:$D$132,"Hari Kerja",KALENDER!$C$3:$C$132,MONTH(DATE(YEAR(SUMMARY!$C$6),MONTH(SUMMARY!$C$6)+1,1))),0)</f>
        <v>5</v>
      </c>
      <c r="I65" s="9">
        <f>IFERROR(SUMIFS(DETAIL!$I$2:$I$137,DETAIL!$S$2:$S$137,$B65,DETAIL!$F$2:$F$137,MONTH(DATE(YEAR(SUMMARY!$C$6),MONTH(SUMMARY!$C$6)+2,1)))/COUNTIFS(KALENDER!$D$3:$D$132,"Hari Kerja",KALENDER!$C$3:$C$132,MONTH(DATE(YEAR(SUMMARY!$C$6),MONTH(SUMMARY!$C$6)+2,1))),0)</f>
        <v>7.2105263157894735</v>
      </c>
      <c r="J65" s="9">
        <f>IFERROR(SUMIFS(DETAIL!$I$2:$I$137,DETAIL!$S$2:$S$137,$B65,DETAIL!$F$2:$F$137,MONTH(DATE(YEAR(SUMMARY!$C$6),MONTH(SUMMARY!$C$6)+3,1)))/COUNTIFS(KALENDER!$D$3:$D$132,"Hari Kerja",KALENDER!$C$3:$C$132,MONTH(DATE(YEAR(SUMMARY!$C$6),MONTH(SUMMARY!$C$6)+3,1))),0)</f>
        <v>8</v>
      </c>
      <c r="K65" s="40">
        <f>IFERROR(SUMIFS(DETAIL!$R$2:$R$137,DETAIL!$S$2:$S$137,$B65,DETAIL!$F$2:$F$137,MONTH(DATE(YEAR(SUMMARY!$C$6),MONTH(SUMMARY!$C$6)+0,1)))/SUMIFS(DETAIL!$M$2:$M$137,DETAIL!$S$2:$S$137,$B65,DETAIL!$F$2:$F$137,MONTH(DATE(YEAR(SUMMARY!$C$6),MONTH(SUMMARY!$C$6)+0,1))),"-")</f>
        <v>1.5054945054945055</v>
      </c>
      <c r="L65" s="40">
        <f>IFERROR(SUMIFS(DETAIL!$R$2:$R$137,DETAIL!$S$2:$S$137,$B65,DETAIL!$F$2:$F$137,MONTH(DATE(YEAR(SUMMARY!$C$6),MONTH(SUMMARY!$C$6)+1,1)))/SUMIFS(DETAIL!$M$2:$M$137,DETAIL!$S$2:$S$137,$B65,DETAIL!$F$2:$F$137,MONTH(DATE(YEAR(SUMMARY!$C$6),MONTH(SUMMARY!$C$6)+1,1))),"-")</f>
        <v>1.865979381443299</v>
      </c>
      <c r="M65" s="40">
        <f>IFERROR(SUMIFS(DETAIL!$R$2:$R$137,DETAIL!$S$2:$S$137,$B65,DETAIL!$F$2:$F$137,MONTH(DATE(YEAR(SUMMARY!$C$6),MONTH(SUMMARY!$C$6)+2,1)))/SUMIFS(DETAIL!$M$2:$M$137,DETAIL!$S$2:$S$137,$B65,DETAIL!$F$2:$F$137,MONTH(DATE(YEAR(SUMMARY!$C$6),MONTH(SUMMARY!$C$6)+2,1))),"-")</f>
        <v>1.8432835820895523</v>
      </c>
      <c r="N65" s="40">
        <f>IFERROR(SUMIFS(DETAIL!$R$2:$R$137,DETAIL!$S$2:$S$137,$B65,DETAIL!$F$2:$F$137,MONTH(DATE(YEAR(SUMMARY!$C$6),MONTH(SUMMARY!$C$6)+3,1)))/SUMIFS(DETAIL!$M$2:$M$137,DETAIL!$S$2:$S$137,$B65,DETAIL!$F$2:$F$137,MONTH(DATE(YEAR(SUMMARY!$C$6),MONTH(SUMMARY!$C$6)+3,1))),"-")</f>
        <v>1.9473684210526316</v>
      </c>
    </row>
    <row r="66" spans="1:33" x14ac:dyDescent="0.2">
      <c r="A66" s="5">
        <v>10</v>
      </c>
      <c r="B66" s="6" t="str">
        <f t="shared" si="11"/>
        <v>PGS TREASURY (SID) OFFICER</v>
      </c>
      <c r="C66" s="7">
        <f>COUNTIFS(DETAIL!$S$2:$S$137,$B66,DETAIL!$F$2:$F$137,MONTH(DATE(YEAR(SUMMARY!$C$6),MONTH(SUMMARY!$C$6)+0,1)),DETAIL!$I$2:$I$137,"&gt;0")</f>
        <v>1</v>
      </c>
      <c r="D66" s="7">
        <f>COUNTIFS(DETAIL!$S$2:$S$137,$B66,DETAIL!$F$2:$F$137,MONTH(DATE(YEAR(SUMMARY!$C$6),MONTH(SUMMARY!$C$6)+1,1)),DETAIL!$I$2:$I$137,"&gt;0")</f>
        <v>1</v>
      </c>
      <c r="E66" s="7">
        <f>COUNTIFS(DETAIL!$S$2:$S$137,$B66,DETAIL!$F$2:$F$137,MONTH(DATE(YEAR(SUMMARY!$C$6),MONTH(SUMMARY!$C$6)+2,1)),DETAIL!$I$2:$I$137,"&gt;0")</f>
        <v>1</v>
      </c>
      <c r="F66" s="7">
        <f>COUNTIFS(DETAIL!$S$2:$S$137,$B66,DETAIL!$F$2:$F$137,MONTH(DATE(YEAR(SUMMARY!$C$6),MONTH(SUMMARY!$C$6)+3,1)),DETAIL!$I$2:$I$137,"&gt;0")</f>
        <v>1</v>
      </c>
      <c r="G66" s="9">
        <f>IFERROR(SUMIFS(DETAIL!$I$2:$I$137,DETAIL!$S$2:$S$137,$B66,DETAIL!$F$2:$F$137,MONTH(DATE(YEAR(SUMMARY!$C$6),MONTH(SUMMARY!$C$6)+0,1)))/COUNTIFS(KALENDER!$D$3:$D$132,"Hari Kerja",KALENDER!$C$3:$C$132,MONTH(DATE(YEAR(SUMMARY!$C$6),MONTH(SUMMARY!$C$6)+0,1))),0)</f>
        <v>1</v>
      </c>
      <c r="H66" s="9">
        <f>IFERROR(SUMIFS(DETAIL!$I$2:$I$137,DETAIL!$S$2:$S$137,$B66,DETAIL!$F$2:$F$137,MONTH(DATE(YEAR(SUMMARY!$C$6),MONTH(SUMMARY!$C$6)+1,1)))/COUNTIFS(KALENDER!$D$3:$D$132,"Hari Kerja",KALENDER!$C$3:$C$132,MONTH(DATE(YEAR(SUMMARY!$C$6),MONTH(SUMMARY!$C$6)+1,1))),0)</f>
        <v>0.44444444444444442</v>
      </c>
      <c r="I66" s="9">
        <f>IFERROR(SUMIFS(DETAIL!$I$2:$I$137,DETAIL!$S$2:$S$137,$B66,DETAIL!$F$2:$F$137,MONTH(DATE(YEAR(SUMMARY!$C$6),MONTH(SUMMARY!$C$6)+2,1)))/COUNTIFS(KALENDER!$D$3:$D$132,"Hari Kerja",KALENDER!$C$3:$C$132,MONTH(DATE(YEAR(SUMMARY!$C$6),MONTH(SUMMARY!$C$6)+2,1))),0)</f>
        <v>1</v>
      </c>
      <c r="J66" s="9">
        <f>IFERROR(SUMIFS(DETAIL!$I$2:$I$137,DETAIL!$S$2:$S$137,$B66,DETAIL!$F$2:$F$137,MONTH(DATE(YEAR(SUMMARY!$C$6),MONTH(SUMMARY!$C$6)+3,1)))/COUNTIFS(KALENDER!$D$3:$D$132,"Hari Kerja",KALENDER!$C$3:$C$132,MONTH(DATE(YEAR(SUMMARY!$C$6),MONTH(SUMMARY!$C$6)+3,1))),0)</f>
        <v>1</v>
      </c>
      <c r="K66" s="40">
        <f>IFERROR(SUMIFS(DETAIL!$R$2:$R$137,DETAIL!$S$2:$S$137,$B66,DETAIL!$F$2:$F$137,MONTH(DATE(YEAR(SUMMARY!$C$6),MONTH(SUMMARY!$C$6)+0,1)))/SUMIFS(DETAIL!$M$2:$M$137,DETAIL!$S$2:$S$137,$B66,DETAIL!$F$2:$F$137,MONTH(DATE(YEAR(SUMMARY!$C$6),MONTH(SUMMARY!$C$6)+0,1))),"-")</f>
        <v>1.0625</v>
      </c>
      <c r="L66" s="40">
        <f>IFERROR(SUMIFS(DETAIL!$R$2:$R$137,DETAIL!$S$2:$S$137,$B66,DETAIL!$F$2:$F$137,MONTH(DATE(YEAR(SUMMARY!$C$6),MONTH(SUMMARY!$C$6)+1,1)))/SUMIFS(DETAIL!$M$2:$M$137,DETAIL!$S$2:$S$137,$B66,DETAIL!$F$2:$F$137,MONTH(DATE(YEAR(SUMMARY!$C$6),MONTH(SUMMARY!$C$6)+1,1))),"-")</f>
        <v>1.1428571428571428</v>
      </c>
      <c r="M66" s="40">
        <f>IFERROR(SUMIFS(DETAIL!$R$2:$R$137,DETAIL!$S$2:$S$137,$B66,DETAIL!$F$2:$F$137,MONTH(DATE(YEAR(SUMMARY!$C$6),MONTH(SUMMARY!$C$6)+2,1)))/SUMIFS(DETAIL!$M$2:$M$137,DETAIL!$S$2:$S$137,$B66,DETAIL!$F$2:$F$137,MONTH(DATE(YEAR(SUMMARY!$C$6),MONTH(SUMMARY!$C$6)+2,1))),"-")</f>
        <v>1</v>
      </c>
      <c r="N66" s="40">
        <f>IFERROR(SUMIFS(DETAIL!$R$2:$R$137,DETAIL!$S$2:$S$137,$B66,DETAIL!$F$2:$F$137,MONTH(DATE(YEAR(SUMMARY!$C$6),MONTH(SUMMARY!$C$6)+3,1)))/SUMIFS(DETAIL!$M$2:$M$137,DETAIL!$S$2:$S$137,$B66,DETAIL!$F$2:$F$137,MONTH(DATE(YEAR(SUMMARY!$C$6),MONTH(SUMMARY!$C$6)+3,1))),"-")</f>
        <v>1</v>
      </c>
    </row>
    <row r="67" spans="1:33" x14ac:dyDescent="0.2">
      <c r="A67" s="5">
        <v>11</v>
      </c>
      <c r="B67" s="6" t="str">
        <f t="shared" si="11"/>
        <v>PJ GM OF MARKETING (SID)</v>
      </c>
      <c r="C67" s="7">
        <f>COUNTIFS(DETAIL!$S$2:$S$137,$B67,DETAIL!$F$2:$F$137,MONTH(DATE(YEAR(SUMMARY!$C$6),MONTH(SUMMARY!$C$6)+0,1)),DETAIL!$I$2:$I$137,"&gt;0")</f>
        <v>1</v>
      </c>
      <c r="D67" s="7">
        <f>COUNTIFS(DETAIL!$S$2:$S$137,$B67,DETAIL!$F$2:$F$137,MONTH(DATE(YEAR(SUMMARY!$C$6),MONTH(SUMMARY!$C$6)+1,1)),DETAIL!$I$2:$I$137,"&gt;0")</f>
        <v>1</v>
      </c>
      <c r="E67" s="7">
        <f>COUNTIFS(DETAIL!$S$2:$S$137,$B67,DETAIL!$F$2:$F$137,MONTH(DATE(YEAR(SUMMARY!$C$6),MONTH(SUMMARY!$C$6)+2,1)),DETAIL!$I$2:$I$137,"&gt;0")</f>
        <v>1</v>
      </c>
      <c r="F67" s="7">
        <f>COUNTIFS(DETAIL!$S$2:$S$137,$B67,DETAIL!$F$2:$F$137,MONTH(DATE(YEAR(SUMMARY!$C$6),MONTH(SUMMARY!$C$6)+3,1)),DETAIL!$I$2:$I$137,"&gt;0")</f>
        <v>1</v>
      </c>
      <c r="G67" s="9">
        <f>IFERROR(SUMIFS(DETAIL!$I$2:$I$137,DETAIL!$S$2:$S$137,$B67,DETAIL!$F$2:$F$137,MONTH(DATE(YEAR(SUMMARY!$C$6),MONTH(SUMMARY!$C$6)+0,1)))/COUNTIFS(KALENDER!$D$3:$D$132,"Hari Kerja",KALENDER!$C$3:$C$132,MONTH(DATE(YEAR(SUMMARY!$C$6),MONTH(SUMMARY!$C$6)+0,1))),0)</f>
        <v>1</v>
      </c>
      <c r="H67" s="9">
        <f>IFERROR(SUMIFS(DETAIL!$I$2:$I$137,DETAIL!$S$2:$S$137,$B67,DETAIL!$F$2:$F$137,MONTH(DATE(YEAR(SUMMARY!$C$6),MONTH(SUMMARY!$C$6)+1,1)))/COUNTIFS(KALENDER!$D$3:$D$132,"Hari Kerja",KALENDER!$C$3:$C$132,MONTH(DATE(YEAR(SUMMARY!$C$6),MONTH(SUMMARY!$C$6)+1,1))),0)</f>
        <v>1</v>
      </c>
      <c r="I67" s="9">
        <f>IFERROR(SUMIFS(DETAIL!$I$2:$I$137,DETAIL!$S$2:$S$137,$B67,DETAIL!$F$2:$F$137,MONTH(DATE(YEAR(SUMMARY!$C$6),MONTH(SUMMARY!$C$6)+2,1)))/COUNTIFS(KALENDER!$D$3:$D$132,"Hari Kerja",KALENDER!$C$3:$C$132,MONTH(DATE(YEAR(SUMMARY!$C$6),MONTH(SUMMARY!$C$6)+2,1))),0)</f>
        <v>0.94736842105263153</v>
      </c>
      <c r="J67" s="9">
        <f>IFERROR(SUMIFS(DETAIL!$I$2:$I$137,DETAIL!$S$2:$S$137,$B67,DETAIL!$F$2:$F$137,MONTH(DATE(YEAR(SUMMARY!$C$6),MONTH(SUMMARY!$C$6)+3,1)))/COUNTIFS(KALENDER!$D$3:$D$132,"Hari Kerja",KALENDER!$C$3:$C$132,MONTH(DATE(YEAR(SUMMARY!$C$6),MONTH(SUMMARY!$C$6)+3,1))),0)</f>
        <v>0.31818181818181818</v>
      </c>
      <c r="K67" s="40">
        <f>IFERROR(SUMIFS(DETAIL!$R$2:$R$137,DETAIL!$S$2:$S$137,$B67,DETAIL!$F$2:$F$137,MONTH(DATE(YEAR(SUMMARY!$C$6),MONTH(SUMMARY!$C$6)+0,1)))/SUMIFS(DETAIL!$M$2:$M$137,DETAIL!$S$2:$S$137,$B67,DETAIL!$F$2:$F$137,MONTH(DATE(YEAR(SUMMARY!$C$6),MONTH(SUMMARY!$C$6)+0,1))),"-")</f>
        <v>0.9375</v>
      </c>
      <c r="L67" s="40">
        <f>IFERROR(SUMIFS(DETAIL!$R$2:$R$137,DETAIL!$S$2:$S$137,$B67,DETAIL!$F$2:$F$137,MONTH(DATE(YEAR(SUMMARY!$C$6),MONTH(SUMMARY!$C$6)+1,1)))/SUMIFS(DETAIL!$M$2:$M$137,DETAIL!$S$2:$S$137,$B67,DETAIL!$F$2:$F$137,MONTH(DATE(YEAR(SUMMARY!$C$6),MONTH(SUMMARY!$C$6)+1,1))),"-")</f>
        <v>2.1818181818181817</v>
      </c>
      <c r="M67" s="40">
        <f>IFERROR(SUMIFS(DETAIL!$R$2:$R$137,DETAIL!$S$2:$S$137,$B67,DETAIL!$F$2:$F$137,MONTH(DATE(YEAR(SUMMARY!$C$6),MONTH(SUMMARY!$C$6)+2,1)))/SUMIFS(DETAIL!$M$2:$M$137,DETAIL!$S$2:$S$137,$B67,DETAIL!$F$2:$F$137,MONTH(DATE(YEAR(SUMMARY!$C$6),MONTH(SUMMARY!$C$6)+2,1))),"-")</f>
        <v>1.75</v>
      </c>
      <c r="N67" s="40">
        <f>IFERROR(SUMIFS(DETAIL!$R$2:$R$137,DETAIL!$S$2:$S$137,$B67,DETAIL!$F$2:$F$137,MONTH(DATE(YEAR(SUMMARY!$C$6),MONTH(SUMMARY!$C$6)+3,1)))/SUMIFS(DETAIL!$M$2:$M$137,DETAIL!$S$2:$S$137,$B67,DETAIL!$F$2:$F$137,MONTH(DATE(YEAR(SUMMARY!$C$6),MONTH(SUMMARY!$C$6)+3,1))),"-")</f>
        <v>2.1666666666666665</v>
      </c>
    </row>
    <row r="68" spans="1:33" x14ac:dyDescent="0.2">
      <c r="A68" s="5">
        <v>12</v>
      </c>
      <c r="B68" s="6" t="str">
        <f t="shared" si="11"/>
        <v>PKSDM</v>
      </c>
      <c r="C68" s="7">
        <f>COUNTIFS(DETAIL!$S$2:$S$137,$B68,DETAIL!$F$2:$F$137,MONTH(DATE(YEAR(SUMMARY!$C$6),MONTH(SUMMARY!$C$6)+0,1)),DETAIL!$I$2:$I$137,"&gt;0")</f>
        <v>1</v>
      </c>
      <c r="D68" s="7">
        <f>COUNTIFS(DETAIL!$S$2:$S$137,$B68,DETAIL!$F$2:$F$137,MONTH(DATE(YEAR(SUMMARY!$C$6),MONTH(SUMMARY!$C$6)+1,1)),DETAIL!$I$2:$I$137,"&gt;0")</f>
        <v>1</v>
      </c>
      <c r="E68" s="7">
        <f>COUNTIFS(DETAIL!$S$2:$S$137,$B68,DETAIL!$F$2:$F$137,MONTH(DATE(YEAR(SUMMARY!$C$6),MONTH(SUMMARY!$C$6)+2,1)),DETAIL!$I$2:$I$137,"&gt;0")</f>
        <v>1</v>
      </c>
      <c r="F68" s="7">
        <f>COUNTIFS(DETAIL!$S$2:$S$137,$B68,DETAIL!$F$2:$F$137,MONTH(DATE(YEAR(SUMMARY!$C$6),MONTH(SUMMARY!$C$6)+3,1)),DETAIL!$I$2:$I$137,"&gt;0")</f>
        <v>1</v>
      </c>
      <c r="G68" s="9">
        <f>IFERROR(SUMIFS(DETAIL!$I$2:$I$137,DETAIL!$S$2:$S$137,$B68,DETAIL!$F$2:$F$137,MONTH(DATE(YEAR(SUMMARY!$C$6),MONTH(SUMMARY!$C$6)+0,1)))/COUNTIFS(KALENDER!$D$3:$D$132,"Hari Kerja",KALENDER!$C$3:$C$132,MONTH(DATE(YEAR(SUMMARY!$C$6),MONTH(SUMMARY!$C$6)+0,1))),0)</f>
        <v>1</v>
      </c>
      <c r="H68" s="9">
        <f>IFERROR(SUMIFS(DETAIL!$I$2:$I$137,DETAIL!$S$2:$S$137,$B68,DETAIL!$F$2:$F$137,MONTH(DATE(YEAR(SUMMARY!$C$6),MONTH(SUMMARY!$C$6)+1,1)))/COUNTIFS(KALENDER!$D$3:$D$132,"Hari Kerja",KALENDER!$C$3:$C$132,MONTH(DATE(YEAR(SUMMARY!$C$6),MONTH(SUMMARY!$C$6)+1,1))),0)</f>
        <v>1</v>
      </c>
      <c r="I68" s="9">
        <f>IFERROR(SUMIFS(DETAIL!$I$2:$I$137,DETAIL!$S$2:$S$137,$B68,DETAIL!$F$2:$F$137,MONTH(DATE(YEAR(SUMMARY!$C$6),MONTH(SUMMARY!$C$6)+2,1)))/COUNTIFS(KALENDER!$D$3:$D$132,"Hari Kerja",KALENDER!$C$3:$C$132,MONTH(DATE(YEAR(SUMMARY!$C$6),MONTH(SUMMARY!$C$6)+2,1))),0)</f>
        <v>1</v>
      </c>
      <c r="J68" s="9">
        <f>IFERROR(SUMIFS(DETAIL!$I$2:$I$137,DETAIL!$S$2:$S$137,$B68,DETAIL!$F$2:$F$137,MONTH(DATE(YEAR(SUMMARY!$C$6),MONTH(SUMMARY!$C$6)+3,1)))/COUNTIFS(KALENDER!$D$3:$D$132,"Hari Kerja",KALENDER!$C$3:$C$132,MONTH(DATE(YEAR(SUMMARY!$C$6),MONTH(SUMMARY!$C$6)+3,1))),0)</f>
        <v>1</v>
      </c>
      <c r="K68" s="40">
        <f>IFERROR(SUMIFS(DETAIL!$R$2:$R$137,DETAIL!$S$2:$S$137,$B68,DETAIL!$F$2:$F$137,MONTH(DATE(YEAR(SUMMARY!$C$6),MONTH(SUMMARY!$C$6)+0,1)))/SUMIFS(DETAIL!$M$2:$M$137,DETAIL!$S$2:$S$137,$B68,DETAIL!$F$2:$F$137,MONTH(DATE(YEAR(SUMMARY!$C$6),MONTH(SUMMARY!$C$6)+0,1))),"-")</f>
        <v>3.4705882352941178</v>
      </c>
      <c r="L68" s="40">
        <f>IFERROR(SUMIFS(DETAIL!$R$2:$R$137,DETAIL!$S$2:$S$137,$B68,DETAIL!$F$2:$F$137,MONTH(DATE(YEAR(SUMMARY!$C$6),MONTH(SUMMARY!$C$6)+1,1)))/SUMIFS(DETAIL!$M$2:$M$137,DETAIL!$S$2:$S$137,$B68,DETAIL!$F$2:$F$137,MONTH(DATE(YEAR(SUMMARY!$C$6),MONTH(SUMMARY!$C$6)+1,1))),"-")</f>
        <v>3.85</v>
      </c>
      <c r="M68" s="40">
        <f>IFERROR(SUMIFS(DETAIL!$R$2:$R$137,DETAIL!$S$2:$S$137,$B68,DETAIL!$F$2:$F$137,MONTH(DATE(YEAR(SUMMARY!$C$6),MONTH(SUMMARY!$C$6)+2,1)))/SUMIFS(DETAIL!$M$2:$M$137,DETAIL!$S$2:$S$137,$B68,DETAIL!$F$2:$F$137,MONTH(DATE(YEAR(SUMMARY!$C$6),MONTH(SUMMARY!$C$6)+2,1))),"-")</f>
        <v>3.5</v>
      </c>
      <c r="N68" s="40">
        <f>IFERROR(SUMIFS(DETAIL!$R$2:$R$137,DETAIL!$S$2:$S$137,$B68,DETAIL!$F$2:$F$137,MONTH(DATE(YEAR(SUMMARY!$C$6),MONTH(SUMMARY!$C$6)+3,1)))/SUMIFS(DETAIL!$M$2:$M$137,DETAIL!$S$2:$S$137,$B68,DETAIL!$F$2:$F$137,MONTH(DATE(YEAR(SUMMARY!$C$6),MONTH(SUMMARY!$C$6)+3,1))),"-")</f>
        <v>2.5714285714285716</v>
      </c>
    </row>
    <row r="69" spans="1:33" x14ac:dyDescent="0.2">
      <c r="A69" s="5">
        <v>13</v>
      </c>
      <c r="B69" s="6" t="str">
        <f t="shared" si="11"/>
        <v>SM OF CEMENT PURCHASING</v>
      </c>
      <c r="C69" s="7">
        <f>COUNTIFS(DETAIL!$S$2:$S$137,$B69,DETAIL!$F$2:$F$137,MONTH(DATE(YEAR(SUMMARY!$C$6),MONTH(SUMMARY!$C$6)+0,1)),DETAIL!$I$2:$I$137,"&gt;0")</f>
        <v>0</v>
      </c>
      <c r="D69" s="7">
        <f>COUNTIFS(DETAIL!$S$2:$S$137,$B69,DETAIL!$F$2:$F$137,MONTH(DATE(YEAR(SUMMARY!$C$6),MONTH(SUMMARY!$C$6)+1,1)),DETAIL!$I$2:$I$137,"&gt;0")</f>
        <v>0</v>
      </c>
      <c r="E69" s="7">
        <f>COUNTIFS(DETAIL!$S$2:$S$137,$B69,DETAIL!$F$2:$F$137,MONTH(DATE(YEAR(SUMMARY!$C$6),MONTH(SUMMARY!$C$6)+2,1)),DETAIL!$I$2:$I$137,"&gt;0")</f>
        <v>0</v>
      </c>
      <c r="F69" s="7">
        <f>COUNTIFS(DETAIL!$S$2:$S$137,$B69,DETAIL!$F$2:$F$137,MONTH(DATE(YEAR(SUMMARY!$C$6),MONTH(SUMMARY!$C$6)+3,1)),DETAIL!$I$2:$I$137,"&gt;0")</f>
        <v>1</v>
      </c>
      <c r="G69" s="9">
        <f>IFERROR(SUMIFS(DETAIL!$I$2:$I$137,DETAIL!$S$2:$S$137,$B69,DETAIL!$F$2:$F$137,MONTH(DATE(YEAR(SUMMARY!$C$6),MONTH(SUMMARY!$C$6)+0,1)))/COUNTIFS(KALENDER!$D$3:$D$132,"Hari Kerja",KALENDER!$C$3:$C$132,MONTH(DATE(YEAR(SUMMARY!$C$6),MONTH(SUMMARY!$C$6)+0,1))),0)</f>
        <v>0</v>
      </c>
      <c r="H69" s="9">
        <f>IFERROR(SUMIFS(DETAIL!$I$2:$I$137,DETAIL!$S$2:$S$137,$B69,DETAIL!$F$2:$F$137,MONTH(DATE(YEAR(SUMMARY!$C$6),MONTH(SUMMARY!$C$6)+1,1)))/COUNTIFS(KALENDER!$D$3:$D$132,"Hari Kerja",KALENDER!$C$3:$C$132,MONTH(DATE(YEAR(SUMMARY!$C$6),MONTH(SUMMARY!$C$6)+1,1))),0)</f>
        <v>0</v>
      </c>
      <c r="I69" s="9">
        <f>IFERROR(SUMIFS(DETAIL!$I$2:$I$137,DETAIL!$S$2:$S$137,$B69,DETAIL!$F$2:$F$137,MONTH(DATE(YEAR(SUMMARY!$C$6),MONTH(SUMMARY!$C$6)+2,1)))/COUNTIFS(KALENDER!$D$3:$D$132,"Hari Kerja",KALENDER!$C$3:$C$132,MONTH(DATE(YEAR(SUMMARY!$C$6),MONTH(SUMMARY!$C$6)+2,1))),0)</f>
        <v>0</v>
      </c>
      <c r="J69" s="9">
        <f>IFERROR(SUMIFS(DETAIL!$I$2:$I$137,DETAIL!$S$2:$S$137,$B69,DETAIL!$F$2:$F$137,MONTH(DATE(YEAR(SUMMARY!$C$6),MONTH(SUMMARY!$C$6)+3,1)))/COUNTIFS(KALENDER!$D$3:$D$132,"Hari Kerja",KALENDER!$C$3:$C$132,MONTH(DATE(YEAR(SUMMARY!$C$6),MONTH(SUMMARY!$C$6)+3,1))),0)</f>
        <v>0.59090909090909094</v>
      </c>
      <c r="K69" s="40" t="str">
        <f>IFERROR(SUMIFS(DETAIL!$R$2:$R$137,DETAIL!$S$2:$S$137,$B69,DETAIL!$F$2:$F$137,MONTH(DATE(YEAR(SUMMARY!$C$6),MONTH(SUMMARY!$C$6)+0,1)))/SUMIFS(DETAIL!$M$2:$M$137,DETAIL!$S$2:$S$137,$B69,DETAIL!$F$2:$F$137,MONTH(DATE(YEAR(SUMMARY!$C$6),MONTH(SUMMARY!$C$6)+0,1))),"-")</f>
        <v>-</v>
      </c>
      <c r="L69" s="40" t="str">
        <f>IFERROR(SUMIFS(DETAIL!$R$2:$R$137,DETAIL!$S$2:$S$137,$B69,DETAIL!$F$2:$F$137,MONTH(DATE(YEAR(SUMMARY!$C$6),MONTH(SUMMARY!$C$6)+1,1)))/SUMIFS(DETAIL!$M$2:$M$137,DETAIL!$S$2:$S$137,$B69,DETAIL!$F$2:$F$137,MONTH(DATE(YEAR(SUMMARY!$C$6),MONTH(SUMMARY!$C$6)+1,1))),"-")</f>
        <v>-</v>
      </c>
      <c r="M69" s="40" t="str">
        <f>IFERROR(SUMIFS(DETAIL!$R$2:$R$137,DETAIL!$S$2:$S$137,$B69,DETAIL!$F$2:$F$137,MONTH(DATE(YEAR(SUMMARY!$C$6),MONTH(SUMMARY!$C$6)+2,1)))/SUMIFS(DETAIL!$M$2:$M$137,DETAIL!$S$2:$S$137,$B69,DETAIL!$F$2:$F$137,MONTH(DATE(YEAR(SUMMARY!$C$6),MONTH(SUMMARY!$C$6)+2,1))),"-")</f>
        <v>-</v>
      </c>
      <c r="N69" s="40">
        <f>IFERROR(SUMIFS(DETAIL!$R$2:$R$137,DETAIL!$S$2:$S$137,$B69,DETAIL!$F$2:$F$137,MONTH(DATE(YEAR(SUMMARY!$C$6),MONTH(SUMMARY!$C$6)+3,1)))/SUMIFS(DETAIL!$M$2:$M$137,DETAIL!$S$2:$S$137,$B69,DETAIL!$F$2:$F$137,MONTH(DATE(YEAR(SUMMARY!$C$6),MONTH(SUMMARY!$C$6)+3,1))),"-")</f>
        <v>0.77777777777777779</v>
      </c>
    </row>
    <row r="70" spans="1:33" x14ac:dyDescent="0.2">
      <c r="A70" s="5">
        <v>14</v>
      </c>
      <c r="B70" s="6" t="str">
        <f t="shared" si="11"/>
        <v>SM OF FINANCE (SID)</v>
      </c>
      <c r="C70" s="7">
        <f>COUNTIFS(DETAIL!$S$2:$S$137,$B70,DETAIL!$F$2:$F$137,MONTH(DATE(YEAR(SUMMARY!$C$6),MONTH(SUMMARY!$C$6)+0,1)),DETAIL!$I$2:$I$137,"&gt;0")</f>
        <v>0</v>
      </c>
      <c r="D70" s="7">
        <f>COUNTIFS(DETAIL!$S$2:$S$137,$B70,DETAIL!$F$2:$F$137,MONTH(DATE(YEAR(SUMMARY!$C$6),MONTH(SUMMARY!$C$6)+1,1)),DETAIL!$I$2:$I$137,"&gt;0")</f>
        <v>0</v>
      </c>
      <c r="E70" s="7">
        <f>COUNTIFS(DETAIL!$S$2:$S$137,$B70,DETAIL!$F$2:$F$137,MONTH(DATE(YEAR(SUMMARY!$C$6),MONTH(SUMMARY!$C$6)+2,1)),DETAIL!$I$2:$I$137,"&gt;0")</f>
        <v>2</v>
      </c>
      <c r="F70" s="7">
        <f>COUNTIFS(DETAIL!$S$2:$S$137,$B70,DETAIL!$F$2:$F$137,MONTH(DATE(YEAR(SUMMARY!$C$6),MONTH(SUMMARY!$C$6)+3,1)),DETAIL!$I$2:$I$137,"&gt;0")</f>
        <v>2</v>
      </c>
      <c r="G70" s="9">
        <f>IFERROR(SUMIFS(DETAIL!$I$2:$I$137,DETAIL!$S$2:$S$137,$B70,DETAIL!$F$2:$F$137,MONTH(DATE(YEAR(SUMMARY!$C$6),MONTH(SUMMARY!$C$6)+0,1)))/COUNTIFS(KALENDER!$D$3:$D$132,"Hari Kerja",KALENDER!$C$3:$C$132,MONTH(DATE(YEAR(SUMMARY!$C$6),MONTH(SUMMARY!$C$6)+0,1))),0)</f>
        <v>0</v>
      </c>
      <c r="H70" s="9">
        <f>IFERROR(SUMIFS(DETAIL!$I$2:$I$137,DETAIL!$S$2:$S$137,$B70,DETAIL!$F$2:$F$137,MONTH(DATE(YEAR(SUMMARY!$C$6),MONTH(SUMMARY!$C$6)+1,1)))/COUNTIFS(KALENDER!$D$3:$D$132,"Hari Kerja",KALENDER!$C$3:$C$132,MONTH(DATE(YEAR(SUMMARY!$C$6),MONTH(SUMMARY!$C$6)+1,1))),0)</f>
        <v>0</v>
      </c>
      <c r="I70" s="9">
        <f>IFERROR(SUMIFS(DETAIL!$I$2:$I$137,DETAIL!$S$2:$S$137,$B70,DETAIL!$F$2:$F$137,MONTH(DATE(YEAR(SUMMARY!$C$6),MONTH(SUMMARY!$C$6)+2,1)))/COUNTIFS(KALENDER!$D$3:$D$132,"Hari Kerja",KALENDER!$C$3:$C$132,MONTH(DATE(YEAR(SUMMARY!$C$6),MONTH(SUMMARY!$C$6)+2,1))),0)</f>
        <v>1.4736842105263157</v>
      </c>
      <c r="J70" s="9">
        <f>IFERROR(SUMIFS(DETAIL!$I$2:$I$137,DETAIL!$S$2:$S$137,$B70,DETAIL!$F$2:$F$137,MONTH(DATE(YEAR(SUMMARY!$C$6),MONTH(SUMMARY!$C$6)+3,1)))/COUNTIFS(KALENDER!$D$3:$D$132,"Hari Kerja",KALENDER!$C$3:$C$132,MONTH(DATE(YEAR(SUMMARY!$C$6),MONTH(SUMMARY!$C$6)+3,1))),0)</f>
        <v>2</v>
      </c>
      <c r="K70" s="40" t="str">
        <f>IFERROR(SUMIFS(DETAIL!$R$2:$R$137,DETAIL!$S$2:$S$137,$B70,DETAIL!$F$2:$F$137,MONTH(DATE(YEAR(SUMMARY!$C$6),MONTH(SUMMARY!$C$6)+0,1)))/SUMIFS(DETAIL!$M$2:$M$137,DETAIL!$S$2:$S$137,$B70,DETAIL!$F$2:$F$137,MONTH(DATE(YEAR(SUMMARY!$C$6),MONTH(SUMMARY!$C$6)+0,1))),"-")</f>
        <v>-</v>
      </c>
      <c r="L70" s="40" t="str">
        <f>IFERROR(SUMIFS(DETAIL!$R$2:$R$137,DETAIL!$S$2:$S$137,$B70,DETAIL!$F$2:$F$137,MONTH(DATE(YEAR(SUMMARY!$C$6),MONTH(SUMMARY!$C$6)+1,1)))/SUMIFS(DETAIL!$M$2:$M$137,DETAIL!$S$2:$S$137,$B70,DETAIL!$F$2:$F$137,MONTH(DATE(YEAR(SUMMARY!$C$6),MONTH(SUMMARY!$C$6)+1,1))),"-")</f>
        <v>-</v>
      </c>
      <c r="M70" s="40">
        <f>IFERROR(SUMIFS(DETAIL!$R$2:$R$137,DETAIL!$S$2:$S$137,$B70,DETAIL!$F$2:$F$137,MONTH(DATE(YEAR(SUMMARY!$C$6),MONTH(SUMMARY!$C$6)+2,1)))/SUMIFS(DETAIL!$M$2:$M$137,DETAIL!$S$2:$S$137,$B70,DETAIL!$F$2:$F$137,MONTH(DATE(YEAR(SUMMARY!$C$6),MONTH(SUMMARY!$C$6)+2,1))),"-")</f>
        <v>1.6071428571428572</v>
      </c>
      <c r="N70" s="40">
        <f>IFERROR(SUMIFS(DETAIL!$R$2:$R$137,DETAIL!$S$2:$S$137,$B70,DETAIL!$F$2:$F$137,MONTH(DATE(YEAR(SUMMARY!$C$6),MONTH(SUMMARY!$C$6)+3,1)))/SUMIFS(DETAIL!$M$2:$M$137,DETAIL!$S$2:$S$137,$B70,DETAIL!$F$2:$F$137,MONTH(DATE(YEAR(SUMMARY!$C$6),MONTH(SUMMARY!$C$6)+3,1))),"-")</f>
        <v>2.15</v>
      </c>
    </row>
    <row r="71" spans="1:33" x14ac:dyDescent="0.2">
      <c r="A71" s="5">
        <v>15</v>
      </c>
      <c r="B71" s="6" t="str">
        <f t="shared" si="11"/>
        <v>SM OF LEGAL</v>
      </c>
      <c r="C71" s="7">
        <f>COUNTIFS(DETAIL!$S$2:$S$137,$B71,DETAIL!$F$2:$F$137,MONTH(DATE(YEAR(SUMMARY!$C$6),MONTH(SUMMARY!$C$6)+0,1)),DETAIL!$I$2:$I$137,"&gt;0")</f>
        <v>1</v>
      </c>
      <c r="D71" s="7">
        <f>COUNTIFS(DETAIL!$S$2:$S$137,$B71,DETAIL!$F$2:$F$137,MONTH(DATE(YEAR(SUMMARY!$C$6),MONTH(SUMMARY!$C$6)+1,1)),DETAIL!$I$2:$I$137,"&gt;0")</f>
        <v>1</v>
      </c>
      <c r="E71" s="7">
        <f>COUNTIFS(DETAIL!$S$2:$S$137,$B71,DETAIL!$F$2:$F$137,MONTH(DATE(YEAR(SUMMARY!$C$6),MONTH(SUMMARY!$C$6)+2,1)),DETAIL!$I$2:$I$137,"&gt;0")</f>
        <v>1</v>
      </c>
      <c r="F71" s="7">
        <f>COUNTIFS(DETAIL!$S$2:$S$137,$B71,DETAIL!$F$2:$F$137,MONTH(DATE(YEAR(SUMMARY!$C$6),MONTH(SUMMARY!$C$6)+3,1)),DETAIL!$I$2:$I$137,"&gt;0")</f>
        <v>0</v>
      </c>
      <c r="G71" s="9">
        <f>IFERROR(SUMIFS(DETAIL!$I$2:$I$137,DETAIL!$S$2:$S$137,$B71,DETAIL!$F$2:$F$137,MONTH(DATE(YEAR(SUMMARY!$C$6),MONTH(SUMMARY!$C$6)+0,1)))/COUNTIFS(KALENDER!$D$3:$D$132,"Hari Kerja",KALENDER!$C$3:$C$132,MONTH(DATE(YEAR(SUMMARY!$C$6),MONTH(SUMMARY!$C$6)+0,1))),0)</f>
        <v>0.375</v>
      </c>
      <c r="H71" s="9">
        <f>IFERROR(SUMIFS(DETAIL!$I$2:$I$137,DETAIL!$S$2:$S$137,$B71,DETAIL!$F$2:$F$137,MONTH(DATE(YEAR(SUMMARY!$C$6),MONTH(SUMMARY!$C$6)+1,1)))/COUNTIFS(KALENDER!$D$3:$D$132,"Hari Kerja",KALENDER!$C$3:$C$132,MONTH(DATE(YEAR(SUMMARY!$C$6),MONTH(SUMMARY!$C$6)+1,1))),0)</f>
        <v>1</v>
      </c>
      <c r="I71" s="9">
        <f>IFERROR(SUMIFS(DETAIL!$I$2:$I$137,DETAIL!$S$2:$S$137,$B71,DETAIL!$F$2:$F$137,MONTH(DATE(YEAR(SUMMARY!$C$6),MONTH(SUMMARY!$C$6)+2,1)))/COUNTIFS(KALENDER!$D$3:$D$132,"Hari Kerja",KALENDER!$C$3:$C$132,MONTH(DATE(YEAR(SUMMARY!$C$6),MONTH(SUMMARY!$C$6)+2,1))),0)</f>
        <v>0.73684210526315785</v>
      </c>
      <c r="J71" s="9">
        <f>IFERROR(SUMIFS(DETAIL!$I$2:$I$137,DETAIL!$S$2:$S$137,$B71,DETAIL!$F$2:$F$137,MONTH(DATE(YEAR(SUMMARY!$C$6),MONTH(SUMMARY!$C$6)+3,1)))/COUNTIFS(KALENDER!$D$3:$D$132,"Hari Kerja",KALENDER!$C$3:$C$132,MONTH(DATE(YEAR(SUMMARY!$C$6),MONTH(SUMMARY!$C$6)+3,1))),0)</f>
        <v>0</v>
      </c>
      <c r="K71" s="40">
        <f>IFERROR(SUMIFS(DETAIL!$R$2:$R$137,DETAIL!$S$2:$S$137,$B71,DETAIL!$F$2:$F$137,MONTH(DATE(YEAR(SUMMARY!$C$6),MONTH(SUMMARY!$C$6)+0,1)))/SUMIFS(DETAIL!$M$2:$M$137,DETAIL!$S$2:$S$137,$B71,DETAIL!$F$2:$F$137,MONTH(DATE(YEAR(SUMMARY!$C$6),MONTH(SUMMARY!$C$6)+0,1))),"-")</f>
        <v>1.8571428571428572</v>
      </c>
      <c r="L71" s="40">
        <f>IFERROR(SUMIFS(DETAIL!$R$2:$R$137,DETAIL!$S$2:$S$137,$B71,DETAIL!$F$2:$F$137,MONTH(DATE(YEAR(SUMMARY!$C$6),MONTH(SUMMARY!$C$6)+1,1)))/SUMIFS(DETAIL!$M$2:$M$137,DETAIL!$S$2:$S$137,$B71,DETAIL!$F$2:$F$137,MONTH(DATE(YEAR(SUMMARY!$C$6),MONTH(SUMMARY!$C$6)+1,1))),"-")</f>
        <v>1.1904761904761905</v>
      </c>
      <c r="M71" s="40">
        <f>IFERROR(SUMIFS(DETAIL!$R$2:$R$137,DETAIL!$S$2:$S$137,$B71,DETAIL!$F$2:$F$137,MONTH(DATE(YEAR(SUMMARY!$C$6),MONTH(SUMMARY!$C$6)+2,1)))/SUMIFS(DETAIL!$M$2:$M$137,DETAIL!$S$2:$S$137,$B71,DETAIL!$F$2:$F$137,MONTH(DATE(YEAR(SUMMARY!$C$6),MONTH(SUMMARY!$C$6)+2,1))),"-")</f>
        <v>1.1428571428571428</v>
      </c>
      <c r="N71" s="40" t="str">
        <f>IFERROR(SUMIFS(DETAIL!$R$2:$R$137,DETAIL!$S$2:$S$137,$B71,DETAIL!$F$2:$F$137,MONTH(DATE(YEAR(SUMMARY!$C$6),MONTH(SUMMARY!$C$6)+3,1)))/SUMIFS(DETAIL!$M$2:$M$137,DETAIL!$S$2:$S$137,$B71,DETAIL!$F$2:$F$137,MONTH(DATE(YEAR(SUMMARY!$C$6),MONTH(SUMMARY!$C$6)+3,1))),"-")</f>
        <v>-</v>
      </c>
    </row>
    <row r="72" spans="1:33" x14ac:dyDescent="0.2">
      <c r="A72" s="5">
        <v>16</v>
      </c>
      <c r="B72" s="6" t="str">
        <f t="shared" si="11"/>
        <v>SM OF SECRETARIAT &amp; FILLING</v>
      </c>
      <c r="C72" s="7">
        <f>COUNTIFS(DETAIL!$S$2:$S$137,$B72,DETAIL!$F$2:$F$137,MONTH(DATE(YEAR(SUMMARY!$C$6),MONTH(SUMMARY!$C$6)+0,1)),DETAIL!$I$2:$I$137,"&gt;0")</f>
        <v>2</v>
      </c>
      <c r="D72" s="7">
        <f>COUNTIFS(DETAIL!$S$2:$S$137,$B72,DETAIL!$F$2:$F$137,MONTH(DATE(YEAR(SUMMARY!$C$6),MONTH(SUMMARY!$C$6)+1,1)),DETAIL!$I$2:$I$137,"&gt;0")</f>
        <v>2</v>
      </c>
      <c r="E72" s="7">
        <f>COUNTIFS(DETAIL!$S$2:$S$137,$B72,DETAIL!$F$2:$F$137,MONTH(DATE(YEAR(SUMMARY!$C$6),MONTH(SUMMARY!$C$6)+2,1)),DETAIL!$I$2:$I$137,"&gt;0")</f>
        <v>2</v>
      </c>
      <c r="F72" s="7">
        <f>COUNTIFS(DETAIL!$S$2:$S$137,$B72,DETAIL!$F$2:$F$137,MONTH(DATE(YEAR(SUMMARY!$C$6),MONTH(SUMMARY!$C$6)+3,1)),DETAIL!$I$2:$I$137,"&gt;0")</f>
        <v>2</v>
      </c>
      <c r="G72" s="9">
        <f>IFERROR(SUMIFS(DETAIL!$I$2:$I$137,DETAIL!$S$2:$S$137,$B72,DETAIL!$F$2:$F$137,MONTH(DATE(YEAR(SUMMARY!$C$6),MONTH(SUMMARY!$C$6)+0,1)))/COUNTIFS(KALENDER!$D$3:$D$132,"Hari Kerja",KALENDER!$C$3:$C$132,MONTH(DATE(YEAR(SUMMARY!$C$6),MONTH(SUMMARY!$C$6)+0,1))),0)</f>
        <v>1.875</v>
      </c>
      <c r="H72" s="9">
        <f>IFERROR(SUMIFS(DETAIL!$I$2:$I$137,DETAIL!$S$2:$S$137,$B72,DETAIL!$F$2:$F$137,MONTH(DATE(YEAR(SUMMARY!$C$6),MONTH(SUMMARY!$C$6)+1,1)))/COUNTIFS(KALENDER!$D$3:$D$132,"Hari Kerja",KALENDER!$C$3:$C$132,MONTH(DATE(YEAR(SUMMARY!$C$6),MONTH(SUMMARY!$C$6)+1,1))),0)</f>
        <v>2</v>
      </c>
      <c r="I72" s="9">
        <f>IFERROR(SUMIFS(DETAIL!$I$2:$I$137,DETAIL!$S$2:$S$137,$B72,DETAIL!$F$2:$F$137,MONTH(DATE(YEAR(SUMMARY!$C$6),MONTH(SUMMARY!$C$6)+2,1)))/COUNTIFS(KALENDER!$D$3:$D$132,"Hari Kerja",KALENDER!$C$3:$C$132,MONTH(DATE(YEAR(SUMMARY!$C$6),MONTH(SUMMARY!$C$6)+2,1))),0)</f>
        <v>2</v>
      </c>
      <c r="J72" s="9">
        <f>IFERROR(SUMIFS(DETAIL!$I$2:$I$137,DETAIL!$S$2:$S$137,$B72,DETAIL!$F$2:$F$137,MONTH(DATE(YEAR(SUMMARY!$C$6),MONTH(SUMMARY!$C$6)+3,1)))/COUNTIFS(KALENDER!$D$3:$D$132,"Hari Kerja",KALENDER!$C$3:$C$132,MONTH(DATE(YEAR(SUMMARY!$C$6),MONTH(SUMMARY!$C$6)+3,1))),0)</f>
        <v>2</v>
      </c>
      <c r="K72" s="40">
        <f>IFERROR(SUMIFS(DETAIL!$R$2:$R$137,DETAIL!$S$2:$S$137,$B72,DETAIL!$F$2:$F$137,MONTH(DATE(YEAR(SUMMARY!$C$6),MONTH(SUMMARY!$C$6)+0,1)))/SUMIFS(DETAIL!$M$2:$M$137,DETAIL!$S$2:$S$137,$B72,DETAIL!$F$2:$F$137,MONTH(DATE(YEAR(SUMMARY!$C$6),MONTH(SUMMARY!$C$6)+0,1))),"-")</f>
        <v>1.1071428571428572</v>
      </c>
      <c r="L72" s="40">
        <f>IFERROR(SUMIFS(DETAIL!$R$2:$R$137,DETAIL!$S$2:$S$137,$B72,DETAIL!$F$2:$F$137,MONTH(DATE(YEAR(SUMMARY!$C$6),MONTH(SUMMARY!$C$6)+1,1)))/SUMIFS(DETAIL!$M$2:$M$137,DETAIL!$S$2:$S$137,$B72,DETAIL!$F$2:$F$137,MONTH(DATE(YEAR(SUMMARY!$C$6),MONTH(SUMMARY!$C$6)+1,1))),"-")</f>
        <v>1.0857142857142856</v>
      </c>
      <c r="M72" s="40">
        <f>IFERROR(SUMIFS(DETAIL!$R$2:$R$137,DETAIL!$S$2:$S$137,$B72,DETAIL!$F$2:$F$137,MONTH(DATE(YEAR(SUMMARY!$C$6),MONTH(SUMMARY!$C$6)+2,1)))/SUMIFS(DETAIL!$M$2:$M$137,DETAIL!$S$2:$S$137,$B72,DETAIL!$F$2:$F$137,MONTH(DATE(YEAR(SUMMARY!$C$6),MONTH(SUMMARY!$C$6)+2,1))),"-")</f>
        <v>1.1052631578947369</v>
      </c>
      <c r="N72" s="40">
        <f>IFERROR(SUMIFS(DETAIL!$R$2:$R$137,DETAIL!$S$2:$S$137,$B72,DETAIL!$F$2:$F$137,MONTH(DATE(YEAR(SUMMARY!$C$6),MONTH(SUMMARY!$C$6)+3,1)))/SUMIFS(DETAIL!$M$2:$M$137,DETAIL!$S$2:$S$137,$B72,DETAIL!$F$2:$F$137,MONTH(DATE(YEAR(SUMMARY!$C$6),MONTH(SUMMARY!$C$6)+3,1))),"-")</f>
        <v>1.1081081081081081</v>
      </c>
    </row>
    <row r="73" spans="1:33" x14ac:dyDescent="0.2">
      <c r="A73" s="5">
        <v>17</v>
      </c>
      <c r="B73" s="6" t="str">
        <f t="shared" si="11"/>
        <v>VERIFICATION (SID) JR. OFFICER</v>
      </c>
      <c r="C73" s="7">
        <f>COUNTIFS(DETAIL!$S$2:$S$137,$B73,DETAIL!$F$2:$F$137,MONTH(DATE(YEAR(SUMMARY!$C$6),MONTH(SUMMARY!$C$6)+0,1)),DETAIL!$I$2:$I$137,"&gt;0")</f>
        <v>4</v>
      </c>
      <c r="D73" s="7">
        <f>COUNTIFS(DETAIL!$S$2:$S$137,$B73,DETAIL!$F$2:$F$137,MONTH(DATE(YEAR(SUMMARY!$C$6),MONTH(SUMMARY!$C$6)+1,1)),DETAIL!$I$2:$I$137,"&gt;0")</f>
        <v>3</v>
      </c>
      <c r="E73" s="7">
        <f>COUNTIFS(DETAIL!$S$2:$S$137,$B73,DETAIL!$F$2:$F$137,MONTH(DATE(YEAR(SUMMARY!$C$6),MONTH(SUMMARY!$C$6)+2,1)),DETAIL!$I$2:$I$137,"&gt;0")</f>
        <v>3</v>
      </c>
      <c r="F73" s="7">
        <f>COUNTIFS(DETAIL!$S$2:$S$137,$B73,DETAIL!$F$2:$F$137,MONTH(DATE(YEAR(SUMMARY!$C$6),MONTH(SUMMARY!$C$6)+3,1)),DETAIL!$I$2:$I$137,"&gt;0")</f>
        <v>4</v>
      </c>
      <c r="G73" s="9">
        <f>IFERROR(SUMIFS(DETAIL!$I$2:$I$137,DETAIL!$S$2:$S$137,$B73,DETAIL!$F$2:$F$137,MONTH(DATE(YEAR(SUMMARY!$C$6),MONTH(SUMMARY!$C$6)+0,1)))/COUNTIFS(KALENDER!$D$3:$D$132,"Hari Kerja",KALENDER!$C$3:$C$132,MONTH(DATE(YEAR(SUMMARY!$C$6),MONTH(SUMMARY!$C$6)+0,1))),0)</f>
        <v>3.9375</v>
      </c>
      <c r="H73" s="9">
        <f>IFERROR(SUMIFS(DETAIL!$I$2:$I$137,DETAIL!$S$2:$S$137,$B73,DETAIL!$F$2:$F$137,MONTH(DATE(YEAR(SUMMARY!$C$6),MONTH(SUMMARY!$C$6)+1,1)))/COUNTIFS(KALENDER!$D$3:$D$132,"Hari Kerja",KALENDER!$C$3:$C$132,MONTH(DATE(YEAR(SUMMARY!$C$6),MONTH(SUMMARY!$C$6)+1,1))),0)</f>
        <v>3</v>
      </c>
      <c r="I73" s="9">
        <f>IFERROR(SUMIFS(DETAIL!$I$2:$I$137,DETAIL!$S$2:$S$137,$B73,DETAIL!$F$2:$F$137,MONTH(DATE(YEAR(SUMMARY!$C$6),MONTH(SUMMARY!$C$6)+2,1)))/COUNTIFS(KALENDER!$D$3:$D$132,"Hari Kerja",KALENDER!$C$3:$C$132,MONTH(DATE(YEAR(SUMMARY!$C$6),MONTH(SUMMARY!$C$6)+2,1))),0)</f>
        <v>3</v>
      </c>
      <c r="J73" s="9">
        <f>IFERROR(SUMIFS(DETAIL!$I$2:$I$137,DETAIL!$S$2:$S$137,$B73,DETAIL!$F$2:$F$137,MONTH(DATE(YEAR(SUMMARY!$C$6),MONTH(SUMMARY!$C$6)+3,1)))/COUNTIFS(KALENDER!$D$3:$D$132,"Hari Kerja",KALENDER!$C$3:$C$132,MONTH(DATE(YEAR(SUMMARY!$C$6),MONTH(SUMMARY!$C$6)+3,1))),0)</f>
        <v>3.0454545454545454</v>
      </c>
      <c r="K73" s="40">
        <f>IFERROR(SUMIFS(DETAIL!$R$2:$R$137,DETAIL!$S$2:$S$137,$B73,DETAIL!$F$2:$F$137,MONTH(DATE(YEAR(SUMMARY!$C$6),MONTH(SUMMARY!$C$6)+0,1)))/SUMIFS(DETAIL!$M$2:$M$137,DETAIL!$S$2:$S$137,$B73,DETAIL!$F$2:$F$137,MONTH(DATE(YEAR(SUMMARY!$C$6),MONTH(SUMMARY!$C$6)+0,1))),"-")</f>
        <v>1.421875</v>
      </c>
      <c r="L73" s="40">
        <f>IFERROR(SUMIFS(DETAIL!$R$2:$R$137,DETAIL!$S$2:$S$137,$B73,DETAIL!$F$2:$F$137,MONTH(DATE(YEAR(SUMMARY!$C$6),MONTH(SUMMARY!$C$6)+1,1)))/SUMIFS(DETAIL!$M$2:$M$137,DETAIL!$S$2:$S$137,$B73,DETAIL!$F$2:$F$137,MONTH(DATE(YEAR(SUMMARY!$C$6),MONTH(SUMMARY!$C$6)+1,1))),"-")</f>
        <v>1.3278688524590163</v>
      </c>
      <c r="M73" s="40">
        <f>IFERROR(SUMIFS(DETAIL!$R$2:$R$137,DETAIL!$S$2:$S$137,$B73,DETAIL!$F$2:$F$137,MONTH(DATE(YEAR(SUMMARY!$C$6),MONTH(SUMMARY!$C$6)+2,1)))/SUMIFS(DETAIL!$M$2:$M$137,DETAIL!$S$2:$S$137,$B73,DETAIL!$F$2:$F$137,MONTH(DATE(YEAR(SUMMARY!$C$6),MONTH(SUMMARY!$C$6)+2,1))),"-")</f>
        <v>1.1403508771929824</v>
      </c>
      <c r="N73" s="40">
        <f>IFERROR(SUMIFS(DETAIL!$R$2:$R$137,DETAIL!$S$2:$S$137,$B73,DETAIL!$F$2:$F$137,MONTH(DATE(YEAR(SUMMARY!$C$6),MONTH(SUMMARY!$C$6)+3,1)))/SUMIFS(DETAIL!$M$2:$M$137,DETAIL!$S$2:$S$137,$B73,DETAIL!$F$2:$F$137,MONTH(DATE(YEAR(SUMMARY!$C$6),MONTH(SUMMARY!$C$6)+3,1))),"-")</f>
        <v>1.4603174603174602</v>
      </c>
    </row>
    <row r="74" spans="1:33" x14ac:dyDescent="0.2">
      <c r="A74" s="41"/>
      <c r="B74" s="42"/>
      <c r="C74" s="43"/>
      <c r="D74" s="43"/>
      <c r="E74" s="43"/>
      <c r="F74" s="43"/>
      <c r="G74" s="44"/>
      <c r="H74" s="44"/>
      <c r="I74" s="44"/>
      <c r="J74" s="44"/>
      <c r="K74" s="45"/>
      <c r="L74" s="45"/>
      <c r="M74" s="45"/>
      <c r="N74" s="45"/>
    </row>
    <row r="76" spans="1:33" x14ac:dyDescent="0.2">
      <c r="A76" s="3" t="str">
        <f>"REKAP EVALUASI PER PEMAGANG. dikelompokkan per Pembimbing ("&amp;TEXT(SUMMARY!$C$6,"dd-mm-yyyy")&amp;" s.d. "&amp;TEXT(SUMMARY!$C$7,"dd-mm-yyyy")&amp;")"</f>
        <v>REKAP EVALUASI PER PEMAGANG. dikelompokkan per Pembimbing (01-06-2026 s.d. 30-09-2026)</v>
      </c>
    </row>
    <row r="78" spans="1:33" ht="45" customHeight="1" x14ac:dyDescent="0.2">
      <c r="A78" s="4" t="s">
        <v>1</v>
      </c>
      <c r="B78" s="4" t="s">
        <v>58</v>
      </c>
      <c r="C78" s="4" t="s">
        <v>59</v>
      </c>
      <c r="D78" s="4" t="s">
        <v>2</v>
      </c>
      <c r="E78" s="4" t="s">
        <v>60</v>
      </c>
      <c r="F78" s="4" t="s">
        <v>23</v>
      </c>
      <c r="G78" s="4" t="s">
        <v>61</v>
      </c>
      <c r="H78" s="4" t="s">
        <v>62</v>
      </c>
      <c r="I78" s="4" t="s">
        <v>63</v>
      </c>
      <c r="J78" s="4" t="s">
        <v>64</v>
      </c>
      <c r="K78" s="4" t="s">
        <v>6</v>
      </c>
      <c r="L78" s="4" t="s">
        <v>65</v>
      </c>
      <c r="M78" s="4" t="s">
        <v>66</v>
      </c>
      <c r="N78" s="4" t="s">
        <v>8</v>
      </c>
      <c r="O78" s="4" t="s">
        <v>67</v>
      </c>
      <c r="P78" s="4" t="s">
        <v>9</v>
      </c>
      <c r="Q78" s="4" t="s">
        <v>68</v>
      </c>
      <c r="R78" s="4" t="s">
        <v>10</v>
      </c>
      <c r="S78" s="4" t="s">
        <v>69</v>
      </c>
      <c r="T78" s="4" t="s">
        <v>70</v>
      </c>
      <c r="U78" s="4" t="s">
        <v>71</v>
      </c>
      <c r="V78" s="4" t="s">
        <v>72</v>
      </c>
      <c r="W78" s="4" t="s">
        <v>73</v>
      </c>
      <c r="X78" s="4" t="s">
        <v>12</v>
      </c>
      <c r="Y78" s="4" t="s">
        <v>74</v>
      </c>
      <c r="Z78" s="4" t="s">
        <v>75</v>
      </c>
      <c r="AA78" s="4" t="s">
        <v>76</v>
      </c>
      <c r="AB78" s="4" t="s">
        <v>77</v>
      </c>
      <c r="AC78" s="4" t="s">
        <v>78</v>
      </c>
      <c r="AD78" s="4" t="s">
        <v>79</v>
      </c>
      <c r="AE78" s="4" t="s">
        <v>80</v>
      </c>
      <c r="AF78" s="46" t="s">
        <v>81</v>
      </c>
      <c r="AG78" s="46" t="s">
        <v>82</v>
      </c>
    </row>
    <row r="79" spans="1:33" x14ac:dyDescent="0.2">
      <c r="A79" s="1" t="str">
        <f>"Pembimbing: "&amp;D80&amp;"  ("&amp;COUNTIF($D$79:$D$133,D80)&amp;" pemagang)"</f>
        <v>Pembimbing: AHMAD JALALUDDIN BASYAR  (7 pemagang)</v>
      </c>
      <c r="B79" s="1"/>
      <c r="C79" s="1"/>
      <c r="D79" s="1"/>
      <c r="E79" s="1"/>
      <c r="F79" s="1"/>
      <c r="G79" s="1"/>
      <c r="H79" s="1"/>
      <c r="I79" s="1"/>
      <c r="J79" s="1"/>
      <c r="K79" s="1"/>
      <c r="L79" s="1"/>
      <c r="M79" s="1"/>
      <c r="N79" s="1"/>
      <c r="O79" s="1"/>
      <c r="P79" s="1"/>
      <c r="Q79" s="1"/>
      <c r="R79" s="1"/>
      <c r="S79" s="1"/>
      <c r="T79" s="1"/>
      <c r="U79" s="1"/>
      <c r="V79" s="1"/>
      <c r="W79" s="1"/>
      <c r="X79" s="1"/>
      <c r="Y79" s="1"/>
      <c r="Z79" s="1"/>
    </row>
    <row r="80" spans="1:33" ht="12.75" x14ac:dyDescent="0.2">
      <c r="A80" s="5">
        <f t="shared" ref="A80:A86" si="12">ROW()-ROW($A$78)-1</f>
        <v>1</v>
      </c>
      <c r="B80" s="6" t="str">
        <f>PEMAGANG!B3</f>
        <v>MG4226</v>
      </c>
      <c r="C80" s="6" t="str">
        <f>PEMAGANG!C3</f>
        <v>ARINDA PUTRI AULIA</v>
      </c>
      <c r="D80" s="6" t="str">
        <f>PEMAGANG!D3</f>
        <v>AHMAD JALALUDDIN BASYAR</v>
      </c>
      <c r="E80" s="6" t="str">
        <f>PEMAGANG!E3</f>
        <v>MANDIRI</v>
      </c>
      <c r="F80" s="6" t="str">
        <f>PEMAGANG!F3</f>
        <v>PGS SM OF DIGITAL BUSSINES</v>
      </c>
      <c r="G80" s="47">
        <f>IF(PEMAGANG!H3="","Tidak tercatat",PEMAGANG!H3)</f>
        <v>46175</v>
      </c>
      <c r="H80" s="47">
        <f>IF(PEMAGANG!I3="","Tidak tercatat",PEMAGANG!I3)</f>
        <v>46358</v>
      </c>
      <c r="I80" s="7">
        <f>SUMIFS(DETAIL!$I$2:$I$137,DETAIL!$B$2:$B$137,$C80)</f>
        <v>75</v>
      </c>
      <c r="J80" s="7">
        <f>SUMIFS(DETAIL!$K$2:$K$137,DETAIL!$B$2:$B$137,$C80)</f>
        <v>74</v>
      </c>
      <c r="K80" s="8">
        <f t="shared" ref="K80:K86" si="13">IFERROR(J80/I80,0)</f>
        <v>0.98666666666666669</v>
      </c>
      <c r="L80" s="7">
        <f t="shared" ref="L80:L86" si="14">I80-J80</f>
        <v>1</v>
      </c>
      <c r="M80" s="7">
        <f>SUMIFS(DETAIL!$N$2:$N$137,DETAIL!$B$2:$B$137,$C80)</f>
        <v>15</v>
      </c>
      <c r="N80" s="8">
        <f>IFERROR(1-M80/SUMIFS(DETAIL!$M$2:$M$137,DETAIL!$B$2:$B$137,$C80),0)</f>
        <v>0.8</v>
      </c>
      <c r="O80" s="9">
        <f>IFERROR(SUMIFS(DETAIL!$O$2:$O$137,DETAIL!$B$2:$B$137,$C80)/M80,0)</f>
        <v>49.266666666666666</v>
      </c>
      <c r="P80" s="7">
        <f>SUMIFS(DETAIL!$P$2:$P$137,DETAIL!$B$2:$B$137,$C80)</f>
        <v>2</v>
      </c>
      <c r="Q80" s="7">
        <f>SUMIFS(DETAIL!$Q$2:$Q$137,DETAIL!$B$2:$B$137,$C80)</f>
        <v>62</v>
      </c>
      <c r="R80" s="8">
        <f>IFERROR(Q80/SUMIFS(DETAIL!$M$2:$M$137,DETAIL!$B$2:$B$137,$C80),0)</f>
        <v>0.82666666666666666</v>
      </c>
      <c r="S80" s="48">
        <f>IFERROR(SUMIFS(DETAIL!$K$2:$K$137,DETAIL!$B$2:$B$137,$C80,DETAIL!$F$2:$F$137,MONTH(DATE(YEAR(SUMMARY!$C$6),MONTH(SUMMARY!$C$6)+0,1)))/SUMIFS(DETAIL!$I$2:$I$137,DETAIL!$B$2:$B$137,$C80,DETAIL!$F$2:$F$137,MONTH(DATE(YEAR(SUMMARY!$C$6),MONTH(SUMMARY!$C$6)+0,1))),"-")</f>
        <v>0.9375</v>
      </c>
      <c r="T80" s="48">
        <f>IFERROR(SUMIFS(DETAIL!$K$2:$K$137,DETAIL!$B$2:$B$137,$C80,DETAIL!$F$2:$F$137,MONTH(DATE(YEAR(SUMMARY!$C$6),MONTH(SUMMARY!$C$6)+1,1)))/SUMIFS(DETAIL!$I$2:$I$137,DETAIL!$B$2:$B$137,$C80,DETAIL!$F$2:$F$137,MONTH(DATE(YEAR(SUMMARY!$C$6),MONTH(SUMMARY!$C$6)+1,1))),"-")</f>
        <v>1</v>
      </c>
      <c r="U80" s="48">
        <f>IFERROR(SUMIFS(DETAIL!$K$2:$K$137,DETAIL!$B$2:$B$137,$C80,DETAIL!$F$2:$F$137,MONTH(DATE(YEAR(SUMMARY!$C$6),MONTH(SUMMARY!$C$6)+2,1)))/SUMIFS(DETAIL!$I$2:$I$137,DETAIL!$B$2:$B$137,$C80,DETAIL!$F$2:$F$137,MONTH(DATE(YEAR(SUMMARY!$C$6),MONTH(SUMMARY!$C$6)+2,1))),"-")</f>
        <v>1</v>
      </c>
      <c r="V80" s="48">
        <f>IFERROR(SUMIFS(DETAIL!$K$2:$K$137,DETAIL!$B$2:$B$137,$C80,DETAIL!$F$2:$F$137,MONTH(DATE(YEAR(SUMMARY!$C$6),MONTH(SUMMARY!$C$6)+3,1)))/SUMIFS(DETAIL!$I$2:$I$137,DETAIL!$B$2:$B$137,$C80,DETAIL!$F$2:$F$137,MONTH(DATE(YEAR(SUMMARY!$C$6),MONTH(SUMMARY!$C$6)+3,1))),"-")</f>
        <v>1</v>
      </c>
      <c r="W80" s="9">
        <f>ROUND(100*(K80*SUMMARY!$C$11+N80*SUMMARY!$C$12+R80*SUMMARY!$C$13+AG80*SUMMARY!$C$17),1)</f>
        <v>75.5</v>
      </c>
      <c r="X80" s="5" t="str">
        <f>IF(W80&gt;=100*SUMMARY!$C$14,"Sangat Baik",IF(W80&gt;=100*SUMMARY!$C$15,"Baik",IF(W80&gt;=100*SUMMARY!$C$16,"Cukup","Perlu Pembinaan")))</f>
        <v>Cukup</v>
      </c>
      <c r="Y80" s="7">
        <f>SUMIFS(DETAIL!$J$2:$J$137,DETAIL!$B$2:$B$137,$C80)</f>
        <v>9</v>
      </c>
      <c r="Z80" s="7">
        <f>SUMIFS(DETAIL!$L$2:$L$137,DETAIL!$B$2:$B$137,$C80)</f>
        <v>1</v>
      </c>
      <c r="AA80" s="11">
        <f t="shared" ref="AA80:AA86" si="15">M80+ROW()/100000</f>
        <v>15.0008</v>
      </c>
      <c r="AB80" s="11">
        <f t="shared" ref="AB80:AB86" si="16">W80-ROW()/100000</f>
        <v>75.499200000000002</v>
      </c>
      <c r="AC80" s="49">
        <f t="shared" ref="AC80:AC86" si="17">IF(I80&gt;=40,K80-ROW()/10000000,"")</f>
        <v>0.98665866666666668</v>
      </c>
      <c r="AD80" s="5" t="str">
        <f>TEXT(PEMAGANG!J3,"dd-mm-yy")&amp;" s.d. "&amp;TEXT(PEMAGANG!K3,"dd-mm-yy")</f>
        <v>02-06-26 s.d. 30-09-26</v>
      </c>
      <c r="AE80" s="5" t="str">
        <f>PEMAGANG!N3</f>
        <v>Masuk 02-06-2026</v>
      </c>
      <c r="AF80" s="50">
        <f>IFERROR(INDEX(PRODUKTIVITAS!$J$10:$J$43,MATCH($C80,PRODUKTIVITAS!$B$10:$B$43,0)),0)</f>
        <v>0.44441105725850683</v>
      </c>
      <c r="AG80" s="51">
        <f>IFERROR(INDEX(PRODUKTIVITAS!$K$10:$K$43,MATCH($C80,PRODUKTIVITAS!$B$10:$B$43,0)),0)</f>
        <v>0.44441105725850683</v>
      </c>
    </row>
    <row r="81" spans="1:33" ht="12.75" x14ac:dyDescent="0.2">
      <c r="A81" s="5">
        <f t="shared" si="12"/>
        <v>2</v>
      </c>
      <c r="B81" s="6" t="str">
        <f>PEMAGANG!B4</f>
        <v>MG/KH/4326</v>
      </c>
      <c r="C81" s="6" t="str">
        <f>PEMAGANG!C4</f>
        <v>BERLIAN AURELYA RAHMA</v>
      </c>
      <c r="D81" s="6" t="str">
        <f>PEMAGANG!D4</f>
        <v>AHMAD JALALUDDIN BASYAR</v>
      </c>
      <c r="E81" s="6" t="str">
        <f>PEMAGANG!E4</f>
        <v>KEMNAKER</v>
      </c>
      <c r="F81" s="6" t="str">
        <f>PEMAGANG!F4</f>
        <v>PGS SM OF DIGITAL BUSSINES</v>
      </c>
      <c r="G81" s="47">
        <f>IF(PEMAGANG!H4="","Tidak tercatat",PEMAGANG!H4)</f>
        <v>46244</v>
      </c>
      <c r="H81" s="47">
        <f>IF(PEMAGANG!I4="","Tidak tercatat",PEMAGANG!I4)</f>
        <v>46427</v>
      </c>
      <c r="I81" s="7">
        <f>SUMIFS(DETAIL!$I$2:$I$137,DETAIL!$B$2:$B$137,$C81)</f>
        <v>36</v>
      </c>
      <c r="J81" s="7">
        <f>SUMIFS(DETAIL!$K$2:$K$137,DETAIL!$B$2:$B$137,$C81)</f>
        <v>36</v>
      </c>
      <c r="K81" s="8">
        <f t="shared" si="13"/>
        <v>1</v>
      </c>
      <c r="L81" s="7">
        <f t="shared" si="14"/>
        <v>0</v>
      </c>
      <c r="M81" s="7">
        <f>SUMIFS(DETAIL!$N$2:$N$137,DETAIL!$B$2:$B$137,$C81)</f>
        <v>4</v>
      </c>
      <c r="N81" s="8">
        <f>IFERROR(1-M81/SUMIFS(DETAIL!$M$2:$M$137,DETAIL!$B$2:$B$137,$C81),0)</f>
        <v>0.88888888888888884</v>
      </c>
      <c r="O81" s="9">
        <f>IFERROR(SUMIFS(DETAIL!$O$2:$O$137,DETAIL!$B$2:$B$137,$C81)/M81,0)</f>
        <v>67.749999999999986</v>
      </c>
      <c r="P81" s="7">
        <f>SUMIFS(DETAIL!$P$2:$P$137,DETAIL!$B$2:$B$137,$C81)</f>
        <v>2</v>
      </c>
      <c r="Q81" s="7">
        <f>SUMIFS(DETAIL!$Q$2:$Q$137,DETAIL!$B$2:$B$137,$C81)</f>
        <v>28</v>
      </c>
      <c r="R81" s="8">
        <f>IFERROR(Q81/SUMIFS(DETAIL!$M$2:$M$137,DETAIL!$B$2:$B$137,$C81),0)</f>
        <v>0.77777777777777779</v>
      </c>
      <c r="S81" s="48" t="str">
        <f>IFERROR(SUMIFS(DETAIL!$K$2:$K$137,DETAIL!$B$2:$B$137,$C81,DETAIL!$F$2:$F$137,MONTH(DATE(YEAR(SUMMARY!$C$6),MONTH(SUMMARY!$C$6)+0,1)))/SUMIFS(DETAIL!$I$2:$I$137,DETAIL!$B$2:$B$137,$C81,DETAIL!$F$2:$F$137,MONTH(DATE(YEAR(SUMMARY!$C$6),MONTH(SUMMARY!$C$6)+0,1))),"-")</f>
        <v>-</v>
      </c>
      <c r="T81" s="48" t="str">
        <f>IFERROR(SUMIFS(DETAIL!$K$2:$K$137,DETAIL!$B$2:$B$137,$C81,DETAIL!$F$2:$F$137,MONTH(DATE(YEAR(SUMMARY!$C$6),MONTH(SUMMARY!$C$6)+1,1)))/SUMIFS(DETAIL!$I$2:$I$137,DETAIL!$B$2:$B$137,$C81,DETAIL!$F$2:$F$137,MONTH(DATE(YEAR(SUMMARY!$C$6),MONTH(SUMMARY!$C$6)+1,1))),"-")</f>
        <v>-</v>
      </c>
      <c r="U81" s="48">
        <f>IFERROR(SUMIFS(DETAIL!$K$2:$K$137,DETAIL!$B$2:$B$137,$C81,DETAIL!$F$2:$F$137,MONTH(DATE(YEAR(SUMMARY!$C$6),MONTH(SUMMARY!$C$6)+2,1)))/SUMIFS(DETAIL!$I$2:$I$137,DETAIL!$B$2:$B$137,$C81,DETAIL!$F$2:$F$137,MONTH(DATE(YEAR(SUMMARY!$C$6),MONTH(SUMMARY!$C$6)+2,1))),"-")</f>
        <v>1</v>
      </c>
      <c r="V81" s="48">
        <f>IFERROR(SUMIFS(DETAIL!$K$2:$K$137,DETAIL!$B$2:$B$137,$C81,DETAIL!$F$2:$F$137,MONTH(DATE(YEAR(SUMMARY!$C$6),MONTH(SUMMARY!$C$6)+3,1)))/SUMIFS(DETAIL!$I$2:$I$137,DETAIL!$B$2:$B$137,$C81,DETAIL!$F$2:$F$137,MONTH(DATE(YEAR(SUMMARY!$C$6),MONTH(SUMMARY!$C$6)+3,1))),"-")</f>
        <v>1</v>
      </c>
      <c r="W81" s="9">
        <f>ROUND(100*(K81*SUMMARY!$C$11+N81*SUMMARY!$C$12+R81*SUMMARY!$C$13+AG81*SUMMARY!$C$17),1)</f>
        <v>89.8</v>
      </c>
      <c r="X81" s="5" t="str">
        <f>IF(W81&gt;=100*SUMMARY!$C$14,"Sangat Baik",IF(W81&gt;=100*SUMMARY!$C$15,"Baik",IF(W81&gt;=100*SUMMARY!$C$16,"Cukup","Perlu Pembinaan")))</f>
        <v>Baik</v>
      </c>
      <c r="Y81" s="7">
        <f>SUMIFS(DETAIL!$J$2:$J$137,DETAIL!$B$2:$B$137,$C81)</f>
        <v>0</v>
      </c>
      <c r="Z81" s="7">
        <f>SUMIFS(DETAIL!$L$2:$L$137,DETAIL!$B$2:$B$137,$C81)</f>
        <v>0</v>
      </c>
      <c r="AA81" s="11">
        <f t="shared" si="15"/>
        <v>4.0008100000000004</v>
      </c>
      <c r="AB81" s="11">
        <f t="shared" si="16"/>
        <v>89.799189999999996</v>
      </c>
      <c r="AC81" s="49" t="str">
        <f t="shared" si="17"/>
        <v/>
      </c>
      <c r="AD81" s="5" t="str">
        <f>TEXT(PEMAGANG!J4,"dd-mm-yy")&amp;" s.d. "&amp;TEXT(PEMAGANG!K4,"dd-mm-yy")</f>
        <v>10-08-26 s.d. 30-09-26</v>
      </c>
      <c r="AE81" s="5" t="str">
        <f>PEMAGANG!N4</f>
        <v>Masuk 10-08-2026</v>
      </c>
      <c r="AF81" s="50">
        <f>IFERROR(INDEX(PRODUKTIVITAS!$J$10:$J$43,MATCH($C81,PRODUKTIVITAS!$B$10:$B$43,0)),0)</f>
        <v>0.88319872025803892</v>
      </c>
      <c r="AG81" s="51">
        <f>IFERROR(INDEX(PRODUKTIVITAS!$K$10:$K$43,MATCH($C81,PRODUKTIVITAS!$B$10:$B$43,0)),0)</f>
        <v>0.88319872025803892</v>
      </c>
    </row>
    <row r="82" spans="1:33" ht="12.75" x14ac:dyDescent="0.2">
      <c r="A82" s="5">
        <f t="shared" si="12"/>
        <v>3</v>
      </c>
      <c r="B82" s="6" t="str">
        <f>PEMAGANG!B5</f>
        <v>MG/KH/4226</v>
      </c>
      <c r="C82" s="6" t="str">
        <f>PEMAGANG!C5</f>
        <v>CLARA OKTAVIA FIRDAUS</v>
      </c>
      <c r="D82" s="6" t="str">
        <f>PEMAGANG!D5</f>
        <v>AHMAD JALALUDDIN BASYAR</v>
      </c>
      <c r="E82" s="6" t="str">
        <f>PEMAGANG!E5</f>
        <v>KEMNAKER</v>
      </c>
      <c r="F82" s="6" t="str">
        <f>PEMAGANG!F5</f>
        <v>PGS SM OF DIGITAL BUSSINES</v>
      </c>
      <c r="G82" s="47">
        <f>IF(PEMAGANG!H5="","Tidak tercatat",PEMAGANG!H5)</f>
        <v>46244</v>
      </c>
      <c r="H82" s="47">
        <f>IF(PEMAGANG!I5="","Tidak tercatat",PEMAGANG!I5)</f>
        <v>46427</v>
      </c>
      <c r="I82" s="7">
        <f>SUMIFS(DETAIL!$I$2:$I$137,DETAIL!$B$2:$B$137,$C82)</f>
        <v>36</v>
      </c>
      <c r="J82" s="7">
        <f>SUMIFS(DETAIL!$K$2:$K$137,DETAIL!$B$2:$B$137,$C82)</f>
        <v>33</v>
      </c>
      <c r="K82" s="8">
        <f t="shared" si="13"/>
        <v>0.91666666666666663</v>
      </c>
      <c r="L82" s="7">
        <f t="shared" si="14"/>
        <v>3</v>
      </c>
      <c r="M82" s="7">
        <f>SUMIFS(DETAIL!$N$2:$N$137,DETAIL!$B$2:$B$137,$C82)</f>
        <v>5</v>
      </c>
      <c r="N82" s="8">
        <f>IFERROR(1-M82/SUMIFS(DETAIL!$M$2:$M$137,DETAIL!$B$2:$B$137,$C82),0)</f>
        <v>0.84848484848484851</v>
      </c>
      <c r="O82" s="9">
        <f>IFERROR(SUMIFS(DETAIL!$O$2:$O$137,DETAIL!$B$2:$B$137,$C82)/M82,0)</f>
        <v>56.6</v>
      </c>
      <c r="P82" s="7">
        <f>SUMIFS(DETAIL!$P$2:$P$137,DETAIL!$B$2:$B$137,$C82)</f>
        <v>2</v>
      </c>
      <c r="Q82" s="7">
        <f>SUMIFS(DETAIL!$Q$2:$Q$137,DETAIL!$B$2:$B$137,$C82)</f>
        <v>28</v>
      </c>
      <c r="R82" s="8">
        <f>IFERROR(Q82/SUMIFS(DETAIL!$M$2:$M$137,DETAIL!$B$2:$B$137,$C82),0)</f>
        <v>0.84848484848484851</v>
      </c>
      <c r="S82" s="48" t="str">
        <f>IFERROR(SUMIFS(DETAIL!$K$2:$K$137,DETAIL!$B$2:$B$137,$C82,DETAIL!$F$2:$F$137,MONTH(DATE(YEAR(SUMMARY!$C$6),MONTH(SUMMARY!$C$6)+0,1)))/SUMIFS(DETAIL!$I$2:$I$137,DETAIL!$B$2:$B$137,$C82,DETAIL!$F$2:$F$137,MONTH(DATE(YEAR(SUMMARY!$C$6),MONTH(SUMMARY!$C$6)+0,1))),"-")</f>
        <v>-</v>
      </c>
      <c r="T82" s="48" t="str">
        <f>IFERROR(SUMIFS(DETAIL!$K$2:$K$137,DETAIL!$B$2:$B$137,$C82,DETAIL!$F$2:$F$137,MONTH(DATE(YEAR(SUMMARY!$C$6),MONTH(SUMMARY!$C$6)+1,1)))/SUMIFS(DETAIL!$I$2:$I$137,DETAIL!$B$2:$B$137,$C82,DETAIL!$F$2:$F$137,MONTH(DATE(YEAR(SUMMARY!$C$6),MONTH(SUMMARY!$C$6)+1,1))),"-")</f>
        <v>-</v>
      </c>
      <c r="U82" s="48">
        <f>IFERROR(SUMIFS(DETAIL!$K$2:$K$137,DETAIL!$B$2:$B$137,$C82,DETAIL!$F$2:$F$137,MONTH(DATE(YEAR(SUMMARY!$C$6),MONTH(SUMMARY!$C$6)+2,1)))/SUMIFS(DETAIL!$I$2:$I$137,DETAIL!$B$2:$B$137,$C82,DETAIL!$F$2:$F$137,MONTH(DATE(YEAR(SUMMARY!$C$6),MONTH(SUMMARY!$C$6)+2,1))),"-")</f>
        <v>0.9285714285714286</v>
      </c>
      <c r="V82" s="48">
        <f>IFERROR(SUMIFS(DETAIL!$K$2:$K$137,DETAIL!$B$2:$B$137,$C82,DETAIL!$F$2:$F$137,MONTH(DATE(YEAR(SUMMARY!$C$6),MONTH(SUMMARY!$C$6)+3,1)))/SUMIFS(DETAIL!$I$2:$I$137,DETAIL!$B$2:$B$137,$C82,DETAIL!$F$2:$F$137,MONTH(DATE(YEAR(SUMMARY!$C$6),MONTH(SUMMARY!$C$6)+3,1))),"-")</f>
        <v>0.90909090909090906</v>
      </c>
      <c r="W82" s="9">
        <f>ROUND(100*(K82*SUMMARY!$C$11+N82*SUMMARY!$C$12+R82*SUMMARY!$C$13+AG82*SUMMARY!$C$17),1)</f>
        <v>82.7</v>
      </c>
      <c r="X82" s="5" t="str">
        <f>IF(W82&gt;=100*SUMMARY!$C$14,"Sangat Baik",IF(W82&gt;=100*SUMMARY!$C$15,"Baik",IF(W82&gt;=100*SUMMARY!$C$16,"Cukup","Perlu Pembinaan")))</f>
        <v>Baik</v>
      </c>
      <c r="Y82" s="7">
        <f>SUMIFS(DETAIL!$J$2:$J$137,DETAIL!$B$2:$B$137,$C82)</f>
        <v>0</v>
      </c>
      <c r="Z82" s="7">
        <f>SUMIFS(DETAIL!$L$2:$L$137,DETAIL!$B$2:$B$137,$C82)</f>
        <v>0</v>
      </c>
      <c r="AA82" s="11">
        <f t="shared" si="15"/>
        <v>5.00082</v>
      </c>
      <c r="AB82" s="11">
        <f t="shared" si="16"/>
        <v>82.699179999999998</v>
      </c>
      <c r="AC82" s="49" t="str">
        <f t="shared" si="17"/>
        <v/>
      </c>
      <c r="AD82" s="5" t="str">
        <f>TEXT(PEMAGANG!J5,"dd-mm-yy")&amp;" s.d. "&amp;TEXT(PEMAGANG!K5,"dd-mm-yy")</f>
        <v>10-08-26 s.d. 30-09-26</v>
      </c>
      <c r="AE82" s="5" t="str">
        <f>PEMAGANG!N5</f>
        <v>Masuk 10-08-2026</v>
      </c>
      <c r="AF82" s="50">
        <f>IFERROR(INDEX(PRODUKTIVITAS!$J$10:$J$43,MATCH($C82,PRODUKTIVITAS!$B$10:$B$43,0)),0)</f>
        <v>0.70710565001763537</v>
      </c>
      <c r="AG82" s="51">
        <f>IFERROR(INDEX(PRODUKTIVITAS!$K$10:$K$43,MATCH($C82,PRODUKTIVITAS!$B$10:$B$43,0)),0)</f>
        <v>0.70710565001763537</v>
      </c>
    </row>
    <row r="83" spans="1:33" ht="12.75" x14ac:dyDescent="0.2">
      <c r="A83" s="5">
        <f t="shared" si="12"/>
        <v>4</v>
      </c>
      <c r="B83" s="6" t="str">
        <f>PEMAGANG!B6</f>
        <v>MG3625</v>
      </c>
      <c r="C83" s="6" t="str">
        <f>PEMAGANG!C6</f>
        <v>NELLA DIFA SALSABILAH</v>
      </c>
      <c r="D83" s="6" t="str">
        <f>PEMAGANG!D6</f>
        <v>AHMAD JALALUDDIN BASYAR</v>
      </c>
      <c r="E83" s="6" t="str">
        <f>PEMAGANG!E6</f>
        <v>Kontrak Project</v>
      </c>
      <c r="F83" s="6" t="str">
        <f>PEMAGANG!F6</f>
        <v>PGS SM OF DIGITAL BUSSINES</v>
      </c>
      <c r="G83" s="47">
        <f>IF(PEMAGANG!H6="","Tidak tercatat",PEMAGANG!H6)</f>
        <v>45985</v>
      </c>
      <c r="H83" s="47">
        <f>IF(PEMAGANG!I6="","Tidak tercatat",PEMAGANG!I6)</f>
        <v>46349</v>
      </c>
      <c r="I83" s="7">
        <f>SUMIFS(DETAIL!$I$2:$I$137,DETAIL!$B$2:$B$137,$C83)</f>
        <v>75</v>
      </c>
      <c r="J83" s="7">
        <f>SUMIFS(DETAIL!$K$2:$K$137,DETAIL!$B$2:$B$137,$C83)</f>
        <v>75</v>
      </c>
      <c r="K83" s="8">
        <f t="shared" si="13"/>
        <v>1</v>
      </c>
      <c r="L83" s="7">
        <f t="shared" si="14"/>
        <v>0</v>
      </c>
      <c r="M83" s="7">
        <f>SUMIFS(DETAIL!$N$2:$N$137,DETAIL!$B$2:$B$137,$C83)</f>
        <v>4</v>
      </c>
      <c r="N83" s="8">
        <f>IFERROR(1-M83/SUMIFS(DETAIL!$M$2:$M$137,DETAIL!$B$2:$B$137,$C83),0)</f>
        <v>0.95238095238095233</v>
      </c>
      <c r="O83" s="9">
        <f>IFERROR(SUMIFS(DETAIL!$O$2:$O$137,DETAIL!$B$2:$B$137,$C83)/M83,0)</f>
        <v>1.9999999999999931</v>
      </c>
      <c r="P83" s="7">
        <f>SUMIFS(DETAIL!$P$2:$P$137,DETAIL!$B$2:$B$137,$C83)</f>
        <v>1</v>
      </c>
      <c r="Q83" s="7">
        <f>SUMIFS(DETAIL!$Q$2:$Q$137,DETAIL!$B$2:$B$137,$C83)</f>
        <v>83</v>
      </c>
      <c r="R83" s="8">
        <f>IFERROR(Q83/SUMIFS(DETAIL!$M$2:$M$137,DETAIL!$B$2:$B$137,$C83),0)</f>
        <v>0.98809523809523814</v>
      </c>
      <c r="S83" s="48">
        <f>IFERROR(SUMIFS(DETAIL!$K$2:$K$137,DETAIL!$B$2:$B$137,$C83,DETAIL!$F$2:$F$137,MONTH(DATE(YEAR(SUMMARY!$C$6),MONTH(SUMMARY!$C$6)+0,1)))/SUMIFS(DETAIL!$I$2:$I$137,DETAIL!$B$2:$B$137,$C83,DETAIL!$F$2:$F$137,MONTH(DATE(YEAR(SUMMARY!$C$6),MONTH(SUMMARY!$C$6)+0,1))),"-")</f>
        <v>1</v>
      </c>
      <c r="T83" s="48">
        <f>IFERROR(SUMIFS(DETAIL!$K$2:$K$137,DETAIL!$B$2:$B$137,$C83,DETAIL!$F$2:$F$137,MONTH(DATE(YEAR(SUMMARY!$C$6),MONTH(SUMMARY!$C$6)+1,1)))/SUMIFS(DETAIL!$I$2:$I$137,DETAIL!$B$2:$B$137,$C83,DETAIL!$F$2:$F$137,MONTH(DATE(YEAR(SUMMARY!$C$6),MONTH(SUMMARY!$C$6)+1,1))),"-")</f>
        <v>1</v>
      </c>
      <c r="U83" s="48">
        <f>IFERROR(SUMIFS(DETAIL!$K$2:$K$137,DETAIL!$B$2:$B$137,$C83,DETAIL!$F$2:$F$137,MONTH(DATE(YEAR(SUMMARY!$C$6),MONTH(SUMMARY!$C$6)+2,1)))/SUMIFS(DETAIL!$I$2:$I$137,DETAIL!$B$2:$B$137,$C83,DETAIL!$F$2:$F$137,MONTH(DATE(YEAR(SUMMARY!$C$6),MONTH(SUMMARY!$C$6)+2,1))),"-")</f>
        <v>1</v>
      </c>
      <c r="V83" s="48">
        <f>IFERROR(SUMIFS(DETAIL!$K$2:$K$137,DETAIL!$B$2:$B$137,$C83,DETAIL!$F$2:$F$137,MONTH(DATE(YEAR(SUMMARY!$C$6),MONTH(SUMMARY!$C$6)+3,1)))/SUMIFS(DETAIL!$I$2:$I$137,DETAIL!$B$2:$B$137,$C83,DETAIL!$F$2:$F$137,MONTH(DATE(YEAR(SUMMARY!$C$6),MONTH(SUMMARY!$C$6)+3,1))),"-")</f>
        <v>1</v>
      </c>
      <c r="W83" s="9">
        <f>ROUND(100*(K83*SUMMARY!$C$11+N83*SUMMARY!$C$12+R83*SUMMARY!$C$13+AG83*SUMMARY!$C$17),1)</f>
        <v>88.2</v>
      </c>
      <c r="X83" s="5" t="str">
        <f>IF(W83&gt;=100*SUMMARY!$C$14,"Sangat Baik",IF(W83&gt;=100*SUMMARY!$C$15,"Baik",IF(W83&gt;=100*SUMMARY!$C$16,"Cukup","Perlu Pembinaan")))</f>
        <v>Baik</v>
      </c>
      <c r="Y83" s="7">
        <f>SUMIFS(DETAIL!$J$2:$J$137,DETAIL!$B$2:$B$137,$C83)</f>
        <v>9</v>
      </c>
      <c r="Z83" s="7">
        <f>SUMIFS(DETAIL!$L$2:$L$137,DETAIL!$B$2:$B$137,$C83)</f>
        <v>9</v>
      </c>
      <c r="AA83" s="11">
        <f t="shared" si="15"/>
        <v>4.0008299999999997</v>
      </c>
      <c r="AB83" s="11">
        <f t="shared" si="16"/>
        <v>88.199170000000009</v>
      </c>
      <c r="AC83" s="49">
        <f t="shared" si="17"/>
        <v>0.99999170000000004</v>
      </c>
      <c r="AD83" s="5" t="str">
        <f>TEXT(PEMAGANG!J6,"dd-mm-yy")&amp;" s.d. "&amp;TEXT(PEMAGANG!K6,"dd-mm-yy")</f>
        <v>01-06-26 s.d. 30-09-26</v>
      </c>
      <c r="AE83" s="5" t="str">
        <f>PEMAGANG!N6</f>
        <v>Aktif sepanjang periode</v>
      </c>
      <c r="AF83" s="50">
        <f>IFERROR(INDEX(PRODUKTIVITAS!$J$10:$J$43,MATCH($C83,PRODUKTIVITAS!$B$10:$B$43,0)),0)</f>
        <v>0.64718600595651288</v>
      </c>
      <c r="AG83" s="51">
        <f>IFERROR(INDEX(PRODUKTIVITAS!$K$10:$K$43,MATCH($C83,PRODUKTIVITAS!$B$10:$B$43,0)),0)</f>
        <v>0.64718600595651288</v>
      </c>
    </row>
    <row r="84" spans="1:33" ht="12.75" x14ac:dyDescent="0.2">
      <c r="A84" s="5">
        <f t="shared" si="12"/>
        <v>5</v>
      </c>
      <c r="B84" s="6" t="str">
        <f>PEMAGANG!B7</f>
        <v>MG/KH/4526</v>
      </c>
      <c r="C84" s="6" t="str">
        <f>PEMAGANG!C7</f>
        <v>SYAKIRAH TSALTSA FITRIAH</v>
      </c>
      <c r="D84" s="6" t="str">
        <f>PEMAGANG!D7</f>
        <v>AHMAD JALALUDDIN BASYAR</v>
      </c>
      <c r="E84" s="6" t="str">
        <f>PEMAGANG!E7</f>
        <v>KEMNAKER</v>
      </c>
      <c r="F84" s="6" t="str">
        <f>PEMAGANG!F7</f>
        <v>PGS SM OF DIGITAL BUSSINES</v>
      </c>
      <c r="G84" s="47">
        <f>IF(PEMAGANG!H7="","Tidak tercatat",PEMAGANG!H7)</f>
        <v>46244</v>
      </c>
      <c r="H84" s="47">
        <f>IF(PEMAGANG!I7="","Tidak tercatat",PEMAGANG!I7)</f>
        <v>46427</v>
      </c>
      <c r="I84" s="7">
        <f>SUMIFS(DETAIL!$I$2:$I$137,DETAIL!$B$2:$B$137,$C84)</f>
        <v>36</v>
      </c>
      <c r="J84" s="7">
        <f>SUMIFS(DETAIL!$K$2:$K$137,DETAIL!$B$2:$B$137,$C84)</f>
        <v>36</v>
      </c>
      <c r="K84" s="8">
        <f t="shared" si="13"/>
        <v>1</v>
      </c>
      <c r="L84" s="7">
        <f t="shared" si="14"/>
        <v>0</v>
      </c>
      <c r="M84" s="7">
        <f>SUMIFS(DETAIL!$N$2:$N$137,DETAIL!$B$2:$B$137,$C84)</f>
        <v>2</v>
      </c>
      <c r="N84" s="8">
        <f>IFERROR(1-M84/SUMIFS(DETAIL!$M$2:$M$137,DETAIL!$B$2:$B$137,$C84),0)</f>
        <v>0.94444444444444442</v>
      </c>
      <c r="O84" s="9">
        <f>IFERROR(SUMIFS(DETAIL!$O$2:$O$137,DETAIL!$B$2:$B$137,$C84)/M84,0)</f>
        <v>131</v>
      </c>
      <c r="P84" s="7">
        <f>SUMIFS(DETAIL!$P$2:$P$137,DETAIL!$B$2:$B$137,$C84)</f>
        <v>3</v>
      </c>
      <c r="Q84" s="7">
        <f>SUMIFS(DETAIL!$Q$2:$Q$137,DETAIL!$B$2:$B$137,$C84)</f>
        <v>34</v>
      </c>
      <c r="R84" s="8">
        <f>IFERROR(Q84/SUMIFS(DETAIL!$M$2:$M$137,DETAIL!$B$2:$B$137,$C84),0)</f>
        <v>0.94444444444444442</v>
      </c>
      <c r="S84" s="48" t="str">
        <f>IFERROR(SUMIFS(DETAIL!$K$2:$K$137,DETAIL!$B$2:$B$137,$C84,DETAIL!$F$2:$F$137,MONTH(DATE(YEAR(SUMMARY!$C$6),MONTH(SUMMARY!$C$6)+0,1)))/SUMIFS(DETAIL!$I$2:$I$137,DETAIL!$B$2:$B$137,$C84,DETAIL!$F$2:$F$137,MONTH(DATE(YEAR(SUMMARY!$C$6),MONTH(SUMMARY!$C$6)+0,1))),"-")</f>
        <v>-</v>
      </c>
      <c r="T84" s="48" t="str">
        <f>IFERROR(SUMIFS(DETAIL!$K$2:$K$137,DETAIL!$B$2:$B$137,$C84,DETAIL!$F$2:$F$137,MONTH(DATE(YEAR(SUMMARY!$C$6),MONTH(SUMMARY!$C$6)+1,1)))/SUMIFS(DETAIL!$I$2:$I$137,DETAIL!$B$2:$B$137,$C84,DETAIL!$F$2:$F$137,MONTH(DATE(YEAR(SUMMARY!$C$6),MONTH(SUMMARY!$C$6)+1,1))),"-")</f>
        <v>-</v>
      </c>
      <c r="U84" s="48">
        <f>IFERROR(SUMIFS(DETAIL!$K$2:$K$137,DETAIL!$B$2:$B$137,$C84,DETAIL!$F$2:$F$137,MONTH(DATE(YEAR(SUMMARY!$C$6),MONTH(SUMMARY!$C$6)+2,1)))/SUMIFS(DETAIL!$I$2:$I$137,DETAIL!$B$2:$B$137,$C84,DETAIL!$F$2:$F$137,MONTH(DATE(YEAR(SUMMARY!$C$6),MONTH(SUMMARY!$C$6)+2,1))),"-")</f>
        <v>1</v>
      </c>
      <c r="V84" s="48">
        <f>IFERROR(SUMIFS(DETAIL!$K$2:$K$137,DETAIL!$B$2:$B$137,$C84,DETAIL!$F$2:$F$137,MONTH(DATE(YEAR(SUMMARY!$C$6),MONTH(SUMMARY!$C$6)+3,1)))/SUMIFS(DETAIL!$I$2:$I$137,DETAIL!$B$2:$B$137,$C84,DETAIL!$F$2:$F$137,MONTH(DATE(YEAR(SUMMARY!$C$6),MONTH(SUMMARY!$C$6)+3,1))),"-")</f>
        <v>1</v>
      </c>
      <c r="W84" s="9">
        <f>ROUND(100*(K84*SUMMARY!$C$11+N84*SUMMARY!$C$12+R84*SUMMARY!$C$13+AG84*SUMMARY!$C$17),1)</f>
        <v>97.8</v>
      </c>
      <c r="X84" s="5" t="str">
        <f>IF(W84&gt;=100*SUMMARY!$C$14,"Sangat Baik",IF(W84&gt;=100*SUMMARY!$C$15,"Baik",IF(W84&gt;=100*SUMMARY!$C$16,"Cukup","Perlu Pembinaan")))</f>
        <v>Sangat Baik</v>
      </c>
      <c r="Y84" s="7">
        <f>SUMIFS(DETAIL!$J$2:$J$137,DETAIL!$B$2:$B$137,$C84)</f>
        <v>0</v>
      </c>
      <c r="Z84" s="7">
        <f>SUMIFS(DETAIL!$L$2:$L$137,DETAIL!$B$2:$B$137,$C84)</f>
        <v>0</v>
      </c>
      <c r="AA84" s="11">
        <f t="shared" si="15"/>
        <v>2.0008400000000002</v>
      </c>
      <c r="AB84" s="11">
        <f t="shared" si="16"/>
        <v>97.799160000000001</v>
      </c>
      <c r="AC84" s="49" t="str">
        <f t="shared" si="17"/>
        <v/>
      </c>
      <c r="AD84" s="5" t="str">
        <f>TEXT(PEMAGANG!J7,"dd-mm-yy")&amp;" s.d. "&amp;TEXT(PEMAGANG!K7,"dd-mm-yy")</f>
        <v>10-08-26 s.d. 30-09-26</v>
      </c>
      <c r="AE84" s="5" t="str">
        <f>PEMAGANG!N7</f>
        <v>Masuk 10-08-2026</v>
      </c>
      <c r="AF84" s="50">
        <f>IFERROR(INDEX(PRODUKTIVITAS!$J$10:$J$43,MATCH($C84,PRODUKTIVITAS!$B$10:$B$43,0)),0)</f>
        <v>2.059061568497218</v>
      </c>
      <c r="AG84" s="51">
        <f>IFERROR(INDEX(PRODUKTIVITAS!$K$10:$K$43,MATCH($C84,PRODUKTIVITAS!$B$10:$B$43,0)),0)</f>
        <v>1</v>
      </c>
    </row>
    <row r="85" spans="1:33" ht="12.75" x14ac:dyDescent="0.2">
      <c r="A85" s="5">
        <f t="shared" si="12"/>
        <v>6</v>
      </c>
      <c r="B85" s="6" t="str">
        <f>PEMAGANG!B8</f>
        <v>MG/KH/3325</v>
      </c>
      <c r="C85" s="6" t="str">
        <f>PEMAGANG!C8</f>
        <v>TIARA MARTHA ASNADHINATA</v>
      </c>
      <c r="D85" s="6" t="str">
        <f>PEMAGANG!D8</f>
        <v>AHMAD JALALUDDIN BASYAR</v>
      </c>
      <c r="E85" s="6" t="str">
        <f>PEMAGANG!E8</f>
        <v>Kontrak Project</v>
      </c>
      <c r="F85" s="6" t="str">
        <f>PEMAGANG!F8</f>
        <v>PGS SM OF DIGITAL BUSSINES</v>
      </c>
      <c r="G85" s="47">
        <f>IF(PEMAGANG!H8="","Tidak tercatat",PEMAGANG!H8)</f>
        <v>45985</v>
      </c>
      <c r="H85" s="47">
        <f>IF(PEMAGANG!I8="","Tidak tercatat",PEMAGANG!I8)</f>
        <v>46356</v>
      </c>
      <c r="I85" s="7">
        <f>SUMIFS(DETAIL!$I$2:$I$137,DETAIL!$B$2:$B$137,$C85)</f>
        <v>75</v>
      </c>
      <c r="J85" s="7">
        <f>SUMIFS(DETAIL!$K$2:$K$137,DETAIL!$B$2:$B$137,$C85)</f>
        <v>72</v>
      </c>
      <c r="K85" s="8">
        <f t="shared" si="13"/>
        <v>0.96</v>
      </c>
      <c r="L85" s="7">
        <f t="shared" si="14"/>
        <v>3</v>
      </c>
      <c r="M85" s="7">
        <f>SUMIFS(DETAIL!$N$2:$N$137,DETAIL!$B$2:$B$137,$C85)</f>
        <v>5</v>
      </c>
      <c r="N85" s="8">
        <f>IFERROR(1-M85/SUMIFS(DETAIL!$M$2:$M$137,DETAIL!$B$2:$B$137,$C85),0)</f>
        <v>0.9358974358974359</v>
      </c>
      <c r="O85" s="9">
        <f>IFERROR(SUMIFS(DETAIL!$O$2:$O$137,DETAIL!$B$2:$B$137,$C85)/M85,0)</f>
        <v>14.800000000000006</v>
      </c>
      <c r="P85" s="7">
        <f>SUMIFS(DETAIL!$P$2:$P$137,DETAIL!$B$2:$B$137,$C85)</f>
        <v>5</v>
      </c>
      <c r="Q85" s="7">
        <f>SUMIFS(DETAIL!$Q$2:$Q$137,DETAIL!$B$2:$B$137,$C85)</f>
        <v>73</v>
      </c>
      <c r="R85" s="8">
        <f>IFERROR(Q85/SUMIFS(DETAIL!$M$2:$M$137,DETAIL!$B$2:$B$137,$C85),0)</f>
        <v>0.9358974358974359</v>
      </c>
      <c r="S85" s="48">
        <f>IFERROR(SUMIFS(DETAIL!$K$2:$K$137,DETAIL!$B$2:$B$137,$C85,DETAIL!$F$2:$F$137,MONTH(DATE(YEAR(SUMMARY!$C$6),MONTH(SUMMARY!$C$6)+0,1)))/SUMIFS(DETAIL!$I$2:$I$137,DETAIL!$B$2:$B$137,$C85,DETAIL!$F$2:$F$137,MONTH(DATE(YEAR(SUMMARY!$C$6),MONTH(SUMMARY!$C$6)+0,1))),"-")</f>
        <v>1</v>
      </c>
      <c r="T85" s="48">
        <f>IFERROR(SUMIFS(DETAIL!$K$2:$K$137,DETAIL!$B$2:$B$137,$C85,DETAIL!$F$2:$F$137,MONTH(DATE(YEAR(SUMMARY!$C$6),MONTH(SUMMARY!$C$6)+1,1)))/SUMIFS(DETAIL!$I$2:$I$137,DETAIL!$B$2:$B$137,$C85,DETAIL!$F$2:$F$137,MONTH(DATE(YEAR(SUMMARY!$C$6),MONTH(SUMMARY!$C$6)+1,1))),"-")</f>
        <v>0.88888888888888884</v>
      </c>
      <c r="U85" s="48">
        <f>IFERROR(SUMIFS(DETAIL!$K$2:$K$137,DETAIL!$B$2:$B$137,$C85,DETAIL!$F$2:$F$137,MONTH(DATE(YEAR(SUMMARY!$C$6),MONTH(SUMMARY!$C$6)+2,1)))/SUMIFS(DETAIL!$I$2:$I$137,DETAIL!$B$2:$B$137,$C85,DETAIL!$F$2:$F$137,MONTH(DATE(YEAR(SUMMARY!$C$6),MONTH(SUMMARY!$C$6)+2,1))),"-")</f>
        <v>0.94736842105263153</v>
      </c>
      <c r="V85" s="48">
        <f>IFERROR(SUMIFS(DETAIL!$K$2:$K$137,DETAIL!$B$2:$B$137,$C85,DETAIL!$F$2:$F$137,MONTH(DATE(YEAR(SUMMARY!$C$6),MONTH(SUMMARY!$C$6)+3,1)))/SUMIFS(DETAIL!$I$2:$I$137,DETAIL!$B$2:$B$137,$C85,DETAIL!$F$2:$F$137,MONTH(DATE(YEAR(SUMMARY!$C$6),MONTH(SUMMARY!$C$6)+3,1))),"-")</f>
        <v>1</v>
      </c>
      <c r="W85" s="9">
        <f>ROUND(100*(K85*SUMMARY!$C$11+N85*SUMMARY!$C$12+R85*SUMMARY!$C$13+AG85*SUMMARY!$C$17),1)</f>
        <v>96.2</v>
      </c>
      <c r="X85" s="5" t="str">
        <f>IF(W85&gt;=100*SUMMARY!$C$14,"Sangat Baik",IF(W85&gt;=100*SUMMARY!$C$15,"Baik",IF(W85&gt;=100*SUMMARY!$C$16,"Cukup","Perlu Pembinaan")))</f>
        <v>Sangat Baik</v>
      </c>
      <c r="Y85" s="7">
        <f>SUMIFS(DETAIL!$J$2:$J$137,DETAIL!$B$2:$B$137,$C85)</f>
        <v>9</v>
      </c>
      <c r="Z85" s="7">
        <f>SUMIFS(DETAIL!$L$2:$L$137,DETAIL!$B$2:$B$137,$C85)</f>
        <v>6</v>
      </c>
      <c r="AA85" s="11">
        <f t="shared" si="15"/>
        <v>5.0008499999999998</v>
      </c>
      <c r="AB85" s="11">
        <f t="shared" si="16"/>
        <v>96.199150000000003</v>
      </c>
      <c r="AC85" s="49">
        <f t="shared" si="17"/>
        <v>0.9599915</v>
      </c>
      <c r="AD85" s="5" t="str">
        <f>TEXT(PEMAGANG!J8,"dd-mm-yy")&amp;" s.d. "&amp;TEXT(PEMAGANG!K8,"dd-mm-yy")</f>
        <v>01-06-26 s.d. 30-09-26</v>
      </c>
      <c r="AE85" s="5" t="str">
        <f>PEMAGANG!N8</f>
        <v>Aktif sepanjang periode</v>
      </c>
      <c r="AF85" s="50">
        <f>IFERROR(INDEX(PRODUKTIVITAS!$J$10:$J$43,MATCH($C85,PRODUKTIVITAS!$B$10:$B$43,0)),0)</f>
        <v>1.4297844267291735</v>
      </c>
      <c r="AG85" s="51">
        <f>IFERROR(INDEX(PRODUKTIVITAS!$K$10:$K$43,MATCH($C85,PRODUKTIVITAS!$B$10:$B$43,0)),0)</f>
        <v>1</v>
      </c>
    </row>
    <row r="86" spans="1:33" ht="12.75" x14ac:dyDescent="0.2">
      <c r="A86" s="5">
        <f t="shared" si="12"/>
        <v>7</v>
      </c>
      <c r="B86" s="6" t="str">
        <f>PEMAGANG!B9</f>
        <v>MG4326</v>
      </c>
      <c r="C86" s="6" t="str">
        <f>PEMAGANG!C9</f>
        <v>WIDIYA DESY MAWAR SARI</v>
      </c>
      <c r="D86" s="6" t="str">
        <f>PEMAGANG!D9</f>
        <v>AHMAD JALALUDDIN BASYAR</v>
      </c>
      <c r="E86" s="6" t="str">
        <f>PEMAGANG!E9</f>
        <v>MANDIRI</v>
      </c>
      <c r="F86" s="6" t="str">
        <f>PEMAGANG!F9</f>
        <v>PGS SM OF DIGITAL BUSSINES</v>
      </c>
      <c r="G86" s="47">
        <f>IF(PEMAGANG!H9="","Tidak tercatat",PEMAGANG!H9)</f>
        <v>46175</v>
      </c>
      <c r="H86" s="47">
        <f>IF(PEMAGANG!I9="","Tidak tercatat",PEMAGANG!I9)</f>
        <v>46358</v>
      </c>
      <c r="I86" s="7">
        <f>SUMIFS(DETAIL!$I$2:$I$137,DETAIL!$B$2:$B$137,$C86)</f>
        <v>75</v>
      </c>
      <c r="J86" s="7">
        <f>SUMIFS(DETAIL!$K$2:$K$137,DETAIL!$B$2:$B$137,$C86)</f>
        <v>73</v>
      </c>
      <c r="K86" s="8">
        <f t="shared" si="13"/>
        <v>0.97333333333333338</v>
      </c>
      <c r="L86" s="7">
        <f t="shared" si="14"/>
        <v>2</v>
      </c>
      <c r="M86" s="7">
        <f>SUMIFS(DETAIL!$N$2:$N$137,DETAIL!$B$2:$B$137,$C86)</f>
        <v>29</v>
      </c>
      <c r="N86" s="8">
        <f>IFERROR(1-M86/SUMIFS(DETAIL!$M$2:$M$137,DETAIL!$B$2:$B$137,$C86),0)</f>
        <v>0.60810810810810811</v>
      </c>
      <c r="O86" s="9">
        <f>IFERROR(SUMIFS(DETAIL!$O$2:$O$137,DETAIL!$B$2:$B$137,$C86)/M86,0)</f>
        <v>64.793103448275858</v>
      </c>
      <c r="P86" s="7">
        <f>SUMIFS(DETAIL!$P$2:$P$137,DETAIL!$B$2:$B$137,$C86)</f>
        <v>5</v>
      </c>
      <c r="Q86" s="7">
        <f>SUMIFS(DETAIL!$Q$2:$Q$137,DETAIL!$B$2:$B$137,$C86)</f>
        <v>58</v>
      </c>
      <c r="R86" s="8">
        <f>IFERROR(Q86/SUMIFS(DETAIL!$M$2:$M$137,DETAIL!$B$2:$B$137,$C86),0)</f>
        <v>0.78378378378378377</v>
      </c>
      <c r="S86" s="48">
        <f>IFERROR(SUMIFS(DETAIL!$K$2:$K$137,DETAIL!$B$2:$B$137,$C86,DETAIL!$F$2:$F$137,MONTH(DATE(YEAR(SUMMARY!$C$6),MONTH(SUMMARY!$C$6)+0,1)))/SUMIFS(DETAIL!$I$2:$I$137,DETAIL!$B$2:$B$137,$C86,DETAIL!$F$2:$F$137,MONTH(DATE(YEAR(SUMMARY!$C$6),MONTH(SUMMARY!$C$6)+0,1))),"-")</f>
        <v>1</v>
      </c>
      <c r="T86" s="48">
        <f>IFERROR(SUMIFS(DETAIL!$K$2:$K$137,DETAIL!$B$2:$B$137,$C86,DETAIL!$F$2:$F$137,MONTH(DATE(YEAR(SUMMARY!$C$6),MONTH(SUMMARY!$C$6)+1,1)))/SUMIFS(DETAIL!$I$2:$I$137,DETAIL!$B$2:$B$137,$C86,DETAIL!$F$2:$F$137,MONTH(DATE(YEAR(SUMMARY!$C$6),MONTH(SUMMARY!$C$6)+1,1))),"-")</f>
        <v>1</v>
      </c>
      <c r="U86" s="48">
        <f>IFERROR(SUMIFS(DETAIL!$K$2:$K$137,DETAIL!$B$2:$B$137,$C86,DETAIL!$F$2:$F$137,MONTH(DATE(YEAR(SUMMARY!$C$6),MONTH(SUMMARY!$C$6)+2,1)))/SUMIFS(DETAIL!$I$2:$I$137,DETAIL!$B$2:$B$137,$C86,DETAIL!$F$2:$F$137,MONTH(DATE(YEAR(SUMMARY!$C$6),MONTH(SUMMARY!$C$6)+2,1))),"-")</f>
        <v>1</v>
      </c>
      <c r="V86" s="48">
        <f>IFERROR(SUMIFS(DETAIL!$K$2:$K$137,DETAIL!$B$2:$B$137,$C86,DETAIL!$F$2:$F$137,MONTH(DATE(YEAR(SUMMARY!$C$6),MONTH(SUMMARY!$C$6)+3,1)))/SUMIFS(DETAIL!$I$2:$I$137,DETAIL!$B$2:$B$137,$C86,DETAIL!$F$2:$F$137,MONTH(DATE(YEAR(SUMMARY!$C$6),MONTH(SUMMARY!$C$6)+3,1))),"-")</f>
        <v>0.90909090909090906</v>
      </c>
      <c r="W86" s="9">
        <f>ROUND(100*(K86*SUMMARY!$C$11+N86*SUMMARY!$C$12+R86*SUMMARY!$C$13+AG86*SUMMARY!$C$17),1)</f>
        <v>65.400000000000006</v>
      </c>
      <c r="X86" s="5" t="str">
        <f>IF(W86&gt;=100*SUMMARY!$C$14,"Sangat Baik",IF(W86&gt;=100*SUMMARY!$C$15,"Baik",IF(W86&gt;=100*SUMMARY!$C$16,"Cukup","Perlu Pembinaan")))</f>
        <v>Perlu Pembinaan</v>
      </c>
      <c r="Y86" s="7">
        <f>SUMIFS(DETAIL!$J$2:$J$137,DETAIL!$B$2:$B$137,$C86)</f>
        <v>9</v>
      </c>
      <c r="Z86" s="7">
        <f>SUMIFS(DETAIL!$L$2:$L$137,DETAIL!$B$2:$B$137,$C86)</f>
        <v>1</v>
      </c>
      <c r="AA86" s="11">
        <f t="shared" si="15"/>
        <v>29.000859999999999</v>
      </c>
      <c r="AB86" s="11">
        <f t="shared" si="16"/>
        <v>65.399140000000003</v>
      </c>
      <c r="AC86" s="49">
        <f t="shared" si="17"/>
        <v>0.97332473333333336</v>
      </c>
      <c r="AD86" s="5" t="str">
        <f>TEXT(PEMAGANG!J9,"dd-mm-yy")&amp;" s.d. "&amp;TEXT(PEMAGANG!K9,"dd-mm-yy")</f>
        <v>02-06-26 s.d. 30-09-26</v>
      </c>
      <c r="AE86" s="5" t="str">
        <f>PEMAGANG!N9</f>
        <v>Masuk 02-06-2026</v>
      </c>
      <c r="AF86" s="50">
        <f>IFERROR(INDEX(PRODUKTIVITAS!$J$10:$J$43,MATCH($C86,PRODUKTIVITAS!$B$10:$B$43,0)),0)</f>
        <v>0.2797242684723949</v>
      </c>
      <c r="AG86" s="51">
        <f>IFERROR(INDEX(PRODUKTIVITAS!$K$10:$K$43,MATCH($C86,PRODUKTIVITAS!$B$10:$B$43,0)),0)</f>
        <v>0.2797242684723949</v>
      </c>
    </row>
    <row r="87" spans="1:33" x14ac:dyDescent="0.2">
      <c r="A87" s="1" t="str">
        <f>"Pembimbing: "&amp;D88&amp;"  ("&amp;COUNTIF($D$79:$D$133,D88)&amp;" pemagang)"</f>
        <v>Pembimbing: AKHMAT ABIDIN  (1 pemagang)</v>
      </c>
      <c r="B87" s="1"/>
      <c r="C87" s="1"/>
      <c r="D87" s="1"/>
      <c r="E87" s="1"/>
      <c r="F87" s="1"/>
      <c r="G87" s="1"/>
      <c r="H87" s="1"/>
      <c r="I87" s="1"/>
      <c r="J87" s="1"/>
      <c r="K87" s="1"/>
      <c r="L87" s="1"/>
      <c r="M87" s="1"/>
      <c r="N87" s="1"/>
      <c r="O87" s="1"/>
      <c r="P87" s="1"/>
      <c r="Q87" s="1"/>
      <c r="R87" s="1"/>
      <c r="S87" s="1"/>
      <c r="T87" s="1"/>
      <c r="U87" s="1"/>
      <c r="V87" s="1"/>
      <c r="W87" s="1"/>
      <c r="X87" s="1"/>
      <c r="Y87" s="1"/>
      <c r="Z87" s="1"/>
    </row>
    <row r="88" spans="1:33" ht="12.75" x14ac:dyDescent="0.2">
      <c r="A88" s="5">
        <f>ROW()-ROW($A$78)-2</f>
        <v>8</v>
      </c>
      <c r="B88" s="6" t="str">
        <f>PEMAGANG!B10</f>
        <v>MG4126</v>
      </c>
      <c r="C88" s="6" t="str">
        <f>PEMAGANG!C10</f>
        <v>NURIKA AMELIA ROSYIDAH</v>
      </c>
      <c r="D88" s="6" t="str">
        <f>PEMAGANG!D10</f>
        <v>AKHMAT ABIDIN</v>
      </c>
      <c r="E88" s="6" t="str">
        <f>PEMAGANG!E10</f>
        <v>MANDIRI</v>
      </c>
      <c r="F88" s="6" t="str">
        <f>PEMAGANG!F10</f>
        <v>PJ GM OF MARKETING (SID)</v>
      </c>
      <c r="G88" s="47">
        <f>IF(PEMAGANG!H10="","Tidak tercatat",PEMAGANG!H10)</f>
        <v>46062</v>
      </c>
      <c r="H88" s="47">
        <f>IF(PEMAGANG!I10="","Tidak tercatat",PEMAGANG!I10)</f>
        <v>46263</v>
      </c>
      <c r="I88" s="7">
        <f>SUMIFS(DETAIL!$I$2:$I$137,DETAIL!$B$2:$B$137,$C88)</f>
        <v>52</v>
      </c>
      <c r="J88" s="7">
        <f>SUMIFS(DETAIL!$K$2:$K$137,DETAIL!$B$2:$B$137,$C88)</f>
        <v>48</v>
      </c>
      <c r="K88" s="8">
        <f>IFERROR(J88/I88,0)</f>
        <v>0.92307692307692313</v>
      </c>
      <c r="L88" s="7">
        <f>I88-J88</f>
        <v>4</v>
      </c>
      <c r="M88" s="7">
        <f>SUMIFS(DETAIL!$N$2:$N$137,DETAIL!$B$2:$B$137,$C88)</f>
        <v>3</v>
      </c>
      <c r="N88" s="8">
        <f>IFERROR(1-M88/SUMIFS(DETAIL!$M$2:$M$137,DETAIL!$B$2:$B$137,$C88),0)</f>
        <v>0.94444444444444442</v>
      </c>
      <c r="O88" s="9">
        <f>IFERROR(SUMIFS(DETAIL!$O$2:$O$137,DETAIL!$B$2:$B$137,$C88)/M88,0)</f>
        <v>3.3333333333333197</v>
      </c>
      <c r="P88" s="7">
        <f>SUMIFS(DETAIL!$P$2:$P$137,DETAIL!$B$2:$B$137,$C88)</f>
        <v>5</v>
      </c>
      <c r="Q88" s="7">
        <f>SUMIFS(DETAIL!$Q$2:$Q$137,DETAIL!$B$2:$B$137,$C88)</f>
        <v>51</v>
      </c>
      <c r="R88" s="8">
        <f>IFERROR(Q88/SUMIFS(DETAIL!$M$2:$M$137,DETAIL!$B$2:$B$137,$C88),0)</f>
        <v>0.94444444444444442</v>
      </c>
      <c r="S88" s="48">
        <f>IFERROR(SUMIFS(DETAIL!$K$2:$K$137,DETAIL!$B$2:$B$137,$C88,DETAIL!$F$2:$F$137,MONTH(DATE(YEAR(SUMMARY!$C$6),MONTH(SUMMARY!$C$6)+0,1)))/SUMIFS(DETAIL!$I$2:$I$137,DETAIL!$B$2:$B$137,$C88,DETAIL!$F$2:$F$137,MONTH(DATE(YEAR(SUMMARY!$C$6),MONTH(SUMMARY!$C$6)+0,1))),"-")</f>
        <v>0.875</v>
      </c>
      <c r="T88" s="48">
        <f>IFERROR(SUMIFS(DETAIL!$K$2:$K$137,DETAIL!$B$2:$B$137,$C88,DETAIL!$F$2:$F$137,MONTH(DATE(YEAR(SUMMARY!$C$6),MONTH(SUMMARY!$C$6)+1,1)))/SUMIFS(DETAIL!$I$2:$I$137,DETAIL!$B$2:$B$137,$C88,DETAIL!$F$2:$F$137,MONTH(DATE(YEAR(SUMMARY!$C$6),MONTH(SUMMARY!$C$6)+1,1))),"-")</f>
        <v>1</v>
      </c>
      <c r="U88" s="48">
        <f>IFERROR(SUMIFS(DETAIL!$K$2:$K$137,DETAIL!$B$2:$B$137,$C88,DETAIL!$F$2:$F$137,MONTH(DATE(YEAR(SUMMARY!$C$6),MONTH(SUMMARY!$C$6)+2,1)))/SUMIFS(DETAIL!$I$2:$I$137,DETAIL!$B$2:$B$137,$C88,DETAIL!$F$2:$F$137,MONTH(DATE(YEAR(SUMMARY!$C$6),MONTH(SUMMARY!$C$6)+2,1))),"-")</f>
        <v>0.88888888888888884</v>
      </c>
      <c r="V88" s="48" t="str">
        <f>IFERROR(SUMIFS(DETAIL!$K$2:$K$137,DETAIL!$B$2:$B$137,$C88,DETAIL!$F$2:$F$137,MONTH(DATE(YEAR(SUMMARY!$C$6),MONTH(SUMMARY!$C$6)+3,1)))/SUMIFS(DETAIL!$I$2:$I$137,DETAIL!$B$2:$B$137,$C88,DETAIL!$F$2:$F$137,MONTH(DATE(YEAR(SUMMARY!$C$6),MONTH(SUMMARY!$C$6)+3,1))),"-")</f>
        <v>-</v>
      </c>
      <c r="W88" s="9">
        <f>ROUND(100*(K88*SUMMARY!$C$11+N88*SUMMARY!$C$12+R88*SUMMARY!$C$13+AG88*SUMMARY!$C$17),1)</f>
        <v>95.5</v>
      </c>
      <c r="X88" s="5" t="str">
        <f>IF(W88&gt;=100*SUMMARY!$C$14,"Sangat Baik",IF(W88&gt;=100*SUMMARY!$C$15,"Baik",IF(W88&gt;=100*SUMMARY!$C$16,"Cukup","Perlu Pembinaan")))</f>
        <v>Sangat Baik</v>
      </c>
      <c r="Y88" s="7">
        <f>SUMIFS(DETAIL!$J$2:$J$137,DETAIL!$B$2:$B$137,$C88)</f>
        <v>9</v>
      </c>
      <c r="Z88" s="7">
        <f>SUMIFS(DETAIL!$L$2:$L$137,DETAIL!$B$2:$B$137,$C88)</f>
        <v>7</v>
      </c>
      <c r="AA88" s="11">
        <f>M88+ROW()/100000</f>
        <v>3.00088</v>
      </c>
      <c r="AB88" s="11">
        <f>W88-ROW()/100000</f>
        <v>95.499120000000005</v>
      </c>
      <c r="AC88" s="49">
        <f>IF(I88&gt;=40,K88-ROW()/10000000,"")</f>
        <v>0.9230681230769231</v>
      </c>
      <c r="AD88" s="5" t="str">
        <f>TEXT(PEMAGANG!J10,"dd-mm-yy")&amp;" s.d. "&amp;TEXT(PEMAGANG!K10,"dd-mm-yy")</f>
        <v>01-06-26 s.d. 29-08-26</v>
      </c>
      <c r="AE88" s="5" t="str">
        <f>PEMAGANG!N10</f>
        <v>Selesai 29-08-2026</v>
      </c>
      <c r="AF88" s="50">
        <f>IFERROR(INDEX(PRODUKTIVITAS!$J$10:$J$43,MATCH($C88,PRODUKTIVITAS!$B$10:$B$43,0)),0)</f>
        <v>1.1054906614530671</v>
      </c>
      <c r="AG88" s="51">
        <f>IFERROR(INDEX(PRODUKTIVITAS!$K$10:$K$43,MATCH($C88,PRODUKTIVITAS!$B$10:$B$43,0)),0)</f>
        <v>1</v>
      </c>
    </row>
    <row r="89" spans="1:33" x14ac:dyDescent="0.2">
      <c r="A89" s="1" t="str">
        <f>"Pembimbing: "&amp;D90&amp;"  ("&amp;COUNTIF($D$79:$D$133,D90)&amp;" pemagang)"</f>
        <v>Pembimbing: ARIFANO KUSUMA BAYU  (1 pemagang)</v>
      </c>
      <c r="B89" s="1"/>
      <c r="C89" s="1"/>
      <c r="D89" s="1"/>
      <c r="E89" s="1"/>
      <c r="F89" s="1"/>
      <c r="G89" s="1"/>
      <c r="H89" s="1"/>
      <c r="I89" s="1"/>
      <c r="J89" s="1"/>
      <c r="K89" s="1"/>
      <c r="L89" s="1"/>
      <c r="M89" s="1"/>
      <c r="N89" s="1"/>
      <c r="O89" s="1"/>
      <c r="P89" s="1"/>
      <c r="Q89" s="1"/>
      <c r="R89" s="1"/>
      <c r="S89" s="1"/>
      <c r="T89" s="1"/>
      <c r="U89" s="1"/>
      <c r="V89" s="1"/>
      <c r="W89" s="1"/>
      <c r="X89" s="1"/>
      <c r="Y89" s="1"/>
      <c r="Z89" s="1"/>
    </row>
    <row r="90" spans="1:33" ht="12.75" x14ac:dyDescent="0.2">
      <c r="A90" s="5">
        <f>ROW()-ROW($A$78)-3</f>
        <v>9</v>
      </c>
      <c r="B90" s="6" t="str">
        <f>PEMAGANG!B11</f>
        <v>MG/KH/3525</v>
      </c>
      <c r="C90" s="6" t="str">
        <f>PEMAGANG!C11</f>
        <v>JANU PRASTYO</v>
      </c>
      <c r="D90" s="6" t="str">
        <f>PEMAGANG!D11</f>
        <v>ARIFANO KUSUMA BAYU</v>
      </c>
      <c r="E90" s="6" t="str">
        <f>PEMAGANG!E11</f>
        <v>Kontrak Project</v>
      </c>
      <c r="F90" s="6" t="str">
        <f>PEMAGANG!F11</f>
        <v>PGS SM OF DIGITAL BUSSINES</v>
      </c>
      <c r="G90" s="47">
        <f>IF(PEMAGANG!H11="","Tidak tercatat",PEMAGANG!H11)</f>
        <v>45985</v>
      </c>
      <c r="H90" s="47">
        <f>IF(PEMAGANG!I11="","Tidak tercatat",PEMAGANG!I11)</f>
        <v>46356</v>
      </c>
      <c r="I90" s="7">
        <f>SUMIFS(DETAIL!$I$2:$I$137,DETAIL!$B$2:$B$137,$C90)</f>
        <v>75</v>
      </c>
      <c r="J90" s="7">
        <f>SUMIFS(DETAIL!$K$2:$K$137,DETAIL!$B$2:$B$137,$C90)</f>
        <v>71</v>
      </c>
      <c r="K90" s="8">
        <f>IFERROR(J90/I90,0)</f>
        <v>0.94666666666666666</v>
      </c>
      <c r="L90" s="7">
        <f>I90-J90</f>
        <v>4</v>
      </c>
      <c r="M90" s="7">
        <f>SUMIFS(DETAIL!$N$2:$N$137,DETAIL!$B$2:$B$137,$C90)</f>
        <v>28</v>
      </c>
      <c r="N90" s="8">
        <f>IFERROR(1-M90/SUMIFS(DETAIL!$M$2:$M$137,DETAIL!$B$2:$B$137,$C90),0)</f>
        <v>0.63636363636363635</v>
      </c>
      <c r="O90" s="9">
        <f>IFERROR(SUMIFS(DETAIL!$O$2:$O$137,DETAIL!$B$2:$B$137,$C90)/M90,0)</f>
        <v>6.6071428571428523</v>
      </c>
      <c r="P90" s="7">
        <f>SUMIFS(DETAIL!$P$2:$P$137,DETAIL!$B$2:$B$137,$C90)</f>
        <v>3</v>
      </c>
      <c r="Q90" s="7">
        <f>SUMIFS(DETAIL!$Q$2:$Q$137,DETAIL!$B$2:$B$137,$C90)</f>
        <v>76</v>
      </c>
      <c r="R90" s="8">
        <f>IFERROR(Q90/SUMIFS(DETAIL!$M$2:$M$137,DETAIL!$B$2:$B$137,$C90),0)</f>
        <v>0.98701298701298701</v>
      </c>
      <c r="S90" s="48">
        <f>IFERROR(SUMIFS(DETAIL!$K$2:$K$137,DETAIL!$B$2:$B$137,$C90,DETAIL!$F$2:$F$137,MONTH(DATE(YEAR(SUMMARY!$C$6),MONTH(SUMMARY!$C$6)+0,1)))/SUMIFS(DETAIL!$I$2:$I$137,DETAIL!$B$2:$B$137,$C90,DETAIL!$F$2:$F$137,MONTH(DATE(YEAR(SUMMARY!$C$6),MONTH(SUMMARY!$C$6)+0,1))),"-")</f>
        <v>1</v>
      </c>
      <c r="T90" s="48">
        <f>IFERROR(SUMIFS(DETAIL!$K$2:$K$137,DETAIL!$B$2:$B$137,$C90,DETAIL!$F$2:$F$137,MONTH(DATE(YEAR(SUMMARY!$C$6),MONTH(SUMMARY!$C$6)+1,1)))/SUMIFS(DETAIL!$I$2:$I$137,DETAIL!$B$2:$B$137,$C90,DETAIL!$F$2:$F$137,MONTH(DATE(YEAR(SUMMARY!$C$6),MONTH(SUMMARY!$C$6)+1,1))),"-")</f>
        <v>0.88888888888888884</v>
      </c>
      <c r="U90" s="48">
        <f>IFERROR(SUMIFS(DETAIL!$K$2:$K$137,DETAIL!$B$2:$B$137,$C90,DETAIL!$F$2:$F$137,MONTH(DATE(YEAR(SUMMARY!$C$6),MONTH(SUMMARY!$C$6)+2,1)))/SUMIFS(DETAIL!$I$2:$I$137,DETAIL!$B$2:$B$137,$C90,DETAIL!$F$2:$F$137,MONTH(DATE(YEAR(SUMMARY!$C$6),MONTH(SUMMARY!$C$6)+2,1))),"-")</f>
        <v>0.94736842105263153</v>
      </c>
      <c r="V90" s="48">
        <f>IFERROR(SUMIFS(DETAIL!$K$2:$K$137,DETAIL!$B$2:$B$137,$C90,DETAIL!$F$2:$F$137,MONTH(DATE(YEAR(SUMMARY!$C$6),MONTH(SUMMARY!$C$6)+3,1)))/SUMIFS(DETAIL!$I$2:$I$137,DETAIL!$B$2:$B$137,$C90,DETAIL!$F$2:$F$137,MONTH(DATE(YEAR(SUMMARY!$C$6),MONTH(SUMMARY!$C$6)+3,1))),"-")</f>
        <v>0.95454545454545459</v>
      </c>
      <c r="W90" s="9">
        <f>ROUND(100*(K90*SUMMARY!$C$11+N90*SUMMARY!$C$12+R90*SUMMARY!$C$13+AG90*SUMMARY!$C$17),1)</f>
        <v>90.9</v>
      </c>
      <c r="X90" s="5" t="str">
        <f>IF(W90&gt;=100*SUMMARY!$C$14,"Sangat Baik",IF(W90&gt;=100*SUMMARY!$C$15,"Baik",IF(W90&gt;=100*SUMMARY!$C$16,"Cukup","Perlu Pembinaan")))</f>
        <v>Sangat Baik</v>
      </c>
      <c r="Y90" s="7">
        <f>SUMIFS(DETAIL!$J$2:$J$137,DETAIL!$B$2:$B$137,$C90)</f>
        <v>9</v>
      </c>
      <c r="Z90" s="7">
        <f>SUMIFS(DETAIL!$L$2:$L$137,DETAIL!$B$2:$B$137,$C90)</f>
        <v>6</v>
      </c>
      <c r="AA90" s="11">
        <f>M90+ROW()/100000</f>
        <v>28.000900000000001</v>
      </c>
      <c r="AB90" s="11">
        <f>W90-ROW()/100000</f>
        <v>90.899100000000004</v>
      </c>
      <c r="AC90" s="49">
        <f>IF(I90&gt;=40,K90-ROW()/10000000,"")</f>
        <v>0.94665766666666662</v>
      </c>
      <c r="AD90" s="5" t="str">
        <f>TEXT(PEMAGANG!J11,"dd-mm-yy")&amp;" s.d. "&amp;TEXT(PEMAGANG!K11,"dd-mm-yy")</f>
        <v>01-06-26 s.d. 30-09-26</v>
      </c>
      <c r="AE90" s="5" t="str">
        <f>PEMAGANG!N11</f>
        <v>Aktif sepanjang periode</v>
      </c>
      <c r="AF90" s="50">
        <f>IFERROR(INDEX(PRODUKTIVITAS!$J$10:$J$43,MATCH($C90,PRODUKTIVITAS!$B$10:$B$43,0)),0)</f>
        <v>1.5320892216427868</v>
      </c>
      <c r="AG90" s="51">
        <f>IFERROR(INDEX(PRODUKTIVITAS!$K$10:$K$43,MATCH($C90,PRODUKTIVITAS!$B$10:$B$43,0)),0)</f>
        <v>1</v>
      </c>
    </row>
    <row r="91" spans="1:33" x14ac:dyDescent="0.2">
      <c r="A91" s="1" t="str">
        <f>"Pembimbing: "&amp;D92&amp;"  ("&amp;COUNTIF($D$79:$D$133,D92)&amp;" pemagang)"</f>
        <v>Pembimbing: DIAN RIZKA SARI  (2 pemagang)</v>
      </c>
      <c r="B91" s="1"/>
      <c r="C91" s="1"/>
      <c r="D91" s="1"/>
      <c r="E91" s="1"/>
      <c r="F91" s="1"/>
      <c r="G91" s="1"/>
      <c r="H91" s="1"/>
      <c r="I91" s="1"/>
      <c r="J91" s="1"/>
      <c r="K91" s="1"/>
      <c r="L91" s="1"/>
      <c r="M91" s="1"/>
      <c r="N91" s="1"/>
      <c r="O91" s="1"/>
      <c r="P91" s="1"/>
      <c r="Q91" s="1"/>
      <c r="R91" s="1"/>
      <c r="S91" s="1"/>
      <c r="T91" s="1"/>
      <c r="U91" s="1"/>
      <c r="V91" s="1"/>
      <c r="W91" s="1"/>
      <c r="X91" s="1"/>
      <c r="Y91" s="1"/>
      <c r="Z91" s="1"/>
    </row>
    <row r="92" spans="1:33" ht="12.75" x14ac:dyDescent="0.2">
      <c r="A92" s="5">
        <f>ROW()-ROW($A$78)-4</f>
        <v>10</v>
      </c>
      <c r="B92" s="6" t="str">
        <f>PEMAGANG!B12</f>
        <v>MG5026</v>
      </c>
      <c r="C92" s="6" t="str">
        <f>PEMAGANG!C12</f>
        <v>DINDA RAHADATUL AISY</v>
      </c>
      <c r="D92" s="6" t="str">
        <f>PEMAGANG!D12</f>
        <v>DIAN RIZKA SARI</v>
      </c>
      <c r="E92" s="6" t="str">
        <f>PEMAGANG!E12</f>
        <v>KEMNAKER</v>
      </c>
      <c r="F92" s="6" t="str">
        <f>PEMAGANG!F12</f>
        <v>PGS TREASURY (SID) OFFICER</v>
      </c>
      <c r="G92" s="47">
        <f>IF(PEMAGANG!H12="","Tidak tercatat",PEMAGANG!H12)</f>
        <v>46223</v>
      </c>
      <c r="H92" s="47">
        <f>IF(PEMAGANG!I12="","Tidak tercatat",PEMAGANG!I12)</f>
        <v>46386</v>
      </c>
      <c r="I92" s="7">
        <f>SUMIFS(DETAIL!$I$2:$I$137,DETAIL!$B$2:$B$137,$C92)</f>
        <v>49</v>
      </c>
      <c r="J92" s="7">
        <f>SUMIFS(DETAIL!$K$2:$K$137,DETAIL!$B$2:$B$137,$C92)</f>
        <v>42</v>
      </c>
      <c r="K92" s="8">
        <f>IFERROR(J92/I92,0)</f>
        <v>0.8571428571428571</v>
      </c>
      <c r="L92" s="7">
        <f>I92-J92</f>
        <v>7</v>
      </c>
      <c r="M92" s="7">
        <f>SUMIFS(DETAIL!$N$2:$N$137,DETAIL!$B$2:$B$137,$C92)</f>
        <v>0</v>
      </c>
      <c r="N92" s="8">
        <f>IFERROR(1-M92/SUMIFS(DETAIL!$M$2:$M$137,DETAIL!$B$2:$B$137,$C92),0)</f>
        <v>1</v>
      </c>
      <c r="O92" s="9">
        <f>IFERROR(SUMIFS(DETAIL!$O$2:$O$137,DETAIL!$B$2:$B$137,$C92)/M92,0)</f>
        <v>0</v>
      </c>
      <c r="P92" s="7">
        <f>SUMIFS(DETAIL!$P$2:$P$137,DETAIL!$B$2:$B$137,$C92)</f>
        <v>1</v>
      </c>
      <c r="Q92" s="7">
        <f>SUMIFS(DETAIL!$Q$2:$Q$137,DETAIL!$B$2:$B$137,$C92)</f>
        <v>42</v>
      </c>
      <c r="R92" s="8">
        <f>IFERROR(Q92/SUMIFS(DETAIL!$M$2:$M$137,DETAIL!$B$2:$B$137,$C92),0)</f>
        <v>1</v>
      </c>
      <c r="S92" s="48" t="str">
        <f>IFERROR(SUMIFS(DETAIL!$K$2:$K$137,DETAIL!$B$2:$B$137,$C92,DETAIL!$F$2:$F$137,MONTH(DATE(YEAR(SUMMARY!$C$6),MONTH(SUMMARY!$C$6)+0,1)))/SUMIFS(DETAIL!$I$2:$I$137,DETAIL!$B$2:$B$137,$C92,DETAIL!$F$2:$F$137,MONTH(DATE(YEAR(SUMMARY!$C$6),MONTH(SUMMARY!$C$6)+0,1))),"-")</f>
        <v>-</v>
      </c>
      <c r="T92" s="48">
        <f>IFERROR(SUMIFS(DETAIL!$K$2:$K$137,DETAIL!$B$2:$B$137,$C92,DETAIL!$F$2:$F$137,MONTH(DATE(YEAR(SUMMARY!$C$6),MONTH(SUMMARY!$C$6)+1,1)))/SUMIFS(DETAIL!$I$2:$I$137,DETAIL!$B$2:$B$137,$C92,DETAIL!$F$2:$F$137,MONTH(DATE(YEAR(SUMMARY!$C$6),MONTH(SUMMARY!$C$6)+1,1))),"-")</f>
        <v>0.875</v>
      </c>
      <c r="U92" s="48">
        <f>IFERROR(SUMIFS(DETAIL!$K$2:$K$137,DETAIL!$B$2:$B$137,$C92,DETAIL!$F$2:$F$137,MONTH(DATE(YEAR(SUMMARY!$C$6),MONTH(SUMMARY!$C$6)+2,1)))/SUMIFS(DETAIL!$I$2:$I$137,DETAIL!$B$2:$B$137,$C92,DETAIL!$F$2:$F$137,MONTH(DATE(YEAR(SUMMARY!$C$6),MONTH(SUMMARY!$C$6)+2,1))),"-")</f>
        <v>0.89473684210526316</v>
      </c>
      <c r="V92" s="48">
        <f>IFERROR(SUMIFS(DETAIL!$K$2:$K$137,DETAIL!$B$2:$B$137,$C92,DETAIL!$F$2:$F$137,MONTH(DATE(YEAR(SUMMARY!$C$6),MONTH(SUMMARY!$C$6)+3,1)))/SUMIFS(DETAIL!$I$2:$I$137,DETAIL!$B$2:$B$137,$C92,DETAIL!$F$2:$F$137,MONTH(DATE(YEAR(SUMMARY!$C$6),MONTH(SUMMARY!$C$6)+3,1))),"-")</f>
        <v>0.81818181818181823</v>
      </c>
      <c r="W92" s="9">
        <f>ROUND(100*(K92*SUMMARY!$C$11+N92*SUMMARY!$C$12+R92*SUMMARY!$C$13+AG92*SUMMARY!$C$17),1)</f>
        <v>81.400000000000006</v>
      </c>
      <c r="X92" s="5" t="str">
        <f>IF(W92&gt;=100*SUMMARY!$C$14,"Sangat Baik",IF(W92&gt;=100*SUMMARY!$C$15,"Baik",IF(W92&gt;=100*SUMMARY!$C$16,"Cukup","Perlu Pembinaan")))</f>
        <v>Baik</v>
      </c>
      <c r="Y92" s="7">
        <f>SUMIFS(DETAIL!$J$2:$J$137,DETAIL!$B$2:$B$137,$C92)</f>
        <v>2</v>
      </c>
      <c r="Z92" s="7">
        <f>SUMIFS(DETAIL!$L$2:$L$137,DETAIL!$B$2:$B$137,$C92)</f>
        <v>0</v>
      </c>
      <c r="AA92" s="11">
        <f>M92+ROW()/100000</f>
        <v>9.2000000000000003E-4</v>
      </c>
      <c r="AB92" s="11">
        <f>W92-ROW()/100000</f>
        <v>81.399080000000012</v>
      </c>
      <c r="AC92" s="49">
        <f>IF(I92&gt;=40,K92-ROW()/10000000,"")</f>
        <v>0.85713365714285705</v>
      </c>
      <c r="AD92" s="5" t="str">
        <f>TEXT(PEMAGANG!J12,"dd-mm-yy")&amp;" s.d. "&amp;TEXT(PEMAGANG!K12,"dd-mm-yy")</f>
        <v>20-07-26 s.d. 30-09-26</v>
      </c>
      <c r="AE92" s="5" t="str">
        <f>PEMAGANG!N12</f>
        <v>Masuk 20-07-2026</v>
      </c>
      <c r="AF92" s="50">
        <f>IFERROR(INDEX(PRODUKTIVITAS!$J$10:$J$43,MATCH($C92,PRODUKTIVITAS!$B$10:$B$43,0)),0)</f>
        <v>0.52417377709317292</v>
      </c>
      <c r="AG92" s="51">
        <f>IFERROR(INDEX(PRODUKTIVITAS!$K$10:$K$43,MATCH($C92,PRODUKTIVITAS!$B$10:$B$43,0)),0)</f>
        <v>0.52417377709317292</v>
      </c>
    </row>
    <row r="93" spans="1:33" ht="12.75" x14ac:dyDescent="0.2">
      <c r="A93" s="5">
        <f>ROW()-ROW($A$78)-4</f>
        <v>11</v>
      </c>
      <c r="B93" s="6" t="str">
        <f>PEMAGANG!B13</f>
        <v>MG27</v>
      </c>
      <c r="C93" s="6" t="str">
        <f>PEMAGANG!C13</f>
        <v>NIKEN AURELIA SAPUTRI</v>
      </c>
      <c r="D93" s="6" t="str">
        <f>PEMAGANG!D13</f>
        <v>DIAN RIZKA SARI</v>
      </c>
      <c r="E93" s="6" t="str">
        <f>PEMAGANG!E13</f>
        <v>MANDIRI</v>
      </c>
      <c r="F93" s="6" t="str">
        <f>PEMAGANG!F13</f>
        <v>PGS TREASURY (SID) OFFICER</v>
      </c>
      <c r="G93" s="47">
        <f>IF(PEMAGANG!H13="","Tidak tercatat",PEMAGANG!H13)</f>
        <v>45971</v>
      </c>
      <c r="H93" s="47">
        <f>IF(PEMAGANG!I13="","Tidak tercatat",PEMAGANG!I13)</f>
        <v>46203</v>
      </c>
      <c r="I93" s="7">
        <f>SUMIFS(DETAIL!$I$2:$I$137,DETAIL!$B$2:$B$137,$C93)</f>
        <v>16</v>
      </c>
      <c r="J93" s="7">
        <f>SUMIFS(DETAIL!$K$2:$K$137,DETAIL!$B$2:$B$137,$C93)</f>
        <v>16</v>
      </c>
      <c r="K93" s="8">
        <f>IFERROR(J93/I93,0)</f>
        <v>1</v>
      </c>
      <c r="L93" s="7">
        <f>I93-J93</f>
        <v>0</v>
      </c>
      <c r="M93" s="7">
        <f>SUMIFS(DETAIL!$N$2:$N$137,DETAIL!$B$2:$B$137,$C93)</f>
        <v>0</v>
      </c>
      <c r="N93" s="8">
        <f>IFERROR(1-M93/SUMIFS(DETAIL!$M$2:$M$137,DETAIL!$B$2:$B$137,$C93),0)</f>
        <v>1</v>
      </c>
      <c r="O93" s="9">
        <f>IFERROR(SUMIFS(DETAIL!$O$2:$O$137,DETAIL!$B$2:$B$137,$C93)/M93,0)</f>
        <v>0</v>
      </c>
      <c r="P93" s="7">
        <f>SUMIFS(DETAIL!$P$2:$P$137,DETAIL!$B$2:$B$137,$C93)</f>
        <v>2</v>
      </c>
      <c r="Q93" s="7">
        <f>SUMIFS(DETAIL!$Q$2:$Q$137,DETAIL!$B$2:$B$137,$C93)</f>
        <v>15</v>
      </c>
      <c r="R93" s="8">
        <f>IFERROR(Q93/SUMIFS(DETAIL!$M$2:$M$137,DETAIL!$B$2:$B$137,$C93),0)</f>
        <v>0.9375</v>
      </c>
      <c r="S93" s="48">
        <f>IFERROR(SUMIFS(DETAIL!$K$2:$K$137,DETAIL!$B$2:$B$137,$C93,DETAIL!$F$2:$F$137,MONTH(DATE(YEAR(SUMMARY!$C$6),MONTH(SUMMARY!$C$6)+0,1)))/SUMIFS(DETAIL!$I$2:$I$137,DETAIL!$B$2:$B$137,$C93,DETAIL!$F$2:$F$137,MONTH(DATE(YEAR(SUMMARY!$C$6),MONTH(SUMMARY!$C$6)+0,1))),"-")</f>
        <v>1</v>
      </c>
      <c r="T93" s="48" t="str">
        <f>IFERROR(SUMIFS(DETAIL!$K$2:$K$137,DETAIL!$B$2:$B$137,$C93,DETAIL!$F$2:$F$137,MONTH(DATE(YEAR(SUMMARY!$C$6),MONTH(SUMMARY!$C$6)+1,1)))/SUMIFS(DETAIL!$I$2:$I$137,DETAIL!$B$2:$B$137,$C93,DETAIL!$F$2:$F$137,MONTH(DATE(YEAR(SUMMARY!$C$6),MONTH(SUMMARY!$C$6)+1,1))),"-")</f>
        <v>-</v>
      </c>
      <c r="U93" s="48" t="str">
        <f>IFERROR(SUMIFS(DETAIL!$K$2:$K$137,DETAIL!$B$2:$B$137,$C93,DETAIL!$F$2:$F$137,MONTH(DATE(YEAR(SUMMARY!$C$6),MONTH(SUMMARY!$C$6)+2,1)))/SUMIFS(DETAIL!$I$2:$I$137,DETAIL!$B$2:$B$137,$C93,DETAIL!$F$2:$F$137,MONTH(DATE(YEAR(SUMMARY!$C$6),MONTH(SUMMARY!$C$6)+2,1))),"-")</f>
        <v>-</v>
      </c>
      <c r="V93" s="48" t="str">
        <f>IFERROR(SUMIFS(DETAIL!$K$2:$K$137,DETAIL!$B$2:$B$137,$C93,DETAIL!$F$2:$F$137,MONTH(DATE(YEAR(SUMMARY!$C$6),MONTH(SUMMARY!$C$6)+3,1)))/SUMIFS(DETAIL!$I$2:$I$137,DETAIL!$B$2:$B$137,$C93,DETAIL!$F$2:$F$137,MONTH(DATE(YEAR(SUMMARY!$C$6),MONTH(SUMMARY!$C$6)+3,1))),"-")</f>
        <v>-</v>
      </c>
      <c r="W93" s="9">
        <f>ROUND(100*(K93*SUMMARY!$C$11+N93*SUMMARY!$C$12+R93*SUMMARY!$C$13+AG93*SUMMARY!$C$17),1)</f>
        <v>81.3</v>
      </c>
      <c r="X93" s="5" t="str">
        <f>IF(W93&gt;=100*SUMMARY!$C$14,"Sangat Baik",IF(W93&gt;=100*SUMMARY!$C$15,"Baik",IF(W93&gt;=100*SUMMARY!$C$16,"Cukup","Perlu Pembinaan")))</f>
        <v>Baik</v>
      </c>
      <c r="Y93" s="7">
        <f>SUMIFS(DETAIL!$J$2:$J$137,DETAIL!$B$2:$B$137,$C93)</f>
        <v>4</v>
      </c>
      <c r="Z93" s="7">
        <f>SUMIFS(DETAIL!$L$2:$L$137,DETAIL!$B$2:$B$137,$C93)</f>
        <v>1</v>
      </c>
      <c r="AA93" s="11">
        <f>M93+ROW()/100000</f>
        <v>9.3000000000000005E-4</v>
      </c>
      <c r="AB93" s="11">
        <f>W93-ROW()/100000</f>
        <v>81.29907</v>
      </c>
      <c r="AC93" s="49" t="str">
        <f>IF(I93&gt;=40,K93-ROW()/10000000,"")</f>
        <v/>
      </c>
      <c r="AD93" s="5" t="str">
        <f>TEXT(PEMAGANG!J13,"dd-mm-yy")&amp;" s.d. "&amp;TEXT(PEMAGANG!K13,"dd-mm-yy")</f>
        <v>01-06-26 s.d. 30-06-26</v>
      </c>
      <c r="AE93" s="5" t="str">
        <f>PEMAGANG!N13</f>
        <v>Selesai 30-06-2026</v>
      </c>
      <c r="AF93" s="50">
        <f>IFERROR(INDEX(PRODUKTIVITAS!$J$10:$J$43,MATCH($C93,PRODUKTIVITAS!$B$10:$B$43,0)),0)</f>
        <v>0.41866910140630448</v>
      </c>
      <c r="AG93" s="51">
        <f>IFERROR(INDEX(PRODUKTIVITAS!$K$10:$K$43,MATCH($C93,PRODUKTIVITAS!$B$10:$B$43,0)),0)</f>
        <v>0.41866910140630448</v>
      </c>
    </row>
    <row r="94" spans="1:33" x14ac:dyDescent="0.2">
      <c r="A94" s="1" t="str">
        <f>"Pembimbing: "&amp;D95&amp;"  ("&amp;COUNTIF($D$79:$D$133,D95)&amp;" pemagang)"</f>
        <v>Pembimbing: DWI SULIASTARI  (2 pemagang)</v>
      </c>
      <c r="B94" s="1"/>
      <c r="C94" s="1"/>
      <c r="D94" s="1"/>
      <c r="E94" s="1"/>
      <c r="F94" s="1"/>
      <c r="G94" s="1"/>
      <c r="H94" s="1"/>
      <c r="I94" s="1"/>
      <c r="J94" s="1"/>
      <c r="K94" s="1"/>
      <c r="L94" s="1"/>
      <c r="M94" s="1"/>
      <c r="N94" s="1"/>
      <c r="O94" s="1"/>
      <c r="P94" s="1"/>
      <c r="Q94" s="1"/>
      <c r="R94" s="1"/>
      <c r="S94" s="1"/>
      <c r="T94" s="1"/>
      <c r="U94" s="1"/>
      <c r="V94" s="1"/>
      <c r="W94" s="1"/>
      <c r="X94" s="1"/>
      <c r="Y94" s="1"/>
      <c r="Z94" s="1"/>
    </row>
    <row r="95" spans="1:33" ht="12.75" x14ac:dyDescent="0.2">
      <c r="A95" s="5">
        <f>ROW()-ROW($A$78)-5</f>
        <v>12</v>
      </c>
      <c r="B95" s="6" t="str">
        <f>PEMAGANG!B14</f>
        <v>MG4426</v>
      </c>
      <c r="C95" s="6" t="str">
        <f>PEMAGANG!C14</f>
        <v>EKA PUTRI FEBRIANTI</v>
      </c>
      <c r="D95" s="6" t="str">
        <f>PEMAGANG!D14</f>
        <v>DWI SULIASTARI</v>
      </c>
      <c r="E95" s="6" t="str">
        <f>PEMAGANG!E14</f>
        <v>MANDIRI</v>
      </c>
      <c r="F95" s="6" t="str">
        <f>PEMAGANG!F14</f>
        <v>SM OF SECRETARIAT &amp; FILLING</v>
      </c>
      <c r="G95" s="47">
        <f>IF(PEMAGANG!H14="","Tidak tercatat",PEMAGANG!H14)</f>
        <v>46177</v>
      </c>
      <c r="H95" s="47">
        <f>IF(PEMAGANG!I14="","Tidak tercatat",PEMAGANG!I14)</f>
        <v>46387</v>
      </c>
      <c r="I95" s="7">
        <f>SUMIFS(DETAIL!$I$2:$I$137,DETAIL!$B$2:$B$137,$C95)</f>
        <v>74</v>
      </c>
      <c r="J95" s="7">
        <f>SUMIFS(DETAIL!$K$2:$K$137,DETAIL!$B$2:$B$137,$C95)</f>
        <v>69</v>
      </c>
      <c r="K95" s="8">
        <f>IFERROR(J95/I95,0)</f>
        <v>0.93243243243243246</v>
      </c>
      <c r="L95" s="7">
        <f>I95-J95</f>
        <v>5</v>
      </c>
      <c r="M95" s="7">
        <f>SUMIFS(DETAIL!$N$2:$N$137,DETAIL!$B$2:$B$137,$C95)</f>
        <v>3</v>
      </c>
      <c r="N95" s="8">
        <f>IFERROR(1-M95/SUMIFS(DETAIL!$M$2:$M$137,DETAIL!$B$2:$B$137,$C95),0)</f>
        <v>0.95652173913043481</v>
      </c>
      <c r="O95" s="9">
        <f>IFERROR(SUMIFS(DETAIL!$O$2:$O$137,DETAIL!$B$2:$B$137,$C95)/M95,0)</f>
        <v>186.33333333333334</v>
      </c>
      <c r="P95" s="7">
        <f>SUMIFS(DETAIL!$P$2:$P$137,DETAIL!$B$2:$B$137,$C95)</f>
        <v>3</v>
      </c>
      <c r="Q95" s="7">
        <f>SUMIFS(DETAIL!$Q$2:$Q$137,DETAIL!$B$2:$B$137,$C95)</f>
        <v>64</v>
      </c>
      <c r="R95" s="8">
        <f>IFERROR(Q95/SUMIFS(DETAIL!$M$2:$M$137,DETAIL!$B$2:$B$137,$C95),0)</f>
        <v>0.92753623188405798</v>
      </c>
      <c r="S95" s="48">
        <f>IFERROR(SUMIFS(DETAIL!$K$2:$K$137,DETAIL!$B$2:$B$137,$C95,DETAIL!$F$2:$F$137,MONTH(DATE(YEAR(SUMMARY!$C$6),MONTH(SUMMARY!$C$6)+0,1)))/SUMIFS(DETAIL!$I$2:$I$137,DETAIL!$B$2:$B$137,$C95,DETAIL!$F$2:$F$137,MONTH(DATE(YEAR(SUMMARY!$C$6),MONTH(SUMMARY!$C$6)+0,1))),"-")</f>
        <v>0.93333333333333335</v>
      </c>
      <c r="T95" s="48">
        <f>IFERROR(SUMIFS(DETAIL!$K$2:$K$137,DETAIL!$B$2:$B$137,$C95,DETAIL!$F$2:$F$137,MONTH(DATE(YEAR(SUMMARY!$C$6),MONTH(SUMMARY!$C$6)+1,1)))/SUMIFS(DETAIL!$I$2:$I$137,DETAIL!$B$2:$B$137,$C95,DETAIL!$F$2:$F$137,MONTH(DATE(YEAR(SUMMARY!$C$6),MONTH(SUMMARY!$C$6)+1,1))),"-")</f>
        <v>1</v>
      </c>
      <c r="U95" s="48">
        <f>IFERROR(SUMIFS(DETAIL!$K$2:$K$137,DETAIL!$B$2:$B$137,$C95,DETAIL!$F$2:$F$137,MONTH(DATE(YEAR(SUMMARY!$C$6),MONTH(SUMMARY!$C$6)+2,1)))/SUMIFS(DETAIL!$I$2:$I$137,DETAIL!$B$2:$B$137,$C95,DETAIL!$F$2:$F$137,MONTH(DATE(YEAR(SUMMARY!$C$6),MONTH(SUMMARY!$C$6)+2,1))),"-")</f>
        <v>1</v>
      </c>
      <c r="V95" s="48">
        <f>IFERROR(SUMIFS(DETAIL!$K$2:$K$137,DETAIL!$B$2:$B$137,$C95,DETAIL!$F$2:$F$137,MONTH(DATE(YEAR(SUMMARY!$C$6),MONTH(SUMMARY!$C$6)+3,1)))/SUMIFS(DETAIL!$I$2:$I$137,DETAIL!$B$2:$B$137,$C95,DETAIL!$F$2:$F$137,MONTH(DATE(YEAR(SUMMARY!$C$6),MONTH(SUMMARY!$C$6)+3,1))),"-")</f>
        <v>0.81818181818181823</v>
      </c>
      <c r="W95" s="9">
        <f>ROUND(100*(K95*SUMMARY!$C$11+N95*SUMMARY!$C$12+R95*SUMMARY!$C$13+AG95*SUMMARY!$C$17),1)</f>
        <v>77.7</v>
      </c>
      <c r="X95" s="5" t="str">
        <f>IF(W95&gt;=100*SUMMARY!$C$14,"Sangat Baik",IF(W95&gt;=100*SUMMARY!$C$15,"Baik",IF(W95&gt;=100*SUMMARY!$C$16,"Cukup","Perlu Pembinaan")))</f>
        <v>Cukup</v>
      </c>
      <c r="Y95" s="7">
        <f>SUMIFS(DETAIL!$J$2:$J$137,DETAIL!$B$2:$B$137,$C95)</f>
        <v>8</v>
      </c>
      <c r="Z95" s="7">
        <f>SUMIFS(DETAIL!$L$2:$L$137,DETAIL!$B$2:$B$137,$C95)</f>
        <v>0</v>
      </c>
      <c r="AA95" s="11">
        <f>M95+ROW()/100000</f>
        <v>3.00095</v>
      </c>
      <c r="AB95" s="11">
        <f>W95-ROW()/100000</f>
        <v>77.69905</v>
      </c>
      <c r="AC95" s="49">
        <f>IF(I95&gt;=40,K95-ROW()/10000000,"")</f>
        <v>0.93242293243243246</v>
      </c>
      <c r="AD95" s="5" t="str">
        <f>TEXT(PEMAGANG!J14,"dd-mm-yy")&amp;" s.d. "&amp;TEXT(PEMAGANG!K14,"dd-mm-yy")</f>
        <v>04-06-26 s.d. 30-09-26</v>
      </c>
      <c r="AE95" s="5" t="str">
        <f>PEMAGANG!N14</f>
        <v>Masuk 04-06-2026</v>
      </c>
      <c r="AF95" s="50">
        <f>IFERROR(INDEX(PRODUKTIVITAS!$J$10:$J$43,MATCH($C95,PRODUKTIVITAS!$B$10:$B$43,0)),0)</f>
        <v>0.4013379991636844</v>
      </c>
      <c r="AG95" s="51">
        <f>IFERROR(INDEX(PRODUKTIVITAS!$K$10:$K$43,MATCH($C95,PRODUKTIVITAS!$B$10:$B$43,0)),0)</f>
        <v>0.4013379991636844</v>
      </c>
    </row>
    <row r="96" spans="1:33" ht="12.75" x14ac:dyDescent="0.2">
      <c r="A96" s="5">
        <f>ROW()-ROW($A$78)-5</f>
        <v>13</v>
      </c>
      <c r="B96" s="6" t="str">
        <f>PEMAGANG!B15</f>
        <v>MG4526</v>
      </c>
      <c r="C96" s="6" t="str">
        <f>PEMAGANG!C15</f>
        <v>NABILA RAIS NUR ROMADHONA</v>
      </c>
      <c r="D96" s="6" t="str">
        <f>PEMAGANG!D15</f>
        <v>DWI SULIASTARI</v>
      </c>
      <c r="E96" s="6" t="str">
        <f>PEMAGANG!E15</f>
        <v>MANDIRI</v>
      </c>
      <c r="F96" s="6" t="str">
        <f>PEMAGANG!F15</f>
        <v>SM OF SECRETARIAT &amp; FILLING</v>
      </c>
      <c r="G96" s="47">
        <f>IF(PEMAGANG!H15="","Tidak tercatat",PEMAGANG!H15)</f>
        <v>46177</v>
      </c>
      <c r="H96" s="47">
        <f>IF(PEMAGANG!I15="","Tidak tercatat",PEMAGANG!I15)</f>
        <v>46387</v>
      </c>
      <c r="I96" s="7">
        <f>SUMIFS(DETAIL!$I$2:$I$137,DETAIL!$B$2:$B$137,$C96)</f>
        <v>74</v>
      </c>
      <c r="J96" s="7">
        <f>SUMIFS(DETAIL!$K$2:$K$137,DETAIL!$B$2:$B$137,$C96)</f>
        <v>69</v>
      </c>
      <c r="K96" s="8">
        <f>IFERROR(J96/I96,0)</f>
        <v>0.93243243243243246</v>
      </c>
      <c r="L96" s="7">
        <f>I96-J96</f>
        <v>5</v>
      </c>
      <c r="M96" s="7">
        <f>SUMIFS(DETAIL!$N$2:$N$137,DETAIL!$B$2:$B$137,$C96)</f>
        <v>4</v>
      </c>
      <c r="N96" s="8">
        <f>IFERROR(1-M96/SUMIFS(DETAIL!$M$2:$M$137,DETAIL!$B$2:$B$137,$C96),0)</f>
        <v>0.94202898550724634</v>
      </c>
      <c r="O96" s="9">
        <f>IFERROR(SUMIFS(DETAIL!$O$2:$O$137,DETAIL!$B$2:$B$137,$C96)/M96,0)</f>
        <v>91.5</v>
      </c>
      <c r="P96" s="7">
        <f>SUMIFS(DETAIL!$P$2:$P$137,DETAIL!$B$2:$B$137,$C96)</f>
        <v>3</v>
      </c>
      <c r="Q96" s="7">
        <f>SUMIFS(DETAIL!$Q$2:$Q$137,DETAIL!$B$2:$B$137,$C96)</f>
        <v>68</v>
      </c>
      <c r="R96" s="8">
        <f>IFERROR(Q96/SUMIFS(DETAIL!$M$2:$M$137,DETAIL!$B$2:$B$137,$C96),0)</f>
        <v>0.98550724637681164</v>
      </c>
      <c r="S96" s="48">
        <f>IFERROR(SUMIFS(DETAIL!$K$2:$K$137,DETAIL!$B$2:$B$137,$C96,DETAIL!$F$2:$F$137,MONTH(DATE(YEAR(SUMMARY!$C$6),MONTH(SUMMARY!$C$6)+0,1)))/SUMIFS(DETAIL!$I$2:$I$137,DETAIL!$B$2:$B$137,$C96,DETAIL!$F$2:$F$137,MONTH(DATE(YEAR(SUMMARY!$C$6),MONTH(SUMMARY!$C$6)+0,1))),"-")</f>
        <v>0.93333333333333335</v>
      </c>
      <c r="T96" s="48">
        <f>IFERROR(SUMIFS(DETAIL!$K$2:$K$137,DETAIL!$B$2:$B$137,$C96,DETAIL!$F$2:$F$137,MONTH(DATE(YEAR(SUMMARY!$C$6),MONTH(SUMMARY!$C$6)+1,1)))/SUMIFS(DETAIL!$I$2:$I$137,DETAIL!$B$2:$B$137,$C96,DETAIL!$F$2:$F$137,MONTH(DATE(YEAR(SUMMARY!$C$6),MONTH(SUMMARY!$C$6)+1,1))),"-")</f>
        <v>0.94444444444444442</v>
      </c>
      <c r="U96" s="48">
        <f>IFERROR(SUMIFS(DETAIL!$K$2:$K$137,DETAIL!$B$2:$B$137,$C96,DETAIL!$F$2:$F$137,MONTH(DATE(YEAR(SUMMARY!$C$6),MONTH(SUMMARY!$C$6)+2,1)))/SUMIFS(DETAIL!$I$2:$I$137,DETAIL!$B$2:$B$137,$C96,DETAIL!$F$2:$F$137,MONTH(DATE(YEAR(SUMMARY!$C$6),MONTH(SUMMARY!$C$6)+2,1))),"-")</f>
        <v>1</v>
      </c>
      <c r="V96" s="48">
        <f>IFERROR(SUMIFS(DETAIL!$K$2:$K$137,DETAIL!$B$2:$B$137,$C96,DETAIL!$F$2:$F$137,MONTH(DATE(YEAR(SUMMARY!$C$6),MONTH(SUMMARY!$C$6)+3,1)))/SUMIFS(DETAIL!$I$2:$I$137,DETAIL!$B$2:$B$137,$C96,DETAIL!$F$2:$F$137,MONTH(DATE(YEAR(SUMMARY!$C$6),MONTH(SUMMARY!$C$6)+3,1))),"-")</f>
        <v>0.86363636363636365</v>
      </c>
      <c r="W96" s="9">
        <f>ROUND(100*(K96*SUMMARY!$C$11+N96*SUMMARY!$C$12+R96*SUMMARY!$C$13+AG96*SUMMARY!$C$17),1)</f>
        <v>83.1</v>
      </c>
      <c r="X96" s="5" t="str">
        <f>IF(W96&gt;=100*SUMMARY!$C$14,"Sangat Baik",IF(W96&gt;=100*SUMMARY!$C$15,"Baik",IF(W96&gt;=100*SUMMARY!$C$16,"Cukup","Perlu Pembinaan")))</f>
        <v>Baik</v>
      </c>
      <c r="Y96" s="7">
        <f>SUMIFS(DETAIL!$J$2:$J$137,DETAIL!$B$2:$B$137,$C96)</f>
        <v>8</v>
      </c>
      <c r="Z96" s="7">
        <f>SUMIFS(DETAIL!$L$2:$L$137,DETAIL!$B$2:$B$137,$C96)</f>
        <v>0</v>
      </c>
      <c r="AA96" s="11">
        <f>M96+ROW()/100000</f>
        <v>4.0009600000000001</v>
      </c>
      <c r="AB96" s="11">
        <f>W96-ROW()/100000</f>
        <v>83.099039999999988</v>
      </c>
      <c r="AC96" s="49">
        <f>IF(I96&gt;=40,K96-ROW()/10000000,"")</f>
        <v>0.9324228324324324</v>
      </c>
      <c r="AD96" s="5" t="str">
        <f>TEXT(PEMAGANG!J15,"dd-mm-yy")&amp;" s.d. "&amp;TEXT(PEMAGANG!K15,"dd-mm-yy")</f>
        <v>04-06-26 s.d. 30-09-26</v>
      </c>
      <c r="AE96" s="5" t="str">
        <f>PEMAGANG!N15</f>
        <v>Masuk 04-06-2026</v>
      </c>
      <c r="AF96" s="50">
        <f>IFERROR(INDEX(PRODUKTIVITAS!$J$10:$J$43,MATCH($C96,PRODUKTIVITAS!$B$10:$B$43,0)),0)</f>
        <v>0.5524851877233824</v>
      </c>
      <c r="AG96" s="51">
        <f>IFERROR(INDEX(PRODUKTIVITAS!$K$10:$K$43,MATCH($C96,PRODUKTIVITAS!$B$10:$B$43,0)),0)</f>
        <v>0.5524851877233824</v>
      </c>
    </row>
    <row r="97" spans="1:33" x14ac:dyDescent="0.2">
      <c r="A97" s="1" t="str">
        <f>"Pembimbing: "&amp;D98&amp;"  ("&amp;COUNTIF($D$79:$D$133,D98)&amp;" pemagang)"</f>
        <v>Pembimbing: ELFANO RANGGA PRATAMA  (1 pemagang)</v>
      </c>
      <c r="B97" s="1"/>
      <c r="C97" s="1"/>
      <c r="D97" s="1"/>
      <c r="E97" s="1"/>
      <c r="F97" s="1"/>
      <c r="G97" s="1"/>
      <c r="H97" s="1"/>
      <c r="I97" s="1"/>
      <c r="J97" s="1"/>
      <c r="K97" s="1"/>
      <c r="L97" s="1"/>
      <c r="M97" s="1"/>
      <c r="N97" s="1"/>
      <c r="O97" s="1"/>
      <c r="P97" s="1"/>
      <c r="Q97" s="1"/>
      <c r="R97" s="1"/>
      <c r="S97" s="1"/>
      <c r="T97" s="1"/>
      <c r="U97" s="1"/>
      <c r="V97" s="1"/>
      <c r="W97" s="1"/>
      <c r="X97" s="1"/>
      <c r="Y97" s="1"/>
      <c r="Z97" s="1"/>
    </row>
    <row r="98" spans="1:33" ht="12.75" x14ac:dyDescent="0.2">
      <c r="A98" s="5">
        <f>ROW()-ROW($A$78)-6</f>
        <v>14</v>
      </c>
      <c r="B98" s="6" t="str">
        <f>PEMAGANG!B16</f>
        <v>RK/KH/25008</v>
      </c>
      <c r="C98" s="6" t="str">
        <f>PEMAGANG!C16</f>
        <v>FETI FATMAWATI</v>
      </c>
      <c r="D98" s="6" t="str">
        <f>PEMAGANG!D16</f>
        <v>ELFANO RANGGA PRATAMA</v>
      </c>
      <c r="E98" s="6" t="str">
        <f>PEMAGANG!E16</f>
        <v>KEMNAKER</v>
      </c>
      <c r="F98" s="6" t="str">
        <f>PEMAGANG!F16</f>
        <v>MARKETING &amp; EXPANSION MODERN RETAIL OFFICER</v>
      </c>
      <c r="G98" s="47">
        <f>IF(PEMAGANG!H16="","Tidak tercatat",PEMAGANG!H16)</f>
        <v>45985</v>
      </c>
      <c r="H98" s="47">
        <f>IF(PEMAGANG!I16="","Tidak tercatat",PEMAGANG!I16)</f>
        <v>46356</v>
      </c>
      <c r="I98" s="7">
        <f>SUMIFS(DETAIL!$I$2:$I$137,DETAIL!$B$2:$B$137,$C98)</f>
        <v>75</v>
      </c>
      <c r="J98" s="7">
        <f>SUMIFS(DETAIL!$K$2:$K$137,DETAIL!$B$2:$B$137,$C98)</f>
        <v>70</v>
      </c>
      <c r="K98" s="8">
        <f>IFERROR(J98/I98,0)</f>
        <v>0.93333333333333335</v>
      </c>
      <c r="L98" s="7">
        <f>I98-J98</f>
        <v>5</v>
      </c>
      <c r="M98" s="7">
        <f>SUMIFS(DETAIL!$N$2:$N$137,DETAIL!$B$2:$B$137,$C98)</f>
        <v>59</v>
      </c>
      <c r="N98" s="8">
        <f>IFERROR(1-M98/SUMIFS(DETAIL!$M$2:$M$137,DETAIL!$B$2:$B$137,$C98),0)</f>
        <v>0.37234042553191493</v>
      </c>
      <c r="O98" s="9">
        <f>IFERROR(SUMIFS(DETAIL!$O$2:$O$137,DETAIL!$B$2:$B$137,$C98)/M98,0)</f>
        <v>19.271186440677972</v>
      </c>
      <c r="P98" s="7">
        <f>SUMIFS(DETAIL!$P$2:$P$137,DETAIL!$B$2:$B$137,$C98)</f>
        <v>1</v>
      </c>
      <c r="Q98" s="7">
        <f>SUMIFS(DETAIL!$Q$2:$Q$137,DETAIL!$B$2:$B$137,$C98)</f>
        <v>86</v>
      </c>
      <c r="R98" s="8">
        <f>IFERROR(Q98/SUMIFS(DETAIL!$M$2:$M$137,DETAIL!$B$2:$B$137,$C98),0)</f>
        <v>0.91489361702127658</v>
      </c>
      <c r="S98" s="48">
        <f>IFERROR(SUMIFS(DETAIL!$K$2:$K$137,DETAIL!$B$2:$B$137,$C98,DETAIL!$F$2:$F$137,MONTH(DATE(YEAR(SUMMARY!$C$6),MONTH(SUMMARY!$C$6)+0,1)))/SUMIFS(DETAIL!$I$2:$I$137,DETAIL!$B$2:$B$137,$C98,DETAIL!$F$2:$F$137,MONTH(DATE(YEAR(SUMMARY!$C$6),MONTH(SUMMARY!$C$6)+0,1))),"-")</f>
        <v>0.875</v>
      </c>
      <c r="T98" s="48">
        <f>IFERROR(SUMIFS(DETAIL!$K$2:$K$137,DETAIL!$B$2:$B$137,$C98,DETAIL!$F$2:$F$137,MONTH(DATE(YEAR(SUMMARY!$C$6),MONTH(SUMMARY!$C$6)+1,1)))/SUMIFS(DETAIL!$I$2:$I$137,DETAIL!$B$2:$B$137,$C98,DETAIL!$F$2:$F$137,MONTH(DATE(YEAR(SUMMARY!$C$6),MONTH(SUMMARY!$C$6)+1,1))),"-")</f>
        <v>0.94444444444444442</v>
      </c>
      <c r="U98" s="48">
        <f>IFERROR(SUMIFS(DETAIL!$K$2:$K$137,DETAIL!$B$2:$B$137,$C98,DETAIL!$F$2:$F$137,MONTH(DATE(YEAR(SUMMARY!$C$6),MONTH(SUMMARY!$C$6)+2,1)))/SUMIFS(DETAIL!$I$2:$I$137,DETAIL!$B$2:$B$137,$C98,DETAIL!$F$2:$F$137,MONTH(DATE(YEAR(SUMMARY!$C$6),MONTH(SUMMARY!$C$6)+2,1))),"-")</f>
        <v>0.94736842105263153</v>
      </c>
      <c r="V98" s="48">
        <f>IFERROR(SUMIFS(DETAIL!$K$2:$K$137,DETAIL!$B$2:$B$137,$C98,DETAIL!$F$2:$F$137,MONTH(DATE(YEAR(SUMMARY!$C$6),MONTH(SUMMARY!$C$6)+3,1)))/SUMIFS(DETAIL!$I$2:$I$137,DETAIL!$B$2:$B$137,$C98,DETAIL!$F$2:$F$137,MONTH(DATE(YEAR(SUMMARY!$C$6),MONTH(SUMMARY!$C$6)+3,1))),"-")</f>
        <v>0.95454545454545459</v>
      </c>
      <c r="W98" s="9">
        <f>ROUND(100*(K98*SUMMARY!$C$11+N98*SUMMARY!$C$12+R98*SUMMARY!$C$13+AG98*SUMMARY!$C$17),1)</f>
        <v>74.5</v>
      </c>
      <c r="X98" s="5" t="str">
        <f>IF(W98&gt;=100*SUMMARY!$C$14,"Sangat Baik",IF(W98&gt;=100*SUMMARY!$C$15,"Baik",IF(W98&gt;=100*SUMMARY!$C$16,"Cukup","Perlu Pembinaan")))</f>
        <v>Cukup</v>
      </c>
      <c r="Y98" s="7">
        <f>SUMIFS(DETAIL!$J$2:$J$137,DETAIL!$B$2:$B$137,$C98)</f>
        <v>9</v>
      </c>
      <c r="Z98" s="7">
        <f>SUMIFS(DETAIL!$L$2:$L$137,DETAIL!$B$2:$B$137,$C98)</f>
        <v>24</v>
      </c>
      <c r="AA98" s="11">
        <f>M98+ROW()/100000</f>
        <v>59.000979999999998</v>
      </c>
      <c r="AB98" s="11">
        <f>W98-ROW()/100000</f>
        <v>74.499020000000002</v>
      </c>
      <c r="AC98" s="49">
        <f>IF(I98&gt;=40,K98-ROW()/10000000,"")</f>
        <v>0.9333235333333334</v>
      </c>
      <c r="AD98" s="5" t="str">
        <f>TEXT(PEMAGANG!J16,"dd-mm-yy")&amp;" s.d. "&amp;TEXT(PEMAGANG!K16,"dd-mm-yy")</f>
        <v>01-06-26 s.d. 30-09-26</v>
      </c>
      <c r="AE98" s="5" t="str">
        <f>PEMAGANG!N16</f>
        <v>Aktif sepanjang periode</v>
      </c>
      <c r="AF98" s="50">
        <f>IFERROR(INDEX(PRODUKTIVITAS!$J$10:$J$43,MATCH($C98,PRODUKTIVITAS!$B$10:$B$43,0)),0)</f>
        <v>0.69279780975779437</v>
      </c>
      <c r="AG98" s="51">
        <f>IFERROR(INDEX(PRODUKTIVITAS!$K$10:$K$43,MATCH($C98,PRODUKTIVITAS!$B$10:$B$43,0)),0)</f>
        <v>0.69279780975779437</v>
      </c>
    </row>
    <row r="99" spans="1:33" x14ac:dyDescent="0.2">
      <c r="A99" s="1" t="str">
        <f>"Pembimbing: "&amp;D100&amp;"  ("&amp;COUNTIF($D$79:$D$133,D100)&amp;" pemagang)"</f>
        <v>Pembimbing: ENDAH YUNIA SRI WINDARI  (2 pemagang)</v>
      </c>
      <c r="B99" s="1"/>
      <c r="C99" s="1"/>
      <c r="D99" s="1"/>
      <c r="E99" s="1"/>
      <c r="F99" s="1"/>
      <c r="G99" s="1"/>
      <c r="H99" s="1"/>
      <c r="I99" s="1"/>
      <c r="J99" s="1"/>
      <c r="K99" s="1"/>
      <c r="L99" s="1"/>
      <c r="M99" s="1"/>
      <c r="N99" s="1"/>
      <c r="O99" s="1"/>
      <c r="P99" s="1"/>
      <c r="Q99" s="1"/>
      <c r="R99" s="1"/>
      <c r="S99" s="1"/>
      <c r="T99" s="1"/>
      <c r="U99" s="1"/>
      <c r="V99" s="1"/>
      <c r="W99" s="1"/>
      <c r="X99" s="1"/>
      <c r="Y99" s="1"/>
      <c r="Z99" s="1"/>
    </row>
    <row r="100" spans="1:33" ht="12.75" x14ac:dyDescent="0.2">
      <c r="A100" s="5">
        <f>ROW()-ROW($A$78)-7</f>
        <v>15</v>
      </c>
      <c r="B100" s="6" t="str">
        <f>PEMAGANG!B17</f>
        <v>MG/KH/4726</v>
      </c>
      <c r="C100" s="6" t="str">
        <f>PEMAGANG!C17</f>
        <v>AHMAD NOVAN JUNIARDY</v>
      </c>
      <c r="D100" s="6" t="str">
        <f>PEMAGANG!D17</f>
        <v>ENDAH YUNIA SRI WINDARI</v>
      </c>
      <c r="E100" s="6" t="str">
        <f>PEMAGANG!E17</f>
        <v>KEMNAKER</v>
      </c>
      <c r="F100" s="6" t="str">
        <f>PEMAGANG!F17</f>
        <v>SM OF FINANCE (SID)</v>
      </c>
      <c r="G100" s="47">
        <f>IF(PEMAGANG!H17="","Tidak tercatat",PEMAGANG!H17)</f>
        <v>46244</v>
      </c>
      <c r="H100" s="47">
        <f>IF(PEMAGANG!I17="","Tidak tercatat",PEMAGANG!I17)</f>
        <v>46427</v>
      </c>
      <c r="I100" s="7">
        <f>SUMIFS(DETAIL!$I$2:$I$137,DETAIL!$B$2:$B$137,$C100)</f>
        <v>36</v>
      </c>
      <c r="J100" s="7">
        <f>SUMIFS(DETAIL!$K$2:$K$137,DETAIL!$B$2:$B$137,$C100)</f>
        <v>33</v>
      </c>
      <c r="K100" s="8">
        <f>IFERROR(J100/I100,0)</f>
        <v>0.91666666666666663</v>
      </c>
      <c r="L100" s="7">
        <f>I100-J100</f>
        <v>3</v>
      </c>
      <c r="M100" s="7">
        <f>SUMIFS(DETAIL!$N$2:$N$137,DETAIL!$B$2:$B$137,$C100)</f>
        <v>1</v>
      </c>
      <c r="N100" s="8">
        <f>IFERROR(1-M100/SUMIFS(DETAIL!$M$2:$M$137,DETAIL!$B$2:$B$137,$C100),0)</f>
        <v>0.96969696969696972</v>
      </c>
      <c r="O100" s="9">
        <f>IFERROR(SUMIFS(DETAIL!$O$2:$O$137,DETAIL!$B$2:$B$137,$C100)/M100,0)</f>
        <v>262</v>
      </c>
      <c r="P100" s="7">
        <f>SUMIFS(DETAIL!$P$2:$P$137,DETAIL!$B$2:$B$137,$C100)</f>
        <v>2</v>
      </c>
      <c r="Q100" s="7">
        <f>SUMIFS(DETAIL!$Q$2:$Q$137,DETAIL!$B$2:$B$137,$C100)</f>
        <v>33</v>
      </c>
      <c r="R100" s="8">
        <f>IFERROR(Q100/SUMIFS(DETAIL!$M$2:$M$137,DETAIL!$B$2:$B$137,$C100),0)</f>
        <v>1</v>
      </c>
      <c r="S100" s="48" t="str">
        <f>IFERROR(SUMIFS(DETAIL!$K$2:$K$137,DETAIL!$B$2:$B$137,$C100,DETAIL!$F$2:$F$137,MONTH(DATE(YEAR(SUMMARY!$C$6),MONTH(SUMMARY!$C$6)+0,1)))/SUMIFS(DETAIL!$I$2:$I$137,DETAIL!$B$2:$B$137,$C100,DETAIL!$F$2:$F$137,MONTH(DATE(YEAR(SUMMARY!$C$6),MONTH(SUMMARY!$C$6)+0,1))),"-")</f>
        <v>-</v>
      </c>
      <c r="T100" s="48" t="str">
        <f>IFERROR(SUMIFS(DETAIL!$K$2:$K$137,DETAIL!$B$2:$B$137,$C100,DETAIL!$F$2:$F$137,MONTH(DATE(YEAR(SUMMARY!$C$6),MONTH(SUMMARY!$C$6)+1,1)))/SUMIFS(DETAIL!$I$2:$I$137,DETAIL!$B$2:$B$137,$C100,DETAIL!$F$2:$F$137,MONTH(DATE(YEAR(SUMMARY!$C$6),MONTH(SUMMARY!$C$6)+1,1))),"-")</f>
        <v>-</v>
      </c>
      <c r="U100" s="48">
        <f>IFERROR(SUMIFS(DETAIL!$K$2:$K$137,DETAIL!$B$2:$B$137,$C100,DETAIL!$F$2:$F$137,MONTH(DATE(YEAR(SUMMARY!$C$6),MONTH(SUMMARY!$C$6)+2,1)))/SUMIFS(DETAIL!$I$2:$I$137,DETAIL!$B$2:$B$137,$C100,DETAIL!$F$2:$F$137,MONTH(DATE(YEAR(SUMMARY!$C$6),MONTH(SUMMARY!$C$6)+2,1))),"-")</f>
        <v>1</v>
      </c>
      <c r="V100" s="48">
        <f>IFERROR(SUMIFS(DETAIL!$K$2:$K$137,DETAIL!$B$2:$B$137,$C100,DETAIL!$F$2:$F$137,MONTH(DATE(YEAR(SUMMARY!$C$6),MONTH(SUMMARY!$C$6)+3,1)))/SUMIFS(DETAIL!$I$2:$I$137,DETAIL!$B$2:$B$137,$C100,DETAIL!$F$2:$F$137,MONTH(DATE(YEAR(SUMMARY!$C$6),MONTH(SUMMARY!$C$6)+3,1))),"-")</f>
        <v>0.86363636363636365</v>
      </c>
      <c r="W100" s="9">
        <f>ROUND(100*(K100*SUMMARY!$C$11+N100*SUMMARY!$C$12+R100*SUMMARY!$C$13+AG100*SUMMARY!$C$17),1)</f>
        <v>96.9</v>
      </c>
      <c r="X100" s="5" t="str">
        <f>IF(W100&gt;=100*SUMMARY!$C$14,"Sangat Baik",IF(W100&gt;=100*SUMMARY!$C$15,"Baik",IF(W100&gt;=100*SUMMARY!$C$16,"Cukup","Perlu Pembinaan")))</f>
        <v>Sangat Baik</v>
      </c>
      <c r="Y100" s="7">
        <f>SUMIFS(DETAIL!$J$2:$J$137,DETAIL!$B$2:$B$137,$C100)</f>
        <v>0</v>
      </c>
      <c r="Z100" s="7">
        <f>SUMIFS(DETAIL!$L$2:$L$137,DETAIL!$B$2:$B$137,$C100)</f>
        <v>0</v>
      </c>
      <c r="AA100" s="11">
        <f>M100+ROW()/100000</f>
        <v>1.0009999999999999</v>
      </c>
      <c r="AB100" s="11">
        <f>W100-ROW()/100000</f>
        <v>96.899000000000001</v>
      </c>
      <c r="AC100" s="49" t="str">
        <f>IF(I100&gt;=40,K100-ROW()/10000000,"")</f>
        <v/>
      </c>
      <c r="AD100" s="5" t="str">
        <f>TEXT(PEMAGANG!J17,"dd-mm-yy")&amp;" s.d. "&amp;TEXT(PEMAGANG!K17,"dd-mm-yy")</f>
        <v>10-08-26 s.d. 30-09-26</v>
      </c>
      <c r="AE100" s="5" t="str">
        <f>PEMAGANG!N17</f>
        <v>Masuk 10-08-2026</v>
      </c>
      <c r="AF100" s="50">
        <f>IFERROR(INDEX(PRODUKTIVITAS!$J$10:$J$43,MATCH($C100,PRODUKTIVITAS!$B$10:$B$43,0)),0)</f>
        <v>1.4473095352289529</v>
      </c>
      <c r="AG100" s="51">
        <f>IFERROR(INDEX(PRODUKTIVITAS!$K$10:$K$43,MATCH($C100,PRODUKTIVITAS!$B$10:$B$43,0)),0)</f>
        <v>1</v>
      </c>
    </row>
    <row r="101" spans="1:33" ht="12.75" x14ac:dyDescent="0.2">
      <c r="A101" s="5">
        <f>ROW()-ROW($A$78)-7</f>
        <v>16</v>
      </c>
      <c r="B101" s="6" t="str">
        <f>PEMAGANG!B18</f>
        <v>MG/KH/4426</v>
      </c>
      <c r="C101" s="6" t="str">
        <f>PEMAGANG!C18</f>
        <v>TAHYUDIN UZI SAFAAT</v>
      </c>
      <c r="D101" s="6" t="str">
        <f>PEMAGANG!D18</f>
        <v>ENDAH YUNIA SRI WINDARI</v>
      </c>
      <c r="E101" s="6" t="str">
        <f>PEMAGANG!E18</f>
        <v>KEMNAKER</v>
      </c>
      <c r="F101" s="6" t="str">
        <f>PEMAGANG!F18</f>
        <v>SM OF FINANCE (SID)</v>
      </c>
      <c r="G101" s="47">
        <f>IF(PEMAGANG!H18="","Tidak tercatat",PEMAGANG!H18)</f>
        <v>46244</v>
      </c>
      <c r="H101" s="47">
        <f>IF(PEMAGANG!I18="","Tidak tercatat",PEMAGANG!I18)</f>
        <v>46427</v>
      </c>
      <c r="I101" s="7">
        <f>SUMIFS(DETAIL!$I$2:$I$137,DETAIL!$B$2:$B$137,$C101)</f>
        <v>36</v>
      </c>
      <c r="J101" s="7">
        <f>SUMIFS(DETAIL!$K$2:$K$137,DETAIL!$B$2:$B$137,$C101)</f>
        <v>35</v>
      </c>
      <c r="K101" s="8">
        <f>IFERROR(J101/I101,0)</f>
        <v>0.97222222222222221</v>
      </c>
      <c r="L101" s="7">
        <f>I101-J101</f>
        <v>1</v>
      </c>
      <c r="M101" s="7">
        <f>SUMIFS(DETAIL!$N$2:$N$137,DETAIL!$B$2:$B$137,$C101)</f>
        <v>1</v>
      </c>
      <c r="N101" s="8">
        <f>IFERROR(1-M101/SUMIFS(DETAIL!$M$2:$M$137,DETAIL!$B$2:$B$137,$C101),0)</f>
        <v>0.97142857142857142</v>
      </c>
      <c r="O101" s="9">
        <f>IFERROR(SUMIFS(DETAIL!$O$2:$O$137,DETAIL!$B$2:$B$137,$C101)/M101,0)</f>
        <v>261</v>
      </c>
      <c r="P101" s="7">
        <f>SUMIFS(DETAIL!$P$2:$P$137,DETAIL!$B$2:$B$137,$C101)</f>
        <v>3</v>
      </c>
      <c r="Q101" s="7">
        <f>SUMIFS(DETAIL!$Q$2:$Q$137,DETAIL!$B$2:$B$137,$C101)</f>
        <v>35</v>
      </c>
      <c r="R101" s="8">
        <f>IFERROR(Q101/SUMIFS(DETAIL!$M$2:$M$137,DETAIL!$B$2:$B$137,$C101),0)</f>
        <v>1</v>
      </c>
      <c r="S101" s="48" t="str">
        <f>IFERROR(SUMIFS(DETAIL!$K$2:$K$137,DETAIL!$B$2:$B$137,$C101,DETAIL!$F$2:$F$137,MONTH(DATE(YEAR(SUMMARY!$C$6),MONTH(SUMMARY!$C$6)+0,1)))/SUMIFS(DETAIL!$I$2:$I$137,DETAIL!$B$2:$B$137,$C101,DETAIL!$F$2:$F$137,MONTH(DATE(YEAR(SUMMARY!$C$6),MONTH(SUMMARY!$C$6)+0,1))),"-")</f>
        <v>-</v>
      </c>
      <c r="T101" s="48" t="str">
        <f>IFERROR(SUMIFS(DETAIL!$K$2:$K$137,DETAIL!$B$2:$B$137,$C101,DETAIL!$F$2:$F$137,MONTH(DATE(YEAR(SUMMARY!$C$6),MONTH(SUMMARY!$C$6)+1,1)))/SUMIFS(DETAIL!$I$2:$I$137,DETAIL!$B$2:$B$137,$C101,DETAIL!$F$2:$F$137,MONTH(DATE(YEAR(SUMMARY!$C$6),MONTH(SUMMARY!$C$6)+1,1))),"-")</f>
        <v>-</v>
      </c>
      <c r="U101" s="48">
        <f>IFERROR(SUMIFS(DETAIL!$K$2:$K$137,DETAIL!$B$2:$B$137,$C101,DETAIL!$F$2:$F$137,MONTH(DATE(YEAR(SUMMARY!$C$6),MONTH(SUMMARY!$C$6)+2,1)))/SUMIFS(DETAIL!$I$2:$I$137,DETAIL!$B$2:$B$137,$C101,DETAIL!$F$2:$F$137,MONTH(DATE(YEAR(SUMMARY!$C$6),MONTH(SUMMARY!$C$6)+2,1))),"-")</f>
        <v>1</v>
      </c>
      <c r="V101" s="48">
        <f>IFERROR(SUMIFS(DETAIL!$K$2:$K$137,DETAIL!$B$2:$B$137,$C101,DETAIL!$F$2:$F$137,MONTH(DATE(YEAR(SUMMARY!$C$6),MONTH(SUMMARY!$C$6)+3,1)))/SUMIFS(DETAIL!$I$2:$I$137,DETAIL!$B$2:$B$137,$C101,DETAIL!$F$2:$F$137,MONTH(DATE(YEAR(SUMMARY!$C$6),MONTH(SUMMARY!$C$6)+3,1))),"-")</f>
        <v>0.95454545454545459</v>
      </c>
      <c r="W101" s="9">
        <f>ROUND(100*(K101*SUMMARY!$C$11+N101*SUMMARY!$C$12+R101*SUMMARY!$C$13+AG101*SUMMARY!$C$17),1)</f>
        <v>98.6</v>
      </c>
      <c r="X101" s="5" t="str">
        <f>IF(W101&gt;=100*SUMMARY!$C$14,"Sangat Baik",IF(W101&gt;=100*SUMMARY!$C$15,"Baik",IF(W101&gt;=100*SUMMARY!$C$16,"Cukup","Perlu Pembinaan")))</f>
        <v>Sangat Baik</v>
      </c>
      <c r="Y101" s="7">
        <f>SUMIFS(DETAIL!$J$2:$J$137,DETAIL!$B$2:$B$137,$C101)</f>
        <v>0</v>
      </c>
      <c r="Z101" s="7">
        <f>SUMIFS(DETAIL!$L$2:$L$137,DETAIL!$B$2:$B$137,$C101)</f>
        <v>0</v>
      </c>
      <c r="AA101" s="11">
        <f>M101+ROW()/100000</f>
        <v>1.00101</v>
      </c>
      <c r="AB101" s="11">
        <f>W101-ROW()/100000</f>
        <v>98.598990000000001</v>
      </c>
      <c r="AC101" s="49" t="str">
        <f>IF(I101&gt;=40,K101-ROW()/10000000,"")</f>
        <v/>
      </c>
      <c r="AD101" s="5" t="str">
        <f>TEXT(PEMAGANG!J18,"dd-mm-yy")&amp;" s.d. "&amp;TEXT(PEMAGANG!K18,"dd-mm-yy")</f>
        <v>10-08-26 s.d. 30-09-26</v>
      </c>
      <c r="AE101" s="5" t="str">
        <f>PEMAGANG!N18</f>
        <v>Masuk 10-08-2026</v>
      </c>
      <c r="AF101" s="50">
        <f>IFERROR(INDEX(PRODUKTIVITAS!$J$10:$J$43,MATCH($C101,PRODUKTIVITAS!$B$10:$B$43,0)),0)</f>
        <v>1.1123329232439554</v>
      </c>
      <c r="AG101" s="51">
        <f>IFERROR(INDEX(PRODUKTIVITAS!$K$10:$K$43,MATCH($C101,PRODUKTIVITAS!$B$10:$B$43,0)),0)</f>
        <v>1</v>
      </c>
    </row>
    <row r="102" spans="1:33" x14ac:dyDescent="0.2">
      <c r="A102" s="1" t="str">
        <f>"Pembimbing: "&amp;D103&amp;"  ("&amp;COUNTIF($D$79:$D$133,D103)&amp;" pemagang)"</f>
        <v>Pembimbing: FETI MUBAIYINI  (2 pemagang)</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33" ht="12.75" x14ac:dyDescent="0.2">
      <c r="A103" s="5">
        <f>ROW()-ROW($A$78)-8</f>
        <v>17</v>
      </c>
      <c r="B103" s="6" t="str">
        <f>PEMAGANG!B19</f>
        <v>MG4726</v>
      </c>
      <c r="C103" s="6" t="str">
        <f>PEMAGANG!C19</f>
        <v>NILNA FAIRUSSAKTI SALBANI AFANO</v>
      </c>
      <c r="D103" s="6" t="str">
        <f>PEMAGANG!D19</f>
        <v>FETI MUBAIYINI</v>
      </c>
      <c r="E103" s="6" t="str">
        <f>PEMAGANG!E19</f>
        <v>MANDIRI</v>
      </c>
      <c r="F103" s="6" t="str">
        <f>PEMAGANG!F19</f>
        <v>CENTRAL JAVA CURAH ADMINISTRATION JR. OFFICER</v>
      </c>
      <c r="G103" s="47">
        <f>IF(PEMAGANG!H19="","Tidak tercatat",PEMAGANG!H19)</f>
        <v>46177</v>
      </c>
      <c r="H103" s="47">
        <f>IF(PEMAGANG!I19="","Tidak tercatat",PEMAGANG!I19)</f>
        <v>46418</v>
      </c>
      <c r="I103" s="7">
        <f>SUMIFS(DETAIL!$I$2:$I$137,DETAIL!$B$2:$B$137,$C103)</f>
        <v>74</v>
      </c>
      <c r="J103" s="7">
        <f>SUMIFS(DETAIL!$K$2:$K$137,DETAIL!$B$2:$B$137,$C103)</f>
        <v>69</v>
      </c>
      <c r="K103" s="8">
        <f>IFERROR(J103/I103,0)</f>
        <v>0.93243243243243246</v>
      </c>
      <c r="L103" s="7">
        <f>I103-J103</f>
        <v>5</v>
      </c>
      <c r="M103" s="7">
        <f>SUMIFS(DETAIL!$N$2:$N$137,DETAIL!$B$2:$B$137,$C103)</f>
        <v>3</v>
      </c>
      <c r="N103" s="8">
        <f>IFERROR(1-M103/SUMIFS(DETAIL!$M$2:$M$137,DETAIL!$B$2:$B$137,$C103),0)</f>
        <v>0.95652173913043481</v>
      </c>
      <c r="O103" s="9">
        <f>IFERROR(SUMIFS(DETAIL!$O$2:$O$137,DETAIL!$B$2:$B$137,$C103)/M103,0)</f>
        <v>108.6666666666667</v>
      </c>
      <c r="P103" s="7">
        <f>SUMIFS(DETAIL!$P$2:$P$137,DETAIL!$B$2:$B$137,$C103)</f>
        <v>6</v>
      </c>
      <c r="Q103" s="7">
        <f>SUMIFS(DETAIL!$Q$2:$Q$137,DETAIL!$B$2:$B$137,$C103)</f>
        <v>67</v>
      </c>
      <c r="R103" s="8">
        <f>IFERROR(Q103/SUMIFS(DETAIL!$M$2:$M$137,DETAIL!$B$2:$B$137,$C103),0)</f>
        <v>0.97101449275362317</v>
      </c>
      <c r="S103" s="48">
        <f>IFERROR(SUMIFS(DETAIL!$K$2:$K$137,DETAIL!$B$2:$B$137,$C103,DETAIL!$F$2:$F$137,MONTH(DATE(YEAR(SUMMARY!$C$6),MONTH(SUMMARY!$C$6)+0,1)))/SUMIFS(DETAIL!$I$2:$I$137,DETAIL!$B$2:$B$137,$C103,DETAIL!$F$2:$F$137,MONTH(DATE(YEAR(SUMMARY!$C$6),MONTH(SUMMARY!$C$6)+0,1))),"-")</f>
        <v>0.93333333333333335</v>
      </c>
      <c r="T103" s="48">
        <f>IFERROR(SUMIFS(DETAIL!$K$2:$K$137,DETAIL!$B$2:$B$137,$C103,DETAIL!$F$2:$F$137,MONTH(DATE(YEAR(SUMMARY!$C$6),MONTH(SUMMARY!$C$6)+1,1)))/SUMIFS(DETAIL!$I$2:$I$137,DETAIL!$B$2:$B$137,$C103,DETAIL!$F$2:$F$137,MONTH(DATE(YEAR(SUMMARY!$C$6),MONTH(SUMMARY!$C$6)+1,1))),"-")</f>
        <v>1</v>
      </c>
      <c r="U103" s="48">
        <f>IFERROR(SUMIFS(DETAIL!$K$2:$K$137,DETAIL!$B$2:$B$137,$C103,DETAIL!$F$2:$F$137,MONTH(DATE(YEAR(SUMMARY!$C$6),MONTH(SUMMARY!$C$6)+2,1)))/SUMIFS(DETAIL!$I$2:$I$137,DETAIL!$B$2:$B$137,$C103,DETAIL!$F$2:$F$137,MONTH(DATE(YEAR(SUMMARY!$C$6),MONTH(SUMMARY!$C$6)+2,1))),"-")</f>
        <v>1</v>
      </c>
      <c r="V103" s="48">
        <f>IFERROR(SUMIFS(DETAIL!$K$2:$K$137,DETAIL!$B$2:$B$137,$C103,DETAIL!$F$2:$F$137,MONTH(DATE(YEAR(SUMMARY!$C$6),MONTH(SUMMARY!$C$6)+3,1)))/SUMIFS(DETAIL!$I$2:$I$137,DETAIL!$B$2:$B$137,$C103,DETAIL!$F$2:$F$137,MONTH(DATE(YEAR(SUMMARY!$C$6),MONTH(SUMMARY!$C$6)+3,1))),"-")</f>
        <v>0.81818181818181823</v>
      </c>
      <c r="W103" s="9">
        <f>ROUND(100*(K103*SUMMARY!$C$11+N103*SUMMARY!$C$12+R103*SUMMARY!$C$13+AG103*SUMMARY!$C$17),1)</f>
        <v>93.1</v>
      </c>
      <c r="X103" s="5" t="str">
        <f>IF(W103&gt;=100*SUMMARY!$C$14,"Sangat Baik",IF(W103&gt;=100*SUMMARY!$C$15,"Baik",IF(W103&gt;=100*SUMMARY!$C$16,"Cukup","Perlu Pembinaan")))</f>
        <v>Sangat Baik</v>
      </c>
      <c r="Y103" s="7">
        <f>SUMIFS(DETAIL!$J$2:$J$137,DETAIL!$B$2:$B$137,$C103)</f>
        <v>8</v>
      </c>
      <c r="Z103" s="7">
        <f>SUMIFS(DETAIL!$L$2:$L$137,DETAIL!$B$2:$B$137,$C103)</f>
        <v>0</v>
      </c>
      <c r="AA103" s="11">
        <f>M103+ROW()/100000</f>
        <v>3.0010300000000001</v>
      </c>
      <c r="AB103" s="11">
        <f>W103-ROW()/100000</f>
        <v>93.098969999999994</v>
      </c>
      <c r="AC103" s="49">
        <f>IF(I103&gt;=40,K103-ROW()/10000000,"")</f>
        <v>0.93242213243243244</v>
      </c>
      <c r="AD103" s="5" t="str">
        <f>TEXT(PEMAGANG!J19,"dd-mm-yy")&amp;" s.d. "&amp;TEXT(PEMAGANG!K19,"dd-mm-yy")</f>
        <v>04-06-26 s.d. 30-09-26</v>
      </c>
      <c r="AE103" s="5" t="str">
        <f>PEMAGANG!N19</f>
        <v>Masuk 04-06-2026</v>
      </c>
      <c r="AF103" s="50">
        <f>IFERROR(INDEX(PRODUKTIVITAS!$J$10:$J$43,MATCH($C103,PRODUKTIVITAS!$B$10:$B$43,0)),0)</f>
        <v>0.88536793588822948</v>
      </c>
      <c r="AG103" s="51">
        <f>IFERROR(INDEX(PRODUKTIVITAS!$K$10:$K$43,MATCH($C103,PRODUKTIVITAS!$B$10:$B$43,0)),0)</f>
        <v>0.88536793588822948</v>
      </c>
    </row>
    <row r="104" spans="1:33" ht="12.75" x14ac:dyDescent="0.2">
      <c r="A104" s="5">
        <f>ROW()-ROW($A$78)-8</f>
        <v>18</v>
      </c>
      <c r="B104" s="6" t="str">
        <f>PEMAGANG!B20</f>
        <v>MG29</v>
      </c>
      <c r="C104" s="6" t="str">
        <f>PEMAGANG!C20</f>
        <v>SYACHIRA FARA NABILA</v>
      </c>
      <c r="D104" s="6" t="str">
        <f>PEMAGANG!D20</f>
        <v>FETI MUBAIYINI</v>
      </c>
      <c r="E104" s="6" t="str">
        <f>PEMAGANG!E20</f>
        <v>MANDIRI</v>
      </c>
      <c r="F104" s="6" t="str">
        <f>PEMAGANG!F20</f>
        <v>CENTRAL JAVA CURAH ADMINISTRATION JR. OFFICER</v>
      </c>
      <c r="G104" s="47">
        <f>IF(PEMAGANG!H20="","Tidak tercatat",PEMAGANG!H20)</f>
        <v>45971</v>
      </c>
      <c r="H104" s="47">
        <f>IF(PEMAGANG!I20="","Tidak tercatat",PEMAGANG!I20)</f>
        <v>46203</v>
      </c>
      <c r="I104" s="7">
        <f>SUMIFS(DETAIL!$I$2:$I$137,DETAIL!$B$2:$B$137,$C104)</f>
        <v>16</v>
      </c>
      <c r="J104" s="7">
        <f>SUMIFS(DETAIL!$K$2:$K$137,DETAIL!$B$2:$B$137,$C104)</f>
        <v>16</v>
      </c>
      <c r="K104" s="8">
        <f>IFERROR(J104/I104,0)</f>
        <v>1</v>
      </c>
      <c r="L104" s="7">
        <f>I104-J104</f>
        <v>0</v>
      </c>
      <c r="M104" s="7">
        <f>SUMIFS(DETAIL!$N$2:$N$137,DETAIL!$B$2:$B$137,$C104)</f>
        <v>0</v>
      </c>
      <c r="N104" s="8">
        <f>IFERROR(1-M104/SUMIFS(DETAIL!$M$2:$M$137,DETAIL!$B$2:$B$137,$C104),0)</f>
        <v>1</v>
      </c>
      <c r="O104" s="9">
        <f>IFERROR(SUMIFS(DETAIL!$O$2:$O$137,DETAIL!$B$2:$B$137,$C104)/M104,0)</f>
        <v>0</v>
      </c>
      <c r="P104" s="7">
        <f>SUMIFS(DETAIL!$P$2:$P$137,DETAIL!$B$2:$B$137,$C104)</f>
        <v>2</v>
      </c>
      <c r="Q104" s="7">
        <f>SUMIFS(DETAIL!$Q$2:$Q$137,DETAIL!$B$2:$B$137,$C104)</f>
        <v>14</v>
      </c>
      <c r="R104" s="8">
        <f>IFERROR(Q104/SUMIFS(DETAIL!$M$2:$M$137,DETAIL!$B$2:$B$137,$C104),0)</f>
        <v>0.875</v>
      </c>
      <c r="S104" s="48">
        <f>IFERROR(SUMIFS(DETAIL!$K$2:$K$137,DETAIL!$B$2:$B$137,$C104,DETAIL!$F$2:$F$137,MONTH(DATE(YEAR(SUMMARY!$C$6),MONTH(SUMMARY!$C$6)+0,1)))/SUMIFS(DETAIL!$I$2:$I$137,DETAIL!$B$2:$B$137,$C104,DETAIL!$F$2:$F$137,MONTH(DATE(YEAR(SUMMARY!$C$6),MONTH(SUMMARY!$C$6)+0,1))),"-")</f>
        <v>1</v>
      </c>
      <c r="T104" s="48" t="str">
        <f>IFERROR(SUMIFS(DETAIL!$K$2:$K$137,DETAIL!$B$2:$B$137,$C104,DETAIL!$F$2:$F$137,MONTH(DATE(YEAR(SUMMARY!$C$6),MONTH(SUMMARY!$C$6)+1,1)))/SUMIFS(DETAIL!$I$2:$I$137,DETAIL!$B$2:$B$137,$C104,DETAIL!$F$2:$F$137,MONTH(DATE(YEAR(SUMMARY!$C$6),MONTH(SUMMARY!$C$6)+1,1))),"-")</f>
        <v>-</v>
      </c>
      <c r="U104" s="48" t="str">
        <f>IFERROR(SUMIFS(DETAIL!$K$2:$K$137,DETAIL!$B$2:$B$137,$C104,DETAIL!$F$2:$F$137,MONTH(DATE(YEAR(SUMMARY!$C$6),MONTH(SUMMARY!$C$6)+2,1)))/SUMIFS(DETAIL!$I$2:$I$137,DETAIL!$B$2:$B$137,$C104,DETAIL!$F$2:$F$137,MONTH(DATE(YEAR(SUMMARY!$C$6),MONTH(SUMMARY!$C$6)+2,1))),"-")</f>
        <v>-</v>
      </c>
      <c r="V104" s="48" t="str">
        <f>IFERROR(SUMIFS(DETAIL!$K$2:$K$137,DETAIL!$B$2:$B$137,$C104,DETAIL!$F$2:$F$137,MONTH(DATE(YEAR(SUMMARY!$C$6),MONTH(SUMMARY!$C$6)+3,1)))/SUMIFS(DETAIL!$I$2:$I$137,DETAIL!$B$2:$B$137,$C104,DETAIL!$F$2:$F$137,MONTH(DATE(YEAR(SUMMARY!$C$6),MONTH(SUMMARY!$C$6)+3,1))),"-")</f>
        <v>-</v>
      </c>
      <c r="W104" s="9">
        <f>ROUND(100*(K104*SUMMARY!$C$11+N104*SUMMARY!$C$12+R104*SUMMARY!$C$13+AG104*SUMMARY!$C$17),1)</f>
        <v>76.7</v>
      </c>
      <c r="X104" s="5" t="str">
        <f>IF(W104&gt;=100*SUMMARY!$C$14,"Sangat Baik",IF(W104&gt;=100*SUMMARY!$C$15,"Baik",IF(W104&gt;=100*SUMMARY!$C$16,"Cukup","Perlu Pembinaan")))</f>
        <v>Cukup</v>
      </c>
      <c r="Y104" s="7">
        <f>SUMIFS(DETAIL!$J$2:$J$137,DETAIL!$B$2:$B$137,$C104)</f>
        <v>4</v>
      </c>
      <c r="Z104" s="7">
        <f>SUMIFS(DETAIL!$L$2:$L$137,DETAIL!$B$2:$B$137,$C104)</f>
        <v>1</v>
      </c>
      <c r="AA104" s="11">
        <f>M104+ROW()/100000</f>
        <v>1.0399999999999999E-3</v>
      </c>
      <c r="AB104" s="11">
        <f>W104-ROW()/100000</f>
        <v>76.69896</v>
      </c>
      <c r="AC104" s="49" t="str">
        <f>IF(I104&gt;=40,K104-ROW()/10000000,"")</f>
        <v/>
      </c>
      <c r="AD104" s="5" t="str">
        <f>TEXT(PEMAGANG!J20,"dd-mm-yy")&amp;" s.d. "&amp;TEXT(PEMAGANG!K20,"dd-mm-yy")</f>
        <v>01-06-26 s.d. 30-06-26</v>
      </c>
      <c r="AE104" s="5" t="str">
        <f>PEMAGANG!N20</f>
        <v>Selesai 30-06-2026</v>
      </c>
      <c r="AF104" s="50">
        <f>IFERROR(INDEX(PRODUKTIVITAS!$J$10:$J$43,MATCH($C104,PRODUKTIVITAS!$B$10:$B$43,0)),0)</f>
        <v>0.3066788210075071</v>
      </c>
      <c r="AG104" s="51">
        <f>IFERROR(INDEX(PRODUKTIVITAS!$K$10:$K$43,MATCH($C104,PRODUKTIVITAS!$B$10:$B$43,0)),0)</f>
        <v>0.3066788210075071</v>
      </c>
    </row>
    <row r="105" spans="1:33" x14ac:dyDescent="0.2">
      <c r="A105" s="1" t="str">
        <f>"Pembimbing: "&amp;D106&amp;"  ("&amp;COUNTIF($D$79:$D$133,D106)&amp;" pemagang)"</f>
        <v>Pembimbing: GANANG MUSYAFFA FAHMI  (1 pemagang)</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33" ht="12.75" x14ac:dyDescent="0.2">
      <c r="A106" s="5">
        <f>ROW()-ROW($A$78)-9</f>
        <v>19</v>
      </c>
      <c r="B106" s="6" t="str">
        <f>PEMAGANG!B21</f>
        <v>MG12</v>
      </c>
      <c r="C106" s="6" t="str">
        <f>PEMAGANG!C21</f>
        <v>SELVI NURUL HASANAH</v>
      </c>
      <c r="D106" s="6" t="str">
        <f>PEMAGANG!D21</f>
        <v>GANANG MUSYAFFA FAHMI</v>
      </c>
      <c r="E106" s="6" t="str">
        <f>PEMAGANG!E21</f>
        <v>Kontrak Project</v>
      </c>
      <c r="F106" s="6" t="str">
        <f>PEMAGANG!F21</f>
        <v>PKSDM</v>
      </c>
      <c r="G106" s="47">
        <f>IF(PEMAGANG!H21="","Tidak tercatat",PEMAGANG!H21)</f>
        <v>45855</v>
      </c>
      <c r="H106" s="47">
        <f>IF(PEMAGANG!I21="","Tidak tercatat",PEMAGANG!I21)</f>
        <v>46418</v>
      </c>
      <c r="I106" s="7">
        <f>SUMIFS(DETAIL!$I$2:$I$137,DETAIL!$B$2:$B$137,$C106)</f>
        <v>75</v>
      </c>
      <c r="J106" s="7">
        <f>SUMIFS(DETAIL!$K$2:$K$137,DETAIL!$B$2:$B$137,$C106)</f>
        <v>71</v>
      </c>
      <c r="K106" s="8">
        <f>IFERROR(J106/I106,0)</f>
        <v>0.94666666666666666</v>
      </c>
      <c r="L106" s="7">
        <f>I106-J106</f>
        <v>4</v>
      </c>
      <c r="M106" s="7">
        <f>SUMIFS(DETAIL!$N$2:$N$137,DETAIL!$B$2:$B$137,$C106)</f>
        <v>0</v>
      </c>
      <c r="N106" s="8">
        <f>IFERROR(1-M106/SUMIFS(DETAIL!$M$2:$M$137,DETAIL!$B$2:$B$137,$C106),0)</f>
        <v>1</v>
      </c>
      <c r="O106" s="9">
        <f>IFERROR(SUMIFS(DETAIL!$O$2:$O$137,DETAIL!$B$2:$B$137,$C106)/M106,0)</f>
        <v>0</v>
      </c>
      <c r="P106" s="7">
        <f>SUMIFS(DETAIL!$P$2:$P$137,DETAIL!$B$2:$B$137,$C106)</f>
        <v>5</v>
      </c>
      <c r="Q106" s="7">
        <f>SUMIFS(DETAIL!$Q$2:$Q$137,DETAIL!$B$2:$B$137,$C106)</f>
        <v>74</v>
      </c>
      <c r="R106" s="8">
        <f>IFERROR(Q106/SUMIFS(DETAIL!$M$2:$M$137,DETAIL!$B$2:$B$137,$C106),0)</f>
        <v>0.97368421052631582</v>
      </c>
      <c r="S106" s="48">
        <f>IFERROR(SUMIFS(DETAIL!$K$2:$K$137,DETAIL!$B$2:$B$137,$C106,DETAIL!$F$2:$F$137,MONTH(DATE(YEAR(SUMMARY!$C$6),MONTH(SUMMARY!$C$6)+0,1)))/SUMIFS(DETAIL!$I$2:$I$137,DETAIL!$B$2:$B$137,$C106,DETAIL!$F$2:$F$137,MONTH(DATE(YEAR(SUMMARY!$C$6),MONTH(SUMMARY!$C$6)+0,1))),"-")</f>
        <v>0.9375</v>
      </c>
      <c r="T106" s="48">
        <f>IFERROR(SUMIFS(DETAIL!$K$2:$K$137,DETAIL!$B$2:$B$137,$C106,DETAIL!$F$2:$F$137,MONTH(DATE(YEAR(SUMMARY!$C$6),MONTH(SUMMARY!$C$6)+1,1)))/SUMIFS(DETAIL!$I$2:$I$137,DETAIL!$B$2:$B$137,$C106,DETAIL!$F$2:$F$137,MONTH(DATE(YEAR(SUMMARY!$C$6),MONTH(SUMMARY!$C$6)+1,1))),"-")</f>
        <v>0.94444444444444442</v>
      </c>
      <c r="U106" s="48">
        <f>IFERROR(SUMIFS(DETAIL!$K$2:$K$137,DETAIL!$B$2:$B$137,$C106,DETAIL!$F$2:$F$137,MONTH(DATE(YEAR(SUMMARY!$C$6),MONTH(SUMMARY!$C$6)+2,1)))/SUMIFS(DETAIL!$I$2:$I$137,DETAIL!$B$2:$B$137,$C106,DETAIL!$F$2:$F$137,MONTH(DATE(YEAR(SUMMARY!$C$6),MONTH(SUMMARY!$C$6)+2,1))),"-")</f>
        <v>0.94736842105263153</v>
      </c>
      <c r="V106" s="48">
        <f>IFERROR(SUMIFS(DETAIL!$K$2:$K$137,DETAIL!$B$2:$B$137,$C106,DETAIL!$F$2:$F$137,MONTH(DATE(YEAR(SUMMARY!$C$6),MONTH(SUMMARY!$C$6)+3,1)))/SUMIFS(DETAIL!$I$2:$I$137,DETAIL!$B$2:$B$137,$C106,DETAIL!$F$2:$F$137,MONTH(DATE(YEAR(SUMMARY!$C$6),MONTH(SUMMARY!$C$6)+3,1))),"-")</f>
        <v>0.95454545454545459</v>
      </c>
      <c r="W106" s="9">
        <f>ROUND(100*(K106*SUMMARY!$C$11+N106*SUMMARY!$C$12+R106*SUMMARY!$C$13+AG106*SUMMARY!$C$17),1)</f>
        <v>97.9</v>
      </c>
      <c r="X106" s="5" t="str">
        <f>IF(W106&gt;=100*SUMMARY!$C$14,"Sangat Baik",IF(W106&gt;=100*SUMMARY!$C$15,"Baik",IF(W106&gt;=100*SUMMARY!$C$16,"Cukup","Perlu Pembinaan")))</f>
        <v>Sangat Baik</v>
      </c>
      <c r="Y106" s="7">
        <f>SUMIFS(DETAIL!$J$2:$J$137,DETAIL!$B$2:$B$137,$C106)</f>
        <v>9</v>
      </c>
      <c r="Z106" s="7">
        <f>SUMIFS(DETAIL!$L$2:$L$137,DETAIL!$B$2:$B$137,$C106)</f>
        <v>5</v>
      </c>
      <c r="AA106" s="11">
        <f>M106+ROW()/100000</f>
        <v>1.06E-3</v>
      </c>
      <c r="AB106" s="11">
        <f>W106-ROW()/100000</f>
        <v>97.89894000000001</v>
      </c>
      <c r="AC106" s="49">
        <f>IF(I106&gt;=40,K106-ROW()/10000000,"")</f>
        <v>0.94665606666666668</v>
      </c>
      <c r="AD106" s="5" t="str">
        <f>TEXT(PEMAGANG!J21,"dd-mm-yy")&amp;" s.d. "&amp;TEXT(PEMAGANG!K21,"dd-mm-yy")</f>
        <v>01-06-26 s.d. 30-09-26</v>
      </c>
      <c r="AE106" s="5" t="str">
        <f>PEMAGANG!N21</f>
        <v>Aktif sepanjang periode</v>
      </c>
      <c r="AF106" s="50">
        <f>IFERROR(INDEX(PRODUKTIVITAS!$J$10:$J$43,MATCH($C106,PRODUKTIVITAS!$B$10:$B$43,0)),0)</f>
        <v>2.212895237895427</v>
      </c>
      <c r="AG106" s="51">
        <f>IFERROR(INDEX(PRODUKTIVITAS!$K$10:$K$43,MATCH($C106,PRODUKTIVITAS!$B$10:$B$43,0)),0)</f>
        <v>1</v>
      </c>
    </row>
    <row r="107" spans="1:33" x14ac:dyDescent="0.2">
      <c r="A107" s="1" t="str">
        <f>"Pembimbing: "&amp;D108&amp;"  ("&amp;COUNTIF($D$79:$D$133,D108)&amp;" pemagang)"</f>
        <v>Pembimbing: HASKIN AVIONATA  (1 pemagang)</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33" ht="12.75" x14ac:dyDescent="0.2">
      <c r="A108" s="5">
        <f>ROW()-ROW($A$78)-10</f>
        <v>20</v>
      </c>
      <c r="B108" s="6" t="str">
        <f>PEMAGANG!B22</f>
        <v>MG3826</v>
      </c>
      <c r="C108" s="6" t="str">
        <f>PEMAGANG!C22</f>
        <v>FARREL ALWIN RAHMADHAN</v>
      </c>
      <c r="D108" s="6" t="str">
        <f>PEMAGANG!D22</f>
        <v>HASKIN AVIONATA</v>
      </c>
      <c r="E108" s="6" t="str">
        <f>PEMAGANG!E22</f>
        <v>MANDIRI</v>
      </c>
      <c r="F108" s="6" t="str">
        <f>PEMAGANG!F22</f>
        <v>EQUALISATION OFFICER (SID)</v>
      </c>
      <c r="G108" s="47">
        <f>IF(PEMAGANG!H22="","Tidak tercatat",PEMAGANG!H22)</f>
        <v>46031</v>
      </c>
      <c r="H108" s="47">
        <f>IF(PEMAGANG!I22="","Tidak tercatat",PEMAGANG!I22)</f>
        <v>46387</v>
      </c>
      <c r="I108" s="7">
        <f>SUMIFS(DETAIL!$I$2:$I$137,DETAIL!$B$2:$B$137,$C108)</f>
        <v>75</v>
      </c>
      <c r="J108" s="7">
        <f>SUMIFS(DETAIL!$K$2:$K$137,DETAIL!$B$2:$B$137,$C108)</f>
        <v>64</v>
      </c>
      <c r="K108" s="8">
        <f>IFERROR(J108/I108,0)</f>
        <v>0.85333333333333339</v>
      </c>
      <c r="L108" s="7">
        <f>I108-J108</f>
        <v>11</v>
      </c>
      <c r="M108" s="7">
        <f>SUMIFS(DETAIL!$N$2:$N$137,DETAIL!$B$2:$B$137,$C108)</f>
        <v>17</v>
      </c>
      <c r="N108" s="8">
        <f>IFERROR(1-M108/SUMIFS(DETAIL!$M$2:$M$137,DETAIL!$B$2:$B$137,$C108),0)</f>
        <v>0.7384615384615385</v>
      </c>
      <c r="O108" s="9">
        <f>IFERROR(SUMIFS(DETAIL!$O$2:$O$137,DETAIL!$B$2:$B$137,$C108)/M108,0)</f>
        <v>3.8235294117647065</v>
      </c>
      <c r="P108" s="7">
        <f>SUMIFS(DETAIL!$P$2:$P$137,DETAIL!$B$2:$B$137,$C108)</f>
        <v>3</v>
      </c>
      <c r="Q108" s="7">
        <f>SUMIFS(DETAIL!$Q$2:$Q$137,DETAIL!$B$2:$B$137,$C108)</f>
        <v>63</v>
      </c>
      <c r="R108" s="8">
        <f>IFERROR(Q108/SUMIFS(DETAIL!$M$2:$M$137,DETAIL!$B$2:$B$137,$C108),0)</f>
        <v>0.96923076923076923</v>
      </c>
      <c r="S108" s="48">
        <f>IFERROR(SUMIFS(DETAIL!$K$2:$K$137,DETAIL!$B$2:$B$137,$C108,DETAIL!$F$2:$F$137,MONTH(DATE(YEAR(SUMMARY!$C$6),MONTH(SUMMARY!$C$6)+0,1)))/SUMIFS(DETAIL!$I$2:$I$137,DETAIL!$B$2:$B$137,$C108,DETAIL!$F$2:$F$137,MONTH(DATE(YEAR(SUMMARY!$C$6),MONTH(SUMMARY!$C$6)+0,1))),"-")</f>
        <v>0.5625</v>
      </c>
      <c r="T108" s="48">
        <f>IFERROR(SUMIFS(DETAIL!$K$2:$K$137,DETAIL!$B$2:$B$137,$C108,DETAIL!$F$2:$F$137,MONTH(DATE(YEAR(SUMMARY!$C$6),MONTH(SUMMARY!$C$6)+1,1)))/SUMIFS(DETAIL!$I$2:$I$137,DETAIL!$B$2:$B$137,$C108,DETAIL!$F$2:$F$137,MONTH(DATE(YEAR(SUMMARY!$C$6),MONTH(SUMMARY!$C$6)+1,1))),"-")</f>
        <v>0.83333333333333337</v>
      </c>
      <c r="U108" s="48">
        <f>IFERROR(SUMIFS(DETAIL!$K$2:$K$137,DETAIL!$B$2:$B$137,$C108,DETAIL!$F$2:$F$137,MONTH(DATE(YEAR(SUMMARY!$C$6),MONTH(SUMMARY!$C$6)+2,1)))/SUMIFS(DETAIL!$I$2:$I$137,DETAIL!$B$2:$B$137,$C108,DETAIL!$F$2:$F$137,MONTH(DATE(YEAR(SUMMARY!$C$6),MONTH(SUMMARY!$C$6)+2,1))),"-")</f>
        <v>0.94736842105263153</v>
      </c>
      <c r="V108" s="48">
        <f>IFERROR(SUMIFS(DETAIL!$K$2:$K$137,DETAIL!$B$2:$B$137,$C108,DETAIL!$F$2:$F$137,MONTH(DATE(YEAR(SUMMARY!$C$6),MONTH(SUMMARY!$C$6)+3,1)))/SUMIFS(DETAIL!$I$2:$I$137,DETAIL!$B$2:$B$137,$C108,DETAIL!$F$2:$F$137,MONTH(DATE(YEAR(SUMMARY!$C$6),MONTH(SUMMARY!$C$6)+3,1))),"-")</f>
        <v>1</v>
      </c>
      <c r="W108" s="9">
        <f>ROUND(100*(K108*SUMMARY!$C$11+N108*SUMMARY!$C$12+R108*SUMMARY!$C$13+AG108*SUMMARY!$C$17),1)</f>
        <v>78.099999999999994</v>
      </c>
      <c r="X108" s="5" t="str">
        <f>IF(W108&gt;=100*SUMMARY!$C$14,"Sangat Baik",IF(W108&gt;=100*SUMMARY!$C$15,"Baik",IF(W108&gt;=100*SUMMARY!$C$16,"Cukup","Perlu Pembinaan")))</f>
        <v>Cukup</v>
      </c>
      <c r="Y108" s="7">
        <f>SUMIFS(DETAIL!$J$2:$J$137,DETAIL!$B$2:$B$137,$C108)</f>
        <v>9</v>
      </c>
      <c r="Z108" s="7">
        <f>SUMIFS(DETAIL!$L$2:$L$137,DETAIL!$B$2:$B$137,$C108)</f>
        <v>1</v>
      </c>
      <c r="AA108" s="11">
        <f>M108+ROW()/100000</f>
        <v>17.001080000000002</v>
      </c>
      <c r="AB108" s="11">
        <f>W108-ROW()/100000</f>
        <v>78.098919999999993</v>
      </c>
      <c r="AC108" s="49">
        <f>IF(I108&gt;=40,K108-ROW()/10000000,"")</f>
        <v>0.85332253333333341</v>
      </c>
      <c r="AD108" s="5" t="str">
        <f>TEXT(PEMAGANG!J22,"dd-mm-yy")&amp;" s.d. "&amp;TEXT(PEMAGANG!K22,"dd-mm-yy")</f>
        <v>01-06-26 s.d. 30-09-26</v>
      </c>
      <c r="AE108" s="5" t="str">
        <f>PEMAGANG!N22</f>
        <v>Aktif sepanjang periode</v>
      </c>
      <c r="AF108" s="50">
        <f>IFERROR(INDEX(PRODUKTIVITAS!$J$10:$J$43,MATCH($C108,PRODUKTIVITAS!$B$10:$B$43,0)),0)</f>
        <v>0.61100400615748751</v>
      </c>
      <c r="AG108" s="51">
        <f>IFERROR(INDEX(PRODUKTIVITAS!$K$10:$K$43,MATCH($C108,PRODUKTIVITAS!$B$10:$B$43,0)),0)</f>
        <v>0.61100400615748751</v>
      </c>
    </row>
    <row r="109" spans="1:33" x14ac:dyDescent="0.2">
      <c r="A109" s="1" t="str">
        <f>"Pembimbing: "&amp;D110&amp;"  ("&amp;COUNTIF($D$79:$D$133,D110)&amp;" pemagang)"</f>
        <v>Pembimbing: IMAM SUBEKTI  (1 pemagang)</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33" ht="12.75" x14ac:dyDescent="0.2">
      <c r="A110" s="5">
        <f>ROW()-ROW($A$78)-11</f>
        <v>21</v>
      </c>
      <c r="B110" s="6" t="str">
        <f>PEMAGANG!B23</f>
        <v>INT/SILOG/260353</v>
      </c>
      <c r="C110" s="6" t="str">
        <f>PEMAGANG!C23</f>
        <v>MASDUQI MUHAMMAD</v>
      </c>
      <c r="D110" s="6" t="str">
        <f>PEMAGANG!D23</f>
        <v>IMAM SUBEKTI</v>
      </c>
      <c r="E110" s="6" t="str">
        <f>PEMAGANG!E23</f>
        <v>-</v>
      </c>
      <c r="F110" s="6" t="str">
        <f>PEMAGANG!F23</f>
        <v>PGS MANAGER OF LAMONGAN BRANCH</v>
      </c>
      <c r="G110" s="47" t="str">
        <f>IF(PEMAGANG!H23="","Tidak tercatat",PEMAGANG!H23)</f>
        <v>Tidak tercatat</v>
      </c>
      <c r="H110" s="47" t="str">
        <f>IF(PEMAGANG!I23="","Tidak tercatat",PEMAGANG!I23)</f>
        <v>Tidak tercatat</v>
      </c>
      <c r="I110" s="7">
        <f>SUMIFS(DETAIL!$I$2:$I$137,DETAIL!$B$2:$B$137,$C110)</f>
        <v>20</v>
      </c>
      <c r="J110" s="7">
        <f>SUMIFS(DETAIL!$K$2:$K$137,DETAIL!$B$2:$B$137,$C110)</f>
        <v>15</v>
      </c>
      <c r="K110" s="8">
        <f>IFERROR(J110/I110,0)</f>
        <v>0.75</v>
      </c>
      <c r="L110" s="7">
        <f>I110-J110</f>
        <v>5</v>
      </c>
      <c r="M110" s="7">
        <f>SUMIFS(DETAIL!$N$2:$N$137,DETAIL!$B$2:$B$137,$C110)</f>
        <v>8</v>
      </c>
      <c r="N110" s="8">
        <f>IFERROR(1-M110/SUMIFS(DETAIL!$M$2:$M$137,DETAIL!$B$2:$B$137,$C110),0)</f>
        <v>0.46666666666666667</v>
      </c>
      <c r="O110" s="9">
        <f>IFERROR(SUMIFS(DETAIL!$O$2:$O$137,DETAIL!$B$2:$B$137,$C110)/M110,0)</f>
        <v>18.750000000000021</v>
      </c>
      <c r="P110" s="7">
        <f>SUMIFS(DETAIL!$P$2:$P$137,DETAIL!$B$2:$B$137,$C110)</f>
        <v>12</v>
      </c>
      <c r="Q110" s="7">
        <f>SUMIFS(DETAIL!$Q$2:$Q$137,DETAIL!$B$2:$B$137,$C110)</f>
        <v>0</v>
      </c>
      <c r="R110" s="8">
        <f>IFERROR(Q110/SUMIFS(DETAIL!$M$2:$M$137,DETAIL!$B$2:$B$137,$C110),0)</f>
        <v>0</v>
      </c>
      <c r="S110" s="48" t="str">
        <f>IFERROR(SUMIFS(DETAIL!$K$2:$K$137,DETAIL!$B$2:$B$137,$C110,DETAIL!$F$2:$F$137,MONTH(DATE(YEAR(SUMMARY!$C$6),MONTH(SUMMARY!$C$6)+0,1)))/SUMIFS(DETAIL!$I$2:$I$137,DETAIL!$B$2:$B$137,$C110,DETAIL!$F$2:$F$137,MONTH(DATE(YEAR(SUMMARY!$C$6),MONTH(SUMMARY!$C$6)+0,1))),"-")</f>
        <v>-</v>
      </c>
      <c r="T110" s="48" t="str">
        <f>IFERROR(SUMIFS(DETAIL!$K$2:$K$137,DETAIL!$B$2:$B$137,$C110,DETAIL!$F$2:$F$137,MONTH(DATE(YEAR(SUMMARY!$C$6),MONTH(SUMMARY!$C$6)+1,1)))/SUMIFS(DETAIL!$I$2:$I$137,DETAIL!$B$2:$B$137,$C110,DETAIL!$F$2:$F$137,MONTH(DATE(YEAR(SUMMARY!$C$6),MONTH(SUMMARY!$C$6)+1,1))),"-")</f>
        <v>-</v>
      </c>
      <c r="U110" s="48" t="str">
        <f>IFERROR(SUMIFS(DETAIL!$K$2:$K$137,DETAIL!$B$2:$B$137,$C110,DETAIL!$F$2:$F$137,MONTH(DATE(YEAR(SUMMARY!$C$6),MONTH(SUMMARY!$C$6)+2,1)))/SUMIFS(DETAIL!$I$2:$I$137,DETAIL!$B$2:$B$137,$C110,DETAIL!$F$2:$F$137,MONTH(DATE(YEAR(SUMMARY!$C$6),MONTH(SUMMARY!$C$6)+2,1))),"-")</f>
        <v>-</v>
      </c>
      <c r="V110" s="48">
        <f>IFERROR(SUMIFS(DETAIL!$K$2:$K$137,DETAIL!$B$2:$B$137,$C110,DETAIL!$F$2:$F$137,MONTH(DATE(YEAR(SUMMARY!$C$6),MONTH(SUMMARY!$C$6)+3,1)))/SUMIFS(DETAIL!$I$2:$I$137,DETAIL!$B$2:$B$137,$C110,DETAIL!$F$2:$F$137,MONTH(DATE(YEAR(SUMMARY!$C$6),MONTH(SUMMARY!$C$6)+3,1))),"-")</f>
        <v>0.75</v>
      </c>
      <c r="W110" s="9">
        <f>ROUND(100*(K110*SUMMARY!$C$11+N110*SUMMARY!$C$12+R110*SUMMARY!$C$13+AG110*SUMMARY!$C$17),1)</f>
        <v>31.8</v>
      </c>
      <c r="X110" s="5" t="str">
        <f>IF(W110&gt;=100*SUMMARY!$C$14,"Sangat Baik",IF(W110&gt;=100*SUMMARY!$C$15,"Baik",IF(W110&gt;=100*SUMMARY!$C$16,"Cukup","Perlu Pembinaan")))</f>
        <v>Perlu Pembinaan</v>
      </c>
      <c r="Y110" s="7">
        <f>SUMIFS(DETAIL!$J$2:$J$137,DETAIL!$B$2:$B$137,$C110)</f>
        <v>0</v>
      </c>
      <c r="Z110" s="7">
        <f>SUMIFS(DETAIL!$L$2:$L$137,DETAIL!$B$2:$B$137,$C110)</f>
        <v>0</v>
      </c>
      <c r="AA110" s="11">
        <f>M110+ROW()/100000</f>
        <v>8.0010999999999992</v>
      </c>
      <c r="AB110" s="11">
        <f>W110-ROW()/100000</f>
        <v>31.7989</v>
      </c>
      <c r="AC110" s="49" t="str">
        <f>IF(I110&gt;=40,K110-ROW()/10000000,"")</f>
        <v/>
      </c>
      <c r="AD110" s="5" t="str">
        <f>TEXT(PEMAGANG!J23,"dd-mm-yy")&amp;" s.d. "&amp;TEXT(PEMAGANG!K23,"dd-mm-yy")</f>
        <v>03-09-26 s.d. 30-09-26</v>
      </c>
      <c r="AE110" s="5" t="str">
        <f>PEMAGANG!N23</f>
        <v>Masuk 03-09-2026</v>
      </c>
      <c r="AF110" s="50">
        <f>IFERROR(INDEX(PRODUKTIVITAS!$J$10:$J$43,MATCH($C110,PRODUKTIVITAS!$B$10:$B$43,0)),0)</f>
        <v>0</v>
      </c>
      <c r="AG110" s="51">
        <f>IFERROR(INDEX(PRODUKTIVITAS!$K$10:$K$43,MATCH($C110,PRODUKTIVITAS!$B$10:$B$43,0)),0)</f>
        <v>0</v>
      </c>
    </row>
    <row r="111" spans="1:33" x14ac:dyDescent="0.2">
      <c r="A111" s="1" t="str">
        <f>"Pembimbing: "&amp;D112&amp;"  ("&amp;COUNTIF($D$79:$D$133,D112)&amp;" pemagang)"</f>
        <v>Pembimbing: IMANIAR PUTRI UTAMI  (1 pemagang)</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33" ht="12.75" x14ac:dyDescent="0.2">
      <c r="A112" s="5">
        <f>ROW()-ROW($A$78)-12</f>
        <v>22</v>
      </c>
      <c r="B112" s="6" t="str">
        <f>PEMAGANG!B24</f>
        <v>MG5226</v>
      </c>
      <c r="C112" s="6" t="str">
        <f>PEMAGANG!C24</f>
        <v>CITRA ANGGRAINI</v>
      </c>
      <c r="D112" s="6" t="str">
        <f>PEMAGANG!D24</f>
        <v>IMANIAR PUTRI UTAMI</v>
      </c>
      <c r="E112" s="6" t="str">
        <f>PEMAGANG!E24</f>
        <v>MANDIRI</v>
      </c>
      <c r="F112" s="6" t="str">
        <f>PEMAGANG!F24</f>
        <v>MANAGER OF VERIFICATION</v>
      </c>
      <c r="G112" s="47">
        <f>IF(PEMAGANG!H24="","Tidak tercatat",PEMAGANG!H24)</f>
        <v>46279</v>
      </c>
      <c r="H112" s="47">
        <f>IF(PEMAGANG!I24="","Tidak tercatat",PEMAGANG!I24)</f>
        <v>46460</v>
      </c>
      <c r="I112" s="7">
        <f>SUMIFS(DETAIL!$I$2:$I$137,DETAIL!$B$2:$B$137,$C112)</f>
        <v>13</v>
      </c>
      <c r="J112" s="7">
        <f>SUMIFS(DETAIL!$K$2:$K$137,DETAIL!$B$2:$B$137,$C112)</f>
        <v>13</v>
      </c>
      <c r="K112" s="8">
        <f>IFERROR(J112/I112,0)</f>
        <v>1</v>
      </c>
      <c r="L112" s="7">
        <f>I112-J112</f>
        <v>0</v>
      </c>
      <c r="M112" s="7">
        <f>SUMIFS(DETAIL!$N$2:$N$137,DETAIL!$B$2:$B$137,$C112)</f>
        <v>1</v>
      </c>
      <c r="N112" s="8">
        <f>IFERROR(1-M112/SUMIFS(DETAIL!$M$2:$M$137,DETAIL!$B$2:$B$137,$C112),0)</f>
        <v>0.92307692307692313</v>
      </c>
      <c r="O112" s="9">
        <f>IFERROR(SUMIFS(DETAIL!$O$2:$O$137,DETAIL!$B$2:$B$137,$C112)/M112,0)</f>
        <v>202</v>
      </c>
      <c r="P112" s="7">
        <f>SUMIFS(DETAIL!$P$2:$P$137,DETAIL!$B$2:$B$137,$C112)</f>
        <v>0</v>
      </c>
      <c r="Q112" s="7">
        <f>SUMIFS(DETAIL!$Q$2:$Q$137,DETAIL!$B$2:$B$137,$C112)</f>
        <v>13</v>
      </c>
      <c r="R112" s="8">
        <f>IFERROR(Q112/SUMIFS(DETAIL!$M$2:$M$137,DETAIL!$B$2:$B$137,$C112),0)</f>
        <v>1</v>
      </c>
      <c r="S112" s="48" t="str">
        <f>IFERROR(SUMIFS(DETAIL!$K$2:$K$137,DETAIL!$B$2:$B$137,$C112,DETAIL!$F$2:$F$137,MONTH(DATE(YEAR(SUMMARY!$C$6),MONTH(SUMMARY!$C$6)+0,1)))/SUMIFS(DETAIL!$I$2:$I$137,DETAIL!$B$2:$B$137,$C112,DETAIL!$F$2:$F$137,MONTH(DATE(YEAR(SUMMARY!$C$6),MONTH(SUMMARY!$C$6)+0,1))),"-")</f>
        <v>-</v>
      </c>
      <c r="T112" s="48" t="str">
        <f>IFERROR(SUMIFS(DETAIL!$K$2:$K$137,DETAIL!$B$2:$B$137,$C112,DETAIL!$F$2:$F$137,MONTH(DATE(YEAR(SUMMARY!$C$6),MONTH(SUMMARY!$C$6)+1,1)))/SUMIFS(DETAIL!$I$2:$I$137,DETAIL!$B$2:$B$137,$C112,DETAIL!$F$2:$F$137,MONTH(DATE(YEAR(SUMMARY!$C$6),MONTH(SUMMARY!$C$6)+1,1))),"-")</f>
        <v>-</v>
      </c>
      <c r="U112" s="48" t="str">
        <f>IFERROR(SUMIFS(DETAIL!$K$2:$K$137,DETAIL!$B$2:$B$137,$C112,DETAIL!$F$2:$F$137,MONTH(DATE(YEAR(SUMMARY!$C$6),MONTH(SUMMARY!$C$6)+2,1)))/SUMIFS(DETAIL!$I$2:$I$137,DETAIL!$B$2:$B$137,$C112,DETAIL!$F$2:$F$137,MONTH(DATE(YEAR(SUMMARY!$C$6),MONTH(SUMMARY!$C$6)+2,1))),"-")</f>
        <v>-</v>
      </c>
      <c r="V112" s="48">
        <f>IFERROR(SUMIFS(DETAIL!$K$2:$K$137,DETAIL!$B$2:$B$137,$C112,DETAIL!$F$2:$F$137,MONTH(DATE(YEAR(SUMMARY!$C$6),MONTH(SUMMARY!$C$6)+3,1)))/SUMIFS(DETAIL!$I$2:$I$137,DETAIL!$B$2:$B$137,$C112,DETAIL!$F$2:$F$137,MONTH(DATE(YEAR(SUMMARY!$C$6),MONTH(SUMMARY!$C$6)+3,1))),"-")</f>
        <v>1</v>
      </c>
      <c r="W112" s="9">
        <f>ROUND(100*(K112*SUMMARY!$C$11+N112*SUMMARY!$C$12+R112*SUMMARY!$C$13+AG112*SUMMARY!$C$17),1)</f>
        <v>91.8</v>
      </c>
      <c r="X112" s="5" t="str">
        <f>IF(W112&gt;=100*SUMMARY!$C$14,"Sangat Baik",IF(W112&gt;=100*SUMMARY!$C$15,"Baik",IF(W112&gt;=100*SUMMARY!$C$16,"Cukup","Perlu Pembinaan")))</f>
        <v>Sangat Baik</v>
      </c>
      <c r="Y112" s="7">
        <f>SUMIFS(DETAIL!$J$2:$J$137,DETAIL!$B$2:$B$137,$C112)</f>
        <v>0</v>
      </c>
      <c r="Z112" s="7">
        <f>SUMIFS(DETAIL!$L$2:$L$137,DETAIL!$B$2:$B$137,$C112)</f>
        <v>0</v>
      </c>
      <c r="AA112" s="11">
        <f>M112+ROW()/100000</f>
        <v>1.00112</v>
      </c>
      <c r="AB112" s="11">
        <f>W112-ROW()/100000</f>
        <v>91.798879999999997</v>
      </c>
      <c r="AC112" s="49" t="str">
        <f>IF(I112&gt;=40,K112-ROW()/10000000,"")</f>
        <v/>
      </c>
      <c r="AD112" s="5" t="str">
        <f>TEXT(PEMAGANG!J24,"dd-mm-yy")&amp;" s.d. "&amp;TEXT(PEMAGANG!K24,"dd-mm-yy")</f>
        <v>14-09-26 s.d. 30-09-26</v>
      </c>
      <c r="AE112" s="5" t="str">
        <f>PEMAGANG!N24</f>
        <v>Masuk 14-09-2026</v>
      </c>
      <c r="AF112" s="50">
        <f>IFERROR(INDEX(PRODUKTIVITAS!$J$10:$J$43,MATCH($C112,PRODUKTIVITAS!$B$10:$B$43,0)),0)</f>
        <v>0.77912780074043242</v>
      </c>
      <c r="AG112" s="51">
        <f>IFERROR(INDEX(PRODUKTIVITAS!$K$10:$K$43,MATCH($C112,PRODUKTIVITAS!$B$10:$B$43,0)),0)</f>
        <v>0.77912780074043242</v>
      </c>
    </row>
    <row r="113" spans="1:33" x14ac:dyDescent="0.2">
      <c r="A113" s="1" t="str">
        <f>"Pembimbing: "&amp;D114&amp;"  ("&amp;COUNTIF($D$79:$D$133,D114)&amp;" pemagang)"</f>
        <v>Pembimbing: M. RIZAD FAHRURI  (1 pemagang)</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33" ht="12.75" x14ac:dyDescent="0.2">
      <c r="A114" s="5">
        <f>ROW()-ROW($A$78)-13</f>
        <v>23</v>
      </c>
      <c r="B114" s="6" t="str">
        <f>PEMAGANG!B25</f>
        <v>MG/KH/3125</v>
      </c>
      <c r="C114" s="6" t="str">
        <f>PEMAGANG!C25</f>
        <v>KHOFIFATUNNABILAH</v>
      </c>
      <c r="D114" s="6" t="str">
        <f>PEMAGANG!D25</f>
        <v>M. RIZAD FAHRURI</v>
      </c>
      <c r="E114" s="6" t="str">
        <f>PEMAGANG!E25</f>
        <v>Kontrak Project</v>
      </c>
      <c r="F114" s="6" t="str">
        <f>PEMAGANG!F25</f>
        <v>PGS FINANCIAL ANALYSIS OFFICER</v>
      </c>
      <c r="G114" s="47">
        <f>IF(PEMAGANG!H25="","Tidak tercatat",PEMAGANG!H25)</f>
        <v>45985</v>
      </c>
      <c r="H114" s="47">
        <f>IF(PEMAGANG!I25="","Tidak tercatat",PEMAGANG!I25)</f>
        <v>46356</v>
      </c>
      <c r="I114" s="7">
        <f>SUMIFS(DETAIL!$I$2:$I$137,DETAIL!$B$2:$B$137,$C114)</f>
        <v>75</v>
      </c>
      <c r="J114" s="7">
        <f>SUMIFS(DETAIL!$K$2:$K$137,DETAIL!$B$2:$B$137,$C114)</f>
        <v>72</v>
      </c>
      <c r="K114" s="8">
        <f>IFERROR(J114/I114,0)</f>
        <v>0.96</v>
      </c>
      <c r="L114" s="7">
        <f>I114-J114</f>
        <v>3</v>
      </c>
      <c r="M114" s="7">
        <f>SUMIFS(DETAIL!$N$2:$N$137,DETAIL!$B$2:$B$137,$C114)</f>
        <v>0</v>
      </c>
      <c r="N114" s="8">
        <f>IFERROR(1-M114/SUMIFS(DETAIL!$M$2:$M$137,DETAIL!$B$2:$B$137,$C114),0)</f>
        <v>1</v>
      </c>
      <c r="O114" s="9">
        <f>IFERROR(SUMIFS(DETAIL!$O$2:$O$137,DETAIL!$B$2:$B$137,$C114)/M114,0)</f>
        <v>0</v>
      </c>
      <c r="P114" s="7">
        <f>SUMIFS(DETAIL!$P$2:$P$137,DETAIL!$B$2:$B$137,$C114)</f>
        <v>3</v>
      </c>
      <c r="Q114" s="7">
        <f>SUMIFS(DETAIL!$Q$2:$Q$137,DETAIL!$B$2:$B$137,$C114)</f>
        <v>77</v>
      </c>
      <c r="R114" s="8">
        <f>IFERROR(Q114/SUMIFS(DETAIL!$M$2:$M$137,DETAIL!$B$2:$B$137,$C114),0)</f>
        <v>0.98717948717948723</v>
      </c>
      <c r="S114" s="48">
        <f>IFERROR(SUMIFS(DETAIL!$K$2:$K$137,DETAIL!$B$2:$B$137,$C114,DETAIL!$F$2:$F$137,MONTH(DATE(YEAR(SUMMARY!$C$6),MONTH(SUMMARY!$C$6)+0,1)))/SUMIFS(DETAIL!$I$2:$I$137,DETAIL!$B$2:$B$137,$C114,DETAIL!$F$2:$F$137,MONTH(DATE(YEAR(SUMMARY!$C$6),MONTH(SUMMARY!$C$6)+0,1))),"-")</f>
        <v>1</v>
      </c>
      <c r="T114" s="48">
        <f>IFERROR(SUMIFS(DETAIL!$K$2:$K$137,DETAIL!$B$2:$B$137,$C114,DETAIL!$F$2:$F$137,MONTH(DATE(YEAR(SUMMARY!$C$6),MONTH(SUMMARY!$C$6)+1,1)))/SUMIFS(DETAIL!$I$2:$I$137,DETAIL!$B$2:$B$137,$C114,DETAIL!$F$2:$F$137,MONTH(DATE(YEAR(SUMMARY!$C$6),MONTH(SUMMARY!$C$6)+1,1))),"-")</f>
        <v>0.83333333333333337</v>
      </c>
      <c r="U114" s="48">
        <f>IFERROR(SUMIFS(DETAIL!$K$2:$K$137,DETAIL!$B$2:$B$137,$C114,DETAIL!$F$2:$F$137,MONTH(DATE(YEAR(SUMMARY!$C$6),MONTH(SUMMARY!$C$6)+2,1)))/SUMIFS(DETAIL!$I$2:$I$137,DETAIL!$B$2:$B$137,$C114,DETAIL!$F$2:$F$137,MONTH(DATE(YEAR(SUMMARY!$C$6),MONTH(SUMMARY!$C$6)+2,1))),"-")</f>
        <v>1</v>
      </c>
      <c r="V114" s="48">
        <f>IFERROR(SUMIFS(DETAIL!$K$2:$K$137,DETAIL!$B$2:$B$137,$C114,DETAIL!$F$2:$F$137,MONTH(DATE(YEAR(SUMMARY!$C$6),MONTH(SUMMARY!$C$6)+3,1)))/SUMIFS(DETAIL!$I$2:$I$137,DETAIL!$B$2:$B$137,$C114,DETAIL!$F$2:$F$137,MONTH(DATE(YEAR(SUMMARY!$C$6),MONTH(SUMMARY!$C$6)+3,1))),"-")</f>
        <v>1</v>
      </c>
      <c r="W114" s="9">
        <f>ROUND(100*(K114*SUMMARY!$C$11+N114*SUMMARY!$C$12+R114*SUMMARY!$C$13+AG114*SUMMARY!$C$17),1)</f>
        <v>98.5</v>
      </c>
      <c r="X114" s="5" t="str">
        <f>IF(W114&gt;=100*SUMMARY!$C$14,"Sangat Baik",IF(W114&gt;=100*SUMMARY!$C$15,"Baik",IF(W114&gt;=100*SUMMARY!$C$16,"Cukup","Perlu Pembinaan")))</f>
        <v>Sangat Baik</v>
      </c>
      <c r="Y114" s="7">
        <f>SUMIFS(DETAIL!$J$2:$J$137,DETAIL!$B$2:$B$137,$C114)</f>
        <v>9</v>
      </c>
      <c r="Z114" s="7">
        <f>SUMIFS(DETAIL!$L$2:$L$137,DETAIL!$B$2:$B$137,$C114)</f>
        <v>6</v>
      </c>
      <c r="AA114" s="11">
        <f>M114+ROW()/100000</f>
        <v>1.14E-3</v>
      </c>
      <c r="AB114" s="11">
        <f>W114-ROW()/100000</f>
        <v>98.498859999999993</v>
      </c>
      <c r="AC114" s="49">
        <f>IF(I114&gt;=40,K114-ROW()/10000000,"")</f>
        <v>0.95998859999999997</v>
      </c>
      <c r="AD114" s="5" t="str">
        <f>TEXT(PEMAGANG!J25,"dd-mm-yy")&amp;" s.d. "&amp;TEXT(PEMAGANG!K25,"dd-mm-yy")</f>
        <v>01-06-26 s.d. 30-09-26</v>
      </c>
      <c r="AE114" s="5" t="str">
        <f>PEMAGANG!N25</f>
        <v>Aktif sepanjang periode</v>
      </c>
      <c r="AF114" s="50">
        <f>IFERROR(INDEX(PRODUKTIVITAS!$J$10:$J$43,MATCH($C114,PRODUKTIVITAS!$B$10:$B$43,0)),0)</f>
        <v>1.9549135907197357</v>
      </c>
      <c r="AG114" s="51">
        <f>IFERROR(INDEX(PRODUKTIVITAS!$K$10:$K$43,MATCH($C114,PRODUKTIVITAS!$B$10:$B$43,0)),0)</f>
        <v>1</v>
      </c>
    </row>
    <row r="115" spans="1:33" x14ac:dyDescent="0.2">
      <c r="A115" s="1" t="str">
        <f>"Pembimbing: "&amp;D116&amp;"  ("&amp;COUNTIF($D$79:$D$133,D116)&amp;" pemagang)"</f>
        <v>Pembimbing: MOH. AGUS EFENDI  (2 pemagang)</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33" ht="12.75" x14ac:dyDescent="0.2">
      <c r="A116" s="5">
        <f>ROW()-ROW($A$78)-14</f>
        <v>24</v>
      </c>
      <c r="B116" s="6" t="str">
        <f>PEMAGANG!B26</f>
        <v>MG/KH/3925</v>
      </c>
      <c r="C116" s="6" t="str">
        <f>PEMAGANG!C26</f>
        <v>ANGGUN NUR TSANIA AGUSTIN</v>
      </c>
      <c r="D116" s="6" t="str">
        <f>PEMAGANG!D26</f>
        <v>MOH. AGUS EFENDI</v>
      </c>
      <c r="E116" s="6" t="str">
        <f>PEMAGANG!E26</f>
        <v>Kontrak Project</v>
      </c>
      <c r="F116" s="6" t="str">
        <f>PEMAGANG!F26</f>
        <v>MANAGER OF TRANSPORTATION</v>
      </c>
      <c r="G116" s="47">
        <f>IF(PEMAGANG!H26="","Tidak tercatat",PEMAGANG!H26)</f>
        <v>45985</v>
      </c>
      <c r="H116" s="47">
        <f>IF(PEMAGANG!I26="","Tidak tercatat",PEMAGANG!I26)</f>
        <v>46356</v>
      </c>
      <c r="I116" s="7">
        <f>SUMIFS(DETAIL!$I$2:$I$137,DETAIL!$B$2:$B$137,$C116)</f>
        <v>75</v>
      </c>
      <c r="J116" s="7">
        <f>SUMIFS(DETAIL!$K$2:$K$137,DETAIL!$B$2:$B$137,$C116)</f>
        <v>73</v>
      </c>
      <c r="K116" s="8">
        <f>IFERROR(J116/I116,0)</f>
        <v>0.97333333333333338</v>
      </c>
      <c r="L116" s="7">
        <f>I116-J116</f>
        <v>2</v>
      </c>
      <c r="M116" s="7">
        <f>SUMIFS(DETAIL!$N$2:$N$137,DETAIL!$B$2:$B$137,$C116)</f>
        <v>0</v>
      </c>
      <c r="N116" s="8">
        <f>IFERROR(1-M116/SUMIFS(DETAIL!$M$2:$M$137,DETAIL!$B$2:$B$137,$C116),0)</f>
        <v>1</v>
      </c>
      <c r="O116" s="9">
        <f>IFERROR(SUMIFS(DETAIL!$O$2:$O$137,DETAIL!$B$2:$B$137,$C116)/M116,0)</f>
        <v>0</v>
      </c>
      <c r="P116" s="7">
        <f>SUMIFS(DETAIL!$P$2:$P$137,DETAIL!$B$2:$B$137,$C116)</f>
        <v>1</v>
      </c>
      <c r="Q116" s="7">
        <f>SUMIFS(DETAIL!$Q$2:$Q$137,DETAIL!$B$2:$B$137,$C116)</f>
        <v>80</v>
      </c>
      <c r="R116" s="8">
        <f>IFERROR(Q116/SUMIFS(DETAIL!$M$2:$M$137,DETAIL!$B$2:$B$137,$C116),0)</f>
        <v>0.98765432098765427</v>
      </c>
      <c r="S116" s="48">
        <f>IFERROR(SUMIFS(DETAIL!$K$2:$K$137,DETAIL!$B$2:$B$137,$C116,DETAIL!$F$2:$F$137,MONTH(DATE(YEAR(SUMMARY!$C$6),MONTH(SUMMARY!$C$6)+0,1)))/SUMIFS(DETAIL!$I$2:$I$137,DETAIL!$B$2:$B$137,$C116,DETAIL!$F$2:$F$137,MONTH(DATE(YEAR(SUMMARY!$C$6),MONTH(SUMMARY!$C$6)+0,1))),"-")</f>
        <v>1</v>
      </c>
      <c r="T116" s="48">
        <f>IFERROR(SUMIFS(DETAIL!$K$2:$K$137,DETAIL!$B$2:$B$137,$C116,DETAIL!$F$2:$F$137,MONTH(DATE(YEAR(SUMMARY!$C$6),MONTH(SUMMARY!$C$6)+1,1)))/SUMIFS(DETAIL!$I$2:$I$137,DETAIL!$B$2:$B$137,$C116,DETAIL!$F$2:$F$137,MONTH(DATE(YEAR(SUMMARY!$C$6),MONTH(SUMMARY!$C$6)+1,1))),"-")</f>
        <v>0.88888888888888884</v>
      </c>
      <c r="U116" s="48">
        <f>IFERROR(SUMIFS(DETAIL!$K$2:$K$137,DETAIL!$B$2:$B$137,$C116,DETAIL!$F$2:$F$137,MONTH(DATE(YEAR(SUMMARY!$C$6),MONTH(SUMMARY!$C$6)+2,1)))/SUMIFS(DETAIL!$I$2:$I$137,DETAIL!$B$2:$B$137,$C116,DETAIL!$F$2:$F$137,MONTH(DATE(YEAR(SUMMARY!$C$6),MONTH(SUMMARY!$C$6)+2,1))),"-")</f>
        <v>1</v>
      </c>
      <c r="V116" s="48">
        <f>IFERROR(SUMIFS(DETAIL!$K$2:$K$137,DETAIL!$B$2:$B$137,$C116,DETAIL!$F$2:$F$137,MONTH(DATE(YEAR(SUMMARY!$C$6),MONTH(SUMMARY!$C$6)+3,1)))/SUMIFS(DETAIL!$I$2:$I$137,DETAIL!$B$2:$B$137,$C116,DETAIL!$F$2:$F$137,MONTH(DATE(YEAR(SUMMARY!$C$6),MONTH(SUMMARY!$C$6)+3,1))),"-")</f>
        <v>1</v>
      </c>
      <c r="W116" s="9">
        <f>ROUND(100*(K116*SUMMARY!$C$11+N116*SUMMARY!$C$12+R116*SUMMARY!$C$13+AG116*SUMMARY!$C$17),1)</f>
        <v>99</v>
      </c>
      <c r="X116" s="5" t="str">
        <f>IF(W116&gt;=100*SUMMARY!$C$14,"Sangat Baik",IF(W116&gt;=100*SUMMARY!$C$15,"Baik",IF(W116&gt;=100*SUMMARY!$C$16,"Cukup","Perlu Pembinaan")))</f>
        <v>Sangat Baik</v>
      </c>
      <c r="Y116" s="7">
        <f>SUMIFS(DETAIL!$J$2:$J$137,DETAIL!$B$2:$B$137,$C116)</f>
        <v>9</v>
      </c>
      <c r="Z116" s="7">
        <f>SUMIFS(DETAIL!$L$2:$L$137,DETAIL!$B$2:$B$137,$C116)</f>
        <v>8</v>
      </c>
      <c r="AA116" s="11">
        <f>M116+ROW()/100000</f>
        <v>1.16E-3</v>
      </c>
      <c r="AB116" s="11">
        <f>W116-ROW()/100000</f>
        <v>98.998840000000001</v>
      </c>
      <c r="AC116" s="49">
        <f>IF(I116&gt;=40,K116-ROW()/10000000,"")</f>
        <v>0.97332173333333338</v>
      </c>
      <c r="AD116" s="5" t="str">
        <f>TEXT(PEMAGANG!J26,"dd-mm-yy")&amp;" s.d. "&amp;TEXT(PEMAGANG!K26,"dd-mm-yy")</f>
        <v>01-06-26 s.d. 30-09-26</v>
      </c>
      <c r="AE116" s="5" t="str">
        <f>PEMAGANG!N26</f>
        <v>Aktif sepanjang periode</v>
      </c>
      <c r="AF116" s="50">
        <f>IFERROR(INDEX(PRODUKTIVITAS!$J$10:$J$43,MATCH($C116,PRODUKTIVITAS!$B$10:$B$43,0)),0)</f>
        <v>1.357747477399295</v>
      </c>
      <c r="AG116" s="51">
        <f>IFERROR(INDEX(PRODUKTIVITAS!$K$10:$K$43,MATCH($C116,PRODUKTIVITAS!$B$10:$B$43,0)),0)</f>
        <v>1</v>
      </c>
    </row>
    <row r="117" spans="1:33" ht="12.75" x14ac:dyDescent="0.2">
      <c r="A117" s="5">
        <f>ROW()-ROW($A$78)-14</f>
        <v>25</v>
      </c>
      <c r="B117" s="6" t="str">
        <f>PEMAGANG!B27</f>
        <v>MG4926</v>
      </c>
      <c r="C117" s="6" t="str">
        <f>PEMAGANG!C27</f>
        <v>MUHAMMAD FATCHUL ALAM</v>
      </c>
      <c r="D117" s="6" t="str">
        <f>PEMAGANG!D27</f>
        <v>MOH. AGUS EFENDI</v>
      </c>
      <c r="E117" s="6" t="str">
        <f>PEMAGANG!E27</f>
        <v>MANDIRI</v>
      </c>
      <c r="F117" s="6" t="str">
        <f>PEMAGANG!F27</f>
        <v>MANAGER OF TRANSPORTATION</v>
      </c>
      <c r="G117" s="47">
        <f>IF(PEMAGANG!H27="","Tidak tercatat",PEMAGANG!H27)</f>
        <v>46204</v>
      </c>
      <c r="H117" s="47">
        <f>IF(PEMAGANG!I27="","Tidak tercatat",PEMAGANG!I27)</f>
        <v>46295</v>
      </c>
      <c r="I117" s="7">
        <f>SUMIFS(DETAIL!$I$2:$I$137,DETAIL!$B$2:$B$137,$C117)</f>
        <v>59</v>
      </c>
      <c r="J117" s="7">
        <f>SUMIFS(DETAIL!$K$2:$K$137,DETAIL!$B$2:$B$137,$C117)</f>
        <v>55</v>
      </c>
      <c r="K117" s="8">
        <f>IFERROR(J117/I117,0)</f>
        <v>0.93220338983050843</v>
      </c>
      <c r="L117" s="7">
        <f>I117-J117</f>
        <v>4</v>
      </c>
      <c r="M117" s="7">
        <f>SUMIFS(DETAIL!$N$2:$N$137,DETAIL!$B$2:$B$137,$C117)</f>
        <v>3</v>
      </c>
      <c r="N117" s="8">
        <f>IFERROR(1-M117/SUMIFS(DETAIL!$M$2:$M$137,DETAIL!$B$2:$B$137,$C117),0)</f>
        <v>0.94545454545454544</v>
      </c>
      <c r="O117" s="9">
        <f>IFERROR(SUMIFS(DETAIL!$O$2:$O$137,DETAIL!$B$2:$B$137,$C117)/M117,0)</f>
        <v>13.999999999999991</v>
      </c>
      <c r="P117" s="7">
        <f>SUMIFS(DETAIL!$P$2:$P$137,DETAIL!$B$2:$B$137,$C117)</f>
        <v>2</v>
      </c>
      <c r="Q117" s="7">
        <f>SUMIFS(DETAIL!$Q$2:$Q$137,DETAIL!$B$2:$B$137,$C117)</f>
        <v>55</v>
      </c>
      <c r="R117" s="8">
        <f>IFERROR(Q117/SUMIFS(DETAIL!$M$2:$M$137,DETAIL!$B$2:$B$137,$C117),0)</f>
        <v>1</v>
      </c>
      <c r="S117" s="48" t="str">
        <f>IFERROR(SUMIFS(DETAIL!$K$2:$K$137,DETAIL!$B$2:$B$137,$C117,DETAIL!$F$2:$F$137,MONTH(DATE(YEAR(SUMMARY!$C$6),MONTH(SUMMARY!$C$6)+0,1)))/SUMIFS(DETAIL!$I$2:$I$137,DETAIL!$B$2:$B$137,$C117,DETAIL!$F$2:$F$137,MONTH(DATE(YEAR(SUMMARY!$C$6),MONTH(SUMMARY!$C$6)+0,1))),"-")</f>
        <v>-</v>
      </c>
      <c r="T117" s="48">
        <f>IFERROR(SUMIFS(DETAIL!$K$2:$K$137,DETAIL!$B$2:$B$137,$C117,DETAIL!$F$2:$F$137,MONTH(DATE(YEAR(SUMMARY!$C$6),MONTH(SUMMARY!$C$6)+1,1)))/SUMIFS(DETAIL!$I$2:$I$137,DETAIL!$B$2:$B$137,$C117,DETAIL!$F$2:$F$137,MONTH(DATE(YEAR(SUMMARY!$C$6),MONTH(SUMMARY!$C$6)+1,1))),"-")</f>
        <v>1</v>
      </c>
      <c r="U117" s="48">
        <f>IFERROR(SUMIFS(DETAIL!$K$2:$K$137,DETAIL!$B$2:$B$137,$C117,DETAIL!$F$2:$F$137,MONTH(DATE(YEAR(SUMMARY!$C$6),MONTH(SUMMARY!$C$6)+2,1)))/SUMIFS(DETAIL!$I$2:$I$137,DETAIL!$B$2:$B$137,$C117,DETAIL!$F$2:$F$137,MONTH(DATE(YEAR(SUMMARY!$C$6),MONTH(SUMMARY!$C$6)+2,1))),"-")</f>
        <v>0.84210526315789469</v>
      </c>
      <c r="V117" s="48">
        <f>IFERROR(SUMIFS(DETAIL!$K$2:$K$137,DETAIL!$B$2:$B$137,$C117,DETAIL!$F$2:$F$137,MONTH(DATE(YEAR(SUMMARY!$C$6),MONTH(SUMMARY!$C$6)+3,1)))/SUMIFS(DETAIL!$I$2:$I$137,DETAIL!$B$2:$B$137,$C117,DETAIL!$F$2:$F$137,MONTH(DATE(YEAR(SUMMARY!$C$6),MONTH(SUMMARY!$C$6)+3,1))),"-")</f>
        <v>0.95454545454545459</v>
      </c>
      <c r="W117" s="9">
        <f>ROUND(100*(K117*SUMMARY!$C$11+N117*SUMMARY!$C$12+R117*SUMMARY!$C$13+AG117*SUMMARY!$C$17),1)</f>
        <v>85.6</v>
      </c>
      <c r="X117" s="5" t="str">
        <f>IF(W117&gt;=100*SUMMARY!$C$14,"Sangat Baik",IF(W117&gt;=100*SUMMARY!$C$15,"Baik",IF(W117&gt;=100*SUMMARY!$C$16,"Cukup","Perlu Pembinaan")))</f>
        <v>Baik</v>
      </c>
      <c r="Y117" s="7">
        <f>SUMIFS(DETAIL!$J$2:$J$137,DETAIL!$B$2:$B$137,$C117)</f>
        <v>5</v>
      </c>
      <c r="Z117" s="7">
        <f>SUMIFS(DETAIL!$L$2:$L$137,DETAIL!$B$2:$B$137,$C117)</f>
        <v>0</v>
      </c>
      <c r="AA117" s="11">
        <f>M117+ROW()/100000</f>
        <v>3.0011700000000001</v>
      </c>
      <c r="AB117" s="11">
        <f>W117-ROW()/100000</f>
        <v>85.598829999999992</v>
      </c>
      <c r="AC117" s="49">
        <f>IF(I117&gt;=40,K117-ROW()/10000000,"")</f>
        <v>0.93219168983050849</v>
      </c>
      <c r="AD117" s="5" t="str">
        <f>TEXT(PEMAGANG!J27,"dd-mm-yy")&amp;" s.d. "&amp;TEXT(PEMAGANG!K27,"dd-mm-yy")</f>
        <v>01-07-26 s.d. 30-09-26</v>
      </c>
      <c r="AE117" s="5" t="str">
        <f>PEMAGANG!N27</f>
        <v>Masuk 01-07-2026</v>
      </c>
      <c r="AF117" s="50">
        <f>IFERROR(INDEX(PRODUKTIVITAS!$J$10:$J$43,MATCH($C117,PRODUKTIVITAS!$B$10:$B$43,0)),0)</f>
        <v>0.62363424425809977</v>
      </c>
      <c r="AG117" s="51">
        <f>IFERROR(INDEX(PRODUKTIVITAS!$K$10:$K$43,MATCH($C117,PRODUKTIVITAS!$B$10:$B$43,0)),0)</f>
        <v>0.62363424425809977</v>
      </c>
    </row>
    <row r="118" spans="1:33" x14ac:dyDescent="0.2">
      <c r="A118" s="1" t="str">
        <f>"Pembimbing: "&amp;D119&amp;"  ("&amp;COUNTIF($D$79:$D$133,D119)&amp;" pemagang)"</f>
        <v>Pembimbing: MUHAMMAD SADULLAH  (1 pemagang)</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33" ht="12.75" x14ac:dyDescent="0.2">
      <c r="A119" s="5">
        <f>ROW()-ROW($A$78)-15</f>
        <v>26</v>
      </c>
      <c r="B119" s="6" t="str">
        <f>PEMAGANG!B28</f>
        <v>MG4826</v>
      </c>
      <c r="C119" s="6" t="str">
        <f>PEMAGANG!C28</f>
        <v>ASA AGHNIA ZAHIDA</v>
      </c>
      <c r="D119" s="6" t="str">
        <f>PEMAGANG!D28</f>
        <v>MUHAMMAD SADULLAH</v>
      </c>
      <c r="E119" s="6" t="str">
        <f>PEMAGANG!E28</f>
        <v>MANDIRI</v>
      </c>
      <c r="F119" s="6" t="str">
        <f>PEMAGANG!F28</f>
        <v>SM OF LEGAL</v>
      </c>
      <c r="G119" s="47">
        <f>IF(PEMAGANG!H28="","Tidak tercatat",PEMAGANG!H28)</f>
        <v>46195</v>
      </c>
      <c r="H119" s="47">
        <f>IF(PEMAGANG!I28="","Tidak tercatat",PEMAGANG!I28)</f>
        <v>46256</v>
      </c>
      <c r="I119" s="7">
        <f>SUMIFS(DETAIL!$I$2:$I$137,DETAIL!$B$2:$B$137,$C119)</f>
        <v>38</v>
      </c>
      <c r="J119" s="7">
        <f>SUMIFS(DETAIL!$K$2:$K$137,DETAIL!$B$2:$B$137,$C119)</f>
        <v>38</v>
      </c>
      <c r="K119" s="8">
        <f>IFERROR(J119/I119,0)</f>
        <v>1</v>
      </c>
      <c r="L119" s="7">
        <f>I119-J119</f>
        <v>0</v>
      </c>
      <c r="M119" s="7">
        <f>SUMIFS(DETAIL!$N$2:$N$137,DETAIL!$B$2:$B$137,$C119)</f>
        <v>7</v>
      </c>
      <c r="N119" s="8">
        <f>IFERROR(1-M119/SUMIFS(DETAIL!$M$2:$M$137,DETAIL!$B$2:$B$137,$C119),0)</f>
        <v>0.83333333333333337</v>
      </c>
      <c r="O119" s="9">
        <f>IFERROR(SUMIFS(DETAIL!$O$2:$O$137,DETAIL!$B$2:$B$137,$C119)/M119,0)</f>
        <v>2.9999999999999893</v>
      </c>
      <c r="P119" s="7">
        <f>SUMIFS(DETAIL!$P$2:$P$137,DETAIL!$B$2:$B$137,$C119)</f>
        <v>2</v>
      </c>
      <c r="Q119" s="7">
        <f>SUMIFS(DETAIL!$Q$2:$Q$137,DETAIL!$B$2:$B$137,$C119)</f>
        <v>40</v>
      </c>
      <c r="R119" s="8">
        <f>IFERROR(Q119/SUMIFS(DETAIL!$M$2:$M$137,DETAIL!$B$2:$B$137,$C119),0)</f>
        <v>0.95238095238095233</v>
      </c>
      <c r="S119" s="48">
        <f>IFERROR(SUMIFS(DETAIL!$K$2:$K$137,DETAIL!$B$2:$B$137,$C119,DETAIL!$F$2:$F$137,MONTH(DATE(YEAR(SUMMARY!$C$6),MONTH(SUMMARY!$C$6)+0,1)))/SUMIFS(DETAIL!$I$2:$I$137,DETAIL!$B$2:$B$137,$C119,DETAIL!$F$2:$F$137,MONTH(DATE(YEAR(SUMMARY!$C$6),MONTH(SUMMARY!$C$6)+0,1))),"-")</f>
        <v>1</v>
      </c>
      <c r="T119" s="48">
        <f>IFERROR(SUMIFS(DETAIL!$K$2:$K$137,DETAIL!$B$2:$B$137,$C119,DETAIL!$F$2:$F$137,MONTH(DATE(YEAR(SUMMARY!$C$6),MONTH(SUMMARY!$C$6)+1,1)))/SUMIFS(DETAIL!$I$2:$I$137,DETAIL!$B$2:$B$137,$C119,DETAIL!$F$2:$F$137,MONTH(DATE(YEAR(SUMMARY!$C$6),MONTH(SUMMARY!$C$6)+1,1))),"-")</f>
        <v>1</v>
      </c>
      <c r="U119" s="48">
        <f>IFERROR(SUMIFS(DETAIL!$K$2:$K$137,DETAIL!$B$2:$B$137,$C119,DETAIL!$F$2:$F$137,MONTH(DATE(YEAR(SUMMARY!$C$6),MONTH(SUMMARY!$C$6)+2,1)))/SUMIFS(DETAIL!$I$2:$I$137,DETAIL!$B$2:$B$137,$C119,DETAIL!$F$2:$F$137,MONTH(DATE(YEAR(SUMMARY!$C$6),MONTH(SUMMARY!$C$6)+2,1))),"-")</f>
        <v>1</v>
      </c>
      <c r="V119" s="48" t="str">
        <f>IFERROR(SUMIFS(DETAIL!$K$2:$K$137,DETAIL!$B$2:$B$137,$C119,DETAIL!$F$2:$F$137,MONTH(DATE(YEAR(SUMMARY!$C$6),MONTH(SUMMARY!$C$6)+3,1)))/SUMIFS(DETAIL!$I$2:$I$137,DETAIL!$B$2:$B$137,$C119,DETAIL!$F$2:$F$137,MONTH(DATE(YEAR(SUMMARY!$C$6),MONTH(SUMMARY!$C$6)+3,1))),"-")</f>
        <v>-</v>
      </c>
      <c r="W119" s="9">
        <f>ROUND(100*(K119*SUMMARY!$C$11+N119*SUMMARY!$C$12+R119*SUMMARY!$C$13+AG119*SUMMARY!$C$17),1)</f>
        <v>84.5</v>
      </c>
      <c r="X119" s="5" t="str">
        <f>IF(W119&gt;=100*SUMMARY!$C$14,"Sangat Baik",IF(W119&gt;=100*SUMMARY!$C$15,"Baik",IF(W119&gt;=100*SUMMARY!$C$16,"Cukup","Perlu Pembinaan")))</f>
        <v>Baik</v>
      </c>
      <c r="Y119" s="7">
        <f>SUMIFS(DETAIL!$J$2:$J$137,DETAIL!$B$2:$B$137,$C119)</f>
        <v>6</v>
      </c>
      <c r="Z119" s="7">
        <f>SUMIFS(DETAIL!$L$2:$L$137,DETAIL!$B$2:$B$137,$C119)</f>
        <v>4</v>
      </c>
      <c r="AA119" s="11">
        <f>M119+ROW()/100000</f>
        <v>7.0011900000000002</v>
      </c>
      <c r="AB119" s="11">
        <f>W119-ROW()/100000</f>
        <v>84.498810000000006</v>
      </c>
      <c r="AC119" s="49" t="str">
        <f>IF(I119&gt;=40,K119-ROW()/10000000,"")</f>
        <v/>
      </c>
      <c r="AD119" s="5" t="str">
        <f>TEXT(PEMAGANG!J28,"dd-mm-yy")&amp;" s.d. "&amp;TEXT(PEMAGANG!K28,"dd-mm-yy")</f>
        <v>22-06-26 s.d. 22-08-26</v>
      </c>
      <c r="AE119" s="5" t="str">
        <f>PEMAGANG!N28</f>
        <v>Masuk 22-06-2026 · Selesai 22-08-2026</v>
      </c>
      <c r="AF119" s="50">
        <f>IFERROR(INDEX(PRODUKTIVITAS!$J$10:$J$43,MATCH($C119,PRODUKTIVITAS!$B$10:$B$43,0)),0)</f>
        <v>0.62542172526773065</v>
      </c>
      <c r="AG119" s="51">
        <f>IFERROR(INDEX(PRODUKTIVITAS!$K$10:$K$43,MATCH($C119,PRODUKTIVITAS!$B$10:$B$43,0)),0)</f>
        <v>0.62542172526773065</v>
      </c>
    </row>
    <row r="120" spans="1:33" x14ac:dyDescent="0.2">
      <c r="A120" s="1" t="str">
        <f>"Pembimbing: "&amp;D121&amp;"  ("&amp;COUNTIF($D$79:$D$133,D121)&amp;" pemagang)"</f>
        <v>Pembimbing: SITI MUJAYANAH  (4 pemagang)</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33" ht="12.75" x14ac:dyDescent="0.2">
      <c r="A121" s="5">
        <f>ROW()-ROW($A$78)-16</f>
        <v>27</v>
      </c>
      <c r="B121" s="6" t="str">
        <f>PEMAGANG!B29</f>
        <v>MG3025</v>
      </c>
      <c r="C121" s="6" t="str">
        <f>PEMAGANG!C29</f>
        <v>EVI WIDIYAH ASTUTIH</v>
      </c>
      <c r="D121" s="6" t="str">
        <f>PEMAGANG!D29</f>
        <v>SITI MUJAYANAH</v>
      </c>
      <c r="E121" s="6" t="str">
        <f>PEMAGANG!E29</f>
        <v>MANDIRI</v>
      </c>
      <c r="F121" s="6" t="str">
        <f>PEMAGANG!F29</f>
        <v>VERIFICATION (SID) JR. OFFICER</v>
      </c>
      <c r="G121" s="47">
        <f>IF(PEMAGANG!H29="","Tidak tercatat",PEMAGANG!H29)</f>
        <v>45979</v>
      </c>
      <c r="H121" s="47">
        <f>IF(PEMAGANG!I29="","Tidak tercatat",PEMAGANG!I29)</f>
        <v>46295</v>
      </c>
      <c r="I121" s="7">
        <f>SUMIFS(DETAIL!$I$2:$I$137,DETAIL!$B$2:$B$137,$C121)</f>
        <v>75</v>
      </c>
      <c r="J121" s="7">
        <f>SUMIFS(DETAIL!$K$2:$K$137,DETAIL!$B$2:$B$137,$C121)</f>
        <v>71</v>
      </c>
      <c r="K121" s="8">
        <f>IFERROR(J121/I121,0)</f>
        <v>0.94666666666666666</v>
      </c>
      <c r="L121" s="7">
        <f>I121-J121</f>
        <v>4</v>
      </c>
      <c r="M121" s="7">
        <f>SUMIFS(DETAIL!$N$2:$N$137,DETAIL!$B$2:$B$137,$C121)</f>
        <v>1</v>
      </c>
      <c r="N121" s="8">
        <f>IFERROR(1-M121/SUMIFS(DETAIL!$M$2:$M$137,DETAIL!$B$2:$B$137,$C121),0)</f>
        <v>0.98666666666666669</v>
      </c>
      <c r="O121" s="9">
        <f>IFERROR(SUMIFS(DETAIL!$O$2:$O$137,DETAIL!$B$2:$B$137,$C121)/M121,0)</f>
        <v>10</v>
      </c>
      <c r="P121" s="7">
        <f>SUMIFS(DETAIL!$P$2:$P$137,DETAIL!$B$2:$B$137,$C121)</f>
        <v>5</v>
      </c>
      <c r="Q121" s="7">
        <f>SUMIFS(DETAIL!$Q$2:$Q$137,DETAIL!$B$2:$B$137,$C121)</f>
        <v>71</v>
      </c>
      <c r="R121" s="8">
        <f>IFERROR(Q121/SUMIFS(DETAIL!$M$2:$M$137,DETAIL!$B$2:$B$137,$C121),0)</f>
        <v>0.94666666666666666</v>
      </c>
      <c r="S121" s="48">
        <f>IFERROR(SUMIFS(DETAIL!$K$2:$K$137,DETAIL!$B$2:$B$137,$C121,DETAIL!$F$2:$F$137,MONTH(DATE(YEAR(SUMMARY!$C$6),MONTH(SUMMARY!$C$6)+0,1)))/SUMIFS(DETAIL!$I$2:$I$137,DETAIL!$B$2:$B$137,$C121,DETAIL!$F$2:$F$137,MONTH(DATE(YEAR(SUMMARY!$C$6),MONTH(SUMMARY!$C$6)+0,1))),"-")</f>
        <v>1</v>
      </c>
      <c r="T121" s="48">
        <f>IFERROR(SUMIFS(DETAIL!$K$2:$K$137,DETAIL!$B$2:$B$137,$C121,DETAIL!$F$2:$F$137,MONTH(DATE(YEAR(SUMMARY!$C$6),MONTH(SUMMARY!$C$6)+1,1)))/SUMIFS(DETAIL!$I$2:$I$137,DETAIL!$B$2:$B$137,$C121,DETAIL!$F$2:$F$137,MONTH(DATE(YEAR(SUMMARY!$C$6),MONTH(SUMMARY!$C$6)+1,1))),"-")</f>
        <v>1</v>
      </c>
      <c r="U121" s="48">
        <f>IFERROR(SUMIFS(DETAIL!$K$2:$K$137,DETAIL!$B$2:$B$137,$C121,DETAIL!$F$2:$F$137,MONTH(DATE(YEAR(SUMMARY!$C$6),MONTH(SUMMARY!$C$6)+2,1)))/SUMIFS(DETAIL!$I$2:$I$137,DETAIL!$B$2:$B$137,$C121,DETAIL!$F$2:$F$137,MONTH(DATE(YEAR(SUMMARY!$C$6),MONTH(SUMMARY!$C$6)+2,1))),"-")</f>
        <v>1</v>
      </c>
      <c r="V121" s="48">
        <f>IFERROR(SUMIFS(DETAIL!$K$2:$K$137,DETAIL!$B$2:$B$137,$C121,DETAIL!$F$2:$F$137,MONTH(DATE(YEAR(SUMMARY!$C$6),MONTH(SUMMARY!$C$6)+3,1)))/SUMIFS(DETAIL!$I$2:$I$137,DETAIL!$B$2:$B$137,$C121,DETAIL!$F$2:$F$137,MONTH(DATE(YEAR(SUMMARY!$C$6),MONTH(SUMMARY!$C$6)+3,1))),"-")</f>
        <v>0.81818181818181823</v>
      </c>
      <c r="W121" s="9">
        <f>ROUND(100*(K121*SUMMARY!$C$11+N121*SUMMARY!$C$12+R121*SUMMARY!$C$13+AG121*SUMMARY!$C$17),1)</f>
        <v>91.5</v>
      </c>
      <c r="X121" s="5" t="str">
        <f>IF(W121&gt;=100*SUMMARY!$C$14,"Sangat Baik",IF(W121&gt;=100*SUMMARY!$C$15,"Baik",IF(W121&gt;=100*SUMMARY!$C$16,"Cukup","Perlu Pembinaan")))</f>
        <v>Sangat Baik</v>
      </c>
      <c r="Y121" s="7">
        <f>SUMIFS(DETAIL!$J$2:$J$137,DETAIL!$B$2:$B$137,$C121)</f>
        <v>9</v>
      </c>
      <c r="Z121" s="7">
        <f>SUMIFS(DETAIL!$L$2:$L$137,DETAIL!$B$2:$B$137,$C121)</f>
        <v>4</v>
      </c>
      <c r="AA121" s="11">
        <f>M121+ROW()/100000</f>
        <v>1.0012099999999999</v>
      </c>
      <c r="AB121" s="11">
        <f>W121-ROW()/100000</f>
        <v>91.49879</v>
      </c>
      <c r="AC121" s="49">
        <f>IF(I121&gt;=40,K121-ROW()/10000000,"")</f>
        <v>0.9466545666666667</v>
      </c>
      <c r="AD121" s="5" t="str">
        <f>TEXT(PEMAGANG!J29,"dd-mm-yy")&amp;" s.d. "&amp;TEXT(PEMAGANG!K29,"dd-mm-yy")</f>
        <v>01-06-26 s.d. 30-09-26</v>
      </c>
      <c r="AE121" s="5" t="str">
        <f>PEMAGANG!N29</f>
        <v>Aktif sepanjang periode</v>
      </c>
      <c r="AF121" s="50">
        <f>IFERROR(INDEX(PRODUKTIVITAS!$J$10:$J$43,MATCH($C121,PRODUKTIVITAS!$B$10:$B$43,0)),0)</f>
        <v>0.8150477062083602</v>
      </c>
      <c r="AG121" s="51">
        <f>IFERROR(INDEX(PRODUKTIVITAS!$K$10:$K$43,MATCH($C121,PRODUKTIVITAS!$B$10:$B$43,0)),0)</f>
        <v>0.8150477062083602</v>
      </c>
    </row>
    <row r="122" spans="1:33" ht="12.75" x14ac:dyDescent="0.2">
      <c r="A122" s="5">
        <f>ROW()-ROW($A$78)-16</f>
        <v>28</v>
      </c>
      <c r="B122" s="6" t="str">
        <f>PEMAGANG!B30</f>
        <v>MG28</v>
      </c>
      <c r="C122" s="6" t="str">
        <f>PEMAGANG!C30</f>
        <v>RIZAL AKBAR ARDIANSYAH</v>
      </c>
      <c r="D122" s="6" t="str">
        <f>PEMAGANG!D30</f>
        <v>SITI MUJAYANAH</v>
      </c>
      <c r="E122" s="6" t="str">
        <f>PEMAGANG!E30</f>
        <v>MANDIRI</v>
      </c>
      <c r="F122" s="6" t="str">
        <f>PEMAGANG!F30</f>
        <v>VERIFICATION (SID) JR. OFFICER</v>
      </c>
      <c r="G122" s="47">
        <f>IF(PEMAGANG!H30="","Tidak tercatat",PEMAGANG!H30)</f>
        <v>45971</v>
      </c>
      <c r="H122" s="47">
        <f>IF(PEMAGANG!I30="","Tidak tercatat",PEMAGANG!I30)</f>
        <v>46203</v>
      </c>
      <c r="I122" s="7">
        <f>SUMIFS(DETAIL!$I$2:$I$137,DETAIL!$B$2:$B$137,$C122)</f>
        <v>16</v>
      </c>
      <c r="J122" s="7">
        <f>SUMIFS(DETAIL!$K$2:$K$137,DETAIL!$B$2:$B$137,$C122)</f>
        <v>16</v>
      </c>
      <c r="K122" s="8">
        <f>IFERROR(J122/I122,0)</f>
        <v>1</v>
      </c>
      <c r="L122" s="7">
        <f>I122-J122</f>
        <v>0</v>
      </c>
      <c r="M122" s="7">
        <f>SUMIFS(DETAIL!$N$2:$N$137,DETAIL!$B$2:$B$137,$C122)</f>
        <v>0</v>
      </c>
      <c r="N122" s="8">
        <f>IFERROR(1-M122/SUMIFS(DETAIL!$M$2:$M$137,DETAIL!$B$2:$B$137,$C122),0)</f>
        <v>1</v>
      </c>
      <c r="O122" s="9">
        <f>IFERROR(SUMIFS(DETAIL!$O$2:$O$137,DETAIL!$B$2:$B$137,$C122)/M122,0)</f>
        <v>0</v>
      </c>
      <c r="P122" s="7">
        <f>SUMIFS(DETAIL!$P$2:$P$137,DETAIL!$B$2:$B$137,$C122)</f>
        <v>4</v>
      </c>
      <c r="Q122" s="7">
        <f>SUMIFS(DETAIL!$Q$2:$Q$137,DETAIL!$B$2:$B$137,$C122)</f>
        <v>14</v>
      </c>
      <c r="R122" s="8">
        <f>IFERROR(Q122/SUMIFS(DETAIL!$M$2:$M$137,DETAIL!$B$2:$B$137,$C122),0)</f>
        <v>0.875</v>
      </c>
      <c r="S122" s="48">
        <f>IFERROR(SUMIFS(DETAIL!$K$2:$K$137,DETAIL!$B$2:$B$137,$C122,DETAIL!$F$2:$F$137,MONTH(DATE(YEAR(SUMMARY!$C$6),MONTH(SUMMARY!$C$6)+0,1)))/SUMIFS(DETAIL!$I$2:$I$137,DETAIL!$B$2:$B$137,$C122,DETAIL!$F$2:$F$137,MONTH(DATE(YEAR(SUMMARY!$C$6),MONTH(SUMMARY!$C$6)+0,1))),"-")</f>
        <v>1</v>
      </c>
      <c r="T122" s="48" t="str">
        <f>IFERROR(SUMIFS(DETAIL!$K$2:$K$137,DETAIL!$B$2:$B$137,$C122,DETAIL!$F$2:$F$137,MONTH(DATE(YEAR(SUMMARY!$C$6),MONTH(SUMMARY!$C$6)+1,1)))/SUMIFS(DETAIL!$I$2:$I$137,DETAIL!$B$2:$B$137,$C122,DETAIL!$F$2:$F$137,MONTH(DATE(YEAR(SUMMARY!$C$6),MONTH(SUMMARY!$C$6)+1,1))),"-")</f>
        <v>-</v>
      </c>
      <c r="U122" s="48" t="str">
        <f>IFERROR(SUMIFS(DETAIL!$K$2:$K$137,DETAIL!$B$2:$B$137,$C122,DETAIL!$F$2:$F$137,MONTH(DATE(YEAR(SUMMARY!$C$6),MONTH(SUMMARY!$C$6)+2,1)))/SUMIFS(DETAIL!$I$2:$I$137,DETAIL!$B$2:$B$137,$C122,DETAIL!$F$2:$F$137,MONTH(DATE(YEAR(SUMMARY!$C$6),MONTH(SUMMARY!$C$6)+2,1))),"-")</f>
        <v>-</v>
      </c>
      <c r="V122" s="48" t="str">
        <f>IFERROR(SUMIFS(DETAIL!$K$2:$K$137,DETAIL!$B$2:$B$137,$C122,DETAIL!$F$2:$F$137,MONTH(DATE(YEAR(SUMMARY!$C$6),MONTH(SUMMARY!$C$6)+3,1)))/SUMIFS(DETAIL!$I$2:$I$137,DETAIL!$B$2:$B$137,$C122,DETAIL!$F$2:$F$137,MONTH(DATE(YEAR(SUMMARY!$C$6),MONTH(SUMMARY!$C$6)+3,1))),"-")</f>
        <v>-</v>
      </c>
      <c r="W122" s="9">
        <f>ROUND(100*(K122*SUMMARY!$C$11+N122*SUMMARY!$C$12+R122*SUMMARY!$C$13+AG122*SUMMARY!$C$17),1)</f>
        <v>77.900000000000006</v>
      </c>
      <c r="X122" s="5" t="str">
        <f>IF(W122&gt;=100*SUMMARY!$C$14,"Sangat Baik",IF(W122&gt;=100*SUMMARY!$C$15,"Baik",IF(W122&gt;=100*SUMMARY!$C$16,"Cukup","Perlu Pembinaan")))</f>
        <v>Cukup</v>
      </c>
      <c r="Y122" s="7">
        <f>SUMIFS(DETAIL!$J$2:$J$137,DETAIL!$B$2:$B$137,$C122)</f>
        <v>4</v>
      </c>
      <c r="Z122" s="7">
        <f>SUMIFS(DETAIL!$L$2:$L$137,DETAIL!$B$2:$B$137,$C122)</f>
        <v>1</v>
      </c>
      <c r="AA122" s="11">
        <f>M122+ROW()/100000</f>
        <v>1.2199999999999999E-3</v>
      </c>
      <c r="AB122" s="11">
        <f>W122-ROW()/100000</f>
        <v>77.898780000000002</v>
      </c>
      <c r="AC122" s="49" t="str">
        <f>IF(I122&gt;=40,K122-ROW()/10000000,"")</f>
        <v/>
      </c>
      <c r="AD122" s="5" t="str">
        <f>TEXT(PEMAGANG!J30,"dd-mm-yy")&amp;" s.d. "&amp;TEXT(PEMAGANG!K30,"dd-mm-yy")</f>
        <v>01-06-26 s.d. 30-06-26</v>
      </c>
      <c r="AE122" s="5" t="str">
        <f>PEMAGANG!N30</f>
        <v>Selesai 30-06-2026</v>
      </c>
      <c r="AF122" s="50">
        <f>IFERROR(INDEX(PRODUKTIVITAS!$J$10:$J$43,MATCH($C122,PRODUKTIVITAS!$B$10:$B$43,0)),0)</f>
        <v>0.34636776984886958</v>
      </c>
      <c r="AG122" s="51">
        <f>IFERROR(INDEX(PRODUKTIVITAS!$K$10:$K$43,MATCH($C122,PRODUKTIVITAS!$B$10:$B$43,0)),0)</f>
        <v>0.34636776984886958</v>
      </c>
    </row>
    <row r="123" spans="1:33" ht="12.75" x14ac:dyDescent="0.2">
      <c r="A123" s="5">
        <f>ROW()-ROW($A$78)-16</f>
        <v>29</v>
      </c>
      <c r="B123" s="6" t="str">
        <f>PEMAGANG!B31</f>
        <v>MG4626</v>
      </c>
      <c r="C123" s="6" t="str">
        <f>PEMAGANG!C31</f>
        <v>THARISSA ADELIA PUTRI</v>
      </c>
      <c r="D123" s="6" t="str">
        <f>PEMAGANG!D31</f>
        <v>SITI MUJAYANAH</v>
      </c>
      <c r="E123" s="6" t="str">
        <f>PEMAGANG!E31</f>
        <v>MANDIRI</v>
      </c>
      <c r="F123" s="6" t="str">
        <f>PEMAGANG!F31</f>
        <v>VERIFICATION (SID) JR. OFFICER</v>
      </c>
      <c r="G123" s="47">
        <f>IF(PEMAGANG!H31="","Tidak tercatat",PEMAGANG!H31)</f>
        <v>46177</v>
      </c>
      <c r="H123" s="47">
        <f>IF(PEMAGANG!I31="","Tidak tercatat",PEMAGANG!I31)</f>
        <v>46279</v>
      </c>
      <c r="I123" s="7">
        <f>SUMIFS(DETAIL!$I$2:$I$137,DETAIL!$B$2:$B$137,$C123)</f>
        <v>62</v>
      </c>
      <c r="J123" s="7">
        <f>SUMIFS(DETAIL!$K$2:$K$137,DETAIL!$B$2:$B$137,$C123)</f>
        <v>60</v>
      </c>
      <c r="K123" s="8">
        <f>IFERROR(J123/I123,0)</f>
        <v>0.967741935483871</v>
      </c>
      <c r="L123" s="7">
        <f>I123-J123</f>
        <v>2</v>
      </c>
      <c r="M123" s="7">
        <f>SUMIFS(DETAIL!$N$2:$N$137,DETAIL!$B$2:$B$137,$C123)</f>
        <v>4</v>
      </c>
      <c r="N123" s="8">
        <f>IFERROR(1-M123/SUMIFS(DETAIL!$M$2:$M$137,DETAIL!$B$2:$B$137,$C123),0)</f>
        <v>0.93442622950819676</v>
      </c>
      <c r="O123" s="9">
        <f>IFERROR(SUMIFS(DETAIL!$O$2:$O$137,DETAIL!$B$2:$B$137,$C123)/M123,0)</f>
        <v>93.75</v>
      </c>
      <c r="P123" s="7">
        <f>SUMIFS(DETAIL!$P$2:$P$137,DETAIL!$B$2:$B$137,$C123)</f>
        <v>2</v>
      </c>
      <c r="Q123" s="7">
        <f>SUMIFS(DETAIL!$Q$2:$Q$137,DETAIL!$B$2:$B$137,$C123)</f>
        <v>60</v>
      </c>
      <c r="R123" s="8">
        <f>IFERROR(Q123/SUMIFS(DETAIL!$M$2:$M$137,DETAIL!$B$2:$B$137,$C123),0)</f>
        <v>0.98360655737704916</v>
      </c>
      <c r="S123" s="48">
        <f>IFERROR(SUMIFS(DETAIL!$K$2:$K$137,DETAIL!$B$2:$B$137,$C123,DETAIL!$F$2:$F$137,MONTH(DATE(YEAR(SUMMARY!$C$6),MONTH(SUMMARY!$C$6)+0,1)))/SUMIFS(DETAIL!$I$2:$I$137,DETAIL!$B$2:$B$137,$C123,DETAIL!$F$2:$F$137,MONTH(DATE(YEAR(SUMMARY!$C$6),MONTH(SUMMARY!$C$6)+0,1))),"-")</f>
        <v>0.93333333333333335</v>
      </c>
      <c r="T123" s="48">
        <f>IFERROR(SUMIFS(DETAIL!$K$2:$K$137,DETAIL!$B$2:$B$137,$C123,DETAIL!$F$2:$F$137,MONTH(DATE(YEAR(SUMMARY!$C$6),MONTH(SUMMARY!$C$6)+1,1)))/SUMIFS(DETAIL!$I$2:$I$137,DETAIL!$B$2:$B$137,$C123,DETAIL!$F$2:$F$137,MONTH(DATE(YEAR(SUMMARY!$C$6),MONTH(SUMMARY!$C$6)+1,1))),"-")</f>
        <v>0.94444444444444442</v>
      </c>
      <c r="U123" s="48">
        <f>IFERROR(SUMIFS(DETAIL!$K$2:$K$137,DETAIL!$B$2:$B$137,$C123,DETAIL!$F$2:$F$137,MONTH(DATE(YEAR(SUMMARY!$C$6),MONTH(SUMMARY!$C$6)+2,1)))/SUMIFS(DETAIL!$I$2:$I$137,DETAIL!$B$2:$B$137,$C123,DETAIL!$F$2:$F$137,MONTH(DATE(YEAR(SUMMARY!$C$6),MONTH(SUMMARY!$C$6)+2,1))),"-")</f>
        <v>1</v>
      </c>
      <c r="V123" s="48">
        <f>IFERROR(SUMIFS(DETAIL!$K$2:$K$137,DETAIL!$B$2:$B$137,$C123,DETAIL!$F$2:$F$137,MONTH(DATE(YEAR(SUMMARY!$C$6),MONTH(SUMMARY!$C$6)+3,1)))/SUMIFS(DETAIL!$I$2:$I$137,DETAIL!$B$2:$B$137,$C123,DETAIL!$F$2:$F$137,MONTH(DATE(YEAR(SUMMARY!$C$6),MONTH(SUMMARY!$C$6)+3,1))),"-")</f>
        <v>1</v>
      </c>
      <c r="W123" s="9">
        <f>ROUND(100*(K123*SUMMARY!$C$11+N123*SUMMARY!$C$12+R123*SUMMARY!$C$13+AG123*SUMMARY!$C$17),1)</f>
        <v>97.4</v>
      </c>
      <c r="X123" s="5" t="str">
        <f>IF(W123&gt;=100*SUMMARY!$C$14,"Sangat Baik",IF(W123&gt;=100*SUMMARY!$C$15,"Baik",IF(W123&gt;=100*SUMMARY!$C$16,"Cukup","Perlu Pembinaan")))</f>
        <v>Sangat Baik</v>
      </c>
      <c r="Y123" s="7">
        <f>SUMIFS(DETAIL!$J$2:$J$137,DETAIL!$B$2:$B$137,$C123)</f>
        <v>8</v>
      </c>
      <c r="Z123" s="7">
        <f>SUMIFS(DETAIL!$L$2:$L$137,DETAIL!$B$2:$B$137,$C123)</f>
        <v>2</v>
      </c>
      <c r="AA123" s="11">
        <f>M123+ROW()/100000</f>
        <v>4.0012299999999996</v>
      </c>
      <c r="AB123" s="11">
        <f>W123-ROW()/100000</f>
        <v>97.398769999999999</v>
      </c>
      <c r="AC123" s="49">
        <f>IF(I123&gt;=40,K123-ROW()/10000000,"")</f>
        <v>0.96772963548387103</v>
      </c>
      <c r="AD123" s="5" t="str">
        <f>TEXT(PEMAGANG!J31,"dd-mm-yy")&amp;" s.d. "&amp;TEXT(PEMAGANG!K31,"dd-mm-yy")</f>
        <v>04-06-26 s.d. 14-09-26</v>
      </c>
      <c r="AE123" s="5" t="str">
        <f>PEMAGANG!N31</f>
        <v>Masuk 04-06-2026 · Selesai 14-09-2026</v>
      </c>
      <c r="AF123" s="50">
        <f>IFERROR(INDEX(PRODUKTIVITAS!$J$10:$J$43,MATCH($C123,PRODUKTIVITAS!$B$10:$B$43,0)),0)</f>
        <v>1.0039204023065387</v>
      </c>
      <c r="AG123" s="51">
        <f>IFERROR(INDEX(PRODUKTIVITAS!$K$10:$K$43,MATCH($C123,PRODUKTIVITAS!$B$10:$B$43,0)),0)</f>
        <v>1</v>
      </c>
    </row>
    <row r="124" spans="1:33" ht="12.75" x14ac:dyDescent="0.2">
      <c r="A124" s="5">
        <f>ROW()-ROW($A$78)-16</f>
        <v>30</v>
      </c>
      <c r="B124" s="6" t="str">
        <f>PEMAGANG!B32</f>
        <v>MG5126</v>
      </c>
      <c r="C124" s="6" t="str">
        <f>PEMAGANG!C32</f>
        <v>ZALFA NUR ROHMAH</v>
      </c>
      <c r="D124" s="6" t="str">
        <f>PEMAGANG!D32</f>
        <v>SITI MUJAYANAH</v>
      </c>
      <c r="E124" s="6" t="str">
        <f>PEMAGANG!E32</f>
        <v>MANDIRI</v>
      </c>
      <c r="F124" s="6" t="str">
        <f>PEMAGANG!F32</f>
        <v>VERIFICATION (SID) JR. OFFICER</v>
      </c>
      <c r="G124" s="47">
        <f>IF(PEMAGANG!H32="","Tidak tercatat",PEMAGANG!H32)</f>
        <v>46279</v>
      </c>
      <c r="H124" s="47">
        <f>IF(PEMAGANG!I32="","Tidak tercatat",PEMAGANG!I32)</f>
        <v>46460</v>
      </c>
      <c r="I124" s="7">
        <f>SUMIFS(DETAIL!$I$2:$I$137,DETAIL!$B$2:$B$137,$C124)</f>
        <v>13</v>
      </c>
      <c r="J124" s="7">
        <f>SUMIFS(DETAIL!$K$2:$K$137,DETAIL!$B$2:$B$137,$C124)</f>
        <v>13</v>
      </c>
      <c r="K124" s="8">
        <f>IFERROR(J124/I124,0)</f>
        <v>1</v>
      </c>
      <c r="L124" s="7">
        <f>I124-J124</f>
        <v>0</v>
      </c>
      <c r="M124" s="7">
        <f>SUMIFS(DETAIL!$N$2:$N$137,DETAIL!$B$2:$B$137,$C124)</f>
        <v>1</v>
      </c>
      <c r="N124" s="8">
        <f>IFERROR(1-M124/SUMIFS(DETAIL!$M$2:$M$137,DETAIL!$B$2:$B$137,$C124),0)</f>
        <v>0.92307692307692313</v>
      </c>
      <c r="O124" s="9">
        <f>IFERROR(SUMIFS(DETAIL!$O$2:$O$137,DETAIL!$B$2:$B$137,$C124)/M124,0)</f>
        <v>202</v>
      </c>
      <c r="P124" s="7">
        <f>SUMIFS(DETAIL!$P$2:$P$137,DETAIL!$B$2:$B$137,$C124)</f>
        <v>0</v>
      </c>
      <c r="Q124" s="7">
        <f>SUMIFS(DETAIL!$Q$2:$Q$137,DETAIL!$B$2:$B$137,$C124)</f>
        <v>13</v>
      </c>
      <c r="R124" s="8">
        <f>IFERROR(Q124/SUMIFS(DETAIL!$M$2:$M$137,DETAIL!$B$2:$B$137,$C124),0)</f>
        <v>1</v>
      </c>
      <c r="S124" s="48" t="str">
        <f>IFERROR(SUMIFS(DETAIL!$K$2:$K$137,DETAIL!$B$2:$B$137,$C124,DETAIL!$F$2:$F$137,MONTH(DATE(YEAR(SUMMARY!$C$6),MONTH(SUMMARY!$C$6)+0,1)))/SUMIFS(DETAIL!$I$2:$I$137,DETAIL!$B$2:$B$137,$C124,DETAIL!$F$2:$F$137,MONTH(DATE(YEAR(SUMMARY!$C$6),MONTH(SUMMARY!$C$6)+0,1))),"-")</f>
        <v>-</v>
      </c>
      <c r="T124" s="48" t="str">
        <f>IFERROR(SUMIFS(DETAIL!$K$2:$K$137,DETAIL!$B$2:$B$137,$C124,DETAIL!$F$2:$F$137,MONTH(DATE(YEAR(SUMMARY!$C$6),MONTH(SUMMARY!$C$6)+1,1)))/SUMIFS(DETAIL!$I$2:$I$137,DETAIL!$B$2:$B$137,$C124,DETAIL!$F$2:$F$137,MONTH(DATE(YEAR(SUMMARY!$C$6),MONTH(SUMMARY!$C$6)+1,1))),"-")</f>
        <v>-</v>
      </c>
      <c r="U124" s="48" t="str">
        <f>IFERROR(SUMIFS(DETAIL!$K$2:$K$137,DETAIL!$B$2:$B$137,$C124,DETAIL!$F$2:$F$137,MONTH(DATE(YEAR(SUMMARY!$C$6),MONTH(SUMMARY!$C$6)+2,1)))/SUMIFS(DETAIL!$I$2:$I$137,DETAIL!$B$2:$B$137,$C124,DETAIL!$F$2:$F$137,MONTH(DATE(YEAR(SUMMARY!$C$6),MONTH(SUMMARY!$C$6)+2,1))),"-")</f>
        <v>-</v>
      </c>
      <c r="V124" s="48">
        <f>IFERROR(SUMIFS(DETAIL!$K$2:$K$137,DETAIL!$B$2:$B$137,$C124,DETAIL!$F$2:$F$137,MONTH(DATE(YEAR(SUMMARY!$C$6),MONTH(SUMMARY!$C$6)+3,1)))/SUMIFS(DETAIL!$I$2:$I$137,DETAIL!$B$2:$B$137,$C124,DETAIL!$F$2:$F$137,MONTH(DATE(YEAR(SUMMARY!$C$6),MONTH(SUMMARY!$C$6)+3,1))),"-")</f>
        <v>1</v>
      </c>
      <c r="W124" s="9">
        <f>ROUND(100*(K124*SUMMARY!$C$11+N124*SUMMARY!$C$12+R124*SUMMARY!$C$13+AG124*SUMMARY!$C$17),1)</f>
        <v>96.2</v>
      </c>
      <c r="X124" s="5" t="str">
        <f>IF(W124&gt;=100*SUMMARY!$C$14,"Sangat Baik",IF(W124&gt;=100*SUMMARY!$C$15,"Baik",IF(W124&gt;=100*SUMMARY!$C$16,"Cukup","Perlu Pembinaan")))</f>
        <v>Sangat Baik</v>
      </c>
      <c r="Y124" s="7">
        <f>SUMIFS(DETAIL!$J$2:$J$137,DETAIL!$B$2:$B$137,$C124)</f>
        <v>0</v>
      </c>
      <c r="Z124" s="7">
        <f>SUMIFS(DETAIL!$L$2:$L$137,DETAIL!$B$2:$B$137,$C124)</f>
        <v>0</v>
      </c>
      <c r="AA124" s="11">
        <f>M124+ROW()/100000</f>
        <v>1.0012399999999999</v>
      </c>
      <c r="AB124" s="11">
        <f>W124-ROW()/100000</f>
        <v>96.198760000000007</v>
      </c>
      <c r="AC124" s="49" t="str">
        <f>IF(I124&gt;=40,K124-ROW()/10000000,"")</f>
        <v/>
      </c>
      <c r="AD124" s="5" t="str">
        <f>TEXT(PEMAGANG!J32,"dd-mm-yy")&amp;" s.d. "&amp;TEXT(PEMAGANG!K32,"dd-mm-yy")</f>
        <v>14-09-26 s.d. 30-09-26</v>
      </c>
      <c r="AE124" s="5" t="str">
        <f>PEMAGANG!N32</f>
        <v>Masuk 14-09-2026</v>
      </c>
      <c r="AF124" s="50">
        <f>IFERROR(INDEX(PRODUKTIVITAS!$J$10:$J$43,MATCH($C124,PRODUKTIVITAS!$B$10:$B$43,0)),0)</f>
        <v>0.92362831183027072</v>
      </c>
      <c r="AG124" s="51">
        <f>IFERROR(INDEX(PRODUKTIVITAS!$K$10:$K$43,MATCH($C124,PRODUKTIVITAS!$B$10:$B$43,0)),0)</f>
        <v>0.92362831183027072</v>
      </c>
    </row>
    <row r="125" spans="1:33" x14ac:dyDescent="0.2">
      <c r="A125" s="1" t="str">
        <f>"Pembimbing: "&amp;D126&amp;"  ("&amp;COUNTIF($D$79:$D$133,D126)&amp;" pemagang)"</f>
        <v>Pembimbing: TRI HARTANTO  (1 pemagang)</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33" ht="12.75" x14ac:dyDescent="0.2">
      <c r="A126" s="5">
        <f>ROW()-ROW($A$78)-17</f>
        <v>31</v>
      </c>
      <c r="B126" s="6" t="str">
        <f>PEMAGANG!B33</f>
        <v>MG5326</v>
      </c>
      <c r="C126" s="6" t="str">
        <f>PEMAGANG!C33</f>
        <v>ALFINA ZAKYA ULA</v>
      </c>
      <c r="D126" s="6" t="str">
        <f>PEMAGANG!D33</f>
        <v>TRI HARTANTO</v>
      </c>
      <c r="E126" s="6" t="str">
        <f>PEMAGANG!E33</f>
        <v>MANDIRI</v>
      </c>
      <c r="F126" s="6" t="str">
        <f>PEMAGANG!F33</f>
        <v>SM OF CEMENT PURCHASING</v>
      </c>
      <c r="G126" s="47">
        <f>IF(PEMAGANG!H33="","Tidak tercatat",PEMAGANG!H33)</f>
        <v>46279</v>
      </c>
      <c r="H126" s="47">
        <f>IF(PEMAGANG!I33="","Tidak tercatat",PEMAGANG!I33)</f>
        <v>46387</v>
      </c>
      <c r="I126" s="7">
        <f>SUMIFS(DETAIL!$I$2:$I$137,DETAIL!$B$2:$B$137,$C126)</f>
        <v>13</v>
      </c>
      <c r="J126" s="7">
        <f>SUMIFS(DETAIL!$K$2:$K$137,DETAIL!$B$2:$B$137,$C126)</f>
        <v>9</v>
      </c>
      <c r="K126" s="8">
        <f>IFERROR(J126/I126,0)</f>
        <v>0.69230769230769229</v>
      </c>
      <c r="L126" s="7">
        <f>I126-J126</f>
        <v>4</v>
      </c>
      <c r="M126" s="7">
        <f>SUMIFS(DETAIL!$N$2:$N$137,DETAIL!$B$2:$B$137,$C126)</f>
        <v>2</v>
      </c>
      <c r="N126" s="8">
        <f>IFERROR(1-M126/SUMIFS(DETAIL!$M$2:$M$137,DETAIL!$B$2:$B$137,$C126),0)</f>
        <v>0.77777777777777779</v>
      </c>
      <c r="O126" s="9">
        <f>IFERROR(SUMIFS(DETAIL!$O$2:$O$137,DETAIL!$B$2:$B$137,$C126)/M126,0)</f>
        <v>3.4999999999999849</v>
      </c>
      <c r="P126" s="7">
        <f>SUMIFS(DETAIL!$P$2:$P$137,DETAIL!$B$2:$B$137,$C126)</f>
        <v>3</v>
      </c>
      <c r="Q126" s="7">
        <f>SUMIFS(DETAIL!$Q$2:$Q$137,DETAIL!$B$2:$B$137,$C126)</f>
        <v>7</v>
      </c>
      <c r="R126" s="8">
        <f>IFERROR(Q126/SUMIFS(DETAIL!$M$2:$M$137,DETAIL!$B$2:$B$137,$C126),0)</f>
        <v>0.77777777777777779</v>
      </c>
      <c r="S126" s="48" t="str">
        <f>IFERROR(SUMIFS(DETAIL!$K$2:$K$137,DETAIL!$B$2:$B$137,$C126,DETAIL!$F$2:$F$137,MONTH(DATE(YEAR(SUMMARY!$C$6),MONTH(SUMMARY!$C$6)+0,1)))/SUMIFS(DETAIL!$I$2:$I$137,DETAIL!$B$2:$B$137,$C126,DETAIL!$F$2:$F$137,MONTH(DATE(YEAR(SUMMARY!$C$6),MONTH(SUMMARY!$C$6)+0,1))),"-")</f>
        <v>-</v>
      </c>
      <c r="T126" s="48" t="str">
        <f>IFERROR(SUMIFS(DETAIL!$K$2:$K$137,DETAIL!$B$2:$B$137,$C126,DETAIL!$F$2:$F$137,MONTH(DATE(YEAR(SUMMARY!$C$6),MONTH(SUMMARY!$C$6)+1,1)))/SUMIFS(DETAIL!$I$2:$I$137,DETAIL!$B$2:$B$137,$C126,DETAIL!$F$2:$F$137,MONTH(DATE(YEAR(SUMMARY!$C$6),MONTH(SUMMARY!$C$6)+1,1))),"-")</f>
        <v>-</v>
      </c>
      <c r="U126" s="48" t="str">
        <f>IFERROR(SUMIFS(DETAIL!$K$2:$K$137,DETAIL!$B$2:$B$137,$C126,DETAIL!$F$2:$F$137,MONTH(DATE(YEAR(SUMMARY!$C$6),MONTH(SUMMARY!$C$6)+2,1)))/SUMIFS(DETAIL!$I$2:$I$137,DETAIL!$B$2:$B$137,$C126,DETAIL!$F$2:$F$137,MONTH(DATE(YEAR(SUMMARY!$C$6),MONTH(SUMMARY!$C$6)+2,1))),"-")</f>
        <v>-</v>
      </c>
      <c r="V126" s="48">
        <f>IFERROR(SUMIFS(DETAIL!$K$2:$K$137,DETAIL!$B$2:$B$137,$C126,DETAIL!$F$2:$F$137,MONTH(DATE(YEAR(SUMMARY!$C$6),MONTH(SUMMARY!$C$6)+3,1)))/SUMIFS(DETAIL!$I$2:$I$137,DETAIL!$B$2:$B$137,$C126,DETAIL!$F$2:$F$137,MONTH(DATE(YEAR(SUMMARY!$C$6),MONTH(SUMMARY!$C$6)+3,1))),"-")</f>
        <v>0.69230769230769229</v>
      </c>
      <c r="W126" s="9">
        <f>ROUND(100*(K126*SUMMARY!$C$11+N126*SUMMARY!$C$12+R126*SUMMARY!$C$13+AG126*SUMMARY!$C$17),1)</f>
        <v>67.3</v>
      </c>
      <c r="X126" s="5" t="str">
        <f>IF(W126&gt;=100*SUMMARY!$C$14,"Sangat Baik",IF(W126&gt;=100*SUMMARY!$C$15,"Baik",IF(W126&gt;=100*SUMMARY!$C$16,"Cukup","Perlu Pembinaan")))</f>
        <v>Perlu Pembinaan</v>
      </c>
      <c r="Y126" s="7">
        <f>SUMIFS(DETAIL!$J$2:$J$137,DETAIL!$B$2:$B$137,$C126)</f>
        <v>0</v>
      </c>
      <c r="Z126" s="7">
        <f>SUMIFS(DETAIL!$L$2:$L$137,DETAIL!$B$2:$B$137,$C126)</f>
        <v>0</v>
      </c>
      <c r="AA126" s="11">
        <f>M126+ROW()/100000</f>
        <v>2.0012599999999998</v>
      </c>
      <c r="AB126" s="11">
        <f>W126-ROW()/100000</f>
        <v>67.298739999999995</v>
      </c>
      <c r="AC126" s="49" t="str">
        <f>IF(I126&gt;=40,K126-ROW()/10000000,"")</f>
        <v/>
      </c>
      <c r="AD126" s="5" t="str">
        <f>TEXT(PEMAGANG!J33,"dd-mm-yy")&amp;" s.d. "&amp;TEXT(PEMAGANG!K33,"dd-mm-yy")</f>
        <v>14-09-26 s.d. 30-09-26</v>
      </c>
      <c r="AE126" s="5" t="str">
        <f>PEMAGANG!N33</f>
        <v>Masuk 14-09-2026</v>
      </c>
      <c r="AF126" s="50">
        <f>IFERROR(INDEX(PRODUKTIVITAS!$J$10:$J$43,MATCH($C126,PRODUKTIVITAS!$B$10:$B$43,0)),0)</f>
        <v>0.51563698055198692</v>
      </c>
      <c r="AG126" s="51">
        <f>IFERROR(INDEX(PRODUKTIVITAS!$K$10:$K$43,MATCH($C126,PRODUKTIVITAS!$B$10:$B$43,0)),0)</f>
        <v>0.51563698055198692</v>
      </c>
    </row>
    <row r="127" spans="1:33" x14ac:dyDescent="0.2">
      <c r="A127" s="1" t="str">
        <f>"Pembimbing: "&amp;D128&amp;"  ("&amp;COUNTIF($D$79:$D$133,D128)&amp;" pemagang)"</f>
        <v>Pembimbing: WATIN UTARI  (1 pemagang)</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33" ht="12.75" x14ac:dyDescent="0.2">
      <c r="A128" s="5">
        <f>ROW()-ROW($A$78)-18</f>
        <v>32</v>
      </c>
      <c r="B128" s="6" t="str">
        <f>PEMAGANG!B34</f>
        <v>MG5426</v>
      </c>
      <c r="C128" s="6" t="str">
        <f>PEMAGANG!C34</f>
        <v>AMELIA KURNIA FITRI</v>
      </c>
      <c r="D128" s="6" t="str">
        <f>PEMAGANG!D34</f>
        <v>WATIN UTARI</v>
      </c>
      <c r="E128" s="6" t="str">
        <f>PEMAGANG!E34</f>
        <v>-</v>
      </c>
      <c r="F128" s="6" t="str">
        <f>PEMAGANG!F34</f>
        <v>PJ GM OF MARKETING (SID)</v>
      </c>
      <c r="G128" s="47" t="str">
        <f>IF(PEMAGANG!H34="","Tidak tercatat",PEMAGANG!H34)</f>
        <v>Tidak tercatat</v>
      </c>
      <c r="H128" s="47" t="str">
        <f>IF(PEMAGANG!I34="","Tidak tercatat",PEMAGANG!I34)</f>
        <v>Tidak tercatat</v>
      </c>
      <c r="I128" s="7">
        <f>SUMIFS(DETAIL!$I$2:$I$137,DETAIL!$B$2:$B$137,$C128)</f>
        <v>7</v>
      </c>
      <c r="J128" s="7">
        <f>SUMIFS(DETAIL!$K$2:$K$137,DETAIL!$B$2:$B$137,$C128)</f>
        <v>6</v>
      </c>
      <c r="K128" s="8">
        <f>IFERROR(J128/I128,0)</f>
        <v>0.8571428571428571</v>
      </c>
      <c r="L128" s="7">
        <f>I128-J128</f>
        <v>1</v>
      </c>
      <c r="M128" s="7">
        <f>SUMIFS(DETAIL!$N$2:$N$137,DETAIL!$B$2:$B$137,$C128)</f>
        <v>1</v>
      </c>
      <c r="N128" s="8">
        <f>IFERROR(1-M128/SUMIFS(DETAIL!$M$2:$M$137,DETAIL!$B$2:$B$137,$C128),0)</f>
        <v>0.83333333333333337</v>
      </c>
      <c r="O128" s="9">
        <f>IFERROR(SUMIFS(DETAIL!$O$2:$O$137,DETAIL!$B$2:$B$137,$C128)/M128,0)</f>
        <v>334</v>
      </c>
      <c r="P128" s="7">
        <f>SUMIFS(DETAIL!$P$2:$P$137,DETAIL!$B$2:$B$137,$C128)</f>
        <v>0</v>
      </c>
      <c r="Q128" s="7">
        <f>SUMIFS(DETAIL!$Q$2:$Q$137,DETAIL!$B$2:$B$137,$C128)</f>
        <v>6</v>
      </c>
      <c r="R128" s="8">
        <f>IFERROR(Q128/SUMIFS(DETAIL!$M$2:$M$137,DETAIL!$B$2:$B$137,$C128),0)</f>
        <v>1</v>
      </c>
      <c r="S128" s="48" t="str">
        <f>IFERROR(SUMIFS(DETAIL!$K$2:$K$137,DETAIL!$B$2:$B$137,$C128,DETAIL!$F$2:$F$137,MONTH(DATE(YEAR(SUMMARY!$C$6),MONTH(SUMMARY!$C$6)+0,1)))/SUMIFS(DETAIL!$I$2:$I$137,DETAIL!$B$2:$B$137,$C128,DETAIL!$F$2:$F$137,MONTH(DATE(YEAR(SUMMARY!$C$6),MONTH(SUMMARY!$C$6)+0,1))),"-")</f>
        <v>-</v>
      </c>
      <c r="T128" s="48" t="str">
        <f>IFERROR(SUMIFS(DETAIL!$K$2:$K$137,DETAIL!$B$2:$B$137,$C128,DETAIL!$F$2:$F$137,MONTH(DATE(YEAR(SUMMARY!$C$6),MONTH(SUMMARY!$C$6)+1,1)))/SUMIFS(DETAIL!$I$2:$I$137,DETAIL!$B$2:$B$137,$C128,DETAIL!$F$2:$F$137,MONTH(DATE(YEAR(SUMMARY!$C$6),MONTH(SUMMARY!$C$6)+1,1))),"-")</f>
        <v>-</v>
      </c>
      <c r="U128" s="48" t="str">
        <f>IFERROR(SUMIFS(DETAIL!$K$2:$K$137,DETAIL!$B$2:$B$137,$C128,DETAIL!$F$2:$F$137,MONTH(DATE(YEAR(SUMMARY!$C$6),MONTH(SUMMARY!$C$6)+2,1)))/SUMIFS(DETAIL!$I$2:$I$137,DETAIL!$B$2:$B$137,$C128,DETAIL!$F$2:$F$137,MONTH(DATE(YEAR(SUMMARY!$C$6),MONTH(SUMMARY!$C$6)+2,1))),"-")</f>
        <v>-</v>
      </c>
      <c r="V128" s="48">
        <f>IFERROR(SUMIFS(DETAIL!$K$2:$K$137,DETAIL!$B$2:$B$137,$C128,DETAIL!$F$2:$F$137,MONTH(DATE(YEAR(SUMMARY!$C$6),MONTH(SUMMARY!$C$6)+3,1)))/SUMIFS(DETAIL!$I$2:$I$137,DETAIL!$B$2:$B$137,$C128,DETAIL!$F$2:$F$137,MONTH(DATE(YEAR(SUMMARY!$C$6),MONTH(SUMMARY!$C$6)+3,1))),"-")</f>
        <v>0.8571428571428571</v>
      </c>
      <c r="W128" s="9">
        <f>ROUND(100*(K128*SUMMARY!$C$11+N128*SUMMARY!$C$12+R128*SUMMARY!$C$13+AG128*SUMMARY!$C$17),1)</f>
        <v>92.4</v>
      </c>
      <c r="X128" s="5" t="str">
        <f>IF(W128&gt;=100*SUMMARY!$C$14,"Sangat Baik",IF(W128&gt;=100*SUMMARY!$C$15,"Baik",IF(W128&gt;=100*SUMMARY!$C$16,"Cukup","Perlu Pembinaan")))</f>
        <v>Sangat Baik</v>
      </c>
      <c r="Y128" s="7">
        <f>SUMIFS(DETAIL!$J$2:$J$137,DETAIL!$B$2:$B$137,$C128)</f>
        <v>0</v>
      </c>
      <c r="Z128" s="7">
        <f>SUMIFS(DETAIL!$L$2:$L$137,DETAIL!$B$2:$B$137,$C128)</f>
        <v>0</v>
      </c>
      <c r="AA128" s="11">
        <f>M128+ROW()/100000</f>
        <v>1.0012799999999999</v>
      </c>
      <c r="AB128" s="11">
        <f>W128-ROW()/100000</f>
        <v>92.398720000000012</v>
      </c>
      <c r="AC128" s="49" t="str">
        <f>IF(I128&gt;=40,K128-ROW()/10000000,"")</f>
        <v/>
      </c>
      <c r="AD128" s="5" t="str">
        <f>TEXT(PEMAGANG!J34,"dd-mm-yy")&amp;" s.d. "&amp;TEXT(PEMAGANG!K34,"dd-mm-yy")</f>
        <v>22-09-26 s.d. 30-09-26</v>
      </c>
      <c r="AE128" s="5" t="str">
        <f>PEMAGANG!N34</f>
        <v>Masuk 22-09-2026</v>
      </c>
      <c r="AF128" s="50">
        <f>IFERROR(INDEX(PRODUKTIVITAS!$J$10:$J$43,MATCH($C128,PRODUKTIVITAS!$B$10:$B$43,0)),0)</f>
        <v>1.018195308410148</v>
      </c>
      <c r="AG128" s="51">
        <f>IFERROR(INDEX(PRODUKTIVITAS!$K$10:$K$43,MATCH($C128,PRODUKTIVITAS!$B$10:$B$43,0)),0)</f>
        <v>1</v>
      </c>
    </row>
    <row r="129" spans="1:33" x14ac:dyDescent="0.2">
      <c r="A129" s="1" t="str">
        <f>"Pembimbing: "&amp;D130&amp;"  ("&amp;COUNTIF($D$79:$D$133,D130)&amp;" pemagang)"</f>
        <v>Pembimbing: WAWAN SETIAWAN  (1 pemagang)</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33" ht="12.75" x14ac:dyDescent="0.2">
      <c r="A130" s="5">
        <f>ROW()-ROW($A$78)-19</f>
        <v>33</v>
      </c>
      <c r="B130" s="6" t="str">
        <f>PEMAGANG!B35</f>
        <v>MG/KH/4025</v>
      </c>
      <c r="C130" s="6" t="str">
        <f>PEMAGANG!C35</f>
        <v>PUTRI WIDYOWATI</v>
      </c>
      <c r="D130" s="6" t="str">
        <f>PEMAGANG!D35</f>
        <v>WAWAN SETIAWAN</v>
      </c>
      <c r="E130" s="6" t="str">
        <f>PEMAGANG!E35</f>
        <v>Kontrak Project</v>
      </c>
      <c r="F130" s="6" t="str">
        <f>PEMAGANG!F35</f>
        <v>VERIFICATION (SID) JR. OFFICER</v>
      </c>
      <c r="G130" s="47">
        <f>IF(PEMAGANG!H35="","Tidak tercatat",PEMAGANG!H35)</f>
        <v>46007</v>
      </c>
      <c r="H130" s="47">
        <f>IF(PEMAGANG!I35="","Tidak tercatat",PEMAGANG!I35)</f>
        <v>46387</v>
      </c>
      <c r="I130" s="7">
        <f>SUMIFS(DETAIL!$I$2:$I$137,DETAIL!$B$2:$B$137,$C130)</f>
        <v>75</v>
      </c>
      <c r="J130" s="7">
        <f>SUMIFS(DETAIL!$K$2:$K$137,DETAIL!$B$2:$B$137,$C130)</f>
        <v>75</v>
      </c>
      <c r="K130" s="8">
        <f>IFERROR(J130/I130,0)</f>
        <v>1</v>
      </c>
      <c r="L130" s="7">
        <f>I130-J130</f>
        <v>0</v>
      </c>
      <c r="M130" s="7">
        <f>SUMIFS(DETAIL!$N$2:$N$137,DETAIL!$B$2:$B$137,$C130)</f>
        <v>12</v>
      </c>
      <c r="N130" s="8">
        <f>IFERROR(1-M130/SUMIFS(DETAIL!$M$2:$M$137,DETAIL!$B$2:$B$137,$C130),0)</f>
        <v>0.85</v>
      </c>
      <c r="O130" s="9">
        <f>IFERROR(SUMIFS(DETAIL!$O$2:$O$137,DETAIL!$B$2:$B$137,$C130)/M130,0)</f>
        <v>126.16666666666667</v>
      </c>
      <c r="P130" s="7">
        <f>SUMIFS(DETAIL!$P$2:$P$137,DETAIL!$B$2:$B$137,$C130)</f>
        <v>6</v>
      </c>
      <c r="Q130" s="7">
        <f>SUMIFS(DETAIL!$Q$2:$Q$137,DETAIL!$B$2:$B$137,$C130)</f>
        <v>79</v>
      </c>
      <c r="R130" s="8">
        <f>IFERROR(Q130/SUMIFS(DETAIL!$M$2:$M$137,DETAIL!$B$2:$B$137,$C130),0)</f>
        <v>0.98750000000000004</v>
      </c>
      <c r="S130" s="48">
        <f>IFERROR(SUMIFS(DETAIL!$K$2:$K$137,DETAIL!$B$2:$B$137,$C130,DETAIL!$F$2:$F$137,MONTH(DATE(YEAR(SUMMARY!$C$6),MONTH(SUMMARY!$C$6)+0,1)))/SUMIFS(DETAIL!$I$2:$I$137,DETAIL!$B$2:$B$137,$C130,DETAIL!$F$2:$F$137,MONTH(DATE(YEAR(SUMMARY!$C$6),MONTH(SUMMARY!$C$6)+0,1))),"-")</f>
        <v>1</v>
      </c>
      <c r="T130" s="48">
        <f>IFERROR(SUMIFS(DETAIL!$K$2:$K$137,DETAIL!$B$2:$B$137,$C130,DETAIL!$F$2:$F$137,MONTH(DATE(YEAR(SUMMARY!$C$6),MONTH(SUMMARY!$C$6)+1,1)))/SUMIFS(DETAIL!$I$2:$I$137,DETAIL!$B$2:$B$137,$C130,DETAIL!$F$2:$F$137,MONTH(DATE(YEAR(SUMMARY!$C$6),MONTH(SUMMARY!$C$6)+1,1))),"-")</f>
        <v>1</v>
      </c>
      <c r="U130" s="48">
        <f>IFERROR(SUMIFS(DETAIL!$K$2:$K$137,DETAIL!$B$2:$B$137,$C130,DETAIL!$F$2:$F$137,MONTH(DATE(YEAR(SUMMARY!$C$6),MONTH(SUMMARY!$C$6)+2,1)))/SUMIFS(DETAIL!$I$2:$I$137,DETAIL!$B$2:$B$137,$C130,DETAIL!$F$2:$F$137,MONTH(DATE(YEAR(SUMMARY!$C$6),MONTH(SUMMARY!$C$6)+2,1))),"-")</f>
        <v>1</v>
      </c>
      <c r="V130" s="48">
        <f>IFERROR(SUMIFS(DETAIL!$K$2:$K$137,DETAIL!$B$2:$B$137,$C130,DETAIL!$F$2:$F$137,MONTH(DATE(YEAR(SUMMARY!$C$6),MONTH(SUMMARY!$C$6)+3,1)))/SUMIFS(DETAIL!$I$2:$I$137,DETAIL!$B$2:$B$137,$C130,DETAIL!$F$2:$F$137,MONTH(DATE(YEAR(SUMMARY!$C$6),MONTH(SUMMARY!$C$6)+3,1))),"-")</f>
        <v>1</v>
      </c>
      <c r="W130" s="9">
        <f>ROUND(100*(K130*SUMMARY!$C$11+N130*SUMMARY!$C$12+R130*SUMMARY!$C$13+AG130*SUMMARY!$C$17),1)</f>
        <v>96.8</v>
      </c>
      <c r="X130" s="5" t="str">
        <f>IF(W130&gt;=100*SUMMARY!$C$14,"Sangat Baik",IF(W130&gt;=100*SUMMARY!$C$15,"Baik",IF(W130&gt;=100*SUMMARY!$C$16,"Cukup","Perlu Pembinaan")))</f>
        <v>Sangat Baik</v>
      </c>
      <c r="Y130" s="7">
        <f>SUMIFS(DETAIL!$J$2:$J$137,DETAIL!$B$2:$B$137,$C130)</f>
        <v>9</v>
      </c>
      <c r="Z130" s="7">
        <f>SUMIFS(DETAIL!$L$2:$L$137,DETAIL!$B$2:$B$137,$C130)</f>
        <v>5</v>
      </c>
      <c r="AA130" s="11">
        <f>M130+ROW()/100000</f>
        <v>12.001300000000001</v>
      </c>
      <c r="AB130" s="11">
        <f>W130-ROW()/100000</f>
        <v>96.798699999999997</v>
      </c>
      <c r="AC130" s="49">
        <f>IF(I130&gt;=40,K130-ROW()/10000000,"")</f>
        <v>0.99998699999999996</v>
      </c>
      <c r="AD130" s="5" t="str">
        <f>TEXT(PEMAGANG!J35,"dd-mm-yy")&amp;" s.d. "&amp;TEXT(PEMAGANG!K35,"dd-mm-yy")</f>
        <v>01-06-26 s.d. 30-09-26</v>
      </c>
      <c r="AE130" s="5" t="str">
        <f>PEMAGANG!N35</f>
        <v>Aktif sepanjang periode</v>
      </c>
      <c r="AF130" s="50">
        <f>IFERROR(INDEX(PRODUKTIVITAS!$J$10:$J$43,MATCH($C130,PRODUKTIVITAS!$B$10:$B$43,0)),0)</f>
        <v>1.7103457696001279</v>
      </c>
      <c r="AG130" s="51">
        <f>IFERROR(INDEX(PRODUKTIVITAS!$K$10:$K$43,MATCH($C130,PRODUKTIVITAS!$B$10:$B$43,0)),0)</f>
        <v>1</v>
      </c>
    </row>
    <row r="131" spans="1:33" x14ac:dyDescent="0.2">
      <c r="A131" s="1" t="str">
        <f>"Pembimbing: "&amp;D132&amp;"  ("&amp;COUNTIF($D$79:$D$133,D132)&amp;" pemagang)"</f>
        <v>Pembimbing: YUSUF REZA MUHAMMAD  (1 pemagang)</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33" ht="12.75" x14ac:dyDescent="0.2">
      <c r="A132" s="5">
        <f>ROW()-ROW($A$78)-20</f>
        <v>34</v>
      </c>
      <c r="B132" s="6" t="str">
        <f>PEMAGANG!B36</f>
        <v>MG/KH/4626</v>
      </c>
      <c r="C132" s="6" t="str">
        <f>PEMAGANG!C36</f>
        <v>MUHAMMAD QAIRUL UMAM</v>
      </c>
      <c r="D132" s="6" t="str">
        <f>PEMAGANG!D36</f>
        <v>YUSUF REZA MUHAMMAD</v>
      </c>
      <c r="E132" s="6" t="str">
        <f>PEMAGANG!E36</f>
        <v>KEMNAKER</v>
      </c>
      <c r="F132" s="6" t="str">
        <f>PEMAGANG!F36</f>
        <v>GM OF TAX &amp; ACCOUNTING</v>
      </c>
      <c r="G132" s="47">
        <f>IF(PEMAGANG!H36="","Tidak tercatat",PEMAGANG!H36)</f>
        <v>46244</v>
      </c>
      <c r="H132" s="47">
        <f>IF(PEMAGANG!I36="","Tidak tercatat",PEMAGANG!I36)</f>
        <v>46427</v>
      </c>
      <c r="I132" s="7">
        <f>SUMIFS(DETAIL!$I$2:$I$137,DETAIL!$B$2:$B$137,$C132)</f>
        <v>36</v>
      </c>
      <c r="J132" s="7">
        <f>SUMIFS(DETAIL!$K$2:$K$137,DETAIL!$B$2:$B$137,$C132)</f>
        <v>33</v>
      </c>
      <c r="K132" s="8">
        <f>IFERROR(J132/I132,0)</f>
        <v>0.91666666666666663</v>
      </c>
      <c r="L132" s="7">
        <f>I132-J132</f>
        <v>3</v>
      </c>
      <c r="M132" s="7">
        <f>SUMIFS(DETAIL!$N$2:$N$137,DETAIL!$B$2:$B$137,$C132)</f>
        <v>3</v>
      </c>
      <c r="N132" s="8">
        <f>IFERROR(1-M132/SUMIFS(DETAIL!$M$2:$M$137,DETAIL!$B$2:$B$137,$C132),0)</f>
        <v>0.90909090909090906</v>
      </c>
      <c r="O132" s="9">
        <f>IFERROR(SUMIFS(DETAIL!$O$2:$O$137,DETAIL!$B$2:$B$137,$C132)/M132,0)</f>
        <v>91</v>
      </c>
      <c r="P132" s="7">
        <f>SUMIFS(DETAIL!$P$2:$P$137,DETAIL!$B$2:$B$137,$C132)</f>
        <v>1</v>
      </c>
      <c r="Q132" s="7">
        <f>SUMIFS(DETAIL!$Q$2:$Q$137,DETAIL!$B$2:$B$137,$C132)</f>
        <v>30</v>
      </c>
      <c r="R132" s="8">
        <f>IFERROR(Q132/SUMIFS(DETAIL!$M$2:$M$137,DETAIL!$B$2:$B$137,$C132),0)</f>
        <v>0.90909090909090906</v>
      </c>
      <c r="S132" s="48" t="str">
        <f>IFERROR(SUMIFS(DETAIL!$K$2:$K$137,DETAIL!$B$2:$B$137,$C132,DETAIL!$F$2:$F$137,MONTH(DATE(YEAR(SUMMARY!$C$6),MONTH(SUMMARY!$C$6)+0,1)))/SUMIFS(DETAIL!$I$2:$I$137,DETAIL!$B$2:$B$137,$C132,DETAIL!$F$2:$F$137,MONTH(DATE(YEAR(SUMMARY!$C$6),MONTH(SUMMARY!$C$6)+0,1))),"-")</f>
        <v>-</v>
      </c>
      <c r="T132" s="48" t="str">
        <f>IFERROR(SUMIFS(DETAIL!$K$2:$K$137,DETAIL!$B$2:$B$137,$C132,DETAIL!$F$2:$F$137,MONTH(DATE(YEAR(SUMMARY!$C$6),MONTH(SUMMARY!$C$6)+1,1)))/SUMIFS(DETAIL!$I$2:$I$137,DETAIL!$B$2:$B$137,$C132,DETAIL!$F$2:$F$137,MONTH(DATE(YEAR(SUMMARY!$C$6),MONTH(SUMMARY!$C$6)+1,1))),"-")</f>
        <v>-</v>
      </c>
      <c r="U132" s="48">
        <f>IFERROR(SUMIFS(DETAIL!$K$2:$K$137,DETAIL!$B$2:$B$137,$C132,DETAIL!$F$2:$F$137,MONTH(DATE(YEAR(SUMMARY!$C$6),MONTH(SUMMARY!$C$6)+2,1)))/SUMIFS(DETAIL!$I$2:$I$137,DETAIL!$B$2:$B$137,$C132,DETAIL!$F$2:$F$137,MONTH(DATE(YEAR(SUMMARY!$C$6),MONTH(SUMMARY!$C$6)+2,1))),"-")</f>
        <v>0.9285714285714286</v>
      </c>
      <c r="V132" s="48">
        <f>IFERROR(SUMIFS(DETAIL!$K$2:$K$137,DETAIL!$B$2:$B$137,$C132,DETAIL!$F$2:$F$137,MONTH(DATE(YEAR(SUMMARY!$C$6),MONTH(SUMMARY!$C$6)+3,1)))/SUMIFS(DETAIL!$I$2:$I$137,DETAIL!$B$2:$B$137,$C132,DETAIL!$F$2:$F$137,MONTH(DATE(YEAR(SUMMARY!$C$6),MONTH(SUMMARY!$C$6)+3,1))),"-")</f>
        <v>0.90909090909090906</v>
      </c>
      <c r="W132" s="9">
        <f>ROUND(100*(K132*SUMMARY!$C$11+N132*SUMMARY!$C$12+R132*SUMMARY!$C$13+AG132*SUMMARY!$C$17),1)</f>
        <v>93.9</v>
      </c>
      <c r="X132" s="5" t="str">
        <f>IF(W132&gt;=100*SUMMARY!$C$14,"Sangat Baik",IF(W132&gt;=100*SUMMARY!$C$15,"Baik",IF(W132&gt;=100*SUMMARY!$C$16,"Cukup","Perlu Pembinaan")))</f>
        <v>Sangat Baik</v>
      </c>
      <c r="Y132" s="7">
        <f>SUMIFS(DETAIL!$J$2:$J$137,DETAIL!$B$2:$B$137,$C132)</f>
        <v>0</v>
      </c>
      <c r="Z132" s="7">
        <f>SUMIFS(DETAIL!$L$2:$L$137,DETAIL!$B$2:$B$137,$C132)</f>
        <v>0</v>
      </c>
      <c r="AA132" s="11">
        <f>M132+ROW()/100000</f>
        <v>3.0013200000000002</v>
      </c>
      <c r="AB132" s="11">
        <f>W132-ROW()/100000</f>
        <v>93.898679999999999</v>
      </c>
      <c r="AC132" s="49" t="str">
        <f>IF(I132&gt;=40,K132-ROW()/10000000,"")</f>
        <v/>
      </c>
      <c r="AD132" s="5" t="str">
        <f>TEXT(PEMAGANG!J36,"dd-mm-yy")&amp;" s.d. "&amp;TEXT(PEMAGANG!K36,"dd-mm-yy")</f>
        <v>10-08-26 s.d. 30-09-26</v>
      </c>
      <c r="AE132" s="5" t="str">
        <f>PEMAGANG!N36</f>
        <v>Masuk 10-08-2026</v>
      </c>
      <c r="AF132" s="50">
        <f>IFERROR(INDEX(PRODUKTIVITAS!$J$10:$J$43,MATCH($C132,PRODUKTIVITAS!$B$10:$B$43,0)),0)</f>
        <v>1.2203613881626374</v>
      </c>
      <c r="AG132" s="51">
        <f>IFERROR(INDEX(PRODUKTIVITAS!$K$10:$K$43,MATCH($C132,PRODUKTIVITAS!$B$10:$B$43,0)),0)</f>
        <v>1</v>
      </c>
    </row>
  </sheetData>
  <mergeCells count="20">
    <mergeCell ref="A120:Z120"/>
    <mergeCell ref="A125:Z125"/>
    <mergeCell ref="A127:Z127"/>
    <mergeCell ref="A129:Z129"/>
    <mergeCell ref="A131:Z131"/>
    <mergeCell ref="A109:Z109"/>
    <mergeCell ref="A111:Z111"/>
    <mergeCell ref="A113:Z113"/>
    <mergeCell ref="A115:Z115"/>
    <mergeCell ref="A118:Z118"/>
    <mergeCell ref="A97:Z97"/>
    <mergeCell ref="A99:Z99"/>
    <mergeCell ref="A102:Z102"/>
    <mergeCell ref="A105:Z105"/>
    <mergeCell ref="A107:Z107"/>
    <mergeCell ref="A79:Z79"/>
    <mergeCell ref="A87:Z87"/>
    <mergeCell ref="A89:Z89"/>
    <mergeCell ref="A91:Z91"/>
    <mergeCell ref="A94:Z94"/>
  </mergeCells>
  <conditionalFormatting sqref="K79:K132">
    <cfRule type="colorScale" priority="2">
      <colorScale>
        <cfvo type="num" val="0.6"/>
        <cfvo type="num" val="0.85"/>
        <cfvo type="num" val="1"/>
        <color rgb="FFF8696B"/>
        <color rgb="FFFFEB84"/>
        <color rgb="FF63BE7B"/>
      </colorScale>
    </cfRule>
  </conditionalFormatting>
  <conditionalFormatting sqref="N79:N132">
    <cfRule type="colorScale" priority="3">
      <colorScale>
        <cfvo type="num" val="0.6"/>
        <cfvo type="num" val="0.85"/>
        <cfvo type="num" val="1"/>
        <color rgb="FFF8696B"/>
        <color rgb="FFFFEB84"/>
        <color rgb="FF63BE7B"/>
      </colorScale>
    </cfRule>
  </conditionalFormatting>
  <conditionalFormatting sqref="R79:R132">
    <cfRule type="colorScale" priority="4">
      <colorScale>
        <cfvo type="num" val="0.6"/>
        <cfvo type="num" val="0.85"/>
        <cfvo type="num" val="1"/>
        <color rgb="FFF8696B"/>
        <color rgb="FFFFEB84"/>
        <color rgb="FF63BE7B"/>
      </colorScale>
    </cfRule>
  </conditionalFormatting>
  <conditionalFormatting sqref="S79:V132">
    <cfRule type="colorScale" priority="5">
      <colorScale>
        <cfvo type="num" val="0.6"/>
        <cfvo type="num" val="0.85"/>
        <cfvo type="num" val="1"/>
        <color rgb="FFF8696B"/>
        <color rgb="FFFFEB84"/>
        <color rgb="FF63BE7B"/>
      </colorScale>
    </cfRule>
  </conditionalFormatting>
  <conditionalFormatting sqref="X79:X132">
    <cfRule type="cellIs" dxfId="25" priority="6" operator="equal">
      <formula>"Sangat Baik"</formula>
    </cfRule>
    <cfRule type="cellIs" dxfId="24" priority="7" operator="equal">
      <formula>"Baik"</formula>
    </cfRule>
    <cfRule type="cellIs" dxfId="23" priority="8" operator="equal">
      <formula>"Cukup"</formula>
    </cfRule>
    <cfRule type="cellIs" dxfId="22" priority="9" operator="equal">
      <formula>"Perlu Pembinaan"</formula>
    </cfRule>
  </conditionalFormatting>
  <conditionalFormatting sqref="Q34:Q51">
    <cfRule type="cellIs" dxfId="21" priority="10" operator="equal">
      <formula>"Kelebihan pemagang"</formula>
    </cfRule>
    <cfRule type="cellIs" dxfId="20" priority="11" operator="equal">
      <formula>"Kekurangan pemagang"</formula>
    </cfRule>
    <cfRule type="cellIs" dxfId="19" priority="12" operator="equal">
      <formula>"Seimbang"</formula>
    </cfRule>
    <cfRule type="cellIs" dxfId="18" priority="13" operator="equal">
      <formula>"Tidak dapat dihitung"</formula>
    </cfRule>
  </conditionalFormatting>
  <conditionalFormatting sqref="S34:S51">
    <cfRule type="expression" dxfId="17" priority="14">
      <formula>LEFT(S34,6)="Rendah"</formula>
    </cfRule>
  </conditionalFormatting>
  <conditionalFormatting sqref="J34:J51">
    <cfRule type="colorScale" priority="15">
      <colorScale>
        <cfvo type="num" val="0.5"/>
        <cfvo type="num" val="1"/>
        <cfvo type="num" val="1.8"/>
        <color rgb="FFF8696B"/>
        <color rgb="FFFFFFFF"/>
        <color rgb="FF5B9BD5"/>
      </colorScale>
    </cfRule>
  </conditionalFormatting>
  <conditionalFormatting sqref="F4:F23">
    <cfRule type="colorScale" priority="16">
      <colorScale>
        <cfvo type="num" val="0.6"/>
        <cfvo type="num" val="0.85"/>
        <cfvo type="num" val="1"/>
        <color rgb="FFF8696B"/>
        <color rgb="FFFFEB84"/>
        <color rgb="FF63BE7B"/>
      </colorScale>
    </cfRule>
  </conditionalFormatting>
  <conditionalFormatting sqref="H4:H23">
    <cfRule type="colorScale" priority="17">
      <colorScale>
        <cfvo type="num" val="0.6"/>
        <cfvo type="num" val="0.85"/>
        <cfvo type="num" val="1"/>
        <color rgb="FFF8696B"/>
        <color rgb="FFFFEB84"/>
        <color rgb="FF63BE7B"/>
      </colorScale>
    </cfRule>
  </conditionalFormatting>
  <conditionalFormatting sqref="J4:J23">
    <cfRule type="colorScale" priority="18">
      <colorScale>
        <cfvo type="num" val="0.6"/>
        <cfvo type="num" val="0.85"/>
        <cfvo type="num" val="1"/>
        <color rgb="FFF8696B"/>
        <color rgb="FFFFEB84"/>
        <color rgb="FF63BE7B"/>
      </colorScale>
    </cfRule>
  </conditionalFormatting>
  <conditionalFormatting sqref="L4:L23">
    <cfRule type="cellIs" dxfId="16" priority="19" operator="equal">
      <formula>"Sangat Baik"</formula>
    </cfRule>
    <cfRule type="cellIs" dxfId="15" priority="20" operator="equal">
      <formula>"Baik"</formula>
    </cfRule>
    <cfRule type="cellIs" dxfId="14" priority="21" operator="equal">
      <formula>"Cukup"</formula>
    </cfRule>
    <cfRule type="cellIs" dxfId="13" priority="22" operator="equal">
      <formula>"Perlu Pembinaan"</formula>
    </cfRule>
  </conditionalFormatting>
  <conditionalFormatting sqref="AF80:AF132">
    <cfRule type="colorScale" priority="23">
      <colorScale>
        <cfvo type="num" val="0.5"/>
        <cfvo type="num" val="1"/>
        <cfvo type="num" val="1.8"/>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B700"/>
  </sheetPr>
  <dimension ref="A1:T104"/>
  <sheetViews>
    <sheetView tabSelected="1" zoomScaleNormal="100" workbookViewId="0">
      <selection activeCell="L42" sqref="L42"/>
    </sheetView>
  </sheetViews>
  <sheetFormatPr defaultColWidth="8.7109375" defaultRowHeight="11.25" x14ac:dyDescent="0.2"/>
  <cols>
    <col min="1" max="1" width="6" style="56" customWidth="1"/>
    <col min="2" max="2" width="32" style="56" customWidth="1"/>
    <col min="3" max="3" width="26" style="56" customWidth="1"/>
    <col min="4" max="4" width="34" style="56" customWidth="1"/>
    <col min="5" max="5" width="11" style="56" customWidth="1"/>
    <col min="6" max="6" width="10" style="56" customWidth="1"/>
    <col min="7" max="7" width="12" style="56" customWidth="1"/>
    <col min="8" max="8" width="9" style="56" customWidth="1"/>
    <col min="9" max="9" width="10" style="56" customWidth="1"/>
    <col min="10" max="11" width="11" style="56" customWidth="1"/>
    <col min="12" max="12" width="16" style="56" customWidth="1"/>
    <col min="13" max="13" width="10" style="56" customWidth="1"/>
    <col min="14" max="18" width="9" style="56" customWidth="1"/>
    <col min="19" max="19" width="14" style="56" customWidth="1"/>
    <col min="20" max="20" width="3" style="56" hidden="1" customWidth="1"/>
    <col min="21" max="16384" width="8.7109375" style="56"/>
  </cols>
  <sheetData>
    <row r="1" spans="1:20" x14ac:dyDescent="0.2">
      <c r="A1" s="90" t="s">
        <v>83</v>
      </c>
    </row>
    <row r="2" spans="1:20" x14ac:dyDescent="0.2">
      <c r="B2" s="91" t="s">
        <v>19</v>
      </c>
      <c r="C2" s="92">
        <f>EVALUASI!$C$28</f>
        <v>0.5</v>
      </c>
      <c r="D2" s="91" t="s">
        <v>88</v>
      </c>
      <c r="E2" s="95">
        <v>1.5</v>
      </c>
    </row>
    <row r="3" spans="1:20" x14ac:dyDescent="0.2">
      <c r="B3" s="91" t="s">
        <v>84</v>
      </c>
      <c r="C3" s="92">
        <f>EVALUASI!$C$29</f>
        <v>0.5</v>
      </c>
      <c r="D3" s="91" t="s">
        <v>89</v>
      </c>
      <c r="E3" s="95">
        <v>1</v>
      </c>
    </row>
    <row r="4" spans="1:20" x14ac:dyDescent="0.2">
      <c r="B4" s="91" t="s">
        <v>85</v>
      </c>
      <c r="C4" s="93">
        <f>SUMMARY!$C$18</f>
        <v>1</v>
      </c>
      <c r="D4" s="91" t="s">
        <v>90</v>
      </c>
      <c r="E4" s="95">
        <v>0.7</v>
      </c>
    </row>
    <row r="5" spans="1:20" x14ac:dyDescent="0.2">
      <c r="B5" s="91" t="s">
        <v>86</v>
      </c>
      <c r="C5" s="93">
        <f>SUM(DETAIL!$R$2:$R$137)/SUM(DETAIL!$M$2:$M$137)</f>
        <v>1.7862997658079625</v>
      </c>
    </row>
    <row r="6" spans="1:20" x14ac:dyDescent="0.2">
      <c r="B6" s="91" t="s">
        <v>87</v>
      </c>
      <c r="C6" s="94">
        <f>SUM(DETAIL!$T$2:$T$137)/SUM(DETAIL!$M$2:$M$137)</f>
        <v>97.151639344262293</v>
      </c>
    </row>
    <row r="8" spans="1:20" x14ac:dyDescent="0.2">
      <c r="A8" s="90" t="s">
        <v>91</v>
      </c>
    </row>
    <row r="9" spans="1:20" ht="33.75" x14ac:dyDescent="0.2">
      <c r="A9" s="96" t="s">
        <v>1</v>
      </c>
      <c r="B9" s="96" t="s">
        <v>59</v>
      </c>
      <c r="C9" s="96" t="s">
        <v>2</v>
      </c>
      <c r="D9" s="96" t="s">
        <v>23</v>
      </c>
      <c r="E9" s="96" t="s">
        <v>92</v>
      </c>
      <c r="F9" s="96" t="s">
        <v>93</v>
      </c>
      <c r="G9" s="96" t="s">
        <v>94</v>
      </c>
      <c r="H9" s="96" t="s">
        <v>95</v>
      </c>
      <c r="I9" s="96" t="s">
        <v>96</v>
      </c>
      <c r="J9" s="96" t="s">
        <v>81</v>
      </c>
      <c r="K9" s="96" t="s">
        <v>82</v>
      </c>
      <c r="L9" s="96" t="s">
        <v>60</v>
      </c>
      <c r="M9" s="96" t="s">
        <v>97</v>
      </c>
      <c r="N9" s="96" t="s">
        <v>98</v>
      </c>
      <c r="O9" s="96" t="s">
        <v>99</v>
      </c>
      <c r="P9" s="96" t="s">
        <v>100</v>
      </c>
      <c r="Q9" s="96" t="s">
        <v>101</v>
      </c>
      <c r="R9" s="96" t="s">
        <v>102</v>
      </c>
      <c r="S9" s="96" t="s">
        <v>12</v>
      </c>
      <c r="T9" s="96" t="s">
        <v>15</v>
      </c>
    </row>
    <row r="10" spans="1:20" x14ac:dyDescent="0.2">
      <c r="A10" s="97">
        <v>1</v>
      </c>
      <c r="B10" s="98" t="str">
        <f>PEMAGANG!C3</f>
        <v>ARINDA PUTRI AULIA</v>
      </c>
      <c r="C10" s="98" t="str">
        <f>PEMAGANG!D3</f>
        <v>AHMAD JALALUDDIN BASYAR</v>
      </c>
      <c r="D10" s="98" t="str">
        <f>PEMAGANG!F3</f>
        <v>PGS SM OF DIGITAL BUSSINES</v>
      </c>
      <c r="E10" s="99">
        <f>SUMIFS(DETAIL!$M$2:$M$137,DETAIL!$B$2:$B$137,$B10)</f>
        <v>75</v>
      </c>
      <c r="F10" s="99">
        <f>SUMIFS(DETAIL!$R$2:$R$137,DETAIL!$B$2:$B$137,$B10)</f>
        <v>86</v>
      </c>
      <c r="G10" s="100">
        <f>SUMIFS(DETAIL!$T$2:$T$137,DETAIL!$B$2:$B$137,$B10)</f>
        <v>1799</v>
      </c>
      <c r="H10" s="101">
        <f t="shared" ref="H10:H44" si="0">IFERROR(F10/E10,0)</f>
        <v>1.1466666666666667</v>
      </c>
      <c r="I10" s="99">
        <f t="shared" ref="I10:I44" si="1">IFERROR(G10/E10,0)</f>
        <v>23.986666666666668</v>
      </c>
      <c r="J10" s="101">
        <f t="shared" ref="J10:J43" si="2">IFERROR($C$2*H10/$C$5+$C$3*I10/$C$6,0)</f>
        <v>0.44441105725850683</v>
      </c>
      <c r="K10" s="102">
        <f t="shared" ref="K10:K43" si="3">MIN(1,IFERROR(J10/$C$4,0))</f>
        <v>0.44441105725850683</v>
      </c>
      <c r="L10" s="97" t="str">
        <f>IF(E10=0,"-",IF(F10=0,"Tidak ada laporan",IF(J10&gt;=$E$2,"Sangat Tinggi",IF(J10&gt;=$E$3,"Tinggi",IF(J10&gt;=$E$4,"Sedang","Rendah")))))</f>
        <v>Rendah</v>
      </c>
      <c r="M10" s="99">
        <f t="shared" ref="M10:M43" si="4">RANK(T10,$T$10:$T$43)</f>
        <v>28</v>
      </c>
      <c r="N10" s="101">
        <f>IFERROR($C$2*(SUMIFS(DETAIL!$R$2:$R$137,DETAIL!$B$2:$B$137,$B10,DETAIL!$F$2:$F$137,MONTH(DATE(YEAR(SUMMARY!$C$6),MONTH(SUMMARY!$C$6)+0,1)))/SUMIFS(DETAIL!$M$2:$M$137,DETAIL!$B$2:$B$137,$B10,DETAIL!$F$2:$F$137,MONTH(DATE(YEAR(SUMMARY!$C$6),MONTH(SUMMARY!$C$6)+0,1))))/$C$5+$C$3*(SUMIFS(DETAIL!$T$2:$T$137,DETAIL!$B$2:$B$137,$B10,DETAIL!$F$2:$F$137,MONTH(DATE(YEAR(SUMMARY!$C$6),MONTH(SUMMARY!$C$6)+0,1)))/SUMIFS(DETAIL!$M$2:$M$137,DETAIL!$B$2:$B$137,$B10,DETAIL!$F$2:$F$137,MONTH(DATE(YEAR(SUMMARY!$C$6),MONTH(SUMMARY!$C$6)+0,1))))/$C$6,"-")</f>
        <v>0.34243104468867425</v>
      </c>
      <c r="O10" s="101">
        <f>IFERROR($C$2*(SUMIFS(DETAIL!$R$2:$R$137,DETAIL!$B$2:$B$137,$B10,DETAIL!$F$2:$F$137,MONTH(DATE(YEAR(SUMMARY!$C$6),MONTH(SUMMARY!$C$6)+1,1)))/SUMIFS(DETAIL!$M$2:$M$137,DETAIL!$B$2:$B$137,$B10,DETAIL!$F$2:$F$137,MONTH(DATE(YEAR(SUMMARY!$C$6),MONTH(SUMMARY!$C$6)+1,1))))/$C$5+$C$3*(SUMIFS(DETAIL!$T$2:$T$137,DETAIL!$B$2:$B$137,$B10,DETAIL!$F$2:$F$137,MONTH(DATE(YEAR(SUMMARY!$C$6),MONTH(SUMMARY!$C$6)+1,1)))/SUMIFS(DETAIL!$M$2:$M$137,DETAIL!$B$2:$B$137,$B10,DETAIL!$F$2:$F$137,MONTH(DATE(YEAR(SUMMARY!$C$6),MONTH(SUMMARY!$C$6)+1,1))))/$C$6,"-")</f>
        <v>0.37808671887627365</v>
      </c>
      <c r="P10" s="101">
        <f>IFERROR($C$2*(SUMIFS(DETAIL!$R$2:$R$137,DETAIL!$B$2:$B$137,$B10,DETAIL!$F$2:$F$137,MONTH(DATE(YEAR(SUMMARY!$C$6),MONTH(SUMMARY!$C$6)+2,1)))/SUMIFS(DETAIL!$M$2:$M$137,DETAIL!$B$2:$B$137,$B10,DETAIL!$F$2:$F$137,MONTH(DATE(YEAR(SUMMARY!$C$6),MONTH(SUMMARY!$C$6)+2,1))))/$C$5+$C$3*(SUMIFS(DETAIL!$T$2:$T$137,DETAIL!$B$2:$B$137,$B10,DETAIL!$F$2:$F$137,MONTH(DATE(YEAR(SUMMARY!$C$6),MONTH(SUMMARY!$C$6)+2,1)))/SUMIFS(DETAIL!$M$2:$M$137,DETAIL!$B$2:$B$137,$B10,DETAIL!$F$2:$F$137,MONTH(DATE(YEAR(SUMMARY!$C$6),MONTH(SUMMARY!$C$6)+2,1))))/$C$6,"-")</f>
        <v>0.31057808541698539</v>
      </c>
      <c r="Q10" s="101">
        <f>IFERROR($C$2*(SUMIFS(DETAIL!$R$2:$R$137,DETAIL!$B$2:$B$137,$B10,DETAIL!$F$2:$F$137,MONTH(DATE(YEAR(SUMMARY!$C$6),MONTH(SUMMARY!$C$6)+3,1)))/SUMIFS(DETAIL!$M$2:$M$137,DETAIL!$B$2:$B$137,$B10,DETAIL!$F$2:$F$137,MONTH(DATE(YEAR(SUMMARY!$C$6),MONTH(SUMMARY!$C$6)+3,1))))/$C$5+$C$3*(SUMIFS(DETAIL!$T$2:$T$137,DETAIL!$B$2:$B$137,$B10,DETAIL!$F$2:$F$137,MONTH(DATE(YEAR(SUMMARY!$C$6),MONTH(SUMMARY!$C$6)+3,1)))/SUMIFS(DETAIL!$M$2:$M$137,DETAIL!$B$2:$B$137,$B10,DETAIL!$F$2:$F$137,MONTH(DATE(YEAR(SUMMARY!$C$6),MONTH(SUMMARY!$C$6)+3,1))))/$C$6,"-")</f>
        <v>0.68680601556754417</v>
      </c>
      <c r="R10" s="103">
        <f>IFERROR(INDEX(EVALUASI!$W$79:$W$132,MATCH($B10,EVALUASI!$C$79:$C$132,0)),"-")</f>
        <v>75.5</v>
      </c>
      <c r="S10" s="104" t="str">
        <f>IFERROR(INDEX(EVALUASI!$X$79:$X$132,MATCH($B10,EVALUASI!$C$79:$C$132,0)),"-")</f>
        <v>Cukup</v>
      </c>
      <c r="T10" s="105">
        <f t="shared" ref="T10:T43" si="5">J10-ROW()/1000000</f>
        <v>0.44440105725850682</v>
      </c>
    </row>
    <row r="11" spans="1:20" x14ac:dyDescent="0.2">
      <c r="A11" s="97">
        <v>2</v>
      </c>
      <c r="B11" s="98" t="str">
        <f>PEMAGANG!C4</f>
        <v>BERLIAN AURELYA RAHMA</v>
      </c>
      <c r="C11" s="98" t="str">
        <f>PEMAGANG!D4</f>
        <v>AHMAD JALALUDDIN BASYAR</v>
      </c>
      <c r="D11" s="98" t="str">
        <f>PEMAGANG!F4</f>
        <v>PGS SM OF DIGITAL BUSSINES</v>
      </c>
      <c r="E11" s="99">
        <f>SUMIFS(DETAIL!$M$2:$M$137,DETAIL!$B$2:$B$137,$B11)</f>
        <v>36</v>
      </c>
      <c r="F11" s="99">
        <f>SUMIFS(DETAIL!$R$2:$R$137,DETAIL!$B$2:$B$137,$B11)</f>
        <v>54</v>
      </c>
      <c r="G11" s="100">
        <f>SUMIFS(DETAIL!$T$2:$T$137,DETAIL!$B$2:$B$137,$B11)</f>
        <v>3241</v>
      </c>
      <c r="H11" s="101">
        <f t="shared" si="0"/>
        <v>1.5</v>
      </c>
      <c r="I11" s="99">
        <f t="shared" si="1"/>
        <v>90.027777777777771</v>
      </c>
      <c r="J11" s="101">
        <f t="shared" si="2"/>
        <v>0.88319872025803892</v>
      </c>
      <c r="K11" s="102">
        <f t="shared" si="3"/>
        <v>0.88319872025803892</v>
      </c>
      <c r="L11" s="97" t="str">
        <f>IF(E11=0,"-",IF(F11=0,"Tidak ada laporan",IF(J11&gt;=$E$2,"Sangat Tinggi",IF(J11&gt;=$E$3,"Tinggi",IF(J11&gt;=$E$4,"Sedang","Rendah")))))</f>
        <v>Sedang</v>
      </c>
      <c r="M11" s="99">
        <f t="shared" si="4"/>
        <v>16</v>
      </c>
      <c r="N11" s="101" t="str">
        <f>IFERROR($C$2*(SUMIFS(DETAIL!$R$2:$R$137,DETAIL!$B$2:$B$137,$B11,DETAIL!$F$2:$F$137,MONTH(DATE(YEAR(SUMMARY!$C$6),MONTH(SUMMARY!$C$6)+0,1)))/SUMIFS(DETAIL!$M$2:$M$137,DETAIL!$B$2:$B$137,$B11,DETAIL!$F$2:$F$137,MONTH(DATE(YEAR(SUMMARY!$C$6),MONTH(SUMMARY!$C$6)+0,1))))/$C$5+$C$3*(SUMIFS(DETAIL!$T$2:$T$137,DETAIL!$B$2:$B$137,$B11,DETAIL!$F$2:$F$137,MONTH(DATE(YEAR(SUMMARY!$C$6),MONTH(SUMMARY!$C$6)+0,1)))/SUMIFS(DETAIL!$M$2:$M$137,DETAIL!$B$2:$B$137,$B11,DETAIL!$F$2:$F$137,MONTH(DATE(YEAR(SUMMARY!$C$6),MONTH(SUMMARY!$C$6)+0,1))))/$C$6,"-")</f>
        <v>-</v>
      </c>
      <c r="O11" s="101" t="str">
        <f>IFERROR($C$2*(SUMIFS(DETAIL!$R$2:$R$137,DETAIL!$B$2:$B$137,$B11,DETAIL!$F$2:$F$137,MONTH(DATE(YEAR(SUMMARY!$C$6),MONTH(SUMMARY!$C$6)+1,1)))/SUMIFS(DETAIL!$M$2:$M$137,DETAIL!$B$2:$B$137,$B11,DETAIL!$F$2:$F$137,MONTH(DATE(YEAR(SUMMARY!$C$6),MONTH(SUMMARY!$C$6)+1,1))))/$C$5+$C$3*(SUMIFS(DETAIL!$T$2:$T$137,DETAIL!$B$2:$B$137,$B11,DETAIL!$F$2:$F$137,MONTH(DATE(YEAR(SUMMARY!$C$6),MONTH(SUMMARY!$C$6)+1,1)))/SUMIFS(DETAIL!$M$2:$M$137,DETAIL!$B$2:$B$137,$B11,DETAIL!$F$2:$F$137,MONTH(DATE(YEAR(SUMMARY!$C$6),MONTH(SUMMARY!$C$6)+1,1))))/$C$6,"-")</f>
        <v>-</v>
      </c>
      <c r="P11" s="101">
        <f>IFERROR($C$2*(SUMIFS(DETAIL!$R$2:$R$137,DETAIL!$B$2:$B$137,$B11,DETAIL!$F$2:$F$137,MONTH(DATE(YEAR(SUMMARY!$C$6),MONTH(SUMMARY!$C$6)+2,1)))/SUMIFS(DETAIL!$M$2:$M$137,DETAIL!$B$2:$B$137,$B11,DETAIL!$F$2:$F$137,MONTH(DATE(YEAR(SUMMARY!$C$6),MONTH(SUMMARY!$C$6)+2,1))))/$C$5+$C$3*(SUMIFS(DETAIL!$T$2:$T$137,DETAIL!$B$2:$B$137,$B11,DETAIL!$F$2:$F$137,MONTH(DATE(YEAR(SUMMARY!$C$6),MONTH(SUMMARY!$C$6)+2,1)))/SUMIFS(DETAIL!$M$2:$M$137,DETAIL!$B$2:$B$137,$B11,DETAIL!$F$2:$F$137,MONTH(DATE(YEAR(SUMMARY!$C$6),MONTH(SUMMARY!$C$6)+2,1))))/$C$6,"-")</f>
        <v>0.79771007110596048</v>
      </c>
      <c r="Q11" s="101">
        <f>IFERROR($C$2*(SUMIFS(DETAIL!$R$2:$R$137,DETAIL!$B$2:$B$137,$B11,DETAIL!$F$2:$F$137,MONTH(DATE(YEAR(SUMMARY!$C$6),MONTH(SUMMARY!$C$6)+3,1)))/SUMIFS(DETAIL!$M$2:$M$137,DETAIL!$B$2:$B$137,$B11,DETAIL!$F$2:$F$137,MONTH(DATE(YEAR(SUMMARY!$C$6),MONTH(SUMMARY!$C$6)+3,1))))/$C$5+$C$3*(SUMIFS(DETAIL!$T$2:$T$137,DETAIL!$B$2:$B$137,$B11,DETAIL!$F$2:$F$137,MONTH(DATE(YEAR(SUMMARY!$C$6),MONTH(SUMMARY!$C$6)+3,1)))/SUMIFS(DETAIL!$M$2:$M$137,DETAIL!$B$2:$B$137,$B11,DETAIL!$F$2:$F$137,MONTH(DATE(YEAR(SUMMARY!$C$6),MONTH(SUMMARY!$C$6)+3,1))))/$C$6,"-")</f>
        <v>0.9376005879002709</v>
      </c>
      <c r="R11" s="103">
        <f>IFERROR(INDEX(EVALUASI!$W$79:$W$132,MATCH($B11,EVALUASI!$C$79:$C$132,0)),"-")</f>
        <v>89.8</v>
      </c>
      <c r="S11" s="104" t="str">
        <f>IFERROR(INDEX(EVALUASI!$X$79:$X$132,MATCH($B11,EVALUASI!$C$79:$C$132,0)),"-")</f>
        <v>Baik</v>
      </c>
      <c r="T11" s="105">
        <f t="shared" si="5"/>
        <v>0.88318772025803893</v>
      </c>
    </row>
    <row r="12" spans="1:20" x14ac:dyDescent="0.2">
      <c r="A12" s="97">
        <v>3</v>
      </c>
      <c r="B12" s="98" t="str">
        <f>PEMAGANG!C5</f>
        <v>CLARA OKTAVIA FIRDAUS</v>
      </c>
      <c r="C12" s="98" t="str">
        <f>PEMAGANG!D5</f>
        <v>AHMAD JALALUDDIN BASYAR</v>
      </c>
      <c r="D12" s="98" t="str">
        <f>PEMAGANG!F5</f>
        <v>PGS SM OF DIGITAL BUSSINES</v>
      </c>
      <c r="E12" s="99">
        <f>SUMIFS(DETAIL!$M$2:$M$137,DETAIL!$B$2:$B$137,$B12)</f>
        <v>33</v>
      </c>
      <c r="F12" s="99">
        <f>SUMIFS(DETAIL!$R$2:$R$137,DETAIL!$B$2:$B$137,$B12)</f>
        <v>49</v>
      </c>
      <c r="G12" s="100">
        <f>SUMIFS(DETAIL!$T$2:$T$137,DETAIL!$B$2:$B$137,$B12)</f>
        <v>1869</v>
      </c>
      <c r="H12" s="101">
        <f t="shared" si="0"/>
        <v>1.4848484848484849</v>
      </c>
      <c r="I12" s="99">
        <f t="shared" si="1"/>
        <v>56.636363636363633</v>
      </c>
      <c r="J12" s="101">
        <f t="shared" si="2"/>
        <v>0.70710565001763537</v>
      </c>
      <c r="K12" s="102">
        <f t="shared" si="3"/>
        <v>0.70710565001763537</v>
      </c>
      <c r="L12" s="97" t="str">
        <f>IF(E12=0,"-",IF(F12=0,"Tidak ada laporan",IF(J12&gt;=$E$2,"Sangat Tinggi",IF(J12&gt;=$E$3,"Tinggi",IF(J12&gt;=$E$4,"Sedang","Rendah")))))</f>
        <v>Sedang</v>
      </c>
      <c r="M12" s="99">
        <f t="shared" si="4"/>
        <v>19</v>
      </c>
      <c r="N12" s="101" t="str">
        <f>IFERROR($C$2*(SUMIFS(DETAIL!$R$2:$R$137,DETAIL!$B$2:$B$137,$B12,DETAIL!$F$2:$F$137,MONTH(DATE(YEAR(SUMMARY!$C$6),MONTH(SUMMARY!$C$6)+0,1)))/SUMIFS(DETAIL!$M$2:$M$137,DETAIL!$B$2:$B$137,$B12,DETAIL!$F$2:$F$137,MONTH(DATE(YEAR(SUMMARY!$C$6),MONTH(SUMMARY!$C$6)+0,1))))/$C$5+$C$3*(SUMIFS(DETAIL!$T$2:$T$137,DETAIL!$B$2:$B$137,$B12,DETAIL!$F$2:$F$137,MONTH(DATE(YEAR(SUMMARY!$C$6),MONTH(SUMMARY!$C$6)+0,1)))/SUMIFS(DETAIL!$M$2:$M$137,DETAIL!$B$2:$B$137,$B12,DETAIL!$F$2:$F$137,MONTH(DATE(YEAR(SUMMARY!$C$6),MONTH(SUMMARY!$C$6)+0,1))))/$C$6,"-")</f>
        <v>-</v>
      </c>
      <c r="O12" s="101" t="str">
        <f>IFERROR($C$2*(SUMIFS(DETAIL!$R$2:$R$137,DETAIL!$B$2:$B$137,$B12,DETAIL!$F$2:$F$137,MONTH(DATE(YEAR(SUMMARY!$C$6),MONTH(SUMMARY!$C$6)+1,1)))/SUMIFS(DETAIL!$M$2:$M$137,DETAIL!$B$2:$B$137,$B12,DETAIL!$F$2:$F$137,MONTH(DATE(YEAR(SUMMARY!$C$6),MONTH(SUMMARY!$C$6)+1,1))))/$C$5+$C$3*(SUMIFS(DETAIL!$T$2:$T$137,DETAIL!$B$2:$B$137,$B12,DETAIL!$F$2:$F$137,MONTH(DATE(YEAR(SUMMARY!$C$6),MONTH(SUMMARY!$C$6)+1,1)))/SUMIFS(DETAIL!$M$2:$M$137,DETAIL!$B$2:$B$137,$B12,DETAIL!$F$2:$F$137,MONTH(DATE(YEAR(SUMMARY!$C$6),MONTH(SUMMARY!$C$6)+1,1))))/$C$6,"-")</f>
        <v>-</v>
      </c>
      <c r="P12" s="101">
        <f>IFERROR($C$2*(SUMIFS(DETAIL!$R$2:$R$137,DETAIL!$B$2:$B$137,$B12,DETAIL!$F$2:$F$137,MONTH(DATE(YEAR(SUMMARY!$C$6),MONTH(SUMMARY!$C$6)+2,1)))/SUMIFS(DETAIL!$M$2:$M$137,DETAIL!$B$2:$B$137,$B12,DETAIL!$F$2:$F$137,MONTH(DATE(YEAR(SUMMARY!$C$6),MONTH(SUMMARY!$C$6)+2,1))))/$C$5+$C$3*(SUMIFS(DETAIL!$T$2:$T$137,DETAIL!$B$2:$B$137,$B12,DETAIL!$F$2:$F$137,MONTH(DATE(YEAR(SUMMARY!$C$6),MONTH(SUMMARY!$C$6)+2,1)))/SUMIFS(DETAIL!$M$2:$M$137,DETAIL!$B$2:$B$137,$B12,DETAIL!$F$2:$F$137,MONTH(DATE(YEAR(SUMMARY!$C$6),MONTH(SUMMARY!$C$6)+2,1))))/$C$6,"-")</f>
        <v>0.57911303278529114</v>
      </c>
      <c r="Q12" s="101">
        <f>IFERROR($C$2*(SUMIFS(DETAIL!$R$2:$R$137,DETAIL!$B$2:$B$137,$B12,DETAIL!$F$2:$F$137,MONTH(DATE(YEAR(SUMMARY!$C$6),MONTH(SUMMARY!$C$6)+3,1)))/SUMIFS(DETAIL!$M$2:$M$137,DETAIL!$B$2:$B$137,$B12,DETAIL!$F$2:$F$137,MONTH(DATE(YEAR(SUMMARY!$C$6),MONTH(SUMMARY!$C$6)+3,1))))/$C$5+$C$3*(SUMIFS(DETAIL!$T$2:$T$137,DETAIL!$B$2:$B$137,$B12,DETAIL!$F$2:$F$137,MONTH(DATE(YEAR(SUMMARY!$C$6),MONTH(SUMMARY!$C$6)+3,1)))/SUMIFS(DETAIL!$M$2:$M$137,DETAIL!$B$2:$B$137,$B12,DETAIL!$F$2:$F$137,MONTH(DATE(YEAR(SUMMARY!$C$6),MONTH(SUMMARY!$C$6)+3,1))))/$C$6,"-")</f>
        <v>0.79030085121865923</v>
      </c>
      <c r="R12" s="103">
        <f>IFERROR(INDEX(EVALUASI!$W$79:$W$132,MATCH($B12,EVALUASI!$C$79:$C$132,0)),"-")</f>
        <v>82.7</v>
      </c>
      <c r="S12" s="104" t="str">
        <f>IFERROR(INDEX(EVALUASI!$X$79:$X$132,MATCH($B12,EVALUASI!$C$79:$C$132,0)),"-")</f>
        <v>Baik</v>
      </c>
      <c r="T12" s="105">
        <f t="shared" si="5"/>
        <v>0.70709365001763536</v>
      </c>
    </row>
    <row r="13" spans="1:20" x14ac:dyDescent="0.2">
      <c r="A13" s="97">
        <v>4</v>
      </c>
      <c r="B13" s="98" t="str">
        <f>PEMAGANG!C6</f>
        <v>NELLA DIFA SALSABILAH</v>
      </c>
      <c r="C13" s="98" t="str">
        <f>PEMAGANG!D6</f>
        <v>AHMAD JALALUDDIN BASYAR</v>
      </c>
      <c r="D13" s="98" t="str">
        <f>PEMAGANG!F6</f>
        <v>PGS SM OF DIGITAL BUSSINES</v>
      </c>
      <c r="E13" s="99">
        <f>SUMIFS(DETAIL!$M$2:$M$137,DETAIL!$B$2:$B$137,$B13)</f>
        <v>84</v>
      </c>
      <c r="F13" s="99">
        <f>SUMIFS(DETAIL!$R$2:$R$137,DETAIL!$B$2:$B$137,$B13)</f>
        <v>168</v>
      </c>
      <c r="G13" s="100">
        <f>SUMIFS(DETAIL!$T$2:$T$137,DETAIL!$B$2:$B$137,$B13)</f>
        <v>1426</v>
      </c>
      <c r="H13" s="101">
        <f t="shared" si="0"/>
        <v>2</v>
      </c>
      <c r="I13" s="99">
        <f t="shared" si="1"/>
        <v>16.976190476190474</v>
      </c>
      <c r="J13" s="101">
        <f t="shared" si="2"/>
        <v>0.64718600595651288</v>
      </c>
      <c r="K13" s="102">
        <f t="shared" si="3"/>
        <v>0.64718600595651288</v>
      </c>
      <c r="L13" s="97" t="str">
        <f>IF(E13=0,"-",IF(F13=0,"Tidak ada laporan",IF(J13&gt;=$E$2,"Sangat Tinggi",IF(J13&gt;=$E$3,"Tinggi",IF(J13&gt;=$E$4,"Sedang","Rendah")))))</f>
        <v>Rendah</v>
      </c>
      <c r="M13" s="99">
        <f t="shared" si="4"/>
        <v>21</v>
      </c>
      <c r="N13" s="101">
        <f>IFERROR($C$2*(SUMIFS(DETAIL!$R$2:$R$137,DETAIL!$B$2:$B$137,$B13,DETAIL!$F$2:$F$137,MONTH(DATE(YEAR(SUMMARY!$C$6),MONTH(SUMMARY!$C$6)+0,1)))/SUMIFS(DETAIL!$M$2:$M$137,DETAIL!$B$2:$B$137,$B13,DETAIL!$F$2:$F$137,MONTH(DATE(YEAR(SUMMARY!$C$6),MONTH(SUMMARY!$C$6)+0,1))))/$C$5+$C$3*(SUMIFS(DETAIL!$T$2:$T$137,DETAIL!$B$2:$B$137,$B13,DETAIL!$F$2:$F$137,MONTH(DATE(YEAR(SUMMARY!$C$6),MONTH(SUMMARY!$C$6)+0,1)))/SUMIFS(DETAIL!$M$2:$M$137,DETAIL!$B$2:$B$137,$B13,DETAIL!$F$2:$F$137,MONTH(DATE(YEAR(SUMMARY!$C$6),MONTH(SUMMARY!$C$6)+0,1))))/$C$6,"-")</f>
        <v>0.6225052861116348</v>
      </c>
      <c r="O13" s="101">
        <f>IFERROR($C$2*(SUMIFS(DETAIL!$R$2:$R$137,DETAIL!$B$2:$B$137,$B13,DETAIL!$F$2:$F$137,MONTH(DATE(YEAR(SUMMARY!$C$6),MONTH(SUMMARY!$C$6)+1,1)))/SUMIFS(DETAIL!$M$2:$M$137,DETAIL!$B$2:$B$137,$B13,DETAIL!$F$2:$F$137,MONTH(DATE(YEAR(SUMMARY!$C$6),MONTH(SUMMARY!$C$6)+1,1))))/$C$5+$C$3*(SUMIFS(DETAIL!$T$2:$T$137,DETAIL!$B$2:$B$137,$B13,DETAIL!$F$2:$F$137,MONTH(DATE(YEAR(SUMMARY!$C$6),MONTH(SUMMARY!$C$6)+1,1)))/SUMIFS(DETAIL!$M$2:$M$137,DETAIL!$B$2:$B$137,$B13,DETAIL!$F$2:$F$137,MONTH(DATE(YEAR(SUMMARY!$C$6),MONTH(SUMMARY!$C$6)+1,1))))/$C$6,"-")</f>
        <v>0.68051237085909533</v>
      </c>
      <c r="P13" s="101">
        <f>IFERROR($C$2*(SUMIFS(DETAIL!$R$2:$R$137,DETAIL!$B$2:$B$137,$B13,DETAIL!$F$2:$F$137,MONTH(DATE(YEAR(SUMMARY!$C$6),MONTH(SUMMARY!$C$6)+2,1)))/SUMIFS(DETAIL!$M$2:$M$137,DETAIL!$B$2:$B$137,$B13,DETAIL!$F$2:$F$137,MONTH(DATE(YEAR(SUMMARY!$C$6),MONTH(SUMMARY!$C$6)+2,1))))/$C$5+$C$3*(SUMIFS(DETAIL!$T$2:$T$137,DETAIL!$B$2:$B$137,$B13,DETAIL!$F$2:$F$137,MONTH(DATE(YEAR(SUMMARY!$C$6),MONTH(SUMMARY!$C$6)+2,1)))/SUMIFS(DETAIL!$M$2:$M$137,DETAIL!$B$2:$B$137,$B13,DETAIL!$F$2:$F$137,MONTH(DATE(YEAR(SUMMARY!$C$6),MONTH(SUMMARY!$C$6)+2,1))))/$C$6,"-")</f>
        <v>0.64459981045298931</v>
      </c>
      <c r="Q13" s="101">
        <f>IFERROR($C$2*(SUMIFS(DETAIL!$R$2:$R$137,DETAIL!$B$2:$B$137,$B13,DETAIL!$F$2:$F$137,MONTH(DATE(YEAR(SUMMARY!$C$6),MONTH(SUMMARY!$C$6)+3,1)))/SUMIFS(DETAIL!$M$2:$M$137,DETAIL!$B$2:$B$137,$B13,DETAIL!$F$2:$F$137,MONTH(DATE(YEAR(SUMMARY!$C$6),MONTH(SUMMARY!$C$6)+3,1))))/$C$5+$C$3*(SUMIFS(DETAIL!$T$2:$T$137,DETAIL!$B$2:$B$137,$B13,DETAIL!$F$2:$F$137,MONTH(DATE(YEAR(SUMMARY!$C$6),MONTH(SUMMARY!$C$6)+3,1)))/SUMIFS(DETAIL!$M$2:$M$137,DETAIL!$B$2:$B$137,$B13,DETAIL!$F$2:$F$137,MONTH(DATE(YEAR(SUMMARY!$C$6),MONTH(SUMMARY!$C$6)+3,1))))/$C$6,"-")</f>
        <v>0.63701535680674537</v>
      </c>
      <c r="R13" s="103">
        <f>IFERROR(INDEX(EVALUASI!$W$79:$W$132,MATCH($B13,EVALUASI!$C$79:$C$132,0)),"-")</f>
        <v>88.2</v>
      </c>
      <c r="S13" s="104" t="str">
        <f>IFERROR(INDEX(EVALUASI!$X$79:$X$132,MATCH($B13,EVALUASI!$C$79:$C$132,0)),"-")</f>
        <v>Baik</v>
      </c>
      <c r="T13" s="105">
        <f t="shared" si="5"/>
        <v>0.64717300595651284</v>
      </c>
    </row>
    <row r="14" spans="1:20" x14ac:dyDescent="0.2">
      <c r="A14" s="97">
        <v>5</v>
      </c>
      <c r="B14" s="98" t="str">
        <f>PEMAGANG!C7</f>
        <v>SYAKIRAH TSALTSA FITRIAH</v>
      </c>
      <c r="C14" s="98" t="str">
        <f>PEMAGANG!D7</f>
        <v>AHMAD JALALUDDIN BASYAR</v>
      </c>
      <c r="D14" s="98" t="str">
        <f>PEMAGANG!F7</f>
        <v>PGS SM OF DIGITAL BUSSINES</v>
      </c>
      <c r="E14" s="99">
        <f>SUMIFS(DETAIL!$M$2:$M$137,DETAIL!$B$2:$B$137,$B14)</f>
        <v>36</v>
      </c>
      <c r="F14" s="99">
        <f>SUMIFS(DETAIL!$R$2:$R$137,DETAIL!$B$2:$B$137,$B14)</f>
        <v>80</v>
      </c>
      <c r="G14" s="100">
        <f>SUMIFS(DETAIL!$T$2:$T$137,DETAIL!$B$2:$B$137,$B14)</f>
        <v>10052</v>
      </c>
      <c r="H14" s="101">
        <f t="shared" si="0"/>
        <v>2.2222222222222223</v>
      </c>
      <c r="I14" s="99">
        <f t="shared" si="1"/>
        <v>279.22222222222223</v>
      </c>
      <c r="J14" s="101">
        <f t="shared" si="2"/>
        <v>2.059061568497218</v>
      </c>
      <c r="K14" s="102">
        <f t="shared" si="3"/>
        <v>1</v>
      </c>
      <c r="L14" s="97" t="str">
        <f>IF(E14=0,"-",IF(F14=0,"Tidak ada laporan",IF(J14&gt;=$E$2,"Sangat Tinggi",IF(J14&gt;=$E$3,"Tinggi",IF(J14&gt;=$E$4,"Sedang","Rendah")))))</f>
        <v>Sangat Tinggi</v>
      </c>
      <c r="M14" s="99">
        <f t="shared" si="4"/>
        <v>2</v>
      </c>
      <c r="N14" s="101" t="str">
        <f>IFERROR($C$2*(SUMIFS(DETAIL!$R$2:$R$137,DETAIL!$B$2:$B$137,$B14,DETAIL!$F$2:$F$137,MONTH(DATE(YEAR(SUMMARY!$C$6),MONTH(SUMMARY!$C$6)+0,1)))/SUMIFS(DETAIL!$M$2:$M$137,DETAIL!$B$2:$B$137,$B14,DETAIL!$F$2:$F$137,MONTH(DATE(YEAR(SUMMARY!$C$6),MONTH(SUMMARY!$C$6)+0,1))))/$C$5+$C$3*(SUMIFS(DETAIL!$T$2:$T$137,DETAIL!$B$2:$B$137,$B14,DETAIL!$F$2:$F$137,MONTH(DATE(YEAR(SUMMARY!$C$6),MONTH(SUMMARY!$C$6)+0,1)))/SUMIFS(DETAIL!$M$2:$M$137,DETAIL!$B$2:$B$137,$B14,DETAIL!$F$2:$F$137,MONTH(DATE(YEAR(SUMMARY!$C$6),MONTH(SUMMARY!$C$6)+0,1))))/$C$6,"-")</f>
        <v>-</v>
      </c>
      <c r="O14" s="101" t="str">
        <f>IFERROR($C$2*(SUMIFS(DETAIL!$R$2:$R$137,DETAIL!$B$2:$B$137,$B14,DETAIL!$F$2:$F$137,MONTH(DATE(YEAR(SUMMARY!$C$6),MONTH(SUMMARY!$C$6)+1,1)))/SUMIFS(DETAIL!$M$2:$M$137,DETAIL!$B$2:$B$137,$B14,DETAIL!$F$2:$F$137,MONTH(DATE(YEAR(SUMMARY!$C$6),MONTH(SUMMARY!$C$6)+1,1))))/$C$5+$C$3*(SUMIFS(DETAIL!$T$2:$T$137,DETAIL!$B$2:$B$137,$B14,DETAIL!$F$2:$F$137,MONTH(DATE(YEAR(SUMMARY!$C$6),MONTH(SUMMARY!$C$6)+1,1)))/SUMIFS(DETAIL!$M$2:$M$137,DETAIL!$B$2:$B$137,$B14,DETAIL!$F$2:$F$137,MONTH(DATE(YEAR(SUMMARY!$C$6),MONTH(SUMMARY!$C$6)+1,1))))/$C$6,"-")</f>
        <v>-</v>
      </c>
      <c r="P14" s="101">
        <f>IFERROR($C$2*(SUMIFS(DETAIL!$R$2:$R$137,DETAIL!$B$2:$B$137,$B14,DETAIL!$F$2:$F$137,MONTH(DATE(YEAR(SUMMARY!$C$6),MONTH(SUMMARY!$C$6)+2,1)))/SUMIFS(DETAIL!$M$2:$M$137,DETAIL!$B$2:$B$137,$B14,DETAIL!$F$2:$F$137,MONTH(DATE(YEAR(SUMMARY!$C$6),MONTH(SUMMARY!$C$6)+2,1))))/$C$5+$C$3*(SUMIFS(DETAIL!$T$2:$T$137,DETAIL!$B$2:$B$137,$B14,DETAIL!$F$2:$F$137,MONTH(DATE(YEAR(SUMMARY!$C$6),MONTH(SUMMARY!$C$6)+2,1)))/SUMIFS(DETAIL!$M$2:$M$137,DETAIL!$B$2:$B$137,$B14,DETAIL!$F$2:$F$137,MONTH(DATE(YEAR(SUMMARY!$C$6),MONTH(SUMMARY!$C$6)+2,1))))/$C$6,"-")</f>
        <v>1.9624054930545292</v>
      </c>
      <c r="Q14" s="101">
        <f>IFERROR($C$2*(SUMIFS(DETAIL!$R$2:$R$137,DETAIL!$B$2:$B$137,$B14,DETAIL!$F$2:$F$137,MONTH(DATE(YEAR(SUMMARY!$C$6),MONTH(SUMMARY!$C$6)+3,1)))/SUMIFS(DETAIL!$M$2:$M$137,DETAIL!$B$2:$B$137,$B14,DETAIL!$F$2:$F$137,MONTH(DATE(YEAR(SUMMARY!$C$6),MONTH(SUMMARY!$C$6)+3,1))))/$C$5+$C$3*(SUMIFS(DETAIL!$T$2:$T$137,DETAIL!$B$2:$B$137,$B14,DETAIL!$F$2:$F$137,MONTH(DATE(YEAR(SUMMARY!$C$6),MONTH(SUMMARY!$C$6)+3,1)))/SUMIFS(DETAIL!$M$2:$M$137,DETAIL!$B$2:$B$137,$B14,DETAIL!$F$2:$F$137,MONTH(DATE(YEAR(SUMMARY!$C$6),MONTH(SUMMARY!$C$6)+3,1))))/$C$6,"-")</f>
        <v>2.1205699801425659</v>
      </c>
      <c r="R14" s="103">
        <f>IFERROR(INDEX(EVALUASI!$W$79:$W$132,MATCH($B14,EVALUASI!$C$79:$C$132,0)),"-")</f>
        <v>97.8</v>
      </c>
      <c r="S14" s="104" t="str">
        <f>IFERROR(INDEX(EVALUASI!$X$79:$X$132,MATCH($B14,EVALUASI!$C$79:$C$132,0)),"-")</f>
        <v>Sangat Baik</v>
      </c>
      <c r="T14" s="105">
        <f t="shared" si="5"/>
        <v>2.0590475684972178</v>
      </c>
    </row>
    <row r="15" spans="1:20" x14ac:dyDescent="0.2">
      <c r="A15" s="97">
        <v>6</v>
      </c>
      <c r="B15" s="98" t="str">
        <f>PEMAGANG!C8</f>
        <v>TIARA MARTHA ASNADHINATA</v>
      </c>
      <c r="C15" s="98" t="str">
        <f>PEMAGANG!D8</f>
        <v>AHMAD JALALUDDIN BASYAR</v>
      </c>
      <c r="D15" s="98" t="str">
        <f>PEMAGANG!F8</f>
        <v>PGS SM OF DIGITAL BUSSINES</v>
      </c>
      <c r="E15" s="99">
        <f>SUMIFS(DETAIL!$M$2:$M$137,DETAIL!$B$2:$B$137,$B15)</f>
        <v>78</v>
      </c>
      <c r="F15" s="99">
        <f>SUMIFS(DETAIL!$R$2:$R$137,DETAIL!$B$2:$B$137,$B15)</f>
        <v>192</v>
      </c>
      <c r="G15" s="100">
        <f>SUMIFS(DETAIL!$T$2:$T$137,DETAIL!$B$2:$B$137,$B15)</f>
        <v>11227</v>
      </c>
      <c r="H15" s="101">
        <f t="shared" si="0"/>
        <v>2.4615384615384617</v>
      </c>
      <c r="I15" s="99">
        <f t="shared" si="1"/>
        <v>143.93589743589743</v>
      </c>
      <c r="J15" s="101">
        <f t="shared" si="2"/>
        <v>1.4297844267291735</v>
      </c>
      <c r="K15" s="102">
        <f t="shared" si="3"/>
        <v>1</v>
      </c>
      <c r="L15" s="97" t="str">
        <f>IF(E15=0,"-",IF(F15=0,"Tidak ada laporan",IF(J15&gt;=$E$2,"Sangat Tinggi",IF(J15&gt;=$E$3,"Tinggi",IF(J15&gt;=$E$4,"Sedang","Rendah")))))</f>
        <v>Tinggi</v>
      </c>
      <c r="M15" s="99">
        <f t="shared" si="4"/>
        <v>7</v>
      </c>
      <c r="N15" s="101">
        <f>IFERROR($C$2*(SUMIFS(DETAIL!$R$2:$R$137,DETAIL!$B$2:$B$137,$B15,DETAIL!$F$2:$F$137,MONTH(DATE(YEAR(SUMMARY!$C$6),MONTH(SUMMARY!$C$6)+0,1)))/SUMIFS(DETAIL!$M$2:$M$137,DETAIL!$B$2:$B$137,$B15,DETAIL!$F$2:$F$137,MONTH(DATE(YEAR(SUMMARY!$C$6),MONTH(SUMMARY!$C$6)+0,1))))/$C$5+$C$3*(SUMIFS(DETAIL!$T$2:$T$137,DETAIL!$B$2:$B$137,$B15,DETAIL!$F$2:$F$137,MONTH(DATE(YEAR(SUMMARY!$C$6),MONTH(SUMMARY!$C$6)+0,1)))/SUMIFS(DETAIL!$M$2:$M$137,DETAIL!$B$2:$B$137,$B15,DETAIL!$F$2:$F$137,MONTH(DATE(YEAR(SUMMARY!$C$6),MONTH(SUMMARY!$C$6)+0,1))))/$C$6,"-")</f>
        <v>1.2367346102684791</v>
      </c>
      <c r="O15" s="101">
        <f>IFERROR($C$2*(SUMIFS(DETAIL!$R$2:$R$137,DETAIL!$B$2:$B$137,$B15,DETAIL!$F$2:$F$137,MONTH(DATE(YEAR(SUMMARY!$C$6),MONTH(SUMMARY!$C$6)+1,1)))/SUMIFS(DETAIL!$M$2:$M$137,DETAIL!$B$2:$B$137,$B15,DETAIL!$F$2:$F$137,MONTH(DATE(YEAR(SUMMARY!$C$6),MONTH(SUMMARY!$C$6)+1,1))))/$C$5+$C$3*(SUMIFS(DETAIL!$T$2:$T$137,DETAIL!$B$2:$B$137,$B15,DETAIL!$F$2:$F$137,MONTH(DATE(YEAR(SUMMARY!$C$6),MONTH(SUMMARY!$C$6)+1,1)))/SUMIFS(DETAIL!$M$2:$M$137,DETAIL!$B$2:$B$137,$B15,DETAIL!$F$2:$F$137,MONTH(DATE(YEAR(SUMMARY!$C$6),MONTH(SUMMARY!$C$6)+1,1))))/$C$6,"-")</f>
        <v>1.8204366727455654</v>
      </c>
      <c r="P15" s="101">
        <f>IFERROR($C$2*(SUMIFS(DETAIL!$R$2:$R$137,DETAIL!$B$2:$B$137,$B15,DETAIL!$F$2:$F$137,MONTH(DATE(YEAR(SUMMARY!$C$6),MONTH(SUMMARY!$C$6)+2,1)))/SUMIFS(DETAIL!$M$2:$M$137,DETAIL!$B$2:$B$137,$B15,DETAIL!$F$2:$F$137,MONTH(DATE(YEAR(SUMMARY!$C$6),MONTH(SUMMARY!$C$6)+2,1))))/$C$5+$C$3*(SUMIFS(DETAIL!$T$2:$T$137,DETAIL!$B$2:$B$137,$B15,DETAIL!$F$2:$F$137,MONTH(DATE(YEAR(SUMMARY!$C$6),MONTH(SUMMARY!$C$6)+2,1)))/SUMIFS(DETAIL!$M$2:$M$137,DETAIL!$B$2:$B$137,$B15,DETAIL!$F$2:$F$137,MONTH(DATE(YEAR(SUMMARY!$C$6),MONTH(SUMMARY!$C$6)+2,1))))/$C$6,"-")</f>
        <v>1.5305949337409868</v>
      </c>
      <c r="Q15" s="101">
        <f>IFERROR($C$2*(SUMIFS(DETAIL!$R$2:$R$137,DETAIL!$B$2:$B$137,$B15,DETAIL!$F$2:$F$137,MONTH(DATE(YEAR(SUMMARY!$C$6),MONTH(SUMMARY!$C$6)+3,1)))/SUMIFS(DETAIL!$M$2:$M$137,DETAIL!$B$2:$B$137,$B15,DETAIL!$F$2:$F$137,MONTH(DATE(YEAR(SUMMARY!$C$6),MONTH(SUMMARY!$C$6)+3,1))))/$C$5+$C$3*(SUMIFS(DETAIL!$T$2:$T$137,DETAIL!$B$2:$B$137,$B15,DETAIL!$F$2:$F$137,MONTH(DATE(YEAR(SUMMARY!$C$6),MONTH(SUMMARY!$C$6)+3,1)))/SUMIFS(DETAIL!$M$2:$M$137,DETAIL!$B$2:$B$137,$B15,DETAIL!$F$2:$F$137,MONTH(DATE(YEAR(SUMMARY!$C$6),MONTH(SUMMARY!$C$6)+3,1))))/$C$6,"-")</f>
        <v>1.2031783710340007</v>
      </c>
      <c r="R15" s="103">
        <f>IFERROR(INDEX(EVALUASI!$W$79:$W$132,MATCH($B15,EVALUASI!$C$79:$C$132,0)),"-")</f>
        <v>96.2</v>
      </c>
      <c r="S15" s="104" t="str">
        <f>IFERROR(INDEX(EVALUASI!$X$79:$X$132,MATCH($B15,EVALUASI!$C$79:$C$132,0)),"-")</f>
        <v>Sangat Baik</v>
      </c>
      <c r="T15" s="105">
        <f t="shared" si="5"/>
        <v>1.4297694267291734</v>
      </c>
    </row>
    <row r="16" spans="1:20" x14ac:dyDescent="0.2">
      <c r="A16" s="97">
        <v>7</v>
      </c>
      <c r="B16" s="98" t="str">
        <f>PEMAGANG!C9</f>
        <v>WIDIYA DESY MAWAR SARI</v>
      </c>
      <c r="C16" s="98" t="str">
        <f>PEMAGANG!D9</f>
        <v>AHMAD JALALUDDIN BASYAR</v>
      </c>
      <c r="D16" s="98" t="str">
        <f>PEMAGANG!F9</f>
        <v>PGS SM OF DIGITAL BUSSINES</v>
      </c>
      <c r="E16" s="99">
        <f>SUMIFS(DETAIL!$M$2:$M$137,DETAIL!$B$2:$B$137,$B16)</f>
        <v>74</v>
      </c>
      <c r="F16" s="99">
        <f>SUMIFS(DETAIL!$R$2:$R$137,DETAIL!$B$2:$B$137,$B16)</f>
        <v>62</v>
      </c>
      <c r="G16" s="100">
        <f>SUMIFS(DETAIL!$T$2:$T$137,DETAIL!$B$2:$B$137,$B16)</f>
        <v>650</v>
      </c>
      <c r="H16" s="101">
        <f t="shared" si="0"/>
        <v>0.83783783783783783</v>
      </c>
      <c r="I16" s="99">
        <f t="shared" si="1"/>
        <v>8.7837837837837842</v>
      </c>
      <c r="J16" s="101">
        <f t="shared" si="2"/>
        <v>0.2797242684723949</v>
      </c>
      <c r="K16" s="102">
        <f t="shared" si="3"/>
        <v>0.2797242684723949</v>
      </c>
      <c r="L16" s="97" t="str">
        <f>IF(E16=0,"-",IF(F16=0,"Tidak ada laporan",IF(J16&gt;=$E$2,"Sangat Tinggi",IF(J16&gt;=$E$3,"Tinggi",IF(J16&gt;=$E$4,"Sedang","Rendah")))))</f>
        <v>Rendah</v>
      </c>
      <c r="M16" s="99">
        <f t="shared" si="4"/>
        <v>33</v>
      </c>
      <c r="N16" s="101">
        <f>IFERROR($C$2*(SUMIFS(DETAIL!$R$2:$R$137,DETAIL!$B$2:$B$137,$B16,DETAIL!$F$2:$F$137,MONTH(DATE(YEAR(SUMMARY!$C$6),MONTH(SUMMARY!$C$6)+0,1)))/SUMIFS(DETAIL!$M$2:$M$137,DETAIL!$B$2:$B$137,$B16,DETAIL!$F$2:$F$137,MONTH(DATE(YEAR(SUMMARY!$C$6),MONTH(SUMMARY!$C$6)+0,1))))/$C$5+$C$3*(SUMIFS(DETAIL!$T$2:$T$137,DETAIL!$B$2:$B$137,$B16,DETAIL!$F$2:$F$137,MONTH(DATE(YEAR(SUMMARY!$C$6),MONTH(SUMMARY!$C$6)+0,1)))/SUMIFS(DETAIL!$M$2:$M$137,DETAIL!$B$2:$B$137,$B16,DETAIL!$F$2:$F$137,MONTH(DATE(YEAR(SUMMARY!$C$6),MONTH(SUMMARY!$C$6)+0,1))))/$C$6,"-")</f>
        <v>0.23586128897403358</v>
      </c>
      <c r="O16" s="101">
        <f>IFERROR($C$2*(SUMIFS(DETAIL!$R$2:$R$137,DETAIL!$B$2:$B$137,$B16,DETAIL!$F$2:$F$137,MONTH(DATE(YEAR(SUMMARY!$C$6),MONTH(SUMMARY!$C$6)+1,1)))/SUMIFS(DETAIL!$M$2:$M$137,DETAIL!$B$2:$B$137,$B16,DETAIL!$F$2:$F$137,MONTH(DATE(YEAR(SUMMARY!$C$6),MONTH(SUMMARY!$C$6)+1,1))))/$C$5+$C$3*(SUMIFS(DETAIL!$T$2:$T$137,DETAIL!$B$2:$B$137,$B16,DETAIL!$F$2:$F$137,MONTH(DATE(YEAR(SUMMARY!$C$6),MONTH(SUMMARY!$C$6)+1,1)))/SUMIFS(DETAIL!$M$2:$M$137,DETAIL!$B$2:$B$137,$B16,DETAIL!$F$2:$F$137,MONTH(DATE(YEAR(SUMMARY!$C$6),MONTH(SUMMARY!$C$6)+1,1))))/$C$6,"-")</f>
        <v>0.26621602759417679</v>
      </c>
      <c r="P16" s="101">
        <f>IFERROR($C$2*(SUMIFS(DETAIL!$R$2:$R$137,DETAIL!$B$2:$B$137,$B16,DETAIL!$F$2:$F$137,MONTH(DATE(YEAR(SUMMARY!$C$6),MONTH(SUMMARY!$C$6)+2,1)))/SUMIFS(DETAIL!$M$2:$M$137,DETAIL!$B$2:$B$137,$B16,DETAIL!$F$2:$F$137,MONTH(DATE(YEAR(SUMMARY!$C$6),MONTH(SUMMARY!$C$6)+2,1))))/$C$5+$C$3*(SUMIFS(DETAIL!$T$2:$T$137,DETAIL!$B$2:$B$137,$B16,DETAIL!$F$2:$F$137,MONTH(DATE(YEAR(SUMMARY!$C$6),MONTH(SUMMARY!$C$6)+2,1)))/SUMIFS(DETAIL!$M$2:$M$137,DETAIL!$B$2:$B$137,$B16,DETAIL!$F$2:$F$137,MONTH(DATE(YEAR(SUMMARY!$C$6),MONTH(SUMMARY!$C$6)+2,1))))/$C$6,"-")</f>
        <v>0.27715581270846967</v>
      </c>
      <c r="Q16" s="101">
        <f>IFERROR($C$2*(SUMIFS(DETAIL!$R$2:$R$137,DETAIL!$B$2:$B$137,$B16,DETAIL!$F$2:$F$137,MONTH(DATE(YEAR(SUMMARY!$C$6),MONTH(SUMMARY!$C$6)+3,1)))/SUMIFS(DETAIL!$M$2:$M$137,DETAIL!$B$2:$B$137,$B16,DETAIL!$F$2:$F$137,MONTH(DATE(YEAR(SUMMARY!$C$6),MONTH(SUMMARY!$C$6)+3,1))))/$C$5+$C$3*(SUMIFS(DETAIL!$T$2:$T$137,DETAIL!$B$2:$B$137,$B16,DETAIL!$F$2:$F$137,MONTH(DATE(YEAR(SUMMARY!$C$6),MONTH(SUMMARY!$C$6)+3,1)))/SUMIFS(DETAIL!$M$2:$M$137,DETAIL!$B$2:$B$137,$B16,DETAIL!$F$2:$F$137,MONTH(DATE(YEAR(SUMMARY!$C$6),MONTH(SUMMARY!$C$6)+3,1))))/$C$6,"-")</f>
        <v>0.33008751388112001</v>
      </c>
      <c r="R16" s="103">
        <f>IFERROR(INDEX(EVALUASI!$W$79:$W$132,MATCH($B16,EVALUASI!$C$79:$C$132,0)),"-")</f>
        <v>65.400000000000006</v>
      </c>
      <c r="S16" s="104" t="str">
        <f>IFERROR(INDEX(EVALUASI!$X$79:$X$132,MATCH($B16,EVALUASI!$C$79:$C$132,0)),"-")</f>
        <v>Perlu Pembinaan</v>
      </c>
      <c r="T16" s="105">
        <f t="shared" si="5"/>
        <v>0.27970826847239488</v>
      </c>
    </row>
    <row r="17" spans="1:20" x14ac:dyDescent="0.2">
      <c r="A17" s="97">
        <v>8</v>
      </c>
      <c r="B17" s="98" t="str">
        <f>PEMAGANG!C10</f>
        <v>NURIKA AMELIA ROSYIDAH</v>
      </c>
      <c r="C17" s="98" t="str">
        <f>PEMAGANG!D10</f>
        <v>AKHMAT ABIDIN</v>
      </c>
      <c r="D17" s="98" t="str">
        <f>PEMAGANG!F10</f>
        <v>PJ GM OF MARKETING (SID)</v>
      </c>
      <c r="E17" s="99">
        <f>SUMIFS(DETAIL!$M$2:$M$137,DETAIL!$B$2:$B$137,$B17)</f>
        <v>54</v>
      </c>
      <c r="F17" s="99">
        <f>SUMIFS(DETAIL!$R$2:$R$137,DETAIL!$B$2:$B$137,$B17)</f>
        <v>91</v>
      </c>
      <c r="G17" s="100">
        <f>SUMIFS(DETAIL!$T$2:$T$137,DETAIL!$B$2:$B$137,$B17)</f>
        <v>6650</v>
      </c>
      <c r="H17" s="101">
        <f t="shared" si="0"/>
        <v>1.6851851851851851</v>
      </c>
      <c r="I17" s="99">
        <f t="shared" si="1"/>
        <v>123.14814814814815</v>
      </c>
      <c r="J17" s="101">
        <f t="shared" si="2"/>
        <v>1.1054906614530671</v>
      </c>
      <c r="K17" s="102">
        <f t="shared" si="3"/>
        <v>1</v>
      </c>
      <c r="L17" s="97" t="str">
        <f>IF(E17=0,"-",IF(F17=0,"Tidak ada laporan",IF(J17&gt;=$E$2,"Sangat Tinggi",IF(J17&gt;=$E$3,"Tinggi",IF(J17&gt;=$E$4,"Sedang","Rendah")))))</f>
        <v>Tinggi</v>
      </c>
      <c r="M17" s="99">
        <f t="shared" si="4"/>
        <v>11</v>
      </c>
      <c r="N17" s="101">
        <f>IFERROR($C$2*(SUMIFS(DETAIL!$R$2:$R$137,DETAIL!$B$2:$B$137,$B17,DETAIL!$F$2:$F$137,MONTH(DATE(YEAR(SUMMARY!$C$6),MONTH(SUMMARY!$C$6)+0,1)))/SUMIFS(DETAIL!$M$2:$M$137,DETAIL!$B$2:$B$137,$B17,DETAIL!$F$2:$F$137,MONTH(DATE(YEAR(SUMMARY!$C$6),MONTH(SUMMARY!$C$6)+0,1))))/$C$5+$C$3*(SUMIFS(DETAIL!$T$2:$T$137,DETAIL!$B$2:$B$137,$B17,DETAIL!$F$2:$F$137,MONTH(DATE(YEAR(SUMMARY!$C$6),MONTH(SUMMARY!$C$6)+0,1)))/SUMIFS(DETAIL!$M$2:$M$137,DETAIL!$B$2:$B$137,$B17,DETAIL!$F$2:$F$137,MONTH(DATE(YEAR(SUMMARY!$C$6),MONTH(SUMMARY!$C$6)+0,1))))/$C$6,"-")</f>
        <v>0.87067698731353949</v>
      </c>
      <c r="O17" s="101">
        <f>IFERROR($C$2*(SUMIFS(DETAIL!$R$2:$R$137,DETAIL!$B$2:$B$137,$B17,DETAIL!$F$2:$F$137,MONTH(DATE(YEAR(SUMMARY!$C$6),MONTH(SUMMARY!$C$6)+1,1)))/SUMIFS(DETAIL!$M$2:$M$137,DETAIL!$B$2:$B$137,$B17,DETAIL!$F$2:$F$137,MONTH(DATE(YEAR(SUMMARY!$C$6),MONTH(SUMMARY!$C$6)+1,1))))/$C$5+$C$3*(SUMIFS(DETAIL!$T$2:$T$137,DETAIL!$B$2:$B$137,$B17,DETAIL!$F$2:$F$137,MONTH(DATE(YEAR(SUMMARY!$C$6),MONTH(SUMMARY!$C$6)+1,1)))/SUMIFS(DETAIL!$M$2:$M$137,DETAIL!$B$2:$B$137,$B17,DETAIL!$F$2:$F$137,MONTH(DATE(YEAR(SUMMARY!$C$6),MONTH(SUMMARY!$C$6)+1,1))))/$C$6,"-")</f>
        <v>1.3976697988427711</v>
      </c>
      <c r="P17" s="101">
        <f>IFERROR($C$2*(SUMIFS(DETAIL!$R$2:$R$137,DETAIL!$B$2:$B$137,$B17,DETAIL!$F$2:$F$137,MONTH(DATE(YEAR(SUMMARY!$C$6),MONTH(SUMMARY!$C$6)+2,1)))/SUMIFS(DETAIL!$M$2:$M$137,DETAIL!$B$2:$B$137,$B17,DETAIL!$F$2:$F$137,MONTH(DATE(YEAR(SUMMARY!$C$6),MONTH(SUMMARY!$C$6)+2,1))))/$C$5+$C$3*(SUMIFS(DETAIL!$T$2:$T$137,DETAIL!$B$2:$B$137,$B17,DETAIL!$F$2:$F$137,MONTH(DATE(YEAR(SUMMARY!$C$6),MONTH(SUMMARY!$C$6)+2,1)))/SUMIFS(DETAIL!$M$2:$M$137,DETAIL!$B$2:$B$137,$B17,DETAIL!$F$2:$F$137,MONTH(DATE(YEAR(SUMMARY!$C$6),MONTH(SUMMARY!$C$6)+2,1))))/$C$6,"-")</f>
        <v>0.93855802168175129</v>
      </c>
      <c r="Q17" s="101" t="str">
        <f>IFERROR($C$2*(SUMIFS(DETAIL!$R$2:$R$137,DETAIL!$B$2:$B$137,$B17,DETAIL!$F$2:$F$137,MONTH(DATE(YEAR(SUMMARY!$C$6),MONTH(SUMMARY!$C$6)+3,1)))/SUMIFS(DETAIL!$M$2:$M$137,DETAIL!$B$2:$B$137,$B17,DETAIL!$F$2:$F$137,MONTH(DATE(YEAR(SUMMARY!$C$6),MONTH(SUMMARY!$C$6)+3,1))))/$C$5+$C$3*(SUMIFS(DETAIL!$T$2:$T$137,DETAIL!$B$2:$B$137,$B17,DETAIL!$F$2:$F$137,MONTH(DATE(YEAR(SUMMARY!$C$6),MONTH(SUMMARY!$C$6)+3,1)))/SUMIFS(DETAIL!$M$2:$M$137,DETAIL!$B$2:$B$137,$B17,DETAIL!$F$2:$F$137,MONTH(DATE(YEAR(SUMMARY!$C$6),MONTH(SUMMARY!$C$6)+3,1))))/$C$6,"-")</f>
        <v>-</v>
      </c>
      <c r="R17" s="103">
        <f>IFERROR(INDEX(EVALUASI!$W$79:$W$132,MATCH($B17,EVALUASI!$C$79:$C$132,0)),"-")</f>
        <v>95.5</v>
      </c>
      <c r="S17" s="104" t="str">
        <f>IFERROR(INDEX(EVALUASI!$X$79:$X$132,MATCH($B17,EVALUASI!$C$79:$C$132,0)),"-")</f>
        <v>Sangat Baik</v>
      </c>
      <c r="T17" s="105">
        <f t="shared" si="5"/>
        <v>1.1054736614530671</v>
      </c>
    </row>
    <row r="18" spans="1:20" x14ac:dyDescent="0.2">
      <c r="A18" s="97">
        <v>9</v>
      </c>
      <c r="B18" s="98" t="str">
        <f>PEMAGANG!C11</f>
        <v>JANU PRASTYO</v>
      </c>
      <c r="C18" s="98" t="str">
        <f>PEMAGANG!D11</f>
        <v>ARIFANO KUSUMA BAYU</v>
      </c>
      <c r="D18" s="98" t="str">
        <f>PEMAGANG!F11</f>
        <v>PGS SM OF DIGITAL BUSSINES</v>
      </c>
      <c r="E18" s="99">
        <f>SUMIFS(DETAIL!$M$2:$M$137,DETAIL!$B$2:$B$137,$B18)</f>
        <v>77</v>
      </c>
      <c r="F18" s="99">
        <f>SUMIFS(DETAIL!$R$2:$R$137,DETAIL!$B$2:$B$137,$B18)</f>
        <v>207</v>
      </c>
      <c r="G18" s="100">
        <f>SUMIFS(DETAIL!$T$2:$T$137,DETAIL!$B$2:$B$137,$B18)</f>
        <v>11664</v>
      </c>
      <c r="H18" s="101">
        <f t="shared" si="0"/>
        <v>2.6883116883116882</v>
      </c>
      <c r="I18" s="99">
        <f t="shared" si="1"/>
        <v>151.48051948051949</v>
      </c>
      <c r="J18" s="101">
        <f t="shared" si="2"/>
        <v>1.5320892216427868</v>
      </c>
      <c r="K18" s="102">
        <f t="shared" si="3"/>
        <v>1</v>
      </c>
      <c r="L18" s="97" t="str">
        <f>IF(E18=0,"-",IF(F18=0,"Tidak ada laporan",IF(J18&gt;=$E$2,"Sangat Tinggi",IF(J18&gt;=$E$3,"Tinggi",IF(J18&gt;=$E$4,"Sedang","Rendah")))))</f>
        <v>Sangat Tinggi</v>
      </c>
      <c r="M18" s="99">
        <f t="shared" si="4"/>
        <v>5</v>
      </c>
      <c r="N18" s="101">
        <f>IFERROR($C$2*(SUMIFS(DETAIL!$R$2:$R$137,DETAIL!$B$2:$B$137,$B18,DETAIL!$F$2:$F$137,MONTH(DATE(YEAR(SUMMARY!$C$6),MONTH(SUMMARY!$C$6)+0,1)))/SUMIFS(DETAIL!$M$2:$M$137,DETAIL!$B$2:$B$137,$B18,DETAIL!$F$2:$F$137,MONTH(DATE(YEAR(SUMMARY!$C$6),MONTH(SUMMARY!$C$6)+0,1))))/$C$5+$C$3*(SUMIFS(DETAIL!$T$2:$T$137,DETAIL!$B$2:$B$137,$B18,DETAIL!$F$2:$F$137,MONTH(DATE(YEAR(SUMMARY!$C$6),MONTH(SUMMARY!$C$6)+0,1)))/SUMIFS(DETAIL!$M$2:$M$137,DETAIL!$B$2:$B$137,$B18,DETAIL!$F$2:$F$137,MONTH(DATE(YEAR(SUMMARY!$C$6),MONTH(SUMMARY!$C$6)+0,1))))/$C$6,"-")</f>
        <v>0.90029684770419427</v>
      </c>
      <c r="O18" s="101">
        <f>IFERROR($C$2*(SUMIFS(DETAIL!$R$2:$R$137,DETAIL!$B$2:$B$137,$B18,DETAIL!$F$2:$F$137,MONTH(DATE(YEAR(SUMMARY!$C$6),MONTH(SUMMARY!$C$6)+1,1)))/SUMIFS(DETAIL!$M$2:$M$137,DETAIL!$B$2:$B$137,$B18,DETAIL!$F$2:$F$137,MONTH(DATE(YEAR(SUMMARY!$C$6),MONTH(SUMMARY!$C$6)+1,1))))/$C$5+$C$3*(SUMIFS(DETAIL!$T$2:$T$137,DETAIL!$B$2:$B$137,$B18,DETAIL!$F$2:$F$137,MONTH(DATE(YEAR(SUMMARY!$C$6),MONTH(SUMMARY!$C$6)+1,1)))/SUMIFS(DETAIL!$M$2:$M$137,DETAIL!$B$2:$B$137,$B18,DETAIL!$F$2:$F$137,MONTH(DATE(YEAR(SUMMARY!$C$6),MONTH(SUMMARY!$C$6)+1,1))))/$C$6,"-")</f>
        <v>1.5975467571951476</v>
      </c>
      <c r="P18" s="101">
        <f>IFERROR($C$2*(SUMIFS(DETAIL!$R$2:$R$137,DETAIL!$B$2:$B$137,$B18,DETAIL!$F$2:$F$137,MONTH(DATE(YEAR(SUMMARY!$C$6),MONTH(SUMMARY!$C$6)+2,1)))/SUMIFS(DETAIL!$M$2:$M$137,DETAIL!$B$2:$B$137,$B18,DETAIL!$F$2:$F$137,MONTH(DATE(YEAR(SUMMARY!$C$6),MONTH(SUMMARY!$C$6)+2,1))))/$C$5+$C$3*(SUMIFS(DETAIL!$T$2:$T$137,DETAIL!$B$2:$B$137,$B18,DETAIL!$F$2:$F$137,MONTH(DATE(YEAR(SUMMARY!$C$6),MONTH(SUMMARY!$C$6)+2,1)))/SUMIFS(DETAIL!$M$2:$M$137,DETAIL!$B$2:$B$137,$B18,DETAIL!$F$2:$F$137,MONTH(DATE(YEAR(SUMMARY!$C$6),MONTH(SUMMARY!$C$6)+2,1))))/$C$6,"-")</f>
        <v>2.0897842522885015</v>
      </c>
      <c r="Q18" s="101">
        <f>IFERROR($C$2*(SUMIFS(DETAIL!$R$2:$R$137,DETAIL!$B$2:$B$137,$B18,DETAIL!$F$2:$F$137,MONTH(DATE(YEAR(SUMMARY!$C$6),MONTH(SUMMARY!$C$6)+3,1)))/SUMIFS(DETAIL!$M$2:$M$137,DETAIL!$B$2:$B$137,$B18,DETAIL!$F$2:$F$137,MONTH(DATE(YEAR(SUMMARY!$C$6),MONTH(SUMMARY!$C$6)+3,1))))/$C$5+$C$3*(SUMIFS(DETAIL!$T$2:$T$137,DETAIL!$B$2:$B$137,$B18,DETAIL!$F$2:$F$137,MONTH(DATE(YEAR(SUMMARY!$C$6),MONTH(SUMMARY!$C$6)+3,1)))/SUMIFS(DETAIL!$M$2:$M$137,DETAIL!$B$2:$B$137,$B18,DETAIL!$F$2:$F$137,MONTH(DATE(YEAR(SUMMARY!$C$6),MONTH(SUMMARY!$C$6)+3,1))))/$C$6,"-")</f>
        <v>1.5996654734145237</v>
      </c>
      <c r="R18" s="103">
        <f>IFERROR(INDEX(EVALUASI!$W$79:$W$132,MATCH($B18,EVALUASI!$C$79:$C$132,0)),"-")</f>
        <v>90.9</v>
      </c>
      <c r="S18" s="104" t="str">
        <f>IFERROR(INDEX(EVALUASI!$X$79:$X$132,MATCH($B18,EVALUASI!$C$79:$C$132,0)),"-")</f>
        <v>Sangat Baik</v>
      </c>
      <c r="T18" s="105">
        <f t="shared" si="5"/>
        <v>1.5320712216427868</v>
      </c>
    </row>
    <row r="19" spans="1:20" x14ac:dyDescent="0.2">
      <c r="A19" s="97">
        <v>10</v>
      </c>
      <c r="B19" s="98" t="str">
        <f>PEMAGANG!C12</f>
        <v>DINDA RAHADATUL AISY</v>
      </c>
      <c r="C19" s="98" t="str">
        <f>PEMAGANG!D12</f>
        <v>DIAN RIZKA SARI</v>
      </c>
      <c r="D19" s="98" t="str">
        <f>PEMAGANG!F12</f>
        <v>PGS TREASURY (SID) OFFICER</v>
      </c>
      <c r="E19" s="99">
        <f>SUMIFS(DETAIL!$M$2:$M$137,DETAIL!$B$2:$B$137,$B19)</f>
        <v>42</v>
      </c>
      <c r="F19" s="99">
        <f>SUMIFS(DETAIL!$R$2:$R$137,DETAIL!$B$2:$B$137,$B19)</f>
        <v>43</v>
      </c>
      <c r="G19" s="100">
        <f>SUMIFS(DETAIL!$T$2:$T$137,DETAIL!$B$2:$B$137,$B19)</f>
        <v>1939</v>
      </c>
      <c r="H19" s="101">
        <f t="shared" si="0"/>
        <v>1.0238095238095237</v>
      </c>
      <c r="I19" s="99">
        <f t="shared" si="1"/>
        <v>46.166666666666664</v>
      </c>
      <c r="J19" s="101">
        <f t="shared" si="2"/>
        <v>0.52417377709317292</v>
      </c>
      <c r="K19" s="102">
        <f t="shared" si="3"/>
        <v>0.52417377709317292</v>
      </c>
      <c r="L19" s="97" t="str">
        <f>IF(E19=0,"-",IF(F19=0,"Tidak ada laporan",IF(J19&gt;=$E$2,"Sangat Tinggi",IF(J19&gt;=$E$3,"Tinggi",IF(J19&gt;=$E$4,"Sedang","Rendah")))))</f>
        <v>Rendah</v>
      </c>
      <c r="M19" s="99">
        <f t="shared" si="4"/>
        <v>26</v>
      </c>
      <c r="N19" s="101" t="str">
        <f>IFERROR($C$2*(SUMIFS(DETAIL!$R$2:$R$137,DETAIL!$B$2:$B$137,$B19,DETAIL!$F$2:$F$137,MONTH(DATE(YEAR(SUMMARY!$C$6),MONTH(SUMMARY!$C$6)+0,1)))/SUMIFS(DETAIL!$M$2:$M$137,DETAIL!$B$2:$B$137,$B19,DETAIL!$F$2:$F$137,MONTH(DATE(YEAR(SUMMARY!$C$6),MONTH(SUMMARY!$C$6)+0,1))))/$C$5+$C$3*(SUMIFS(DETAIL!$T$2:$T$137,DETAIL!$B$2:$B$137,$B19,DETAIL!$F$2:$F$137,MONTH(DATE(YEAR(SUMMARY!$C$6),MONTH(SUMMARY!$C$6)+0,1)))/SUMIFS(DETAIL!$M$2:$M$137,DETAIL!$B$2:$B$137,$B19,DETAIL!$F$2:$F$137,MONTH(DATE(YEAR(SUMMARY!$C$6),MONTH(SUMMARY!$C$6)+0,1))))/$C$6,"-")</f>
        <v>-</v>
      </c>
      <c r="O19" s="101">
        <f>IFERROR($C$2*(SUMIFS(DETAIL!$R$2:$R$137,DETAIL!$B$2:$B$137,$B19,DETAIL!$F$2:$F$137,MONTH(DATE(YEAR(SUMMARY!$C$6),MONTH(SUMMARY!$C$6)+1,1)))/SUMIFS(DETAIL!$M$2:$M$137,DETAIL!$B$2:$B$137,$B19,DETAIL!$F$2:$F$137,MONTH(DATE(YEAR(SUMMARY!$C$6),MONTH(SUMMARY!$C$6)+1,1))))/$C$5+$C$3*(SUMIFS(DETAIL!$T$2:$T$137,DETAIL!$B$2:$B$137,$B19,DETAIL!$F$2:$F$137,MONTH(DATE(YEAR(SUMMARY!$C$6),MONTH(SUMMARY!$C$6)+1,1)))/SUMIFS(DETAIL!$M$2:$M$137,DETAIL!$B$2:$B$137,$B19,DETAIL!$F$2:$F$137,MONTH(DATE(YEAR(SUMMARY!$C$6),MONTH(SUMMARY!$C$6)+1,1))))/$C$6,"-")</f>
        <v>0.50884862224615424</v>
      </c>
      <c r="P19" s="101">
        <f>IFERROR($C$2*(SUMIFS(DETAIL!$R$2:$R$137,DETAIL!$B$2:$B$137,$B19,DETAIL!$F$2:$F$137,MONTH(DATE(YEAR(SUMMARY!$C$6),MONTH(SUMMARY!$C$6)+2,1)))/SUMIFS(DETAIL!$M$2:$M$137,DETAIL!$B$2:$B$137,$B19,DETAIL!$F$2:$F$137,MONTH(DATE(YEAR(SUMMARY!$C$6),MONTH(SUMMARY!$C$6)+2,1))))/$C$5+$C$3*(SUMIFS(DETAIL!$T$2:$T$137,DETAIL!$B$2:$B$137,$B19,DETAIL!$F$2:$F$137,MONTH(DATE(YEAR(SUMMARY!$C$6),MONTH(SUMMARY!$C$6)+2,1)))/SUMIFS(DETAIL!$M$2:$M$137,DETAIL!$B$2:$B$137,$B19,DETAIL!$F$2:$F$137,MONTH(DATE(YEAR(SUMMARY!$C$6),MONTH(SUMMARY!$C$6)+2,1))))/$C$6,"-")</f>
        <v>0.53602694090693981</v>
      </c>
      <c r="Q19" s="101">
        <f>IFERROR($C$2*(SUMIFS(DETAIL!$R$2:$R$137,DETAIL!$B$2:$B$137,$B19,DETAIL!$F$2:$F$137,MONTH(DATE(YEAR(SUMMARY!$C$6),MONTH(SUMMARY!$C$6)+3,1)))/SUMIFS(DETAIL!$M$2:$M$137,DETAIL!$B$2:$B$137,$B19,DETAIL!$F$2:$F$137,MONTH(DATE(YEAR(SUMMARY!$C$6),MONTH(SUMMARY!$C$6)+3,1))))/$C$5+$C$3*(SUMIFS(DETAIL!$T$2:$T$137,DETAIL!$B$2:$B$137,$B19,DETAIL!$F$2:$F$137,MONTH(DATE(YEAR(SUMMARY!$C$6),MONTH(SUMMARY!$C$6)+3,1)))/SUMIFS(DETAIL!$M$2:$M$137,DETAIL!$B$2:$B$137,$B19,DETAIL!$F$2:$F$137,MONTH(DATE(YEAR(SUMMARY!$C$6),MONTH(SUMMARY!$C$6)+3,1))))/$C$6,"-")</f>
        <v>0.51893890482067806</v>
      </c>
      <c r="R19" s="103">
        <f>IFERROR(INDEX(EVALUASI!$W$79:$W$132,MATCH($B19,EVALUASI!$C$79:$C$132,0)),"-")</f>
        <v>81.400000000000006</v>
      </c>
      <c r="S19" s="104" t="str">
        <f>IFERROR(INDEX(EVALUASI!$X$79:$X$132,MATCH($B19,EVALUASI!$C$79:$C$132,0)),"-")</f>
        <v>Baik</v>
      </c>
      <c r="T19" s="105">
        <f t="shared" si="5"/>
        <v>0.52415477709317293</v>
      </c>
    </row>
    <row r="20" spans="1:20" x14ac:dyDescent="0.2">
      <c r="A20" s="97">
        <v>11</v>
      </c>
      <c r="B20" s="98" t="str">
        <f>PEMAGANG!C13</f>
        <v>NIKEN AURELIA SAPUTRI</v>
      </c>
      <c r="C20" s="98" t="str">
        <f>PEMAGANG!D13</f>
        <v>DIAN RIZKA SARI</v>
      </c>
      <c r="D20" s="98" t="str">
        <f>PEMAGANG!F13</f>
        <v>PGS TREASURY (SID) OFFICER</v>
      </c>
      <c r="E20" s="99">
        <f>SUMIFS(DETAIL!$M$2:$M$137,DETAIL!$B$2:$B$137,$B20)</f>
        <v>16</v>
      </c>
      <c r="F20" s="99">
        <f>SUMIFS(DETAIL!$R$2:$R$137,DETAIL!$B$2:$B$137,$B20)</f>
        <v>17</v>
      </c>
      <c r="G20" s="100">
        <f>SUMIFS(DETAIL!$T$2:$T$137,DETAIL!$B$2:$B$137,$B20)</f>
        <v>377</v>
      </c>
      <c r="H20" s="101">
        <f t="shared" si="0"/>
        <v>1.0625</v>
      </c>
      <c r="I20" s="99">
        <f t="shared" si="1"/>
        <v>23.5625</v>
      </c>
      <c r="J20" s="101">
        <f t="shared" si="2"/>
        <v>0.41866910140630448</v>
      </c>
      <c r="K20" s="102">
        <f t="shared" si="3"/>
        <v>0.41866910140630448</v>
      </c>
      <c r="L20" s="97" t="str">
        <f>IF(E20=0,"-",IF(F20=0,"Tidak ada laporan",IF(J20&gt;=$E$2,"Sangat Tinggi",IF(J20&gt;=$E$3,"Tinggi",IF(J20&gt;=$E$4,"Sedang","Rendah")))))</f>
        <v>Rendah</v>
      </c>
      <c r="M20" s="99">
        <f t="shared" si="4"/>
        <v>29</v>
      </c>
      <c r="N20" s="101">
        <f>IFERROR($C$2*(SUMIFS(DETAIL!$R$2:$R$137,DETAIL!$B$2:$B$137,$B20,DETAIL!$F$2:$F$137,MONTH(DATE(YEAR(SUMMARY!$C$6),MONTH(SUMMARY!$C$6)+0,1)))/SUMIFS(DETAIL!$M$2:$M$137,DETAIL!$B$2:$B$137,$B20,DETAIL!$F$2:$F$137,MONTH(DATE(YEAR(SUMMARY!$C$6),MONTH(SUMMARY!$C$6)+0,1))))/$C$5+$C$3*(SUMIFS(DETAIL!$T$2:$T$137,DETAIL!$B$2:$B$137,$B20,DETAIL!$F$2:$F$137,MONTH(DATE(YEAR(SUMMARY!$C$6),MONTH(SUMMARY!$C$6)+0,1)))/SUMIFS(DETAIL!$M$2:$M$137,DETAIL!$B$2:$B$137,$B20,DETAIL!$F$2:$F$137,MONTH(DATE(YEAR(SUMMARY!$C$6),MONTH(SUMMARY!$C$6)+0,1))))/$C$6,"-")</f>
        <v>0.41866910140630448</v>
      </c>
      <c r="O20" s="101" t="str">
        <f>IFERROR($C$2*(SUMIFS(DETAIL!$R$2:$R$137,DETAIL!$B$2:$B$137,$B20,DETAIL!$F$2:$F$137,MONTH(DATE(YEAR(SUMMARY!$C$6),MONTH(SUMMARY!$C$6)+1,1)))/SUMIFS(DETAIL!$M$2:$M$137,DETAIL!$B$2:$B$137,$B20,DETAIL!$F$2:$F$137,MONTH(DATE(YEAR(SUMMARY!$C$6),MONTH(SUMMARY!$C$6)+1,1))))/$C$5+$C$3*(SUMIFS(DETAIL!$T$2:$T$137,DETAIL!$B$2:$B$137,$B20,DETAIL!$F$2:$F$137,MONTH(DATE(YEAR(SUMMARY!$C$6),MONTH(SUMMARY!$C$6)+1,1)))/SUMIFS(DETAIL!$M$2:$M$137,DETAIL!$B$2:$B$137,$B20,DETAIL!$F$2:$F$137,MONTH(DATE(YEAR(SUMMARY!$C$6),MONTH(SUMMARY!$C$6)+1,1))))/$C$6,"-")</f>
        <v>-</v>
      </c>
      <c r="P20" s="101" t="str">
        <f>IFERROR($C$2*(SUMIFS(DETAIL!$R$2:$R$137,DETAIL!$B$2:$B$137,$B20,DETAIL!$F$2:$F$137,MONTH(DATE(YEAR(SUMMARY!$C$6),MONTH(SUMMARY!$C$6)+2,1)))/SUMIFS(DETAIL!$M$2:$M$137,DETAIL!$B$2:$B$137,$B20,DETAIL!$F$2:$F$137,MONTH(DATE(YEAR(SUMMARY!$C$6),MONTH(SUMMARY!$C$6)+2,1))))/$C$5+$C$3*(SUMIFS(DETAIL!$T$2:$T$137,DETAIL!$B$2:$B$137,$B20,DETAIL!$F$2:$F$137,MONTH(DATE(YEAR(SUMMARY!$C$6),MONTH(SUMMARY!$C$6)+2,1)))/SUMIFS(DETAIL!$M$2:$M$137,DETAIL!$B$2:$B$137,$B20,DETAIL!$F$2:$F$137,MONTH(DATE(YEAR(SUMMARY!$C$6),MONTH(SUMMARY!$C$6)+2,1))))/$C$6,"-")</f>
        <v>-</v>
      </c>
      <c r="Q20" s="101" t="str">
        <f>IFERROR($C$2*(SUMIFS(DETAIL!$R$2:$R$137,DETAIL!$B$2:$B$137,$B20,DETAIL!$F$2:$F$137,MONTH(DATE(YEAR(SUMMARY!$C$6),MONTH(SUMMARY!$C$6)+3,1)))/SUMIFS(DETAIL!$M$2:$M$137,DETAIL!$B$2:$B$137,$B20,DETAIL!$F$2:$F$137,MONTH(DATE(YEAR(SUMMARY!$C$6),MONTH(SUMMARY!$C$6)+3,1))))/$C$5+$C$3*(SUMIFS(DETAIL!$T$2:$T$137,DETAIL!$B$2:$B$137,$B20,DETAIL!$F$2:$F$137,MONTH(DATE(YEAR(SUMMARY!$C$6),MONTH(SUMMARY!$C$6)+3,1)))/SUMIFS(DETAIL!$M$2:$M$137,DETAIL!$B$2:$B$137,$B20,DETAIL!$F$2:$F$137,MONTH(DATE(YEAR(SUMMARY!$C$6),MONTH(SUMMARY!$C$6)+3,1))))/$C$6,"-")</f>
        <v>-</v>
      </c>
      <c r="R20" s="103">
        <f>IFERROR(INDEX(EVALUASI!$W$79:$W$132,MATCH($B20,EVALUASI!$C$79:$C$132,0)),"-")</f>
        <v>81.3</v>
      </c>
      <c r="S20" s="104" t="str">
        <f>IFERROR(INDEX(EVALUASI!$X$79:$X$132,MATCH($B20,EVALUASI!$C$79:$C$132,0)),"-")</f>
        <v>Baik</v>
      </c>
      <c r="T20" s="105">
        <f t="shared" si="5"/>
        <v>0.41864910140630446</v>
      </c>
    </row>
    <row r="21" spans="1:20" x14ac:dyDescent="0.2">
      <c r="A21" s="97">
        <v>12</v>
      </c>
      <c r="B21" s="98" t="str">
        <f>PEMAGANG!C14</f>
        <v>EKA PUTRI FEBRIANTI</v>
      </c>
      <c r="C21" s="98" t="str">
        <f>PEMAGANG!D14</f>
        <v>DWI SULIASTARI</v>
      </c>
      <c r="D21" s="98" t="str">
        <f>PEMAGANG!F14</f>
        <v>SM OF SECRETARIAT &amp; FILLING</v>
      </c>
      <c r="E21" s="99">
        <f>SUMIFS(DETAIL!$M$2:$M$137,DETAIL!$B$2:$B$137,$B21)</f>
        <v>69</v>
      </c>
      <c r="F21" s="99">
        <f>SUMIFS(DETAIL!$R$2:$R$137,DETAIL!$B$2:$B$137,$B21)</f>
        <v>69</v>
      </c>
      <c r="G21" s="100">
        <f>SUMIFS(DETAIL!$T$2:$T$137,DETAIL!$B$2:$B$137,$B21)</f>
        <v>1628</v>
      </c>
      <c r="H21" s="101">
        <f t="shared" si="0"/>
        <v>1</v>
      </c>
      <c r="I21" s="99">
        <f t="shared" si="1"/>
        <v>23.594202898550726</v>
      </c>
      <c r="J21" s="101">
        <f t="shared" si="2"/>
        <v>0.4013379991636844</v>
      </c>
      <c r="K21" s="102">
        <f t="shared" si="3"/>
        <v>0.4013379991636844</v>
      </c>
      <c r="L21" s="97" t="str">
        <f>IF(E21=0,"-",IF(F21=0,"Tidak ada laporan",IF(J21&gt;=$E$2,"Sangat Tinggi",IF(J21&gt;=$E$3,"Tinggi",IF(J21&gt;=$E$4,"Sedang","Rendah")))))</f>
        <v>Rendah</v>
      </c>
      <c r="M21" s="99">
        <f t="shared" si="4"/>
        <v>30</v>
      </c>
      <c r="N21" s="101">
        <f>IFERROR($C$2*(SUMIFS(DETAIL!$R$2:$R$137,DETAIL!$B$2:$B$137,$B21,DETAIL!$F$2:$F$137,MONTH(DATE(YEAR(SUMMARY!$C$6),MONTH(SUMMARY!$C$6)+0,1)))/SUMIFS(DETAIL!$M$2:$M$137,DETAIL!$B$2:$B$137,$B21,DETAIL!$F$2:$F$137,MONTH(DATE(YEAR(SUMMARY!$C$6),MONTH(SUMMARY!$C$6)+0,1))))/$C$5+$C$3*(SUMIFS(DETAIL!$T$2:$T$137,DETAIL!$B$2:$B$137,$B21,DETAIL!$F$2:$F$137,MONTH(DATE(YEAR(SUMMARY!$C$6),MONTH(SUMMARY!$C$6)+0,1)))/SUMIFS(DETAIL!$M$2:$M$137,DETAIL!$B$2:$B$137,$B21,DETAIL!$F$2:$F$137,MONTH(DATE(YEAR(SUMMARY!$C$6),MONTH(SUMMARY!$C$6)+0,1))))/$C$6,"-")</f>
        <v>0.4970849798560617</v>
      </c>
      <c r="O21" s="101">
        <f>IFERROR($C$2*(SUMIFS(DETAIL!$R$2:$R$137,DETAIL!$B$2:$B$137,$B21,DETAIL!$F$2:$F$137,MONTH(DATE(YEAR(SUMMARY!$C$6),MONTH(SUMMARY!$C$6)+1,1)))/SUMIFS(DETAIL!$M$2:$M$137,DETAIL!$B$2:$B$137,$B21,DETAIL!$F$2:$F$137,MONTH(DATE(YEAR(SUMMARY!$C$6),MONTH(SUMMARY!$C$6)+1,1))))/$C$5+$C$3*(SUMIFS(DETAIL!$T$2:$T$137,DETAIL!$B$2:$B$137,$B21,DETAIL!$F$2:$F$137,MONTH(DATE(YEAR(SUMMARY!$C$6),MONTH(SUMMARY!$C$6)+1,1)))/SUMIFS(DETAIL!$M$2:$M$137,DETAIL!$B$2:$B$137,$B21,DETAIL!$F$2:$F$137,MONTH(DATE(YEAR(SUMMARY!$C$6),MONTH(SUMMARY!$C$6)+1,1))))/$C$6,"-")</f>
        <v>0.41743664322560903</v>
      </c>
      <c r="P21" s="101">
        <f>IFERROR($C$2*(SUMIFS(DETAIL!$R$2:$R$137,DETAIL!$B$2:$B$137,$B21,DETAIL!$F$2:$F$137,MONTH(DATE(YEAR(SUMMARY!$C$6),MONTH(SUMMARY!$C$6)+2,1)))/SUMIFS(DETAIL!$M$2:$M$137,DETAIL!$B$2:$B$137,$B21,DETAIL!$F$2:$F$137,MONTH(DATE(YEAR(SUMMARY!$C$6),MONTH(SUMMARY!$C$6)+2,1))))/$C$5+$C$3*(SUMIFS(DETAIL!$T$2:$T$137,DETAIL!$B$2:$B$137,$B21,DETAIL!$F$2:$F$137,MONTH(DATE(YEAR(SUMMARY!$C$6),MONTH(SUMMARY!$C$6)+2,1)))/SUMIFS(DETAIL!$M$2:$M$137,DETAIL!$B$2:$B$137,$B21,DETAIL!$F$2:$F$137,MONTH(DATE(YEAR(SUMMARY!$C$6),MONTH(SUMMARY!$C$6)+2,1))))/$C$6,"-")</f>
        <v>0.35889839207348018</v>
      </c>
      <c r="Q21" s="101">
        <f>IFERROR($C$2*(SUMIFS(DETAIL!$R$2:$R$137,DETAIL!$B$2:$B$137,$B21,DETAIL!$F$2:$F$137,MONTH(DATE(YEAR(SUMMARY!$C$6),MONTH(SUMMARY!$C$6)+3,1)))/SUMIFS(DETAIL!$M$2:$M$137,DETAIL!$B$2:$B$137,$B21,DETAIL!$F$2:$F$137,MONTH(DATE(YEAR(SUMMARY!$C$6),MONTH(SUMMARY!$C$6)+3,1))))/$C$5+$C$3*(SUMIFS(DETAIL!$T$2:$T$137,DETAIL!$B$2:$B$137,$B21,DETAIL!$F$2:$F$137,MONTH(DATE(YEAR(SUMMARY!$C$6),MONTH(SUMMARY!$C$6)+3,1)))/SUMIFS(DETAIL!$M$2:$M$137,DETAIL!$B$2:$B$137,$B21,DETAIL!$F$2:$F$137,MONTH(DATE(YEAR(SUMMARY!$C$6),MONTH(SUMMARY!$C$6)+3,1))))/$C$6,"-")</f>
        <v>0.35556684426957075</v>
      </c>
      <c r="R21" s="103">
        <f>IFERROR(INDEX(EVALUASI!$W$79:$W$132,MATCH($B21,EVALUASI!$C$79:$C$132,0)),"-")</f>
        <v>77.7</v>
      </c>
      <c r="S21" s="104" t="str">
        <f>IFERROR(INDEX(EVALUASI!$X$79:$X$132,MATCH($B21,EVALUASI!$C$79:$C$132,0)),"-")</f>
        <v>Cukup</v>
      </c>
      <c r="T21" s="105">
        <f t="shared" si="5"/>
        <v>0.40131699916368441</v>
      </c>
    </row>
    <row r="22" spans="1:20" x14ac:dyDescent="0.2">
      <c r="A22" s="97">
        <v>13</v>
      </c>
      <c r="B22" s="98" t="str">
        <f>PEMAGANG!C15</f>
        <v>NABILA RAIS NUR ROMADHONA</v>
      </c>
      <c r="C22" s="98" t="str">
        <f>PEMAGANG!D15</f>
        <v>DWI SULIASTARI</v>
      </c>
      <c r="D22" s="98" t="str">
        <f>PEMAGANG!F15</f>
        <v>SM OF SECRETARIAT &amp; FILLING</v>
      </c>
      <c r="E22" s="99">
        <f>SUMIFS(DETAIL!$M$2:$M$137,DETAIL!$B$2:$B$137,$B22)</f>
        <v>69</v>
      </c>
      <c r="F22" s="99">
        <f>SUMIFS(DETAIL!$R$2:$R$137,DETAIL!$B$2:$B$137,$B22)</f>
        <v>83</v>
      </c>
      <c r="G22" s="100">
        <f>SUMIFS(DETAIL!$T$2:$T$137,DETAIL!$B$2:$B$137,$B22)</f>
        <v>2893</v>
      </c>
      <c r="H22" s="101">
        <f t="shared" si="0"/>
        <v>1.2028985507246377</v>
      </c>
      <c r="I22" s="99">
        <f t="shared" si="1"/>
        <v>41.927536231884055</v>
      </c>
      <c r="J22" s="101">
        <f t="shared" si="2"/>
        <v>0.5524851877233824</v>
      </c>
      <c r="K22" s="102">
        <f t="shared" si="3"/>
        <v>0.5524851877233824</v>
      </c>
      <c r="L22" s="97" t="str">
        <f>IF(E22=0,"-",IF(F22=0,"Tidak ada laporan",IF(J22&gt;=$E$2,"Sangat Tinggi",IF(J22&gt;=$E$3,"Tinggi",IF(J22&gt;=$E$4,"Sedang","Rendah")))))</f>
        <v>Rendah</v>
      </c>
      <c r="M22" s="99">
        <f t="shared" si="4"/>
        <v>25</v>
      </c>
      <c r="N22" s="101">
        <f>IFERROR($C$2*(SUMIFS(DETAIL!$R$2:$R$137,DETAIL!$B$2:$B$137,$B22,DETAIL!$F$2:$F$137,MONTH(DATE(YEAR(SUMMARY!$C$6),MONTH(SUMMARY!$C$6)+0,1)))/SUMIFS(DETAIL!$M$2:$M$137,DETAIL!$B$2:$B$137,$B22,DETAIL!$F$2:$F$137,MONTH(DATE(YEAR(SUMMARY!$C$6),MONTH(SUMMARY!$C$6)+0,1))))/$C$5+$C$3*(SUMIFS(DETAIL!$T$2:$T$137,DETAIL!$B$2:$B$137,$B22,DETAIL!$F$2:$F$137,MONTH(DATE(YEAR(SUMMARY!$C$6),MONTH(SUMMARY!$C$6)+0,1)))/SUMIFS(DETAIL!$M$2:$M$137,DETAIL!$B$2:$B$137,$B22,DETAIL!$F$2:$F$137,MONTH(DATE(YEAR(SUMMARY!$C$6),MONTH(SUMMARY!$C$6)+0,1))))/$C$6,"-")</f>
        <v>0.473415396836952</v>
      </c>
      <c r="O22" s="101">
        <f>IFERROR($C$2*(SUMIFS(DETAIL!$R$2:$R$137,DETAIL!$B$2:$B$137,$B22,DETAIL!$F$2:$F$137,MONTH(DATE(YEAR(SUMMARY!$C$6),MONTH(SUMMARY!$C$6)+1,1)))/SUMIFS(DETAIL!$M$2:$M$137,DETAIL!$B$2:$B$137,$B22,DETAIL!$F$2:$F$137,MONTH(DATE(YEAR(SUMMARY!$C$6),MONTH(SUMMARY!$C$6)+1,1))))/$C$5+$C$3*(SUMIFS(DETAIL!$T$2:$T$137,DETAIL!$B$2:$B$137,$B22,DETAIL!$F$2:$F$137,MONTH(DATE(YEAR(SUMMARY!$C$6),MONTH(SUMMARY!$C$6)+1,1)))/SUMIFS(DETAIL!$M$2:$M$137,DETAIL!$B$2:$B$137,$B22,DETAIL!$F$2:$F$137,MONTH(DATE(YEAR(SUMMARY!$C$6),MONTH(SUMMARY!$C$6)+1,1))))/$C$6,"-")</f>
        <v>0.56877176651994255</v>
      </c>
      <c r="P22" s="101">
        <f>IFERROR($C$2*(SUMIFS(DETAIL!$R$2:$R$137,DETAIL!$B$2:$B$137,$B22,DETAIL!$F$2:$F$137,MONTH(DATE(YEAR(SUMMARY!$C$6),MONTH(SUMMARY!$C$6)+2,1)))/SUMIFS(DETAIL!$M$2:$M$137,DETAIL!$B$2:$B$137,$B22,DETAIL!$F$2:$F$137,MONTH(DATE(YEAR(SUMMARY!$C$6),MONTH(SUMMARY!$C$6)+2,1))))/$C$5+$C$3*(SUMIFS(DETAIL!$T$2:$T$137,DETAIL!$B$2:$B$137,$B22,DETAIL!$F$2:$F$137,MONTH(DATE(YEAR(SUMMARY!$C$6),MONTH(SUMMARY!$C$6)+2,1)))/SUMIFS(DETAIL!$M$2:$M$137,DETAIL!$B$2:$B$137,$B22,DETAIL!$F$2:$F$137,MONTH(DATE(YEAR(SUMMARY!$C$6),MONTH(SUMMARY!$C$6)+2,1))))/$C$6,"-")</f>
        <v>0.5813727692297801</v>
      </c>
      <c r="Q22" s="101">
        <f>IFERROR($C$2*(SUMIFS(DETAIL!$R$2:$R$137,DETAIL!$B$2:$B$137,$B22,DETAIL!$F$2:$F$137,MONTH(DATE(YEAR(SUMMARY!$C$6),MONTH(SUMMARY!$C$6)+3,1)))/SUMIFS(DETAIL!$M$2:$M$137,DETAIL!$B$2:$B$137,$B22,DETAIL!$F$2:$F$137,MONTH(DATE(YEAR(SUMMARY!$C$6),MONTH(SUMMARY!$C$6)+3,1))))/$C$5+$C$3*(SUMIFS(DETAIL!$T$2:$T$137,DETAIL!$B$2:$B$137,$B22,DETAIL!$F$2:$F$137,MONTH(DATE(YEAR(SUMMARY!$C$6),MONTH(SUMMARY!$C$6)+3,1)))/SUMIFS(DETAIL!$M$2:$M$137,DETAIL!$B$2:$B$137,$B22,DETAIL!$F$2:$F$137,MONTH(DATE(YEAR(SUMMARY!$C$6),MONTH(SUMMARY!$C$6)+3,1))))/$C$6,"-")</f>
        <v>0.56728735531532726</v>
      </c>
      <c r="R22" s="103">
        <f>IFERROR(INDEX(EVALUASI!$W$79:$W$132,MATCH($B22,EVALUASI!$C$79:$C$132,0)),"-")</f>
        <v>83.1</v>
      </c>
      <c r="S22" s="104" t="str">
        <f>IFERROR(INDEX(EVALUASI!$X$79:$X$132,MATCH($B22,EVALUASI!$C$79:$C$132,0)),"-")</f>
        <v>Baik</v>
      </c>
      <c r="T22" s="105">
        <f t="shared" si="5"/>
        <v>0.55246318772338243</v>
      </c>
    </row>
    <row r="23" spans="1:20" x14ac:dyDescent="0.2">
      <c r="A23" s="97">
        <v>14</v>
      </c>
      <c r="B23" s="98" t="str">
        <f>PEMAGANG!C16</f>
        <v>FETI FATMAWATI</v>
      </c>
      <c r="C23" s="98" t="str">
        <f>PEMAGANG!D16</f>
        <v>ELFANO RANGGA PRATAMA</v>
      </c>
      <c r="D23" s="98" t="str">
        <f>PEMAGANG!F16</f>
        <v>MARKETING &amp; EXPANSION MODERN RETAIL OFFICER</v>
      </c>
      <c r="E23" s="99">
        <f>SUMIFS(DETAIL!$M$2:$M$137,DETAIL!$B$2:$B$137,$B23)</f>
        <v>94</v>
      </c>
      <c r="F23" s="99">
        <f>SUMIFS(DETAIL!$R$2:$R$137,DETAIL!$B$2:$B$137,$B23)</f>
        <v>154</v>
      </c>
      <c r="G23" s="100">
        <f>SUMIFS(DETAIL!$T$2:$T$137,DETAIL!$B$2:$B$137,$B23)</f>
        <v>4278</v>
      </c>
      <c r="H23" s="101">
        <f t="shared" si="0"/>
        <v>1.6382978723404256</v>
      </c>
      <c r="I23" s="99">
        <f t="shared" si="1"/>
        <v>45.51063829787234</v>
      </c>
      <c r="J23" s="101">
        <f t="shared" si="2"/>
        <v>0.69279780975779437</v>
      </c>
      <c r="K23" s="102">
        <f t="shared" si="3"/>
        <v>0.69279780975779437</v>
      </c>
      <c r="L23" s="97" t="str">
        <f>IF(E23=0,"-",IF(F23=0,"Tidak ada laporan",IF(J23&gt;=$E$2,"Sangat Tinggi",IF(J23&gt;=$E$3,"Tinggi",IF(J23&gt;=$E$4,"Sedang","Rendah")))))</f>
        <v>Rendah</v>
      </c>
      <c r="M23" s="99">
        <f t="shared" si="4"/>
        <v>20</v>
      </c>
      <c r="N23" s="101">
        <f>IFERROR($C$2*(SUMIFS(DETAIL!$R$2:$R$137,DETAIL!$B$2:$B$137,$B23,DETAIL!$F$2:$F$137,MONTH(DATE(YEAR(SUMMARY!$C$6),MONTH(SUMMARY!$C$6)+0,1)))/SUMIFS(DETAIL!$M$2:$M$137,DETAIL!$B$2:$B$137,$B23,DETAIL!$F$2:$F$137,MONTH(DATE(YEAR(SUMMARY!$C$6),MONTH(SUMMARY!$C$6)+0,1))))/$C$5+$C$3*(SUMIFS(DETAIL!$T$2:$T$137,DETAIL!$B$2:$B$137,$B23,DETAIL!$F$2:$F$137,MONTH(DATE(YEAR(SUMMARY!$C$6),MONTH(SUMMARY!$C$6)+0,1)))/SUMIFS(DETAIL!$M$2:$M$137,DETAIL!$B$2:$B$137,$B23,DETAIL!$F$2:$F$137,MONTH(DATE(YEAR(SUMMARY!$C$6),MONTH(SUMMARY!$C$6)+0,1))))/$C$6,"-")</f>
        <v>0.69237881010187985</v>
      </c>
      <c r="O23" s="101">
        <f>IFERROR($C$2*(SUMIFS(DETAIL!$R$2:$R$137,DETAIL!$B$2:$B$137,$B23,DETAIL!$F$2:$F$137,MONTH(DATE(YEAR(SUMMARY!$C$6),MONTH(SUMMARY!$C$6)+1,1)))/SUMIFS(DETAIL!$M$2:$M$137,DETAIL!$B$2:$B$137,$B23,DETAIL!$F$2:$F$137,MONTH(DATE(YEAR(SUMMARY!$C$6),MONTH(SUMMARY!$C$6)+1,1))))/$C$5+$C$3*(SUMIFS(DETAIL!$T$2:$T$137,DETAIL!$B$2:$B$137,$B23,DETAIL!$F$2:$F$137,MONTH(DATE(YEAR(SUMMARY!$C$6),MONTH(SUMMARY!$C$6)+1,1)))/SUMIFS(DETAIL!$M$2:$M$137,DETAIL!$B$2:$B$137,$B23,DETAIL!$F$2:$F$137,MONTH(DATE(YEAR(SUMMARY!$C$6),MONTH(SUMMARY!$C$6)+1,1))))/$C$6,"-")</f>
        <v>0.86077085226624273</v>
      </c>
      <c r="P23" s="101">
        <f>IFERROR($C$2*(SUMIFS(DETAIL!$R$2:$R$137,DETAIL!$B$2:$B$137,$B23,DETAIL!$F$2:$F$137,MONTH(DATE(YEAR(SUMMARY!$C$6),MONTH(SUMMARY!$C$6)+2,1)))/SUMIFS(DETAIL!$M$2:$M$137,DETAIL!$B$2:$B$137,$B23,DETAIL!$F$2:$F$137,MONTH(DATE(YEAR(SUMMARY!$C$6),MONTH(SUMMARY!$C$6)+2,1))))/$C$5+$C$3*(SUMIFS(DETAIL!$T$2:$T$137,DETAIL!$B$2:$B$137,$B23,DETAIL!$F$2:$F$137,MONTH(DATE(YEAR(SUMMARY!$C$6),MONTH(SUMMARY!$C$6)+2,1)))/SUMIFS(DETAIL!$M$2:$M$137,DETAIL!$B$2:$B$137,$B23,DETAIL!$F$2:$F$137,MONTH(DATE(YEAR(SUMMARY!$C$6),MONTH(SUMMARY!$C$6)+2,1))))/$C$6,"-")</f>
        <v>0.64958756120920857</v>
      </c>
      <c r="Q23" s="101">
        <f>IFERROR($C$2*(SUMIFS(DETAIL!$R$2:$R$137,DETAIL!$B$2:$B$137,$B23,DETAIL!$F$2:$F$137,MONTH(DATE(YEAR(SUMMARY!$C$6),MONTH(SUMMARY!$C$6)+3,1)))/SUMIFS(DETAIL!$M$2:$M$137,DETAIL!$B$2:$B$137,$B23,DETAIL!$F$2:$F$137,MONTH(DATE(YEAR(SUMMARY!$C$6),MONTH(SUMMARY!$C$6)+3,1))))/$C$5+$C$3*(SUMIFS(DETAIL!$T$2:$T$137,DETAIL!$B$2:$B$137,$B23,DETAIL!$F$2:$F$137,MONTH(DATE(YEAR(SUMMARY!$C$6),MONTH(SUMMARY!$C$6)+3,1)))/SUMIFS(DETAIL!$M$2:$M$137,DETAIL!$B$2:$B$137,$B23,DETAIL!$F$2:$F$137,MONTH(DATE(YEAR(SUMMARY!$C$6),MONTH(SUMMARY!$C$6)+3,1))))/$C$6,"-")</f>
        <v>0.55648282398273163</v>
      </c>
      <c r="R23" s="103">
        <f>IFERROR(INDEX(EVALUASI!$W$79:$W$132,MATCH($B23,EVALUASI!$C$79:$C$132,0)),"-")</f>
        <v>74.5</v>
      </c>
      <c r="S23" s="104" t="str">
        <f>IFERROR(INDEX(EVALUASI!$X$79:$X$132,MATCH($B23,EVALUASI!$C$79:$C$132,0)),"-")</f>
        <v>Cukup</v>
      </c>
      <c r="T23" s="105">
        <f t="shared" si="5"/>
        <v>0.69277480975779437</v>
      </c>
    </row>
    <row r="24" spans="1:20" x14ac:dyDescent="0.2">
      <c r="A24" s="97">
        <v>15</v>
      </c>
      <c r="B24" s="98" t="str">
        <f>PEMAGANG!C17</f>
        <v>AHMAD NOVAN JUNIARDY</v>
      </c>
      <c r="C24" s="98" t="str">
        <f>PEMAGANG!D17</f>
        <v>ENDAH YUNIA SRI WINDARI</v>
      </c>
      <c r="D24" s="98" t="str">
        <f>PEMAGANG!F17</f>
        <v>SM OF FINANCE (SID)</v>
      </c>
      <c r="E24" s="99">
        <f>SUMIFS(DETAIL!$M$2:$M$137,DETAIL!$B$2:$B$137,$B24)</f>
        <v>33</v>
      </c>
      <c r="F24" s="99">
        <f>SUMIFS(DETAIL!$R$2:$R$137,DETAIL!$B$2:$B$137,$B24)</f>
        <v>65</v>
      </c>
      <c r="G24" s="100">
        <f>SUMIFS(DETAIL!$T$2:$T$137,DETAIL!$B$2:$B$137,$B24)</f>
        <v>5745</v>
      </c>
      <c r="H24" s="101">
        <f t="shared" si="0"/>
        <v>1.9696969696969697</v>
      </c>
      <c r="I24" s="99">
        <f t="shared" si="1"/>
        <v>174.09090909090909</v>
      </c>
      <c r="J24" s="101">
        <f t="shared" si="2"/>
        <v>1.4473095352289529</v>
      </c>
      <c r="K24" s="102">
        <f t="shared" si="3"/>
        <v>1</v>
      </c>
      <c r="L24" s="97" t="str">
        <f>IF(E24=0,"-",IF(F24=0,"Tidak ada laporan",IF(J24&gt;=$E$2,"Sangat Tinggi",IF(J24&gt;=$E$3,"Tinggi",IF(J24&gt;=$E$4,"Sedang","Rendah")))))</f>
        <v>Tinggi</v>
      </c>
      <c r="M24" s="99">
        <f t="shared" si="4"/>
        <v>6</v>
      </c>
      <c r="N24" s="101" t="str">
        <f>IFERROR($C$2*(SUMIFS(DETAIL!$R$2:$R$137,DETAIL!$B$2:$B$137,$B24,DETAIL!$F$2:$F$137,MONTH(DATE(YEAR(SUMMARY!$C$6),MONTH(SUMMARY!$C$6)+0,1)))/SUMIFS(DETAIL!$M$2:$M$137,DETAIL!$B$2:$B$137,$B24,DETAIL!$F$2:$F$137,MONTH(DATE(YEAR(SUMMARY!$C$6),MONTH(SUMMARY!$C$6)+0,1))))/$C$5+$C$3*(SUMIFS(DETAIL!$T$2:$T$137,DETAIL!$B$2:$B$137,$B24,DETAIL!$F$2:$F$137,MONTH(DATE(YEAR(SUMMARY!$C$6),MONTH(SUMMARY!$C$6)+0,1)))/SUMIFS(DETAIL!$M$2:$M$137,DETAIL!$B$2:$B$137,$B24,DETAIL!$F$2:$F$137,MONTH(DATE(YEAR(SUMMARY!$C$6),MONTH(SUMMARY!$C$6)+0,1))))/$C$6,"-")</f>
        <v>-</v>
      </c>
      <c r="O24" s="101" t="str">
        <f>IFERROR($C$2*(SUMIFS(DETAIL!$R$2:$R$137,DETAIL!$B$2:$B$137,$B24,DETAIL!$F$2:$F$137,MONTH(DATE(YEAR(SUMMARY!$C$6),MONTH(SUMMARY!$C$6)+1,1)))/SUMIFS(DETAIL!$M$2:$M$137,DETAIL!$B$2:$B$137,$B24,DETAIL!$F$2:$F$137,MONTH(DATE(YEAR(SUMMARY!$C$6),MONTH(SUMMARY!$C$6)+1,1))))/$C$5+$C$3*(SUMIFS(DETAIL!$T$2:$T$137,DETAIL!$B$2:$B$137,$B24,DETAIL!$F$2:$F$137,MONTH(DATE(YEAR(SUMMARY!$C$6),MONTH(SUMMARY!$C$6)+1,1)))/SUMIFS(DETAIL!$M$2:$M$137,DETAIL!$B$2:$B$137,$B24,DETAIL!$F$2:$F$137,MONTH(DATE(YEAR(SUMMARY!$C$6),MONTH(SUMMARY!$C$6)+1,1))))/$C$6,"-")</f>
        <v>-</v>
      </c>
      <c r="P24" s="101">
        <f>IFERROR($C$2*(SUMIFS(DETAIL!$R$2:$R$137,DETAIL!$B$2:$B$137,$B24,DETAIL!$F$2:$F$137,MONTH(DATE(YEAR(SUMMARY!$C$6),MONTH(SUMMARY!$C$6)+2,1)))/SUMIFS(DETAIL!$M$2:$M$137,DETAIL!$B$2:$B$137,$B24,DETAIL!$F$2:$F$137,MONTH(DATE(YEAR(SUMMARY!$C$6),MONTH(SUMMARY!$C$6)+2,1))))/$C$5+$C$3*(SUMIFS(DETAIL!$T$2:$T$137,DETAIL!$B$2:$B$137,$B24,DETAIL!$F$2:$F$137,MONTH(DATE(YEAR(SUMMARY!$C$6),MONTH(SUMMARY!$C$6)+2,1)))/SUMIFS(DETAIL!$M$2:$M$137,DETAIL!$B$2:$B$137,$B24,DETAIL!$F$2:$F$137,MONTH(DATE(YEAR(SUMMARY!$C$6),MONTH(SUMMARY!$C$6)+2,1))))/$C$6,"-")</f>
        <v>1.4044744609761137</v>
      </c>
      <c r="Q24" s="101">
        <f>IFERROR($C$2*(SUMIFS(DETAIL!$R$2:$R$137,DETAIL!$B$2:$B$137,$B24,DETAIL!$F$2:$F$137,MONTH(DATE(YEAR(SUMMARY!$C$6),MONTH(SUMMARY!$C$6)+3,1)))/SUMIFS(DETAIL!$M$2:$M$137,DETAIL!$B$2:$B$137,$B24,DETAIL!$F$2:$F$137,MONTH(DATE(YEAR(SUMMARY!$C$6),MONTH(SUMMARY!$C$6)+3,1))))/$C$5+$C$3*(SUMIFS(DETAIL!$T$2:$T$137,DETAIL!$B$2:$B$137,$B24,DETAIL!$F$2:$F$137,MONTH(DATE(YEAR(SUMMARY!$C$6),MONTH(SUMMARY!$C$6)+3,1)))/SUMIFS(DETAIL!$M$2:$M$137,DETAIL!$B$2:$B$137,$B24,DETAIL!$F$2:$F$137,MONTH(DATE(YEAR(SUMMARY!$C$6),MONTH(SUMMARY!$C$6)+3,1))))/$C$6,"-")</f>
        <v>1.4788722215205183</v>
      </c>
      <c r="R24" s="103">
        <f>IFERROR(INDEX(EVALUASI!$W$79:$W$132,MATCH($B24,EVALUASI!$C$79:$C$132,0)),"-")</f>
        <v>96.9</v>
      </c>
      <c r="S24" s="104" t="str">
        <f>IFERROR(INDEX(EVALUASI!$X$79:$X$132,MATCH($B24,EVALUASI!$C$79:$C$132,0)),"-")</f>
        <v>Sangat Baik</v>
      </c>
      <c r="T24" s="105">
        <f t="shared" si="5"/>
        <v>1.4472855352289529</v>
      </c>
    </row>
    <row r="25" spans="1:20" x14ac:dyDescent="0.2">
      <c r="A25" s="97">
        <v>16</v>
      </c>
      <c r="B25" s="98" t="str">
        <f>PEMAGANG!C18</f>
        <v>TAHYUDIN UZI SAFAAT</v>
      </c>
      <c r="C25" s="98" t="str">
        <f>PEMAGANG!D18</f>
        <v>ENDAH YUNIA SRI WINDARI</v>
      </c>
      <c r="D25" s="98" t="str">
        <f>PEMAGANG!F18</f>
        <v>SM OF FINANCE (SID)</v>
      </c>
      <c r="E25" s="99">
        <f>SUMIFS(DETAIL!$M$2:$M$137,DETAIL!$B$2:$B$137,$B25)</f>
        <v>35</v>
      </c>
      <c r="F25" s="99">
        <f>SUMIFS(DETAIL!$R$2:$R$137,DETAIL!$B$2:$B$137,$B25)</f>
        <v>66</v>
      </c>
      <c r="G25" s="100">
        <f>SUMIFS(DETAIL!$T$2:$T$137,DETAIL!$B$2:$B$137,$B25)</f>
        <v>3975</v>
      </c>
      <c r="H25" s="101">
        <f t="shared" si="0"/>
        <v>1.8857142857142857</v>
      </c>
      <c r="I25" s="99">
        <f t="shared" si="1"/>
        <v>113.57142857142857</v>
      </c>
      <c r="J25" s="101">
        <f t="shared" si="2"/>
        <v>1.1123329232439554</v>
      </c>
      <c r="K25" s="102">
        <f t="shared" si="3"/>
        <v>1</v>
      </c>
      <c r="L25" s="97" t="str">
        <f>IF(E25=0,"-",IF(F25=0,"Tidak ada laporan",IF(J25&gt;=$E$2,"Sangat Tinggi",IF(J25&gt;=$E$3,"Tinggi",IF(J25&gt;=$E$4,"Sedang","Rendah")))))</f>
        <v>Tinggi</v>
      </c>
      <c r="M25" s="99">
        <f t="shared" si="4"/>
        <v>10</v>
      </c>
      <c r="N25" s="101" t="str">
        <f>IFERROR($C$2*(SUMIFS(DETAIL!$R$2:$R$137,DETAIL!$B$2:$B$137,$B25,DETAIL!$F$2:$F$137,MONTH(DATE(YEAR(SUMMARY!$C$6),MONTH(SUMMARY!$C$6)+0,1)))/SUMIFS(DETAIL!$M$2:$M$137,DETAIL!$B$2:$B$137,$B25,DETAIL!$F$2:$F$137,MONTH(DATE(YEAR(SUMMARY!$C$6),MONTH(SUMMARY!$C$6)+0,1))))/$C$5+$C$3*(SUMIFS(DETAIL!$T$2:$T$137,DETAIL!$B$2:$B$137,$B25,DETAIL!$F$2:$F$137,MONTH(DATE(YEAR(SUMMARY!$C$6),MONTH(SUMMARY!$C$6)+0,1)))/SUMIFS(DETAIL!$M$2:$M$137,DETAIL!$B$2:$B$137,$B25,DETAIL!$F$2:$F$137,MONTH(DATE(YEAR(SUMMARY!$C$6),MONTH(SUMMARY!$C$6)+0,1))))/$C$6,"-")</f>
        <v>-</v>
      </c>
      <c r="O25" s="101" t="str">
        <f>IFERROR($C$2*(SUMIFS(DETAIL!$R$2:$R$137,DETAIL!$B$2:$B$137,$B25,DETAIL!$F$2:$F$137,MONTH(DATE(YEAR(SUMMARY!$C$6),MONTH(SUMMARY!$C$6)+1,1)))/SUMIFS(DETAIL!$M$2:$M$137,DETAIL!$B$2:$B$137,$B25,DETAIL!$F$2:$F$137,MONTH(DATE(YEAR(SUMMARY!$C$6),MONTH(SUMMARY!$C$6)+1,1))))/$C$5+$C$3*(SUMIFS(DETAIL!$T$2:$T$137,DETAIL!$B$2:$B$137,$B25,DETAIL!$F$2:$F$137,MONTH(DATE(YEAR(SUMMARY!$C$6),MONTH(SUMMARY!$C$6)+1,1)))/SUMIFS(DETAIL!$M$2:$M$137,DETAIL!$B$2:$B$137,$B25,DETAIL!$F$2:$F$137,MONTH(DATE(YEAR(SUMMARY!$C$6),MONTH(SUMMARY!$C$6)+1,1))))/$C$6,"-")</f>
        <v>-</v>
      </c>
      <c r="P25" s="101">
        <f>IFERROR($C$2*(SUMIFS(DETAIL!$R$2:$R$137,DETAIL!$B$2:$B$137,$B25,DETAIL!$F$2:$F$137,MONTH(DATE(YEAR(SUMMARY!$C$6),MONTH(SUMMARY!$C$6)+2,1)))/SUMIFS(DETAIL!$M$2:$M$137,DETAIL!$B$2:$B$137,$B25,DETAIL!$F$2:$F$137,MONTH(DATE(YEAR(SUMMARY!$C$6),MONTH(SUMMARY!$C$6)+2,1))))/$C$5+$C$3*(SUMIFS(DETAIL!$T$2:$T$137,DETAIL!$B$2:$B$137,$B25,DETAIL!$F$2:$F$137,MONTH(DATE(YEAR(SUMMARY!$C$6),MONTH(SUMMARY!$C$6)+2,1)))/SUMIFS(DETAIL!$M$2:$M$137,DETAIL!$B$2:$B$137,$B25,DETAIL!$F$2:$F$137,MONTH(DATE(YEAR(SUMMARY!$C$6),MONTH(SUMMARY!$C$6)+2,1))))/$C$6,"-")</f>
        <v>1.2094138183044412</v>
      </c>
      <c r="Q25" s="101">
        <f>IFERROR($C$2*(SUMIFS(DETAIL!$R$2:$R$137,DETAIL!$B$2:$B$137,$B25,DETAIL!$F$2:$F$137,MONTH(DATE(YEAR(SUMMARY!$C$6),MONTH(SUMMARY!$C$6)+3,1)))/SUMIFS(DETAIL!$M$2:$M$137,DETAIL!$B$2:$B$137,$B25,DETAIL!$F$2:$F$137,MONTH(DATE(YEAR(SUMMARY!$C$6),MONTH(SUMMARY!$C$6)+3,1))))/$C$5+$C$3*(SUMIFS(DETAIL!$T$2:$T$137,DETAIL!$B$2:$B$137,$B25,DETAIL!$F$2:$F$137,MONTH(DATE(YEAR(SUMMARY!$C$6),MONTH(SUMMARY!$C$6)+3,1)))/SUMIFS(DETAIL!$M$2:$M$137,DETAIL!$B$2:$B$137,$B25,DETAIL!$F$2:$F$137,MONTH(DATE(YEAR(SUMMARY!$C$6),MONTH(SUMMARY!$C$6)+3,1))))/$C$6,"-")</f>
        <v>1.047612326536965</v>
      </c>
      <c r="R25" s="103">
        <f>IFERROR(INDEX(EVALUASI!$W$79:$W$132,MATCH($B25,EVALUASI!$C$79:$C$132,0)),"-")</f>
        <v>98.6</v>
      </c>
      <c r="S25" s="104" t="str">
        <f>IFERROR(INDEX(EVALUASI!$X$79:$X$132,MATCH($B25,EVALUASI!$C$79:$C$132,0)),"-")</f>
        <v>Sangat Baik</v>
      </c>
      <c r="T25" s="105">
        <f t="shared" si="5"/>
        <v>1.1123079232439554</v>
      </c>
    </row>
    <row r="26" spans="1:20" x14ac:dyDescent="0.2">
      <c r="A26" s="97">
        <v>17</v>
      </c>
      <c r="B26" s="98" t="str">
        <f>PEMAGANG!C19</f>
        <v>NILNA FAIRUSSAKTI SALBANI AFANO</v>
      </c>
      <c r="C26" s="98" t="str">
        <f>PEMAGANG!D19</f>
        <v>FETI MUBAIYINI</v>
      </c>
      <c r="D26" s="98" t="str">
        <f>PEMAGANG!F19</f>
        <v>CENTRAL JAVA CURAH ADMINISTRATION JR. OFFICER</v>
      </c>
      <c r="E26" s="99">
        <f>SUMIFS(DETAIL!$M$2:$M$137,DETAIL!$B$2:$B$137,$B26)</f>
        <v>69</v>
      </c>
      <c r="F26" s="99">
        <f>SUMIFS(DETAIL!$R$2:$R$137,DETAIL!$B$2:$B$137,$B26)</f>
        <v>181</v>
      </c>
      <c r="G26" s="100">
        <f>SUMIFS(DETAIL!$T$2:$T$137,DETAIL!$B$2:$B$137,$B26)</f>
        <v>2026</v>
      </c>
      <c r="H26" s="101">
        <f t="shared" si="0"/>
        <v>2.6231884057971016</v>
      </c>
      <c r="I26" s="99">
        <f t="shared" si="1"/>
        <v>29.362318840579711</v>
      </c>
      <c r="J26" s="101">
        <f t="shared" si="2"/>
        <v>0.88536793588822948</v>
      </c>
      <c r="K26" s="102">
        <f t="shared" si="3"/>
        <v>0.88536793588822948</v>
      </c>
      <c r="L26" s="97" t="str">
        <f>IF(E26=0,"-",IF(F26=0,"Tidak ada laporan",IF(J26&gt;=$E$2,"Sangat Tinggi",IF(J26&gt;=$E$3,"Tinggi",IF(J26&gt;=$E$4,"Sedang","Rendah")))))</f>
        <v>Sedang</v>
      </c>
      <c r="M26" s="99">
        <f t="shared" si="4"/>
        <v>15</v>
      </c>
      <c r="N26" s="101">
        <f>IFERROR($C$2*(SUMIFS(DETAIL!$R$2:$R$137,DETAIL!$B$2:$B$137,$B26,DETAIL!$F$2:$F$137,MONTH(DATE(YEAR(SUMMARY!$C$6),MONTH(SUMMARY!$C$6)+0,1)))/SUMIFS(DETAIL!$M$2:$M$137,DETAIL!$B$2:$B$137,$B26,DETAIL!$F$2:$F$137,MONTH(DATE(YEAR(SUMMARY!$C$6),MONTH(SUMMARY!$C$6)+0,1))))/$C$5+$C$3*(SUMIFS(DETAIL!$T$2:$T$137,DETAIL!$B$2:$B$137,$B26,DETAIL!$F$2:$F$137,MONTH(DATE(YEAR(SUMMARY!$C$6),MONTH(SUMMARY!$C$6)+0,1)))/SUMIFS(DETAIL!$M$2:$M$137,DETAIL!$B$2:$B$137,$B26,DETAIL!$F$2:$F$137,MONTH(DATE(YEAR(SUMMARY!$C$6),MONTH(SUMMARY!$C$6)+0,1))))/$C$6,"-")</f>
        <v>1.0022099909457978</v>
      </c>
      <c r="O26" s="101">
        <f>IFERROR($C$2*(SUMIFS(DETAIL!$R$2:$R$137,DETAIL!$B$2:$B$137,$B26,DETAIL!$F$2:$F$137,MONTH(DATE(YEAR(SUMMARY!$C$6),MONTH(SUMMARY!$C$6)+1,1)))/SUMIFS(DETAIL!$M$2:$M$137,DETAIL!$B$2:$B$137,$B26,DETAIL!$F$2:$F$137,MONTH(DATE(YEAR(SUMMARY!$C$6),MONTH(SUMMARY!$C$6)+1,1))))/$C$5+$C$3*(SUMIFS(DETAIL!$T$2:$T$137,DETAIL!$B$2:$B$137,$B26,DETAIL!$F$2:$F$137,MONTH(DATE(YEAR(SUMMARY!$C$6),MONTH(SUMMARY!$C$6)+1,1)))/SUMIFS(DETAIL!$M$2:$M$137,DETAIL!$B$2:$B$137,$B26,DETAIL!$F$2:$F$137,MONTH(DATE(YEAR(SUMMARY!$C$6),MONTH(SUMMARY!$C$6)+1,1))))/$C$6,"-")</f>
        <v>1.0428398800308356</v>
      </c>
      <c r="P26" s="101">
        <f>IFERROR($C$2*(SUMIFS(DETAIL!$R$2:$R$137,DETAIL!$B$2:$B$137,$B26,DETAIL!$F$2:$F$137,MONTH(DATE(YEAR(SUMMARY!$C$6),MONTH(SUMMARY!$C$6)+2,1)))/SUMIFS(DETAIL!$M$2:$M$137,DETAIL!$B$2:$B$137,$B26,DETAIL!$F$2:$F$137,MONTH(DATE(YEAR(SUMMARY!$C$6),MONTH(SUMMARY!$C$6)+2,1))))/$C$5+$C$3*(SUMIFS(DETAIL!$T$2:$T$137,DETAIL!$B$2:$B$137,$B26,DETAIL!$F$2:$F$137,MONTH(DATE(YEAR(SUMMARY!$C$6),MONTH(SUMMARY!$C$6)+2,1)))/SUMIFS(DETAIL!$M$2:$M$137,DETAIL!$B$2:$B$137,$B26,DETAIL!$F$2:$F$137,MONTH(DATE(YEAR(SUMMARY!$C$6),MONTH(SUMMARY!$C$6)+2,1))))/$C$6,"-")</f>
        <v>0.90735565524517248</v>
      </c>
      <c r="Q26" s="101">
        <f>IFERROR($C$2*(SUMIFS(DETAIL!$R$2:$R$137,DETAIL!$B$2:$B$137,$B26,DETAIL!$F$2:$F$137,MONTH(DATE(YEAR(SUMMARY!$C$6),MONTH(SUMMARY!$C$6)+3,1)))/SUMIFS(DETAIL!$M$2:$M$137,DETAIL!$B$2:$B$137,$B26,DETAIL!$F$2:$F$137,MONTH(DATE(YEAR(SUMMARY!$C$6),MONTH(SUMMARY!$C$6)+3,1))))/$C$5+$C$3*(SUMIFS(DETAIL!$T$2:$T$137,DETAIL!$B$2:$B$137,$B26,DETAIL!$F$2:$F$137,MONTH(DATE(YEAR(SUMMARY!$C$6),MONTH(SUMMARY!$C$6)+3,1)))/SUMIFS(DETAIL!$M$2:$M$137,DETAIL!$B$2:$B$137,$B26,DETAIL!$F$2:$F$137,MONTH(DATE(YEAR(SUMMARY!$C$6),MONTH(SUMMARY!$C$6)+3,1))))/$C$6,"-")</f>
        <v>0.61380957849074114</v>
      </c>
      <c r="R26" s="103">
        <f>IFERROR(INDEX(EVALUASI!$W$79:$W$132,MATCH($B26,EVALUASI!$C$79:$C$132,0)),"-")</f>
        <v>93.1</v>
      </c>
      <c r="S26" s="104" t="str">
        <f>IFERROR(INDEX(EVALUASI!$X$79:$X$132,MATCH($B26,EVALUASI!$C$79:$C$132,0)),"-")</f>
        <v>Sangat Baik</v>
      </c>
      <c r="T26" s="105">
        <f t="shared" si="5"/>
        <v>0.88534193588822951</v>
      </c>
    </row>
    <row r="27" spans="1:20" x14ac:dyDescent="0.2">
      <c r="A27" s="97">
        <v>18</v>
      </c>
      <c r="B27" s="98" t="str">
        <f>PEMAGANG!C20</f>
        <v>SYACHIRA FARA NABILA</v>
      </c>
      <c r="C27" s="98" t="str">
        <f>PEMAGANG!D20</f>
        <v>FETI MUBAIYINI</v>
      </c>
      <c r="D27" s="98" t="str">
        <f>PEMAGANG!F20</f>
        <v>CENTRAL JAVA CURAH ADMINISTRATION JR. OFFICER</v>
      </c>
      <c r="E27" s="99">
        <f>SUMIFS(DETAIL!$M$2:$M$137,DETAIL!$B$2:$B$137,$B27)</f>
        <v>16</v>
      </c>
      <c r="F27" s="99">
        <f>SUMIFS(DETAIL!$R$2:$R$137,DETAIL!$B$2:$B$137,$B27)</f>
        <v>14</v>
      </c>
      <c r="G27" s="100">
        <f>SUMIFS(DETAIL!$T$2:$T$137,DETAIL!$B$2:$B$137,$B27)</f>
        <v>192</v>
      </c>
      <c r="H27" s="101">
        <f t="shared" si="0"/>
        <v>0.875</v>
      </c>
      <c r="I27" s="99">
        <f t="shared" si="1"/>
        <v>12</v>
      </c>
      <c r="J27" s="101">
        <f t="shared" si="2"/>
        <v>0.3066788210075071</v>
      </c>
      <c r="K27" s="102">
        <f t="shared" si="3"/>
        <v>0.3066788210075071</v>
      </c>
      <c r="L27" s="97" t="str">
        <f>IF(E27=0,"-",IF(F27=0,"Tidak ada laporan",IF(J27&gt;=$E$2,"Sangat Tinggi",IF(J27&gt;=$E$3,"Tinggi",IF(J27&gt;=$E$4,"Sedang","Rendah")))))</f>
        <v>Rendah</v>
      </c>
      <c r="M27" s="99">
        <f t="shared" si="4"/>
        <v>32</v>
      </c>
      <c r="N27" s="101">
        <f>IFERROR($C$2*(SUMIFS(DETAIL!$R$2:$R$137,DETAIL!$B$2:$B$137,$B27,DETAIL!$F$2:$F$137,MONTH(DATE(YEAR(SUMMARY!$C$6),MONTH(SUMMARY!$C$6)+0,1)))/SUMIFS(DETAIL!$M$2:$M$137,DETAIL!$B$2:$B$137,$B27,DETAIL!$F$2:$F$137,MONTH(DATE(YEAR(SUMMARY!$C$6),MONTH(SUMMARY!$C$6)+0,1))))/$C$5+$C$3*(SUMIFS(DETAIL!$T$2:$T$137,DETAIL!$B$2:$B$137,$B27,DETAIL!$F$2:$F$137,MONTH(DATE(YEAR(SUMMARY!$C$6),MONTH(SUMMARY!$C$6)+0,1)))/SUMIFS(DETAIL!$M$2:$M$137,DETAIL!$B$2:$B$137,$B27,DETAIL!$F$2:$F$137,MONTH(DATE(YEAR(SUMMARY!$C$6),MONTH(SUMMARY!$C$6)+0,1))))/$C$6,"-")</f>
        <v>0.3066788210075071</v>
      </c>
      <c r="O27" s="101" t="str">
        <f>IFERROR($C$2*(SUMIFS(DETAIL!$R$2:$R$137,DETAIL!$B$2:$B$137,$B27,DETAIL!$F$2:$F$137,MONTH(DATE(YEAR(SUMMARY!$C$6),MONTH(SUMMARY!$C$6)+1,1)))/SUMIFS(DETAIL!$M$2:$M$137,DETAIL!$B$2:$B$137,$B27,DETAIL!$F$2:$F$137,MONTH(DATE(YEAR(SUMMARY!$C$6),MONTH(SUMMARY!$C$6)+1,1))))/$C$5+$C$3*(SUMIFS(DETAIL!$T$2:$T$137,DETAIL!$B$2:$B$137,$B27,DETAIL!$F$2:$F$137,MONTH(DATE(YEAR(SUMMARY!$C$6),MONTH(SUMMARY!$C$6)+1,1)))/SUMIFS(DETAIL!$M$2:$M$137,DETAIL!$B$2:$B$137,$B27,DETAIL!$F$2:$F$137,MONTH(DATE(YEAR(SUMMARY!$C$6),MONTH(SUMMARY!$C$6)+1,1))))/$C$6,"-")</f>
        <v>-</v>
      </c>
      <c r="P27" s="101" t="str">
        <f>IFERROR($C$2*(SUMIFS(DETAIL!$R$2:$R$137,DETAIL!$B$2:$B$137,$B27,DETAIL!$F$2:$F$137,MONTH(DATE(YEAR(SUMMARY!$C$6),MONTH(SUMMARY!$C$6)+2,1)))/SUMIFS(DETAIL!$M$2:$M$137,DETAIL!$B$2:$B$137,$B27,DETAIL!$F$2:$F$137,MONTH(DATE(YEAR(SUMMARY!$C$6),MONTH(SUMMARY!$C$6)+2,1))))/$C$5+$C$3*(SUMIFS(DETAIL!$T$2:$T$137,DETAIL!$B$2:$B$137,$B27,DETAIL!$F$2:$F$137,MONTH(DATE(YEAR(SUMMARY!$C$6),MONTH(SUMMARY!$C$6)+2,1)))/SUMIFS(DETAIL!$M$2:$M$137,DETAIL!$B$2:$B$137,$B27,DETAIL!$F$2:$F$137,MONTH(DATE(YEAR(SUMMARY!$C$6),MONTH(SUMMARY!$C$6)+2,1))))/$C$6,"-")</f>
        <v>-</v>
      </c>
      <c r="Q27" s="101" t="str">
        <f>IFERROR($C$2*(SUMIFS(DETAIL!$R$2:$R$137,DETAIL!$B$2:$B$137,$B27,DETAIL!$F$2:$F$137,MONTH(DATE(YEAR(SUMMARY!$C$6),MONTH(SUMMARY!$C$6)+3,1)))/SUMIFS(DETAIL!$M$2:$M$137,DETAIL!$B$2:$B$137,$B27,DETAIL!$F$2:$F$137,MONTH(DATE(YEAR(SUMMARY!$C$6),MONTH(SUMMARY!$C$6)+3,1))))/$C$5+$C$3*(SUMIFS(DETAIL!$T$2:$T$137,DETAIL!$B$2:$B$137,$B27,DETAIL!$F$2:$F$137,MONTH(DATE(YEAR(SUMMARY!$C$6),MONTH(SUMMARY!$C$6)+3,1)))/SUMIFS(DETAIL!$M$2:$M$137,DETAIL!$B$2:$B$137,$B27,DETAIL!$F$2:$F$137,MONTH(DATE(YEAR(SUMMARY!$C$6),MONTH(SUMMARY!$C$6)+3,1))))/$C$6,"-")</f>
        <v>-</v>
      </c>
      <c r="R27" s="103">
        <f>IFERROR(INDEX(EVALUASI!$W$79:$W$132,MATCH($B27,EVALUASI!$C$79:$C$132,0)),"-")</f>
        <v>76.7</v>
      </c>
      <c r="S27" s="104" t="str">
        <f>IFERROR(INDEX(EVALUASI!$X$79:$X$132,MATCH($B27,EVALUASI!$C$79:$C$132,0)),"-")</f>
        <v>Cukup</v>
      </c>
      <c r="T27" s="105">
        <f t="shared" si="5"/>
        <v>0.3066518210075071</v>
      </c>
    </row>
    <row r="28" spans="1:20" x14ac:dyDescent="0.2">
      <c r="A28" s="97">
        <v>19</v>
      </c>
      <c r="B28" s="98" t="str">
        <f>PEMAGANG!C21</f>
        <v>SELVI NURUL HASANAH</v>
      </c>
      <c r="C28" s="98" t="str">
        <f>PEMAGANG!D21</f>
        <v>GANANG MUSYAFFA FAHMI</v>
      </c>
      <c r="D28" s="98" t="str">
        <f>PEMAGANG!F21</f>
        <v>PKSDM</v>
      </c>
      <c r="E28" s="99">
        <f>SUMIFS(DETAIL!$M$2:$M$137,DETAIL!$B$2:$B$137,$B28)</f>
        <v>76</v>
      </c>
      <c r="F28" s="99">
        <f>SUMIFS(DETAIL!$R$2:$R$137,DETAIL!$B$2:$B$137,$B28)</f>
        <v>253</v>
      </c>
      <c r="G28" s="100">
        <f>SUMIFS(DETAIL!$T$2:$T$137,DETAIL!$B$2:$B$137,$B28)</f>
        <v>18918</v>
      </c>
      <c r="H28" s="101">
        <f t="shared" si="0"/>
        <v>3.3289473684210527</v>
      </c>
      <c r="I28" s="99">
        <f t="shared" si="1"/>
        <v>248.92105263157896</v>
      </c>
      <c r="J28" s="101">
        <f t="shared" si="2"/>
        <v>2.212895237895427</v>
      </c>
      <c r="K28" s="102">
        <f t="shared" si="3"/>
        <v>1</v>
      </c>
      <c r="L28" s="97" t="str">
        <f>IF(E28=0,"-",IF(F28=0,"Tidak ada laporan",IF(J28&gt;=$E$2,"Sangat Tinggi",IF(J28&gt;=$E$3,"Tinggi",IF(J28&gt;=$E$4,"Sedang","Rendah")))))</f>
        <v>Sangat Tinggi</v>
      </c>
      <c r="M28" s="99">
        <f t="shared" si="4"/>
        <v>1</v>
      </c>
      <c r="N28" s="101">
        <f>IFERROR($C$2*(SUMIFS(DETAIL!$R$2:$R$137,DETAIL!$B$2:$B$137,$B28,DETAIL!$F$2:$F$137,MONTH(DATE(YEAR(SUMMARY!$C$6),MONTH(SUMMARY!$C$6)+0,1)))/SUMIFS(DETAIL!$M$2:$M$137,DETAIL!$B$2:$B$137,$B28,DETAIL!$F$2:$F$137,MONTH(DATE(YEAR(SUMMARY!$C$6),MONTH(SUMMARY!$C$6)+0,1))))/$C$5+$C$3*(SUMIFS(DETAIL!$T$2:$T$137,DETAIL!$B$2:$B$137,$B28,DETAIL!$F$2:$F$137,MONTH(DATE(YEAR(SUMMARY!$C$6),MONTH(SUMMARY!$C$6)+0,1)))/SUMIFS(DETAIL!$M$2:$M$137,DETAIL!$B$2:$B$137,$B28,DETAIL!$F$2:$F$137,MONTH(DATE(YEAR(SUMMARY!$C$6),MONTH(SUMMARY!$C$6)+0,1))))/$C$6,"-")</f>
        <v>2.3022947416816137</v>
      </c>
      <c r="O28" s="101">
        <f>IFERROR($C$2*(SUMIFS(DETAIL!$R$2:$R$137,DETAIL!$B$2:$B$137,$B28,DETAIL!$F$2:$F$137,MONTH(DATE(YEAR(SUMMARY!$C$6),MONTH(SUMMARY!$C$6)+1,1)))/SUMIFS(DETAIL!$M$2:$M$137,DETAIL!$B$2:$B$137,$B28,DETAIL!$F$2:$F$137,MONTH(DATE(YEAR(SUMMARY!$C$6),MONTH(SUMMARY!$C$6)+1,1))))/$C$5+$C$3*(SUMIFS(DETAIL!$T$2:$T$137,DETAIL!$B$2:$B$137,$B28,DETAIL!$F$2:$F$137,MONTH(DATE(YEAR(SUMMARY!$C$6),MONTH(SUMMARY!$C$6)+1,1)))/SUMIFS(DETAIL!$M$2:$M$137,DETAIL!$B$2:$B$137,$B28,DETAIL!$F$2:$F$137,MONTH(DATE(YEAR(SUMMARY!$C$6),MONTH(SUMMARY!$C$6)+1,1))))/$C$6,"-")</f>
        <v>2.5956344395159254</v>
      </c>
      <c r="P28" s="101">
        <f>IFERROR($C$2*(SUMIFS(DETAIL!$R$2:$R$137,DETAIL!$B$2:$B$137,$B28,DETAIL!$F$2:$F$137,MONTH(DATE(YEAR(SUMMARY!$C$6),MONTH(SUMMARY!$C$6)+2,1)))/SUMIFS(DETAIL!$M$2:$M$137,DETAIL!$B$2:$B$137,$B28,DETAIL!$F$2:$F$137,MONTH(DATE(YEAR(SUMMARY!$C$6),MONTH(SUMMARY!$C$6)+2,1))))/$C$5+$C$3*(SUMIFS(DETAIL!$T$2:$T$137,DETAIL!$B$2:$B$137,$B28,DETAIL!$F$2:$F$137,MONTH(DATE(YEAR(SUMMARY!$C$6),MONTH(SUMMARY!$C$6)+2,1)))/SUMIFS(DETAIL!$M$2:$M$137,DETAIL!$B$2:$B$137,$B28,DETAIL!$F$2:$F$137,MONTH(DATE(YEAR(SUMMARY!$C$6),MONTH(SUMMARY!$C$6)+2,1))))/$C$6,"-")</f>
        <v>2.2617524304360845</v>
      </c>
      <c r="Q28" s="101">
        <f>IFERROR($C$2*(SUMIFS(DETAIL!$R$2:$R$137,DETAIL!$B$2:$B$137,$B28,DETAIL!$F$2:$F$137,MONTH(DATE(YEAR(SUMMARY!$C$6),MONTH(SUMMARY!$C$6)+3,1)))/SUMIFS(DETAIL!$M$2:$M$137,DETAIL!$B$2:$B$137,$B28,DETAIL!$F$2:$F$137,MONTH(DATE(YEAR(SUMMARY!$C$6),MONTH(SUMMARY!$C$6)+3,1))))/$C$5+$C$3*(SUMIFS(DETAIL!$T$2:$T$137,DETAIL!$B$2:$B$137,$B28,DETAIL!$F$2:$F$137,MONTH(DATE(YEAR(SUMMARY!$C$6),MONTH(SUMMARY!$C$6)+3,1)))/SUMIFS(DETAIL!$M$2:$M$137,DETAIL!$B$2:$B$137,$B28,DETAIL!$F$2:$F$137,MONTH(DATE(YEAR(SUMMARY!$C$6),MONTH(SUMMARY!$C$6)+3,1))))/$C$6,"-")</f>
        <v>1.7341330920617617</v>
      </c>
      <c r="R28" s="103">
        <f>IFERROR(INDEX(EVALUASI!$W$79:$W$132,MATCH($B28,EVALUASI!$C$79:$C$132,0)),"-")</f>
        <v>97.9</v>
      </c>
      <c r="S28" s="104" t="str">
        <f>IFERROR(INDEX(EVALUASI!$X$79:$X$132,MATCH($B28,EVALUASI!$C$79:$C$132,0)),"-")</f>
        <v>Sangat Baik</v>
      </c>
      <c r="T28" s="105">
        <f t="shared" si="5"/>
        <v>2.2128672378954271</v>
      </c>
    </row>
    <row r="29" spans="1:20" x14ac:dyDescent="0.2">
      <c r="A29" s="97">
        <v>20</v>
      </c>
      <c r="B29" s="98" t="str">
        <f>PEMAGANG!C22</f>
        <v>FARREL ALWIN RAHMADHAN</v>
      </c>
      <c r="C29" s="98" t="str">
        <f>PEMAGANG!D22</f>
        <v>HASKIN AVIONATA</v>
      </c>
      <c r="D29" s="98" t="str">
        <f>PEMAGANG!F22</f>
        <v>EQUALISATION OFFICER (SID)</v>
      </c>
      <c r="E29" s="99">
        <f>SUMIFS(DETAIL!$M$2:$M$137,DETAIL!$B$2:$B$137,$B29)</f>
        <v>65</v>
      </c>
      <c r="F29" s="99">
        <f>SUMIFS(DETAIL!$R$2:$R$137,DETAIL!$B$2:$B$137,$B29)</f>
        <v>108</v>
      </c>
      <c r="G29" s="100">
        <f>SUMIFS(DETAIL!$T$2:$T$137,DETAIL!$B$2:$B$137,$B29)</f>
        <v>1843</v>
      </c>
      <c r="H29" s="101">
        <f t="shared" si="0"/>
        <v>1.6615384615384616</v>
      </c>
      <c r="I29" s="99">
        <f t="shared" si="1"/>
        <v>28.353846153846153</v>
      </c>
      <c r="J29" s="101">
        <f t="shared" si="2"/>
        <v>0.61100400615748751</v>
      </c>
      <c r="K29" s="102">
        <f t="shared" si="3"/>
        <v>0.61100400615748751</v>
      </c>
      <c r="L29" s="97" t="str">
        <f>IF(E29=0,"-",IF(F29=0,"Tidak ada laporan",IF(J29&gt;=$E$2,"Sangat Tinggi",IF(J29&gt;=$E$3,"Tinggi",IF(J29&gt;=$E$4,"Sedang","Rendah")))))</f>
        <v>Rendah</v>
      </c>
      <c r="M29" s="99">
        <f t="shared" si="4"/>
        <v>24</v>
      </c>
      <c r="N29" s="101">
        <f>IFERROR($C$2*(SUMIFS(DETAIL!$R$2:$R$137,DETAIL!$B$2:$B$137,$B29,DETAIL!$F$2:$F$137,MONTH(DATE(YEAR(SUMMARY!$C$6),MONTH(SUMMARY!$C$6)+0,1)))/SUMIFS(DETAIL!$M$2:$M$137,DETAIL!$B$2:$B$137,$B29,DETAIL!$F$2:$F$137,MONTH(DATE(YEAR(SUMMARY!$C$6),MONTH(SUMMARY!$C$6)+0,1))))/$C$5+$C$3*(SUMIFS(DETAIL!$T$2:$T$137,DETAIL!$B$2:$B$137,$B29,DETAIL!$F$2:$F$137,MONTH(DATE(YEAR(SUMMARY!$C$6),MONTH(SUMMARY!$C$6)+0,1)))/SUMIFS(DETAIL!$M$2:$M$137,DETAIL!$B$2:$B$137,$B29,DETAIL!$F$2:$F$137,MONTH(DATE(YEAR(SUMMARY!$C$6),MONTH(SUMMARY!$C$6)+0,1))))/$C$6,"-")</f>
        <v>0.54441359635883357</v>
      </c>
      <c r="O29" s="101">
        <f>IFERROR($C$2*(SUMIFS(DETAIL!$R$2:$R$137,DETAIL!$B$2:$B$137,$B29,DETAIL!$F$2:$F$137,MONTH(DATE(YEAR(SUMMARY!$C$6),MONTH(SUMMARY!$C$6)+1,1)))/SUMIFS(DETAIL!$M$2:$M$137,DETAIL!$B$2:$B$137,$B29,DETAIL!$F$2:$F$137,MONTH(DATE(YEAR(SUMMARY!$C$6),MONTH(SUMMARY!$C$6)+1,1))))/$C$5+$C$3*(SUMIFS(DETAIL!$T$2:$T$137,DETAIL!$B$2:$B$137,$B29,DETAIL!$F$2:$F$137,MONTH(DATE(YEAR(SUMMARY!$C$6),MONTH(SUMMARY!$C$6)+1,1)))/SUMIFS(DETAIL!$M$2:$M$137,DETAIL!$B$2:$B$137,$B29,DETAIL!$F$2:$F$137,MONTH(DATE(YEAR(SUMMARY!$C$6),MONTH(SUMMARY!$C$6)+1,1))))/$C$6,"-")</f>
        <v>0.50485377389828867</v>
      </c>
      <c r="P29" s="101">
        <f>IFERROR($C$2*(SUMIFS(DETAIL!$R$2:$R$137,DETAIL!$B$2:$B$137,$B29,DETAIL!$F$2:$F$137,MONTH(DATE(YEAR(SUMMARY!$C$6),MONTH(SUMMARY!$C$6)+2,1)))/SUMIFS(DETAIL!$M$2:$M$137,DETAIL!$B$2:$B$137,$B29,DETAIL!$F$2:$F$137,MONTH(DATE(YEAR(SUMMARY!$C$6),MONTH(SUMMARY!$C$6)+2,1))))/$C$5+$C$3*(SUMIFS(DETAIL!$T$2:$T$137,DETAIL!$B$2:$B$137,$B29,DETAIL!$F$2:$F$137,MONTH(DATE(YEAR(SUMMARY!$C$6),MONTH(SUMMARY!$C$6)+2,1)))/SUMIFS(DETAIL!$M$2:$M$137,DETAIL!$B$2:$B$137,$B29,DETAIL!$F$2:$F$137,MONTH(DATE(YEAR(SUMMARY!$C$6),MONTH(SUMMARY!$C$6)+2,1))))/$C$6,"-")</f>
        <v>0.57522858858528347</v>
      </c>
      <c r="Q29" s="101">
        <f>IFERROR($C$2*(SUMIFS(DETAIL!$R$2:$R$137,DETAIL!$B$2:$B$137,$B29,DETAIL!$F$2:$F$137,MONTH(DATE(YEAR(SUMMARY!$C$6),MONTH(SUMMARY!$C$6)+3,1)))/SUMIFS(DETAIL!$M$2:$M$137,DETAIL!$B$2:$B$137,$B29,DETAIL!$F$2:$F$137,MONTH(DATE(YEAR(SUMMARY!$C$6),MONTH(SUMMARY!$C$6)+3,1))))/$C$5+$C$3*(SUMIFS(DETAIL!$T$2:$T$137,DETAIL!$B$2:$B$137,$B29,DETAIL!$F$2:$F$137,MONTH(DATE(YEAR(SUMMARY!$C$6),MONTH(SUMMARY!$C$6)+3,1)))/SUMIFS(DETAIL!$M$2:$M$137,DETAIL!$B$2:$B$137,$B29,DETAIL!$F$2:$F$137,MONTH(DATE(YEAR(SUMMARY!$C$6),MONTH(SUMMARY!$C$6)+3,1))))/$C$6,"-")</f>
        <v>0.74471650254997557</v>
      </c>
      <c r="R29" s="103">
        <f>IFERROR(INDEX(EVALUASI!$W$79:$W$132,MATCH($B29,EVALUASI!$C$79:$C$132,0)),"-")</f>
        <v>78.099999999999994</v>
      </c>
      <c r="S29" s="104" t="str">
        <f>IFERROR(INDEX(EVALUASI!$X$79:$X$132,MATCH($B29,EVALUASI!$C$79:$C$132,0)),"-")</f>
        <v>Cukup</v>
      </c>
      <c r="T29" s="105">
        <f t="shared" si="5"/>
        <v>0.61097500615748757</v>
      </c>
    </row>
    <row r="30" spans="1:20" x14ac:dyDescent="0.2">
      <c r="A30" s="97">
        <v>21</v>
      </c>
      <c r="B30" s="98" t="str">
        <f>PEMAGANG!C23</f>
        <v>MASDUQI MUHAMMAD</v>
      </c>
      <c r="C30" s="98" t="str">
        <f>PEMAGANG!D23</f>
        <v>IMAM SUBEKTI</v>
      </c>
      <c r="D30" s="98" t="str">
        <f>PEMAGANG!F23</f>
        <v>PGS MANAGER OF LAMONGAN BRANCH</v>
      </c>
      <c r="E30" s="99">
        <f>SUMIFS(DETAIL!$M$2:$M$137,DETAIL!$B$2:$B$137,$B30)</f>
        <v>15</v>
      </c>
      <c r="F30" s="99">
        <f>SUMIFS(DETAIL!$R$2:$R$137,DETAIL!$B$2:$B$137,$B30)</f>
        <v>0</v>
      </c>
      <c r="G30" s="100">
        <f>SUMIFS(DETAIL!$T$2:$T$137,DETAIL!$B$2:$B$137,$B30)</f>
        <v>0</v>
      </c>
      <c r="H30" s="101">
        <f t="shared" si="0"/>
        <v>0</v>
      </c>
      <c r="I30" s="99">
        <f t="shared" si="1"/>
        <v>0</v>
      </c>
      <c r="J30" s="101">
        <f t="shared" si="2"/>
        <v>0</v>
      </c>
      <c r="K30" s="102">
        <f t="shared" si="3"/>
        <v>0</v>
      </c>
      <c r="L30" s="97" t="str">
        <f>IF(E30=0,"-",IF(F30=0,"Tidak ada laporan",IF(J30&gt;=$E$2,"Sangat Tinggi",IF(J30&gt;=$E$3,"Tinggi",IF(J30&gt;=$E$4,"Sedang","Rendah")))))</f>
        <v>Tidak ada laporan</v>
      </c>
      <c r="M30" s="99">
        <f t="shared" si="4"/>
        <v>34</v>
      </c>
      <c r="N30" s="101" t="str">
        <f>IFERROR($C$2*(SUMIFS(DETAIL!$R$2:$R$137,DETAIL!$B$2:$B$137,$B30,DETAIL!$F$2:$F$137,MONTH(DATE(YEAR(SUMMARY!$C$6),MONTH(SUMMARY!$C$6)+0,1)))/SUMIFS(DETAIL!$M$2:$M$137,DETAIL!$B$2:$B$137,$B30,DETAIL!$F$2:$F$137,MONTH(DATE(YEAR(SUMMARY!$C$6),MONTH(SUMMARY!$C$6)+0,1))))/$C$5+$C$3*(SUMIFS(DETAIL!$T$2:$T$137,DETAIL!$B$2:$B$137,$B30,DETAIL!$F$2:$F$137,MONTH(DATE(YEAR(SUMMARY!$C$6),MONTH(SUMMARY!$C$6)+0,1)))/SUMIFS(DETAIL!$M$2:$M$137,DETAIL!$B$2:$B$137,$B30,DETAIL!$F$2:$F$137,MONTH(DATE(YEAR(SUMMARY!$C$6),MONTH(SUMMARY!$C$6)+0,1))))/$C$6,"-")</f>
        <v>-</v>
      </c>
      <c r="O30" s="101" t="str">
        <f>IFERROR($C$2*(SUMIFS(DETAIL!$R$2:$R$137,DETAIL!$B$2:$B$137,$B30,DETAIL!$F$2:$F$137,MONTH(DATE(YEAR(SUMMARY!$C$6),MONTH(SUMMARY!$C$6)+1,1)))/SUMIFS(DETAIL!$M$2:$M$137,DETAIL!$B$2:$B$137,$B30,DETAIL!$F$2:$F$137,MONTH(DATE(YEAR(SUMMARY!$C$6),MONTH(SUMMARY!$C$6)+1,1))))/$C$5+$C$3*(SUMIFS(DETAIL!$T$2:$T$137,DETAIL!$B$2:$B$137,$B30,DETAIL!$F$2:$F$137,MONTH(DATE(YEAR(SUMMARY!$C$6),MONTH(SUMMARY!$C$6)+1,1)))/SUMIFS(DETAIL!$M$2:$M$137,DETAIL!$B$2:$B$137,$B30,DETAIL!$F$2:$F$137,MONTH(DATE(YEAR(SUMMARY!$C$6),MONTH(SUMMARY!$C$6)+1,1))))/$C$6,"-")</f>
        <v>-</v>
      </c>
      <c r="P30" s="101" t="str">
        <f>IFERROR($C$2*(SUMIFS(DETAIL!$R$2:$R$137,DETAIL!$B$2:$B$137,$B30,DETAIL!$F$2:$F$137,MONTH(DATE(YEAR(SUMMARY!$C$6),MONTH(SUMMARY!$C$6)+2,1)))/SUMIFS(DETAIL!$M$2:$M$137,DETAIL!$B$2:$B$137,$B30,DETAIL!$F$2:$F$137,MONTH(DATE(YEAR(SUMMARY!$C$6),MONTH(SUMMARY!$C$6)+2,1))))/$C$5+$C$3*(SUMIFS(DETAIL!$T$2:$T$137,DETAIL!$B$2:$B$137,$B30,DETAIL!$F$2:$F$137,MONTH(DATE(YEAR(SUMMARY!$C$6),MONTH(SUMMARY!$C$6)+2,1)))/SUMIFS(DETAIL!$M$2:$M$137,DETAIL!$B$2:$B$137,$B30,DETAIL!$F$2:$F$137,MONTH(DATE(YEAR(SUMMARY!$C$6),MONTH(SUMMARY!$C$6)+2,1))))/$C$6,"-")</f>
        <v>-</v>
      </c>
      <c r="Q30" s="101">
        <f>IFERROR($C$2*(SUMIFS(DETAIL!$R$2:$R$137,DETAIL!$B$2:$B$137,$B30,DETAIL!$F$2:$F$137,MONTH(DATE(YEAR(SUMMARY!$C$6),MONTH(SUMMARY!$C$6)+3,1)))/SUMIFS(DETAIL!$M$2:$M$137,DETAIL!$B$2:$B$137,$B30,DETAIL!$F$2:$F$137,MONTH(DATE(YEAR(SUMMARY!$C$6),MONTH(SUMMARY!$C$6)+3,1))))/$C$5+$C$3*(SUMIFS(DETAIL!$T$2:$T$137,DETAIL!$B$2:$B$137,$B30,DETAIL!$F$2:$F$137,MONTH(DATE(YEAR(SUMMARY!$C$6),MONTH(SUMMARY!$C$6)+3,1)))/SUMIFS(DETAIL!$M$2:$M$137,DETAIL!$B$2:$B$137,$B30,DETAIL!$F$2:$F$137,MONTH(DATE(YEAR(SUMMARY!$C$6),MONTH(SUMMARY!$C$6)+3,1))))/$C$6,"-")</f>
        <v>0</v>
      </c>
      <c r="R30" s="103">
        <f>IFERROR(INDEX(EVALUASI!$W$79:$W$132,MATCH($B30,EVALUASI!$C$79:$C$132,0)),"-")</f>
        <v>31.8</v>
      </c>
      <c r="S30" s="104" t="str">
        <f>IFERROR(INDEX(EVALUASI!$X$79:$X$132,MATCH($B30,EVALUASI!$C$79:$C$132,0)),"-")</f>
        <v>Perlu Pembinaan</v>
      </c>
      <c r="T30" s="105">
        <f t="shared" si="5"/>
        <v>-3.0000000000000001E-5</v>
      </c>
    </row>
    <row r="31" spans="1:20" x14ac:dyDescent="0.2">
      <c r="A31" s="97">
        <v>22</v>
      </c>
      <c r="B31" s="98" t="str">
        <f>PEMAGANG!C24</f>
        <v>CITRA ANGGRAINI</v>
      </c>
      <c r="C31" s="98" t="str">
        <f>PEMAGANG!D24</f>
        <v>IMANIAR PUTRI UTAMI</v>
      </c>
      <c r="D31" s="98" t="str">
        <f>PEMAGANG!F24</f>
        <v>MANAGER OF VERIFICATION</v>
      </c>
      <c r="E31" s="99">
        <f>SUMIFS(DETAIL!$M$2:$M$137,DETAIL!$B$2:$B$137,$B31)</f>
        <v>13</v>
      </c>
      <c r="F31" s="99">
        <f>SUMIFS(DETAIL!$R$2:$R$137,DETAIL!$B$2:$B$137,$B31)</f>
        <v>13</v>
      </c>
      <c r="G31" s="100">
        <f>SUMIFS(DETAIL!$T$2:$T$137,DETAIL!$B$2:$B$137,$B31)</f>
        <v>1261</v>
      </c>
      <c r="H31" s="101">
        <f t="shared" si="0"/>
        <v>1</v>
      </c>
      <c r="I31" s="99">
        <f t="shared" si="1"/>
        <v>97</v>
      </c>
      <c r="J31" s="101">
        <f t="shared" si="2"/>
        <v>0.77912780074043242</v>
      </c>
      <c r="K31" s="102">
        <f t="shared" si="3"/>
        <v>0.77912780074043242</v>
      </c>
      <c r="L31" s="97" t="str">
        <f>IF(E31=0,"-",IF(F31=0,"Tidak ada laporan",IF(J31&gt;=$E$2,"Sangat Tinggi",IF(J31&gt;=$E$3,"Tinggi",IF(J31&gt;=$E$4,"Sedang","Rendah")))))</f>
        <v>Sedang</v>
      </c>
      <c r="M31" s="99">
        <f t="shared" si="4"/>
        <v>18</v>
      </c>
      <c r="N31" s="101" t="str">
        <f>IFERROR($C$2*(SUMIFS(DETAIL!$R$2:$R$137,DETAIL!$B$2:$B$137,$B31,DETAIL!$F$2:$F$137,MONTH(DATE(YEAR(SUMMARY!$C$6),MONTH(SUMMARY!$C$6)+0,1)))/SUMIFS(DETAIL!$M$2:$M$137,DETAIL!$B$2:$B$137,$B31,DETAIL!$F$2:$F$137,MONTH(DATE(YEAR(SUMMARY!$C$6),MONTH(SUMMARY!$C$6)+0,1))))/$C$5+$C$3*(SUMIFS(DETAIL!$T$2:$T$137,DETAIL!$B$2:$B$137,$B31,DETAIL!$F$2:$F$137,MONTH(DATE(YEAR(SUMMARY!$C$6),MONTH(SUMMARY!$C$6)+0,1)))/SUMIFS(DETAIL!$M$2:$M$137,DETAIL!$B$2:$B$137,$B31,DETAIL!$F$2:$F$137,MONTH(DATE(YEAR(SUMMARY!$C$6),MONTH(SUMMARY!$C$6)+0,1))))/$C$6,"-")</f>
        <v>-</v>
      </c>
      <c r="O31" s="101" t="str">
        <f>IFERROR($C$2*(SUMIFS(DETAIL!$R$2:$R$137,DETAIL!$B$2:$B$137,$B31,DETAIL!$F$2:$F$137,MONTH(DATE(YEAR(SUMMARY!$C$6),MONTH(SUMMARY!$C$6)+1,1)))/SUMIFS(DETAIL!$M$2:$M$137,DETAIL!$B$2:$B$137,$B31,DETAIL!$F$2:$F$137,MONTH(DATE(YEAR(SUMMARY!$C$6),MONTH(SUMMARY!$C$6)+1,1))))/$C$5+$C$3*(SUMIFS(DETAIL!$T$2:$T$137,DETAIL!$B$2:$B$137,$B31,DETAIL!$F$2:$F$137,MONTH(DATE(YEAR(SUMMARY!$C$6),MONTH(SUMMARY!$C$6)+1,1)))/SUMIFS(DETAIL!$M$2:$M$137,DETAIL!$B$2:$B$137,$B31,DETAIL!$F$2:$F$137,MONTH(DATE(YEAR(SUMMARY!$C$6),MONTH(SUMMARY!$C$6)+1,1))))/$C$6,"-")</f>
        <v>-</v>
      </c>
      <c r="P31" s="101" t="str">
        <f>IFERROR($C$2*(SUMIFS(DETAIL!$R$2:$R$137,DETAIL!$B$2:$B$137,$B31,DETAIL!$F$2:$F$137,MONTH(DATE(YEAR(SUMMARY!$C$6),MONTH(SUMMARY!$C$6)+2,1)))/SUMIFS(DETAIL!$M$2:$M$137,DETAIL!$B$2:$B$137,$B31,DETAIL!$F$2:$F$137,MONTH(DATE(YEAR(SUMMARY!$C$6),MONTH(SUMMARY!$C$6)+2,1))))/$C$5+$C$3*(SUMIFS(DETAIL!$T$2:$T$137,DETAIL!$B$2:$B$137,$B31,DETAIL!$F$2:$F$137,MONTH(DATE(YEAR(SUMMARY!$C$6),MONTH(SUMMARY!$C$6)+2,1)))/SUMIFS(DETAIL!$M$2:$M$137,DETAIL!$B$2:$B$137,$B31,DETAIL!$F$2:$F$137,MONTH(DATE(YEAR(SUMMARY!$C$6),MONTH(SUMMARY!$C$6)+2,1))))/$C$6,"-")</f>
        <v>-</v>
      </c>
      <c r="Q31" s="101">
        <f>IFERROR($C$2*(SUMIFS(DETAIL!$R$2:$R$137,DETAIL!$B$2:$B$137,$B31,DETAIL!$F$2:$F$137,MONTH(DATE(YEAR(SUMMARY!$C$6),MONTH(SUMMARY!$C$6)+3,1)))/SUMIFS(DETAIL!$M$2:$M$137,DETAIL!$B$2:$B$137,$B31,DETAIL!$F$2:$F$137,MONTH(DATE(YEAR(SUMMARY!$C$6),MONTH(SUMMARY!$C$6)+3,1))))/$C$5+$C$3*(SUMIFS(DETAIL!$T$2:$T$137,DETAIL!$B$2:$B$137,$B31,DETAIL!$F$2:$F$137,MONTH(DATE(YEAR(SUMMARY!$C$6),MONTH(SUMMARY!$C$6)+3,1)))/SUMIFS(DETAIL!$M$2:$M$137,DETAIL!$B$2:$B$137,$B31,DETAIL!$F$2:$F$137,MONTH(DATE(YEAR(SUMMARY!$C$6),MONTH(SUMMARY!$C$6)+3,1))))/$C$6,"-")</f>
        <v>0.77912780074043242</v>
      </c>
      <c r="R31" s="103">
        <f>IFERROR(INDEX(EVALUASI!$W$79:$W$132,MATCH($B31,EVALUASI!$C$79:$C$132,0)),"-")</f>
        <v>91.8</v>
      </c>
      <c r="S31" s="104" t="str">
        <f>IFERROR(INDEX(EVALUASI!$X$79:$X$132,MATCH($B31,EVALUASI!$C$79:$C$132,0)),"-")</f>
        <v>Sangat Baik</v>
      </c>
      <c r="T31" s="105">
        <f t="shared" si="5"/>
        <v>0.77909680074043242</v>
      </c>
    </row>
    <row r="32" spans="1:20" x14ac:dyDescent="0.2">
      <c r="A32" s="97">
        <v>23</v>
      </c>
      <c r="B32" s="98" t="str">
        <f>PEMAGANG!C25</f>
        <v>KHOFIFATUNNABILAH</v>
      </c>
      <c r="C32" s="98" t="str">
        <f>PEMAGANG!D25</f>
        <v>M. RIZAD FAHRURI</v>
      </c>
      <c r="D32" s="98" t="str">
        <f>PEMAGANG!F25</f>
        <v>PGS FINANCIAL ANALYSIS OFFICER</v>
      </c>
      <c r="E32" s="99">
        <f>SUMIFS(DETAIL!$M$2:$M$137,DETAIL!$B$2:$B$137,$B32)</f>
        <v>78</v>
      </c>
      <c r="F32" s="99">
        <f>SUMIFS(DETAIL!$R$2:$R$137,DETAIL!$B$2:$B$137,$B32)</f>
        <v>248</v>
      </c>
      <c r="G32" s="100">
        <f>SUMIFS(DETAIL!$T$2:$T$137,DETAIL!$B$2:$B$137,$B32)</f>
        <v>16140</v>
      </c>
      <c r="H32" s="101">
        <f t="shared" si="0"/>
        <v>3.1794871794871793</v>
      </c>
      <c r="I32" s="99">
        <f t="shared" si="1"/>
        <v>206.92307692307693</v>
      </c>
      <c r="J32" s="101">
        <f t="shared" si="2"/>
        <v>1.9549135907197357</v>
      </c>
      <c r="K32" s="102">
        <f t="shared" si="3"/>
        <v>1</v>
      </c>
      <c r="L32" s="97" t="str">
        <f>IF(E32=0,"-",IF(F32=0,"Tidak ada laporan",IF(J32&gt;=$E$2,"Sangat Tinggi",IF(J32&gt;=$E$3,"Tinggi",IF(J32&gt;=$E$4,"Sedang","Rendah")))))</f>
        <v>Sangat Tinggi</v>
      </c>
      <c r="M32" s="99">
        <f t="shared" si="4"/>
        <v>3</v>
      </c>
      <c r="N32" s="101">
        <f>IFERROR($C$2*(SUMIFS(DETAIL!$R$2:$R$137,DETAIL!$B$2:$B$137,$B32,DETAIL!$F$2:$F$137,MONTH(DATE(YEAR(SUMMARY!$C$6),MONTH(SUMMARY!$C$6)+0,1)))/SUMIFS(DETAIL!$M$2:$M$137,DETAIL!$B$2:$B$137,$B32,DETAIL!$F$2:$F$137,MONTH(DATE(YEAR(SUMMARY!$C$6),MONTH(SUMMARY!$C$6)+0,1))))/$C$5+$C$3*(SUMIFS(DETAIL!$T$2:$T$137,DETAIL!$B$2:$B$137,$B32,DETAIL!$F$2:$F$137,MONTH(DATE(YEAR(SUMMARY!$C$6),MONTH(SUMMARY!$C$6)+0,1)))/SUMIFS(DETAIL!$M$2:$M$137,DETAIL!$B$2:$B$137,$B32,DETAIL!$F$2:$F$137,MONTH(DATE(YEAR(SUMMARY!$C$6),MONTH(SUMMARY!$C$6)+0,1))))/$C$6,"-")</f>
        <v>1.5303726531548225</v>
      </c>
      <c r="O32" s="101">
        <f>IFERROR($C$2*(SUMIFS(DETAIL!$R$2:$R$137,DETAIL!$B$2:$B$137,$B32,DETAIL!$F$2:$F$137,MONTH(DATE(YEAR(SUMMARY!$C$6),MONTH(SUMMARY!$C$6)+1,1)))/SUMIFS(DETAIL!$M$2:$M$137,DETAIL!$B$2:$B$137,$B32,DETAIL!$F$2:$F$137,MONTH(DATE(YEAR(SUMMARY!$C$6),MONTH(SUMMARY!$C$6)+1,1))))/$C$5+$C$3*(SUMIFS(DETAIL!$T$2:$T$137,DETAIL!$B$2:$B$137,$B32,DETAIL!$F$2:$F$137,MONTH(DATE(YEAR(SUMMARY!$C$6),MONTH(SUMMARY!$C$6)+1,1)))/SUMIFS(DETAIL!$M$2:$M$137,DETAIL!$B$2:$B$137,$B32,DETAIL!$F$2:$F$137,MONTH(DATE(YEAR(SUMMARY!$C$6),MONTH(SUMMARY!$C$6)+1,1))))/$C$6,"-")</f>
        <v>2.2343440687439307</v>
      </c>
      <c r="P32" s="101">
        <f>IFERROR($C$2*(SUMIFS(DETAIL!$R$2:$R$137,DETAIL!$B$2:$B$137,$B32,DETAIL!$F$2:$F$137,MONTH(DATE(YEAR(SUMMARY!$C$6),MONTH(SUMMARY!$C$6)+2,1)))/SUMIFS(DETAIL!$M$2:$M$137,DETAIL!$B$2:$B$137,$B32,DETAIL!$F$2:$F$137,MONTH(DATE(YEAR(SUMMARY!$C$6),MONTH(SUMMARY!$C$6)+2,1))))/$C$5+$C$3*(SUMIFS(DETAIL!$T$2:$T$137,DETAIL!$B$2:$B$137,$B32,DETAIL!$F$2:$F$137,MONTH(DATE(YEAR(SUMMARY!$C$6),MONTH(SUMMARY!$C$6)+2,1)))/SUMIFS(DETAIL!$M$2:$M$137,DETAIL!$B$2:$B$137,$B32,DETAIL!$F$2:$F$137,MONTH(DATE(YEAR(SUMMARY!$C$6),MONTH(SUMMARY!$C$6)+2,1))))/$C$6,"-")</f>
        <v>2.0973721289672862</v>
      </c>
      <c r="Q32" s="101">
        <f>IFERROR($C$2*(SUMIFS(DETAIL!$R$2:$R$137,DETAIL!$B$2:$B$137,$B32,DETAIL!$F$2:$F$137,MONTH(DATE(YEAR(SUMMARY!$C$6),MONTH(SUMMARY!$C$6)+3,1)))/SUMIFS(DETAIL!$M$2:$M$137,DETAIL!$B$2:$B$137,$B32,DETAIL!$F$2:$F$137,MONTH(DATE(YEAR(SUMMARY!$C$6),MONTH(SUMMARY!$C$6)+3,1))))/$C$5+$C$3*(SUMIFS(DETAIL!$T$2:$T$137,DETAIL!$B$2:$B$137,$B32,DETAIL!$F$2:$F$137,MONTH(DATE(YEAR(SUMMARY!$C$6),MONTH(SUMMARY!$C$6)+3,1)))/SUMIFS(DETAIL!$M$2:$M$137,DETAIL!$B$2:$B$137,$B32,DETAIL!$F$2:$F$137,MONTH(DATE(YEAR(SUMMARY!$C$6),MONTH(SUMMARY!$C$6)+3,1))))/$C$6,"-")</f>
        <v>2.0019039724553478</v>
      </c>
      <c r="R32" s="103">
        <f>IFERROR(INDEX(EVALUASI!$W$79:$W$132,MATCH($B32,EVALUASI!$C$79:$C$132,0)),"-")</f>
        <v>98.5</v>
      </c>
      <c r="S32" s="104" t="str">
        <f>IFERROR(INDEX(EVALUASI!$X$79:$X$132,MATCH($B32,EVALUASI!$C$79:$C$132,0)),"-")</f>
        <v>Sangat Baik</v>
      </c>
      <c r="T32" s="105">
        <f t="shared" si="5"/>
        <v>1.9548815907197357</v>
      </c>
    </row>
    <row r="33" spans="1:20" x14ac:dyDescent="0.2">
      <c r="A33" s="97">
        <v>24</v>
      </c>
      <c r="B33" s="98" t="str">
        <f>PEMAGANG!C26</f>
        <v>ANGGUN NUR TSANIA AGUSTIN</v>
      </c>
      <c r="C33" s="98" t="str">
        <f>PEMAGANG!D26</f>
        <v>MOH. AGUS EFENDI</v>
      </c>
      <c r="D33" s="98" t="str">
        <f>PEMAGANG!F26</f>
        <v>MANAGER OF TRANSPORTATION</v>
      </c>
      <c r="E33" s="99">
        <f>SUMIFS(DETAIL!$M$2:$M$137,DETAIL!$B$2:$B$137,$B33)</f>
        <v>81</v>
      </c>
      <c r="F33" s="99">
        <f>SUMIFS(DETAIL!$R$2:$R$137,DETAIL!$B$2:$B$137,$B33)</f>
        <v>217</v>
      </c>
      <c r="G33" s="100">
        <f>SUMIFS(DETAIL!$T$2:$T$137,DETAIL!$B$2:$B$137,$B33)</f>
        <v>9567</v>
      </c>
      <c r="H33" s="101">
        <f t="shared" si="0"/>
        <v>2.6790123456790123</v>
      </c>
      <c r="I33" s="99">
        <f t="shared" si="1"/>
        <v>118.11111111111111</v>
      </c>
      <c r="J33" s="101">
        <f t="shared" si="2"/>
        <v>1.357747477399295</v>
      </c>
      <c r="K33" s="102">
        <f t="shared" si="3"/>
        <v>1</v>
      </c>
      <c r="L33" s="97" t="str">
        <f>IF(E33=0,"-",IF(F33=0,"Tidak ada laporan",IF(J33&gt;=$E$2,"Sangat Tinggi",IF(J33&gt;=$E$3,"Tinggi",IF(J33&gt;=$E$4,"Sedang","Rendah")))))</f>
        <v>Tinggi</v>
      </c>
      <c r="M33" s="99">
        <f t="shared" si="4"/>
        <v>8</v>
      </c>
      <c r="N33" s="101">
        <f>IFERROR($C$2*(SUMIFS(DETAIL!$R$2:$R$137,DETAIL!$B$2:$B$137,$B33,DETAIL!$F$2:$F$137,MONTH(DATE(YEAR(SUMMARY!$C$6),MONTH(SUMMARY!$C$6)+0,1)))/SUMIFS(DETAIL!$M$2:$M$137,DETAIL!$B$2:$B$137,$B33,DETAIL!$F$2:$F$137,MONTH(DATE(YEAR(SUMMARY!$C$6),MONTH(SUMMARY!$C$6)+0,1))))/$C$5+$C$3*(SUMIFS(DETAIL!$T$2:$T$137,DETAIL!$B$2:$B$137,$B33,DETAIL!$F$2:$F$137,MONTH(DATE(YEAR(SUMMARY!$C$6),MONTH(SUMMARY!$C$6)+0,1)))/SUMIFS(DETAIL!$M$2:$M$137,DETAIL!$B$2:$B$137,$B33,DETAIL!$F$2:$F$137,MONTH(DATE(YEAR(SUMMARY!$C$6),MONTH(SUMMARY!$C$6)+0,1))))/$C$6,"-")</f>
        <v>1.3777761545258413</v>
      </c>
      <c r="O33" s="101">
        <f>IFERROR($C$2*(SUMIFS(DETAIL!$R$2:$R$137,DETAIL!$B$2:$B$137,$B33,DETAIL!$F$2:$F$137,MONTH(DATE(YEAR(SUMMARY!$C$6),MONTH(SUMMARY!$C$6)+1,1)))/SUMIFS(DETAIL!$M$2:$M$137,DETAIL!$B$2:$B$137,$B33,DETAIL!$F$2:$F$137,MONTH(DATE(YEAR(SUMMARY!$C$6),MONTH(SUMMARY!$C$6)+1,1))))/$C$5+$C$3*(SUMIFS(DETAIL!$T$2:$T$137,DETAIL!$B$2:$B$137,$B33,DETAIL!$F$2:$F$137,MONTH(DATE(YEAR(SUMMARY!$C$6),MONTH(SUMMARY!$C$6)+1,1)))/SUMIFS(DETAIL!$M$2:$M$137,DETAIL!$B$2:$B$137,$B33,DETAIL!$F$2:$F$137,MONTH(DATE(YEAR(SUMMARY!$C$6),MONTH(SUMMARY!$C$6)+1,1))))/$C$6,"-")</f>
        <v>1.3578040484649934</v>
      </c>
      <c r="P33" s="101">
        <f>IFERROR($C$2*(SUMIFS(DETAIL!$R$2:$R$137,DETAIL!$B$2:$B$137,$B33,DETAIL!$F$2:$F$137,MONTH(DATE(YEAR(SUMMARY!$C$6),MONTH(SUMMARY!$C$6)+2,1)))/SUMIFS(DETAIL!$M$2:$M$137,DETAIL!$B$2:$B$137,$B33,DETAIL!$F$2:$F$137,MONTH(DATE(YEAR(SUMMARY!$C$6),MONTH(SUMMARY!$C$6)+2,1))))/$C$5+$C$3*(SUMIFS(DETAIL!$T$2:$T$137,DETAIL!$B$2:$B$137,$B33,DETAIL!$F$2:$F$137,MONTH(DATE(YEAR(SUMMARY!$C$6),MONTH(SUMMARY!$C$6)+2,1)))/SUMIFS(DETAIL!$M$2:$M$137,DETAIL!$B$2:$B$137,$B33,DETAIL!$F$2:$F$137,MONTH(DATE(YEAR(SUMMARY!$C$6),MONTH(SUMMARY!$C$6)+2,1))))/$C$6,"-")</f>
        <v>1.4399363312066193</v>
      </c>
      <c r="Q33" s="101">
        <f>IFERROR($C$2*(SUMIFS(DETAIL!$R$2:$R$137,DETAIL!$B$2:$B$137,$B33,DETAIL!$F$2:$F$137,MONTH(DATE(YEAR(SUMMARY!$C$6),MONTH(SUMMARY!$C$6)+3,1)))/SUMIFS(DETAIL!$M$2:$M$137,DETAIL!$B$2:$B$137,$B33,DETAIL!$F$2:$F$137,MONTH(DATE(YEAR(SUMMARY!$C$6),MONTH(SUMMARY!$C$6)+3,1))))/$C$5+$C$3*(SUMIFS(DETAIL!$T$2:$T$137,DETAIL!$B$2:$B$137,$B33,DETAIL!$F$2:$F$137,MONTH(DATE(YEAR(SUMMARY!$C$6),MONTH(SUMMARY!$C$6)+3,1)))/SUMIFS(DETAIL!$M$2:$M$137,DETAIL!$B$2:$B$137,$B33,DETAIL!$F$2:$F$137,MONTH(DATE(YEAR(SUMMARY!$C$6),MONTH(SUMMARY!$C$6)+3,1))))/$C$6,"-")</f>
        <v>1.2685068780272921</v>
      </c>
      <c r="R33" s="103">
        <f>IFERROR(INDEX(EVALUASI!$W$79:$W$132,MATCH($B33,EVALUASI!$C$79:$C$132,0)),"-")</f>
        <v>99</v>
      </c>
      <c r="S33" s="104" t="str">
        <f>IFERROR(INDEX(EVALUASI!$X$79:$X$132,MATCH($B33,EVALUASI!$C$79:$C$132,0)),"-")</f>
        <v>Sangat Baik</v>
      </c>
      <c r="T33" s="105">
        <f t="shared" si="5"/>
        <v>1.3577144773992951</v>
      </c>
    </row>
    <row r="34" spans="1:20" x14ac:dyDescent="0.2">
      <c r="A34" s="97">
        <v>25</v>
      </c>
      <c r="B34" s="98" t="str">
        <f>PEMAGANG!C27</f>
        <v>MUHAMMAD FATCHUL ALAM</v>
      </c>
      <c r="C34" s="98" t="str">
        <f>PEMAGANG!D27</f>
        <v>MOH. AGUS EFENDI</v>
      </c>
      <c r="D34" s="98" t="str">
        <f>PEMAGANG!F27</f>
        <v>MANAGER OF TRANSPORTATION</v>
      </c>
      <c r="E34" s="99">
        <f>SUMIFS(DETAIL!$M$2:$M$137,DETAIL!$B$2:$B$137,$B34)</f>
        <v>55</v>
      </c>
      <c r="F34" s="99">
        <f>SUMIFS(DETAIL!$R$2:$R$137,DETAIL!$B$2:$B$137,$B34)</f>
        <v>79</v>
      </c>
      <c r="G34" s="100">
        <f>SUMIFS(DETAIL!$T$2:$T$137,DETAIL!$B$2:$B$137,$B34)</f>
        <v>2368</v>
      </c>
      <c r="H34" s="101">
        <f t="shared" si="0"/>
        <v>1.4363636363636363</v>
      </c>
      <c r="I34" s="99">
        <f t="shared" si="1"/>
        <v>43.054545454545455</v>
      </c>
      <c r="J34" s="101">
        <f t="shared" si="2"/>
        <v>0.62363424425809977</v>
      </c>
      <c r="K34" s="102">
        <f t="shared" si="3"/>
        <v>0.62363424425809977</v>
      </c>
      <c r="L34" s="97" t="str">
        <f>IF(E34=0,"-",IF(F34=0,"Tidak ada laporan",IF(J34&gt;=$E$2,"Sangat Tinggi",IF(J34&gt;=$E$3,"Tinggi",IF(J34&gt;=$E$4,"Sedang","Rendah")))))</f>
        <v>Rendah</v>
      </c>
      <c r="M34" s="99">
        <f t="shared" si="4"/>
        <v>23</v>
      </c>
      <c r="N34" s="101" t="str">
        <f>IFERROR($C$2*(SUMIFS(DETAIL!$R$2:$R$137,DETAIL!$B$2:$B$137,$B34,DETAIL!$F$2:$F$137,MONTH(DATE(YEAR(SUMMARY!$C$6),MONTH(SUMMARY!$C$6)+0,1)))/SUMIFS(DETAIL!$M$2:$M$137,DETAIL!$B$2:$B$137,$B34,DETAIL!$F$2:$F$137,MONTH(DATE(YEAR(SUMMARY!$C$6),MONTH(SUMMARY!$C$6)+0,1))))/$C$5+$C$3*(SUMIFS(DETAIL!$T$2:$T$137,DETAIL!$B$2:$B$137,$B34,DETAIL!$F$2:$F$137,MONTH(DATE(YEAR(SUMMARY!$C$6),MONTH(SUMMARY!$C$6)+0,1)))/SUMIFS(DETAIL!$M$2:$M$137,DETAIL!$B$2:$B$137,$B34,DETAIL!$F$2:$F$137,MONTH(DATE(YEAR(SUMMARY!$C$6),MONTH(SUMMARY!$C$6)+0,1))))/$C$6,"-")</f>
        <v>-</v>
      </c>
      <c r="O34" s="101">
        <f>IFERROR($C$2*(SUMIFS(DETAIL!$R$2:$R$137,DETAIL!$B$2:$B$137,$B34,DETAIL!$F$2:$F$137,MONTH(DATE(YEAR(SUMMARY!$C$6),MONTH(SUMMARY!$C$6)+1,1)))/SUMIFS(DETAIL!$M$2:$M$137,DETAIL!$B$2:$B$137,$B34,DETAIL!$F$2:$F$137,MONTH(DATE(YEAR(SUMMARY!$C$6),MONTH(SUMMARY!$C$6)+1,1))))/$C$5+$C$3*(SUMIFS(DETAIL!$T$2:$T$137,DETAIL!$B$2:$B$137,$B34,DETAIL!$F$2:$F$137,MONTH(DATE(YEAR(SUMMARY!$C$6),MONTH(SUMMARY!$C$6)+1,1)))/SUMIFS(DETAIL!$M$2:$M$137,DETAIL!$B$2:$B$137,$B34,DETAIL!$F$2:$F$137,MONTH(DATE(YEAR(SUMMARY!$C$6),MONTH(SUMMARY!$C$6)+1,1))))/$C$6,"-")</f>
        <v>0.62675909308948108</v>
      </c>
      <c r="P34" s="101">
        <f>IFERROR($C$2*(SUMIFS(DETAIL!$R$2:$R$137,DETAIL!$B$2:$B$137,$B34,DETAIL!$F$2:$F$137,MONTH(DATE(YEAR(SUMMARY!$C$6),MONTH(SUMMARY!$C$6)+2,1)))/SUMIFS(DETAIL!$M$2:$M$137,DETAIL!$B$2:$B$137,$B34,DETAIL!$F$2:$F$137,MONTH(DATE(YEAR(SUMMARY!$C$6),MONTH(SUMMARY!$C$6)+2,1))))/$C$5+$C$3*(SUMIFS(DETAIL!$T$2:$T$137,DETAIL!$B$2:$B$137,$B34,DETAIL!$F$2:$F$137,MONTH(DATE(YEAR(SUMMARY!$C$6),MONTH(SUMMARY!$C$6)+2,1)))/SUMIFS(DETAIL!$M$2:$M$137,DETAIL!$B$2:$B$137,$B34,DETAIL!$F$2:$F$137,MONTH(DATE(YEAR(SUMMARY!$C$6),MONTH(SUMMARY!$C$6)+2,1))))/$C$6,"-")</f>
        <v>0.7357863898621142</v>
      </c>
      <c r="Q34" s="101">
        <f>IFERROR($C$2*(SUMIFS(DETAIL!$R$2:$R$137,DETAIL!$B$2:$B$137,$B34,DETAIL!$F$2:$F$137,MONTH(DATE(YEAR(SUMMARY!$C$6),MONTH(SUMMARY!$C$6)+3,1)))/SUMIFS(DETAIL!$M$2:$M$137,DETAIL!$B$2:$B$137,$B34,DETAIL!$F$2:$F$137,MONTH(DATE(YEAR(SUMMARY!$C$6),MONTH(SUMMARY!$C$6)+3,1))))/$C$5+$C$3*(SUMIFS(DETAIL!$T$2:$T$137,DETAIL!$B$2:$B$137,$B34,DETAIL!$F$2:$F$137,MONTH(DATE(YEAR(SUMMARY!$C$6),MONTH(SUMMARY!$C$6)+3,1)))/SUMIFS(DETAIL!$M$2:$M$137,DETAIL!$B$2:$B$137,$B34,DETAIL!$F$2:$F$137,MONTH(DATE(YEAR(SUMMARY!$C$6),MONTH(SUMMARY!$C$6)+3,1))))/$C$6,"-")</f>
        <v>0.53550654860909541</v>
      </c>
      <c r="R34" s="103">
        <f>IFERROR(INDEX(EVALUASI!$W$79:$W$132,MATCH($B34,EVALUASI!$C$79:$C$132,0)),"-")</f>
        <v>85.6</v>
      </c>
      <c r="S34" s="104" t="str">
        <f>IFERROR(INDEX(EVALUASI!$X$79:$X$132,MATCH($B34,EVALUASI!$C$79:$C$132,0)),"-")</f>
        <v>Baik</v>
      </c>
      <c r="T34" s="105">
        <f t="shared" si="5"/>
        <v>0.62360024425809979</v>
      </c>
    </row>
    <row r="35" spans="1:20" x14ac:dyDescent="0.2">
      <c r="A35" s="97">
        <v>26</v>
      </c>
      <c r="B35" s="98" t="str">
        <f>PEMAGANG!C28</f>
        <v>ASA AGHNIA ZAHIDA</v>
      </c>
      <c r="C35" s="98" t="str">
        <f>PEMAGANG!D28</f>
        <v>MUHAMMAD SADULLAH</v>
      </c>
      <c r="D35" s="98" t="str">
        <f>PEMAGANG!F28</f>
        <v>SM OF LEGAL</v>
      </c>
      <c r="E35" s="99">
        <f>SUMIFS(DETAIL!$M$2:$M$137,DETAIL!$B$2:$B$137,$B35)</f>
        <v>42</v>
      </c>
      <c r="F35" s="99">
        <f>SUMIFS(DETAIL!$R$2:$R$137,DETAIL!$B$2:$B$137,$B35)</f>
        <v>54</v>
      </c>
      <c r="G35" s="100">
        <f>SUMIFS(DETAIL!$T$2:$T$137,DETAIL!$B$2:$B$137,$B35)</f>
        <v>2167</v>
      </c>
      <c r="H35" s="101">
        <f t="shared" si="0"/>
        <v>1.2857142857142858</v>
      </c>
      <c r="I35" s="99">
        <f t="shared" si="1"/>
        <v>51.595238095238095</v>
      </c>
      <c r="J35" s="101">
        <f t="shared" si="2"/>
        <v>0.62542172526773065</v>
      </c>
      <c r="K35" s="102">
        <f t="shared" si="3"/>
        <v>0.62542172526773065</v>
      </c>
      <c r="L35" s="97" t="str">
        <f>IF(E35=0,"-",IF(F35=0,"Tidak ada laporan",IF(J35&gt;=$E$2,"Sangat Tinggi",IF(J35&gt;=$E$3,"Tinggi",IF(J35&gt;=$E$4,"Sedang","Rendah")))))</f>
        <v>Rendah</v>
      </c>
      <c r="M35" s="99">
        <f t="shared" si="4"/>
        <v>22</v>
      </c>
      <c r="N35" s="101">
        <f>IFERROR($C$2*(SUMIFS(DETAIL!$R$2:$R$137,DETAIL!$B$2:$B$137,$B35,DETAIL!$F$2:$F$137,MONTH(DATE(YEAR(SUMMARY!$C$6),MONTH(SUMMARY!$C$6)+0,1)))/SUMIFS(DETAIL!$M$2:$M$137,DETAIL!$B$2:$B$137,$B35,DETAIL!$F$2:$F$137,MONTH(DATE(YEAR(SUMMARY!$C$6),MONTH(SUMMARY!$C$6)+0,1))))/$C$5+$C$3*(SUMIFS(DETAIL!$T$2:$T$137,DETAIL!$B$2:$B$137,$B35,DETAIL!$F$2:$F$137,MONTH(DATE(YEAR(SUMMARY!$C$6),MONTH(SUMMARY!$C$6)+0,1)))/SUMIFS(DETAIL!$M$2:$M$137,DETAIL!$B$2:$B$137,$B35,DETAIL!$F$2:$F$137,MONTH(DATE(YEAR(SUMMARY!$C$6),MONTH(SUMMARY!$C$6)+0,1))))/$C$6,"-")</f>
        <v>0.88523770581960015</v>
      </c>
      <c r="O35" s="101">
        <f>IFERROR($C$2*(SUMIFS(DETAIL!$R$2:$R$137,DETAIL!$B$2:$B$137,$B35,DETAIL!$F$2:$F$137,MONTH(DATE(YEAR(SUMMARY!$C$6),MONTH(SUMMARY!$C$6)+1,1)))/SUMIFS(DETAIL!$M$2:$M$137,DETAIL!$B$2:$B$137,$B35,DETAIL!$F$2:$F$137,MONTH(DATE(YEAR(SUMMARY!$C$6),MONTH(SUMMARY!$C$6)+1,1))))/$C$5+$C$3*(SUMIFS(DETAIL!$T$2:$T$137,DETAIL!$B$2:$B$137,$B35,DETAIL!$F$2:$F$137,MONTH(DATE(YEAR(SUMMARY!$C$6),MONTH(SUMMARY!$C$6)+1,1)))/SUMIFS(DETAIL!$M$2:$M$137,DETAIL!$B$2:$B$137,$B35,DETAIL!$F$2:$F$137,MONTH(DATE(YEAR(SUMMARY!$C$6),MONTH(SUMMARY!$C$6)+1,1))))/$C$6,"-")</f>
        <v>0.55673328494852159</v>
      </c>
      <c r="P35" s="101">
        <f>IFERROR($C$2*(SUMIFS(DETAIL!$R$2:$R$137,DETAIL!$B$2:$B$137,$B35,DETAIL!$F$2:$F$137,MONTH(DATE(YEAR(SUMMARY!$C$6),MONTH(SUMMARY!$C$6)+2,1)))/SUMIFS(DETAIL!$M$2:$M$137,DETAIL!$B$2:$B$137,$B35,DETAIL!$F$2:$F$137,MONTH(DATE(YEAR(SUMMARY!$C$6),MONTH(SUMMARY!$C$6)+2,1))))/$C$5+$C$3*(SUMIFS(DETAIL!$T$2:$T$137,DETAIL!$B$2:$B$137,$B35,DETAIL!$F$2:$F$137,MONTH(DATE(YEAR(SUMMARY!$C$6),MONTH(SUMMARY!$C$6)+2,1)))/SUMIFS(DETAIL!$M$2:$M$137,DETAIL!$B$2:$B$137,$B35,DETAIL!$F$2:$F$137,MONTH(DATE(YEAR(SUMMARY!$C$6),MONTH(SUMMARY!$C$6)+2,1))))/$C$6,"-")</f>
        <v>0.59854639547060962</v>
      </c>
      <c r="Q35" s="101" t="str">
        <f>IFERROR($C$2*(SUMIFS(DETAIL!$R$2:$R$137,DETAIL!$B$2:$B$137,$B35,DETAIL!$F$2:$F$137,MONTH(DATE(YEAR(SUMMARY!$C$6),MONTH(SUMMARY!$C$6)+3,1)))/SUMIFS(DETAIL!$M$2:$M$137,DETAIL!$B$2:$B$137,$B35,DETAIL!$F$2:$F$137,MONTH(DATE(YEAR(SUMMARY!$C$6),MONTH(SUMMARY!$C$6)+3,1))))/$C$5+$C$3*(SUMIFS(DETAIL!$T$2:$T$137,DETAIL!$B$2:$B$137,$B35,DETAIL!$F$2:$F$137,MONTH(DATE(YEAR(SUMMARY!$C$6),MONTH(SUMMARY!$C$6)+3,1)))/SUMIFS(DETAIL!$M$2:$M$137,DETAIL!$B$2:$B$137,$B35,DETAIL!$F$2:$F$137,MONTH(DATE(YEAR(SUMMARY!$C$6),MONTH(SUMMARY!$C$6)+3,1))))/$C$6,"-")</f>
        <v>-</v>
      </c>
      <c r="R35" s="103">
        <f>IFERROR(INDEX(EVALUASI!$W$79:$W$132,MATCH($B35,EVALUASI!$C$79:$C$132,0)),"-")</f>
        <v>84.5</v>
      </c>
      <c r="S35" s="104" t="str">
        <f>IFERROR(INDEX(EVALUASI!$X$79:$X$132,MATCH($B35,EVALUASI!$C$79:$C$132,0)),"-")</f>
        <v>Baik</v>
      </c>
      <c r="T35" s="105">
        <f t="shared" si="5"/>
        <v>0.62538672526773065</v>
      </c>
    </row>
    <row r="36" spans="1:20" x14ac:dyDescent="0.2">
      <c r="A36" s="97">
        <v>27</v>
      </c>
      <c r="B36" s="98" t="str">
        <f>PEMAGANG!C29</f>
        <v>EVI WIDIYAH ASTUTIH</v>
      </c>
      <c r="C36" s="98" t="str">
        <f>PEMAGANG!D29</f>
        <v>SITI MUJAYANAH</v>
      </c>
      <c r="D36" s="98" t="str">
        <f>PEMAGANG!F29</f>
        <v>VERIFICATION (SID) JR. OFFICER</v>
      </c>
      <c r="E36" s="99">
        <f>SUMIFS(DETAIL!$M$2:$M$137,DETAIL!$B$2:$B$137,$B36)</f>
        <v>75</v>
      </c>
      <c r="F36" s="99">
        <f>SUMIFS(DETAIL!$R$2:$R$137,DETAIL!$B$2:$B$137,$B36)</f>
        <v>71</v>
      </c>
      <c r="G36" s="100">
        <f>SUMIFS(DETAIL!$T$2:$T$137,DETAIL!$B$2:$B$137,$B36)</f>
        <v>8016</v>
      </c>
      <c r="H36" s="101">
        <f t="shared" si="0"/>
        <v>0.94666666666666666</v>
      </c>
      <c r="I36" s="99">
        <f t="shared" si="1"/>
        <v>106.88</v>
      </c>
      <c r="J36" s="101">
        <f t="shared" si="2"/>
        <v>0.8150477062083602</v>
      </c>
      <c r="K36" s="102">
        <f t="shared" si="3"/>
        <v>0.8150477062083602</v>
      </c>
      <c r="L36" s="97" t="str">
        <f>IF(E36=0,"-",IF(F36=0,"Tidak ada laporan",IF(J36&gt;=$E$2,"Sangat Tinggi",IF(J36&gt;=$E$3,"Tinggi",IF(J36&gt;=$E$4,"Sedang","Rendah")))))</f>
        <v>Sedang</v>
      </c>
      <c r="M36" s="99">
        <f t="shared" si="4"/>
        <v>17</v>
      </c>
      <c r="N36" s="101">
        <f>IFERROR($C$2*(SUMIFS(DETAIL!$R$2:$R$137,DETAIL!$B$2:$B$137,$B36,DETAIL!$F$2:$F$137,MONTH(DATE(YEAR(SUMMARY!$C$6),MONTH(SUMMARY!$C$6)+0,1)))/SUMIFS(DETAIL!$M$2:$M$137,DETAIL!$B$2:$B$137,$B36,DETAIL!$F$2:$F$137,MONTH(DATE(YEAR(SUMMARY!$C$6),MONTH(SUMMARY!$C$6)+0,1))))/$C$5+$C$3*(SUMIFS(DETAIL!$T$2:$T$137,DETAIL!$B$2:$B$137,$B36,DETAIL!$F$2:$F$137,MONTH(DATE(YEAR(SUMMARY!$C$6),MONTH(SUMMARY!$C$6)+0,1)))/SUMIFS(DETAIL!$M$2:$M$137,DETAIL!$B$2:$B$137,$B36,DETAIL!$F$2:$F$137,MONTH(DATE(YEAR(SUMMARY!$C$6),MONTH(SUMMARY!$C$6)+0,1))))/$C$6,"-")</f>
        <v>0.9004670513386609</v>
      </c>
      <c r="O36" s="101">
        <f>IFERROR($C$2*(SUMIFS(DETAIL!$R$2:$R$137,DETAIL!$B$2:$B$137,$B36,DETAIL!$F$2:$F$137,MONTH(DATE(YEAR(SUMMARY!$C$6),MONTH(SUMMARY!$C$6)+1,1)))/SUMIFS(DETAIL!$M$2:$M$137,DETAIL!$B$2:$B$137,$B36,DETAIL!$F$2:$F$137,MONTH(DATE(YEAR(SUMMARY!$C$6),MONTH(SUMMARY!$C$6)+1,1))))/$C$5+$C$3*(SUMIFS(DETAIL!$T$2:$T$137,DETAIL!$B$2:$B$137,$B36,DETAIL!$F$2:$F$137,MONTH(DATE(YEAR(SUMMARY!$C$6),MONTH(SUMMARY!$C$6)+1,1)))/SUMIFS(DETAIL!$M$2:$M$137,DETAIL!$B$2:$B$137,$B36,DETAIL!$F$2:$F$137,MONTH(DATE(YEAR(SUMMARY!$C$6),MONTH(SUMMARY!$C$6)+1,1))))/$C$6,"-")</f>
        <v>0.76818563465904588</v>
      </c>
      <c r="P36" s="101">
        <f>IFERROR($C$2*(SUMIFS(DETAIL!$R$2:$R$137,DETAIL!$B$2:$B$137,$B36,DETAIL!$F$2:$F$137,MONTH(DATE(YEAR(SUMMARY!$C$6),MONTH(SUMMARY!$C$6)+2,1)))/SUMIFS(DETAIL!$M$2:$M$137,DETAIL!$B$2:$B$137,$B36,DETAIL!$F$2:$F$137,MONTH(DATE(YEAR(SUMMARY!$C$6),MONTH(SUMMARY!$C$6)+2,1))))/$C$5+$C$3*(SUMIFS(DETAIL!$T$2:$T$137,DETAIL!$B$2:$B$137,$B36,DETAIL!$F$2:$F$137,MONTH(DATE(YEAR(SUMMARY!$C$6),MONTH(SUMMARY!$C$6)+2,1)))/SUMIFS(DETAIL!$M$2:$M$137,DETAIL!$B$2:$B$137,$B36,DETAIL!$F$2:$F$137,MONTH(DATE(YEAR(SUMMARY!$C$6),MONTH(SUMMARY!$C$6)+2,1))))/$C$6,"-")</f>
        <v>0.86391115757165837</v>
      </c>
      <c r="Q36" s="101">
        <f>IFERROR($C$2*(SUMIFS(DETAIL!$R$2:$R$137,DETAIL!$B$2:$B$137,$B36,DETAIL!$F$2:$F$137,MONTH(DATE(YEAR(SUMMARY!$C$6),MONTH(SUMMARY!$C$6)+3,1)))/SUMIFS(DETAIL!$M$2:$M$137,DETAIL!$B$2:$B$137,$B36,DETAIL!$F$2:$F$137,MONTH(DATE(YEAR(SUMMARY!$C$6),MONTH(SUMMARY!$C$6)+3,1))))/$C$5+$C$3*(SUMIFS(DETAIL!$T$2:$T$137,DETAIL!$B$2:$B$137,$B36,DETAIL!$F$2:$F$137,MONTH(DATE(YEAR(SUMMARY!$C$6),MONTH(SUMMARY!$C$6)+3,1)))/SUMIFS(DETAIL!$M$2:$M$137,DETAIL!$B$2:$B$137,$B36,DETAIL!$F$2:$F$137,MONTH(DATE(YEAR(SUMMARY!$C$6),MONTH(SUMMARY!$C$6)+3,1))))/$C$6,"-")</f>
        <v>0.7448171771026626</v>
      </c>
      <c r="R36" s="103">
        <f>IFERROR(INDEX(EVALUASI!$W$79:$W$132,MATCH($B36,EVALUASI!$C$79:$C$132,0)),"-")</f>
        <v>91.5</v>
      </c>
      <c r="S36" s="104" t="str">
        <f>IFERROR(INDEX(EVALUASI!$X$79:$X$132,MATCH($B36,EVALUASI!$C$79:$C$132,0)),"-")</f>
        <v>Sangat Baik</v>
      </c>
      <c r="T36" s="105">
        <f t="shared" si="5"/>
        <v>0.81501170620836016</v>
      </c>
    </row>
    <row r="37" spans="1:20" x14ac:dyDescent="0.2">
      <c r="A37" s="97">
        <v>28</v>
      </c>
      <c r="B37" s="98" t="str">
        <f>PEMAGANG!C30</f>
        <v>RIZAL AKBAR ARDIANSYAH</v>
      </c>
      <c r="C37" s="98" t="str">
        <f>PEMAGANG!D30</f>
        <v>SITI MUJAYANAH</v>
      </c>
      <c r="D37" s="98" t="str">
        <f>PEMAGANG!F30</f>
        <v>VERIFICATION (SID) JR. OFFICER</v>
      </c>
      <c r="E37" s="99">
        <f>SUMIFS(DETAIL!$M$2:$M$137,DETAIL!$B$2:$B$137,$B37)</f>
        <v>16</v>
      </c>
      <c r="F37" s="99">
        <f>SUMIFS(DETAIL!$R$2:$R$137,DETAIL!$B$2:$B$137,$B37)</f>
        <v>15</v>
      </c>
      <c r="G37" s="100">
        <f>SUMIFS(DETAIL!$T$2:$T$137,DETAIL!$B$2:$B$137,$B37)</f>
        <v>261</v>
      </c>
      <c r="H37" s="101">
        <f t="shared" si="0"/>
        <v>0.9375</v>
      </c>
      <c r="I37" s="99">
        <f t="shared" si="1"/>
        <v>16.3125</v>
      </c>
      <c r="J37" s="101">
        <f t="shared" si="2"/>
        <v>0.34636776984886958</v>
      </c>
      <c r="K37" s="102">
        <f t="shared" si="3"/>
        <v>0.34636776984886958</v>
      </c>
      <c r="L37" s="97" t="str">
        <f>IF(E37=0,"-",IF(F37=0,"Tidak ada laporan",IF(J37&gt;=$E$2,"Sangat Tinggi",IF(J37&gt;=$E$3,"Tinggi",IF(J37&gt;=$E$4,"Sedang","Rendah")))))</f>
        <v>Rendah</v>
      </c>
      <c r="M37" s="99">
        <f t="shared" si="4"/>
        <v>31</v>
      </c>
      <c r="N37" s="101">
        <f>IFERROR($C$2*(SUMIFS(DETAIL!$R$2:$R$137,DETAIL!$B$2:$B$137,$B37,DETAIL!$F$2:$F$137,MONTH(DATE(YEAR(SUMMARY!$C$6),MONTH(SUMMARY!$C$6)+0,1)))/SUMIFS(DETAIL!$M$2:$M$137,DETAIL!$B$2:$B$137,$B37,DETAIL!$F$2:$F$137,MONTH(DATE(YEAR(SUMMARY!$C$6),MONTH(SUMMARY!$C$6)+0,1))))/$C$5+$C$3*(SUMIFS(DETAIL!$T$2:$T$137,DETAIL!$B$2:$B$137,$B37,DETAIL!$F$2:$F$137,MONTH(DATE(YEAR(SUMMARY!$C$6),MONTH(SUMMARY!$C$6)+0,1)))/SUMIFS(DETAIL!$M$2:$M$137,DETAIL!$B$2:$B$137,$B37,DETAIL!$F$2:$F$137,MONTH(DATE(YEAR(SUMMARY!$C$6),MONTH(SUMMARY!$C$6)+0,1))))/$C$6,"-")</f>
        <v>0.3230835879343158</v>
      </c>
      <c r="O37" s="101" t="str">
        <f>IFERROR($C$2*(SUMIFS(DETAIL!$R$2:$R$137,DETAIL!$B$2:$B$137,$B37,DETAIL!$F$2:$F$137,MONTH(DATE(YEAR(SUMMARY!$C$6),MONTH(SUMMARY!$C$6)+1,1)))/SUMIFS(DETAIL!$M$2:$M$137,DETAIL!$B$2:$B$137,$B37,DETAIL!$F$2:$F$137,MONTH(DATE(YEAR(SUMMARY!$C$6),MONTH(SUMMARY!$C$6)+1,1))))/$C$5+$C$3*(SUMIFS(DETAIL!$T$2:$T$137,DETAIL!$B$2:$B$137,$B37,DETAIL!$F$2:$F$137,MONTH(DATE(YEAR(SUMMARY!$C$6),MONTH(SUMMARY!$C$6)+1,1)))/SUMIFS(DETAIL!$M$2:$M$137,DETAIL!$B$2:$B$137,$B37,DETAIL!$F$2:$F$137,MONTH(DATE(YEAR(SUMMARY!$C$6),MONTH(SUMMARY!$C$6)+1,1))))/$C$6,"-")</f>
        <v>-</v>
      </c>
      <c r="P37" s="101" t="str">
        <f>IFERROR($C$2*(SUMIFS(DETAIL!$R$2:$R$137,DETAIL!$B$2:$B$137,$B37,DETAIL!$F$2:$F$137,MONTH(DATE(YEAR(SUMMARY!$C$6),MONTH(SUMMARY!$C$6)+2,1)))/SUMIFS(DETAIL!$M$2:$M$137,DETAIL!$B$2:$B$137,$B37,DETAIL!$F$2:$F$137,MONTH(DATE(YEAR(SUMMARY!$C$6),MONTH(SUMMARY!$C$6)+2,1))))/$C$5+$C$3*(SUMIFS(DETAIL!$T$2:$T$137,DETAIL!$B$2:$B$137,$B37,DETAIL!$F$2:$F$137,MONTH(DATE(YEAR(SUMMARY!$C$6),MONTH(SUMMARY!$C$6)+2,1)))/SUMIFS(DETAIL!$M$2:$M$137,DETAIL!$B$2:$B$137,$B37,DETAIL!$F$2:$F$137,MONTH(DATE(YEAR(SUMMARY!$C$6),MONTH(SUMMARY!$C$6)+2,1))))/$C$6,"-")</f>
        <v>-</v>
      </c>
      <c r="Q37" s="101" t="str">
        <f>IFERROR($C$2*(SUMIFS(DETAIL!$R$2:$R$137,DETAIL!$B$2:$B$137,$B37,DETAIL!$F$2:$F$137,MONTH(DATE(YEAR(SUMMARY!$C$6),MONTH(SUMMARY!$C$6)+3,1)))/SUMIFS(DETAIL!$M$2:$M$137,DETAIL!$B$2:$B$137,$B37,DETAIL!$F$2:$F$137,MONTH(DATE(YEAR(SUMMARY!$C$6),MONTH(SUMMARY!$C$6)+3,1))))/$C$5+$C$3*(SUMIFS(DETAIL!$T$2:$T$137,DETAIL!$B$2:$B$137,$B37,DETAIL!$F$2:$F$137,MONTH(DATE(YEAR(SUMMARY!$C$6),MONTH(SUMMARY!$C$6)+3,1)))/SUMIFS(DETAIL!$M$2:$M$137,DETAIL!$B$2:$B$137,$B37,DETAIL!$F$2:$F$137,MONTH(DATE(YEAR(SUMMARY!$C$6),MONTH(SUMMARY!$C$6)+3,1))))/$C$6,"-")</f>
        <v>-</v>
      </c>
      <c r="R37" s="103">
        <f>IFERROR(INDEX(EVALUASI!$W$79:$W$132,MATCH($B37,EVALUASI!$C$79:$C$132,0)),"-")</f>
        <v>77.900000000000006</v>
      </c>
      <c r="S37" s="104" t="str">
        <f>IFERROR(INDEX(EVALUASI!$X$79:$X$132,MATCH($B37,EVALUASI!$C$79:$C$132,0)),"-")</f>
        <v>Cukup</v>
      </c>
      <c r="T37" s="105">
        <f t="shared" si="5"/>
        <v>0.34633076984886957</v>
      </c>
    </row>
    <row r="38" spans="1:20" x14ac:dyDescent="0.2">
      <c r="A38" s="97">
        <v>29</v>
      </c>
      <c r="B38" s="98" t="str">
        <f>PEMAGANG!C31</f>
        <v>THARISSA ADELIA PUTRI</v>
      </c>
      <c r="C38" s="98" t="str">
        <f>PEMAGANG!D31</f>
        <v>SITI MUJAYANAH</v>
      </c>
      <c r="D38" s="98" t="str">
        <f>PEMAGANG!F31</f>
        <v>VERIFICATION (SID) JR. OFFICER</v>
      </c>
      <c r="E38" s="99">
        <f>SUMIFS(DETAIL!$M$2:$M$137,DETAIL!$B$2:$B$137,$B38)</f>
        <v>61</v>
      </c>
      <c r="F38" s="99">
        <f>SUMIFS(DETAIL!$R$2:$R$137,DETAIL!$B$2:$B$137,$B38)</f>
        <v>111</v>
      </c>
      <c r="G38" s="100">
        <f>SUMIFS(DETAIL!$T$2:$T$137,DETAIL!$B$2:$B$137,$B38)</f>
        <v>5862</v>
      </c>
      <c r="H38" s="101">
        <f t="shared" si="0"/>
        <v>1.819672131147541</v>
      </c>
      <c r="I38" s="99">
        <f t="shared" si="1"/>
        <v>96.098360655737707</v>
      </c>
      <c r="J38" s="101">
        <f t="shared" si="2"/>
        <v>1.0039204023065387</v>
      </c>
      <c r="K38" s="102">
        <f t="shared" si="3"/>
        <v>1</v>
      </c>
      <c r="L38" s="97" t="str">
        <f>IF(E38=0,"-",IF(F38=0,"Tidak ada laporan",IF(J38&gt;=$E$2,"Sangat Tinggi",IF(J38&gt;=$E$3,"Tinggi",IF(J38&gt;=$E$4,"Sedang","Rendah")))))</f>
        <v>Tinggi</v>
      </c>
      <c r="M38" s="99">
        <f t="shared" si="4"/>
        <v>13</v>
      </c>
      <c r="N38" s="101">
        <f>IFERROR($C$2*(SUMIFS(DETAIL!$R$2:$R$137,DETAIL!$B$2:$B$137,$B38,DETAIL!$F$2:$F$137,MONTH(DATE(YEAR(SUMMARY!$C$6),MONTH(SUMMARY!$C$6)+0,1)))/SUMIFS(DETAIL!$M$2:$M$137,DETAIL!$B$2:$B$137,$B38,DETAIL!$F$2:$F$137,MONTH(DATE(YEAR(SUMMARY!$C$6),MONTH(SUMMARY!$C$6)+0,1))))/$C$5+$C$3*(SUMIFS(DETAIL!$T$2:$T$137,DETAIL!$B$2:$B$137,$B38,DETAIL!$F$2:$F$137,MONTH(DATE(YEAR(SUMMARY!$C$6),MONTH(SUMMARY!$C$6)+0,1)))/SUMIFS(DETAIL!$M$2:$M$137,DETAIL!$B$2:$B$137,$B38,DETAIL!$F$2:$F$137,MONTH(DATE(YEAR(SUMMARY!$C$6),MONTH(SUMMARY!$C$6)+0,1))))/$C$6,"-")</f>
        <v>1.618247743780052</v>
      </c>
      <c r="O38" s="101">
        <f>IFERROR($C$2*(SUMIFS(DETAIL!$R$2:$R$137,DETAIL!$B$2:$B$137,$B38,DETAIL!$F$2:$F$137,MONTH(DATE(YEAR(SUMMARY!$C$6),MONTH(SUMMARY!$C$6)+1,1)))/SUMIFS(DETAIL!$M$2:$M$137,DETAIL!$B$2:$B$137,$B38,DETAIL!$F$2:$F$137,MONTH(DATE(YEAR(SUMMARY!$C$6),MONTH(SUMMARY!$C$6)+1,1))))/$C$5+$C$3*(SUMIFS(DETAIL!$T$2:$T$137,DETAIL!$B$2:$B$137,$B38,DETAIL!$F$2:$F$137,MONTH(DATE(YEAR(SUMMARY!$C$6),MONTH(SUMMARY!$C$6)+1,1)))/SUMIFS(DETAIL!$M$2:$M$137,DETAIL!$B$2:$B$137,$B38,DETAIL!$F$2:$F$137,MONTH(DATE(YEAR(SUMMARY!$C$6),MONTH(SUMMARY!$C$6)+1,1))))/$C$6,"-")</f>
        <v>1.1286257168258507</v>
      </c>
      <c r="P38" s="101">
        <f>IFERROR($C$2*(SUMIFS(DETAIL!$R$2:$R$137,DETAIL!$B$2:$B$137,$B38,DETAIL!$F$2:$F$137,MONTH(DATE(YEAR(SUMMARY!$C$6),MONTH(SUMMARY!$C$6)+2,1)))/SUMIFS(DETAIL!$M$2:$M$137,DETAIL!$B$2:$B$137,$B38,DETAIL!$F$2:$F$137,MONTH(DATE(YEAR(SUMMARY!$C$6),MONTH(SUMMARY!$C$6)+2,1))))/$C$5+$C$3*(SUMIFS(DETAIL!$T$2:$T$137,DETAIL!$B$2:$B$137,$B38,DETAIL!$F$2:$F$137,MONTH(DATE(YEAR(SUMMARY!$C$6),MONTH(SUMMARY!$C$6)+2,1)))/SUMIFS(DETAIL!$M$2:$M$137,DETAIL!$B$2:$B$137,$B38,DETAIL!$F$2:$F$137,MONTH(DATE(YEAR(SUMMARY!$C$6),MONTH(SUMMARY!$C$6)+2,1))))/$C$6,"-")</f>
        <v>0.6087484670444544</v>
      </c>
      <c r="Q38" s="101">
        <f>IFERROR($C$2*(SUMIFS(DETAIL!$R$2:$R$137,DETAIL!$B$2:$B$137,$B38,DETAIL!$F$2:$F$137,MONTH(DATE(YEAR(SUMMARY!$C$6),MONTH(SUMMARY!$C$6)+3,1)))/SUMIFS(DETAIL!$M$2:$M$137,DETAIL!$B$2:$B$137,$B38,DETAIL!$F$2:$F$137,MONTH(DATE(YEAR(SUMMARY!$C$6),MONTH(SUMMARY!$C$6)+3,1))))/$C$5+$C$3*(SUMIFS(DETAIL!$T$2:$T$137,DETAIL!$B$2:$B$137,$B38,DETAIL!$F$2:$F$137,MONTH(DATE(YEAR(SUMMARY!$C$6),MONTH(SUMMARY!$C$6)+3,1)))/SUMIFS(DETAIL!$M$2:$M$137,DETAIL!$B$2:$B$137,$B38,DETAIL!$F$2:$F$137,MONTH(DATE(YEAR(SUMMARY!$C$6),MONTH(SUMMARY!$C$6)+3,1))))/$C$6,"-")</f>
        <v>0.67021923510681913</v>
      </c>
      <c r="R38" s="103">
        <f>IFERROR(INDEX(EVALUASI!$W$79:$W$132,MATCH($B38,EVALUASI!$C$79:$C$132,0)),"-")</f>
        <v>97.4</v>
      </c>
      <c r="S38" s="104" t="str">
        <f>IFERROR(INDEX(EVALUASI!$X$79:$X$132,MATCH($B38,EVALUASI!$C$79:$C$132,0)),"-")</f>
        <v>Sangat Baik</v>
      </c>
      <c r="T38" s="105">
        <f t="shared" si="5"/>
        <v>1.0038824023065387</v>
      </c>
    </row>
    <row r="39" spans="1:20" x14ac:dyDescent="0.2">
      <c r="A39" s="97">
        <v>30</v>
      </c>
      <c r="B39" s="98" t="str">
        <f>PEMAGANG!C32</f>
        <v>ZALFA NUR ROHMAH</v>
      </c>
      <c r="C39" s="98" t="str">
        <f>PEMAGANG!D32</f>
        <v>SITI MUJAYANAH</v>
      </c>
      <c r="D39" s="98" t="str">
        <f>PEMAGANG!F32</f>
        <v>VERIFICATION (SID) JR. OFFICER</v>
      </c>
      <c r="E39" s="99">
        <f>SUMIFS(DETAIL!$M$2:$M$137,DETAIL!$B$2:$B$137,$B39)</f>
        <v>13</v>
      </c>
      <c r="F39" s="99">
        <f>SUMIFS(DETAIL!$R$2:$R$137,DETAIL!$B$2:$B$137,$B39)</f>
        <v>13</v>
      </c>
      <c r="G39" s="100">
        <f>SUMIFS(DETAIL!$T$2:$T$137,DETAIL!$B$2:$B$137,$B39)</f>
        <v>1626</v>
      </c>
      <c r="H39" s="101">
        <f t="shared" si="0"/>
        <v>1</v>
      </c>
      <c r="I39" s="99">
        <f t="shared" si="1"/>
        <v>125.07692307692308</v>
      </c>
      <c r="J39" s="101">
        <f t="shared" si="2"/>
        <v>0.92362831183027072</v>
      </c>
      <c r="K39" s="102">
        <f t="shared" si="3"/>
        <v>0.92362831183027072</v>
      </c>
      <c r="L39" s="97" t="str">
        <f>IF(E39=0,"-",IF(F39=0,"Tidak ada laporan",IF(J39&gt;=$E$2,"Sangat Tinggi",IF(J39&gt;=$E$3,"Tinggi",IF(J39&gt;=$E$4,"Sedang","Rendah")))))</f>
        <v>Sedang</v>
      </c>
      <c r="M39" s="99">
        <f t="shared" si="4"/>
        <v>14</v>
      </c>
      <c r="N39" s="101" t="str">
        <f>IFERROR($C$2*(SUMIFS(DETAIL!$R$2:$R$137,DETAIL!$B$2:$B$137,$B39,DETAIL!$F$2:$F$137,MONTH(DATE(YEAR(SUMMARY!$C$6),MONTH(SUMMARY!$C$6)+0,1)))/SUMIFS(DETAIL!$M$2:$M$137,DETAIL!$B$2:$B$137,$B39,DETAIL!$F$2:$F$137,MONTH(DATE(YEAR(SUMMARY!$C$6),MONTH(SUMMARY!$C$6)+0,1))))/$C$5+$C$3*(SUMIFS(DETAIL!$T$2:$T$137,DETAIL!$B$2:$B$137,$B39,DETAIL!$F$2:$F$137,MONTH(DATE(YEAR(SUMMARY!$C$6),MONTH(SUMMARY!$C$6)+0,1)))/SUMIFS(DETAIL!$M$2:$M$137,DETAIL!$B$2:$B$137,$B39,DETAIL!$F$2:$F$137,MONTH(DATE(YEAR(SUMMARY!$C$6),MONTH(SUMMARY!$C$6)+0,1))))/$C$6,"-")</f>
        <v>-</v>
      </c>
      <c r="O39" s="101" t="str">
        <f>IFERROR($C$2*(SUMIFS(DETAIL!$R$2:$R$137,DETAIL!$B$2:$B$137,$B39,DETAIL!$F$2:$F$137,MONTH(DATE(YEAR(SUMMARY!$C$6),MONTH(SUMMARY!$C$6)+1,1)))/SUMIFS(DETAIL!$M$2:$M$137,DETAIL!$B$2:$B$137,$B39,DETAIL!$F$2:$F$137,MONTH(DATE(YEAR(SUMMARY!$C$6),MONTH(SUMMARY!$C$6)+1,1))))/$C$5+$C$3*(SUMIFS(DETAIL!$T$2:$T$137,DETAIL!$B$2:$B$137,$B39,DETAIL!$F$2:$F$137,MONTH(DATE(YEAR(SUMMARY!$C$6),MONTH(SUMMARY!$C$6)+1,1)))/SUMIFS(DETAIL!$M$2:$M$137,DETAIL!$B$2:$B$137,$B39,DETAIL!$F$2:$F$137,MONTH(DATE(YEAR(SUMMARY!$C$6),MONTH(SUMMARY!$C$6)+1,1))))/$C$6,"-")</f>
        <v>-</v>
      </c>
      <c r="P39" s="101" t="str">
        <f>IFERROR($C$2*(SUMIFS(DETAIL!$R$2:$R$137,DETAIL!$B$2:$B$137,$B39,DETAIL!$F$2:$F$137,MONTH(DATE(YEAR(SUMMARY!$C$6),MONTH(SUMMARY!$C$6)+2,1)))/SUMIFS(DETAIL!$M$2:$M$137,DETAIL!$B$2:$B$137,$B39,DETAIL!$F$2:$F$137,MONTH(DATE(YEAR(SUMMARY!$C$6),MONTH(SUMMARY!$C$6)+2,1))))/$C$5+$C$3*(SUMIFS(DETAIL!$T$2:$T$137,DETAIL!$B$2:$B$137,$B39,DETAIL!$F$2:$F$137,MONTH(DATE(YEAR(SUMMARY!$C$6),MONTH(SUMMARY!$C$6)+2,1)))/SUMIFS(DETAIL!$M$2:$M$137,DETAIL!$B$2:$B$137,$B39,DETAIL!$F$2:$F$137,MONTH(DATE(YEAR(SUMMARY!$C$6),MONTH(SUMMARY!$C$6)+2,1))))/$C$6,"-")</f>
        <v>-</v>
      </c>
      <c r="Q39" s="101">
        <f>IFERROR($C$2*(SUMIFS(DETAIL!$R$2:$R$137,DETAIL!$B$2:$B$137,$B39,DETAIL!$F$2:$F$137,MONTH(DATE(YEAR(SUMMARY!$C$6),MONTH(SUMMARY!$C$6)+3,1)))/SUMIFS(DETAIL!$M$2:$M$137,DETAIL!$B$2:$B$137,$B39,DETAIL!$F$2:$F$137,MONTH(DATE(YEAR(SUMMARY!$C$6),MONTH(SUMMARY!$C$6)+3,1))))/$C$5+$C$3*(SUMIFS(DETAIL!$T$2:$T$137,DETAIL!$B$2:$B$137,$B39,DETAIL!$F$2:$F$137,MONTH(DATE(YEAR(SUMMARY!$C$6),MONTH(SUMMARY!$C$6)+3,1)))/SUMIFS(DETAIL!$M$2:$M$137,DETAIL!$B$2:$B$137,$B39,DETAIL!$F$2:$F$137,MONTH(DATE(YEAR(SUMMARY!$C$6),MONTH(SUMMARY!$C$6)+3,1))))/$C$6,"-")</f>
        <v>0.92362831183027072</v>
      </c>
      <c r="R39" s="103">
        <f>IFERROR(INDEX(EVALUASI!$W$79:$W$132,MATCH($B39,EVALUASI!$C$79:$C$132,0)),"-")</f>
        <v>96.2</v>
      </c>
      <c r="S39" s="104" t="str">
        <f>IFERROR(INDEX(EVALUASI!$X$79:$X$132,MATCH($B39,EVALUASI!$C$79:$C$132,0)),"-")</f>
        <v>Sangat Baik</v>
      </c>
      <c r="T39" s="105">
        <f t="shared" si="5"/>
        <v>0.92358931183027071</v>
      </c>
    </row>
    <row r="40" spans="1:20" x14ac:dyDescent="0.2">
      <c r="A40" s="97">
        <v>31</v>
      </c>
      <c r="B40" s="98" t="str">
        <f>PEMAGANG!C33</f>
        <v>ALFINA ZAKYA ULA</v>
      </c>
      <c r="C40" s="98" t="str">
        <f>PEMAGANG!D33</f>
        <v>TRI HARTANTO</v>
      </c>
      <c r="D40" s="98" t="str">
        <f>PEMAGANG!F33</f>
        <v>SM OF CEMENT PURCHASING</v>
      </c>
      <c r="E40" s="99">
        <f>SUMIFS(DETAIL!$M$2:$M$137,DETAIL!$B$2:$B$137,$B40)</f>
        <v>9</v>
      </c>
      <c r="F40" s="99">
        <f>SUMIFS(DETAIL!$R$2:$R$137,DETAIL!$B$2:$B$137,$B40)</f>
        <v>7</v>
      </c>
      <c r="G40" s="100">
        <f>SUMIFS(DETAIL!$T$2:$T$137,DETAIL!$B$2:$B$137,$B40)</f>
        <v>521</v>
      </c>
      <c r="H40" s="101">
        <f t="shared" si="0"/>
        <v>0.77777777777777779</v>
      </c>
      <c r="I40" s="99">
        <f t="shared" si="1"/>
        <v>57.888888888888886</v>
      </c>
      <c r="J40" s="101">
        <f t="shared" si="2"/>
        <v>0.51563698055198692</v>
      </c>
      <c r="K40" s="102">
        <f t="shared" si="3"/>
        <v>0.51563698055198692</v>
      </c>
      <c r="L40" s="97" t="str">
        <f>IF(E40=0,"-",IF(F40=0,"Tidak ada laporan",IF(J40&gt;=$E$2,"Sangat Tinggi",IF(J40&gt;=$E$3,"Tinggi",IF(J40&gt;=$E$4,"Sedang","Rendah")))))</f>
        <v>Rendah</v>
      </c>
      <c r="M40" s="99">
        <f t="shared" si="4"/>
        <v>27</v>
      </c>
      <c r="N40" s="101" t="str">
        <f>IFERROR($C$2*(SUMIFS(DETAIL!$R$2:$R$137,DETAIL!$B$2:$B$137,$B40,DETAIL!$F$2:$F$137,MONTH(DATE(YEAR(SUMMARY!$C$6),MONTH(SUMMARY!$C$6)+0,1)))/SUMIFS(DETAIL!$M$2:$M$137,DETAIL!$B$2:$B$137,$B40,DETAIL!$F$2:$F$137,MONTH(DATE(YEAR(SUMMARY!$C$6),MONTH(SUMMARY!$C$6)+0,1))))/$C$5+$C$3*(SUMIFS(DETAIL!$T$2:$T$137,DETAIL!$B$2:$B$137,$B40,DETAIL!$F$2:$F$137,MONTH(DATE(YEAR(SUMMARY!$C$6),MONTH(SUMMARY!$C$6)+0,1)))/SUMIFS(DETAIL!$M$2:$M$137,DETAIL!$B$2:$B$137,$B40,DETAIL!$F$2:$F$137,MONTH(DATE(YEAR(SUMMARY!$C$6),MONTH(SUMMARY!$C$6)+0,1))))/$C$6,"-")</f>
        <v>-</v>
      </c>
      <c r="O40" s="101" t="str">
        <f>IFERROR($C$2*(SUMIFS(DETAIL!$R$2:$R$137,DETAIL!$B$2:$B$137,$B40,DETAIL!$F$2:$F$137,MONTH(DATE(YEAR(SUMMARY!$C$6),MONTH(SUMMARY!$C$6)+1,1)))/SUMIFS(DETAIL!$M$2:$M$137,DETAIL!$B$2:$B$137,$B40,DETAIL!$F$2:$F$137,MONTH(DATE(YEAR(SUMMARY!$C$6),MONTH(SUMMARY!$C$6)+1,1))))/$C$5+$C$3*(SUMIFS(DETAIL!$T$2:$T$137,DETAIL!$B$2:$B$137,$B40,DETAIL!$F$2:$F$137,MONTH(DATE(YEAR(SUMMARY!$C$6),MONTH(SUMMARY!$C$6)+1,1)))/SUMIFS(DETAIL!$M$2:$M$137,DETAIL!$B$2:$B$137,$B40,DETAIL!$F$2:$F$137,MONTH(DATE(YEAR(SUMMARY!$C$6),MONTH(SUMMARY!$C$6)+1,1))))/$C$6,"-")</f>
        <v>-</v>
      </c>
      <c r="P40" s="101" t="str">
        <f>IFERROR($C$2*(SUMIFS(DETAIL!$R$2:$R$137,DETAIL!$B$2:$B$137,$B40,DETAIL!$F$2:$F$137,MONTH(DATE(YEAR(SUMMARY!$C$6),MONTH(SUMMARY!$C$6)+2,1)))/SUMIFS(DETAIL!$M$2:$M$137,DETAIL!$B$2:$B$137,$B40,DETAIL!$F$2:$F$137,MONTH(DATE(YEAR(SUMMARY!$C$6),MONTH(SUMMARY!$C$6)+2,1))))/$C$5+$C$3*(SUMIFS(DETAIL!$T$2:$T$137,DETAIL!$B$2:$B$137,$B40,DETAIL!$F$2:$F$137,MONTH(DATE(YEAR(SUMMARY!$C$6),MONTH(SUMMARY!$C$6)+2,1)))/SUMIFS(DETAIL!$M$2:$M$137,DETAIL!$B$2:$B$137,$B40,DETAIL!$F$2:$F$137,MONTH(DATE(YEAR(SUMMARY!$C$6),MONTH(SUMMARY!$C$6)+2,1))))/$C$6,"-")</f>
        <v>-</v>
      </c>
      <c r="Q40" s="101">
        <f>IFERROR($C$2*(SUMIFS(DETAIL!$R$2:$R$137,DETAIL!$B$2:$B$137,$B40,DETAIL!$F$2:$F$137,MONTH(DATE(YEAR(SUMMARY!$C$6),MONTH(SUMMARY!$C$6)+3,1)))/SUMIFS(DETAIL!$M$2:$M$137,DETAIL!$B$2:$B$137,$B40,DETAIL!$F$2:$F$137,MONTH(DATE(YEAR(SUMMARY!$C$6),MONTH(SUMMARY!$C$6)+3,1))))/$C$5+$C$3*(SUMIFS(DETAIL!$T$2:$T$137,DETAIL!$B$2:$B$137,$B40,DETAIL!$F$2:$F$137,MONTH(DATE(YEAR(SUMMARY!$C$6),MONTH(SUMMARY!$C$6)+3,1)))/SUMIFS(DETAIL!$M$2:$M$137,DETAIL!$B$2:$B$137,$B40,DETAIL!$F$2:$F$137,MONTH(DATE(YEAR(SUMMARY!$C$6),MONTH(SUMMARY!$C$6)+3,1))))/$C$6,"-")</f>
        <v>0.51563698055198692</v>
      </c>
      <c r="R40" s="103">
        <f>IFERROR(INDEX(EVALUASI!$W$79:$W$132,MATCH($B40,EVALUASI!$C$79:$C$132,0)),"-")</f>
        <v>67.3</v>
      </c>
      <c r="S40" s="104" t="str">
        <f>IFERROR(INDEX(EVALUASI!$X$79:$X$132,MATCH($B40,EVALUASI!$C$79:$C$132,0)),"-")</f>
        <v>Perlu Pembinaan</v>
      </c>
      <c r="T40" s="105">
        <f t="shared" si="5"/>
        <v>0.51559698055198688</v>
      </c>
    </row>
    <row r="41" spans="1:20" x14ac:dyDescent="0.2">
      <c r="A41" s="97">
        <v>32</v>
      </c>
      <c r="B41" s="98" t="str">
        <f>PEMAGANG!C34</f>
        <v>AMELIA KURNIA FITRI</v>
      </c>
      <c r="C41" s="98" t="str">
        <f>PEMAGANG!D34</f>
        <v>WATIN UTARI</v>
      </c>
      <c r="D41" s="98" t="str">
        <f>PEMAGANG!F34</f>
        <v>PJ GM OF MARKETING (SID)</v>
      </c>
      <c r="E41" s="99">
        <f>SUMIFS(DETAIL!$M$2:$M$137,DETAIL!$B$2:$B$137,$B41)</f>
        <v>6</v>
      </c>
      <c r="F41" s="99">
        <f>SUMIFS(DETAIL!$R$2:$R$137,DETAIL!$B$2:$B$137,$B41)</f>
        <v>13</v>
      </c>
      <c r="G41" s="100">
        <f>SUMIFS(DETAIL!$T$2:$T$137,DETAIL!$B$2:$B$137,$B41)</f>
        <v>480</v>
      </c>
      <c r="H41" s="101">
        <f t="shared" si="0"/>
        <v>2.1666666666666665</v>
      </c>
      <c r="I41" s="99">
        <f t="shared" si="1"/>
        <v>80</v>
      </c>
      <c r="J41" s="101">
        <f t="shared" si="2"/>
        <v>1.018195308410148</v>
      </c>
      <c r="K41" s="102">
        <f t="shared" si="3"/>
        <v>1</v>
      </c>
      <c r="L41" s="97" t="str">
        <f>IF(E41=0,"-",IF(F41=0,"Tidak ada laporan",IF(J41&gt;=$E$2,"Sangat Tinggi",IF(J41&gt;=$E$3,"Tinggi",IF(J41&gt;=$E$4,"Sedang","Rendah")))))</f>
        <v>Tinggi</v>
      </c>
      <c r="M41" s="99">
        <f t="shared" si="4"/>
        <v>12</v>
      </c>
      <c r="N41" s="101" t="str">
        <f>IFERROR($C$2*(SUMIFS(DETAIL!$R$2:$R$137,DETAIL!$B$2:$B$137,$B41,DETAIL!$F$2:$F$137,MONTH(DATE(YEAR(SUMMARY!$C$6),MONTH(SUMMARY!$C$6)+0,1)))/SUMIFS(DETAIL!$M$2:$M$137,DETAIL!$B$2:$B$137,$B41,DETAIL!$F$2:$F$137,MONTH(DATE(YEAR(SUMMARY!$C$6),MONTH(SUMMARY!$C$6)+0,1))))/$C$5+$C$3*(SUMIFS(DETAIL!$T$2:$T$137,DETAIL!$B$2:$B$137,$B41,DETAIL!$F$2:$F$137,MONTH(DATE(YEAR(SUMMARY!$C$6),MONTH(SUMMARY!$C$6)+0,1)))/SUMIFS(DETAIL!$M$2:$M$137,DETAIL!$B$2:$B$137,$B41,DETAIL!$F$2:$F$137,MONTH(DATE(YEAR(SUMMARY!$C$6),MONTH(SUMMARY!$C$6)+0,1))))/$C$6,"-")</f>
        <v>-</v>
      </c>
      <c r="O41" s="101" t="str">
        <f>IFERROR($C$2*(SUMIFS(DETAIL!$R$2:$R$137,DETAIL!$B$2:$B$137,$B41,DETAIL!$F$2:$F$137,MONTH(DATE(YEAR(SUMMARY!$C$6),MONTH(SUMMARY!$C$6)+1,1)))/SUMIFS(DETAIL!$M$2:$M$137,DETAIL!$B$2:$B$137,$B41,DETAIL!$F$2:$F$137,MONTH(DATE(YEAR(SUMMARY!$C$6),MONTH(SUMMARY!$C$6)+1,1))))/$C$5+$C$3*(SUMIFS(DETAIL!$T$2:$T$137,DETAIL!$B$2:$B$137,$B41,DETAIL!$F$2:$F$137,MONTH(DATE(YEAR(SUMMARY!$C$6),MONTH(SUMMARY!$C$6)+1,1)))/SUMIFS(DETAIL!$M$2:$M$137,DETAIL!$B$2:$B$137,$B41,DETAIL!$F$2:$F$137,MONTH(DATE(YEAR(SUMMARY!$C$6),MONTH(SUMMARY!$C$6)+1,1))))/$C$6,"-")</f>
        <v>-</v>
      </c>
      <c r="P41" s="101" t="str">
        <f>IFERROR($C$2*(SUMIFS(DETAIL!$R$2:$R$137,DETAIL!$B$2:$B$137,$B41,DETAIL!$F$2:$F$137,MONTH(DATE(YEAR(SUMMARY!$C$6),MONTH(SUMMARY!$C$6)+2,1)))/SUMIFS(DETAIL!$M$2:$M$137,DETAIL!$B$2:$B$137,$B41,DETAIL!$F$2:$F$137,MONTH(DATE(YEAR(SUMMARY!$C$6),MONTH(SUMMARY!$C$6)+2,1))))/$C$5+$C$3*(SUMIFS(DETAIL!$T$2:$T$137,DETAIL!$B$2:$B$137,$B41,DETAIL!$F$2:$F$137,MONTH(DATE(YEAR(SUMMARY!$C$6),MONTH(SUMMARY!$C$6)+2,1)))/SUMIFS(DETAIL!$M$2:$M$137,DETAIL!$B$2:$B$137,$B41,DETAIL!$F$2:$F$137,MONTH(DATE(YEAR(SUMMARY!$C$6),MONTH(SUMMARY!$C$6)+2,1))))/$C$6,"-")</f>
        <v>-</v>
      </c>
      <c r="Q41" s="101">
        <f>IFERROR($C$2*(SUMIFS(DETAIL!$R$2:$R$137,DETAIL!$B$2:$B$137,$B41,DETAIL!$F$2:$F$137,MONTH(DATE(YEAR(SUMMARY!$C$6),MONTH(SUMMARY!$C$6)+3,1)))/SUMIFS(DETAIL!$M$2:$M$137,DETAIL!$B$2:$B$137,$B41,DETAIL!$F$2:$F$137,MONTH(DATE(YEAR(SUMMARY!$C$6),MONTH(SUMMARY!$C$6)+3,1))))/$C$5+$C$3*(SUMIFS(DETAIL!$T$2:$T$137,DETAIL!$B$2:$B$137,$B41,DETAIL!$F$2:$F$137,MONTH(DATE(YEAR(SUMMARY!$C$6),MONTH(SUMMARY!$C$6)+3,1)))/SUMIFS(DETAIL!$M$2:$M$137,DETAIL!$B$2:$B$137,$B41,DETAIL!$F$2:$F$137,MONTH(DATE(YEAR(SUMMARY!$C$6),MONTH(SUMMARY!$C$6)+3,1))))/$C$6,"-")</f>
        <v>1.018195308410148</v>
      </c>
      <c r="R41" s="103">
        <f>IFERROR(INDEX(EVALUASI!$W$79:$W$132,MATCH($B41,EVALUASI!$C$79:$C$132,0)),"-")</f>
        <v>92.4</v>
      </c>
      <c r="S41" s="104" t="str">
        <f>IFERROR(INDEX(EVALUASI!$X$79:$X$132,MATCH($B41,EVALUASI!$C$79:$C$132,0)),"-")</f>
        <v>Sangat Baik</v>
      </c>
      <c r="T41" s="105">
        <f t="shared" si="5"/>
        <v>1.0181543084101481</v>
      </c>
    </row>
    <row r="42" spans="1:20" x14ac:dyDescent="0.2">
      <c r="A42" s="97">
        <v>33</v>
      </c>
      <c r="B42" s="98" t="str">
        <f>PEMAGANG!C35</f>
        <v>PUTRI WIDYOWATI</v>
      </c>
      <c r="C42" s="98" t="str">
        <f>PEMAGANG!D35</f>
        <v>WAWAN SETIAWAN</v>
      </c>
      <c r="D42" s="98" t="str">
        <f>PEMAGANG!F35</f>
        <v>VERIFICATION (SID) JR. OFFICER</v>
      </c>
      <c r="E42" s="99">
        <f>SUMIFS(DETAIL!$M$2:$M$137,DETAIL!$B$2:$B$137,$B42)</f>
        <v>80</v>
      </c>
      <c r="F42" s="99">
        <f>SUMIFS(DETAIL!$R$2:$R$137,DETAIL!$B$2:$B$137,$B42)</f>
        <v>119</v>
      </c>
      <c r="G42" s="100">
        <f>SUMIFS(DETAIL!$T$2:$T$137,DETAIL!$B$2:$B$137,$B42)</f>
        <v>20114</v>
      </c>
      <c r="H42" s="101">
        <f t="shared" si="0"/>
        <v>1.4875</v>
      </c>
      <c r="I42" s="99">
        <f t="shared" si="1"/>
        <v>251.42500000000001</v>
      </c>
      <c r="J42" s="101">
        <f t="shared" si="2"/>
        <v>1.7103457696001279</v>
      </c>
      <c r="K42" s="102">
        <f t="shared" si="3"/>
        <v>1</v>
      </c>
      <c r="L42" s="97" t="str">
        <f>IF(E42=0,"-",IF(F42=0,"Tidak ada laporan",IF(J42&gt;=$E$2,"Sangat Tinggi",IF(J42&gt;=$E$3,"Tinggi",IF(J42&gt;=$E$4,"Sedang","Rendah")))))</f>
        <v>Sangat Tinggi</v>
      </c>
      <c r="M42" s="99">
        <f t="shared" si="4"/>
        <v>4</v>
      </c>
      <c r="N42" s="101">
        <f>IFERROR($C$2*(SUMIFS(DETAIL!$R$2:$R$137,DETAIL!$B$2:$B$137,$B42,DETAIL!$F$2:$F$137,MONTH(DATE(YEAR(SUMMARY!$C$6),MONTH(SUMMARY!$C$6)+0,1)))/SUMIFS(DETAIL!$M$2:$M$137,DETAIL!$B$2:$B$137,$B42,DETAIL!$F$2:$F$137,MONTH(DATE(YEAR(SUMMARY!$C$6),MONTH(SUMMARY!$C$6)+0,1))))/$C$5+$C$3*(SUMIFS(DETAIL!$T$2:$T$137,DETAIL!$B$2:$B$137,$B42,DETAIL!$F$2:$F$137,MONTH(DATE(YEAR(SUMMARY!$C$6),MONTH(SUMMARY!$C$6)+0,1)))/SUMIFS(DETAIL!$M$2:$M$137,DETAIL!$B$2:$B$137,$B42,DETAIL!$F$2:$F$137,MONTH(DATE(YEAR(SUMMARY!$C$6),MONTH(SUMMARY!$C$6)+0,1))))/$C$6,"-")</f>
        <v>1.209836803802496</v>
      </c>
      <c r="O42" s="101">
        <f>IFERROR($C$2*(SUMIFS(DETAIL!$R$2:$R$137,DETAIL!$B$2:$B$137,$B42,DETAIL!$F$2:$F$137,MONTH(DATE(YEAR(SUMMARY!$C$6),MONTH(SUMMARY!$C$6)+1,1)))/SUMIFS(DETAIL!$M$2:$M$137,DETAIL!$B$2:$B$137,$B42,DETAIL!$F$2:$F$137,MONTH(DATE(YEAR(SUMMARY!$C$6),MONTH(SUMMARY!$C$6)+1,1))))/$C$5+$C$3*(SUMIFS(DETAIL!$T$2:$T$137,DETAIL!$B$2:$B$137,$B42,DETAIL!$F$2:$F$137,MONTH(DATE(YEAR(SUMMARY!$C$6),MONTH(SUMMARY!$C$6)+1,1)))/SUMIFS(DETAIL!$M$2:$M$137,DETAIL!$B$2:$B$137,$B42,DETAIL!$F$2:$F$137,MONTH(DATE(YEAR(SUMMARY!$C$6),MONTH(SUMMARY!$C$6)+1,1))))/$C$6,"-")</f>
        <v>1.743936207713251</v>
      </c>
      <c r="P42" s="101">
        <f>IFERROR($C$2*(SUMIFS(DETAIL!$R$2:$R$137,DETAIL!$B$2:$B$137,$B42,DETAIL!$F$2:$F$137,MONTH(DATE(YEAR(SUMMARY!$C$6),MONTH(SUMMARY!$C$6)+2,1)))/SUMIFS(DETAIL!$M$2:$M$137,DETAIL!$B$2:$B$137,$B42,DETAIL!$F$2:$F$137,MONTH(DATE(YEAR(SUMMARY!$C$6),MONTH(SUMMARY!$C$6)+2,1))))/$C$5+$C$3*(SUMIFS(DETAIL!$T$2:$T$137,DETAIL!$B$2:$B$137,$B42,DETAIL!$F$2:$F$137,MONTH(DATE(YEAR(SUMMARY!$C$6),MONTH(SUMMARY!$C$6)+2,1)))/SUMIFS(DETAIL!$M$2:$M$137,DETAIL!$B$2:$B$137,$B42,DETAIL!$F$2:$F$137,MONTH(DATE(YEAR(SUMMARY!$C$6),MONTH(SUMMARY!$C$6)+2,1))))/$C$6,"-")</f>
        <v>1.7578193850884283</v>
      </c>
      <c r="Q42" s="101">
        <f>IFERROR($C$2*(SUMIFS(DETAIL!$R$2:$R$137,DETAIL!$B$2:$B$137,$B42,DETAIL!$F$2:$F$137,MONTH(DATE(YEAR(SUMMARY!$C$6),MONTH(SUMMARY!$C$6)+3,1)))/SUMIFS(DETAIL!$M$2:$M$137,DETAIL!$B$2:$B$137,$B42,DETAIL!$F$2:$F$137,MONTH(DATE(YEAR(SUMMARY!$C$6),MONTH(SUMMARY!$C$6)+3,1))))/$C$5+$C$3*(SUMIFS(DETAIL!$T$2:$T$137,DETAIL!$B$2:$B$137,$B42,DETAIL!$F$2:$F$137,MONTH(DATE(YEAR(SUMMARY!$C$6),MONTH(SUMMARY!$C$6)+3,1)))/SUMIFS(DETAIL!$M$2:$M$137,DETAIL!$B$2:$B$137,$B42,DETAIL!$F$2:$F$137,MONTH(DATE(YEAR(SUMMARY!$C$6),MONTH(SUMMARY!$C$6)+3,1))))/$C$6,"-")</f>
        <v>2.046789564586676</v>
      </c>
      <c r="R42" s="103">
        <f>IFERROR(INDEX(EVALUASI!$W$79:$W$132,MATCH($B42,EVALUASI!$C$79:$C$132,0)),"-")</f>
        <v>96.8</v>
      </c>
      <c r="S42" s="104" t="str">
        <f>IFERROR(INDEX(EVALUASI!$X$79:$X$132,MATCH($B42,EVALUASI!$C$79:$C$132,0)),"-")</f>
        <v>Sangat Baik</v>
      </c>
      <c r="T42" s="105">
        <f t="shared" si="5"/>
        <v>1.7103037696001278</v>
      </c>
    </row>
    <row r="43" spans="1:20" x14ac:dyDescent="0.2">
      <c r="A43" s="97">
        <v>34</v>
      </c>
      <c r="B43" s="98" t="str">
        <f>PEMAGANG!C36</f>
        <v>MUHAMMAD QAIRUL UMAM</v>
      </c>
      <c r="C43" s="98" t="str">
        <f>PEMAGANG!D36</f>
        <v>YUSUF REZA MUHAMMAD</v>
      </c>
      <c r="D43" s="98" t="str">
        <f>PEMAGANG!F36</f>
        <v>GM OF TAX &amp; ACCOUNTING</v>
      </c>
      <c r="E43" s="99">
        <f>SUMIFS(DETAIL!$M$2:$M$137,DETAIL!$B$2:$B$137,$B43)</f>
        <v>33</v>
      </c>
      <c r="F43" s="99">
        <f>SUMIFS(DETAIL!$R$2:$R$137,DETAIL!$B$2:$B$137,$B43)</f>
        <v>49</v>
      </c>
      <c r="G43" s="100">
        <f>SUMIFS(DETAIL!$T$2:$T$137,DETAIL!$B$2:$B$137,$B43)</f>
        <v>5160</v>
      </c>
      <c r="H43" s="101">
        <f t="shared" si="0"/>
        <v>1.4848484848484849</v>
      </c>
      <c r="I43" s="99">
        <f t="shared" si="1"/>
        <v>156.36363636363637</v>
      </c>
      <c r="J43" s="101">
        <f t="shared" si="2"/>
        <v>1.2203613881626374</v>
      </c>
      <c r="K43" s="102">
        <f t="shared" si="3"/>
        <v>1</v>
      </c>
      <c r="L43" s="97" t="str">
        <f>IF(E43=0,"-",IF(F43=0,"Tidak ada laporan",IF(J43&gt;=$E$2,"Sangat Tinggi",IF(J43&gt;=$E$3,"Tinggi",IF(J43&gt;=$E$4,"Sedang","Rendah")))))</f>
        <v>Tinggi</v>
      </c>
      <c r="M43" s="99">
        <f t="shared" si="4"/>
        <v>9</v>
      </c>
      <c r="N43" s="101" t="str">
        <f>IFERROR($C$2*(SUMIFS(DETAIL!$R$2:$R$137,DETAIL!$B$2:$B$137,$B43,DETAIL!$F$2:$F$137,MONTH(DATE(YEAR(SUMMARY!$C$6),MONTH(SUMMARY!$C$6)+0,1)))/SUMIFS(DETAIL!$M$2:$M$137,DETAIL!$B$2:$B$137,$B43,DETAIL!$F$2:$F$137,MONTH(DATE(YEAR(SUMMARY!$C$6),MONTH(SUMMARY!$C$6)+0,1))))/$C$5+$C$3*(SUMIFS(DETAIL!$T$2:$T$137,DETAIL!$B$2:$B$137,$B43,DETAIL!$F$2:$F$137,MONTH(DATE(YEAR(SUMMARY!$C$6),MONTH(SUMMARY!$C$6)+0,1)))/SUMIFS(DETAIL!$M$2:$M$137,DETAIL!$B$2:$B$137,$B43,DETAIL!$F$2:$F$137,MONTH(DATE(YEAR(SUMMARY!$C$6),MONTH(SUMMARY!$C$6)+0,1))))/$C$6,"-")</f>
        <v>-</v>
      </c>
      <c r="O43" s="101" t="str">
        <f>IFERROR($C$2*(SUMIFS(DETAIL!$R$2:$R$137,DETAIL!$B$2:$B$137,$B43,DETAIL!$F$2:$F$137,MONTH(DATE(YEAR(SUMMARY!$C$6),MONTH(SUMMARY!$C$6)+1,1)))/SUMIFS(DETAIL!$M$2:$M$137,DETAIL!$B$2:$B$137,$B43,DETAIL!$F$2:$F$137,MONTH(DATE(YEAR(SUMMARY!$C$6),MONTH(SUMMARY!$C$6)+1,1))))/$C$5+$C$3*(SUMIFS(DETAIL!$T$2:$T$137,DETAIL!$B$2:$B$137,$B43,DETAIL!$F$2:$F$137,MONTH(DATE(YEAR(SUMMARY!$C$6),MONTH(SUMMARY!$C$6)+1,1)))/SUMIFS(DETAIL!$M$2:$M$137,DETAIL!$B$2:$B$137,$B43,DETAIL!$F$2:$F$137,MONTH(DATE(YEAR(SUMMARY!$C$6),MONTH(SUMMARY!$C$6)+1,1))))/$C$6,"-")</f>
        <v>-</v>
      </c>
      <c r="P43" s="101">
        <f>IFERROR($C$2*(SUMIFS(DETAIL!$R$2:$R$137,DETAIL!$B$2:$B$137,$B43,DETAIL!$F$2:$F$137,MONTH(DATE(YEAR(SUMMARY!$C$6),MONTH(SUMMARY!$C$6)+2,1)))/SUMIFS(DETAIL!$M$2:$M$137,DETAIL!$B$2:$B$137,$B43,DETAIL!$F$2:$F$137,MONTH(DATE(YEAR(SUMMARY!$C$6),MONTH(SUMMARY!$C$6)+2,1))))/$C$5+$C$3*(SUMIFS(DETAIL!$T$2:$T$137,DETAIL!$B$2:$B$137,$B43,DETAIL!$F$2:$F$137,MONTH(DATE(YEAR(SUMMARY!$C$6),MONTH(SUMMARY!$C$6)+2,1)))/SUMIFS(DETAIL!$M$2:$M$137,DETAIL!$B$2:$B$137,$B43,DETAIL!$F$2:$F$137,MONTH(DATE(YEAR(SUMMARY!$C$6),MONTH(SUMMARY!$C$6)+2,1))))/$C$6,"-")</f>
        <v>1.0455374273455296</v>
      </c>
      <c r="Q43" s="101">
        <f>IFERROR($C$2*(SUMIFS(DETAIL!$R$2:$R$137,DETAIL!$B$2:$B$137,$B43,DETAIL!$F$2:$F$137,MONTH(DATE(YEAR(SUMMARY!$C$6),MONTH(SUMMARY!$C$6)+3,1)))/SUMIFS(DETAIL!$M$2:$M$137,DETAIL!$B$2:$B$137,$B43,DETAIL!$F$2:$F$137,MONTH(DATE(YEAR(SUMMARY!$C$6),MONTH(SUMMARY!$C$6)+3,1))))/$C$5+$C$3*(SUMIFS(DETAIL!$T$2:$T$137,DETAIL!$B$2:$B$137,$B43,DETAIL!$F$2:$F$137,MONTH(DATE(YEAR(SUMMARY!$C$6),MONTH(SUMMARY!$C$6)+3,1)))/SUMIFS(DETAIL!$M$2:$M$137,DETAIL!$B$2:$B$137,$B43,DETAIL!$F$2:$F$137,MONTH(DATE(YEAR(SUMMARY!$C$6),MONTH(SUMMARY!$C$6)+3,1))))/$C$6,"-")</f>
        <v>1.3339969626937576</v>
      </c>
      <c r="R43" s="103">
        <f>IFERROR(INDEX(EVALUASI!$W$79:$W$132,MATCH($B43,EVALUASI!$C$79:$C$132,0)),"-")</f>
        <v>93.9</v>
      </c>
      <c r="S43" s="104" t="str">
        <f>IFERROR(INDEX(EVALUASI!$X$79:$X$132,MATCH($B43,EVALUASI!$C$79:$C$132,0)),"-")</f>
        <v>Sangat Baik</v>
      </c>
      <c r="T43" s="105">
        <f t="shared" si="5"/>
        <v>1.2203183881626374</v>
      </c>
    </row>
    <row r="44" spans="1:20" x14ac:dyDescent="0.2">
      <c r="B44" s="106" t="s">
        <v>16</v>
      </c>
      <c r="E44" s="107">
        <f>SUM(E10:E43)</f>
        <v>1708</v>
      </c>
      <c r="F44" s="107">
        <f>SUM(F10:F43)</f>
        <v>3051</v>
      </c>
      <c r="G44" s="108">
        <f>SUM(G10:G43)</f>
        <v>165935</v>
      </c>
      <c r="H44" s="109">
        <f t="shared" si="0"/>
        <v>1.7862997658079625</v>
      </c>
      <c r="I44" s="107">
        <f t="shared" si="1"/>
        <v>97.151639344262293</v>
      </c>
      <c r="J44" s="109">
        <f>1</f>
        <v>1</v>
      </c>
      <c r="K44" s="110">
        <f>AVERAGE(K10:K43)</f>
        <v>0.73479426114312951</v>
      </c>
      <c r="R44" s="111">
        <f>AVERAGE(R10:R43)</f>
        <v>86.055882352941197</v>
      </c>
    </row>
    <row r="46" spans="1:20" x14ac:dyDescent="0.2">
      <c r="A46" s="90" t="s">
        <v>103</v>
      </c>
    </row>
    <row r="47" spans="1:20" ht="33.75" x14ac:dyDescent="0.2">
      <c r="A47" s="96" t="s">
        <v>97</v>
      </c>
      <c r="B47" s="96" t="s">
        <v>59</v>
      </c>
      <c r="C47" s="96" t="s">
        <v>2</v>
      </c>
      <c r="D47" s="96" t="s">
        <v>23</v>
      </c>
      <c r="E47" s="96" t="s">
        <v>81</v>
      </c>
      <c r="F47" s="96" t="s">
        <v>60</v>
      </c>
      <c r="G47" s="96" t="s">
        <v>102</v>
      </c>
      <c r="H47" s="96" t="s">
        <v>12</v>
      </c>
    </row>
    <row r="48" spans="1:20" ht="22.5" x14ac:dyDescent="0.2">
      <c r="A48" s="99">
        <v>1</v>
      </c>
      <c r="B48" s="112" t="str">
        <f>INDEX($B$10:$B$43,MATCH(LARGE($T$10:$T$43,1),$T$10:$T$43,0))</f>
        <v>SELVI NURUL HASANAH</v>
      </c>
      <c r="C48" s="112" t="str">
        <f>INDEX($C$10:$C$43,MATCH(LARGE($T$10:$T$43,1),$T$10:$T$43,0))</f>
        <v>GANANG MUSYAFFA FAHMI</v>
      </c>
      <c r="D48" s="112" t="str">
        <f>INDEX($D$10:$D$43,MATCH(LARGE($T$10:$T$43,1),$T$10:$T$43,0))</f>
        <v>PKSDM</v>
      </c>
      <c r="E48" s="101">
        <f>INDEX($J$10:$J$43,MATCH(LARGE($T$10:$T$43,1),$T$10:$T$43,0))</f>
        <v>2.212895237895427</v>
      </c>
      <c r="F48" s="97" t="str">
        <f>INDEX($L$10:$L$43,MATCH(LARGE($T$10:$T$43,1),$T$10:$T$43,0))</f>
        <v>Sangat Tinggi</v>
      </c>
      <c r="G48" s="113">
        <f>INDEX($R$10:$R$43,MATCH(LARGE($T$10:$T$43,1),$T$10:$T$43,0))</f>
        <v>97.9</v>
      </c>
      <c r="H48" s="97" t="str">
        <f>INDEX($S$10:$S$43,MATCH(LARGE($T$10:$T$43,1),$T$10:$T$43,0))</f>
        <v>Sangat Baik</v>
      </c>
    </row>
    <row r="49" spans="1:8" ht="22.5" x14ac:dyDescent="0.2">
      <c r="A49" s="99">
        <v>2</v>
      </c>
      <c r="B49" s="112" t="str">
        <f>INDEX($B$10:$B$43,MATCH(LARGE($T$10:$T$43,2),$T$10:$T$43,0))</f>
        <v>SYAKIRAH TSALTSA FITRIAH</v>
      </c>
      <c r="C49" s="112" t="str">
        <f>INDEX($C$10:$C$43,MATCH(LARGE($T$10:$T$43,2),$T$10:$T$43,0))</f>
        <v>AHMAD JALALUDDIN BASYAR</v>
      </c>
      <c r="D49" s="112" t="str">
        <f>INDEX($D$10:$D$43,MATCH(LARGE($T$10:$T$43,2),$T$10:$T$43,0))</f>
        <v>PGS SM OF DIGITAL BUSSINES</v>
      </c>
      <c r="E49" s="101">
        <f>INDEX($J$10:$J$43,MATCH(LARGE($T$10:$T$43,2),$T$10:$T$43,0))</f>
        <v>2.059061568497218</v>
      </c>
      <c r="F49" s="97" t="str">
        <f>INDEX($L$10:$L$43,MATCH(LARGE($T$10:$T$43,2),$T$10:$T$43,0))</f>
        <v>Sangat Tinggi</v>
      </c>
      <c r="G49" s="113">
        <f>INDEX($R$10:$R$43,MATCH(LARGE($T$10:$T$43,2),$T$10:$T$43,0))</f>
        <v>97.8</v>
      </c>
      <c r="H49" s="97" t="str">
        <f>INDEX($S$10:$S$43,MATCH(LARGE($T$10:$T$43,2),$T$10:$T$43,0))</f>
        <v>Sangat Baik</v>
      </c>
    </row>
    <row r="50" spans="1:8" ht="22.5" x14ac:dyDescent="0.2">
      <c r="A50" s="99">
        <v>3</v>
      </c>
      <c r="B50" s="112" t="str">
        <f>INDEX($B$10:$B$43,MATCH(LARGE($T$10:$T$43,3),$T$10:$T$43,0))</f>
        <v>KHOFIFATUNNABILAH</v>
      </c>
      <c r="C50" s="112" t="str">
        <f>INDEX($C$10:$C$43,MATCH(LARGE($T$10:$T$43,3),$T$10:$T$43,0))</f>
        <v>M. RIZAD FAHRURI</v>
      </c>
      <c r="D50" s="112" t="str">
        <f>INDEX($D$10:$D$43,MATCH(LARGE($T$10:$T$43,3),$T$10:$T$43,0))</f>
        <v>PGS FINANCIAL ANALYSIS OFFICER</v>
      </c>
      <c r="E50" s="101">
        <f>INDEX($J$10:$J$43,MATCH(LARGE($T$10:$T$43,3),$T$10:$T$43,0))</f>
        <v>1.9549135907197357</v>
      </c>
      <c r="F50" s="97" t="str">
        <f>INDEX($L$10:$L$43,MATCH(LARGE($T$10:$T$43,3),$T$10:$T$43,0))</f>
        <v>Sangat Tinggi</v>
      </c>
      <c r="G50" s="113">
        <f>INDEX($R$10:$R$43,MATCH(LARGE($T$10:$T$43,3),$T$10:$T$43,0))</f>
        <v>98.5</v>
      </c>
      <c r="H50" s="97" t="str">
        <f>INDEX($S$10:$S$43,MATCH(LARGE($T$10:$T$43,3),$T$10:$T$43,0))</f>
        <v>Sangat Baik</v>
      </c>
    </row>
    <row r="51" spans="1:8" ht="22.5" x14ac:dyDescent="0.2">
      <c r="A51" s="99">
        <v>4</v>
      </c>
      <c r="B51" s="112" t="str">
        <f>INDEX($B$10:$B$43,MATCH(LARGE($T$10:$T$43,4),$T$10:$T$43,0))</f>
        <v>PUTRI WIDYOWATI</v>
      </c>
      <c r="C51" s="112" t="str">
        <f>INDEX($C$10:$C$43,MATCH(LARGE($T$10:$T$43,4),$T$10:$T$43,0))</f>
        <v>WAWAN SETIAWAN</v>
      </c>
      <c r="D51" s="112" t="str">
        <f>INDEX($D$10:$D$43,MATCH(LARGE($T$10:$T$43,4),$T$10:$T$43,0))</f>
        <v>VERIFICATION (SID) JR. OFFICER</v>
      </c>
      <c r="E51" s="101">
        <f>INDEX($J$10:$J$43,MATCH(LARGE($T$10:$T$43,4),$T$10:$T$43,0))</f>
        <v>1.7103457696001279</v>
      </c>
      <c r="F51" s="97" t="str">
        <f>INDEX($L$10:$L$43,MATCH(LARGE($T$10:$T$43,4),$T$10:$T$43,0))</f>
        <v>Sangat Tinggi</v>
      </c>
      <c r="G51" s="113">
        <f>INDEX($R$10:$R$43,MATCH(LARGE($T$10:$T$43,4),$T$10:$T$43,0))</f>
        <v>96.8</v>
      </c>
      <c r="H51" s="97" t="str">
        <f>INDEX($S$10:$S$43,MATCH(LARGE($T$10:$T$43,4),$T$10:$T$43,0))</f>
        <v>Sangat Baik</v>
      </c>
    </row>
    <row r="52" spans="1:8" ht="22.5" x14ac:dyDescent="0.2">
      <c r="A52" s="99">
        <v>5</v>
      </c>
      <c r="B52" s="112" t="str">
        <f>INDEX($B$10:$B$43,MATCH(LARGE($T$10:$T$43,5),$T$10:$T$43,0))</f>
        <v>JANU PRASTYO</v>
      </c>
      <c r="C52" s="112" t="str">
        <f>INDEX($C$10:$C$43,MATCH(LARGE($T$10:$T$43,5),$T$10:$T$43,0))</f>
        <v>ARIFANO KUSUMA BAYU</v>
      </c>
      <c r="D52" s="112" t="str">
        <f>INDEX($D$10:$D$43,MATCH(LARGE($T$10:$T$43,5),$T$10:$T$43,0))</f>
        <v>PGS SM OF DIGITAL BUSSINES</v>
      </c>
      <c r="E52" s="101">
        <f>INDEX($J$10:$J$43,MATCH(LARGE($T$10:$T$43,5),$T$10:$T$43,0))</f>
        <v>1.5320892216427868</v>
      </c>
      <c r="F52" s="97" t="str">
        <f>INDEX($L$10:$L$43,MATCH(LARGE($T$10:$T$43,5),$T$10:$T$43,0))</f>
        <v>Sangat Tinggi</v>
      </c>
      <c r="G52" s="113">
        <f>INDEX($R$10:$R$43,MATCH(LARGE($T$10:$T$43,5),$T$10:$T$43,0))</f>
        <v>90.9</v>
      </c>
      <c r="H52" s="97" t="str">
        <f>INDEX($S$10:$S$43,MATCH(LARGE($T$10:$T$43,5),$T$10:$T$43,0))</f>
        <v>Sangat Baik</v>
      </c>
    </row>
    <row r="53" spans="1:8" ht="22.5" x14ac:dyDescent="0.2">
      <c r="A53" s="99">
        <v>6</v>
      </c>
      <c r="B53" s="112" t="str">
        <f>INDEX($B$10:$B$43,MATCH(LARGE($T$10:$T$43,6),$T$10:$T$43,0))</f>
        <v>AHMAD NOVAN JUNIARDY</v>
      </c>
      <c r="C53" s="112" t="str">
        <f>INDEX($C$10:$C$43,MATCH(LARGE($T$10:$T$43,6),$T$10:$T$43,0))</f>
        <v>ENDAH YUNIA SRI WINDARI</v>
      </c>
      <c r="D53" s="112" t="str">
        <f>INDEX($D$10:$D$43,MATCH(LARGE($T$10:$T$43,6),$T$10:$T$43,0))</f>
        <v>SM OF FINANCE (SID)</v>
      </c>
      <c r="E53" s="101">
        <f>INDEX($J$10:$J$43,MATCH(LARGE($T$10:$T$43,6),$T$10:$T$43,0))</f>
        <v>1.4473095352289529</v>
      </c>
      <c r="F53" s="97" t="str">
        <f>INDEX($L$10:$L$43,MATCH(LARGE($T$10:$T$43,6),$T$10:$T$43,0))</f>
        <v>Tinggi</v>
      </c>
      <c r="G53" s="113">
        <f>INDEX($R$10:$R$43,MATCH(LARGE($T$10:$T$43,6),$T$10:$T$43,0))</f>
        <v>96.9</v>
      </c>
      <c r="H53" s="97" t="str">
        <f>INDEX($S$10:$S$43,MATCH(LARGE($T$10:$T$43,6),$T$10:$T$43,0))</f>
        <v>Sangat Baik</v>
      </c>
    </row>
    <row r="54" spans="1:8" ht="22.5" x14ac:dyDescent="0.2">
      <c r="A54" s="99">
        <v>7</v>
      </c>
      <c r="B54" s="112" t="str">
        <f>INDEX($B$10:$B$43,MATCH(LARGE($T$10:$T$43,7),$T$10:$T$43,0))</f>
        <v>TIARA MARTHA ASNADHINATA</v>
      </c>
      <c r="C54" s="112" t="str">
        <f>INDEX($C$10:$C$43,MATCH(LARGE($T$10:$T$43,7),$T$10:$T$43,0))</f>
        <v>AHMAD JALALUDDIN BASYAR</v>
      </c>
      <c r="D54" s="112" t="str">
        <f>INDEX($D$10:$D$43,MATCH(LARGE($T$10:$T$43,7),$T$10:$T$43,0))</f>
        <v>PGS SM OF DIGITAL BUSSINES</v>
      </c>
      <c r="E54" s="101">
        <f>INDEX($J$10:$J$43,MATCH(LARGE($T$10:$T$43,7),$T$10:$T$43,0))</f>
        <v>1.4297844267291735</v>
      </c>
      <c r="F54" s="97" t="str">
        <f>INDEX($L$10:$L$43,MATCH(LARGE($T$10:$T$43,7),$T$10:$T$43,0))</f>
        <v>Tinggi</v>
      </c>
      <c r="G54" s="113">
        <f>INDEX($R$10:$R$43,MATCH(LARGE($T$10:$T$43,7),$T$10:$T$43,0))</f>
        <v>96.2</v>
      </c>
      <c r="H54" s="97" t="str">
        <f>INDEX($S$10:$S$43,MATCH(LARGE($T$10:$T$43,7),$T$10:$T$43,0))</f>
        <v>Sangat Baik</v>
      </c>
    </row>
    <row r="55" spans="1:8" ht="22.5" x14ac:dyDescent="0.2">
      <c r="A55" s="99">
        <v>8</v>
      </c>
      <c r="B55" s="112" t="str">
        <f>INDEX($B$10:$B$43,MATCH(LARGE($T$10:$T$43,8),$T$10:$T$43,0))</f>
        <v>ANGGUN NUR TSANIA AGUSTIN</v>
      </c>
      <c r="C55" s="112" t="str">
        <f>INDEX($C$10:$C$43,MATCH(LARGE($T$10:$T$43,8),$T$10:$T$43,0))</f>
        <v>MOH. AGUS EFENDI</v>
      </c>
      <c r="D55" s="112" t="str">
        <f>INDEX($D$10:$D$43,MATCH(LARGE($T$10:$T$43,8),$T$10:$T$43,0))</f>
        <v>MANAGER OF TRANSPORTATION</v>
      </c>
      <c r="E55" s="101">
        <f>INDEX($J$10:$J$43,MATCH(LARGE($T$10:$T$43,8),$T$10:$T$43,0))</f>
        <v>1.357747477399295</v>
      </c>
      <c r="F55" s="97" t="str">
        <f>INDEX($L$10:$L$43,MATCH(LARGE($T$10:$T$43,8),$T$10:$T$43,0))</f>
        <v>Tinggi</v>
      </c>
      <c r="G55" s="113">
        <f>INDEX($R$10:$R$43,MATCH(LARGE($T$10:$T$43,8),$T$10:$T$43,0))</f>
        <v>99</v>
      </c>
      <c r="H55" s="97" t="str">
        <f>INDEX($S$10:$S$43,MATCH(LARGE($T$10:$T$43,8),$T$10:$T$43,0))</f>
        <v>Sangat Baik</v>
      </c>
    </row>
    <row r="56" spans="1:8" ht="22.5" x14ac:dyDescent="0.2">
      <c r="A56" s="99">
        <v>9</v>
      </c>
      <c r="B56" s="112" t="str">
        <f>INDEX($B$10:$B$43,MATCH(LARGE($T$10:$T$43,9),$T$10:$T$43,0))</f>
        <v>MUHAMMAD QAIRUL UMAM</v>
      </c>
      <c r="C56" s="112" t="str">
        <f>INDEX($C$10:$C$43,MATCH(LARGE($T$10:$T$43,9),$T$10:$T$43,0))</f>
        <v>YUSUF REZA MUHAMMAD</v>
      </c>
      <c r="D56" s="112" t="str">
        <f>INDEX($D$10:$D$43,MATCH(LARGE($T$10:$T$43,9),$T$10:$T$43,0))</f>
        <v>GM OF TAX &amp; ACCOUNTING</v>
      </c>
      <c r="E56" s="101">
        <f>INDEX($J$10:$J$43,MATCH(LARGE($T$10:$T$43,9),$T$10:$T$43,0))</f>
        <v>1.2203613881626374</v>
      </c>
      <c r="F56" s="97" t="str">
        <f>INDEX($L$10:$L$43,MATCH(LARGE($T$10:$T$43,9),$T$10:$T$43,0))</f>
        <v>Tinggi</v>
      </c>
      <c r="G56" s="113">
        <f>INDEX($R$10:$R$43,MATCH(LARGE($T$10:$T$43,9),$T$10:$T$43,0))</f>
        <v>93.9</v>
      </c>
      <c r="H56" s="97" t="str">
        <f>INDEX($S$10:$S$43,MATCH(LARGE($T$10:$T$43,9),$T$10:$T$43,0))</f>
        <v>Sangat Baik</v>
      </c>
    </row>
    <row r="57" spans="1:8" ht="22.5" x14ac:dyDescent="0.2">
      <c r="A57" s="99">
        <v>10</v>
      </c>
      <c r="B57" s="112" t="str">
        <f>INDEX($B$10:$B$43,MATCH(LARGE($T$10:$T$43,10),$T$10:$T$43,0))</f>
        <v>TAHYUDIN UZI SAFAAT</v>
      </c>
      <c r="C57" s="112" t="str">
        <f>INDEX($C$10:$C$43,MATCH(LARGE($T$10:$T$43,10),$T$10:$T$43,0))</f>
        <v>ENDAH YUNIA SRI WINDARI</v>
      </c>
      <c r="D57" s="112" t="str">
        <f>INDEX($D$10:$D$43,MATCH(LARGE($T$10:$T$43,10),$T$10:$T$43,0))</f>
        <v>SM OF FINANCE (SID)</v>
      </c>
      <c r="E57" s="101">
        <f>INDEX($J$10:$J$43,MATCH(LARGE($T$10:$T$43,10),$T$10:$T$43,0))</f>
        <v>1.1123329232439554</v>
      </c>
      <c r="F57" s="97" t="str">
        <f>INDEX($L$10:$L$43,MATCH(LARGE($T$10:$T$43,10),$T$10:$T$43,0))</f>
        <v>Tinggi</v>
      </c>
      <c r="G57" s="113">
        <f>INDEX($R$10:$R$43,MATCH(LARGE($T$10:$T$43,10),$T$10:$T$43,0))</f>
        <v>98.6</v>
      </c>
      <c r="H57" s="97" t="str">
        <f>INDEX($S$10:$S$43,MATCH(LARGE($T$10:$T$43,10),$T$10:$T$43,0))</f>
        <v>Sangat Baik</v>
      </c>
    </row>
    <row r="58" spans="1:8" ht="22.5" x14ac:dyDescent="0.2">
      <c r="A58" s="99">
        <v>11</v>
      </c>
      <c r="B58" s="112" t="str">
        <f>INDEX($B$10:$B$43,MATCH(LARGE($T$10:$T$43,11),$T$10:$T$43,0))</f>
        <v>NURIKA AMELIA ROSYIDAH</v>
      </c>
      <c r="C58" s="112" t="str">
        <f>INDEX($C$10:$C$43,MATCH(LARGE($T$10:$T$43,11),$T$10:$T$43,0))</f>
        <v>AKHMAT ABIDIN</v>
      </c>
      <c r="D58" s="112" t="str">
        <f>INDEX($D$10:$D$43,MATCH(LARGE($T$10:$T$43,11),$T$10:$T$43,0))</f>
        <v>PJ GM OF MARKETING (SID)</v>
      </c>
      <c r="E58" s="101">
        <f>INDEX($J$10:$J$43,MATCH(LARGE($T$10:$T$43,11),$T$10:$T$43,0))</f>
        <v>1.1054906614530671</v>
      </c>
      <c r="F58" s="97" t="str">
        <f>INDEX($L$10:$L$43,MATCH(LARGE($T$10:$T$43,11),$T$10:$T$43,0))</f>
        <v>Tinggi</v>
      </c>
      <c r="G58" s="113">
        <f>INDEX($R$10:$R$43,MATCH(LARGE($T$10:$T$43,11),$T$10:$T$43,0))</f>
        <v>95.5</v>
      </c>
      <c r="H58" s="97" t="str">
        <f>INDEX($S$10:$S$43,MATCH(LARGE($T$10:$T$43,11),$T$10:$T$43,0))</f>
        <v>Sangat Baik</v>
      </c>
    </row>
    <row r="59" spans="1:8" ht="22.5" x14ac:dyDescent="0.2">
      <c r="A59" s="99">
        <v>12</v>
      </c>
      <c r="B59" s="112" t="str">
        <f>INDEX($B$10:$B$43,MATCH(LARGE($T$10:$T$43,12),$T$10:$T$43,0))</f>
        <v>AMELIA KURNIA FITRI</v>
      </c>
      <c r="C59" s="112" t="str">
        <f>INDEX($C$10:$C$43,MATCH(LARGE($T$10:$T$43,12),$T$10:$T$43,0))</f>
        <v>WATIN UTARI</v>
      </c>
      <c r="D59" s="112" t="str">
        <f>INDEX($D$10:$D$43,MATCH(LARGE($T$10:$T$43,12),$T$10:$T$43,0))</f>
        <v>PJ GM OF MARKETING (SID)</v>
      </c>
      <c r="E59" s="101">
        <f>INDEX($J$10:$J$43,MATCH(LARGE($T$10:$T$43,12),$T$10:$T$43,0))</f>
        <v>1.018195308410148</v>
      </c>
      <c r="F59" s="97" t="str">
        <f>INDEX($L$10:$L$43,MATCH(LARGE($T$10:$T$43,12),$T$10:$T$43,0))</f>
        <v>Tinggi</v>
      </c>
      <c r="G59" s="113">
        <f>INDEX($R$10:$R$43,MATCH(LARGE($T$10:$T$43,12),$T$10:$T$43,0))</f>
        <v>92.4</v>
      </c>
      <c r="H59" s="97" t="str">
        <f>INDEX($S$10:$S$43,MATCH(LARGE($T$10:$T$43,12),$T$10:$T$43,0))</f>
        <v>Sangat Baik</v>
      </c>
    </row>
    <row r="60" spans="1:8" ht="22.5" x14ac:dyDescent="0.2">
      <c r="A60" s="99">
        <v>13</v>
      </c>
      <c r="B60" s="112" t="str">
        <f>INDEX($B$10:$B$43,MATCH(LARGE($T$10:$T$43,13),$T$10:$T$43,0))</f>
        <v>THARISSA ADELIA PUTRI</v>
      </c>
      <c r="C60" s="112" t="str">
        <f>INDEX($C$10:$C$43,MATCH(LARGE($T$10:$T$43,13),$T$10:$T$43,0))</f>
        <v>SITI MUJAYANAH</v>
      </c>
      <c r="D60" s="112" t="str">
        <f>INDEX($D$10:$D$43,MATCH(LARGE($T$10:$T$43,13),$T$10:$T$43,0))</f>
        <v>VERIFICATION (SID) JR. OFFICER</v>
      </c>
      <c r="E60" s="101">
        <f>INDEX($J$10:$J$43,MATCH(LARGE($T$10:$T$43,13),$T$10:$T$43,0))</f>
        <v>1.0039204023065387</v>
      </c>
      <c r="F60" s="97" t="str">
        <f>INDEX($L$10:$L$43,MATCH(LARGE($T$10:$T$43,13),$T$10:$T$43,0))</f>
        <v>Tinggi</v>
      </c>
      <c r="G60" s="113">
        <f>INDEX($R$10:$R$43,MATCH(LARGE($T$10:$T$43,13),$T$10:$T$43,0))</f>
        <v>97.4</v>
      </c>
      <c r="H60" s="97" t="str">
        <f>INDEX($S$10:$S$43,MATCH(LARGE($T$10:$T$43,13),$T$10:$T$43,0))</f>
        <v>Sangat Baik</v>
      </c>
    </row>
    <row r="61" spans="1:8" ht="22.5" x14ac:dyDescent="0.2">
      <c r="A61" s="99">
        <v>14</v>
      </c>
      <c r="B61" s="112" t="str">
        <f>INDEX($B$10:$B$43,MATCH(LARGE($T$10:$T$43,14),$T$10:$T$43,0))</f>
        <v>ZALFA NUR ROHMAH</v>
      </c>
      <c r="C61" s="112" t="str">
        <f>INDEX($C$10:$C$43,MATCH(LARGE($T$10:$T$43,14),$T$10:$T$43,0))</f>
        <v>SITI MUJAYANAH</v>
      </c>
      <c r="D61" s="112" t="str">
        <f>INDEX($D$10:$D$43,MATCH(LARGE($T$10:$T$43,14),$T$10:$T$43,0))</f>
        <v>VERIFICATION (SID) JR. OFFICER</v>
      </c>
      <c r="E61" s="101">
        <f>INDEX($J$10:$J$43,MATCH(LARGE($T$10:$T$43,14),$T$10:$T$43,0))</f>
        <v>0.92362831183027072</v>
      </c>
      <c r="F61" s="97" t="str">
        <f>INDEX($L$10:$L$43,MATCH(LARGE($T$10:$T$43,14),$T$10:$T$43,0))</f>
        <v>Sedang</v>
      </c>
      <c r="G61" s="113">
        <f>INDEX($R$10:$R$43,MATCH(LARGE($T$10:$T$43,14),$T$10:$T$43,0))</f>
        <v>96.2</v>
      </c>
      <c r="H61" s="97" t="str">
        <f>INDEX($S$10:$S$43,MATCH(LARGE($T$10:$T$43,14),$T$10:$T$43,0))</f>
        <v>Sangat Baik</v>
      </c>
    </row>
    <row r="62" spans="1:8" ht="22.5" x14ac:dyDescent="0.2">
      <c r="A62" s="99">
        <v>15</v>
      </c>
      <c r="B62" s="112" t="str">
        <f>INDEX($B$10:$B$43,MATCH(LARGE($T$10:$T$43,15),$T$10:$T$43,0))</f>
        <v>NILNA FAIRUSSAKTI SALBANI AFANO</v>
      </c>
      <c r="C62" s="112" t="str">
        <f>INDEX($C$10:$C$43,MATCH(LARGE($T$10:$T$43,15),$T$10:$T$43,0))</f>
        <v>FETI MUBAIYINI</v>
      </c>
      <c r="D62" s="112" t="str">
        <f>INDEX($D$10:$D$43,MATCH(LARGE($T$10:$T$43,15),$T$10:$T$43,0))</f>
        <v>CENTRAL JAVA CURAH ADMINISTRATION JR. OFFICER</v>
      </c>
      <c r="E62" s="101">
        <f>INDEX($J$10:$J$43,MATCH(LARGE($T$10:$T$43,15),$T$10:$T$43,0))</f>
        <v>0.88536793588822948</v>
      </c>
      <c r="F62" s="97" t="str">
        <f>INDEX($L$10:$L$43,MATCH(LARGE($T$10:$T$43,15),$T$10:$T$43,0))</f>
        <v>Sedang</v>
      </c>
      <c r="G62" s="113">
        <f>INDEX($R$10:$R$43,MATCH(LARGE($T$10:$T$43,15),$T$10:$T$43,0))</f>
        <v>93.1</v>
      </c>
      <c r="H62" s="97" t="str">
        <f>INDEX($S$10:$S$43,MATCH(LARGE($T$10:$T$43,15),$T$10:$T$43,0))</f>
        <v>Sangat Baik</v>
      </c>
    </row>
    <row r="63" spans="1:8" x14ac:dyDescent="0.2">
      <c r="A63" s="99">
        <v>16</v>
      </c>
      <c r="B63" s="112" t="str">
        <f>INDEX($B$10:$B$43,MATCH(LARGE($T$10:$T$43,16),$T$10:$T$43,0))</f>
        <v>BERLIAN AURELYA RAHMA</v>
      </c>
      <c r="C63" s="112" t="str">
        <f>INDEX($C$10:$C$43,MATCH(LARGE($T$10:$T$43,16),$T$10:$T$43,0))</f>
        <v>AHMAD JALALUDDIN BASYAR</v>
      </c>
      <c r="D63" s="112" t="str">
        <f>INDEX($D$10:$D$43,MATCH(LARGE($T$10:$T$43,16),$T$10:$T$43,0))</f>
        <v>PGS SM OF DIGITAL BUSSINES</v>
      </c>
      <c r="E63" s="101">
        <f>INDEX($J$10:$J$43,MATCH(LARGE($T$10:$T$43,16),$T$10:$T$43,0))</f>
        <v>0.88319872025803892</v>
      </c>
      <c r="F63" s="97" t="str">
        <f>INDEX($L$10:$L$43,MATCH(LARGE($T$10:$T$43,16),$T$10:$T$43,0))</f>
        <v>Sedang</v>
      </c>
      <c r="G63" s="113">
        <f>INDEX($R$10:$R$43,MATCH(LARGE($T$10:$T$43,16),$T$10:$T$43,0))</f>
        <v>89.8</v>
      </c>
      <c r="H63" s="97" t="str">
        <f>INDEX($S$10:$S$43,MATCH(LARGE($T$10:$T$43,16),$T$10:$T$43,0))</f>
        <v>Baik</v>
      </c>
    </row>
    <row r="64" spans="1:8" ht="22.5" x14ac:dyDescent="0.2">
      <c r="A64" s="99">
        <v>17</v>
      </c>
      <c r="B64" s="112" t="str">
        <f>INDEX($B$10:$B$43,MATCH(LARGE($T$10:$T$43,17),$T$10:$T$43,0))</f>
        <v>EVI WIDIYAH ASTUTIH</v>
      </c>
      <c r="C64" s="112" t="str">
        <f>INDEX($C$10:$C$43,MATCH(LARGE($T$10:$T$43,17),$T$10:$T$43,0))</f>
        <v>SITI MUJAYANAH</v>
      </c>
      <c r="D64" s="112" t="str">
        <f>INDEX($D$10:$D$43,MATCH(LARGE($T$10:$T$43,17),$T$10:$T$43,0))</f>
        <v>VERIFICATION (SID) JR. OFFICER</v>
      </c>
      <c r="E64" s="101">
        <f>INDEX($J$10:$J$43,MATCH(LARGE($T$10:$T$43,17),$T$10:$T$43,0))</f>
        <v>0.8150477062083602</v>
      </c>
      <c r="F64" s="97" t="str">
        <f>INDEX($L$10:$L$43,MATCH(LARGE($T$10:$T$43,17),$T$10:$T$43,0))</f>
        <v>Sedang</v>
      </c>
      <c r="G64" s="113">
        <f>INDEX($R$10:$R$43,MATCH(LARGE($T$10:$T$43,17),$T$10:$T$43,0))</f>
        <v>91.5</v>
      </c>
      <c r="H64" s="97" t="str">
        <f>INDEX($S$10:$S$43,MATCH(LARGE($T$10:$T$43,17),$T$10:$T$43,0))</f>
        <v>Sangat Baik</v>
      </c>
    </row>
    <row r="65" spans="1:8" ht="22.5" x14ac:dyDescent="0.2">
      <c r="A65" s="99">
        <v>18</v>
      </c>
      <c r="B65" s="112" t="str">
        <f>INDEX($B$10:$B$43,MATCH(LARGE($T$10:$T$43,18),$T$10:$T$43,0))</f>
        <v>CITRA ANGGRAINI</v>
      </c>
      <c r="C65" s="112" t="str">
        <f>INDEX($C$10:$C$43,MATCH(LARGE($T$10:$T$43,18),$T$10:$T$43,0))</f>
        <v>IMANIAR PUTRI UTAMI</v>
      </c>
      <c r="D65" s="112" t="str">
        <f>INDEX($D$10:$D$43,MATCH(LARGE($T$10:$T$43,18),$T$10:$T$43,0))</f>
        <v>MANAGER OF VERIFICATION</v>
      </c>
      <c r="E65" s="101">
        <f>INDEX($J$10:$J$43,MATCH(LARGE($T$10:$T$43,18),$T$10:$T$43,0))</f>
        <v>0.77912780074043242</v>
      </c>
      <c r="F65" s="97" t="str">
        <f>INDEX($L$10:$L$43,MATCH(LARGE($T$10:$T$43,18),$T$10:$T$43,0))</f>
        <v>Sedang</v>
      </c>
      <c r="G65" s="113">
        <f>INDEX($R$10:$R$43,MATCH(LARGE($T$10:$T$43,18),$T$10:$T$43,0))</f>
        <v>91.8</v>
      </c>
      <c r="H65" s="97" t="str">
        <f>INDEX($S$10:$S$43,MATCH(LARGE($T$10:$T$43,18),$T$10:$T$43,0))</f>
        <v>Sangat Baik</v>
      </c>
    </row>
    <row r="66" spans="1:8" x14ac:dyDescent="0.2">
      <c r="A66" s="99">
        <v>19</v>
      </c>
      <c r="B66" s="112" t="str">
        <f>INDEX($B$10:$B$43,MATCH(LARGE($T$10:$T$43,19),$T$10:$T$43,0))</f>
        <v>CLARA OKTAVIA FIRDAUS</v>
      </c>
      <c r="C66" s="112" t="str">
        <f>INDEX($C$10:$C$43,MATCH(LARGE($T$10:$T$43,19),$T$10:$T$43,0))</f>
        <v>AHMAD JALALUDDIN BASYAR</v>
      </c>
      <c r="D66" s="112" t="str">
        <f>INDEX($D$10:$D$43,MATCH(LARGE($T$10:$T$43,19),$T$10:$T$43,0))</f>
        <v>PGS SM OF DIGITAL BUSSINES</v>
      </c>
      <c r="E66" s="101">
        <f>INDEX($J$10:$J$43,MATCH(LARGE($T$10:$T$43,19),$T$10:$T$43,0))</f>
        <v>0.70710565001763537</v>
      </c>
      <c r="F66" s="97" t="str">
        <f>INDEX($L$10:$L$43,MATCH(LARGE($T$10:$T$43,19),$T$10:$T$43,0))</f>
        <v>Sedang</v>
      </c>
      <c r="G66" s="113">
        <f>INDEX($R$10:$R$43,MATCH(LARGE($T$10:$T$43,19),$T$10:$T$43,0))</f>
        <v>82.7</v>
      </c>
      <c r="H66" s="97" t="str">
        <f>INDEX($S$10:$S$43,MATCH(LARGE($T$10:$T$43,19),$T$10:$T$43,0))</f>
        <v>Baik</v>
      </c>
    </row>
    <row r="67" spans="1:8" x14ac:dyDescent="0.2">
      <c r="A67" s="99">
        <v>20</v>
      </c>
      <c r="B67" s="112" t="str">
        <f>INDEX($B$10:$B$43,MATCH(LARGE($T$10:$T$43,20),$T$10:$T$43,0))</f>
        <v>FETI FATMAWATI</v>
      </c>
      <c r="C67" s="112" t="str">
        <f>INDEX($C$10:$C$43,MATCH(LARGE($T$10:$T$43,20),$T$10:$T$43,0))</f>
        <v>ELFANO RANGGA PRATAMA</v>
      </c>
      <c r="D67" s="112" t="str">
        <f>INDEX($D$10:$D$43,MATCH(LARGE($T$10:$T$43,20),$T$10:$T$43,0))</f>
        <v>MARKETING &amp; EXPANSION MODERN RETAIL OFFICER</v>
      </c>
      <c r="E67" s="101">
        <f>INDEX($J$10:$J$43,MATCH(LARGE($T$10:$T$43,20),$T$10:$T$43,0))</f>
        <v>0.69279780975779437</v>
      </c>
      <c r="F67" s="97" t="str">
        <f>INDEX($L$10:$L$43,MATCH(LARGE($T$10:$T$43,20),$T$10:$T$43,0))</f>
        <v>Rendah</v>
      </c>
      <c r="G67" s="113">
        <f>INDEX($R$10:$R$43,MATCH(LARGE($T$10:$T$43,20),$T$10:$T$43,0))</f>
        <v>74.5</v>
      </c>
      <c r="H67" s="97" t="str">
        <f>INDEX($S$10:$S$43,MATCH(LARGE($T$10:$T$43,20),$T$10:$T$43,0))</f>
        <v>Cukup</v>
      </c>
    </row>
    <row r="68" spans="1:8" x14ac:dyDescent="0.2">
      <c r="A68" s="99">
        <v>21</v>
      </c>
      <c r="B68" s="112" t="str">
        <f>INDEX($B$10:$B$43,MATCH(LARGE($T$10:$T$43,21),$T$10:$T$43,0))</f>
        <v>NELLA DIFA SALSABILAH</v>
      </c>
      <c r="C68" s="112" t="str">
        <f>INDEX($C$10:$C$43,MATCH(LARGE($T$10:$T$43,21),$T$10:$T$43,0))</f>
        <v>AHMAD JALALUDDIN BASYAR</v>
      </c>
      <c r="D68" s="112" t="str">
        <f>INDEX($D$10:$D$43,MATCH(LARGE($T$10:$T$43,21),$T$10:$T$43,0))</f>
        <v>PGS SM OF DIGITAL BUSSINES</v>
      </c>
      <c r="E68" s="101">
        <f>INDEX($J$10:$J$43,MATCH(LARGE($T$10:$T$43,21),$T$10:$T$43,0))</f>
        <v>0.64718600595651288</v>
      </c>
      <c r="F68" s="97" t="str">
        <f>INDEX($L$10:$L$43,MATCH(LARGE($T$10:$T$43,21),$T$10:$T$43,0))</f>
        <v>Rendah</v>
      </c>
      <c r="G68" s="113">
        <f>INDEX($R$10:$R$43,MATCH(LARGE($T$10:$T$43,21),$T$10:$T$43,0))</f>
        <v>88.2</v>
      </c>
      <c r="H68" s="97" t="str">
        <f>INDEX($S$10:$S$43,MATCH(LARGE($T$10:$T$43,21),$T$10:$T$43,0))</f>
        <v>Baik</v>
      </c>
    </row>
    <row r="69" spans="1:8" x14ac:dyDescent="0.2">
      <c r="A69" s="99">
        <v>22</v>
      </c>
      <c r="B69" s="112" t="str">
        <f>INDEX($B$10:$B$43,MATCH(LARGE($T$10:$T$43,22),$T$10:$T$43,0))</f>
        <v>ASA AGHNIA ZAHIDA</v>
      </c>
      <c r="C69" s="112" t="str">
        <f>INDEX($C$10:$C$43,MATCH(LARGE($T$10:$T$43,22),$T$10:$T$43,0))</f>
        <v>MUHAMMAD SADULLAH</v>
      </c>
      <c r="D69" s="112" t="str">
        <f>INDEX($D$10:$D$43,MATCH(LARGE($T$10:$T$43,22),$T$10:$T$43,0))</f>
        <v>SM OF LEGAL</v>
      </c>
      <c r="E69" s="101">
        <f>INDEX($J$10:$J$43,MATCH(LARGE($T$10:$T$43,22),$T$10:$T$43,0))</f>
        <v>0.62542172526773065</v>
      </c>
      <c r="F69" s="97" t="str">
        <f>INDEX($L$10:$L$43,MATCH(LARGE($T$10:$T$43,22),$T$10:$T$43,0))</f>
        <v>Rendah</v>
      </c>
      <c r="G69" s="113">
        <f>INDEX($R$10:$R$43,MATCH(LARGE($T$10:$T$43,22),$T$10:$T$43,0))</f>
        <v>84.5</v>
      </c>
      <c r="H69" s="97" t="str">
        <f>INDEX($S$10:$S$43,MATCH(LARGE($T$10:$T$43,22),$T$10:$T$43,0))</f>
        <v>Baik</v>
      </c>
    </row>
    <row r="70" spans="1:8" x14ac:dyDescent="0.2">
      <c r="A70" s="99">
        <v>23</v>
      </c>
      <c r="B70" s="112" t="str">
        <f>INDEX($B$10:$B$43,MATCH(LARGE($T$10:$T$43,23),$T$10:$T$43,0))</f>
        <v>MUHAMMAD FATCHUL ALAM</v>
      </c>
      <c r="C70" s="112" t="str">
        <f>INDEX($C$10:$C$43,MATCH(LARGE($T$10:$T$43,23),$T$10:$T$43,0))</f>
        <v>MOH. AGUS EFENDI</v>
      </c>
      <c r="D70" s="112" t="str">
        <f>INDEX($D$10:$D$43,MATCH(LARGE($T$10:$T$43,23),$T$10:$T$43,0))</f>
        <v>MANAGER OF TRANSPORTATION</v>
      </c>
      <c r="E70" s="101">
        <f>INDEX($J$10:$J$43,MATCH(LARGE($T$10:$T$43,23),$T$10:$T$43,0))</f>
        <v>0.62363424425809977</v>
      </c>
      <c r="F70" s="97" t="str">
        <f>INDEX($L$10:$L$43,MATCH(LARGE($T$10:$T$43,23),$T$10:$T$43,0))</f>
        <v>Rendah</v>
      </c>
      <c r="G70" s="113">
        <f>INDEX($R$10:$R$43,MATCH(LARGE($T$10:$T$43,23),$T$10:$T$43,0))</f>
        <v>85.6</v>
      </c>
      <c r="H70" s="97" t="str">
        <f>INDEX($S$10:$S$43,MATCH(LARGE($T$10:$T$43,23),$T$10:$T$43,0))</f>
        <v>Baik</v>
      </c>
    </row>
    <row r="71" spans="1:8" x14ac:dyDescent="0.2">
      <c r="A71" s="99">
        <v>24</v>
      </c>
      <c r="B71" s="112" t="str">
        <f>INDEX($B$10:$B$43,MATCH(LARGE($T$10:$T$43,24),$T$10:$T$43,0))</f>
        <v>FARREL ALWIN RAHMADHAN</v>
      </c>
      <c r="C71" s="112" t="str">
        <f>INDEX($C$10:$C$43,MATCH(LARGE($T$10:$T$43,24),$T$10:$T$43,0))</f>
        <v>HASKIN AVIONATA</v>
      </c>
      <c r="D71" s="112" t="str">
        <f>INDEX($D$10:$D$43,MATCH(LARGE($T$10:$T$43,24),$T$10:$T$43,0))</f>
        <v>EQUALISATION OFFICER (SID)</v>
      </c>
      <c r="E71" s="101">
        <f>INDEX($J$10:$J$43,MATCH(LARGE($T$10:$T$43,24),$T$10:$T$43,0))</f>
        <v>0.61100400615748751</v>
      </c>
      <c r="F71" s="97" t="str">
        <f>INDEX($L$10:$L$43,MATCH(LARGE($T$10:$T$43,24),$T$10:$T$43,0))</f>
        <v>Rendah</v>
      </c>
      <c r="G71" s="113">
        <f>INDEX($R$10:$R$43,MATCH(LARGE($T$10:$T$43,24),$T$10:$T$43,0))</f>
        <v>78.099999999999994</v>
      </c>
      <c r="H71" s="97" t="str">
        <f>INDEX($S$10:$S$43,MATCH(LARGE($T$10:$T$43,24),$T$10:$T$43,0))</f>
        <v>Cukup</v>
      </c>
    </row>
    <row r="72" spans="1:8" x14ac:dyDescent="0.2">
      <c r="A72" s="99">
        <v>25</v>
      </c>
      <c r="B72" s="112" t="str">
        <f>INDEX($B$10:$B$43,MATCH(LARGE($T$10:$T$43,25),$T$10:$T$43,0))</f>
        <v>NABILA RAIS NUR ROMADHONA</v>
      </c>
      <c r="C72" s="112" t="str">
        <f>INDEX($C$10:$C$43,MATCH(LARGE($T$10:$T$43,25),$T$10:$T$43,0))</f>
        <v>DWI SULIASTARI</v>
      </c>
      <c r="D72" s="112" t="str">
        <f>INDEX($D$10:$D$43,MATCH(LARGE($T$10:$T$43,25),$T$10:$T$43,0))</f>
        <v>SM OF SECRETARIAT &amp; FILLING</v>
      </c>
      <c r="E72" s="101">
        <f>INDEX($J$10:$J$43,MATCH(LARGE($T$10:$T$43,25),$T$10:$T$43,0))</f>
        <v>0.5524851877233824</v>
      </c>
      <c r="F72" s="97" t="str">
        <f>INDEX($L$10:$L$43,MATCH(LARGE($T$10:$T$43,25),$T$10:$T$43,0))</f>
        <v>Rendah</v>
      </c>
      <c r="G72" s="113">
        <f>INDEX($R$10:$R$43,MATCH(LARGE($T$10:$T$43,25),$T$10:$T$43,0))</f>
        <v>83.1</v>
      </c>
      <c r="H72" s="97" t="str">
        <f>INDEX($S$10:$S$43,MATCH(LARGE($T$10:$T$43,25),$T$10:$T$43,0))</f>
        <v>Baik</v>
      </c>
    </row>
    <row r="73" spans="1:8" x14ac:dyDescent="0.2">
      <c r="A73" s="99">
        <v>26</v>
      </c>
      <c r="B73" s="112" t="str">
        <f>INDEX($B$10:$B$43,MATCH(LARGE($T$10:$T$43,26),$T$10:$T$43,0))</f>
        <v>DINDA RAHADATUL AISY</v>
      </c>
      <c r="C73" s="112" t="str">
        <f>INDEX($C$10:$C$43,MATCH(LARGE($T$10:$T$43,26),$T$10:$T$43,0))</f>
        <v>DIAN RIZKA SARI</v>
      </c>
      <c r="D73" s="112" t="str">
        <f>INDEX($D$10:$D$43,MATCH(LARGE($T$10:$T$43,26),$T$10:$T$43,0))</f>
        <v>PGS TREASURY (SID) OFFICER</v>
      </c>
      <c r="E73" s="101">
        <f>INDEX($J$10:$J$43,MATCH(LARGE($T$10:$T$43,26),$T$10:$T$43,0))</f>
        <v>0.52417377709317292</v>
      </c>
      <c r="F73" s="97" t="str">
        <f>INDEX($L$10:$L$43,MATCH(LARGE($T$10:$T$43,26),$T$10:$T$43,0))</f>
        <v>Rendah</v>
      </c>
      <c r="G73" s="113">
        <f>INDEX($R$10:$R$43,MATCH(LARGE($T$10:$T$43,26),$T$10:$T$43,0))</f>
        <v>81.400000000000006</v>
      </c>
      <c r="H73" s="97" t="str">
        <f>INDEX($S$10:$S$43,MATCH(LARGE($T$10:$T$43,26),$T$10:$T$43,0))</f>
        <v>Baik</v>
      </c>
    </row>
    <row r="74" spans="1:8" ht="22.5" x14ac:dyDescent="0.2">
      <c r="A74" s="99">
        <v>27</v>
      </c>
      <c r="B74" s="112" t="str">
        <f>INDEX($B$10:$B$43,MATCH(LARGE($T$10:$T$43,27),$T$10:$T$43,0))</f>
        <v>ALFINA ZAKYA ULA</v>
      </c>
      <c r="C74" s="112" t="str">
        <f>INDEX($C$10:$C$43,MATCH(LARGE($T$10:$T$43,27),$T$10:$T$43,0))</f>
        <v>TRI HARTANTO</v>
      </c>
      <c r="D74" s="112" t="str">
        <f>INDEX($D$10:$D$43,MATCH(LARGE($T$10:$T$43,27),$T$10:$T$43,0))</f>
        <v>SM OF CEMENT PURCHASING</v>
      </c>
      <c r="E74" s="101">
        <f>INDEX($J$10:$J$43,MATCH(LARGE($T$10:$T$43,27),$T$10:$T$43,0))</f>
        <v>0.51563698055198692</v>
      </c>
      <c r="F74" s="97" t="str">
        <f>INDEX($L$10:$L$43,MATCH(LARGE($T$10:$T$43,27),$T$10:$T$43,0))</f>
        <v>Rendah</v>
      </c>
      <c r="G74" s="113">
        <f>INDEX($R$10:$R$43,MATCH(LARGE($T$10:$T$43,27),$T$10:$T$43,0))</f>
        <v>67.3</v>
      </c>
      <c r="H74" s="97" t="str">
        <f>INDEX($S$10:$S$43,MATCH(LARGE($T$10:$T$43,27),$T$10:$T$43,0))</f>
        <v>Perlu Pembinaan</v>
      </c>
    </row>
    <row r="75" spans="1:8" x14ac:dyDescent="0.2">
      <c r="A75" s="99">
        <v>28</v>
      </c>
      <c r="B75" s="112" t="str">
        <f>INDEX($B$10:$B$43,MATCH(LARGE($T$10:$T$43,28),$T$10:$T$43,0))</f>
        <v>ARINDA PUTRI AULIA</v>
      </c>
      <c r="C75" s="112" t="str">
        <f>INDEX($C$10:$C$43,MATCH(LARGE($T$10:$T$43,28),$T$10:$T$43,0))</f>
        <v>AHMAD JALALUDDIN BASYAR</v>
      </c>
      <c r="D75" s="112" t="str">
        <f>INDEX($D$10:$D$43,MATCH(LARGE($T$10:$T$43,28),$T$10:$T$43,0))</f>
        <v>PGS SM OF DIGITAL BUSSINES</v>
      </c>
      <c r="E75" s="101">
        <f>INDEX($J$10:$J$43,MATCH(LARGE($T$10:$T$43,28),$T$10:$T$43,0))</f>
        <v>0.44441105725850683</v>
      </c>
      <c r="F75" s="97" t="str">
        <f>INDEX($L$10:$L$43,MATCH(LARGE($T$10:$T$43,28),$T$10:$T$43,0))</f>
        <v>Rendah</v>
      </c>
      <c r="G75" s="113">
        <f>INDEX($R$10:$R$43,MATCH(LARGE($T$10:$T$43,28),$T$10:$T$43,0))</f>
        <v>75.5</v>
      </c>
      <c r="H75" s="97" t="str">
        <f>INDEX($S$10:$S$43,MATCH(LARGE($T$10:$T$43,28),$T$10:$T$43,0))</f>
        <v>Cukup</v>
      </c>
    </row>
    <row r="76" spans="1:8" x14ac:dyDescent="0.2">
      <c r="A76" s="99">
        <v>29</v>
      </c>
      <c r="B76" s="112" t="str">
        <f>INDEX($B$10:$B$43,MATCH(LARGE($T$10:$T$43,29),$T$10:$T$43,0))</f>
        <v>NIKEN AURELIA SAPUTRI</v>
      </c>
      <c r="C76" s="112" t="str">
        <f>INDEX($C$10:$C$43,MATCH(LARGE($T$10:$T$43,29),$T$10:$T$43,0))</f>
        <v>DIAN RIZKA SARI</v>
      </c>
      <c r="D76" s="112" t="str">
        <f>INDEX($D$10:$D$43,MATCH(LARGE($T$10:$T$43,29),$T$10:$T$43,0))</f>
        <v>PGS TREASURY (SID) OFFICER</v>
      </c>
      <c r="E76" s="101">
        <f>INDEX($J$10:$J$43,MATCH(LARGE($T$10:$T$43,29),$T$10:$T$43,0))</f>
        <v>0.41866910140630448</v>
      </c>
      <c r="F76" s="97" t="str">
        <f>INDEX($L$10:$L$43,MATCH(LARGE($T$10:$T$43,29),$T$10:$T$43,0))</f>
        <v>Rendah</v>
      </c>
      <c r="G76" s="113">
        <f>INDEX($R$10:$R$43,MATCH(LARGE($T$10:$T$43,29),$T$10:$T$43,0))</f>
        <v>81.3</v>
      </c>
      <c r="H76" s="97" t="str">
        <f>INDEX($S$10:$S$43,MATCH(LARGE($T$10:$T$43,29),$T$10:$T$43,0))</f>
        <v>Baik</v>
      </c>
    </row>
    <row r="77" spans="1:8" x14ac:dyDescent="0.2">
      <c r="A77" s="99">
        <v>30</v>
      </c>
      <c r="B77" s="112" t="str">
        <f>INDEX($B$10:$B$43,MATCH(LARGE($T$10:$T$43,30),$T$10:$T$43,0))</f>
        <v>EKA PUTRI FEBRIANTI</v>
      </c>
      <c r="C77" s="112" t="str">
        <f>INDEX($C$10:$C$43,MATCH(LARGE($T$10:$T$43,30),$T$10:$T$43,0))</f>
        <v>DWI SULIASTARI</v>
      </c>
      <c r="D77" s="112" t="str">
        <f>INDEX($D$10:$D$43,MATCH(LARGE($T$10:$T$43,30),$T$10:$T$43,0))</f>
        <v>SM OF SECRETARIAT &amp; FILLING</v>
      </c>
      <c r="E77" s="101">
        <f>INDEX($J$10:$J$43,MATCH(LARGE($T$10:$T$43,30),$T$10:$T$43,0))</f>
        <v>0.4013379991636844</v>
      </c>
      <c r="F77" s="97" t="str">
        <f>INDEX($L$10:$L$43,MATCH(LARGE($T$10:$T$43,30),$T$10:$T$43,0))</f>
        <v>Rendah</v>
      </c>
      <c r="G77" s="113">
        <f>INDEX($R$10:$R$43,MATCH(LARGE($T$10:$T$43,30),$T$10:$T$43,0))</f>
        <v>77.7</v>
      </c>
      <c r="H77" s="97" t="str">
        <f>INDEX($S$10:$S$43,MATCH(LARGE($T$10:$T$43,30),$T$10:$T$43,0))</f>
        <v>Cukup</v>
      </c>
    </row>
    <row r="78" spans="1:8" x14ac:dyDescent="0.2">
      <c r="A78" s="99">
        <v>31</v>
      </c>
      <c r="B78" s="112" t="str">
        <f>INDEX($B$10:$B$43,MATCH(LARGE($T$10:$T$43,31),$T$10:$T$43,0))</f>
        <v>RIZAL AKBAR ARDIANSYAH</v>
      </c>
      <c r="C78" s="112" t="str">
        <f>INDEX($C$10:$C$43,MATCH(LARGE($T$10:$T$43,31),$T$10:$T$43,0))</f>
        <v>SITI MUJAYANAH</v>
      </c>
      <c r="D78" s="112" t="str">
        <f>INDEX($D$10:$D$43,MATCH(LARGE($T$10:$T$43,31),$T$10:$T$43,0))</f>
        <v>VERIFICATION (SID) JR. OFFICER</v>
      </c>
      <c r="E78" s="101">
        <f>INDEX($J$10:$J$43,MATCH(LARGE($T$10:$T$43,31),$T$10:$T$43,0))</f>
        <v>0.34636776984886958</v>
      </c>
      <c r="F78" s="97" t="str">
        <f>INDEX($L$10:$L$43,MATCH(LARGE($T$10:$T$43,31),$T$10:$T$43,0))</f>
        <v>Rendah</v>
      </c>
      <c r="G78" s="113">
        <f>INDEX($R$10:$R$43,MATCH(LARGE($T$10:$T$43,31),$T$10:$T$43,0))</f>
        <v>77.900000000000006</v>
      </c>
      <c r="H78" s="97" t="str">
        <f>INDEX($S$10:$S$43,MATCH(LARGE($T$10:$T$43,31),$T$10:$T$43,0))</f>
        <v>Cukup</v>
      </c>
    </row>
    <row r="79" spans="1:8" x14ac:dyDescent="0.2">
      <c r="A79" s="99">
        <v>32</v>
      </c>
      <c r="B79" s="112" t="str">
        <f>INDEX($B$10:$B$43,MATCH(LARGE($T$10:$T$43,32),$T$10:$T$43,0))</f>
        <v>SYACHIRA FARA NABILA</v>
      </c>
      <c r="C79" s="112" t="str">
        <f>INDEX($C$10:$C$43,MATCH(LARGE($T$10:$T$43,32),$T$10:$T$43,0))</f>
        <v>FETI MUBAIYINI</v>
      </c>
      <c r="D79" s="112" t="str">
        <f>INDEX($D$10:$D$43,MATCH(LARGE($T$10:$T$43,32),$T$10:$T$43,0))</f>
        <v>CENTRAL JAVA CURAH ADMINISTRATION JR. OFFICER</v>
      </c>
      <c r="E79" s="101">
        <f>INDEX($J$10:$J$43,MATCH(LARGE($T$10:$T$43,32),$T$10:$T$43,0))</f>
        <v>0.3066788210075071</v>
      </c>
      <c r="F79" s="97" t="str">
        <f>INDEX($L$10:$L$43,MATCH(LARGE($T$10:$T$43,32),$T$10:$T$43,0))</f>
        <v>Rendah</v>
      </c>
      <c r="G79" s="113">
        <f>INDEX($R$10:$R$43,MATCH(LARGE($T$10:$T$43,32),$T$10:$T$43,0))</f>
        <v>76.7</v>
      </c>
      <c r="H79" s="97" t="str">
        <f>INDEX($S$10:$S$43,MATCH(LARGE($T$10:$T$43,32),$T$10:$T$43,0))</f>
        <v>Cukup</v>
      </c>
    </row>
    <row r="80" spans="1:8" ht="22.5" x14ac:dyDescent="0.2">
      <c r="A80" s="99">
        <v>33</v>
      </c>
      <c r="B80" s="112" t="str">
        <f>INDEX($B$10:$B$43,MATCH(LARGE($T$10:$T$43,33),$T$10:$T$43,0))</f>
        <v>WIDIYA DESY MAWAR SARI</v>
      </c>
      <c r="C80" s="112" t="str">
        <f>INDEX($C$10:$C$43,MATCH(LARGE($T$10:$T$43,33),$T$10:$T$43,0))</f>
        <v>AHMAD JALALUDDIN BASYAR</v>
      </c>
      <c r="D80" s="112" t="str">
        <f>INDEX($D$10:$D$43,MATCH(LARGE($T$10:$T$43,33),$T$10:$T$43,0))</f>
        <v>PGS SM OF DIGITAL BUSSINES</v>
      </c>
      <c r="E80" s="101">
        <f>INDEX($J$10:$J$43,MATCH(LARGE($T$10:$T$43,33),$T$10:$T$43,0))</f>
        <v>0.2797242684723949</v>
      </c>
      <c r="F80" s="97" t="str">
        <f>INDEX($L$10:$L$43,MATCH(LARGE($T$10:$T$43,33),$T$10:$T$43,0))</f>
        <v>Rendah</v>
      </c>
      <c r="G80" s="113">
        <f>INDEX($R$10:$R$43,MATCH(LARGE($T$10:$T$43,33),$T$10:$T$43,0))</f>
        <v>65.400000000000006</v>
      </c>
      <c r="H80" s="97" t="str">
        <f>INDEX($S$10:$S$43,MATCH(LARGE($T$10:$T$43,33),$T$10:$T$43,0))</f>
        <v>Perlu Pembinaan</v>
      </c>
    </row>
    <row r="81" spans="1:10" ht="22.5" x14ac:dyDescent="0.2">
      <c r="A81" s="99">
        <v>34</v>
      </c>
      <c r="B81" s="112" t="str">
        <f>INDEX($B$10:$B$43,MATCH(LARGE($T$10:$T$43,34),$T$10:$T$43,0))</f>
        <v>MASDUQI MUHAMMAD</v>
      </c>
      <c r="C81" s="112" t="str">
        <f>INDEX($C$10:$C$43,MATCH(LARGE($T$10:$T$43,34),$T$10:$T$43,0))</f>
        <v>IMAM SUBEKTI</v>
      </c>
      <c r="D81" s="112" t="str">
        <f>INDEX($D$10:$D$43,MATCH(LARGE($T$10:$T$43,34),$T$10:$T$43,0))</f>
        <v>PGS MANAGER OF LAMONGAN BRANCH</v>
      </c>
      <c r="E81" s="101">
        <f>INDEX($J$10:$J$43,MATCH(LARGE($T$10:$T$43,34),$T$10:$T$43,0))</f>
        <v>0</v>
      </c>
      <c r="F81" s="97" t="str">
        <f>INDEX($L$10:$L$43,MATCH(LARGE($T$10:$T$43,34),$T$10:$T$43,0))</f>
        <v>Tidak ada laporan</v>
      </c>
      <c r="G81" s="113">
        <f>INDEX($R$10:$R$43,MATCH(LARGE($T$10:$T$43,34),$T$10:$T$43,0))</f>
        <v>31.8</v>
      </c>
      <c r="H81" s="97" t="str">
        <f>INDEX($S$10:$S$43,MATCH(LARGE($T$10:$T$43,34),$T$10:$T$43,0))</f>
        <v>Perlu Pembinaan</v>
      </c>
    </row>
    <row r="83" spans="1:10" x14ac:dyDescent="0.2">
      <c r="A83" s="90" t="s">
        <v>104</v>
      </c>
    </row>
    <row r="84" spans="1:10" ht="33.75" x14ac:dyDescent="0.2">
      <c r="A84" s="96" t="s">
        <v>1</v>
      </c>
      <c r="B84" s="96" t="s">
        <v>2</v>
      </c>
      <c r="C84" s="96" t="s">
        <v>3</v>
      </c>
      <c r="D84" s="96" t="s">
        <v>105</v>
      </c>
      <c r="E84" s="96" t="s">
        <v>93</v>
      </c>
      <c r="F84" s="96" t="s">
        <v>95</v>
      </c>
      <c r="G84" s="96" t="s">
        <v>96</v>
      </c>
      <c r="H84" s="96" t="s">
        <v>81</v>
      </c>
      <c r="I84" s="96" t="s">
        <v>106</v>
      </c>
      <c r="J84" s="96" t="s">
        <v>107</v>
      </c>
    </row>
    <row r="85" spans="1:10" x14ac:dyDescent="0.2">
      <c r="A85" s="99">
        <v>1</v>
      </c>
      <c r="B85" s="98" t="str">
        <f>EVALUASI!B4</f>
        <v>AHMAD JALALUDDIN BASYAR</v>
      </c>
      <c r="C85" s="99">
        <f t="shared" ref="C85:C104" si="6">COUNTIF($C$10:$C$43,$B85)</f>
        <v>7</v>
      </c>
      <c r="D85" s="99">
        <f t="shared" ref="D85:D104" si="7">SUMIFS($E$10:$E$43,$C$10:$C$43,$B85)</f>
        <v>416</v>
      </c>
      <c r="E85" s="99">
        <f t="shared" ref="E85:E104" si="8">SUMIFS($F$10:$F$43,$C$10:$C$43,$B85)</f>
        <v>691</v>
      </c>
      <c r="F85" s="101">
        <f t="shared" ref="F85:F104" si="9">IFERROR(E85/D85,0)</f>
        <v>1.6610576923076923</v>
      </c>
      <c r="G85" s="99">
        <f t="shared" ref="G85:G104" si="10">IFERROR(SUMIFS($G$10:$G$43,$C$10:$C$43,$B85)/D85,0)</f>
        <v>72.75</v>
      </c>
      <c r="H85" s="101">
        <f t="shared" ref="H85:H104" si="11">IFERROR($C$2*F85/$C$5+$C$3*G85/$C$6,0)</f>
        <v>0.83935839373158427</v>
      </c>
      <c r="I85" s="112" t="str">
        <f t="shared" ref="I85:I104" si="12">IFERROR(INDEX($B$10:$B$43,MATCH(SUMPRODUCT(MAX(($C$10:$C$43=$B85)*$T$10:$T$43)),$T$10:$T$43,0)),"-")</f>
        <v>SYAKIRAH TSALTSA FITRIAH</v>
      </c>
      <c r="J85" s="101">
        <f t="shared" ref="J85:J104" si="13">IFERROR(INDEX($J$10:$J$43,MATCH(I85,$B$10:$B$43,0)),"-")</f>
        <v>2.059061568497218</v>
      </c>
    </row>
    <row r="86" spans="1:10" x14ac:dyDescent="0.2">
      <c r="A86" s="99">
        <v>2</v>
      </c>
      <c r="B86" s="98" t="str">
        <f>EVALUASI!B5</f>
        <v>AKHMAT ABIDIN</v>
      </c>
      <c r="C86" s="99">
        <f t="shared" si="6"/>
        <v>1</v>
      </c>
      <c r="D86" s="99">
        <f t="shared" si="7"/>
        <v>54</v>
      </c>
      <c r="E86" s="99">
        <f t="shared" si="8"/>
        <v>91</v>
      </c>
      <c r="F86" s="101">
        <f t="shared" si="9"/>
        <v>1.6851851851851851</v>
      </c>
      <c r="G86" s="99">
        <f t="shared" si="10"/>
        <v>123.14814814814815</v>
      </c>
      <c r="H86" s="101">
        <f t="shared" si="11"/>
        <v>1.1054906614530671</v>
      </c>
      <c r="I86" s="112" t="str">
        <f t="shared" si="12"/>
        <v>NURIKA AMELIA ROSYIDAH</v>
      </c>
      <c r="J86" s="101">
        <f t="shared" si="13"/>
        <v>1.1054906614530671</v>
      </c>
    </row>
    <row r="87" spans="1:10" x14ac:dyDescent="0.2">
      <c r="A87" s="99">
        <v>3</v>
      </c>
      <c r="B87" s="98" t="str">
        <f>EVALUASI!B6</f>
        <v>ARIFANO KUSUMA BAYU</v>
      </c>
      <c r="C87" s="99">
        <f t="shared" si="6"/>
        <v>1</v>
      </c>
      <c r="D87" s="99">
        <f t="shared" si="7"/>
        <v>77</v>
      </c>
      <c r="E87" s="99">
        <f t="shared" si="8"/>
        <v>207</v>
      </c>
      <c r="F87" s="101">
        <f t="shared" si="9"/>
        <v>2.6883116883116882</v>
      </c>
      <c r="G87" s="99">
        <f t="shared" si="10"/>
        <v>151.48051948051949</v>
      </c>
      <c r="H87" s="101">
        <f t="shared" si="11"/>
        <v>1.5320892216427868</v>
      </c>
      <c r="I87" s="112" t="str">
        <f t="shared" si="12"/>
        <v>JANU PRASTYO</v>
      </c>
      <c r="J87" s="101">
        <f t="shared" si="13"/>
        <v>1.5320892216427868</v>
      </c>
    </row>
    <row r="88" spans="1:10" x14ac:dyDescent="0.2">
      <c r="A88" s="99">
        <v>4</v>
      </c>
      <c r="B88" s="98" t="str">
        <f>EVALUASI!B7</f>
        <v>DIAN RIZKA SARI</v>
      </c>
      <c r="C88" s="99">
        <f t="shared" si="6"/>
        <v>2</v>
      </c>
      <c r="D88" s="99">
        <f t="shared" si="7"/>
        <v>58</v>
      </c>
      <c r="E88" s="99">
        <f t="shared" si="8"/>
        <v>60</v>
      </c>
      <c r="F88" s="101">
        <f t="shared" si="9"/>
        <v>1.0344827586206897</v>
      </c>
      <c r="G88" s="99">
        <f t="shared" si="10"/>
        <v>39.931034482758619</v>
      </c>
      <c r="H88" s="101">
        <f t="shared" si="11"/>
        <v>0.49506903897265747</v>
      </c>
      <c r="I88" s="112" t="str">
        <f t="shared" si="12"/>
        <v>DINDA RAHADATUL AISY</v>
      </c>
      <c r="J88" s="101">
        <f t="shared" si="13"/>
        <v>0.52417377709317292</v>
      </c>
    </row>
    <row r="89" spans="1:10" x14ac:dyDescent="0.2">
      <c r="A89" s="99">
        <v>5</v>
      </c>
      <c r="B89" s="98" t="str">
        <f>EVALUASI!B8</f>
        <v>DWI SULIASTARI</v>
      </c>
      <c r="C89" s="99">
        <f t="shared" si="6"/>
        <v>2</v>
      </c>
      <c r="D89" s="99">
        <f t="shared" si="7"/>
        <v>138</v>
      </c>
      <c r="E89" s="99">
        <f t="shared" si="8"/>
        <v>152</v>
      </c>
      <c r="F89" s="101">
        <f t="shared" si="9"/>
        <v>1.1014492753623188</v>
      </c>
      <c r="G89" s="99">
        <f t="shared" si="10"/>
        <v>32.760869565217391</v>
      </c>
      <c r="H89" s="101">
        <f t="shared" si="11"/>
        <v>0.47691159344353345</v>
      </c>
      <c r="I89" s="112" t="str">
        <f t="shared" si="12"/>
        <v>NABILA RAIS NUR ROMADHONA</v>
      </c>
      <c r="J89" s="101">
        <f t="shared" si="13"/>
        <v>0.5524851877233824</v>
      </c>
    </row>
    <row r="90" spans="1:10" x14ac:dyDescent="0.2">
      <c r="A90" s="99">
        <v>6</v>
      </c>
      <c r="B90" s="98" t="str">
        <f>EVALUASI!B9</f>
        <v>ELFANO RANGGA PRATAMA</v>
      </c>
      <c r="C90" s="99">
        <f t="shared" si="6"/>
        <v>1</v>
      </c>
      <c r="D90" s="99">
        <f t="shared" si="7"/>
        <v>94</v>
      </c>
      <c r="E90" s="99">
        <f t="shared" si="8"/>
        <v>154</v>
      </c>
      <c r="F90" s="101">
        <f t="shared" si="9"/>
        <v>1.6382978723404256</v>
      </c>
      <c r="G90" s="99">
        <f t="shared" si="10"/>
        <v>45.51063829787234</v>
      </c>
      <c r="H90" s="101">
        <f t="shared" si="11"/>
        <v>0.69279780975779437</v>
      </c>
      <c r="I90" s="112" t="str">
        <f t="shared" si="12"/>
        <v>FETI FATMAWATI</v>
      </c>
      <c r="J90" s="101">
        <f t="shared" si="13"/>
        <v>0.69279780975779437</v>
      </c>
    </row>
    <row r="91" spans="1:10" x14ac:dyDescent="0.2">
      <c r="A91" s="99">
        <v>7</v>
      </c>
      <c r="B91" s="98" t="str">
        <f>EVALUASI!B10</f>
        <v>ENDAH YUNIA SRI WINDARI</v>
      </c>
      <c r="C91" s="99">
        <f t="shared" si="6"/>
        <v>2</v>
      </c>
      <c r="D91" s="99">
        <f t="shared" si="7"/>
        <v>68</v>
      </c>
      <c r="E91" s="99">
        <f t="shared" si="8"/>
        <v>131</v>
      </c>
      <c r="F91" s="101">
        <f t="shared" si="9"/>
        <v>1.9264705882352942</v>
      </c>
      <c r="G91" s="99">
        <f t="shared" si="10"/>
        <v>142.94117647058823</v>
      </c>
      <c r="H91" s="101">
        <f t="shared" si="11"/>
        <v>1.2748951025896158</v>
      </c>
      <c r="I91" s="112" t="str">
        <f t="shared" si="12"/>
        <v>AHMAD NOVAN JUNIARDY</v>
      </c>
      <c r="J91" s="101">
        <f t="shared" si="13"/>
        <v>1.4473095352289529</v>
      </c>
    </row>
    <row r="92" spans="1:10" x14ac:dyDescent="0.2">
      <c r="A92" s="99">
        <v>8</v>
      </c>
      <c r="B92" s="98" t="str">
        <f>EVALUASI!B11</f>
        <v>FETI MUBAIYINI</v>
      </c>
      <c r="C92" s="99">
        <f t="shared" si="6"/>
        <v>2</v>
      </c>
      <c r="D92" s="99">
        <f t="shared" si="7"/>
        <v>85</v>
      </c>
      <c r="E92" s="99">
        <f t="shared" si="8"/>
        <v>195</v>
      </c>
      <c r="F92" s="101">
        <f t="shared" si="9"/>
        <v>2.2941176470588234</v>
      </c>
      <c r="G92" s="99">
        <f t="shared" si="10"/>
        <v>26.094117647058823</v>
      </c>
      <c r="H92" s="101">
        <f t="shared" si="11"/>
        <v>0.77643822014597574</v>
      </c>
      <c r="I92" s="112" t="str">
        <f t="shared" si="12"/>
        <v>NILNA FAIRUSSAKTI SALBANI AFANO</v>
      </c>
      <c r="J92" s="101">
        <f t="shared" si="13"/>
        <v>0.88536793588822948</v>
      </c>
    </row>
    <row r="93" spans="1:10" x14ac:dyDescent="0.2">
      <c r="A93" s="99">
        <v>9</v>
      </c>
      <c r="B93" s="98" t="str">
        <f>EVALUASI!B12</f>
        <v>GANANG MUSYAFFA FAHMI</v>
      </c>
      <c r="C93" s="99">
        <f t="shared" si="6"/>
        <v>1</v>
      </c>
      <c r="D93" s="99">
        <f t="shared" si="7"/>
        <v>76</v>
      </c>
      <c r="E93" s="99">
        <f t="shared" si="8"/>
        <v>253</v>
      </c>
      <c r="F93" s="101">
        <f t="shared" si="9"/>
        <v>3.3289473684210527</v>
      </c>
      <c r="G93" s="99">
        <f t="shared" si="10"/>
        <v>248.92105263157896</v>
      </c>
      <c r="H93" s="101">
        <f t="shared" si="11"/>
        <v>2.212895237895427</v>
      </c>
      <c r="I93" s="112" t="str">
        <f t="shared" si="12"/>
        <v>SELVI NURUL HASANAH</v>
      </c>
      <c r="J93" s="101">
        <f t="shared" si="13"/>
        <v>2.212895237895427</v>
      </c>
    </row>
    <row r="94" spans="1:10" x14ac:dyDescent="0.2">
      <c r="A94" s="99">
        <v>10</v>
      </c>
      <c r="B94" s="98" t="str">
        <f>EVALUASI!B13</f>
        <v>HASKIN AVIONATA</v>
      </c>
      <c r="C94" s="99">
        <f t="shared" si="6"/>
        <v>1</v>
      </c>
      <c r="D94" s="99">
        <f t="shared" si="7"/>
        <v>65</v>
      </c>
      <c r="E94" s="99">
        <f t="shared" si="8"/>
        <v>108</v>
      </c>
      <c r="F94" s="101">
        <f t="shared" si="9"/>
        <v>1.6615384615384616</v>
      </c>
      <c r="G94" s="99">
        <f t="shared" si="10"/>
        <v>28.353846153846153</v>
      </c>
      <c r="H94" s="101">
        <f t="shared" si="11"/>
        <v>0.61100400615748751</v>
      </c>
      <c r="I94" s="112" t="str">
        <f t="shared" si="12"/>
        <v>FARREL ALWIN RAHMADHAN</v>
      </c>
      <c r="J94" s="101">
        <f t="shared" si="13"/>
        <v>0.61100400615748751</v>
      </c>
    </row>
    <row r="95" spans="1:10" x14ac:dyDescent="0.2">
      <c r="A95" s="99">
        <v>11</v>
      </c>
      <c r="B95" s="98" t="str">
        <f>EVALUASI!B14</f>
        <v>IMAM SUBEKTI</v>
      </c>
      <c r="C95" s="99">
        <f t="shared" si="6"/>
        <v>1</v>
      </c>
      <c r="D95" s="99">
        <f t="shared" si="7"/>
        <v>15</v>
      </c>
      <c r="E95" s="99">
        <f t="shared" si="8"/>
        <v>0</v>
      </c>
      <c r="F95" s="101">
        <f t="shared" si="9"/>
        <v>0</v>
      </c>
      <c r="G95" s="99">
        <f t="shared" si="10"/>
        <v>0</v>
      </c>
      <c r="H95" s="101">
        <f t="shared" si="11"/>
        <v>0</v>
      </c>
      <c r="I95" s="112" t="str">
        <f t="shared" si="12"/>
        <v>-</v>
      </c>
      <c r="J95" s="101" t="str">
        <f t="shared" si="13"/>
        <v>-</v>
      </c>
    </row>
    <row r="96" spans="1:10" x14ac:dyDescent="0.2">
      <c r="A96" s="99">
        <v>12</v>
      </c>
      <c r="B96" s="98" t="str">
        <f>EVALUASI!B15</f>
        <v>IMANIAR PUTRI UTAMI</v>
      </c>
      <c r="C96" s="99">
        <f t="shared" si="6"/>
        <v>1</v>
      </c>
      <c r="D96" s="99">
        <f t="shared" si="7"/>
        <v>13</v>
      </c>
      <c r="E96" s="99">
        <f t="shared" si="8"/>
        <v>13</v>
      </c>
      <c r="F96" s="101">
        <f t="shared" si="9"/>
        <v>1</v>
      </c>
      <c r="G96" s="99">
        <f t="shared" si="10"/>
        <v>97</v>
      </c>
      <c r="H96" s="101">
        <f t="shared" si="11"/>
        <v>0.77912780074043242</v>
      </c>
      <c r="I96" s="112" t="str">
        <f t="shared" si="12"/>
        <v>CITRA ANGGRAINI</v>
      </c>
      <c r="J96" s="101">
        <f t="shared" si="13"/>
        <v>0.77912780074043242</v>
      </c>
    </row>
    <row r="97" spans="1:10" x14ac:dyDescent="0.2">
      <c r="A97" s="99">
        <v>13</v>
      </c>
      <c r="B97" s="98" t="str">
        <f>EVALUASI!B16</f>
        <v>M. RIZAD FAHRURI</v>
      </c>
      <c r="C97" s="99">
        <f t="shared" si="6"/>
        <v>1</v>
      </c>
      <c r="D97" s="99">
        <f t="shared" si="7"/>
        <v>78</v>
      </c>
      <c r="E97" s="99">
        <f t="shared" si="8"/>
        <v>248</v>
      </c>
      <c r="F97" s="101">
        <f t="shared" si="9"/>
        <v>3.1794871794871793</v>
      </c>
      <c r="G97" s="99">
        <f t="shared" si="10"/>
        <v>206.92307692307693</v>
      </c>
      <c r="H97" s="101">
        <f t="shared" si="11"/>
        <v>1.9549135907197357</v>
      </c>
      <c r="I97" s="112" t="str">
        <f t="shared" si="12"/>
        <v>KHOFIFATUNNABILAH</v>
      </c>
      <c r="J97" s="101">
        <f t="shared" si="13"/>
        <v>1.9549135907197357</v>
      </c>
    </row>
    <row r="98" spans="1:10" x14ac:dyDescent="0.2">
      <c r="A98" s="99">
        <v>14</v>
      </c>
      <c r="B98" s="98" t="str">
        <f>EVALUASI!B17</f>
        <v>MOH. AGUS EFENDI</v>
      </c>
      <c r="C98" s="99">
        <f t="shared" si="6"/>
        <v>2</v>
      </c>
      <c r="D98" s="99">
        <f t="shared" si="7"/>
        <v>136</v>
      </c>
      <c r="E98" s="99">
        <f t="shared" si="8"/>
        <v>296</v>
      </c>
      <c r="F98" s="101">
        <f t="shared" si="9"/>
        <v>2.1764705882352939</v>
      </c>
      <c r="G98" s="99">
        <f t="shared" si="10"/>
        <v>87.757352941176464</v>
      </c>
      <c r="H98" s="101">
        <f t="shared" si="11"/>
        <v>1.0608634492907232</v>
      </c>
      <c r="I98" s="112" t="str">
        <f t="shared" si="12"/>
        <v>ANGGUN NUR TSANIA AGUSTIN</v>
      </c>
      <c r="J98" s="101">
        <f t="shared" si="13"/>
        <v>1.357747477399295</v>
      </c>
    </row>
    <row r="99" spans="1:10" x14ac:dyDescent="0.2">
      <c r="A99" s="99">
        <v>15</v>
      </c>
      <c r="B99" s="98" t="str">
        <f>EVALUASI!B18</f>
        <v>MUHAMMAD SADULLAH</v>
      </c>
      <c r="C99" s="99">
        <f t="shared" si="6"/>
        <v>1</v>
      </c>
      <c r="D99" s="99">
        <f t="shared" si="7"/>
        <v>42</v>
      </c>
      <c r="E99" s="99">
        <f t="shared" si="8"/>
        <v>54</v>
      </c>
      <c r="F99" s="101">
        <f t="shared" si="9"/>
        <v>1.2857142857142858</v>
      </c>
      <c r="G99" s="99">
        <f t="shared" si="10"/>
        <v>51.595238095238095</v>
      </c>
      <c r="H99" s="101">
        <f t="shared" si="11"/>
        <v>0.62542172526773065</v>
      </c>
      <c r="I99" s="112" t="str">
        <f t="shared" si="12"/>
        <v>ASA AGHNIA ZAHIDA</v>
      </c>
      <c r="J99" s="101">
        <f t="shared" si="13"/>
        <v>0.62542172526773065</v>
      </c>
    </row>
    <row r="100" spans="1:10" x14ac:dyDescent="0.2">
      <c r="A100" s="99">
        <v>16</v>
      </c>
      <c r="B100" s="98" t="str">
        <f>EVALUASI!B19</f>
        <v>SITI MUJAYANAH</v>
      </c>
      <c r="C100" s="99">
        <f t="shared" si="6"/>
        <v>4</v>
      </c>
      <c r="D100" s="99">
        <f t="shared" si="7"/>
        <v>165</v>
      </c>
      <c r="E100" s="99">
        <f t="shared" si="8"/>
        <v>210</v>
      </c>
      <c r="F100" s="101">
        <f t="shared" si="9"/>
        <v>1.2727272727272727</v>
      </c>
      <c r="G100" s="99">
        <f t="shared" si="10"/>
        <v>95.545454545454547</v>
      </c>
      <c r="H100" s="101">
        <f t="shared" si="11"/>
        <v>0.84798045380425036</v>
      </c>
      <c r="I100" s="112" t="str">
        <f t="shared" si="12"/>
        <v>THARISSA ADELIA PUTRI</v>
      </c>
      <c r="J100" s="101">
        <f t="shared" si="13"/>
        <v>1.0039204023065387</v>
      </c>
    </row>
    <row r="101" spans="1:10" x14ac:dyDescent="0.2">
      <c r="A101" s="99">
        <v>17</v>
      </c>
      <c r="B101" s="98" t="str">
        <f>EVALUASI!B20</f>
        <v>TRI HARTANTO</v>
      </c>
      <c r="C101" s="99">
        <f t="shared" si="6"/>
        <v>1</v>
      </c>
      <c r="D101" s="99">
        <f t="shared" si="7"/>
        <v>9</v>
      </c>
      <c r="E101" s="99">
        <f t="shared" si="8"/>
        <v>7</v>
      </c>
      <c r="F101" s="101">
        <f t="shared" si="9"/>
        <v>0.77777777777777779</v>
      </c>
      <c r="G101" s="99">
        <f t="shared" si="10"/>
        <v>57.888888888888886</v>
      </c>
      <c r="H101" s="101">
        <f t="shared" si="11"/>
        <v>0.51563698055198692</v>
      </c>
      <c r="I101" s="112" t="str">
        <f t="shared" si="12"/>
        <v>ALFINA ZAKYA ULA</v>
      </c>
      <c r="J101" s="101">
        <f t="shared" si="13"/>
        <v>0.51563698055198692</v>
      </c>
    </row>
    <row r="102" spans="1:10" x14ac:dyDescent="0.2">
      <c r="A102" s="99">
        <v>18</v>
      </c>
      <c r="B102" s="98" t="str">
        <f>EVALUASI!B21</f>
        <v>WATIN UTARI</v>
      </c>
      <c r="C102" s="99">
        <f t="shared" si="6"/>
        <v>1</v>
      </c>
      <c r="D102" s="99">
        <f t="shared" si="7"/>
        <v>6</v>
      </c>
      <c r="E102" s="99">
        <f t="shared" si="8"/>
        <v>13</v>
      </c>
      <c r="F102" s="101">
        <f t="shared" si="9"/>
        <v>2.1666666666666665</v>
      </c>
      <c r="G102" s="99">
        <f t="shared" si="10"/>
        <v>80</v>
      </c>
      <c r="H102" s="101">
        <f t="shared" si="11"/>
        <v>1.018195308410148</v>
      </c>
      <c r="I102" s="112" t="str">
        <f t="shared" si="12"/>
        <v>AMELIA KURNIA FITRI</v>
      </c>
      <c r="J102" s="101">
        <f t="shared" si="13"/>
        <v>1.018195308410148</v>
      </c>
    </row>
    <row r="103" spans="1:10" x14ac:dyDescent="0.2">
      <c r="A103" s="99">
        <v>19</v>
      </c>
      <c r="B103" s="98" t="str">
        <f>EVALUASI!B22</f>
        <v>WAWAN SETIAWAN</v>
      </c>
      <c r="C103" s="99">
        <f t="shared" si="6"/>
        <v>1</v>
      </c>
      <c r="D103" s="99">
        <f t="shared" si="7"/>
        <v>80</v>
      </c>
      <c r="E103" s="99">
        <f t="shared" si="8"/>
        <v>119</v>
      </c>
      <c r="F103" s="101">
        <f t="shared" si="9"/>
        <v>1.4875</v>
      </c>
      <c r="G103" s="99">
        <f t="shared" si="10"/>
        <v>251.42500000000001</v>
      </c>
      <c r="H103" s="101">
        <f t="shared" si="11"/>
        <v>1.7103457696001279</v>
      </c>
      <c r="I103" s="112" t="str">
        <f t="shared" si="12"/>
        <v>PUTRI WIDYOWATI</v>
      </c>
      <c r="J103" s="101">
        <f t="shared" si="13"/>
        <v>1.7103457696001279</v>
      </c>
    </row>
    <row r="104" spans="1:10" x14ac:dyDescent="0.2">
      <c r="A104" s="99">
        <v>20</v>
      </c>
      <c r="B104" s="98" t="str">
        <f>EVALUASI!B23</f>
        <v>YUSUF REZA MUHAMMAD</v>
      </c>
      <c r="C104" s="99">
        <f t="shared" si="6"/>
        <v>1</v>
      </c>
      <c r="D104" s="99">
        <f t="shared" si="7"/>
        <v>33</v>
      </c>
      <c r="E104" s="99">
        <f t="shared" si="8"/>
        <v>49</v>
      </c>
      <c r="F104" s="101">
        <f t="shared" si="9"/>
        <v>1.4848484848484849</v>
      </c>
      <c r="G104" s="99">
        <f t="shared" si="10"/>
        <v>156.36363636363637</v>
      </c>
      <c r="H104" s="101">
        <f t="shared" si="11"/>
        <v>1.2203613881626374</v>
      </c>
      <c r="I104" s="112" t="str">
        <f t="shared" si="12"/>
        <v>MUHAMMAD QAIRUL UMAM</v>
      </c>
      <c r="J104" s="101">
        <f t="shared" si="13"/>
        <v>1.2203613881626374</v>
      </c>
    </row>
  </sheetData>
  <conditionalFormatting sqref="J10:J43">
    <cfRule type="colorScale" priority="2">
      <colorScale>
        <cfvo type="num" val="0.5"/>
        <cfvo type="num" val="1"/>
        <cfvo type="num" val="1.8"/>
        <color rgb="FFF8696B"/>
        <color rgb="FFFFEB84"/>
        <color rgb="FF63BE7B"/>
      </colorScale>
    </cfRule>
  </conditionalFormatting>
  <conditionalFormatting sqref="N10:Q43">
    <cfRule type="colorScale" priority="3">
      <colorScale>
        <cfvo type="num" val="0.5"/>
        <cfvo type="num" val="1"/>
        <cfvo type="num" val="1.8"/>
        <color rgb="FFF8696B"/>
        <color rgb="FFFFEB84"/>
        <color rgb="FF63BE7B"/>
      </colorScale>
    </cfRule>
  </conditionalFormatting>
  <conditionalFormatting sqref="L10:L43">
    <cfRule type="cellIs" dxfId="12" priority="4" operator="equal">
      <formula>"Sangat Tinggi"</formula>
    </cfRule>
    <cfRule type="cellIs" dxfId="11" priority="5" operator="equal">
      <formula>"Tinggi"</formula>
    </cfRule>
    <cfRule type="cellIs" dxfId="10" priority="6" operator="equal">
      <formula>"Sedang"</formula>
    </cfRule>
    <cfRule type="cellIs" dxfId="9" priority="7" operator="equal">
      <formula>"Rendah"</formula>
    </cfRule>
    <cfRule type="cellIs" dxfId="8" priority="8" operator="equal">
      <formula>"Tidak ada laporan"</formula>
    </cfRule>
  </conditionalFormatting>
  <conditionalFormatting sqref="E48:E81">
    <cfRule type="colorScale" priority="9">
      <colorScale>
        <cfvo type="num" val="0.5"/>
        <cfvo type="num" val="1"/>
        <cfvo type="num" val="1.8"/>
        <color rgb="FFF8696B"/>
        <color rgb="FFFFEB84"/>
        <color rgb="FF63BE7B"/>
      </colorScale>
    </cfRule>
  </conditionalFormatting>
  <conditionalFormatting sqref="H85:H104">
    <cfRule type="colorScale" priority="10">
      <colorScale>
        <cfvo type="num" val="0.5"/>
        <cfvo type="num" val="1"/>
        <cfvo type="num" val="1.8"/>
        <color rgb="FFF8696B"/>
        <color rgb="FFFFEB84"/>
        <color rgb="FF63BE7B"/>
      </colorScale>
    </cfRule>
  </conditionalFormatting>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1"/>
  <sheetViews>
    <sheetView showGridLines="0" topLeftCell="A13" zoomScaleNormal="100" workbookViewId="0">
      <selection activeCell="B17" sqref="B17"/>
    </sheetView>
  </sheetViews>
  <sheetFormatPr defaultColWidth="8.7109375" defaultRowHeight="11.25" x14ac:dyDescent="0.2"/>
  <cols>
    <col min="1" max="1" width="3" style="56" customWidth="1"/>
    <col min="2" max="2" width="46" style="56" customWidth="1"/>
    <col min="3" max="3" width="16" style="56" customWidth="1"/>
    <col min="4" max="4" width="22.140625" style="56" customWidth="1"/>
    <col min="5" max="5" width="60" style="56" customWidth="1"/>
    <col min="6" max="16384" width="8.7109375" style="56"/>
  </cols>
  <sheetData>
    <row r="2" spans="2:6" x14ac:dyDescent="0.2">
      <c r="B2" s="57" t="s">
        <v>108</v>
      </c>
    </row>
    <row r="3" spans="2:6" x14ac:dyDescent="0.2">
      <c r="B3" s="58" t="str">
        <f>"Periode "&amp;TEXT(C6,"dd-mm-yyyy")&amp;" s.d. "&amp;TEXT(C7,"dd-mm-yyyy")&amp;" · PT Semen Indonesia Distributor"</f>
        <v>Periode 01-06-2026 s.d. 30-09-2026 · PT Semen Indonesia Distributor</v>
      </c>
    </row>
    <row r="5" spans="2:6" x14ac:dyDescent="0.2">
      <c r="B5" s="57" t="s">
        <v>109</v>
      </c>
    </row>
    <row r="6" spans="2:6" x14ac:dyDescent="0.2">
      <c r="B6" s="59" t="s">
        <v>110</v>
      </c>
      <c r="C6" s="60">
        <v>46174</v>
      </c>
      <c r="D6" s="61"/>
      <c r="E6" s="57" t="s">
        <v>111</v>
      </c>
    </row>
    <row r="7" spans="2:6" x14ac:dyDescent="0.2">
      <c r="B7" s="59" t="s">
        <v>112</v>
      </c>
      <c r="C7" s="60">
        <v>46295</v>
      </c>
      <c r="D7" s="61"/>
      <c r="E7" s="59" t="s">
        <v>113</v>
      </c>
      <c r="F7" s="62">
        <f>COUNT(EVALUASI!$W$79:$W$132)</f>
        <v>34</v>
      </c>
    </row>
    <row r="8" spans="2:6" x14ac:dyDescent="0.2">
      <c r="B8" s="59" t="s">
        <v>114</v>
      </c>
      <c r="C8" s="63" t="s">
        <v>115</v>
      </c>
      <c r="D8" s="61"/>
      <c r="E8" s="59" t="s">
        <v>116</v>
      </c>
      <c r="F8" s="62">
        <f>COUNTA(EVALUASI!B4:B23)</f>
        <v>20</v>
      </c>
    </row>
    <row r="9" spans="2:6" x14ac:dyDescent="0.2">
      <c r="B9" s="59" t="s">
        <v>117</v>
      </c>
      <c r="C9" s="60">
        <v>46174</v>
      </c>
      <c r="D9" s="61"/>
      <c r="E9" s="59" t="s">
        <v>118</v>
      </c>
      <c r="F9" s="62">
        <f>COUNTIF(KALENDER!$D$3:$D$132,"Hari Kerja")</f>
        <v>75</v>
      </c>
    </row>
    <row r="10" spans="2:6" x14ac:dyDescent="0.2">
      <c r="B10" s="59" t="s">
        <v>119</v>
      </c>
      <c r="C10" s="60">
        <v>46234</v>
      </c>
      <c r="D10" s="61"/>
      <c r="E10" s="59" t="s">
        <v>120</v>
      </c>
      <c r="F10" s="62">
        <f>COUNTIF(KALENDER!$D$3:$D$132,"WFH")</f>
        <v>9</v>
      </c>
    </row>
    <row r="11" spans="2:6" x14ac:dyDescent="0.2">
      <c r="B11" s="59" t="s">
        <v>121</v>
      </c>
      <c r="C11" s="64">
        <v>0.3</v>
      </c>
      <c r="D11" s="61"/>
      <c r="E11" s="59" t="s">
        <v>122</v>
      </c>
      <c r="F11" s="65">
        <f>EVALUASI!F24</f>
        <v>0.94684579439252337</v>
      </c>
    </row>
    <row r="12" spans="2:6" x14ac:dyDescent="0.2">
      <c r="B12" s="59" t="s">
        <v>123</v>
      </c>
      <c r="C12" s="64">
        <v>0.2</v>
      </c>
      <c r="D12" s="61"/>
      <c r="E12" s="59" t="s">
        <v>124</v>
      </c>
      <c r="F12" s="65">
        <f>EVALUASI!H24</f>
        <v>0.86768149882903978</v>
      </c>
    </row>
    <row r="13" spans="2:6" x14ac:dyDescent="0.2">
      <c r="B13" s="59" t="s">
        <v>125</v>
      </c>
      <c r="C13" s="64">
        <v>0.2</v>
      </c>
      <c r="D13" s="61"/>
      <c r="E13" s="59" t="s">
        <v>126</v>
      </c>
      <c r="F13" s="65">
        <f>EVALUASI!J24</f>
        <v>0.93618266978922715</v>
      </c>
    </row>
    <row r="14" spans="2:6" x14ac:dyDescent="0.2">
      <c r="B14" s="59" t="s">
        <v>127</v>
      </c>
      <c r="C14" s="64">
        <v>0.9</v>
      </c>
      <c r="D14" s="61"/>
      <c r="E14" s="59" t="s">
        <v>128</v>
      </c>
      <c r="F14" s="66">
        <f>EVALUASI!K24</f>
        <v>86.1</v>
      </c>
    </row>
    <row r="15" spans="2:6" x14ac:dyDescent="0.2">
      <c r="B15" s="59" t="s">
        <v>129</v>
      </c>
      <c r="C15" s="64">
        <v>0.8</v>
      </c>
      <c r="D15" s="61"/>
      <c r="E15" s="59" t="s">
        <v>130</v>
      </c>
      <c r="F15" s="62">
        <f>COUNTIF(EVALUASI!$X$79:$X$132,"Sangat Baik")</f>
        <v>17</v>
      </c>
    </row>
    <row r="16" spans="2:6" x14ac:dyDescent="0.2">
      <c r="B16" s="59" t="s">
        <v>131</v>
      </c>
      <c r="C16" s="64">
        <v>0.7</v>
      </c>
      <c r="D16" s="61"/>
      <c r="E16" s="59" t="s">
        <v>132</v>
      </c>
      <c r="F16" s="62">
        <f>COUNTIF(EVALUASI!$X$79:$X$132,"Baik")</f>
        <v>8</v>
      </c>
    </row>
    <row r="17" spans="2:6" ht="12.75" x14ac:dyDescent="0.2">
      <c r="B17" s="55" t="s">
        <v>133</v>
      </c>
      <c r="C17" s="67">
        <v>0.3</v>
      </c>
      <c r="D17" s="52" t="s">
        <v>134</v>
      </c>
      <c r="E17" s="59" t="s">
        <v>135</v>
      </c>
      <c r="F17" s="62">
        <f>COUNTIF(EVALUASI!$X$79:$X$132,"Cukup")</f>
        <v>6</v>
      </c>
    </row>
    <row r="18" spans="2:6" ht="12.75" x14ac:dyDescent="0.2">
      <c r="B18" s="55" t="s">
        <v>136</v>
      </c>
      <c r="C18" s="53">
        <v>1</v>
      </c>
      <c r="D18" s="52" t="s">
        <v>137</v>
      </c>
      <c r="E18" s="59" t="s">
        <v>138</v>
      </c>
      <c r="F18" s="62">
        <f>COUNTIF(EVALUASI!$X$79:$X$132,"Perlu Pembinaan")</f>
        <v>3</v>
      </c>
    </row>
    <row r="19" spans="2:6" ht="12.75" x14ac:dyDescent="0.2">
      <c r="B19" s="68" t="s">
        <v>139</v>
      </c>
      <c r="C19" s="69">
        <f>C11+C12+C13+C17</f>
        <v>1</v>
      </c>
      <c r="E19" s="55" t="s">
        <v>140</v>
      </c>
      <c r="F19" s="70">
        <f>AVERAGE(PRODUKTIVITAS!$J$10:$J$43)</f>
        <v>0.9161015408869253</v>
      </c>
    </row>
    <row r="20" spans="2:6" ht="12.75" x14ac:dyDescent="0.2">
      <c r="B20" s="57" t="s">
        <v>141</v>
      </c>
      <c r="D20" s="71"/>
      <c r="E20" s="55" t="s">
        <v>142</v>
      </c>
      <c r="F20" s="72">
        <f>COUNTIF(PRODUKTIVITAS!$L$10:$L$43,"Tinggi")+COUNTIF(PRODUKTIVITAS!$L$10:$L$43,"Sangat Tinggi")</f>
        <v>13</v>
      </c>
    </row>
    <row r="21" spans="2:6" x14ac:dyDescent="0.2">
      <c r="B21" s="73" t="s">
        <v>143</v>
      </c>
      <c r="C21" s="73" t="s">
        <v>73</v>
      </c>
      <c r="D21" s="73" t="s">
        <v>12</v>
      </c>
      <c r="E21" s="73" t="s">
        <v>2</v>
      </c>
    </row>
    <row r="22" spans="2:6" x14ac:dyDescent="0.2">
      <c r="B22" s="59" t="str">
        <f>INDEX(EVALUASI!$C$79:$C$132,MATCH(SMALL(EVALUASI!$AB$79:$AB$132,1),EVALUASI!$AB$79:$AB$132,0))</f>
        <v>MASDUQI MUHAMMAD</v>
      </c>
      <c r="C22" s="74">
        <f>INDEX(EVALUASI!$W$79:$W$132,MATCH(SMALL(EVALUASI!$AB$79:$AB$132,1),EVALUASI!$AB$79:$AB$132,0))</f>
        <v>31.8</v>
      </c>
      <c r="D22" s="75" t="str">
        <f>INDEX(EVALUASI!$X$79:$X$132,MATCH(SMALL(EVALUASI!$AB$79:$AB$132,1),EVALUASI!$AB$79:$AB$132,0))</f>
        <v>Perlu Pembinaan</v>
      </c>
      <c r="E22" s="59" t="str">
        <f>INDEX(EVALUASI!$D$79:$D$132,MATCH(SMALL(EVALUASI!$AB$79:$AB$132,1),EVALUASI!$AB$79:$AB$132,0))</f>
        <v>IMAM SUBEKTI</v>
      </c>
    </row>
    <row r="23" spans="2:6" x14ac:dyDescent="0.2">
      <c r="B23" s="59" t="str">
        <f>INDEX(EVALUASI!$C$79:$C$132,MATCH(SMALL(EVALUASI!$AB$79:$AB$132,2),EVALUASI!$AB$79:$AB$132,0))</f>
        <v>WIDIYA DESY MAWAR SARI</v>
      </c>
      <c r="C23" s="74">
        <f>INDEX(EVALUASI!$W$79:$W$132,MATCH(SMALL(EVALUASI!$AB$79:$AB$132,2),EVALUASI!$AB$79:$AB$132,0))</f>
        <v>65.400000000000006</v>
      </c>
      <c r="D23" s="75" t="str">
        <f>INDEX(EVALUASI!$X$79:$X$132,MATCH(SMALL(EVALUASI!$AB$79:$AB$132,2),EVALUASI!$AB$79:$AB$132,0))</f>
        <v>Perlu Pembinaan</v>
      </c>
      <c r="E23" s="59" t="str">
        <f>INDEX(EVALUASI!$D$79:$D$132,MATCH(SMALL(EVALUASI!$AB$79:$AB$132,2),EVALUASI!$AB$79:$AB$132,0))</f>
        <v>AHMAD JALALUDDIN BASYAR</v>
      </c>
    </row>
    <row r="24" spans="2:6" x14ac:dyDescent="0.2">
      <c r="B24" s="59" t="str">
        <f>INDEX(EVALUASI!$C$79:$C$132,MATCH(SMALL(EVALUASI!$AB$79:$AB$132,3),EVALUASI!$AB$79:$AB$132,0))</f>
        <v>ALFINA ZAKYA ULA</v>
      </c>
      <c r="C24" s="74">
        <f>INDEX(EVALUASI!$W$79:$W$132,MATCH(SMALL(EVALUASI!$AB$79:$AB$132,3),EVALUASI!$AB$79:$AB$132,0))</f>
        <v>67.3</v>
      </c>
      <c r="D24" s="75" t="str">
        <f>INDEX(EVALUASI!$X$79:$X$132,MATCH(SMALL(EVALUASI!$AB$79:$AB$132,3),EVALUASI!$AB$79:$AB$132,0))</f>
        <v>Perlu Pembinaan</v>
      </c>
      <c r="E24" s="59" t="str">
        <f>INDEX(EVALUASI!$D$79:$D$132,MATCH(SMALL(EVALUASI!$AB$79:$AB$132,3),EVALUASI!$AB$79:$AB$132,0))</f>
        <v>TRI HARTANTO</v>
      </c>
    </row>
    <row r="25" spans="2:6" x14ac:dyDescent="0.2">
      <c r="B25" s="59" t="str">
        <f>INDEX(EVALUASI!$C$79:$C$132,MATCH(SMALL(EVALUASI!$AB$79:$AB$132,4),EVALUASI!$AB$79:$AB$132,0))</f>
        <v>FETI FATMAWATI</v>
      </c>
      <c r="C25" s="74">
        <f>INDEX(EVALUASI!$W$79:$W$132,MATCH(SMALL(EVALUASI!$AB$79:$AB$132,4),EVALUASI!$AB$79:$AB$132,0))</f>
        <v>74.5</v>
      </c>
      <c r="D25" s="75" t="str">
        <f>INDEX(EVALUASI!$X$79:$X$132,MATCH(SMALL(EVALUASI!$AB$79:$AB$132,4),EVALUASI!$AB$79:$AB$132,0))</f>
        <v>Cukup</v>
      </c>
      <c r="E25" s="59" t="str">
        <f>INDEX(EVALUASI!$D$79:$D$132,MATCH(SMALL(EVALUASI!$AB$79:$AB$132,4),EVALUASI!$AB$79:$AB$132,0))</f>
        <v>ELFANO RANGGA PRATAMA</v>
      </c>
    </row>
    <row r="26" spans="2:6" x14ac:dyDescent="0.2">
      <c r="B26" s="59" t="str">
        <f>INDEX(EVALUASI!$C$79:$C$132,MATCH(SMALL(EVALUASI!$AB$79:$AB$132,5),EVALUASI!$AB$79:$AB$132,0))</f>
        <v>ARINDA PUTRI AULIA</v>
      </c>
      <c r="C26" s="74">
        <f>INDEX(EVALUASI!$W$79:$W$132,MATCH(SMALL(EVALUASI!$AB$79:$AB$132,5),EVALUASI!$AB$79:$AB$132,0))</f>
        <v>75.5</v>
      </c>
      <c r="D26" s="75" t="str">
        <f>INDEX(EVALUASI!$X$79:$X$132,MATCH(SMALL(EVALUASI!$AB$79:$AB$132,5),EVALUASI!$AB$79:$AB$132,0))</f>
        <v>Cukup</v>
      </c>
      <c r="E26" s="59" t="str">
        <f>INDEX(EVALUASI!$D$79:$D$132,MATCH(SMALL(EVALUASI!$AB$79:$AB$132,5),EVALUASI!$AB$79:$AB$132,0))</f>
        <v>AHMAD JALALUDDIN BASYAR</v>
      </c>
    </row>
    <row r="28" spans="2:6" x14ac:dyDescent="0.2">
      <c r="B28" s="57" t="s">
        <v>144</v>
      </c>
    </row>
    <row r="29" spans="2:6" x14ac:dyDescent="0.2">
      <c r="B29" s="73" t="s">
        <v>143</v>
      </c>
      <c r="C29" s="73" t="s">
        <v>66</v>
      </c>
      <c r="D29" s="73" t="s">
        <v>8</v>
      </c>
      <c r="E29" s="73" t="s">
        <v>2</v>
      </c>
    </row>
    <row r="30" spans="2:6" x14ac:dyDescent="0.2">
      <c r="B30" s="59" t="str">
        <f>INDEX(EVALUASI!$C$79:$C$132,MATCH(LARGE(EVALUASI!$AA$79:$AA$132,1),EVALUASI!$AA$79:$AA$132,0))</f>
        <v>FETI FATMAWATI</v>
      </c>
      <c r="C30" s="76">
        <f>INDEX(EVALUASI!$M$79:$M$132,MATCH(LARGE(EVALUASI!$AA$79:$AA$132,1),EVALUASI!$AA$79:$AA$132,0))</f>
        <v>59</v>
      </c>
      <c r="D30" s="77">
        <f>INDEX(EVALUASI!$N$79:$N$132,MATCH(LARGE(EVALUASI!$AA$79:$AA$132,1),EVALUASI!$AA$79:$AA$132,0))</f>
        <v>0.37234042553191493</v>
      </c>
      <c r="E30" s="59" t="str">
        <f>INDEX(EVALUASI!$D$79:$D$132,MATCH(LARGE(EVALUASI!$AA$79:$AA$132,1),EVALUASI!$AA$79:$AA$132,0))</f>
        <v>ELFANO RANGGA PRATAMA</v>
      </c>
    </row>
    <row r="31" spans="2:6" x14ac:dyDescent="0.2">
      <c r="B31" s="59" t="str">
        <f>INDEX(EVALUASI!$C$79:$C$132,MATCH(LARGE(EVALUASI!$AA$79:$AA$132,2),EVALUASI!$AA$79:$AA$132,0))</f>
        <v>WIDIYA DESY MAWAR SARI</v>
      </c>
      <c r="C31" s="76">
        <f>INDEX(EVALUASI!$M$79:$M$132,MATCH(LARGE(EVALUASI!$AA$79:$AA$132,2),EVALUASI!$AA$79:$AA$132,0))</f>
        <v>29</v>
      </c>
      <c r="D31" s="77">
        <f>INDEX(EVALUASI!$N$79:$N$132,MATCH(LARGE(EVALUASI!$AA$79:$AA$132,2),EVALUASI!$AA$79:$AA$132,0))</f>
        <v>0.60810810810810811</v>
      </c>
      <c r="E31" s="59" t="str">
        <f>INDEX(EVALUASI!$D$79:$D$132,MATCH(LARGE(EVALUASI!$AA$79:$AA$132,2),EVALUASI!$AA$79:$AA$132,0))</f>
        <v>AHMAD JALALUDDIN BASYAR</v>
      </c>
    </row>
    <row r="32" spans="2:6" x14ac:dyDescent="0.2">
      <c r="B32" s="59" t="str">
        <f>INDEX(EVALUASI!$C$79:$C$132,MATCH(LARGE(EVALUASI!$AA$79:$AA$132,3),EVALUASI!$AA$79:$AA$132,0))</f>
        <v>JANU PRASTYO</v>
      </c>
      <c r="C32" s="76">
        <f>INDEX(EVALUASI!$M$79:$M$132,MATCH(LARGE(EVALUASI!$AA$79:$AA$132,3),EVALUASI!$AA$79:$AA$132,0))</f>
        <v>28</v>
      </c>
      <c r="D32" s="77">
        <f>INDEX(EVALUASI!$N$79:$N$132,MATCH(LARGE(EVALUASI!$AA$79:$AA$132,3),EVALUASI!$AA$79:$AA$132,0))</f>
        <v>0.63636363636363635</v>
      </c>
      <c r="E32" s="59" t="str">
        <f>INDEX(EVALUASI!$D$79:$D$132,MATCH(LARGE(EVALUASI!$AA$79:$AA$132,3),EVALUASI!$AA$79:$AA$132,0))</f>
        <v>ARIFANO KUSUMA BAYU</v>
      </c>
    </row>
    <row r="33" spans="2:5" x14ac:dyDescent="0.2">
      <c r="B33" s="59" t="str">
        <f>INDEX(EVALUASI!$C$79:$C$132,MATCH(LARGE(EVALUASI!$AA$79:$AA$132,4),EVALUASI!$AA$79:$AA$132,0))</f>
        <v>FARREL ALWIN RAHMADHAN</v>
      </c>
      <c r="C33" s="76">
        <f>INDEX(EVALUASI!$M$79:$M$132,MATCH(LARGE(EVALUASI!$AA$79:$AA$132,4),EVALUASI!$AA$79:$AA$132,0))</f>
        <v>17</v>
      </c>
      <c r="D33" s="77">
        <f>INDEX(EVALUASI!$N$79:$N$132,MATCH(LARGE(EVALUASI!$AA$79:$AA$132,4),EVALUASI!$AA$79:$AA$132,0))</f>
        <v>0.7384615384615385</v>
      </c>
      <c r="E33" s="59" t="str">
        <f>INDEX(EVALUASI!$D$79:$D$132,MATCH(LARGE(EVALUASI!$AA$79:$AA$132,4),EVALUASI!$AA$79:$AA$132,0))</f>
        <v>HASKIN AVIONATA</v>
      </c>
    </row>
    <row r="34" spans="2:5" x14ac:dyDescent="0.2">
      <c r="B34" s="59" t="str">
        <f>INDEX(EVALUASI!$C$79:$C$132,MATCH(LARGE(EVALUASI!$AA$79:$AA$132,5),EVALUASI!$AA$79:$AA$132,0))</f>
        <v>ARINDA PUTRI AULIA</v>
      </c>
      <c r="C34" s="76">
        <f>INDEX(EVALUASI!$M$79:$M$132,MATCH(LARGE(EVALUASI!$AA$79:$AA$132,5),EVALUASI!$AA$79:$AA$132,0))</f>
        <v>15</v>
      </c>
      <c r="D34" s="77">
        <f>INDEX(EVALUASI!$N$79:$N$132,MATCH(LARGE(EVALUASI!$AA$79:$AA$132,5),EVALUASI!$AA$79:$AA$132,0))</f>
        <v>0.8</v>
      </c>
      <c r="E34" s="59" t="str">
        <f>INDEX(EVALUASI!$D$79:$D$132,MATCH(LARGE(EVALUASI!$AA$79:$AA$132,5),EVALUASI!$AA$79:$AA$132,0))</f>
        <v>AHMAD JALALUDDIN BASYAR</v>
      </c>
    </row>
    <row r="37" spans="2:5" ht="15" x14ac:dyDescent="0.25">
      <c r="B37" s="54" t="s">
        <v>145</v>
      </c>
    </row>
    <row r="38" spans="2:5" ht="21.75" customHeight="1" x14ac:dyDescent="0.2">
      <c r="B38" s="46" t="s">
        <v>143</v>
      </c>
      <c r="C38" s="46" t="s">
        <v>73</v>
      </c>
      <c r="D38" s="46" t="s">
        <v>81</v>
      </c>
      <c r="E38" s="46" t="s">
        <v>2</v>
      </c>
    </row>
    <row r="39" spans="2:5" ht="12.75" x14ac:dyDescent="0.2">
      <c r="B39" s="55" t="str">
        <f>INDEX(EVALUASI!$C$79:$C$132,MATCH(LARGE(EVALUASI!$AB$79:$AB$132,1),EVALUASI!$AB$79:$AB$132,0))</f>
        <v>ANGGUN NUR TSANIA AGUSTIN</v>
      </c>
      <c r="C39" s="78">
        <f>INDEX(EVALUASI!$W$79:$W$132,MATCH(LARGE(EVALUASI!$AB$79:$AB$132,1),EVALUASI!$AB$79:$AB$132,0))</f>
        <v>99</v>
      </c>
      <c r="D39" s="79">
        <f>INDEX(EVALUASI!$AF$79:$AF$132,MATCH(LARGE(EVALUASI!$AB$79:$AB$132,1),EVALUASI!$AB$79:$AB$132,0))</f>
        <v>1.357747477399295</v>
      </c>
      <c r="E39" s="55" t="str">
        <f>INDEX(EVALUASI!$D$79:$D$132,MATCH(LARGE(EVALUASI!$AB$79:$AB$132,1),EVALUASI!$AB$79:$AB$132,0))</f>
        <v>MOH. AGUS EFENDI</v>
      </c>
    </row>
    <row r="40" spans="2:5" ht="12.75" x14ac:dyDescent="0.2">
      <c r="B40" s="55" t="str">
        <f>INDEX(EVALUASI!$C$79:$C$132,MATCH(LARGE(EVALUASI!$AB$79:$AB$132,2),EVALUASI!$AB$79:$AB$132,0))</f>
        <v>TAHYUDIN UZI SAFAAT</v>
      </c>
      <c r="C40" s="78">
        <f>INDEX(EVALUASI!$W$79:$W$132,MATCH(LARGE(EVALUASI!$AB$79:$AB$132,2),EVALUASI!$AB$79:$AB$132,0))</f>
        <v>98.6</v>
      </c>
      <c r="D40" s="79">
        <f>INDEX(EVALUASI!$AF$79:$AF$132,MATCH(LARGE(EVALUASI!$AB$79:$AB$132,2),EVALUASI!$AB$79:$AB$132,0))</f>
        <v>1.1123329232439554</v>
      </c>
      <c r="E40" s="55" t="str">
        <f>INDEX(EVALUASI!$D$79:$D$132,MATCH(LARGE(EVALUASI!$AB$79:$AB$132,2),EVALUASI!$AB$79:$AB$132,0))</f>
        <v>ENDAH YUNIA SRI WINDARI</v>
      </c>
    </row>
    <row r="41" spans="2:5" ht="12.75" x14ac:dyDescent="0.2">
      <c r="B41" s="55" t="str">
        <f>INDEX(EVALUASI!$C$79:$C$132,MATCH(LARGE(EVALUASI!$AB$79:$AB$132,3),EVALUASI!$AB$79:$AB$132,0))</f>
        <v>KHOFIFATUNNABILAH</v>
      </c>
      <c r="C41" s="78">
        <f>INDEX(EVALUASI!$W$79:$W$132,MATCH(LARGE(EVALUASI!$AB$79:$AB$132,3),EVALUASI!$AB$79:$AB$132,0))</f>
        <v>98.5</v>
      </c>
      <c r="D41" s="79">
        <f>INDEX(EVALUASI!$AF$79:$AF$132,MATCH(LARGE(EVALUASI!$AB$79:$AB$132,3),EVALUASI!$AB$79:$AB$132,0))</f>
        <v>1.9549135907197357</v>
      </c>
      <c r="E41" s="55" t="str">
        <f>INDEX(EVALUASI!$D$79:$D$132,MATCH(LARGE(EVALUASI!$AB$79:$AB$132,3),EVALUASI!$AB$79:$AB$132,0))</f>
        <v>M. RIZAD FAHRURI</v>
      </c>
    </row>
    <row r="42" spans="2:5" ht="12.75" x14ac:dyDescent="0.2">
      <c r="B42" s="55" t="str">
        <f>INDEX(EVALUASI!$C$79:$C$132,MATCH(LARGE(EVALUASI!$AB$79:$AB$132,4),EVALUASI!$AB$79:$AB$132,0))</f>
        <v>SELVI NURUL HASANAH</v>
      </c>
      <c r="C42" s="78">
        <f>INDEX(EVALUASI!$W$79:$W$132,MATCH(LARGE(EVALUASI!$AB$79:$AB$132,4),EVALUASI!$AB$79:$AB$132,0))</f>
        <v>97.9</v>
      </c>
      <c r="D42" s="79">
        <f>INDEX(EVALUASI!$AF$79:$AF$132,MATCH(LARGE(EVALUASI!$AB$79:$AB$132,4),EVALUASI!$AB$79:$AB$132,0))</f>
        <v>2.212895237895427</v>
      </c>
      <c r="E42" s="55" t="str">
        <f>INDEX(EVALUASI!$D$79:$D$132,MATCH(LARGE(EVALUASI!$AB$79:$AB$132,4),EVALUASI!$AB$79:$AB$132,0))</f>
        <v>GANANG MUSYAFFA FAHMI</v>
      </c>
    </row>
    <row r="43" spans="2:5" ht="12.75" x14ac:dyDescent="0.2">
      <c r="B43" s="55" t="str">
        <f>INDEX(EVALUASI!$C$79:$C$132,MATCH(LARGE(EVALUASI!$AB$79:$AB$132,5),EVALUASI!$AB$79:$AB$132,0))</f>
        <v>SYAKIRAH TSALTSA FITRIAH</v>
      </c>
      <c r="C43" s="78">
        <f>INDEX(EVALUASI!$W$79:$W$132,MATCH(LARGE(EVALUASI!$AB$79:$AB$132,5),EVALUASI!$AB$79:$AB$132,0))</f>
        <v>97.8</v>
      </c>
      <c r="D43" s="79">
        <f>INDEX(EVALUASI!$AF$79:$AF$132,MATCH(LARGE(EVALUASI!$AB$79:$AB$132,5),EVALUASI!$AB$79:$AB$132,0))</f>
        <v>2.059061568497218</v>
      </c>
      <c r="E43" s="55" t="str">
        <f>INDEX(EVALUASI!$D$79:$D$132,MATCH(LARGE(EVALUASI!$AB$79:$AB$132,5),EVALUASI!$AB$79:$AB$132,0))</f>
        <v>AHMAD JALALUDDIN BASYAR</v>
      </c>
    </row>
    <row r="44" spans="2:5" ht="12.75" x14ac:dyDescent="0.2">
      <c r="B44" s="55" t="str">
        <f>INDEX(EVALUASI!$C$79:$C$132,MATCH(LARGE(EVALUASI!$AB$79:$AB$132,6),EVALUASI!$AB$79:$AB$132,0))</f>
        <v>THARISSA ADELIA PUTRI</v>
      </c>
      <c r="C44" s="78">
        <f>INDEX(EVALUASI!$W$79:$W$132,MATCH(LARGE(EVALUASI!$AB$79:$AB$132,6),EVALUASI!$AB$79:$AB$132,0))</f>
        <v>97.4</v>
      </c>
      <c r="D44" s="79">
        <f>INDEX(EVALUASI!$AF$79:$AF$132,MATCH(LARGE(EVALUASI!$AB$79:$AB$132,6),EVALUASI!$AB$79:$AB$132,0))</f>
        <v>1.0039204023065387</v>
      </c>
      <c r="E44" s="55" t="str">
        <f>INDEX(EVALUASI!$D$79:$D$132,MATCH(LARGE(EVALUASI!$AB$79:$AB$132,6),EVALUASI!$AB$79:$AB$132,0))</f>
        <v>SITI MUJAYANAH</v>
      </c>
    </row>
    <row r="45" spans="2:5" ht="12.75" x14ac:dyDescent="0.2">
      <c r="B45" s="55" t="str">
        <f>INDEX(EVALUASI!$C$79:$C$132,MATCH(LARGE(EVALUASI!$AB$79:$AB$132,7),EVALUASI!$AB$79:$AB$132,0))</f>
        <v>AHMAD NOVAN JUNIARDY</v>
      </c>
      <c r="C45" s="78">
        <f>INDEX(EVALUASI!$W$79:$W$132,MATCH(LARGE(EVALUASI!$AB$79:$AB$132,7),EVALUASI!$AB$79:$AB$132,0))</f>
        <v>96.9</v>
      </c>
      <c r="D45" s="79">
        <f>INDEX(EVALUASI!$AF$79:$AF$132,MATCH(LARGE(EVALUASI!$AB$79:$AB$132,7),EVALUASI!$AB$79:$AB$132,0))</f>
        <v>1.4473095352289529</v>
      </c>
      <c r="E45" s="55" t="str">
        <f>INDEX(EVALUASI!$D$79:$D$132,MATCH(LARGE(EVALUASI!$AB$79:$AB$132,7),EVALUASI!$AB$79:$AB$132,0))</f>
        <v>ENDAH YUNIA SRI WINDARI</v>
      </c>
    </row>
    <row r="46" spans="2:5" ht="12.75" x14ac:dyDescent="0.2">
      <c r="B46" s="55" t="str">
        <f>INDEX(EVALUASI!$C$79:$C$132,MATCH(LARGE(EVALUASI!$AB$79:$AB$132,8),EVALUASI!$AB$79:$AB$132,0))</f>
        <v>PUTRI WIDYOWATI</v>
      </c>
      <c r="C46" s="78">
        <f>INDEX(EVALUASI!$W$79:$W$132,MATCH(LARGE(EVALUASI!$AB$79:$AB$132,8),EVALUASI!$AB$79:$AB$132,0))</f>
        <v>96.8</v>
      </c>
      <c r="D46" s="79">
        <f>INDEX(EVALUASI!$AF$79:$AF$132,MATCH(LARGE(EVALUASI!$AB$79:$AB$132,8),EVALUASI!$AB$79:$AB$132,0))</f>
        <v>1.7103457696001279</v>
      </c>
      <c r="E46" s="55" t="str">
        <f>INDEX(EVALUASI!$D$79:$D$132,MATCH(LARGE(EVALUASI!$AB$79:$AB$132,8),EVALUASI!$AB$79:$AB$132,0))</f>
        <v>WAWAN SETIAWAN</v>
      </c>
    </row>
    <row r="47" spans="2:5" ht="12.75" x14ac:dyDescent="0.2">
      <c r="B47" s="55" t="str">
        <f>INDEX(EVALUASI!$C$79:$C$132,MATCH(LARGE(EVALUASI!$AB$79:$AB$132,9),EVALUASI!$AB$79:$AB$132,0))</f>
        <v>TIARA MARTHA ASNADHINATA</v>
      </c>
      <c r="C47" s="78">
        <f>INDEX(EVALUASI!$W$79:$W$132,MATCH(LARGE(EVALUASI!$AB$79:$AB$132,9),EVALUASI!$AB$79:$AB$132,0))</f>
        <v>96.2</v>
      </c>
      <c r="D47" s="79">
        <f>INDEX(EVALUASI!$AF$79:$AF$132,MATCH(LARGE(EVALUASI!$AB$79:$AB$132,9),EVALUASI!$AB$79:$AB$132,0))</f>
        <v>1.4297844267291735</v>
      </c>
      <c r="E47" s="55" t="str">
        <f>INDEX(EVALUASI!$D$79:$D$132,MATCH(LARGE(EVALUASI!$AB$79:$AB$132,9),EVALUASI!$AB$79:$AB$132,0))</f>
        <v>AHMAD JALALUDDIN BASYAR</v>
      </c>
    </row>
    <row r="48" spans="2:5" ht="12.75" x14ac:dyDescent="0.2">
      <c r="B48" s="55" t="str">
        <f>INDEX(EVALUASI!$C$79:$C$132,MATCH(LARGE(EVALUASI!$AB$79:$AB$132,10),EVALUASI!$AB$79:$AB$132,0))</f>
        <v>ZALFA NUR ROHMAH</v>
      </c>
      <c r="C48" s="78">
        <f>INDEX(EVALUASI!$W$79:$W$132,MATCH(LARGE(EVALUASI!$AB$79:$AB$132,10),EVALUASI!$AB$79:$AB$132,0))</f>
        <v>96.2</v>
      </c>
      <c r="D48" s="79">
        <f>INDEX(EVALUASI!$AF$79:$AF$132,MATCH(LARGE(EVALUASI!$AB$79:$AB$132,10),EVALUASI!$AB$79:$AB$132,0))</f>
        <v>0.92362831183027072</v>
      </c>
      <c r="E48" s="55" t="str">
        <f>INDEX(EVALUASI!$D$79:$D$132,MATCH(LARGE(EVALUASI!$AB$79:$AB$132,10),EVALUASI!$AB$79:$AB$132,0))</f>
        <v>SITI MUJAYANAH</v>
      </c>
    </row>
    <row r="50" spans="2:5" ht="15" x14ac:dyDescent="0.25">
      <c r="B50" s="54" t="s">
        <v>146</v>
      </c>
    </row>
    <row r="51" spans="2:5" ht="21.75" customHeight="1" x14ac:dyDescent="0.2">
      <c r="B51" s="46" t="s">
        <v>143</v>
      </c>
      <c r="C51" s="46" t="s">
        <v>81</v>
      </c>
      <c r="D51" s="46" t="s">
        <v>60</v>
      </c>
      <c r="E51" s="46" t="s">
        <v>2</v>
      </c>
    </row>
    <row r="52" spans="2:5" ht="12.75" x14ac:dyDescent="0.2">
      <c r="B52" s="55" t="str">
        <f>PRODUKTIVITAS!B48</f>
        <v>SELVI NURUL HASANAH</v>
      </c>
      <c r="C52" s="79">
        <f>PRODUKTIVITAS!E48</f>
        <v>2.212895237895427</v>
      </c>
      <c r="D52" s="80" t="str">
        <f>PRODUKTIVITAS!F48</f>
        <v>Sangat Tinggi</v>
      </c>
      <c r="E52" s="55" t="str">
        <f>PRODUKTIVITAS!C48</f>
        <v>GANANG MUSYAFFA FAHMI</v>
      </c>
    </row>
    <row r="53" spans="2:5" ht="12.75" x14ac:dyDescent="0.2">
      <c r="B53" s="55" t="str">
        <f>PRODUKTIVITAS!B49</f>
        <v>SYAKIRAH TSALTSA FITRIAH</v>
      </c>
      <c r="C53" s="79">
        <f>PRODUKTIVITAS!E49</f>
        <v>2.059061568497218</v>
      </c>
      <c r="D53" s="80" t="str">
        <f>PRODUKTIVITAS!F49</f>
        <v>Sangat Tinggi</v>
      </c>
      <c r="E53" s="55" t="str">
        <f>PRODUKTIVITAS!C49</f>
        <v>AHMAD JALALUDDIN BASYAR</v>
      </c>
    </row>
    <row r="54" spans="2:5" ht="12.75" x14ac:dyDescent="0.2">
      <c r="B54" s="55" t="str">
        <f>PRODUKTIVITAS!B50</f>
        <v>KHOFIFATUNNABILAH</v>
      </c>
      <c r="C54" s="79">
        <f>PRODUKTIVITAS!E50</f>
        <v>1.9549135907197357</v>
      </c>
      <c r="D54" s="80" t="str">
        <f>PRODUKTIVITAS!F50</f>
        <v>Sangat Tinggi</v>
      </c>
      <c r="E54" s="55" t="str">
        <f>PRODUKTIVITAS!C50</f>
        <v>M. RIZAD FAHRURI</v>
      </c>
    </row>
    <row r="55" spans="2:5" ht="12.75" x14ac:dyDescent="0.2">
      <c r="B55" s="55" t="str">
        <f>PRODUKTIVITAS!B51</f>
        <v>PUTRI WIDYOWATI</v>
      </c>
      <c r="C55" s="79">
        <f>PRODUKTIVITAS!E51</f>
        <v>1.7103457696001279</v>
      </c>
      <c r="D55" s="80" t="str">
        <f>PRODUKTIVITAS!F51</f>
        <v>Sangat Tinggi</v>
      </c>
      <c r="E55" s="55" t="str">
        <f>PRODUKTIVITAS!C51</f>
        <v>WAWAN SETIAWAN</v>
      </c>
    </row>
    <row r="56" spans="2:5" ht="12.75" x14ac:dyDescent="0.2">
      <c r="B56" s="55" t="str">
        <f>PRODUKTIVITAS!B52</f>
        <v>JANU PRASTYO</v>
      </c>
      <c r="C56" s="79">
        <f>PRODUKTIVITAS!E52</f>
        <v>1.5320892216427868</v>
      </c>
      <c r="D56" s="80" t="str">
        <f>PRODUKTIVITAS!F52</f>
        <v>Sangat Tinggi</v>
      </c>
      <c r="E56" s="55" t="str">
        <f>PRODUKTIVITAS!C52</f>
        <v>ARIFANO KUSUMA BAYU</v>
      </c>
    </row>
    <row r="57" spans="2:5" ht="12.75" x14ac:dyDescent="0.2">
      <c r="B57" s="55" t="str">
        <f>PRODUKTIVITAS!B53</f>
        <v>AHMAD NOVAN JUNIARDY</v>
      </c>
      <c r="C57" s="79">
        <f>PRODUKTIVITAS!E53</f>
        <v>1.4473095352289529</v>
      </c>
      <c r="D57" s="80" t="str">
        <f>PRODUKTIVITAS!F53</f>
        <v>Tinggi</v>
      </c>
      <c r="E57" s="55" t="str">
        <f>PRODUKTIVITAS!C53</f>
        <v>ENDAH YUNIA SRI WINDARI</v>
      </c>
    </row>
    <row r="58" spans="2:5" ht="12.75" x14ac:dyDescent="0.2">
      <c r="B58" s="55" t="str">
        <f>PRODUKTIVITAS!B54</f>
        <v>TIARA MARTHA ASNADHINATA</v>
      </c>
      <c r="C58" s="79">
        <f>PRODUKTIVITAS!E54</f>
        <v>1.4297844267291735</v>
      </c>
      <c r="D58" s="80" t="str">
        <f>PRODUKTIVITAS!F54</f>
        <v>Tinggi</v>
      </c>
      <c r="E58" s="55" t="str">
        <f>PRODUKTIVITAS!C54</f>
        <v>AHMAD JALALUDDIN BASYAR</v>
      </c>
    </row>
    <row r="59" spans="2:5" ht="12.75" x14ac:dyDescent="0.2">
      <c r="B59" s="55" t="str">
        <f>PRODUKTIVITAS!B55</f>
        <v>ANGGUN NUR TSANIA AGUSTIN</v>
      </c>
      <c r="C59" s="79">
        <f>PRODUKTIVITAS!E55</f>
        <v>1.357747477399295</v>
      </c>
      <c r="D59" s="80" t="str">
        <f>PRODUKTIVITAS!F55</f>
        <v>Tinggi</v>
      </c>
      <c r="E59" s="55" t="str">
        <f>PRODUKTIVITAS!C55</f>
        <v>MOH. AGUS EFENDI</v>
      </c>
    </row>
    <row r="60" spans="2:5" ht="12.75" x14ac:dyDescent="0.2">
      <c r="B60" s="55" t="str">
        <f>PRODUKTIVITAS!B56</f>
        <v>MUHAMMAD QAIRUL UMAM</v>
      </c>
      <c r="C60" s="79">
        <f>PRODUKTIVITAS!E56</f>
        <v>1.2203613881626374</v>
      </c>
      <c r="D60" s="80" t="str">
        <f>PRODUKTIVITAS!F56</f>
        <v>Tinggi</v>
      </c>
      <c r="E60" s="55" t="str">
        <f>PRODUKTIVITAS!C56</f>
        <v>YUSUF REZA MUHAMMAD</v>
      </c>
    </row>
    <row r="61" spans="2:5" ht="12.75" x14ac:dyDescent="0.2">
      <c r="B61" s="55" t="str">
        <f>PRODUKTIVITAS!B57</f>
        <v>TAHYUDIN UZI SAFAAT</v>
      </c>
      <c r="C61" s="79">
        <f>PRODUKTIVITAS!E57</f>
        <v>1.1123329232439554</v>
      </c>
      <c r="D61" s="80" t="str">
        <f>PRODUKTIVITAS!F57</f>
        <v>Tinggi</v>
      </c>
      <c r="E61" s="55" t="str">
        <f>PRODUKTIVITAS!C57</f>
        <v>ENDAH YUNIA SRI WINDARI</v>
      </c>
    </row>
  </sheetData>
  <conditionalFormatting sqref="D22:D26">
    <cfRule type="cellIs" dxfId="7" priority="2" operator="equal">
      <formula>"Sangat Baik"</formula>
    </cfRule>
    <cfRule type="cellIs" dxfId="6" priority="3" operator="equal">
      <formula>"Baik"</formula>
    </cfRule>
    <cfRule type="cellIs" dxfId="5" priority="4" operator="equal">
      <formula>"Cukup"</formula>
    </cfRule>
    <cfRule type="cellIs" dxfId="4" priority="5" operator="equal">
      <formula>"Perlu Pembinaan"</formula>
    </cfRule>
  </conditionalFormatting>
  <dataValidations count="1">
    <dataValidation type="list" sqref="C8">
      <formula1>"Senin,Selasa,Rabu,Kamis,Jumat"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
  <sheetViews>
    <sheetView zoomScaleNormal="100" workbookViewId="0"/>
  </sheetViews>
  <sheetFormatPr defaultColWidth="12" defaultRowHeight="11.25" x14ac:dyDescent="0.2"/>
  <cols>
    <col min="1" max="1" width="32" style="2" customWidth="1"/>
    <col min="2" max="2" width="26" style="2" customWidth="1"/>
    <col min="3" max="12" width="11" style="2" customWidth="1"/>
    <col min="13" max="16384" width="12" style="2"/>
  </cols>
  <sheetData>
    <row r="1" spans="1:14" x14ac:dyDescent="0.2">
      <c r="A1" s="3" t="s">
        <v>147</v>
      </c>
    </row>
    <row r="3" spans="1:14" ht="33.75" customHeight="1" x14ac:dyDescent="0.2">
      <c r="A3" s="4" t="s">
        <v>148</v>
      </c>
      <c r="B3" s="4" t="s">
        <v>149</v>
      </c>
      <c r="C3" s="4" t="s">
        <v>150</v>
      </c>
      <c r="D3" s="4" t="s">
        <v>4</v>
      </c>
      <c r="E3" s="4" t="s">
        <v>151</v>
      </c>
      <c r="F3" s="4" t="s">
        <v>5</v>
      </c>
      <c r="G3" s="4" t="s">
        <v>6</v>
      </c>
      <c r="H3" s="4" t="s">
        <v>66</v>
      </c>
      <c r="I3" s="4" t="s">
        <v>8</v>
      </c>
      <c r="J3" s="4" t="s">
        <v>9</v>
      </c>
      <c r="K3" s="4" t="s">
        <v>10</v>
      </c>
      <c r="L3" s="4" t="s">
        <v>93</v>
      </c>
      <c r="M3" s="46" t="s">
        <v>29</v>
      </c>
      <c r="N3" s="46" t="s">
        <v>152</v>
      </c>
    </row>
    <row r="4" spans="1:14" ht="12.75" x14ac:dyDescent="0.2">
      <c r="A4" s="5" t="str">
        <f>CHOOSE(B4,"Januari","Februari","Maret","April","Mei","Juni","Juli","Agustus","September","Oktober","November","Desember")</f>
        <v>Juni</v>
      </c>
      <c r="B4" s="7">
        <f>MONTH(DATE(YEAR(SUMMARY!$C$6),MONTH(SUMMARY!$C$6)+0,1))</f>
        <v>6</v>
      </c>
      <c r="C4" s="7">
        <f>COUNTIFS(DETAIL!$F$2:$F$137,$B4,DETAIL!$I$2:$I$137,"&gt;0")</f>
        <v>21</v>
      </c>
      <c r="D4" s="7">
        <f>SUMIFS(DETAIL!$I$2:$I$137,DETAIL!$F$2:$F$137,$B4)</f>
        <v>322</v>
      </c>
      <c r="E4" s="7">
        <f>SUMIFS(DETAIL!$J$2:$J$137,DETAIL!$F$2:$F$137,$B4)</f>
        <v>77</v>
      </c>
      <c r="F4" s="7">
        <f>SUMIFS(DETAIL!$K$2:$K$137,DETAIL!$F$2:$F$137,$B4)</f>
        <v>305</v>
      </c>
      <c r="G4" s="8">
        <f>IFERROR(F4/D4,0)</f>
        <v>0.94720496894409933</v>
      </c>
      <c r="H4" s="7">
        <f>SUMIFS(DETAIL!$N$2:$N$137,DETAIL!$F$2:$F$137,$B4)</f>
        <v>56</v>
      </c>
      <c r="I4" s="8">
        <f>IFERROR(1-H4/SUMIFS(DETAIL!$M$2:$M$137,DETAIL!$F$2:$F$137,$B4),0)</f>
        <v>0.83480825958702065</v>
      </c>
      <c r="J4" s="7">
        <f>SUMIFS(DETAIL!$P$2:$P$137,DETAIL!$F$2:$F$137,$B4)</f>
        <v>36</v>
      </c>
      <c r="K4" s="8">
        <f>IFERROR(SUMIFS(DETAIL!$Q$2:$Q$137,DETAIL!$F$2:$F$137,$B4)/SUMIFS(DETAIL!$M$2:$M$137,DETAIL!$F$2:$F$137,$B4),0)</f>
        <v>0.88495575221238942</v>
      </c>
      <c r="L4" s="7">
        <f>SUMIFS(DETAIL!$R$2:$R$137,DETAIL!$F$2:$F$137,$B4)</f>
        <v>570</v>
      </c>
      <c r="M4" s="79">
        <f>IFERROR(SUMIFS(DETAIL!$R$2:$R$137,DETAIL!$F$2:$F$137,$B4)/SUMIFS(DETAIL!$M$2:$M$137,DETAIL!$F$2:$F$137,$B4),0)</f>
        <v>1.6814159292035398</v>
      </c>
      <c r="N4" s="81">
        <f>IFERROR(SUMIFS(DETAIL!$T$2:$T$137,DETAIL!$F$2:$F$137,$B4)/SUMIFS(DETAIL!$M$2:$M$137,DETAIL!$F$2:$F$137,$B4),0)</f>
        <v>82.911504424778755</v>
      </c>
    </row>
    <row r="5" spans="1:14" ht="12.75" x14ac:dyDescent="0.2">
      <c r="A5" s="5" t="str">
        <f>CHOOSE(B5,"Januari","Februari","Maret","April","Mei","Juni","Juli","Agustus","September","Oktober","November","Desember")</f>
        <v>Juli</v>
      </c>
      <c r="B5" s="7">
        <f>MONTH(DATE(YEAR(SUMMARY!$C$6),MONTH(SUMMARY!$C$6)+1,1))</f>
        <v>7</v>
      </c>
      <c r="C5" s="7">
        <f>COUNTIFS(DETAIL!$F$2:$F$137,$B5,DETAIL!$I$2:$I$137,"&gt;0")</f>
        <v>20</v>
      </c>
      <c r="D5" s="7">
        <f>SUMIFS(DETAIL!$I$2:$I$137,DETAIL!$F$2:$F$137,$B5)</f>
        <v>350</v>
      </c>
      <c r="E5" s="7">
        <f>SUMIFS(DETAIL!$J$2:$J$137,DETAIL!$F$2:$F$137,$B5)</f>
        <v>97</v>
      </c>
      <c r="F5" s="7">
        <f>SUMIFS(DETAIL!$K$2:$K$137,DETAIL!$F$2:$F$137,$B5)</f>
        <v>333</v>
      </c>
      <c r="G5" s="8">
        <f>IFERROR(F5/D5,0)</f>
        <v>0.9514285714285714</v>
      </c>
      <c r="H5" s="7">
        <f>SUMIFS(DETAIL!$N$2:$N$137,DETAIL!$F$2:$F$137,$B5)</f>
        <v>72</v>
      </c>
      <c r="I5" s="8">
        <f>IFERROR(1-H5/SUMIFS(DETAIL!$M$2:$M$137,DETAIL!$F$2:$F$137,$B5),0)</f>
        <v>0.80952380952380953</v>
      </c>
      <c r="J5" s="7">
        <f>SUMIFS(DETAIL!$P$2:$P$137,DETAIL!$F$2:$F$137,$B5)</f>
        <v>6</v>
      </c>
      <c r="K5" s="8">
        <f>IFERROR(SUMIFS(DETAIL!$Q$2:$Q$137,DETAIL!$F$2:$F$137,$B5)/SUMIFS(DETAIL!$M$2:$M$137,DETAIL!$F$2:$F$137,$B5),0)</f>
        <v>0.95767195767195767</v>
      </c>
      <c r="L5" s="7">
        <f>SUMIFS(DETAIL!$R$2:$R$137,DETAIL!$F$2:$F$137,$B5)</f>
        <v>730</v>
      </c>
      <c r="M5" s="79">
        <f>IFERROR(SUMIFS(DETAIL!$R$2:$R$137,DETAIL!$F$2:$F$137,$B5)/SUMIFS(DETAIL!$M$2:$M$137,DETAIL!$F$2:$F$137,$B5),0)</f>
        <v>1.9312169312169312</v>
      </c>
      <c r="N5" s="81">
        <f>IFERROR(SUMIFS(DETAIL!$T$2:$T$137,DETAIL!$F$2:$F$137,$B5)/SUMIFS(DETAIL!$M$2:$M$137,DETAIL!$F$2:$F$137,$B5),0)</f>
        <v>102.82804232804233</v>
      </c>
    </row>
    <row r="6" spans="1:14" ht="12.75" x14ac:dyDescent="0.2">
      <c r="A6" s="5" t="str">
        <f>CHOOSE(B6,"Januari","Februari","Maret","April","Mei","Juni","Juli","Agustus","September","Oktober","November","Desember")</f>
        <v>Agustus</v>
      </c>
      <c r="B6" s="7">
        <f>MONTH(DATE(YEAR(SUMMARY!$C$6),MONTH(SUMMARY!$C$6)+2,1))</f>
        <v>8</v>
      </c>
      <c r="C6" s="7">
        <f>COUNTIFS(DETAIL!$F$2:$F$137,$B6,DETAIL!$I$2:$I$137,"&gt;0")</f>
        <v>26</v>
      </c>
      <c r="D6" s="7">
        <f>SUMIFS(DETAIL!$I$2:$I$137,DETAIL!$F$2:$F$137,$B6)</f>
        <v>458</v>
      </c>
      <c r="E6" s="7">
        <f>SUMIFS(DETAIL!$J$2:$J$137,DETAIL!$F$2:$F$137,$B6)</f>
        <v>0</v>
      </c>
      <c r="F6" s="7">
        <f>SUMIFS(DETAIL!$K$2:$K$137,DETAIL!$F$2:$F$137,$B6)</f>
        <v>444</v>
      </c>
      <c r="G6" s="8">
        <f>IFERROR(F6/D6,0)</f>
        <v>0.96943231441048039</v>
      </c>
      <c r="H6" s="7">
        <f>SUMIFS(DETAIL!$N$2:$N$137,DETAIL!$F$2:$F$137,$B6)</f>
        <v>40</v>
      </c>
      <c r="I6" s="8">
        <f>IFERROR(1-H6/SUMIFS(DETAIL!$M$2:$M$137,DETAIL!$F$2:$F$137,$B6),0)</f>
        <v>0.9107142857142857</v>
      </c>
      <c r="J6" s="7">
        <f>SUMIFS(DETAIL!$P$2:$P$137,DETAIL!$F$2:$F$137,$B6)</f>
        <v>6</v>
      </c>
      <c r="K6" s="8">
        <f>IFERROR(SUMIFS(DETAIL!$Q$2:$Q$137,DETAIL!$F$2:$F$137,$B6)/SUMIFS(DETAIL!$M$2:$M$137,DETAIL!$F$2:$F$137,$B6),0)</f>
        <v>0.9464285714285714</v>
      </c>
      <c r="L6" s="7">
        <f>SUMIFS(DETAIL!$R$2:$R$137,DETAIL!$F$2:$F$137,$B6)</f>
        <v>796</v>
      </c>
      <c r="M6" s="79">
        <f>IFERROR(SUMIFS(DETAIL!$R$2:$R$137,DETAIL!$F$2:$F$137,$B6)/SUMIFS(DETAIL!$M$2:$M$137,DETAIL!$F$2:$F$137,$B6),0)</f>
        <v>1.7767857142857142</v>
      </c>
      <c r="N6" s="81">
        <f>IFERROR(SUMIFS(DETAIL!$T$2:$T$137,DETAIL!$F$2:$F$137,$B6)/SUMIFS(DETAIL!$M$2:$M$137,DETAIL!$F$2:$F$137,$B6),0)</f>
        <v>102.12276785714286</v>
      </c>
    </row>
    <row r="7" spans="1:14" ht="12.75" x14ac:dyDescent="0.2">
      <c r="A7" s="5" t="str">
        <f>CHOOSE(B7,"Januari","Februari","Maret","April","Mei","Juni","Juli","Agustus","September","Oktober","November","Desember")</f>
        <v>September</v>
      </c>
      <c r="B7" s="7">
        <f>MONTH(DATE(YEAR(SUMMARY!$C$6),MONTH(SUMMARY!$C$6)+3,1))</f>
        <v>9</v>
      </c>
      <c r="C7" s="7">
        <f>COUNTIFS(DETAIL!$F$2:$F$137,$B7,DETAIL!$I$2:$I$137,"&gt;0")</f>
        <v>29</v>
      </c>
      <c r="D7" s="7">
        <f>SUMIFS(DETAIL!$I$2:$I$137,DETAIL!$F$2:$F$137,$B7)</f>
        <v>582</v>
      </c>
      <c r="E7" s="7">
        <f>SUMIFS(DETAIL!$J$2:$J$137,DETAIL!$F$2:$F$137,$B7)</f>
        <v>0</v>
      </c>
      <c r="F7" s="7">
        <f>SUMIFS(DETAIL!$K$2:$K$137,DETAIL!$F$2:$F$137,$B7)</f>
        <v>539</v>
      </c>
      <c r="G7" s="8">
        <f>IFERROR(F7/D7,0)</f>
        <v>0.92611683848797255</v>
      </c>
      <c r="H7" s="7">
        <f>SUMIFS(DETAIL!$N$2:$N$137,DETAIL!$F$2:$F$137,$B7)</f>
        <v>58</v>
      </c>
      <c r="I7" s="8">
        <f>IFERROR(1-H7/SUMIFS(DETAIL!$M$2:$M$137,DETAIL!$F$2:$F$137,$B7),0)</f>
        <v>0.8931860036832413</v>
      </c>
      <c r="J7" s="7">
        <f>SUMIFS(DETAIL!$P$2:$P$137,DETAIL!$F$2:$F$137,$B7)</f>
        <v>52</v>
      </c>
      <c r="K7" s="8">
        <f>IFERROR(SUMIFS(DETAIL!$Q$2:$Q$137,DETAIL!$F$2:$F$137,$B7)/SUMIFS(DETAIL!$M$2:$M$137,DETAIL!$F$2:$F$137,$B7),0)</f>
        <v>0.94475138121546964</v>
      </c>
      <c r="L7" s="7">
        <f>SUMIFS(DETAIL!$R$2:$R$137,DETAIL!$F$2:$F$137,$B7)</f>
        <v>955</v>
      </c>
      <c r="M7" s="79">
        <f>IFERROR(SUMIFS(DETAIL!$R$2:$R$137,DETAIL!$F$2:$F$137,$B7)/SUMIFS(DETAIL!$M$2:$M$137,DETAIL!$F$2:$F$137,$B7),0)</f>
        <v>1.7587476979742174</v>
      </c>
      <c r="N7" s="81">
        <f>IFERROR(SUMIFS(DETAIL!$T$2:$T$137,DETAIL!$F$2:$F$137,$B7)/SUMIFS(DETAIL!$M$2:$M$137,DETAIL!$F$2:$F$137,$B7),0)</f>
        <v>97.988950276243088</v>
      </c>
    </row>
    <row r="30" spans="1:6" x14ac:dyDescent="0.2">
      <c r="A30" s="3" t="s">
        <v>153</v>
      </c>
    </row>
    <row r="31" spans="1:6" x14ac:dyDescent="0.2">
      <c r="A31" s="4" t="s">
        <v>59</v>
      </c>
      <c r="B31" s="4" t="s">
        <v>2</v>
      </c>
      <c r="C31" s="4" t="str">
        <f>A4</f>
        <v>Juni</v>
      </c>
      <c r="D31" s="4" t="str">
        <f>A5</f>
        <v>Juli</v>
      </c>
      <c r="E31" s="4" t="str">
        <f>A6</f>
        <v>Agustus</v>
      </c>
      <c r="F31" s="4" t="str">
        <f>A7</f>
        <v>September</v>
      </c>
    </row>
    <row r="32" spans="1:6" x14ac:dyDescent="0.2">
      <c r="A32" s="6" t="str">
        <f>PEMAGANG!C3</f>
        <v>ARINDA PUTRI AULIA</v>
      </c>
      <c r="B32" s="6" t="str">
        <f>PEMAGANG!D3</f>
        <v>AHMAD JALALUDDIN BASYAR</v>
      </c>
      <c r="C32" s="48">
        <f>IFERROR(SUMIFS(DETAIL!$Q$2:$Q$137,DETAIL!$B$2:$B$137,$A32,DETAIL!$F$2:$F$137,$B$4)/SUMIFS(DETAIL!$M$2:$M$137,DETAIL!$B$2:$B$137,$A32,DETAIL!$F$2:$F$137,$B$4),"-")</f>
        <v>0.73333333333333328</v>
      </c>
      <c r="D32" s="48">
        <f>IFERROR(SUMIFS(DETAIL!$Q$2:$Q$137,DETAIL!$B$2:$B$137,$A32,DETAIL!$F$2:$F$137,$B$5)/SUMIFS(DETAIL!$M$2:$M$137,DETAIL!$B$2:$B$137,$A32,DETAIL!$F$2:$F$137,$B$5),"-")</f>
        <v>0.78947368421052633</v>
      </c>
      <c r="E32" s="48">
        <f>IFERROR(SUMIFS(DETAIL!$Q$2:$Q$137,DETAIL!$B$2:$B$137,$A32,DETAIL!$F$2:$F$137,$B$6)/SUMIFS(DETAIL!$M$2:$M$137,DETAIL!$B$2:$B$137,$A32,DETAIL!$F$2:$F$137,$B$6),"-")</f>
        <v>0.84210526315789469</v>
      </c>
      <c r="F32" s="48">
        <f>IFERROR(SUMIFS(DETAIL!$Q$2:$Q$137,DETAIL!$B$2:$B$137,$A32,DETAIL!$F$2:$F$137,$B$7)/SUMIFS(DETAIL!$M$2:$M$137,DETAIL!$B$2:$B$137,$A32,DETAIL!$F$2:$F$137,$B$7),"-")</f>
        <v>0.90909090909090906</v>
      </c>
    </row>
    <row r="33" spans="1:6" x14ac:dyDescent="0.2">
      <c r="A33" s="6" t="str">
        <f>PEMAGANG!C4</f>
        <v>BERLIAN AURELYA RAHMA</v>
      </c>
      <c r="B33" s="6" t="str">
        <f>PEMAGANG!D4</f>
        <v>AHMAD JALALUDDIN BASYAR</v>
      </c>
      <c r="C33" s="48" t="str">
        <f>IFERROR(SUMIFS(DETAIL!$Q$2:$Q$137,DETAIL!$B$2:$B$137,$A33,DETAIL!$F$2:$F$137,$B$4)/SUMIFS(DETAIL!$M$2:$M$137,DETAIL!$B$2:$B$137,$A33,DETAIL!$F$2:$F$137,$B$4),"-")</f>
        <v>-</v>
      </c>
      <c r="D33" s="48" t="str">
        <f>IFERROR(SUMIFS(DETAIL!$Q$2:$Q$137,DETAIL!$B$2:$B$137,$A33,DETAIL!$F$2:$F$137,$B$5)/SUMIFS(DETAIL!$M$2:$M$137,DETAIL!$B$2:$B$137,$A33,DETAIL!$F$2:$F$137,$B$5),"-")</f>
        <v>-</v>
      </c>
      <c r="E33" s="48">
        <f>IFERROR(SUMIFS(DETAIL!$Q$2:$Q$137,DETAIL!$B$2:$B$137,$A33,DETAIL!$F$2:$F$137,$B$6)/SUMIFS(DETAIL!$M$2:$M$137,DETAIL!$B$2:$B$137,$A33,DETAIL!$F$2:$F$137,$B$6),"-")</f>
        <v>0.7142857142857143</v>
      </c>
      <c r="F33" s="48">
        <f>IFERROR(SUMIFS(DETAIL!$Q$2:$Q$137,DETAIL!$B$2:$B$137,$A33,DETAIL!$F$2:$F$137,$B$7)/SUMIFS(DETAIL!$M$2:$M$137,DETAIL!$B$2:$B$137,$A33,DETAIL!$F$2:$F$137,$B$7),"-")</f>
        <v>0.81818181818181823</v>
      </c>
    </row>
    <row r="34" spans="1:6" x14ac:dyDescent="0.2">
      <c r="A34" s="6" t="str">
        <f>PEMAGANG!C5</f>
        <v>CLARA OKTAVIA FIRDAUS</v>
      </c>
      <c r="B34" s="6" t="str">
        <f>PEMAGANG!D5</f>
        <v>AHMAD JALALUDDIN BASYAR</v>
      </c>
      <c r="C34" s="48" t="str">
        <f>IFERROR(SUMIFS(DETAIL!$Q$2:$Q$137,DETAIL!$B$2:$B$137,$A34,DETAIL!$F$2:$F$137,$B$4)/SUMIFS(DETAIL!$M$2:$M$137,DETAIL!$B$2:$B$137,$A34,DETAIL!$F$2:$F$137,$B$4),"-")</f>
        <v>-</v>
      </c>
      <c r="D34" s="48" t="str">
        <f>IFERROR(SUMIFS(DETAIL!$Q$2:$Q$137,DETAIL!$B$2:$B$137,$A34,DETAIL!$F$2:$F$137,$B$5)/SUMIFS(DETAIL!$M$2:$M$137,DETAIL!$B$2:$B$137,$A34,DETAIL!$F$2:$F$137,$B$5),"-")</f>
        <v>-</v>
      </c>
      <c r="E34" s="48">
        <f>IFERROR(SUMIFS(DETAIL!$Q$2:$Q$137,DETAIL!$B$2:$B$137,$A34,DETAIL!$F$2:$F$137,$B$6)/SUMIFS(DETAIL!$M$2:$M$137,DETAIL!$B$2:$B$137,$A34,DETAIL!$F$2:$F$137,$B$6),"-")</f>
        <v>0.61538461538461542</v>
      </c>
      <c r="F34" s="48">
        <f>IFERROR(SUMIFS(DETAIL!$Q$2:$Q$137,DETAIL!$B$2:$B$137,$A34,DETAIL!$F$2:$F$137,$B$7)/SUMIFS(DETAIL!$M$2:$M$137,DETAIL!$B$2:$B$137,$A34,DETAIL!$F$2:$F$137,$B$7),"-")</f>
        <v>1</v>
      </c>
    </row>
    <row r="35" spans="1:6" x14ac:dyDescent="0.2">
      <c r="A35" s="6" t="str">
        <f>PEMAGANG!C6</f>
        <v>NELLA DIFA SALSABILAH</v>
      </c>
      <c r="B35" s="6" t="str">
        <f>PEMAGANG!D6</f>
        <v>AHMAD JALALUDDIN BASYAR</v>
      </c>
      <c r="C35" s="48">
        <f>IFERROR(SUMIFS(DETAIL!$Q$2:$Q$137,DETAIL!$B$2:$B$137,$A35,DETAIL!$F$2:$F$137,$B$4)/SUMIFS(DETAIL!$M$2:$M$137,DETAIL!$B$2:$B$137,$A35,DETAIL!$F$2:$F$137,$B$4),"-")</f>
        <v>0.95</v>
      </c>
      <c r="D35" s="48">
        <f>IFERROR(SUMIFS(DETAIL!$Q$2:$Q$137,DETAIL!$B$2:$B$137,$A35,DETAIL!$F$2:$F$137,$B$5)/SUMIFS(DETAIL!$M$2:$M$137,DETAIL!$B$2:$B$137,$A35,DETAIL!$F$2:$F$137,$B$5),"-")</f>
        <v>1</v>
      </c>
      <c r="E35" s="48">
        <f>IFERROR(SUMIFS(DETAIL!$Q$2:$Q$137,DETAIL!$B$2:$B$137,$A35,DETAIL!$F$2:$F$137,$B$6)/SUMIFS(DETAIL!$M$2:$M$137,DETAIL!$B$2:$B$137,$A35,DETAIL!$F$2:$F$137,$B$6),"-")</f>
        <v>1</v>
      </c>
      <c r="F35" s="48">
        <f>IFERROR(SUMIFS(DETAIL!$Q$2:$Q$137,DETAIL!$B$2:$B$137,$A35,DETAIL!$F$2:$F$137,$B$7)/SUMIFS(DETAIL!$M$2:$M$137,DETAIL!$B$2:$B$137,$A35,DETAIL!$F$2:$F$137,$B$7),"-")</f>
        <v>1</v>
      </c>
    </row>
    <row r="36" spans="1:6" x14ac:dyDescent="0.2">
      <c r="A36" s="6" t="str">
        <f>PEMAGANG!C7</f>
        <v>SYAKIRAH TSALTSA FITRIAH</v>
      </c>
      <c r="B36" s="6" t="str">
        <f>PEMAGANG!D7</f>
        <v>AHMAD JALALUDDIN BASYAR</v>
      </c>
      <c r="C36" s="48" t="str">
        <f>IFERROR(SUMIFS(DETAIL!$Q$2:$Q$137,DETAIL!$B$2:$B$137,$A36,DETAIL!$F$2:$F$137,$B$4)/SUMIFS(DETAIL!$M$2:$M$137,DETAIL!$B$2:$B$137,$A36,DETAIL!$F$2:$F$137,$B$4),"-")</f>
        <v>-</v>
      </c>
      <c r="D36" s="48" t="str">
        <f>IFERROR(SUMIFS(DETAIL!$Q$2:$Q$137,DETAIL!$B$2:$B$137,$A36,DETAIL!$F$2:$F$137,$B$5)/SUMIFS(DETAIL!$M$2:$M$137,DETAIL!$B$2:$B$137,$A36,DETAIL!$F$2:$F$137,$B$5),"-")</f>
        <v>-</v>
      </c>
      <c r="E36" s="48">
        <f>IFERROR(SUMIFS(DETAIL!$Q$2:$Q$137,DETAIL!$B$2:$B$137,$A36,DETAIL!$F$2:$F$137,$B$6)/SUMIFS(DETAIL!$M$2:$M$137,DETAIL!$B$2:$B$137,$A36,DETAIL!$F$2:$F$137,$B$6),"-")</f>
        <v>0.8571428571428571</v>
      </c>
      <c r="F36" s="48">
        <f>IFERROR(SUMIFS(DETAIL!$Q$2:$Q$137,DETAIL!$B$2:$B$137,$A36,DETAIL!$F$2:$F$137,$B$7)/SUMIFS(DETAIL!$M$2:$M$137,DETAIL!$B$2:$B$137,$A36,DETAIL!$F$2:$F$137,$B$7),"-")</f>
        <v>1</v>
      </c>
    </row>
    <row r="37" spans="1:6" x14ac:dyDescent="0.2">
      <c r="A37" s="6" t="str">
        <f>PEMAGANG!C8</f>
        <v>TIARA MARTHA ASNADHINATA</v>
      </c>
      <c r="B37" s="6" t="str">
        <f>PEMAGANG!D8</f>
        <v>AHMAD JALALUDDIN BASYAR</v>
      </c>
      <c r="C37" s="48">
        <f>IFERROR(SUMIFS(DETAIL!$Q$2:$Q$137,DETAIL!$B$2:$B$137,$A37,DETAIL!$F$2:$F$137,$B$4)/SUMIFS(DETAIL!$M$2:$M$137,DETAIL!$B$2:$B$137,$A37,DETAIL!$F$2:$F$137,$B$4),"-")</f>
        <v>0.8</v>
      </c>
      <c r="D37" s="48">
        <f>IFERROR(SUMIFS(DETAIL!$Q$2:$Q$137,DETAIL!$B$2:$B$137,$A37,DETAIL!$F$2:$F$137,$B$5)/SUMIFS(DETAIL!$M$2:$M$137,DETAIL!$B$2:$B$137,$A37,DETAIL!$F$2:$F$137,$B$5),"-")</f>
        <v>1</v>
      </c>
      <c r="E37" s="48">
        <f>IFERROR(SUMIFS(DETAIL!$Q$2:$Q$137,DETAIL!$B$2:$B$137,$A37,DETAIL!$F$2:$F$137,$B$6)/SUMIFS(DETAIL!$M$2:$M$137,DETAIL!$B$2:$B$137,$A37,DETAIL!$F$2:$F$137,$B$6),"-")</f>
        <v>0.94444444444444442</v>
      </c>
      <c r="F37" s="48">
        <f>IFERROR(SUMIFS(DETAIL!$Q$2:$Q$137,DETAIL!$B$2:$B$137,$A37,DETAIL!$F$2:$F$137,$B$7)/SUMIFS(DETAIL!$M$2:$M$137,DETAIL!$B$2:$B$137,$A37,DETAIL!$F$2:$F$137,$B$7),"-")</f>
        <v>1</v>
      </c>
    </row>
    <row r="38" spans="1:6" x14ac:dyDescent="0.2">
      <c r="A38" s="6" t="str">
        <f>PEMAGANG!C9</f>
        <v>WIDIYA DESY MAWAR SARI</v>
      </c>
      <c r="B38" s="6" t="str">
        <f>PEMAGANG!D9</f>
        <v>AHMAD JALALUDDIN BASYAR</v>
      </c>
      <c r="C38" s="48">
        <f>IFERROR(SUMIFS(DETAIL!$Q$2:$Q$137,DETAIL!$B$2:$B$137,$A38,DETAIL!$F$2:$F$137,$B$4)/SUMIFS(DETAIL!$M$2:$M$137,DETAIL!$B$2:$B$137,$A38,DETAIL!$F$2:$F$137,$B$4),"-")</f>
        <v>0.6875</v>
      </c>
      <c r="D38" s="48">
        <f>IFERROR(SUMIFS(DETAIL!$Q$2:$Q$137,DETAIL!$B$2:$B$137,$A38,DETAIL!$F$2:$F$137,$B$5)/SUMIFS(DETAIL!$M$2:$M$137,DETAIL!$B$2:$B$137,$A38,DETAIL!$F$2:$F$137,$B$5),"-")</f>
        <v>0.78947368421052633</v>
      </c>
      <c r="E38" s="48">
        <f>IFERROR(SUMIFS(DETAIL!$Q$2:$Q$137,DETAIL!$B$2:$B$137,$A38,DETAIL!$F$2:$F$137,$B$6)/SUMIFS(DETAIL!$M$2:$M$137,DETAIL!$B$2:$B$137,$A38,DETAIL!$F$2:$F$137,$B$6),"-")</f>
        <v>0.84210526315789469</v>
      </c>
      <c r="F38" s="48">
        <f>IFERROR(SUMIFS(DETAIL!$Q$2:$Q$137,DETAIL!$B$2:$B$137,$A38,DETAIL!$F$2:$F$137,$B$7)/SUMIFS(DETAIL!$M$2:$M$137,DETAIL!$B$2:$B$137,$A38,DETAIL!$F$2:$F$137,$B$7),"-")</f>
        <v>0.8</v>
      </c>
    </row>
    <row r="39" spans="1:6" x14ac:dyDescent="0.2">
      <c r="A39" s="6" t="str">
        <f>PEMAGANG!C10</f>
        <v>NURIKA AMELIA ROSYIDAH</v>
      </c>
      <c r="B39" s="6" t="str">
        <f>PEMAGANG!D10</f>
        <v>AKHMAT ABIDIN</v>
      </c>
      <c r="C39" s="48">
        <f>IFERROR(SUMIFS(DETAIL!$Q$2:$Q$137,DETAIL!$B$2:$B$137,$A39,DETAIL!$F$2:$F$137,$B$4)/SUMIFS(DETAIL!$M$2:$M$137,DETAIL!$B$2:$B$137,$A39,DETAIL!$F$2:$F$137,$B$4),"-")</f>
        <v>0.875</v>
      </c>
      <c r="D39" s="48">
        <f>IFERROR(SUMIFS(DETAIL!$Q$2:$Q$137,DETAIL!$B$2:$B$137,$A39,DETAIL!$F$2:$F$137,$B$5)/SUMIFS(DETAIL!$M$2:$M$137,DETAIL!$B$2:$B$137,$A39,DETAIL!$F$2:$F$137,$B$5),"-")</f>
        <v>1</v>
      </c>
      <c r="E39" s="48">
        <f>IFERROR(SUMIFS(DETAIL!$Q$2:$Q$137,DETAIL!$B$2:$B$137,$A39,DETAIL!$F$2:$F$137,$B$6)/SUMIFS(DETAIL!$M$2:$M$137,DETAIL!$B$2:$B$137,$A39,DETAIL!$F$2:$F$137,$B$6),"-")</f>
        <v>0.9375</v>
      </c>
      <c r="F39" s="48" t="str">
        <f>IFERROR(SUMIFS(DETAIL!$Q$2:$Q$137,DETAIL!$B$2:$B$137,$A39,DETAIL!$F$2:$F$137,$B$7)/SUMIFS(DETAIL!$M$2:$M$137,DETAIL!$B$2:$B$137,$A39,DETAIL!$F$2:$F$137,$B$7),"-")</f>
        <v>-</v>
      </c>
    </row>
    <row r="40" spans="1:6" x14ac:dyDescent="0.2">
      <c r="A40" s="6" t="str">
        <f>PEMAGANG!C11</f>
        <v>JANU PRASTYO</v>
      </c>
      <c r="B40" s="6" t="str">
        <f>PEMAGANG!D11</f>
        <v>ARIFANO KUSUMA BAYU</v>
      </c>
      <c r="C40" s="48">
        <f>IFERROR(SUMIFS(DETAIL!$Q$2:$Q$137,DETAIL!$B$2:$B$137,$A40,DETAIL!$F$2:$F$137,$B$4)/SUMIFS(DETAIL!$M$2:$M$137,DETAIL!$B$2:$B$137,$A40,DETAIL!$F$2:$F$137,$B$4),"-")</f>
        <v>0.95</v>
      </c>
      <c r="D40" s="48">
        <f>IFERROR(SUMIFS(DETAIL!$Q$2:$Q$137,DETAIL!$B$2:$B$137,$A40,DETAIL!$F$2:$F$137,$B$5)/SUMIFS(DETAIL!$M$2:$M$137,DETAIL!$B$2:$B$137,$A40,DETAIL!$F$2:$F$137,$B$5),"-")</f>
        <v>1</v>
      </c>
      <c r="E40" s="48">
        <f>IFERROR(SUMIFS(DETAIL!$Q$2:$Q$137,DETAIL!$B$2:$B$137,$A40,DETAIL!$F$2:$F$137,$B$6)/SUMIFS(DETAIL!$M$2:$M$137,DETAIL!$B$2:$B$137,$A40,DETAIL!$F$2:$F$137,$B$6),"-")</f>
        <v>1</v>
      </c>
      <c r="F40" s="48">
        <f>IFERROR(SUMIFS(DETAIL!$Q$2:$Q$137,DETAIL!$B$2:$B$137,$A40,DETAIL!$F$2:$F$137,$B$7)/SUMIFS(DETAIL!$M$2:$M$137,DETAIL!$B$2:$B$137,$A40,DETAIL!$F$2:$F$137,$B$7),"-")</f>
        <v>1</v>
      </c>
    </row>
    <row r="41" spans="1:6" x14ac:dyDescent="0.2">
      <c r="A41" s="6" t="str">
        <f>PEMAGANG!C12</f>
        <v>DINDA RAHADATUL AISY</v>
      </c>
      <c r="B41" s="6" t="str">
        <f>PEMAGANG!D12</f>
        <v>DIAN RIZKA SARI</v>
      </c>
      <c r="C41" s="48" t="str">
        <f>IFERROR(SUMIFS(DETAIL!$Q$2:$Q$137,DETAIL!$B$2:$B$137,$A41,DETAIL!$F$2:$F$137,$B$4)/SUMIFS(DETAIL!$M$2:$M$137,DETAIL!$B$2:$B$137,$A41,DETAIL!$F$2:$F$137,$B$4),"-")</f>
        <v>-</v>
      </c>
      <c r="D41" s="48">
        <f>IFERROR(SUMIFS(DETAIL!$Q$2:$Q$137,DETAIL!$B$2:$B$137,$A41,DETAIL!$F$2:$F$137,$B$5)/SUMIFS(DETAIL!$M$2:$M$137,DETAIL!$B$2:$B$137,$A41,DETAIL!$F$2:$F$137,$B$5),"-")</f>
        <v>1</v>
      </c>
      <c r="E41" s="48">
        <f>IFERROR(SUMIFS(DETAIL!$Q$2:$Q$137,DETAIL!$B$2:$B$137,$A41,DETAIL!$F$2:$F$137,$B$6)/SUMIFS(DETAIL!$M$2:$M$137,DETAIL!$B$2:$B$137,$A41,DETAIL!$F$2:$F$137,$B$6),"-")</f>
        <v>1</v>
      </c>
      <c r="F41" s="48">
        <f>IFERROR(SUMIFS(DETAIL!$Q$2:$Q$137,DETAIL!$B$2:$B$137,$A41,DETAIL!$F$2:$F$137,$B$7)/SUMIFS(DETAIL!$M$2:$M$137,DETAIL!$B$2:$B$137,$A41,DETAIL!$F$2:$F$137,$B$7),"-")</f>
        <v>1</v>
      </c>
    </row>
    <row r="42" spans="1:6" x14ac:dyDescent="0.2">
      <c r="A42" s="6" t="str">
        <f>PEMAGANG!C13</f>
        <v>NIKEN AURELIA SAPUTRI</v>
      </c>
      <c r="B42" s="6" t="str">
        <f>PEMAGANG!D13</f>
        <v>DIAN RIZKA SARI</v>
      </c>
      <c r="C42" s="48">
        <f>IFERROR(SUMIFS(DETAIL!$Q$2:$Q$137,DETAIL!$B$2:$B$137,$A42,DETAIL!$F$2:$F$137,$B$4)/SUMIFS(DETAIL!$M$2:$M$137,DETAIL!$B$2:$B$137,$A42,DETAIL!$F$2:$F$137,$B$4),"-")</f>
        <v>0.9375</v>
      </c>
      <c r="D42" s="48" t="str">
        <f>IFERROR(SUMIFS(DETAIL!$Q$2:$Q$137,DETAIL!$B$2:$B$137,$A42,DETAIL!$F$2:$F$137,$B$5)/SUMIFS(DETAIL!$M$2:$M$137,DETAIL!$B$2:$B$137,$A42,DETAIL!$F$2:$F$137,$B$5),"-")</f>
        <v>-</v>
      </c>
      <c r="E42" s="48" t="str">
        <f>IFERROR(SUMIFS(DETAIL!$Q$2:$Q$137,DETAIL!$B$2:$B$137,$A42,DETAIL!$F$2:$F$137,$B$6)/SUMIFS(DETAIL!$M$2:$M$137,DETAIL!$B$2:$B$137,$A42,DETAIL!$F$2:$F$137,$B$6),"-")</f>
        <v>-</v>
      </c>
      <c r="F42" s="48" t="str">
        <f>IFERROR(SUMIFS(DETAIL!$Q$2:$Q$137,DETAIL!$B$2:$B$137,$A42,DETAIL!$F$2:$F$137,$B$7)/SUMIFS(DETAIL!$M$2:$M$137,DETAIL!$B$2:$B$137,$A42,DETAIL!$F$2:$F$137,$B$7),"-")</f>
        <v>-</v>
      </c>
    </row>
    <row r="43" spans="1:6" x14ac:dyDescent="0.2">
      <c r="A43" s="6" t="str">
        <f>PEMAGANG!C14</f>
        <v>EKA PUTRI FEBRIANTI</v>
      </c>
      <c r="B43" s="6" t="str">
        <f>PEMAGANG!D14</f>
        <v>DWI SULIASTARI</v>
      </c>
      <c r="C43" s="48">
        <f>IFERROR(SUMIFS(DETAIL!$Q$2:$Q$137,DETAIL!$B$2:$B$137,$A43,DETAIL!$F$2:$F$137,$B$4)/SUMIFS(DETAIL!$M$2:$M$137,DETAIL!$B$2:$B$137,$A43,DETAIL!$F$2:$F$137,$B$4),"-")</f>
        <v>0.9285714285714286</v>
      </c>
      <c r="D43" s="48">
        <f>IFERROR(SUMIFS(DETAIL!$Q$2:$Q$137,DETAIL!$B$2:$B$137,$A43,DETAIL!$F$2:$F$137,$B$5)/SUMIFS(DETAIL!$M$2:$M$137,DETAIL!$B$2:$B$137,$A43,DETAIL!$F$2:$F$137,$B$5),"-")</f>
        <v>0.88888888888888884</v>
      </c>
      <c r="E43" s="48">
        <f>IFERROR(SUMIFS(DETAIL!$Q$2:$Q$137,DETAIL!$B$2:$B$137,$A43,DETAIL!$F$2:$F$137,$B$6)/SUMIFS(DETAIL!$M$2:$M$137,DETAIL!$B$2:$B$137,$A43,DETAIL!$F$2:$F$137,$B$6),"-")</f>
        <v>0.94736842105263153</v>
      </c>
      <c r="F43" s="48">
        <f>IFERROR(SUMIFS(DETAIL!$Q$2:$Q$137,DETAIL!$B$2:$B$137,$A43,DETAIL!$F$2:$F$137,$B$7)/SUMIFS(DETAIL!$M$2:$M$137,DETAIL!$B$2:$B$137,$A43,DETAIL!$F$2:$F$137,$B$7),"-")</f>
        <v>0.94444444444444442</v>
      </c>
    </row>
    <row r="44" spans="1:6" x14ac:dyDescent="0.2">
      <c r="A44" s="6" t="str">
        <f>PEMAGANG!C15</f>
        <v>NABILA RAIS NUR ROMADHONA</v>
      </c>
      <c r="B44" s="6" t="str">
        <f>PEMAGANG!D15</f>
        <v>DWI SULIASTARI</v>
      </c>
      <c r="C44" s="48">
        <f>IFERROR(SUMIFS(DETAIL!$Q$2:$Q$137,DETAIL!$B$2:$B$137,$A44,DETAIL!$F$2:$F$137,$B$4)/SUMIFS(DETAIL!$M$2:$M$137,DETAIL!$B$2:$B$137,$A44,DETAIL!$F$2:$F$137,$B$4),"-")</f>
        <v>0.9285714285714286</v>
      </c>
      <c r="D44" s="48">
        <f>IFERROR(SUMIFS(DETAIL!$Q$2:$Q$137,DETAIL!$B$2:$B$137,$A44,DETAIL!$F$2:$F$137,$B$5)/SUMIFS(DETAIL!$M$2:$M$137,DETAIL!$B$2:$B$137,$A44,DETAIL!$F$2:$F$137,$B$5),"-")</f>
        <v>1</v>
      </c>
      <c r="E44" s="48">
        <f>IFERROR(SUMIFS(DETAIL!$Q$2:$Q$137,DETAIL!$B$2:$B$137,$A44,DETAIL!$F$2:$F$137,$B$6)/SUMIFS(DETAIL!$M$2:$M$137,DETAIL!$B$2:$B$137,$A44,DETAIL!$F$2:$F$137,$B$6),"-")</f>
        <v>1</v>
      </c>
      <c r="F44" s="48">
        <f>IFERROR(SUMIFS(DETAIL!$Q$2:$Q$137,DETAIL!$B$2:$B$137,$A44,DETAIL!$F$2:$F$137,$B$7)/SUMIFS(DETAIL!$M$2:$M$137,DETAIL!$B$2:$B$137,$A44,DETAIL!$F$2:$F$137,$B$7),"-")</f>
        <v>1</v>
      </c>
    </row>
    <row r="45" spans="1:6" x14ac:dyDescent="0.2">
      <c r="A45" s="6" t="str">
        <f>PEMAGANG!C16</f>
        <v>FETI FATMAWATI</v>
      </c>
      <c r="B45" s="6" t="str">
        <f>PEMAGANG!D16</f>
        <v>ELFANO RANGGA PRATAMA</v>
      </c>
      <c r="C45" s="48">
        <f>IFERROR(SUMIFS(DETAIL!$Q$2:$Q$137,DETAIL!$B$2:$B$137,$A45,DETAIL!$F$2:$F$137,$B$4)/SUMIFS(DETAIL!$M$2:$M$137,DETAIL!$B$2:$B$137,$A45,DETAIL!$F$2:$F$137,$B$4),"-")</f>
        <v>0.76190476190476186</v>
      </c>
      <c r="D45" s="48">
        <f>IFERROR(SUMIFS(DETAIL!$Q$2:$Q$137,DETAIL!$B$2:$B$137,$A45,DETAIL!$F$2:$F$137,$B$5)/SUMIFS(DETAIL!$M$2:$M$137,DETAIL!$B$2:$B$137,$A45,DETAIL!$F$2:$F$137,$B$5),"-")</f>
        <v>0.96153846153846156</v>
      </c>
      <c r="E45" s="48">
        <f>IFERROR(SUMIFS(DETAIL!$Q$2:$Q$137,DETAIL!$B$2:$B$137,$A45,DETAIL!$F$2:$F$137,$B$6)/SUMIFS(DETAIL!$M$2:$M$137,DETAIL!$B$2:$B$137,$A45,DETAIL!$F$2:$F$137,$B$6),"-")</f>
        <v>1</v>
      </c>
      <c r="F45" s="48">
        <f>IFERROR(SUMIFS(DETAIL!$Q$2:$Q$137,DETAIL!$B$2:$B$137,$A45,DETAIL!$F$2:$F$137,$B$7)/SUMIFS(DETAIL!$M$2:$M$137,DETAIL!$B$2:$B$137,$A45,DETAIL!$F$2:$F$137,$B$7),"-")</f>
        <v>0.92</v>
      </c>
    </row>
    <row r="46" spans="1:6" x14ac:dyDescent="0.2">
      <c r="A46" s="6" t="str">
        <f>PEMAGANG!C17</f>
        <v>AHMAD NOVAN JUNIARDY</v>
      </c>
      <c r="B46" s="6" t="str">
        <f>PEMAGANG!D17</f>
        <v>ENDAH YUNIA SRI WINDARI</v>
      </c>
      <c r="C46" s="48" t="str">
        <f>IFERROR(SUMIFS(DETAIL!$Q$2:$Q$137,DETAIL!$B$2:$B$137,$A46,DETAIL!$F$2:$F$137,$B$4)/SUMIFS(DETAIL!$M$2:$M$137,DETAIL!$B$2:$B$137,$A46,DETAIL!$F$2:$F$137,$B$4),"-")</f>
        <v>-</v>
      </c>
      <c r="D46" s="48" t="str">
        <f>IFERROR(SUMIFS(DETAIL!$Q$2:$Q$137,DETAIL!$B$2:$B$137,$A46,DETAIL!$F$2:$F$137,$B$5)/SUMIFS(DETAIL!$M$2:$M$137,DETAIL!$B$2:$B$137,$A46,DETAIL!$F$2:$F$137,$B$5),"-")</f>
        <v>-</v>
      </c>
      <c r="E46" s="48">
        <f>IFERROR(SUMIFS(DETAIL!$Q$2:$Q$137,DETAIL!$B$2:$B$137,$A46,DETAIL!$F$2:$F$137,$B$6)/SUMIFS(DETAIL!$M$2:$M$137,DETAIL!$B$2:$B$137,$A46,DETAIL!$F$2:$F$137,$B$6),"-")</f>
        <v>1</v>
      </c>
      <c r="F46" s="48">
        <f>IFERROR(SUMIFS(DETAIL!$Q$2:$Q$137,DETAIL!$B$2:$B$137,$A46,DETAIL!$F$2:$F$137,$B$7)/SUMIFS(DETAIL!$M$2:$M$137,DETAIL!$B$2:$B$137,$A46,DETAIL!$F$2:$F$137,$B$7),"-")</f>
        <v>1</v>
      </c>
    </row>
    <row r="47" spans="1:6" x14ac:dyDescent="0.2">
      <c r="A47" s="6" t="str">
        <f>PEMAGANG!C18</f>
        <v>TAHYUDIN UZI SAFAAT</v>
      </c>
      <c r="B47" s="6" t="str">
        <f>PEMAGANG!D18</f>
        <v>ENDAH YUNIA SRI WINDARI</v>
      </c>
      <c r="C47" s="48" t="str">
        <f>IFERROR(SUMIFS(DETAIL!$Q$2:$Q$137,DETAIL!$B$2:$B$137,$A47,DETAIL!$F$2:$F$137,$B$4)/SUMIFS(DETAIL!$M$2:$M$137,DETAIL!$B$2:$B$137,$A47,DETAIL!$F$2:$F$137,$B$4),"-")</f>
        <v>-</v>
      </c>
      <c r="D47" s="48" t="str">
        <f>IFERROR(SUMIFS(DETAIL!$Q$2:$Q$137,DETAIL!$B$2:$B$137,$A47,DETAIL!$F$2:$F$137,$B$5)/SUMIFS(DETAIL!$M$2:$M$137,DETAIL!$B$2:$B$137,$A47,DETAIL!$F$2:$F$137,$B$5),"-")</f>
        <v>-</v>
      </c>
      <c r="E47" s="48">
        <f>IFERROR(SUMIFS(DETAIL!$Q$2:$Q$137,DETAIL!$B$2:$B$137,$A47,DETAIL!$F$2:$F$137,$B$6)/SUMIFS(DETAIL!$M$2:$M$137,DETAIL!$B$2:$B$137,$A47,DETAIL!$F$2:$F$137,$B$6),"-")</f>
        <v>1</v>
      </c>
      <c r="F47" s="48">
        <f>IFERROR(SUMIFS(DETAIL!$Q$2:$Q$137,DETAIL!$B$2:$B$137,$A47,DETAIL!$F$2:$F$137,$B$7)/SUMIFS(DETAIL!$M$2:$M$137,DETAIL!$B$2:$B$137,$A47,DETAIL!$F$2:$F$137,$B$7),"-")</f>
        <v>1</v>
      </c>
    </row>
    <row r="48" spans="1:6" x14ac:dyDescent="0.2">
      <c r="A48" s="6" t="str">
        <f>PEMAGANG!C19</f>
        <v>NILNA FAIRUSSAKTI SALBANI AFANO</v>
      </c>
      <c r="B48" s="6" t="str">
        <f>PEMAGANG!D19</f>
        <v>FETI MUBAIYINI</v>
      </c>
      <c r="C48" s="48">
        <f>IFERROR(SUMIFS(DETAIL!$Q$2:$Q$137,DETAIL!$B$2:$B$137,$A48,DETAIL!$F$2:$F$137,$B$4)/SUMIFS(DETAIL!$M$2:$M$137,DETAIL!$B$2:$B$137,$A48,DETAIL!$F$2:$F$137,$B$4),"-")</f>
        <v>0.9285714285714286</v>
      </c>
      <c r="D48" s="48">
        <f>IFERROR(SUMIFS(DETAIL!$Q$2:$Q$137,DETAIL!$B$2:$B$137,$A48,DETAIL!$F$2:$F$137,$B$5)/SUMIFS(DETAIL!$M$2:$M$137,DETAIL!$B$2:$B$137,$A48,DETAIL!$F$2:$F$137,$B$5),"-")</f>
        <v>0.94444444444444442</v>
      </c>
      <c r="E48" s="48">
        <f>IFERROR(SUMIFS(DETAIL!$Q$2:$Q$137,DETAIL!$B$2:$B$137,$A48,DETAIL!$F$2:$F$137,$B$6)/SUMIFS(DETAIL!$M$2:$M$137,DETAIL!$B$2:$B$137,$A48,DETAIL!$F$2:$F$137,$B$6),"-")</f>
        <v>1</v>
      </c>
      <c r="F48" s="48">
        <f>IFERROR(SUMIFS(DETAIL!$Q$2:$Q$137,DETAIL!$B$2:$B$137,$A48,DETAIL!$F$2:$F$137,$B$7)/SUMIFS(DETAIL!$M$2:$M$137,DETAIL!$B$2:$B$137,$A48,DETAIL!$F$2:$F$137,$B$7),"-")</f>
        <v>1</v>
      </c>
    </row>
    <row r="49" spans="1:6" x14ac:dyDescent="0.2">
      <c r="A49" s="6" t="str">
        <f>PEMAGANG!C20</f>
        <v>SYACHIRA FARA NABILA</v>
      </c>
      <c r="B49" s="6" t="str">
        <f>PEMAGANG!D20</f>
        <v>FETI MUBAIYINI</v>
      </c>
      <c r="C49" s="48">
        <f>IFERROR(SUMIFS(DETAIL!$Q$2:$Q$137,DETAIL!$B$2:$B$137,$A49,DETAIL!$F$2:$F$137,$B$4)/SUMIFS(DETAIL!$M$2:$M$137,DETAIL!$B$2:$B$137,$A49,DETAIL!$F$2:$F$137,$B$4),"-")</f>
        <v>0.875</v>
      </c>
      <c r="D49" s="48" t="str">
        <f>IFERROR(SUMIFS(DETAIL!$Q$2:$Q$137,DETAIL!$B$2:$B$137,$A49,DETAIL!$F$2:$F$137,$B$5)/SUMIFS(DETAIL!$M$2:$M$137,DETAIL!$B$2:$B$137,$A49,DETAIL!$F$2:$F$137,$B$5),"-")</f>
        <v>-</v>
      </c>
      <c r="E49" s="48" t="str">
        <f>IFERROR(SUMIFS(DETAIL!$Q$2:$Q$137,DETAIL!$B$2:$B$137,$A49,DETAIL!$F$2:$F$137,$B$6)/SUMIFS(DETAIL!$M$2:$M$137,DETAIL!$B$2:$B$137,$A49,DETAIL!$F$2:$F$137,$B$6),"-")</f>
        <v>-</v>
      </c>
      <c r="F49" s="48" t="str">
        <f>IFERROR(SUMIFS(DETAIL!$Q$2:$Q$137,DETAIL!$B$2:$B$137,$A49,DETAIL!$F$2:$F$137,$B$7)/SUMIFS(DETAIL!$M$2:$M$137,DETAIL!$B$2:$B$137,$A49,DETAIL!$F$2:$F$137,$B$7),"-")</f>
        <v>-</v>
      </c>
    </row>
    <row r="50" spans="1:6" x14ac:dyDescent="0.2">
      <c r="A50" s="6" t="str">
        <f>PEMAGANG!C21</f>
        <v>SELVI NURUL HASANAH</v>
      </c>
      <c r="B50" s="6" t="str">
        <f>PEMAGANG!D21</f>
        <v>GANANG MUSYAFFA FAHMI</v>
      </c>
      <c r="C50" s="48">
        <f>IFERROR(SUMIFS(DETAIL!$Q$2:$Q$137,DETAIL!$B$2:$B$137,$A50,DETAIL!$F$2:$F$137,$B$4)/SUMIFS(DETAIL!$M$2:$M$137,DETAIL!$B$2:$B$137,$A50,DETAIL!$F$2:$F$137,$B$4),"-")</f>
        <v>0.88235294117647056</v>
      </c>
      <c r="D50" s="48">
        <f>IFERROR(SUMIFS(DETAIL!$Q$2:$Q$137,DETAIL!$B$2:$B$137,$A50,DETAIL!$F$2:$F$137,$B$5)/SUMIFS(DETAIL!$M$2:$M$137,DETAIL!$B$2:$B$137,$A50,DETAIL!$F$2:$F$137,$B$5),"-")</f>
        <v>1</v>
      </c>
      <c r="E50" s="48">
        <f>IFERROR(SUMIFS(DETAIL!$Q$2:$Q$137,DETAIL!$B$2:$B$137,$A50,DETAIL!$F$2:$F$137,$B$6)/SUMIFS(DETAIL!$M$2:$M$137,DETAIL!$B$2:$B$137,$A50,DETAIL!$F$2:$F$137,$B$6),"-")</f>
        <v>1</v>
      </c>
      <c r="F50" s="48">
        <f>IFERROR(SUMIFS(DETAIL!$Q$2:$Q$137,DETAIL!$B$2:$B$137,$A50,DETAIL!$F$2:$F$137,$B$7)/SUMIFS(DETAIL!$M$2:$M$137,DETAIL!$B$2:$B$137,$A50,DETAIL!$F$2:$F$137,$B$7),"-")</f>
        <v>1</v>
      </c>
    </row>
    <row r="51" spans="1:6" x14ac:dyDescent="0.2">
      <c r="A51" s="6" t="str">
        <f>PEMAGANG!C22</f>
        <v>FARREL ALWIN RAHMADHAN</v>
      </c>
      <c r="B51" s="6" t="str">
        <f>PEMAGANG!D22</f>
        <v>HASKIN AVIONATA</v>
      </c>
      <c r="C51" s="48">
        <f>IFERROR(SUMIFS(DETAIL!$Q$2:$Q$137,DETAIL!$B$2:$B$137,$A51,DETAIL!$F$2:$F$137,$B$4)/SUMIFS(DETAIL!$M$2:$M$137,DETAIL!$B$2:$B$137,$A51,DETAIL!$F$2:$F$137,$B$4),"-")</f>
        <v>1</v>
      </c>
      <c r="D51" s="48">
        <f>IFERROR(SUMIFS(DETAIL!$Q$2:$Q$137,DETAIL!$B$2:$B$137,$A51,DETAIL!$F$2:$F$137,$B$5)/SUMIFS(DETAIL!$M$2:$M$137,DETAIL!$B$2:$B$137,$A51,DETAIL!$F$2:$F$137,$B$5),"-")</f>
        <v>0.9375</v>
      </c>
      <c r="E51" s="48">
        <f>IFERROR(SUMIFS(DETAIL!$Q$2:$Q$137,DETAIL!$B$2:$B$137,$A51,DETAIL!$F$2:$F$137,$B$6)/SUMIFS(DETAIL!$M$2:$M$137,DETAIL!$B$2:$B$137,$A51,DETAIL!$F$2:$F$137,$B$6),"-")</f>
        <v>0.94444444444444442</v>
      </c>
      <c r="F51" s="48">
        <f>IFERROR(SUMIFS(DETAIL!$Q$2:$Q$137,DETAIL!$B$2:$B$137,$A51,DETAIL!$F$2:$F$137,$B$7)/SUMIFS(DETAIL!$M$2:$M$137,DETAIL!$B$2:$B$137,$A51,DETAIL!$F$2:$F$137,$B$7),"-")</f>
        <v>1</v>
      </c>
    </row>
    <row r="52" spans="1:6" x14ac:dyDescent="0.2">
      <c r="A52" s="6" t="str">
        <f>PEMAGANG!C23</f>
        <v>MASDUQI MUHAMMAD</v>
      </c>
      <c r="B52" s="6" t="str">
        <f>PEMAGANG!D23</f>
        <v>IMAM SUBEKTI</v>
      </c>
      <c r="C52" s="48" t="str">
        <f>IFERROR(SUMIFS(DETAIL!$Q$2:$Q$137,DETAIL!$B$2:$B$137,$A52,DETAIL!$F$2:$F$137,$B$4)/SUMIFS(DETAIL!$M$2:$M$137,DETAIL!$B$2:$B$137,$A52,DETAIL!$F$2:$F$137,$B$4),"-")</f>
        <v>-</v>
      </c>
      <c r="D52" s="48" t="str">
        <f>IFERROR(SUMIFS(DETAIL!$Q$2:$Q$137,DETAIL!$B$2:$B$137,$A52,DETAIL!$F$2:$F$137,$B$5)/SUMIFS(DETAIL!$M$2:$M$137,DETAIL!$B$2:$B$137,$A52,DETAIL!$F$2:$F$137,$B$5),"-")</f>
        <v>-</v>
      </c>
      <c r="E52" s="48" t="str">
        <f>IFERROR(SUMIFS(DETAIL!$Q$2:$Q$137,DETAIL!$B$2:$B$137,$A52,DETAIL!$F$2:$F$137,$B$6)/SUMIFS(DETAIL!$M$2:$M$137,DETAIL!$B$2:$B$137,$A52,DETAIL!$F$2:$F$137,$B$6),"-")</f>
        <v>-</v>
      </c>
      <c r="F52" s="48">
        <f>IFERROR(SUMIFS(DETAIL!$Q$2:$Q$137,DETAIL!$B$2:$B$137,$A52,DETAIL!$F$2:$F$137,$B$7)/SUMIFS(DETAIL!$M$2:$M$137,DETAIL!$B$2:$B$137,$A52,DETAIL!$F$2:$F$137,$B$7),"-")</f>
        <v>0</v>
      </c>
    </row>
    <row r="53" spans="1:6" x14ac:dyDescent="0.2">
      <c r="A53" s="6" t="str">
        <f>PEMAGANG!C24</f>
        <v>CITRA ANGGRAINI</v>
      </c>
      <c r="B53" s="6" t="str">
        <f>PEMAGANG!D24</f>
        <v>IMANIAR PUTRI UTAMI</v>
      </c>
      <c r="C53" s="48" t="str">
        <f>IFERROR(SUMIFS(DETAIL!$Q$2:$Q$137,DETAIL!$B$2:$B$137,$A53,DETAIL!$F$2:$F$137,$B$4)/SUMIFS(DETAIL!$M$2:$M$137,DETAIL!$B$2:$B$137,$A53,DETAIL!$F$2:$F$137,$B$4),"-")</f>
        <v>-</v>
      </c>
      <c r="D53" s="48" t="str">
        <f>IFERROR(SUMIFS(DETAIL!$Q$2:$Q$137,DETAIL!$B$2:$B$137,$A53,DETAIL!$F$2:$F$137,$B$5)/SUMIFS(DETAIL!$M$2:$M$137,DETAIL!$B$2:$B$137,$A53,DETAIL!$F$2:$F$137,$B$5),"-")</f>
        <v>-</v>
      </c>
      <c r="E53" s="48" t="str">
        <f>IFERROR(SUMIFS(DETAIL!$Q$2:$Q$137,DETAIL!$B$2:$B$137,$A53,DETAIL!$F$2:$F$137,$B$6)/SUMIFS(DETAIL!$M$2:$M$137,DETAIL!$B$2:$B$137,$A53,DETAIL!$F$2:$F$137,$B$6),"-")</f>
        <v>-</v>
      </c>
      <c r="F53" s="48">
        <f>IFERROR(SUMIFS(DETAIL!$Q$2:$Q$137,DETAIL!$B$2:$B$137,$A53,DETAIL!$F$2:$F$137,$B$7)/SUMIFS(DETAIL!$M$2:$M$137,DETAIL!$B$2:$B$137,$A53,DETAIL!$F$2:$F$137,$B$7),"-")</f>
        <v>1</v>
      </c>
    </row>
    <row r="54" spans="1:6" x14ac:dyDescent="0.2">
      <c r="A54" s="6" t="str">
        <f>PEMAGANG!C25</f>
        <v>KHOFIFATUNNABILAH</v>
      </c>
      <c r="B54" s="6" t="str">
        <f>PEMAGANG!D25</f>
        <v>M. RIZAD FAHRURI</v>
      </c>
      <c r="C54" s="48">
        <f>IFERROR(SUMIFS(DETAIL!$Q$2:$Q$137,DETAIL!$B$2:$B$137,$A54,DETAIL!$F$2:$F$137,$B$4)/SUMIFS(DETAIL!$M$2:$M$137,DETAIL!$B$2:$B$137,$A54,DETAIL!$F$2:$F$137,$B$4),"-")</f>
        <v>0.95</v>
      </c>
      <c r="D54" s="48">
        <f>IFERROR(SUMIFS(DETAIL!$Q$2:$Q$137,DETAIL!$B$2:$B$137,$A54,DETAIL!$F$2:$F$137,$B$5)/SUMIFS(DETAIL!$M$2:$M$137,DETAIL!$B$2:$B$137,$A54,DETAIL!$F$2:$F$137,$B$5),"-")</f>
        <v>1</v>
      </c>
      <c r="E54" s="48">
        <f>IFERROR(SUMIFS(DETAIL!$Q$2:$Q$137,DETAIL!$B$2:$B$137,$A54,DETAIL!$F$2:$F$137,$B$6)/SUMIFS(DETAIL!$M$2:$M$137,DETAIL!$B$2:$B$137,$A54,DETAIL!$F$2:$F$137,$B$6),"-")</f>
        <v>1</v>
      </c>
      <c r="F54" s="48">
        <f>IFERROR(SUMIFS(DETAIL!$Q$2:$Q$137,DETAIL!$B$2:$B$137,$A54,DETAIL!$F$2:$F$137,$B$7)/SUMIFS(DETAIL!$M$2:$M$137,DETAIL!$B$2:$B$137,$A54,DETAIL!$F$2:$F$137,$B$7),"-")</f>
        <v>1</v>
      </c>
    </row>
    <row r="55" spans="1:6" x14ac:dyDescent="0.2">
      <c r="A55" s="6" t="str">
        <f>PEMAGANG!C26</f>
        <v>ANGGUN NUR TSANIA AGUSTIN</v>
      </c>
      <c r="B55" s="6" t="str">
        <f>PEMAGANG!D26</f>
        <v>MOH. AGUS EFENDI</v>
      </c>
      <c r="C55" s="48">
        <f>IFERROR(SUMIFS(DETAIL!$Q$2:$Q$137,DETAIL!$B$2:$B$137,$A55,DETAIL!$F$2:$F$137,$B$4)/SUMIFS(DETAIL!$M$2:$M$137,DETAIL!$B$2:$B$137,$A55,DETAIL!$F$2:$F$137,$B$4),"-")</f>
        <v>0.95</v>
      </c>
      <c r="D55" s="48">
        <f>IFERROR(SUMIFS(DETAIL!$Q$2:$Q$137,DETAIL!$B$2:$B$137,$A55,DETAIL!$F$2:$F$137,$B$5)/SUMIFS(DETAIL!$M$2:$M$137,DETAIL!$B$2:$B$137,$A55,DETAIL!$F$2:$F$137,$B$5),"-")</f>
        <v>1</v>
      </c>
      <c r="E55" s="48">
        <f>IFERROR(SUMIFS(DETAIL!$Q$2:$Q$137,DETAIL!$B$2:$B$137,$A55,DETAIL!$F$2:$F$137,$B$6)/SUMIFS(DETAIL!$M$2:$M$137,DETAIL!$B$2:$B$137,$A55,DETAIL!$F$2:$F$137,$B$6),"-")</f>
        <v>1</v>
      </c>
      <c r="F55" s="48">
        <f>IFERROR(SUMIFS(DETAIL!$Q$2:$Q$137,DETAIL!$B$2:$B$137,$A55,DETAIL!$F$2:$F$137,$B$7)/SUMIFS(DETAIL!$M$2:$M$137,DETAIL!$B$2:$B$137,$A55,DETAIL!$F$2:$F$137,$B$7),"-")</f>
        <v>1</v>
      </c>
    </row>
    <row r="56" spans="1:6" x14ac:dyDescent="0.2">
      <c r="A56" s="6" t="str">
        <f>PEMAGANG!C27</f>
        <v>MUHAMMAD FATCHUL ALAM</v>
      </c>
      <c r="B56" s="6" t="str">
        <f>PEMAGANG!D27</f>
        <v>MOH. AGUS EFENDI</v>
      </c>
      <c r="C56" s="48" t="str">
        <f>IFERROR(SUMIFS(DETAIL!$Q$2:$Q$137,DETAIL!$B$2:$B$137,$A56,DETAIL!$F$2:$F$137,$B$4)/SUMIFS(DETAIL!$M$2:$M$137,DETAIL!$B$2:$B$137,$A56,DETAIL!$F$2:$F$137,$B$4),"-")</f>
        <v>-</v>
      </c>
      <c r="D56" s="48">
        <f>IFERROR(SUMIFS(DETAIL!$Q$2:$Q$137,DETAIL!$B$2:$B$137,$A56,DETAIL!$F$2:$F$137,$B$5)/SUMIFS(DETAIL!$M$2:$M$137,DETAIL!$B$2:$B$137,$A56,DETAIL!$F$2:$F$137,$B$5),"-")</f>
        <v>1</v>
      </c>
      <c r="E56" s="48">
        <f>IFERROR(SUMIFS(DETAIL!$Q$2:$Q$137,DETAIL!$B$2:$B$137,$A56,DETAIL!$F$2:$F$137,$B$6)/SUMIFS(DETAIL!$M$2:$M$137,DETAIL!$B$2:$B$137,$A56,DETAIL!$F$2:$F$137,$B$6),"-")</f>
        <v>1</v>
      </c>
      <c r="F56" s="48">
        <f>IFERROR(SUMIFS(DETAIL!$Q$2:$Q$137,DETAIL!$B$2:$B$137,$A56,DETAIL!$F$2:$F$137,$B$7)/SUMIFS(DETAIL!$M$2:$M$137,DETAIL!$B$2:$B$137,$A56,DETAIL!$F$2:$F$137,$B$7),"-")</f>
        <v>1</v>
      </c>
    </row>
    <row r="57" spans="1:6" x14ac:dyDescent="0.2">
      <c r="A57" s="6" t="str">
        <f>PEMAGANG!C28</f>
        <v>ASA AGHNIA ZAHIDA</v>
      </c>
      <c r="B57" s="6" t="str">
        <f>PEMAGANG!D28</f>
        <v>MUHAMMAD SADULLAH</v>
      </c>
      <c r="C57" s="48">
        <f>IFERROR(SUMIFS(DETAIL!$Q$2:$Q$137,DETAIL!$B$2:$B$137,$A57,DETAIL!$F$2:$F$137,$B$4)/SUMIFS(DETAIL!$M$2:$M$137,DETAIL!$B$2:$B$137,$A57,DETAIL!$F$2:$F$137,$B$4),"-")</f>
        <v>0.8571428571428571</v>
      </c>
      <c r="D57" s="48">
        <f>IFERROR(SUMIFS(DETAIL!$Q$2:$Q$137,DETAIL!$B$2:$B$137,$A57,DETAIL!$F$2:$F$137,$B$5)/SUMIFS(DETAIL!$M$2:$M$137,DETAIL!$B$2:$B$137,$A57,DETAIL!$F$2:$F$137,$B$5),"-")</f>
        <v>0.95238095238095233</v>
      </c>
      <c r="E57" s="48">
        <f>IFERROR(SUMIFS(DETAIL!$Q$2:$Q$137,DETAIL!$B$2:$B$137,$A57,DETAIL!$F$2:$F$137,$B$6)/SUMIFS(DETAIL!$M$2:$M$137,DETAIL!$B$2:$B$137,$A57,DETAIL!$F$2:$F$137,$B$6),"-")</f>
        <v>1</v>
      </c>
      <c r="F57" s="48" t="str">
        <f>IFERROR(SUMIFS(DETAIL!$Q$2:$Q$137,DETAIL!$B$2:$B$137,$A57,DETAIL!$F$2:$F$137,$B$7)/SUMIFS(DETAIL!$M$2:$M$137,DETAIL!$B$2:$B$137,$A57,DETAIL!$F$2:$F$137,$B$7),"-")</f>
        <v>-</v>
      </c>
    </row>
    <row r="58" spans="1:6" x14ac:dyDescent="0.2">
      <c r="A58" s="6" t="str">
        <f>PEMAGANG!C29</f>
        <v>EVI WIDIYAH ASTUTIH</v>
      </c>
      <c r="B58" s="6" t="str">
        <f>PEMAGANG!D29</f>
        <v>SITI MUJAYANAH</v>
      </c>
      <c r="C58" s="48">
        <f>IFERROR(SUMIFS(DETAIL!$Q$2:$Q$137,DETAIL!$B$2:$B$137,$A58,DETAIL!$F$2:$F$137,$B$4)/SUMIFS(DETAIL!$M$2:$M$137,DETAIL!$B$2:$B$137,$A58,DETAIL!$F$2:$F$137,$B$4),"-")</f>
        <v>0.875</v>
      </c>
      <c r="D58" s="48">
        <f>IFERROR(SUMIFS(DETAIL!$Q$2:$Q$137,DETAIL!$B$2:$B$137,$A58,DETAIL!$F$2:$F$137,$B$5)/SUMIFS(DETAIL!$M$2:$M$137,DETAIL!$B$2:$B$137,$A58,DETAIL!$F$2:$F$137,$B$5),"-")</f>
        <v>0.90909090909090906</v>
      </c>
      <c r="E58" s="48">
        <f>IFERROR(SUMIFS(DETAIL!$Q$2:$Q$137,DETAIL!$B$2:$B$137,$A58,DETAIL!$F$2:$F$137,$B$6)/SUMIFS(DETAIL!$M$2:$M$137,DETAIL!$B$2:$B$137,$A58,DETAIL!$F$2:$F$137,$B$6),"-")</f>
        <v>1</v>
      </c>
      <c r="F58" s="48">
        <f>IFERROR(SUMIFS(DETAIL!$Q$2:$Q$137,DETAIL!$B$2:$B$137,$A58,DETAIL!$F$2:$F$137,$B$7)/SUMIFS(DETAIL!$M$2:$M$137,DETAIL!$B$2:$B$137,$A58,DETAIL!$F$2:$F$137,$B$7),"-")</f>
        <v>1</v>
      </c>
    </row>
    <row r="59" spans="1:6" x14ac:dyDescent="0.2">
      <c r="A59" s="6" t="str">
        <f>PEMAGANG!C30</f>
        <v>RIZAL AKBAR ARDIANSYAH</v>
      </c>
      <c r="B59" s="6" t="str">
        <f>PEMAGANG!D30</f>
        <v>SITI MUJAYANAH</v>
      </c>
      <c r="C59" s="48">
        <f>IFERROR(SUMIFS(DETAIL!$Q$2:$Q$137,DETAIL!$B$2:$B$137,$A59,DETAIL!$F$2:$F$137,$B$4)/SUMIFS(DETAIL!$M$2:$M$137,DETAIL!$B$2:$B$137,$A59,DETAIL!$F$2:$F$137,$B$4),"-")</f>
        <v>0.875</v>
      </c>
      <c r="D59" s="48" t="str">
        <f>IFERROR(SUMIFS(DETAIL!$Q$2:$Q$137,DETAIL!$B$2:$B$137,$A59,DETAIL!$F$2:$F$137,$B$5)/SUMIFS(DETAIL!$M$2:$M$137,DETAIL!$B$2:$B$137,$A59,DETAIL!$F$2:$F$137,$B$5),"-")</f>
        <v>-</v>
      </c>
      <c r="E59" s="48" t="str">
        <f>IFERROR(SUMIFS(DETAIL!$Q$2:$Q$137,DETAIL!$B$2:$B$137,$A59,DETAIL!$F$2:$F$137,$B$6)/SUMIFS(DETAIL!$M$2:$M$137,DETAIL!$B$2:$B$137,$A59,DETAIL!$F$2:$F$137,$B$6),"-")</f>
        <v>-</v>
      </c>
      <c r="F59" s="48" t="str">
        <f>IFERROR(SUMIFS(DETAIL!$Q$2:$Q$137,DETAIL!$B$2:$B$137,$A59,DETAIL!$F$2:$F$137,$B$7)/SUMIFS(DETAIL!$M$2:$M$137,DETAIL!$B$2:$B$137,$A59,DETAIL!$F$2:$F$137,$B$7),"-")</f>
        <v>-</v>
      </c>
    </row>
    <row r="60" spans="1:6" x14ac:dyDescent="0.2">
      <c r="A60" s="6" t="str">
        <f>PEMAGANG!C31</f>
        <v>THARISSA ADELIA PUTRI</v>
      </c>
      <c r="B60" s="6" t="str">
        <f>PEMAGANG!D31</f>
        <v>SITI MUJAYANAH</v>
      </c>
      <c r="C60" s="48">
        <f>IFERROR(SUMIFS(DETAIL!$Q$2:$Q$137,DETAIL!$B$2:$B$137,$A60,DETAIL!$F$2:$F$137,$B$4)/SUMIFS(DETAIL!$M$2:$M$137,DETAIL!$B$2:$B$137,$A60,DETAIL!$F$2:$F$137,$B$4),"-")</f>
        <v>0.9285714285714286</v>
      </c>
      <c r="D60" s="48">
        <f>IFERROR(SUMIFS(DETAIL!$Q$2:$Q$137,DETAIL!$B$2:$B$137,$A60,DETAIL!$F$2:$F$137,$B$5)/SUMIFS(DETAIL!$M$2:$M$137,DETAIL!$B$2:$B$137,$A60,DETAIL!$F$2:$F$137,$B$5),"-")</f>
        <v>1</v>
      </c>
      <c r="E60" s="48">
        <f>IFERROR(SUMIFS(DETAIL!$Q$2:$Q$137,DETAIL!$B$2:$B$137,$A60,DETAIL!$F$2:$F$137,$B$6)/SUMIFS(DETAIL!$M$2:$M$137,DETAIL!$B$2:$B$137,$A60,DETAIL!$F$2:$F$137,$B$6),"-")</f>
        <v>1</v>
      </c>
      <c r="F60" s="48">
        <f>IFERROR(SUMIFS(DETAIL!$Q$2:$Q$137,DETAIL!$B$2:$B$137,$A60,DETAIL!$F$2:$F$137,$B$7)/SUMIFS(DETAIL!$M$2:$M$137,DETAIL!$B$2:$B$137,$A60,DETAIL!$F$2:$F$137,$B$7),"-")</f>
        <v>1</v>
      </c>
    </row>
    <row r="61" spans="1:6" x14ac:dyDescent="0.2">
      <c r="A61" s="6" t="str">
        <f>PEMAGANG!C32</f>
        <v>ZALFA NUR ROHMAH</v>
      </c>
      <c r="B61" s="6" t="str">
        <f>PEMAGANG!D32</f>
        <v>SITI MUJAYANAH</v>
      </c>
      <c r="C61" s="48" t="str">
        <f>IFERROR(SUMIFS(DETAIL!$Q$2:$Q$137,DETAIL!$B$2:$B$137,$A61,DETAIL!$F$2:$F$137,$B$4)/SUMIFS(DETAIL!$M$2:$M$137,DETAIL!$B$2:$B$137,$A61,DETAIL!$F$2:$F$137,$B$4),"-")</f>
        <v>-</v>
      </c>
      <c r="D61" s="48" t="str">
        <f>IFERROR(SUMIFS(DETAIL!$Q$2:$Q$137,DETAIL!$B$2:$B$137,$A61,DETAIL!$F$2:$F$137,$B$5)/SUMIFS(DETAIL!$M$2:$M$137,DETAIL!$B$2:$B$137,$A61,DETAIL!$F$2:$F$137,$B$5),"-")</f>
        <v>-</v>
      </c>
      <c r="E61" s="48" t="str">
        <f>IFERROR(SUMIFS(DETAIL!$Q$2:$Q$137,DETAIL!$B$2:$B$137,$A61,DETAIL!$F$2:$F$137,$B$6)/SUMIFS(DETAIL!$M$2:$M$137,DETAIL!$B$2:$B$137,$A61,DETAIL!$F$2:$F$137,$B$6),"-")</f>
        <v>-</v>
      </c>
      <c r="F61" s="48">
        <f>IFERROR(SUMIFS(DETAIL!$Q$2:$Q$137,DETAIL!$B$2:$B$137,$A61,DETAIL!$F$2:$F$137,$B$7)/SUMIFS(DETAIL!$M$2:$M$137,DETAIL!$B$2:$B$137,$A61,DETAIL!$F$2:$F$137,$B$7),"-")</f>
        <v>1</v>
      </c>
    </row>
    <row r="62" spans="1:6" x14ac:dyDescent="0.2">
      <c r="A62" s="6" t="str">
        <f>PEMAGANG!C33</f>
        <v>ALFINA ZAKYA ULA</v>
      </c>
      <c r="B62" s="6" t="str">
        <f>PEMAGANG!D33</f>
        <v>TRI HARTANTO</v>
      </c>
      <c r="C62" s="48" t="str">
        <f>IFERROR(SUMIFS(DETAIL!$Q$2:$Q$137,DETAIL!$B$2:$B$137,$A62,DETAIL!$F$2:$F$137,$B$4)/SUMIFS(DETAIL!$M$2:$M$137,DETAIL!$B$2:$B$137,$A62,DETAIL!$F$2:$F$137,$B$4),"-")</f>
        <v>-</v>
      </c>
      <c r="D62" s="48" t="str">
        <f>IFERROR(SUMIFS(DETAIL!$Q$2:$Q$137,DETAIL!$B$2:$B$137,$A62,DETAIL!$F$2:$F$137,$B$5)/SUMIFS(DETAIL!$M$2:$M$137,DETAIL!$B$2:$B$137,$A62,DETAIL!$F$2:$F$137,$B$5),"-")</f>
        <v>-</v>
      </c>
      <c r="E62" s="48" t="str">
        <f>IFERROR(SUMIFS(DETAIL!$Q$2:$Q$137,DETAIL!$B$2:$B$137,$A62,DETAIL!$F$2:$F$137,$B$6)/SUMIFS(DETAIL!$M$2:$M$137,DETAIL!$B$2:$B$137,$A62,DETAIL!$F$2:$F$137,$B$6),"-")</f>
        <v>-</v>
      </c>
      <c r="F62" s="48">
        <f>IFERROR(SUMIFS(DETAIL!$Q$2:$Q$137,DETAIL!$B$2:$B$137,$A62,DETAIL!$F$2:$F$137,$B$7)/SUMIFS(DETAIL!$M$2:$M$137,DETAIL!$B$2:$B$137,$A62,DETAIL!$F$2:$F$137,$B$7),"-")</f>
        <v>0.77777777777777779</v>
      </c>
    </row>
    <row r="63" spans="1:6" x14ac:dyDescent="0.2">
      <c r="A63" s="6" t="str">
        <f>PEMAGANG!C34</f>
        <v>AMELIA KURNIA FITRI</v>
      </c>
      <c r="B63" s="6" t="str">
        <f>PEMAGANG!D34</f>
        <v>WATIN UTARI</v>
      </c>
      <c r="C63" s="48" t="str">
        <f>IFERROR(SUMIFS(DETAIL!$Q$2:$Q$137,DETAIL!$B$2:$B$137,$A63,DETAIL!$F$2:$F$137,$B$4)/SUMIFS(DETAIL!$M$2:$M$137,DETAIL!$B$2:$B$137,$A63,DETAIL!$F$2:$F$137,$B$4),"-")</f>
        <v>-</v>
      </c>
      <c r="D63" s="48" t="str">
        <f>IFERROR(SUMIFS(DETAIL!$Q$2:$Q$137,DETAIL!$B$2:$B$137,$A63,DETAIL!$F$2:$F$137,$B$5)/SUMIFS(DETAIL!$M$2:$M$137,DETAIL!$B$2:$B$137,$A63,DETAIL!$F$2:$F$137,$B$5),"-")</f>
        <v>-</v>
      </c>
      <c r="E63" s="48" t="str">
        <f>IFERROR(SUMIFS(DETAIL!$Q$2:$Q$137,DETAIL!$B$2:$B$137,$A63,DETAIL!$F$2:$F$137,$B$6)/SUMIFS(DETAIL!$M$2:$M$137,DETAIL!$B$2:$B$137,$A63,DETAIL!$F$2:$F$137,$B$6),"-")</f>
        <v>-</v>
      </c>
      <c r="F63" s="48">
        <f>IFERROR(SUMIFS(DETAIL!$Q$2:$Q$137,DETAIL!$B$2:$B$137,$A63,DETAIL!$F$2:$F$137,$B$7)/SUMIFS(DETAIL!$M$2:$M$137,DETAIL!$B$2:$B$137,$A63,DETAIL!$F$2:$F$137,$B$7),"-")</f>
        <v>1</v>
      </c>
    </row>
    <row r="64" spans="1:6" x14ac:dyDescent="0.2">
      <c r="A64" s="6" t="str">
        <f>PEMAGANG!C35</f>
        <v>PUTRI WIDYOWATI</v>
      </c>
      <c r="B64" s="6" t="str">
        <f>PEMAGANG!D35</f>
        <v>WAWAN SETIAWAN</v>
      </c>
      <c r="C64" s="48">
        <f>IFERROR(SUMIFS(DETAIL!$Q$2:$Q$137,DETAIL!$B$2:$B$137,$A64,DETAIL!$F$2:$F$137,$B$4)/SUMIFS(DETAIL!$M$2:$M$137,DETAIL!$B$2:$B$137,$A64,DETAIL!$F$2:$F$137,$B$4),"-")</f>
        <v>0.94444444444444442</v>
      </c>
      <c r="D64" s="48">
        <f>IFERROR(SUMIFS(DETAIL!$Q$2:$Q$137,DETAIL!$B$2:$B$137,$A64,DETAIL!$F$2:$F$137,$B$5)/SUMIFS(DETAIL!$M$2:$M$137,DETAIL!$B$2:$B$137,$A64,DETAIL!$F$2:$F$137,$B$5),"-")</f>
        <v>1</v>
      </c>
      <c r="E64" s="48">
        <f>IFERROR(SUMIFS(DETAIL!$Q$2:$Q$137,DETAIL!$B$2:$B$137,$A64,DETAIL!$F$2:$F$137,$B$6)/SUMIFS(DETAIL!$M$2:$M$137,DETAIL!$B$2:$B$137,$A64,DETAIL!$F$2:$F$137,$B$6),"-")</f>
        <v>1</v>
      </c>
      <c r="F64" s="48">
        <f>IFERROR(SUMIFS(DETAIL!$Q$2:$Q$137,DETAIL!$B$2:$B$137,$A64,DETAIL!$F$2:$F$137,$B$7)/SUMIFS(DETAIL!$M$2:$M$137,DETAIL!$B$2:$B$137,$A64,DETAIL!$F$2:$F$137,$B$7),"-")</f>
        <v>1</v>
      </c>
    </row>
    <row r="65" spans="1:6" x14ac:dyDescent="0.2">
      <c r="A65" s="6" t="str">
        <f>PEMAGANG!C36</f>
        <v>MUHAMMAD QAIRUL UMAM</v>
      </c>
      <c r="B65" s="6" t="str">
        <f>PEMAGANG!D36</f>
        <v>YUSUF REZA MUHAMMAD</v>
      </c>
      <c r="C65" s="48" t="str">
        <f>IFERROR(SUMIFS(DETAIL!$Q$2:$Q$137,DETAIL!$B$2:$B$137,$A65,DETAIL!$F$2:$F$137,$B$4)/SUMIFS(DETAIL!$M$2:$M$137,DETAIL!$B$2:$B$137,$A65,DETAIL!$F$2:$F$137,$B$4),"-")</f>
        <v>-</v>
      </c>
      <c r="D65" s="48" t="str">
        <f>IFERROR(SUMIFS(DETAIL!$Q$2:$Q$137,DETAIL!$B$2:$B$137,$A65,DETAIL!$F$2:$F$137,$B$5)/SUMIFS(DETAIL!$M$2:$M$137,DETAIL!$B$2:$B$137,$A65,DETAIL!$F$2:$F$137,$B$5),"-")</f>
        <v>-</v>
      </c>
      <c r="E65" s="48">
        <f>IFERROR(SUMIFS(DETAIL!$Q$2:$Q$137,DETAIL!$B$2:$B$137,$A65,DETAIL!$F$2:$F$137,$B$6)/SUMIFS(DETAIL!$M$2:$M$137,DETAIL!$B$2:$B$137,$A65,DETAIL!$F$2:$F$137,$B$6),"-")</f>
        <v>0.76923076923076927</v>
      </c>
      <c r="F65" s="48">
        <f>IFERROR(SUMIFS(DETAIL!$Q$2:$Q$137,DETAIL!$B$2:$B$137,$A65,DETAIL!$F$2:$F$137,$B$7)/SUMIFS(DETAIL!$M$2:$M$137,DETAIL!$B$2:$B$137,$A65,DETAIL!$F$2:$F$137,$B$7),"-")</f>
        <v>1</v>
      </c>
    </row>
  </sheetData>
  <conditionalFormatting sqref="C32:F65">
    <cfRule type="colorScale" priority="2">
      <colorScale>
        <cfvo type="num" val="0.6"/>
        <cfvo type="num" val="0.85"/>
        <cfvo type="num" val="1"/>
        <color rgb="FFF8696B"/>
        <color rgb="FFFFEB84"/>
        <color rgb="FF63BE7B"/>
      </colorScale>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7"/>
  <sheetViews>
    <sheetView zoomScaleNormal="100" workbookViewId="0">
      <pane xSplit="2" ySplit="1" topLeftCell="C2" activePane="bottomRight" state="frozen"/>
      <selection pane="topRight" activeCell="C1" sqref="C1"/>
      <selection pane="bottomLeft" activeCell="A2" sqref="A2"/>
      <selection pane="bottomRight" activeCell="C14" sqref="C14"/>
    </sheetView>
  </sheetViews>
  <sheetFormatPr defaultColWidth="8.7109375" defaultRowHeight="11.25" x14ac:dyDescent="0.2"/>
  <cols>
    <col min="1" max="1" width="14" style="56" customWidth="1"/>
    <col min="2" max="2" width="32" style="56" customWidth="1"/>
    <col min="3" max="3" width="26" style="56" customWidth="1"/>
    <col min="4" max="4" width="15" style="56" customWidth="1"/>
    <col min="5" max="5" width="11" style="56" customWidth="1"/>
    <col min="6" max="6" width="7" style="56" customWidth="1"/>
    <col min="7" max="8" width="11" style="56" customWidth="1"/>
    <col min="9" max="9" width="9" style="56" customWidth="1"/>
    <col min="10" max="10" width="8" style="56" customWidth="1"/>
    <col min="11" max="12" width="10" style="56" customWidth="1"/>
    <col min="13" max="14" width="9" style="56" customWidth="1"/>
    <col min="15" max="18" width="10" style="56" customWidth="1"/>
    <col min="19" max="19" width="34" style="56" customWidth="1"/>
    <col min="20" max="20" width="10" style="56" customWidth="1"/>
    <col min="21" max="16384" width="8.7109375" style="56"/>
  </cols>
  <sheetData>
    <row r="1" spans="1:20" ht="45" customHeight="1" x14ac:dyDescent="0.2">
      <c r="A1" s="73" t="s">
        <v>58</v>
      </c>
      <c r="B1" s="73" t="s">
        <v>59</v>
      </c>
      <c r="C1" s="73" t="s">
        <v>2</v>
      </c>
      <c r="D1" s="73" t="s">
        <v>60</v>
      </c>
      <c r="E1" s="73" t="s">
        <v>148</v>
      </c>
      <c r="F1" s="73" t="s">
        <v>149</v>
      </c>
      <c r="G1" s="73" t="s">
        <v>154</v>
      </c>
      <c r="H1" s="73" t="s">
        <v>155</v>
      </c>
      <c r="I1" s="73" t="s">
        <v>156</v>
      </c>
      <c r="J1" s="73" t="s">
        <v>114</v>
      </c>
      <c r="K1" s="73" t="s">
        <v>157</v>
      </c>
      <c r="L1" s="73" t="s">
        <v>158</v>
      </c>
      <c r="M1" s="73" t="s">
        <v>159</v>
      </c>
      <c r="N1" s="73" t="s">
        <v>66</v>
      </c>
      <c r="O1" s="73" t="s">
        <v>160</v>
      </c>
      <c r="P1" s="73" t="s">
        <v>161</v>
      </c>
      <c r="Q1" s="73" t="s">
        <v>162</v>
      </c>
      <c r="R1" s="73" t="s">
        <v>163</v>
      </c>
      <c r="S1" s="73" t="s">
        <v>23</v>
      </c>
      <c r="T1" s="73" t="s">
        <v>164</v>
      </c>
    </row>
    <row r="2" spans="1:20" x14ac:dyDescent="0.2">
      <c r="A2" s="82" t="str">
        <f>PEMAGANG!B3</f>
        <v>MG4226</v>
      </c>
      <c r="B2" s="82" t="str">
        <f>PEMAGANG!C3</f>
        <v>ARINDA PUTRI AULIA</v>
      </c>
      <c r="C2" s="82" t="str">
        <f>PEMAGANG!D3</f>
        <v>AHMAD JALALUDDIN BASYAR</v>
      </c>
      <c r="D2" s="82" t="str">
        <f>PEMAGANG!E3</f>
        <v>MANDIRI</v>
      </c>
      <c r="E2" s="75" t="str">
        <f t="shared" ref="E2:E33" si="0">CHOOSE(F2,"Januari","Februari","Maret","April","Mei","Juni","Juli","Agustus","September","Oktober","November","Desember")</f>
        <v>Juni</v>
      </c>
      <c r="F2" s="75">
        <f>MONTH(DATE(YEAR(SUMMARY!$C$6),MONTH(SUMMARY!$C$6)+0,1))</f>
        <v>6</v>
      </c>
      <c r="G2" s="83">
        <f>PEMAGANG!J3</f>
        <v>46175</v>
      </c>
      <c r="H2" s="83">
        <f>PEMAGANG!K3</f>
        <v>46295</v>
      </c>
      <c r="I2" s="75">
        <f>COUNTIFS(KALENDER!$D$3:$D$132,"Hari Kerja",KALENDER!$C$3:$C$132,F2,KALENDER!$A$3:$A$132,"&gt;="&amp;G2,KALENDER!$A$3:$A$132,"&lt;="&amp;H2)</f>
        <v>16</v>
      </c>
      <c r="J2" s="75">
        <f>COUNTIFS(KALENDER!$D$3:$D$132,"WFH",KALENDER!$C$3:$C$132,F2,KALENDER!$A$3:$A$132,"&gt;="&amp;G2,KALENDER!$A$3:$A$132,"&lt;="&amp;H2)</f>
        <v>4</v>
      </c>
      <c r="K2" s="75">
        <f>SUMIFS(ABSEN!$P$2:$P$4094,ABSEN!$B$2:$B$4094,$B2,ABSEN!$L$2:$L$4094,F2)</f>
        <v>15</v>
      </c>
      <c r="L2" s="75">
        <f>SUMIFS(ABSEN!$Q$2:$Q$4094,ABSEN!$B$2:$B$4094,$B2,ABSEN!$L$2:$L$4094,F2)</f>
        <v>0</v>
      </c>
      <c r="M2" s="75">
        <f>SUMIFS(ABSEN!$W$2:$W$4094,ABSEN!$B$2:$B$4094,$B2,ABSEN!$L$2:$L$4094,F2)</f>
        <v>15</v>
      </c>
      <c r="N2" s="75">
        <f>SUMIFS(ABSEN!$R$2:$R$4094,ABSEN!$B$2:$B$4094,$B2,ABSEN!$L$2:$L$4094,F2)</f>
        <v>2</v>
      </c>
      <c r="O2" s="75">
        <f>SUMIFS(ABSEN!$S$2:$S$4094,ABSEN!$B$2:$B$4094,$B2,ABSEN!$L$2:$L$4094,F2)</f>
        <v>670</v>
      </c>
      <c r="P2" s="75">
        <f>SUMIFS(ABSEN!$T$2:$T$4094,ABSEN!$B$2:$B$4094,$B2,ABSEN!$L$2:$L$4094,F2)</f>
        <v>1</v>
      </c>
      <c r="Q2" s="75">
        <f>SUMIFS(ABSEN!$U$2:$U$4094,ABSEN!$B$2:$B$4094,$B2,ABSEN!$L$2:$L$4094,F2)</f>
        <v>11</v>
      </c>
      <c r="R2" s="75">
        <f>COUNTIFS(AKTIVITAS!$B$2:$B$3052,$B2,AKTIVITAS!$G$2:$G$3052,F2)</f>
        <v>13</v>
      </c>
      <c r="S2" s="75" t="str">
        <f>PEMAGANG!F3</f>
        <v>PGS SM OF DIGITAL BUSSINES</v>
      </c>
      <c r="T2" s="75">
        <f>SUMIFS(AKTIVITAS!$H$2:$H$3052,AKTIVITAS!$B$2:$B$3052,$B2,AKTIVITAS!$G$2:$G$3052,F2)</f>
        <v>291</v>
      </c>
    </row>
    <row r="3" spans="1:20" x14ac:dyDescent="0.2">
      <c r="A3" s="82" t="str">
        <f>PEMAGANG!B3</f>
        <v>MG4226</v>
      </c>
      <c r="B3" s="82" t="str">
        <f>PEMAGANG!C3</f>
        <v>ARINDA PUTRI AULIA</v>
      </c>
      <c r="C3" s="82" t="str">
        <f>PEMAGANG!D3</f>
        <v>AHMAD JALALUDDIN BASYAR</v>
      </c>
      <c r="D3" s="82" t="str">
        <f>PEMAGANG!E3</f>
        <v>MANDIRI</v>
      </c>
      <c r="E3" s="75" t="str">
        <f t="shared" si="0"/>
        <v>Juli</v>
      </c>
      <c r="F3" s="75">
        <f>MONTH(DATE(YEAR(SUMMARY!$C$6),MONTH(SUMMARY!$C$6)+1,1))</f>
        <v>7</v>
      </c>
      <c r="G3" s="83">
        <f>PEMAGANG!J3</f>
        <v>46175</v>
      </c>
      <c r="H3" s="83">
        <f>PEMAGANG!K3</f>
        <v>46295</v>
      </c>
      <c r="I3" s="75">
        <f>COUNTIFS(KALENDER!$D$3:$D$132,"Hari Kerja",KALENDER!$C$3:$C$132,F3,KALENDER!$A$3:$A$132,"&gt;="&amp;G3,KALENDER!$A$3:$A$132,"&lt;="&amp;H3)</f>
        <v>18</v>
      </c>
      <c r="J3" s="75">
        <f>COUNTIFS(KALENDER!$D$3:$D$132,"WFH",KALENDER!$C$3:$C$132,F3,KALENDER!$A$3:$A$132,"&gt;="&amp;G3,KALENDER!$A$3:$A$132,"&lt;="&amp;H3)</f>
        <v>5</v>
      </c>
      <c r="K3" s="75">
        <f>SUMIFS(ABSEN!$P$2:$P$4094,ABSEN!$B$2:$B$4094,$B3,ABSEN!$L$2:$L$4094,F3)</f>
        <v>18</v>
      </c>
      <c r="L3" s="75">
        <f>SUMIFS(ABSEN!$Q$2:$Q$4094,ABSEN!$B$2:$B$4094,$B3,ABSEN!$L$2:$L$4094,F3)</f>
        <v>1</v>
      </c>
      <c r="M3" s="75">
        <f>SUMIFS(ABSEN!$W$2:$W$4094,ABSEN!$B$2:$B$4094,$B3,ABSEN!$L$2:$L$4094,F3)</f>
        <v>19</v>
      </c>
      <c r="N3" s="75">
        <f>SUMIFS(ABSEN!$R$2:$R$4094,ABSEN!$B$2:$B$4094,$B3,ABSEN!$L$2:$L$4094,F3)</f>
        <v>9</v>
      </c>
      <c r="O3" s="75">
        <f>SUMIFS(ABSEN!$S$2:$S$4094,ABSEN!$B$2:$B$4094,$B3,ABSEN!$L$2:$L$4094,F3)</f>
        <v>47.999999999999943</v>
      </c>
      <c r="P3" s="75">
        <f>SUMIFS(ABSEN!$T$2:$T$4094,ABSEN!$B$2:$B$4094,$B3,ABSEN!$L$2:$L$4094,F3)</f>
        <v>0</v>
      </c>
      <c r="Q3" s="75">
        <f>SUMIFS(ABSEN!$U$2:$U$4094,ABSEN!$B$2:$B$4094,$B3,ABSEN!$L$2:$L$4094,F3)</f>
        <v>15</v>
      </c>
      <c r="R3" s="75">
        <f>COUNTIFS(AKTIVITAS!$B$2:$B$3052,$B3,AKTIVITAS!$G$2:$G$3052,F3)</f>
        <v>15</v>
      </c>
      <c r="S3" s="75" t="str">
        <f>PEMAGANG!F3</f>
        <v>PGS SM OF DIGITAL BUSSINES</v>
      </c>
      <c r="T3" s="75">
        <f>SUMIFS(AKTIVITAS!$H$2:$H$3052,AKTIVITAS!$B$2:$B$3052,$B3,AKTIVITAS!$G$2:$G$3052,F3)</f>
        <v>580</v>
      </c>
    </row>
    <row r="4" spans="1:20" x14ac:dyDescent="0.2">
      <c r="A4" s="82" t="str">
        <f>PEMAGANG!B3</f>
        <v>MG4226</v>
      </c>
      <c r="B4" s="82" t="str">
        <f>PEMAGANG!C3</f>
        <v>ARINDA PUTRI AULIA</v>
      </c>
      <c r="C4" s="82" t="str">
        <f>PEMAGANG!D3</f>
        <v>AHMAD JALALUDDIN BASYAR</v>
      </c>
      <c r="D4" s="82" t="str">
        <f>PEMAGANG!E3</f>
        <v>MANDIRI</v>
      </c>
      <c r="E4" s="75" t="str">
        <f t="shared" si="0"/>
        <v>Agustus</v>
      </c>
      <c r="F4" s="75">
        <f>MONTH(DATE(YEAR(SUMMARY!$C$6),MONTH(SUMMARY!$C$6)+2,1))</f>
        <v>8</v>
      </c>
      <c r="G4" s="83">
        <f>PEMAGANG!J3</f>
        <v>46175</v>
      </c>
      <c r="H4" s="83">
        <f>PEMAGANG!K3</f>
        <v>46295</v>
      </c>
      <c r="I4" s="75">
        <f>COUNTIFS(KALENDER!$D$3:$D$132,"Hari Kerja",KALENDER!$C$3:$C$132,F4,KALENDER!$A$3:$A$132,"&gt;="&amp;G4,KALENDER!$A$3:$A$132,"&lt;="&amp;H4)</f>
        <v>19</v>
      </c>
      <c r="J4" s="75">
        <f>COUNTIFS(KALENDER!$D$3:$D$132,"WFH",KALENDER!$C$3:$C$132,F4,KALENDER!$A$3:$A$132,"&gt;="&amp;G4,KALENDER!$A$3:$A$132,"&lt;="&amp;H4)</f>
        <v>0</v>
      </c>
      <c r="K4" s="75">
        <f>SUMIFS(ABSEN!$P$2:$P$4094,ABSEN!$B$2:$B$4094,$B4,ABSEN!$L$2:$L$4094,F4)</f>
        <v>19</v>
      </c>
      <c r="L4" s="75">
        <f>SUMIFS(ABSEN!$Q$2:$Q$4094,ABSEN!$B$2:$B$4094,$B4,ABSEN!$L$2:$L$4094,F4)</f>
        <v>0</v>
      </c>
      <c r="M4" s="75">
        <f>SUMIFS(ABSEN!$W$2:$W$4094,ABSEN!$B$2:$B$4094,$B4,ABSEN!$L$2:$L$4094,F4)</f>
        <v>19</v>
      </c>
      <c r="N4" s="75">
        <f>SUMIFS(ABSEN!$R$2:$R$4094,ABSEN!$B$2:$B$4094,$B4,ABSEN!$L$2:$L$4094,F4)</f>
        <v>4</v>
      </c>
      <c r="O4" s="75">
        <f>SUMIFS(ABSEN!$S$2:$S$4094,ABSEN!$B$2:$B$4094,$B4,ABSEN!$L$2:$L$4094,F4)</f>
        <v>20.999999999999964</v>
      </c>
      <c r="P4" s="75">
        <f>SUMIFS(ABSEN!$T$2:$T$4094,ABSEN!$B$2:$B$4094,$B4,ABSEN!$L$2:$L$4094,F4)</f>
        <v>0</v>
      </c>
      <c r="Q4" s="75">
        <f>SUMIFS(ABSEN!$U$2:$U$4094,ABSEN!$B$2:$B$4094,$B4,ABSEN!$L$2:$L$4094,F4)</f>
        <v>16</v>
      </c>
      <c r="R4" s="75">
        <f>COUNTIFS(AKTIVITAS!$B$2:$B$3052,$B4,AKTIVITAS!$G$2:$G$3052,F4)</f>
        <v>17</v>
      </c>
      <c r="S4" s="75" t="str">
        <f>PEMAGANG!F3</f>
        <v>PGS SM OF DIGITAL BUSSINES</v>
      </c>
      <c r="T4" s="75">
        <f>SUMIFS(AKTIVITAS!$H$2:$H$3052,AKTIVITAS!$B$2:$B$3052,$B4,AKTIVITAS!$G$2:$G$3052,F4)</f>
        <v>222</v>
      </c>
    </row>
    <row r="5" spans="1:20" x14ac:dyDescent="0.2">
      <c r="A5" s="82" t="str">
        <f>PEMAGANG!B3</f>
        <v>MG4226</v>
      </c>
      <c r="B5" s="82" t="str">
        <f>PEMAGANG!C3</f>
        <v>ARINDA PUTRI AULIA</v>
      </c>
      <c r="C5" s="82" t="str">
        <f>PEMAGANG!D3</f>
        <v>AHMAD JALALUDDIN BASYAR</v>
      </c>
      <c r="D5" s="82" t="str">
        <f>PEMAGANG!E3</f>
        <v>MANDIRI</v>
      </c>
      <c r="E5" s="75" t="str">
        <f t="shared" si="0"/>
        <v>September</v>
      </c>
      <c r="F5" s="75">
        <f>MONTH(DATE(YEAR(SUMMARY!$C$6),MONTH(SUMMARY!$C$6)+3,1))</f>
        <v>9</v>
      </c>
      <c r="G5" s="83">
        <f>PEMAGANG!J3</f>
        <v>46175</v>
      </c>
      <c r="H5" s="83">
        <f>PEMAGANG!K3</f>
        <v>46295</v>
      </c>
      <c r="I5" s="75">
        <f>COUNTIFS(KALENDER!$D$3:$D$132,"Hari Kerja",KALENDER!$C$3:$C$132,F5,KALENDER!$A$3:$A$132,"&gt;="&amp;G5,KALENDER!$A$3:$A$132,"&lt;="&amp;H5)</f>
        <v>22</v>
      </c>
      <c r="J5" s="75">
        <f>COUNTIFS(KALENDER!$D$3:$D$132,"WFH",KALENDER!$C$3:$C$132,F5,KALENDER!$A$3:$A$132,"&gt;="&amp;G5,KALENDER!$A$3:$A$132,"&lt;="&amp;H5)</f>
        <v>0</v>
      </c>
      <c r="K5" s="75">
        <f>SUMIFS(ABSEN!$P$2:$P$4094,ABSEN!$B$2:$B$4094,$B5,ABSEN!$L$2:$L$4094,F5)</f>
        <v>22</v>
      </c>
      <c r="L5" s="75">
        <f>SUMIFS(ABSEN!$Q$2:$Q$4094,ABSEN!$B$2:$B$4094,$B5,ABSEN!$L$2:$L$4094,F5)</f>
        <v>0</v>
      </c>
      <c r="M5" s="75">
        <f>SUMIFS(ABSEN!$W$2:$W$4094,ABSEN!$B$2:$B$4094,$B5,ABSEN!$L$2:$L$4094,F5)</f>
        <v>22</v>
      </c>
      <c r="N5" s="75">
        <f>SUMIFS(ABSEN!$R$2:$R$4094,ABSEN!$B$2:$B$4094,$B5,ABSEN!$L$2:$L$4094,F5)</f>
        <v>0</v>
      </c>
      <c r="O5" s="75">
        <f>SUMIFS(ABSEN!$S$2:$S$4094,ABSEN!$B$2:$B$4094,$B5,ABSEN!$L$2:$L$4094,F5)</f>
        <v>0</v>
      </c>
      <c r="P5" s="75">
        <f>SUMIFS(ABSEN!$T$2:$T$4094,ABSEN!$B$2:$B$4094,$B5,ABSEN!$L$2:$L$4094,F5)</f>
        <v>1</v>
      </c>
      <c r="Q5" s="75">
        <f>SUMIFS(ABSEN!$U$2:$U$4094,ABSEN!$B$2:$B$4094,$B5,ABSEN!$L$2:$L$4094,F5)</f>
        <v>20</v>
      </c>
      <c r="R5" s="75">
        <f>COUNTIFS(AKTIVITAS!$B$2:$B$3052,$B5,AKTIVITAS!$G$2:$G$3052,F5)</f>
        <v>41</v>
      </c>
      <c r="S5" s="75" t="str">
        <f>PEMAGANG!F3</f>
        <v>PGS SM OF DIGITAL BUSSINES</v>
      </c>
      <c r="T5" s="75">
        <f>SUMIFS(AKTIVITAS!$H$2:$H$3052,AKTIVITAS!$B$2:$B$3052,$B5,AKTIVITAS!$G$2:$G$3052,F5)</f>
        <v>706</v>
      </c>
    </row>
    <row r="6" spans="1:20" x14ac:dyDescent="0.2">
      <c r="A6" s="82" t="str">
        <f>PEMAGANG!B4</f>
        <v>MG/KH/4326</v>
      </c>
      <c r="B6" s="82" t="str">
        <f>PEMAGANG!C4</f>
        <v>BERLIAN AURELYA RAHMA</v>
      </c>
      <c r="C6" s="82" t="str">
        <f>PEMAGANG!D4</f>
        <v>AHMAD JALALUDDIN BASYAR</v>
      </c>
      <c r="D6" s="82" t="str">
        <f>PEMAGANG!E4</f>
        <v>KEMNAKER</v>
      </c>
      <c r="E6" s="75" t="str">
        <f t="shared" si="0"/>
        <v>Juni</v>
      </c>
      <c r="F6" s="75">
        <f>MONTH(DATE(YEAR(SUMMARY!$C$6),MONTH(SUMMARY!$C$6)+0,1))</f>
        <v>6</v>
      </c>
      <c r="G6" s="83">
        <f>PEMAGANG!J4</f>
        <v>46244</v>
      </c>
      <c r="H6" s="83">
        <f>PEMAGANG!K4</f>
        <v>46295</v>
      </c>
      <c r="I6" s="75">
        <f>COUNTIFS(KALENDER!$D$3:$D$132,"Hari Kerja",KALENDER!$C$3:$C$132,F6,KALENDER!$A$3:$A$132,"&gt;="&amp;G6,KALENDER!$A$3:$A$132,"&lt;="&amp;H6)</f>
        <v>0</v>
      </c>
      <c r="J6" s="75">
        <f>COUNTIFS(KALENDER!$D$3:$D$132,"WFH",KALENDER!$C$3:$C$132,F6,KALENDER!$A$3:$A$132,"&gt;="&amp;G6,KALENDER!$A$3:$A$132,"&lt;="&amp;H6)</f>
        <v>0</v>
      </c>
      <c r="K6" s="75">
        <f>SUMIFS(ABSEN!$P$2:$P$4094,ABSEN!$B$2:$B$4094,$B6,ABSEN!$L$2:$L$4094,F6)</f>
        <v>0</v>
      </c>
      <c r="L6" s="75">
        <f>SUMIFS(ABSEN!$Q$2:$Q$4094,ABSEN!$B$2:$B$4094,$B6,ABSEN!$L$2:$L$4094,F6)</f>
        <v>0</v>
      </c>
      <c r="M6" s="75">
        <f>SUMIFS(ABSEN!$W$2:$W$4094,ABSEN!$B$2:$B$4094,$B6,ABSEN!$L$2:$L$4094,F6)</f>
        <v>0</v>
      </c>
      <c r="N6" s="75">
        <f>SUMIFS(ABSEN!$R$2:$R$4094,ABSEN!$B$2:$B$4094,$B6,ABSEN!$L$2:$L$4094,F6)</f>
        <v>0</v>
      </c>
      <c r="O6" s="75">
        <f>SUMIFS(ABSEN!$S$2:$S$4094,ABSEN!$B$2:$B$4094,$B6,ABSEN!$L$2:$L$4094,F6)</f>
        <v>0</v>
      </c>
      <c r="P6" s="75">
        <f>SUMIFS(ABSEN!$T$2:$T$4094,ABSEN!$B$2:$B$4094,$B6,ABSEN!$L$2:$L$4094,F6)</f>
        <v>0</v>
      </c>
      <c r="Q6" s="75">
        <f>SUMIFS(ABSEN!$U$2:$U$4094,ABSEN!$B$2:$B$4094,$B6,ABSEN!$L$2:$L$4094,F6)</f>
        <v>0</v>
      </c>
      <c r="R6" s="75">
        <f>COUNTIFS(AKTIVITAS!$B$2:$B$3052,$B6,AKTIVITAS!$G$2:$G$3052,F6)</f>
        <v>0</v>
      </c>
      <c r="S6" s="75" t="str">
        <f>PEMAGANG!F4</f>
        <v>PGS SM OF DIGITAL BUSSINES</v>
      </c>
      <c r="T6" s="75">
        <f>SUMIFS(AKTIVITAS!$H$2:$H$3052,AKTIVITAS!$B$2:$B$3052,$B6,AKTIVITAS!$G$2:$G$3052,F6)</f>
        <v>0</v>
      </c>
    </row>
    <row r="7" spans="1:20" x14ac:dyDescent="0.2">
      <c r="A7" s="82" t="str">
        <f>PEMAGANG!B4</f>
        <v>MG/KH/4326</v>
      </c>
      <c r="B7" s="82" t="str">
        <f>PEMAGANG!C4</f>
        <v>BERLIAN AURELYA RAHMA</v>
      </c>
      <c r="C7" s="82" t="str">
        <f>PEMAGANG!D4</f>
        <v>AHMAD JALALUDDIN BASYAR</v>
      </c>
      <c r="D7" s="82" t="str">
        <f>PEMAGANG!E4</f>
        <v>KEMNAKER</v>
      </c>
      <c r="E7" s="75" t="str">
        <f t="shared" si="0"/>
        <v>Juli</v>
      </c>
      <c r="F7" s="75">
        <f>MONTH(DATE(YEAR(SUMMARY!$C$6),MONTH(SUMMARY!$C$6)+1,1))</f>
        <v>7</v>
      </c>
      <c r="G7" s="83">
        <f>PEMAGANG!J4</f>
        <v>46244</v>
      </c>
      <c r="H7" s="83">
        <f>PEMAGANG!K4</f>
        <v>46295</v>
      </c>
      <c r="I7" s="75">
        <f>COUNTIFS(KALENDER!$D$3:$D$132,"Hari Kerja",KALENDER!$C$3:$C$132,F7,KALENDER!$A$3:$A$132,"&gt;="&amp;G7,KALENDER!$A$3:$A$132,"&lt;="&amp;H7)</f>
        <v>0</v>
      </c>
      <c r="J7" s="75">
        <f>COUNTIFS(KALENDER!$D$3:$D$132,"WFH",KALENDER!$C$3:$C$132,F7,KALENDER!$A$3:$A$132,"&gt;="&amp;G7,KALENDER!$A$3:$A$132,"&lt;="&amp;H7)</f>
        <v>0</v>
      </c>
      <c r="K7" s="75">
        <f>SUMIFS(ABSEN!$P$2:$P$4094,ABSEN!$B$2:$B$4094,$B7,ABSEN!$L$2:$L$4094,F7)</f>
        <v>0</v>
      </c>
      <c r="L7" s="75">
        <f>SUMIFS(ABSEN!$Q$2:$Q$4094,ABSEN!$B$2:$B$4094,$B7,ABSEN!$L$2:$L$4094,F7)</f>
        <v>0</v>
      </c>
      <c r="M7" s="75">
        <f>SUMIFS(ABSEN!$W$2:$W$4094,ABSEN!$B$2:$B$4094,$B7,ABSEN!$L$2:$L$4094,F7)</f>
        <v>0</v>
      </c>
      <c r="N7" s="75">
        <f>SUMIFS(ABSEN!$R$2:$R$4094,ABSEN!$B$2:$B$4094,$B7,ABSEN!$L$2:$L$4094,F7)</f>
        <v>0</v>
      </c>
      <c r="O7" s="75">
        <f>SUMIFS(ABSEN!$S$2:$S$4094,ABSEN!$B$2:$B$4094,$B7,ABSEN!$L$2:$L$4094,F7)</f>
        <v>0</v>
      </c>
      <c r="P7" s="75">
        <f>SUMIFS(ABSEN!$T$2:$T$4094,ABSEN!$B$2:$B$4094,$B7,ABSEN!$L$2:$L$4094,F7)</f>
        <v>0</v>
      </c>
      <c r="Q7" s="75">
        <f>SUMIFS(ABSEN!$U$2:$U$4094,ABSEN!$B$2:$B$4094,$B7,ABSEN!$L$2:$L$4094,F7)</f>
        <v>0</v>
      </c>
      <c r="R7" s="75">
        <f>COUNTIFS(AKTIVITAS!$B$2:$B$3052,$B7,AKTIVITAS!$G$2:$G$3052,F7)</f>
        <v>0</v>
      </c>
      <c r="S7" s="75" t="str">
        <f>PEMAGANG!F4</f>
        <v>PGS SM OF DIGITAL BUSSINES</v>
      </c>
      <c r="T7" s="75">
        <f>SUMIFS(AKTIVITAS!$H$2:$H$3052,AKTIVITAS!$B$2:$B$3052,$B7,AKTIVITAS!$G$2:$G$3052,F7)</f>
        <v>0</v>
      </c>
    </row>
    <row r="8" spans="1:20" x14ac:dyDescent="0.2">
      <c r="A8" s="82" t="str">
        <f>PEMAGANG!B4</f>
        <v>MG/KH/4326</v>
      </c>
      <c r="B8" s="82" t="str">
        <f>PEMAGANG!C4</f>
        <v>BERLIAN AURELYA RAHMA</v>
      </c>
      <c r="C8" s="82" t="str">
        <f>PEMAGANG!D4</f>
        <v>AHMAD JALALUDDIN BASYAR</v>
      </c>
      <c r="D8" s="82" t="str">
        <f>PEMAGANG!E4</f>
        <v>KEMNAKER</v>
      </c>
      <c r="E8" s="75" t="str">
        <f t="shared" si="0"/>
        <v>Agustus</v>
      </c>
      <c r="F8" s="75">
        <f>MONTH(DATE(YEAR(SUMMARY!$C$6),MONTH(SUMMARY!$C$6)+2,1))</f>
        <v>8</v>
      </c>
      <c r="G8" s="83">
        <f>PEMAGANG!J4</f>
        <v>46244</v>
      </c>
      <c r="H8" s="83">
        <f>PEMAGANG!K4</f>
        <v>46295</v>
      </c>
      <c r="I8" s="75">
        <f>COUNTIFS(KALENDER!$D$3:$D$132,"Hari Kerja",KALENDER!$C$3:$C$132,F8,KALENDER!$A$3:$A$132,"&gt;="&amp;G8,KALENDER!$A$3:$A$132,"&lt;="&amp;H8)</f>
        <v>14</v>
      </c>
      <c r="J8" s="75">
        <f>COUNTIFS(KALENDER!$D$3:$D$132,"WFH",KALENDER!$C$3:$C$132,F8,KALENDER!$A$3:$A$132,"&gt;="&amp;G8,KALENDER!$A$3:$A$132,"&lt;="&amp;H8)</f>
        <v>0</v>
      </c>
      <c r="K8" s="75">
        <f>SUMIFS(ABSEN!$P$2:$P$4094,ABSEN!$B$2:$B$4094,$B8,ABSEN!$L$2:$L$4094,F8)</f>
        <v>14</v>
      </c>
      <c r="L8" s="75">
        <f>SUMIFS(ABSEN!$Q$2:$Q$4094,ABSEN!$B$2:$B$4094,$B8,ABSEN!$L$2:$L$4094,F8)</f>
        <v>0</v>
      </c>
      <c r="M8" s="75">
        <f>SUMIFS(ABSEN!$W$2:$W$4094,ABSEN!$B$2:$B$4094,$B8,ABSEN!$L$2:$L$4094,F8)</f>
        <v>14</v>
      </c>
      <c r="N8" s="75">
        <f>SUMIFS(ABSEN!$R$2:$R$4094,ABSEN!$B$2:$B$4094,$B8,ABSEN!$L$2:$L$4094,F8)</f>
        <v>1</v>
      </c>
      <c r="O8" s="75">
        <f>SUMIFS(ABSEN!$S$2:$S$4094,ABSEN!$B$2:$B$4094,$B8,ABSEN!$L$2:$L$4094,F8)</f>
        <v>261</v>
      </c>
      <c r="P8" s="75">
        <f>SUMIFS(ABSEN!$T$2:$T$4094,ABSEN!$B$2:$B$4094,$B8,ABSEN!$L$2:$L$4094,F8)</f>
        <v>0</v>
      </c>
      <c r="Q8" s="75">
        <f>SUMIFS(ABSEN!$U$2:$U$4094,ABSEN!$B$2:$B$4094,$B8,ABSEN!$L$2:$L$4094,F8)</f>
        <v>10</v>
      </c>
      <c r="R8" s="75">
        <f>COUNTIFS(AKTIVITAS!$B$2:$B$3052,$B8,AKTIVITAS!$G$2:$G$3052,F8)</f>
        <v>18</v>
      </c>
      <c r="S8" s="75" t="str">
        <f>PEMAGANG!F4</f>
        <v>PGS SM OF DIGITAL BUSSINES</v>
      </c>
      <c r="T8" s="75">
        <f>SUMIFS(AKTIVITAS!$H$2:$H$3052,AKTIVITAS!$B$2:$B$3052,$B8,AKTIVITAS!$G$2:$G$3052,F8)</f>
        <v>1191</v>
      </c>
    </row>
    <row r="9" spans="1:20" x14ac:dyDescent="0.2">
      <c r="A9" s="82" t="str">
        <f>PEMAGANG!B4</f>
        <v>MG/KH/4326</v>
      </c>
      <c r="B9" s="82" t="str">
        <f>PEMAGANG!C4</f>
        <v>BERLIAN AURELYA RAHMA</v>
      </c>
      <c r="C9" s="82" t="str">
        <f>PEMAGANG!D4</f>
        <v>AHMAD JALALUDDIN BASYAR</v>
      </c>
      <c r="D9" s="82" t="str">
        <f>PEMAGANG!E4</f>
        <v>KEMNAKER</v>
      </c>
      <c r="E9" s="75" t="str">
        <f t="shared" si="0"/>
        <v>September</v>
      </c>
      <c r="F9" s="75">
        <f>MONTH(DATE(YEAR(SUMMARY!$C$6),MONTH(SUMMARY!$C$6)+3,1))</f>
        <v>9</v>
      </c>
      <c r="G9" s="83">
        <f>PEMAGANG!J4</f>
        <v>46244</v>
      </c>
      <c r="H9" s="83">
        <f>PEMAGANG!K4</f>
        <v>46295</v>
      </c>
      <c r="I9" s="75">
        <f>COUNTIFS(KALENDER!$D$3:$D$132,"Hari Kerja",KALENDER!$C$3:$C$132,F9,KALENDER!$A$3:$A$132,"&gt;="&amp;G9,KALENDER!$A$3:$A$132,"&lt;="&amp;H9)</f>
        <v>22</v>
      </c>
      <c r="J9" s="75">
        <f>COUNTIFS(KALENDER!$D$3:$D$132,"WFH",KALENDER!$C$3:$C$132,F9,KALENDER!$A$3:$A$132,"&gt;="&amp;G9,KALENDER!$A$3:$A$132,"&lt;="&amp;H9)</f>
        <v>0</v>
      </c>
      <c r="K9" s="75">
        <f>SUMIFS(ABSEN!$P$2:$P$4094,ABSEN!$B$2:$B$4094,$B9,ABSEN!$L$2:$L$4094,F9)</f>
        <v>22</v>
      </c>
      <c r="L9" s="75">
        <f>SUMIFS(ABSEN!$Q$2:$Q$4094,ABSEN!$B$2:$B$4094,$B9,ABSEN!$L$2:$L$4094,F9)</f>
        <v>0</v>
      </c>
      <c r="M9" s="75">
        <f>SUMIFS(ABSEN!$W$2:$W$4094,ABSEN!$B$2:$B$4094,$B9,ABSEN!$L$2:$L$4094,F9)</f>
        <v>22</v>
      </c>
      <c r="N9" s="75">
        <f>SUMIFS(ABSEN!$R$2:$R$4094,ABSEN!$B$2:$B$4094,$B9,ABSEN!$L$2:$L$4094,F9)</f>
        <v>3</v>
      </c>
      <c r="O9" s="75">
        <f>SUMIFS(ABSEN!$S$2:$S$4094,ABSEN!$B$2:$B$4094,$B9,ABSEN!$L$2:$L$4094,F9)</f>
        <v>9.9999999999999645</v>
      </c>
      <c r="P9" s="75">
        <f>SUMIFS(ABSEN!$T$2:$T$4094,ABSEN!$B$2:$B$4094,$B9,ABSEN!$L$2:$L$4094,F9)</f>
        <v>2</v>
      </c>
      <c r="Q9" s="75">
        <f>SUMIFS(ABSEN!$U$2:$U$4094,ABSEN!$B$2:$B$4094,$B9,ABSEN!$L$2:$L$4094,F9)</f>
        <v>18</v>
      </c>
      <c r="R9" s="75">
        <f>COUNTIFS(AKTIVITAS!$B$2:$B$3052,$B9,AKTIVITAS!$G$2:$G$3052,F9)</f>
        <v>36</v>
      </c>
      <c r="S9" s="75" t="str">
        <f>PEMAGANG!F4</f>
        <v>PGS SM OF DIGITAL BUSSINES</v>
      </c>
      <c r="T9" s="75">
        <f>SUMIFS(AKTIVITAS!$H$2:$H$3052,AKTIVITAS!$B$2:$B$3052,$B9,AKTIVITAS!$G$2:$G$3052,F9)</f>
        <v>2050</v>
      </c>
    </row>
    <row r="10" spans="1:20" x14ac:dyDescent="0.2">
      <c r="A10" s="82" t="str">
        <f>PEMAGANG!B5</f>
        <v>MG/KH/4226</v>
      </c>
      <c r="B10" s="82" t="str">
        <f>PEMAGANG!C5</f>
        <v>CLARA OKTAVIA FIRDAUS</v>
      </c>
      <c r="C10" s="82" t="str">
        <f>PEMAGANG!D5</f>
        <v>AHMAD JALALUDDIN BASYAR</v>
      </c>
      <c r="D10" s="82" t="str">
        <f>PEMAGANG!E5</f>
        <v>KEMNAKER</v>
      </c>
      <c r="E10" s="75" t="str">
        <f t="shared" si="0"/>
        <v>Juni</v>
      </c>
      <c r="F10" s="75">
        <f>MONTH(DATE(YEAR(SUMMARY!$C$6),MONTH(SUMMARY!$C$6)+0,1))</f>
        <v>6</v>
      </c>
      <c r="G10" s="83">
        <f>PEMAGANG!J5</f>
        <v>46244</v>
      </c>
      <c r="H10" s="83">
        <f>PEMAGANG!K5</f>
        <v>46295</v>
      </c>
      <c r="I10" s="75">
        <f>COUNTIFS(KALENDER!$D$3:$D$132,"Hari Kerja",KALENDER!$C$3:$C$132,F10,KALENDER!$A$3:$A$132,"&gt;="&amp;G10,KALENDER!$A$3:$A$132,"&lt;="&amp;H10)</f>
        <v>0</v>
      </c>
      <c r="J10" s="75">
        <f>COUNTIFS(KALENDER!$D$3:$D$132,"WFH",KALENDER!$C$3:$C$132,F10,KALENDER!$A$3:$A$132,"&gt;="&amp;G10,KALENDER!$A$3:$A$132,"&lt;="&amp;H10)</f>
        <v>0</v>
      </c>
      <c r="K10" s="75">
        <f>SUMIFS(ABSEN!$P$2:$P$4094,ABSEN!$B$2:$B$4094,$B10,ABSEN!$L$2:$L$4094,F10)</f>
        <v>0</v>
      </c>
      <c r="L10" s="75">
        <f>SUMIFS(ABSEN!$Q$2:$Q$4094,ABSEN!$B$2:$B$4094,$B10,ABSEN!$L$2:$L$4094,F10)</f>
        <v>0</v>
      </c>
      <c r="M10" s="75">
        <f>SUMIFS(ABSEN!$W$2:$W$4094,ABSEN!$B$2:$B$4094,$B10,ABSEN!$L$2:$L$4094,F10)</f>
        <v>0</v>
      </c>
      <c r="N10" s="75">
        <f>SUMIFS(ABSEN!$R$2:$R$4094,ABSEN!$B$2:$B$4094,$B10,ABSEN!$L$2:$L$4094,F10)</f>
        <v>0</v>
      </c>
      <c r="O10" s="75">
        <f>SUMIFS(ABSEN!$S$2:$S$4094,ABSEN!$B$2:$B$4094,$B10,ABSEN!$L$2:$L$4094,F10)</f>
        <v>0</v>
      </c>
      <c r="P10" s="75">
        <f>SUMIFS(ABSEN!$T$2:$T$4094,ABSEN!$B$2:$B$4094,$B10,ABSEN!$L$2:$L$4094,F10)</f>
        <v>0</v>
      </c>
      <c r="Q10" s="75">
        <f>SUMIFS(ABSEN!$U$2:$U$4094,ABSEN!$B$2:$B$4094,$B10,ABSEN!$L$2:$L$4094,F10)</f>
        <v>0</v>
      </c>
      <c r="R10" s="75">
        <f>COUNTIFS(AKTIVITAS!$B$2:$B$3052,$B10,AKTIVITAS!$G$2:$G$3052,F10)</f>
        <v>0</v>
      </c>
      <c r="S10" s="75" t="str">
        <f>PEMAGANG!F5</f>
        <v>PGS SM OF DIGITAL BUSSINES</v>
      </c>
      <c r="T10" s="75">
        <f>SUMIFS(AKTIVITAS!$H$2:$H$3052,AKTIVITAS!$B$2:$B$3052,$B10,AKTIVITAS!$G$2:$G$3052,F10)</f>
        <v>0</v>
      </c>
    </row>
    <row r="11" spans="1:20" x14ac:dyDescent="0.2">
      <c r="A11" s="82" t="str">
        <f>PEMAGANG!B5</f>
        <v>MG/KH/4226</v>
      </c>
      <c r="B11" s="82" t="str">
        <f>PEMAGANG!C5</f>
        <v>CLARA OKTAVIA FIRDAUS</v>
      </c>
      <c r="C11" s="82" t="str">
        <f>PEMAGANG!D5</f>
        <v>AHMAD JALALUDDIN BASYAR</v>
      </c>
      <c r="D11" s="82" t="str">
        <f>PEMAGANG!E5</f>
        <v>KEMNAKER</v>
      </c>
      <c r="E11" s="75" t="str">
        <f t="shared" si="0"/>
        <v>Juli</v>
      </c>
      <c r="F11" s="75">
        <f>MONTH(DATE(YEAR(SUMMARY!$C$6),MONTH(SUMMARY!$C$6)+1,1))</f>
        <v>7</v>
      </c>
      <c r="G11" s="83">
        <f>PEMAGANG!J5</f>
        <v>46244</v>
      </c>
      <c r="H11" s="83">
        <f>PEMAGANG!K5</f>
        <v>46295</v>
      </c>
      <c r="I11" s="75">
        <f>COUNTIFS(KALENDER!$D$3:$D$132,"Hari Kerja",KALENDER!$C$3:$C$132,F11,KALENDER!$A$3:$A$132,"&gt;="&amp;G11,KALENDER!$A$3:$A$132,"&lt;="&amp;H11)</f>
        <v>0</v>
      </c>
      <c r="J11" s="75">
        <f>COUNTIFS(KALENDER!$D$3:$D$132,"WFH",KALENDER!$C$3:$C$132,F11,KALENDER!$A$3:$A$132,"&gt;="&amp;G11,KALENDER!$A$3:$A$132,"&lt;="&amp;H11)</f>
        <v>0</v>
      </c>
      <c r="K11" s="75">
        <f>SUMIFS(ABSEN!$P$2:$P$4094,ABSEN!$B$2:$B$4094,$B11,ABSEN!$L$2:$L$4094,F11)</f>
        <v>0</v>
      </c>
      <c r="L11" s="75">
        <f>SUMIFS(ABSEN!$Q$2:$Q$4094,ABSEN!$B$2:$B$4094,$B11,ABSEN!$L$2:$L$4094,F11)</f>
        <v>0</v>
      </c>
      <c r="M11" s="75">
        <f>SUMIFS(ABSEN!$W$2:$W$4094,ABSEN!$B$2:$B$4094,$B11,ABSEN!$L$2:$L$4094,F11)</f>
        <v>0</v>
      </c>
      <c r="N11" s="75">
        <f>SUMIFS(ABSEN!$R$2:$R$4094,ABSEN!$B$2:$B$4094,$B11,ABSEN!$L$2:$L$4094,F11)</f>
        <v>0</v>
      </c>
      <c r="O11" s="75">
        <f>SUMIFS(ABSEN!$S$2:$S$4094,ABSEN!$B$2:$B$4094,$B11,ABSEN!$L$2:$L$4094,F11)</f>
        <v>0</v>
      </c>
      <c r="P11" s="75">
        <f>SUMIFS(ABSEN!$T$2:$T$4094,ABSEN!$B$2:$B$4094,$B11,ABSEN!$L$2:$L$4094,F11)</f>
        <v>0</v>
      </c>
      <c r="Q11" s="75">
        <f>SUMIFS(ABSEN!$U$2:$U$4094,ABSEN!$B$2:$B$4094,$B11,ABSEN!$L$2:$L$4094,F11)</f>
        <v>0</v>
      </c>
      <c r="R11" s="75">
        <f>COUNTIFS(AKTIVITAS!$B$2:$B$3052,$B11,AKTIVITAS!$G$2:$G$3052,F11)</f>
        <v>0</v>
      </c>
      <c r="S11" s="75" t="str">
        <f>PEMAGANG!F5</f>
        <v>PGS SM OF DIGITAL BUSSINES</v>
      </c>
      <c r="T11" s="75">
        <f>SUMIFS(AKTIVITAS!$H$2:$H$3052,AKTIVITAS!$B$2:$B$3052,$B11,AKTIVITAS!$G$2:$G$3052,F11)</f>
        <v>0</v>
      </c>
    </row>
    <row r="12" spans="1:20" x14ac:dyDescent="0.2">
      <c r="A12" s="82" t="str">
        <f>PEMAGANG!B5</f>
        <v>MG/KH/4226</v>
      </c>
      <c r="B12" s="82" t="str">
        <f>PEMAGANG!C5</f>
        <v>CLARA OKTAVIA FIRDAUS</v>
      </c>
      <c r="C12" s="82" t="str">
        <f>PEMAGANG!D5</f>
        <v>AHMAD JALALUDDIN BASYAR</v>
      </c>
      <c r="D12" s="82" t="str">
        <f>PEMAGANG!E5</f>
        <v>KEMNAKER</v>
      </c>
      <c r="E12" s="75" t="str">
        <f t="shared" si="0"/>
        <v>Agustus</v>
      </c>
      <c r="F12" s="75">
        <f>MONTH(DATE(YEAR(SUMMARY!$C$6),MONTH(SUMMARY!$C$6)+2,1))</f>
        <v>8</v>
      </c>
      <c r="G12" s="83">
        <f>PEMAGANG!J5</f>
        <v>46244</v>
      </c>
      <c r="H12" s="83">
        <f>PEMAGANG!K5</f>
        <v>46295</v>
      </c>
      <c r="I12" s="75">
        <f>COUNTIFS(KALENDER!$D$3:$D$132,"Hari Kerja",KALENDER!$C$3:$C$132,F12,KALENDER!$A$3:$A$132,"&gt;="&amp;G12,KALENDER!$A$3:$A$132,"&lt;="&amp;H12)</f>
        <v>14</v>
      </c>
      <c r="J12" s="75">
        <f>COUNTIFS(KALENDER!$D$3:$D$132,"WFH",KALENDER!$C$3:$C$132,F12,KALENDER!$A$3:$A$132,"&gt;="&amp;G12,KALENDER!$A$3:$A$132,"&lt;="&amp;H12)</f>
        <v>0</v>
      </c>
      <c r="K12" s="75">
        <f>SUMIFS(ABSEN!$P$2:$P$4094,ABSEN!$B$2:$B$4094,$B12,ABSEN!$L$2:$L$4094,F12)</f>
        <v>13</v>
      </c>
      <c r="L12" s="75">
        <f>SUMIFS(ABSEN!$Q$2:$Q$4094,ABSEN!$B$2:$B$4094,$B12,ABSEN!$L$2:$L$4094,F12)</f>
        <v>0</v>
      </c>
      <c r="M12" s="75">
        <f>SUMIFS(ABSEN!$W$2:$W$4094,ABSEN!$B$2:$B$4094,$B12,ABSEN!$L$2:$L$4094,F12)</f>
        <v>13</v>
      </c>
      <c r="N12" s="75">
        <f>SUMIFS(ABSEN!$R$2:$R$4094,ABSEN!$B$2:$B$4094,$B12,ABSEN!$L$2:$L$4094,F12)</f>
        <v>1</v>
      </c>
      <c r="O12" s="75">
        <f>SUMIFS(ABSEN!$S$2:$S$4094,ABSEN!$B$2:$B$4094,$B12,ABSEN!$L$2:$L$4094,F12)</f>
        <v>262</v>
      </c>
      <c r="P12" s="75">
        <f>SUMIFS(ABSEN!$T$2:$T$4094,ABSEN!$B$2:$B$4094,$B12,ABSEN!$L$2:$L$4094,F12)</f>
        <v>0</v>
      </c>
      <c r="Q12" s="75">
        <f>SUMIFS(ABSEN!$U$2:$U$4094,ABSEN!$B$2:$B$4094,$B12,ABSEN!$L$2:$L$4094,F12)</f>
        <v>8</v>
      </c>
      <c r="R12" s="75">
        <f>COUNTIFS(AKTIVITAS!$B$2:$B$3052,$B12,AKTIVITAS!$G$2:$G$3052,F12)</f>
        <v>15</v>
      </c>
      <c r="S12" s="75" t="str">
        <f>PEMAGANG!F5</f>
        <v>PGS SM OF DIGITAL BUSSINES</v>
      </c>
      <c r="T12" s="75">
        <f>SUMIFS(AKTIVITAS!$H$2:$H$3052,AKTIVITAS!$B$2:$B$3052,$B12,AKTIVITAS!$G$2:$G$3052,F12)</f>
        <v>647</v>
      </c>
    </row>
    <row r="13" spans="1:20" x14ac:dyDescent="0.2">
      <c r="A13" s="82" t="str">
        <f>PEMAGANG!B5</f>
        <v>MG/KH/4226</v>
      </c>
      <c r="B13" s="82" t="str">
        <f>PEMAGANG!C5</f>
        <v>CLARA OKTAVIA FIRDAUS</v>
      </c>
      <c r="C13" s="82" t="str">
        <f>PEMAGANG!D5</f>
        <v>AHMAD JALALUDDIN BASYAR</v>
      </c>
      <c r="D13" s="82" t="str">
        <f>PEMAGANG!E5</f>
        <v>KEMNAKER</v>
      </c>
      <c r="E13" s="75" t="str">
        <f t="shared" si="0"/>
        <v>September</v>
      </c>
      <c r="F13" s="75">
        <f>MONTH(DATE(YEAR(SUMMARY!$C$6),MONTH(SUMMARY!$C$6)+3,1))</f>
        <v>9</v>
      </c>
      <c r="G13" s="83">
        <f>PEMAGANG!J5</f>
        <v>46244</v>
      </c>
      <c r="H13" s="83">
        <f>PEMAGANG!K5</f>
        <v>46295</v>
      </c>
      <c r="I13" s="75">
        <f>COUNTIFS(KALENDER!$D$3:$D$132,"Hari Kerja",KALENDER!$C$3:$C$132,F13,KALENDER!$A$3:$A$132,"&gt;="&amp;G13,KALENDER!$A$3:$A$132,"&lt;="&amp;H13)</f>
        <v>22</v>
      </c>
      <c r="J13" s="75">
        <f>COUNTIFS(KALENDER!$D$3:$D$132,"WFH",KALENDER!$C$3:$C$132,F13,KALENDER!$A$3:$A$132,"&gt;="&amp;G13,KALENDER!$A$3:$A$132,"&lt;="&amp;H13)</f>
        <v>0</v>
      </c>
      <c r="K13" s="75">
        <f>SUMIFS(ABSEN!$P$2:$P$4094,ABSEN!$B$2:$B$4094,$B13,ABSEN!$L$2:$L$4094,F13)</f>
        <v>20</v>
      </c>
      <c r="L13" s="75">
        <f>SUMIFS(ABSEN!$Q$2:$Q$4094,ABSEN!$B$2:$B$4094,$B13,ABSEN!$L$2:$L$4094,F13)</f>
        <v>0</v>
      </c>
      <c r="M13" s="75">
        <f>SUMIFS(ABSEN!$W$2:$W$4094,ABSEN!$B$2:$B$4094,$B13,ABSEN!$L$2:$L$4094,F13)</f>
        <v>20</v>
      </c>
      <c r="N13" s="75">
        <f>SUMIFS(ABSEN!$R$2:$R$4094,ABSEN!$B$2:$B$4094,$B13,ABSEN!$L$2:$L$4094,F13)</f>
        <v>4</v>
      </c>
      <c r="O13" s="75">
        <f>SUMIFS(ABSEN!$S$2:$S$4094,ABSEN!$B$2:$B$4094,$B13,ABSEN!$L$2:$L$4094,F13)</f>
        <v>20.999999999999972</v>
      </c>
      <c r="P13" s="75">
        <f>SUMIFS(ABSEN!$T$2:$T$4094,ABSEN!$B$2:$B$4094,$B13,ABSEN!$L$2:$L$4094,F13)</f>
        <v>2</v>
      </c>
      <c r="Q13" s="75">
        <f>SUMIFS(ABSEN!$U$2:$U$4094,ABSEN!$B$2:$B$4094,$B13,ABSEN!$L$2:$L$4094,F13)</f>
        <v>20</v>
      </c>
      <c r="R13" s="75">
        <f>COUNTIFS(AKTIVITAS!$B$2:$B$3052,$B13,AKTIVITAS!$G$2:$G$3052,F13)</f>
        <v>34</v>
      </c>
      <c r="S13" s="75" t="str">
        <f>PEMAGANG!F5</f>
        <v>PGS SM OF DIGITAL BUSSINES</v>
      </c>
      <c r="T13" s="75">
        <f>SUMIFS(AKTIVITAS!$H$2:$H$3052,AKTIVITAS!$B$2:$B$3052,$B13,AKTIVITAS!$G$2:$G$3052,F13)</f>
        <v>1222</v>
      </c>
    </row>
    <row r="14" spans="1:20" x14ac:dyDescent="0.2">
      <c r="A14" s="82" t="str">
        <f>PEMAGANG!B6</f>
        <v>MG3625</v>
      </c>
      <c r="B14" s="82" t="str">
        <f>PEMAGANG!C6</f>
        <v>NELLA DIFA SALSABILAH</v>
      </c>
      <c r="C14" s="82" t="str">
        <f>PEMAGANG!D6</f>
        <v>AHMAD JALALUDDIN BASYAR</v>
      </c>
      <c r="D14" s="82" t="str">
        <f>PEMAGANG!E6</f>
        <v>Kontrak Project</v>
      </c>
      <c r="E14" s="75" t="str">
        <f t="shared" si="0"/>
        <v>Juni</v>
      </c>
      <c r="F14" s="75">
        <f>MONTH(DATE(YEAR(SUMMARY!$C$6),MONTH(SUMMARY!$C$6)+0,1))</f>
        <v>6</v>
      </c>
      <c r="G14" s="83">
        <f>PEMAGANG!J6</f>
        <v>46174</v>
      </c>
      <c r="H14" s="83">
        <f>PEMAGANG!K6</f>
        <v>46295</v>
      </c>
      <c r="I14" s="75">
        <f>COUNTIFS(KALENDER!$D$3:$D$132,"Hari Kerja",KALENDER!$C$3:$C$132,F14,KALENDER!$A$3:$A$132,"&gt;="&amp;G14,KALENDER!$A$3:$A$132,"&lt;="&amp;H14)</f>
        <v>16</v>
      </c>
      <c r="J14" s="75">
        <f>COUNTIFS(KALENDER!$D$3:$D$132,"WFH",KALENDER!$C$3:$C$132,F14,KALENDER!$A$3:$A$132,"&gt;="&amp;G14,KALENDER!$A$3:$A$132,"&lt;="&amp;H14)</f>
        <v>4</v>
      </c>
      <c r="K14" s="75">
        <f>SUMIFS(ABSEN!$P$2:$P$4094,ABSEN!$B$2:$B$4094,$B14,ABSEN!$L$2:$L$4094,F14)</f>
        <v>16</v>
      </c>
      <c r="L14" s="75">
        <f>SUMIFS(ABSEN!$Q$2:$Q$4094,ABSEN!$B$2:$B$4094,$B14,ABSEN!$L$2:$L$4094,F14)</f>
        <v>4</v>
      </c>
      <c r="M14" s="75">
        <f>SUMIFS(ABSEN!$W$2:$W$4094,ABSEN!$B$2:$B$4094,$B14,ABSEN!$L$2:$L$4094,F14)</f>
        <v>20</v>
      </c>
      <c r="N14" s="75">
        <f>SUMIFS(ABSEN!$R$2:$R$4094,ABSEN!$B$2:$B$4094,$B14,ABSEN!$L$2:$L$4094,F14)</f>
        <v>3</v>
      </c>
      <c r="O14" s="75">
        <f>SUMIFS(ABSEN!$S$2:$S$4094,ABSEN!$B$2:$B$4094,$B14,ABSEN!$L$2:$L$4094,F14)</f>
        <v>5.9999999999999822</v>
      </c>
      <c r="P14" s="75">
        <f>SUMIFS(ABSEN!$T$2:$T$4094,ABSEN!$B$2:$B$4094,$B14,ABSEN!$L$2:$L$4094,F14)</f>
        <v>1</v>
      </c>
      <c r="Q14" s="75">
        <f>SUMIFS(ABSEN!$U$2:$U$4094,ABSEN!$B$2:$B$4094,$B14,ABSEN!$L$2:$L$4094,F14)</f>
        <v>19</v>
      </c>
      <c r="R14" s="75">
        <f>COUNTIFS(AKTIVITAS!$B$2:$B$3052,$B14,AKTIVITAS!$G$2:$G$3052,F14)</f>
        <v>39</v>
      </c>
      <c r="S14" s="75" t="str">
        <f>PEMAGANG!F6</f>
        <v>PGS SM OF DIGITAL BUSSINES</v>
      </c>
      <c r="T14" s="75">
        <f>SUMIFS(AKTIVITAS!$H$2:$H$3052,AKTIVITAS!$B$2:$B$3052,$B14,AKTIVITAS!$G$2:$G$3052,F14)</f>
        <v>298</v>
      </c>
    </row>
    <row r="15" spans="1:20" x14ac:dyDescent="0.2">
      <c r="A15" s="82" t="str">
        <f>PEMAGANG!B6</f>
        <v>MG3625</v>
      </c>
      <c r="B15" s="82" t="str">
        <f>PEMAGANG!C6</f>
        <v>NELLA DIFA SALSABILAH</v>
      </c>
      <c r="C15" s="82" t="str">
        <f>PEMAGANG!D6</f>
        <v>AHMAD JALALUDDIN BASYAR</v>
      </c>
      <c r="D15" s="82" t="str">
        <f>PEMAGANG!E6</f>
        <v>Kontrak Project</v>
      </c>
      <c r="E15" s="75" t="str">
        <f t="shared" si="0"/>
        <v>Juli</v>
      </c>
      <c r="F15" s="75">
        <f>MONTH(DATE(YEAR(SUMMARY!$C$6),MONTH(SUMMARY!$C$6)+1,1))</f>
        <v>7</v>
      </c>
      <c r="G15" s="83">
        <f>PEMAGANG!J6</f>
        <v>46174</v>
      </c>
      <c r="H15" s="83">
        <f>PEMAGANG!K6</f>
        <v>46295</v>
      </c>
      <c r="I15" s="75">
        <f>COUNTIFS(KALENDER!$D$3:$D$132,"Hari Kerja",KALENDER!$C$3:$C$132,F15,KALENDER!$A$3:$A$132,"&gt;="&amp;G15,KALENDER!$A$3:$A$132,"&lt;="&amp;H15)</f>
        <v>18</v>
      </c>
      <c r="J15" s="75">
        <f>COUNTIFS(KALENDER!$D$3:$D$132,"WFH",KALENDER!$C$3:$C$132,F15,KALENDER!$A$3:$A$132,"&gt;="&amp;G15,KALENDER!$A$3:$A$132,"&lt;="&amp;H15)</f>
        <v>5</v>
      </c>
      <c r="K15" s="75">
        <f>SUMIFS(ABSEN!$P$2:$P$4094,ABSEN!$B$2:$B$4094,$B15,ABSEN!$L$2:$L$4094,F15)</f>
        <v>18</v>
      </c>
      <c r="L15" s="75">
        <f>SUMIFS(ABSEN!$Q$2:$Q$4094,ABSEN!$B$2:$B$4094,$B15,ABSEN!$L$2:$L$4094,F15)</f>
        <v>5</v>
      </c>
      <c r="M15" s="75">
        <f>SUMIFS(ABSEN!$W$2:$W$4094,ABSEN!$B$2:$B$4094,$B15,ABSEN!$L$2:$L$4094,F15)</f>
        <v>23</v>
      </c>
      <c r="N15" s="75">
        <f>SUMIFS(ABSEN!$R$2:$R$4094,ABSEN!$B$2:$B$4094,$B15,ABSEN!$L$2:$L$4094,F15)</f>
        <v>0</v>
      </c>
      <c r="O15" s="75">
        <f>SUMIFS(ABSEN!$S$2:$S$4094,ABSEN!$B$2:$B$4094,$B15,ABSEN!$L$2:$L$4094,F15)</f>
        <v>0</v>
      </c>
      <c r="P15" s="75">
        <f>SUMIFS(ABSEN!$T$2:$T$4094,ABSEN!$B$2:$B$4094,$B15,ABSEN!$L$2:$L$4094,F15)</f>
        <v>0</v>
      </c>
      <c r="Q15" s="75">
        <f>SUMIFS(ABSEN!$U$2:$U$4094,ABSEN!$B$2:$B$4094,$B15,ABSEN!$L$2:$L$4094,F15)</f>
        <v>23</v>
      </c>
      <c r="R15" s="75">
        <f>COUNTIFS(AKTIVITAS!$B$2:$B$3052,$B15,AKTIVITAS!$G$2:$G$3052,F15)</f>
        <v>47</v>
      </c>
      <c r="S15" s="75" t="str">
        <f>PEMAGANG!F6</f>
        <v>PGS SM OF DIGITAL BUSSINES</v>
      </c>
      <c r="T15" s="75">
        <f>SUMIFS(AKTIVITAS!$H$2:$H$3052,AKTIVITAS!$B$2:$B$3052,$B15,AKTIVITAS!$G$2:$G$3052,F15)</f>
        <v>485</v>
      </c>
    </row>
    <row r="16" spans="1:20" x14ac:dyDescent="0.2">
      <c r="A16" s="82" t="str">
        <f>PEMAGANG!B6</f>
        <v>MG3625</v>
      </c>
      <c r="B16" s="82" t="str">
        <f>PEMAGANG!C6</f>
        <v>NELLA DIFA SALSABILAH</v>
      </c>
      <c r="C16" s="82" t="str">
        <f>PEMAGANG!D6</f>
        <v>AHMAD JALALUDDIN BASYAR</v>
      </c>
      <c r="D16" s="82" t="str">
        <f>PEMAGANG!E6</f>
        <v>Kontrak Project</v>
      </c>
      <c r="E16" s="75" t="str">
        <f t="shared" si="0"/>
        <v>Agustus</v>
      </c>
      <c r="F16" s="75">
        <f>MONTH(DATE(YEAR(SUMMARY!$C$6),MONTH(SUMMARY!$C$6)+2,1))</f>
        <v>8</v>
      </c>
      <c r="G16" s="83">
        <f>PEMAGANG!J6</f>
        <v>46174</v>
      </c>
      <c r="H16" s="83">
        <f>PEMAGANG!K6</f>
        <v>46295</v>
      </c>
      <c r="I16" s="75">
        <f>COUNTIFS(KALENDER!$D$3:$D$132,"Hari Kerja",KALENDER!$C$3:$C$132,F16,KALENDER!$A$3:$A$132,"&gt;="&amp;G16,KALENDER!$A$3:$A$132,"&lt;="&amp;H16)</f>
        <v>19</v>
      </c>
      <c r="J16" s="75">
        <f>COUNTIFS(KALENDER!$D$3:$D$132,"WFH",KALENDER!$C$3:$C$132,F16,KALENDER!$A$3:$A$132,"&gt;="&amp;G16,KALENDER!$A$3:$A$132,"&lt;="&amp;H16)</f>
        <v>0</v>
      </c>
      <c r="K16" s="75">
        <f>SUMIFS(ABSEN!$P$2:$P$4094,ABSEN!$B$2:$B$4094,$B16,ABSEN!$L$2:$L$4094,F16)</f>
        <v>19</v>
      </c>
      <c r="L16" s="75">
        <f>SUMIFS(ABSEN!$Q$2:$Q$4094,ABSEN!$B$2:$B$4094,$B16,ABSEN!$L$2:$L$4094,F16)</f>
        <v>0</v>
      </c>
      <c r="M16" s="75">
        <f>SUMIFS(ABSEN!$W$2:$W$4094,ABSEN!$B$2:$B$4094,$B16,ABSEN!$L$2:$L$4094,F16)</f>
        <v>19</v>
      </c>
      <c r="N16" s="75">
        <f>SUMIFS(ABSEN!$R$2:$R$4094,ABSEN!$B$2:$B$4094,$B16,ABSEN!$L$2:$L$4094,F16)</f>
        <v>1</v>
      </c>
      <c r="O16" s="75">
        <f>SUMIFS(ABSEN!$S$2:$S$4094,ABSEN!$B$2:$B$4094,$B16,ABSEN!$L$2:$L$4094,F16)</f>
        <v>1.99999999999999</v>
      </c>
      <c r="P16" s="75">
        <f>SUMIFS(ABSEN!$T$2:$T$4094,ABSEN!$B$2:$B$4094,$B16,ABSEN!$L$2:$L$4094,F16)</f>
        <v>0</v>
      </c>
      <c r="Q16" s="75">
        <f>SUMIFS(ABSEN!$U$2:$U$4094,ABSEN!$B$2:$B$4094,$B16,ABSEN!$L$2:$L$4094,F16)</f>
        <v>19</v>
      </c>
      <c r="R16" s="75">
        <f>COUNTIFS(AKTIVITAS!$B$2:$B$3052,$B16,AKTIVITAS!$G$2:$G$3052,F16)</f>
        <v>38</v>
      </c>
      <c r="S16" s="75" t="str">
        <f>PEMAGANG!F6</f>
        <v>PGS SM OF DIGITAL BUSSINES</v>
      </c>
      <c r="T16" s="75">
        <f>SUMIFS(AKTIVITAS!$H$2:$H$3052,AKTIVITAS!$B$2:$B$3052,$B16,AKTIVITAS!$G$2:$G$3052,F16)</f>
        <v>313</v>
      </c>
    </row>
    <row r="17" spans="1:20" x14ac:dyDescent="0.2">
      <c r="A17" s="82" t="str">
        <f>PEMAGANG!B6</f>
        <v>MG3625</v>
      </c>
      <c r="B17" s="82" t="str">
        <f>PEMAGANG!C6</f>
        <v>NELLA DIFA SALSABILAH</v>
      </c>
      <c r="C17" s="82" t="str">
        <f>PEMAGANG!D6</f>
        <v>AHMAD JALALUDDIN BASYAR</v>
      </c>
      <c r="D17" s="82" t="str">
        <f>PEMAGANG!E6</f>
        <v>Kontrak Project</v>
      </c>
      <c r="E17" s="75" t="str">
        <f t="shared" si="0"/>
        <v>September</v>
      </c>
      <c r="F17" s="75">
        <f>MONTH(DATE(YEAR(SUMMARY!$C$6),MONTH(SUMMARY!$C$6)+3,1))</f>
        <v>9</v>
      </c>
      <c r="G17" s="83">
        <f>PEMAGANG!J6</f>
        <v>46174</v>
      </c>
      <c r="H17" s="83">
        <f>PEMAGANG!K6</f>
        <v>46295</v>
      </c>
      <c r="I17" s="75">
        <f>COUNTIFS(KALENDER!$D$3:$D$132,"Hari Kerja",KALENDER!$C$3:$C$132,F17,KALENDER!$A$3:$A$132,"&gt;="&amp;G17,KALENDER!$A$3:$A$132,"&lt;="&amp;H17)</f>
        <v>22</v>
      </c>
      <c r="J17" s="75">
        <f>COUNTIFS(KALENDER!$D$3:$D$132,"WFH",KALENDER!$C$3:$C$132,F17,KALENDER!$A$3:$A$132,"&gt;="&amp;G17,KALENDER!$A$3:$A$132,"&lt;="&amp;H17)</f>
        <v>0</v>
      </c>
      <c r="K17" s="75">
        <f>SUMIFS(ABSEN!$P$2:$P$4094,ABSEN!$B$2:$B$4094,$B17,ABSEN!$L$2:$L$4094,F17)</f>
        <v>22</v>
      </c>
      <c r="L17" s="75">
        <f>SUMIFS(ABSEN!$Q$2:$Q$4094,ABSEN!$B$2:$B$4094,$B17,ABSEN!$L$2:$L$4094,F17)</f>
        <v>0</v>
      </c>
      <c r="M17" s="75">
        <f>SUMIFS(ABSEN!$W$2:$W$4094,ABSEN!$B$2:$B$4094,$B17,ABSEN!$L$2:$L$4094,F17)</f>
        <v>22</v>
      </c>
      <c r="N17" s="75">
        <f>SUMIFS(ABSEN!$R$2:$R$4094,ABSEN!$B$2:$B$4094,$B17,ABSEN!$L$2:$L$4094,F17)</f>
        <v>0</v>
      </c>
      <c r="O17" s="75">
        <f>SUMIFS(ABSEN!$S$2:$S$4094,ABSEN!$B$2:$B$4094,$B17,ABSEN!$L$2:$L$4094,F17)</f>
        <v>0</v>
      </c>
      <c r="P17" s="75">
        <f>SUMIFS(ABSEN!$T$2:$T$4094,ABSEN!$B$2:$B$4094,$B17,ABSEN!$L$2:$L$4094,F17)</f>
        <v>0</v>
      </c>
      <c r="Q17" s="75">
        <f>SUMIFS(ABSEN!$U$2:$U$4094,ABSEN!$B$2:$B$4094,$B17,ABSEN!$L$2:$L$4094,F17)</f>
        <v>22</v>
      </c>
      <c r="R17" s="75">
        <f>COUNTIFS(AKTIVITAS!$B$2:$B$3052,$B17,AKTIVITAS!$G$2:$G$3052,F17)</f>
        <v>44</v>
      </c>
      <c r="S17" s="75" t="str">
        <f>PEMAGANG!F6</f>
        <v>PGS SM OF DIGITAL BUSSINES</v>
      </c>
      <c r="T17" s="75">
        <f>SUMIFS(AKTIVITAS!$H$2:$H$3052,AKTIVITAS!$B$2:$B$3052,$B17,AKTIVITAS!$G$2:$G$3052,F17)</f>
        <v>330</v>
      </c>
    </row>
    <row r="18" spans="1:20" x14ac:dyDescent="0.2">
      <c r="A18" s="82" t="str">
        <f>PEMAGANG!B7</f>
        <v>MG/KH/4526</v>
      </c>
      <c r="B18" s="82" t="str">
        <f>PEMAGANG!C7</f>
        <v>SYAKIRAH TSALTSA FITRIAH</v>
      </c>
      <c r="C18" s="82" t="str">
        <f>PEMAGANG!D7</f>
        <v>AHMAD JALALUDDIN BASYAR</v>
      </c>
      <c r="D18" s="82" t="str">
        <f>PEMAGANG!E7</f>
        <v>KEMNAKER</v>
      </c>
      <c r="E18" s="75" t="str">
        <f t="shared" si="0"/>
        <v>Juni</v>
      </c>
      <c r="F18" s="75">
        <f>MONTH(DATE(YEAR(SUMMARY!$C$6),MONTH(SUMMARY!$C$6)+0,1))</f>
        <v>6</v>
      </c>
      <c r="G18" s="83">
        <f>PEMAGANG!J7</f>
        <v>46244</v>
      </c>
      <c r="H18" s="83">
        <f>PEMAGANG!K7</f>
        <v>46295</v>
      </c>
      <c r="I18" s="75">
        <f>COUNTIFS(KALENDER!$D$3:$D$132,"Hari Kerja",KALENDER!$C$3:$C$132,F18,KALENDER!$A$3:$A$132,"&gt;="&amp;G18,KALENDER!$A$3:$A$132,"&lt;="&amp;H18)</f>
        <v>0</v>
      </c>
      <c r="J18" s="75">
        <f>COUNTIFS(KALENDER!$D$3:$D$132,"WFH",KALENDER!$C$3:$C$132,F18,KALENDER!$A$3:$A$132,"&gt;="&amp;G18,KALENDER!$A$3:$A$132,"&lt;="&amp;H18)</f>
        <v>0</v>
      </c>
      <c r="K18" s="75">
        <f>SUMIFS(ABSEN!$P$2:$P$4094,ABSEN!$B$2:$B$4094,$B18,ABSEN!$L$2:$L$4094,F18)</f>
        <v>0</v>
      </c>
      <c r="L18" s="75">
        <f>SUMIFS(ABSEN!$Q$2:$Q$4094,ABSEN!$B$2:$B$4094,$B18,ABSEN!$L$2:$L$4094,F18)</f>
        <v>0</v>
      </c>
      <c r="M18" s="75">
        <f>SUMIFS(ABSEN!$W$2:$W$4094,ABSEN!$B$2:$B$4094,$B18,ABSEN!$L$2:$L$4094,F18)</f>
        <v>0</v>
      </c>
      <c r="N18" s="75">
        <f>SUMIFS(ABSEN!$R$2:$R$4094,ABSEN!$B$2:$B$4094,$B18,ABSEN!$L$2:$L$4094,F18)</f>
        <v>0</v>
      </c>
      <c r="O18" s="75">
        <f>SUMIFS(ABSEN!$S$2:$S$4094,ABSEN!$B$2:$B$4094,$B18,ABSEN!$L$2:$L$4094,F18)</f>
        <v>0</v>
      </c>
      <c r="P18" s="75">
        <f>SUMIFS(ABSEN!$T$2:$T$4094,ABSEN!$B$2:$B$4094,$B18,ABSEN!$L$2:$L$4094,F18)</f>
        <v>0</v>
      </c>
      <c r="Q18" s="75">
        <f>SUMIFS(ABSEN!$U$2:$U$4094,ABSEN!$B$2:$B$4094,$B18,ABSEN!$L$2:$L$4094,F18)</f>
        <v>0</v>
      </c>
      <c r="R18" s="75">
        <f>COUNTIFS(AKTIVITAS!$B$2:$B$3052,$B18,AKTIVITAS!$G$2:$G$3052,F18)</f>
        <v>0</v>
      </c>
      <c r="S18" s="75" t="str">
        <f>PEMAGANG!F7</f>
        <v>PGS SM OF DIGITAL BUSSINES</v>
      </c>
      <c r="T18" s="75">
        <f>SUMIFS(AKTIVITAS!$H$2:$H$3052,AKTIVITAS!$B$2:$B$3052,$B18,AKTIVITAS!$G$2:$G$3052,F18)</f>
        <v>0</v>
      </c>
    </row>
    <row r="19" spans="1:20" x14ac:dyDescent="0.2">
      <c r="A19" s="82" t="str">
        <f>PEMAGANG!B7</f>
        <v>MG/KH/4526</v>
      </c>
      <c r="B19" s="82" t="str">
        <f>PEMAGANG!C7</f>
        <v>SYAKIRAH TSALTSA FITRIAH</v>
      </c>
      <c r="C19" s="82" t="str">
        <f>PEMAGANG!D7</f>
        <v>AHMAD JALALUDDIN BASYAR</v>
      </c>
      <c r="D19" s="82" t="str">
        <f>PEMAGANG!E7</f>
        <v>KEMNAKER</v>
      </c>
      <c r="E19" s="75" t="str">
        <f t="shared" si="0"/>
        <v>Juli</v>
      </c>
      <c r="F19" s="75">
        <f>MONTH(DATE(YEAR(SUMMARY!$C$6),MONTH(SUMMARY!$C$6)+1,1))</f>
        <v>7</v>
      </c>
      <c r="G19" s="83">
        <f>PEMAGANG!J7</f>
        <v>46244</v>
      </c>
      <c r="H19" s="83">
        <f>PEMAGANG!K7</f>
        <v>46295</v>
      </c>
      <c r="I19" s="75">
        <f>COUNTIFS(KALENDER!$D$3:$D$132,"Hari Kerja",KALENDER!$C$3:$C$132,F19,KALENDER!$A$3:$A$132,"&gt;="&amp;G19,KALENDER!$A$3:$A$132,"&lt;="&amp;H19)</f>
        <v>0</v>
      </c>
      <c r="J19" s="75">
        <f>COUNTIFS(KALENDER!$D$3:$D$132,"WFH",KALENDER!$C$3:$C$132,F19,KALENDER!$A$3:$A$132,"&gt;="&amp;G19,KALENDER!$A$3:$A$132,"&lt;="&amp;H19)</f>
        <v>0</v>
      </c>
      <c r="K19" s="75">
        <f>SUMIFS(ABSEN!$P$2:$P$4094,ABSEN!$B$2:$B$4094,$B19,ABSEN!$L$2:$L$4094,F19)</f>
        <v>0</v>
      </c>
      <c r="L19" s="75">
        <f>SUMIFS(ABSEN!$Q$2:$Q$4094,ABSEN!$B$2:$B$4094,$B19,ABSEN!$L$2:$L$4094,F19)</f>
        <v>0</v>
      </c>
      <c r="M19" s="75">
        <f>SUMIFS(ABSEN!$W$2:$W$4094,ABSEN!$B$2:$B$4094,$B19,ABSEN!$L$2:$L$4094,F19)</f>
        <v>0</v>
      </c>
      <c r="N19" s="75">
        <f>SUMIFS(ABSEN!$R$2:$R$4094,ABSEN!$B$2:$B$4094,$B19,ABSEN!$L$2:$L$4094,F19)</f>
        <v>0</v>
      </c>
      <c r="O19" s="75">
        <f>SUMIFS(ABSEN!$S$2:$S$4094,ABSEN!$B$2:$B$4094,$B19,ABSEN!$L$2:$L$4094,F19)</f>
        <v>0</v>
      </c>
      <c r="P19" s="75">
        <f>SUMIFS(ABSEN!$T$2:$T$4094,ABSEN!$B$2:$B$4094,$B19,ABSEN!$L$2:$L$4094,F19)</f>
        <v>0</v>
      </c>
      <c r="Q19" s="75">
        <f>SUMIFS(ABSEN!$U$2:$U$4094,ABSEN!$B$2:$B$4094,$B19,ABSEN!$L$2:$L$4094,F19)</f>
        <v>0</v>
      </c>
      <c r="R19" s="75">
        <f>COUNTIFS(AKTIVITAS!$B$2:$B$3052,$B19,AKTIVITAS!$G$2:$G$3052,F19)</f>
        <v>0</v>
      </c>
      <c r="S19" s="75" t="str">
        <f>PEMAGANG!F7</f>
        <v>PGS SM OF DIGITAL BUSSINES</v>
      </c>
      <c r="T19" s="75">
        <f>SUMIFS(AKTIVITAS!$H$2:$H$3052,AKTIVITAS!$B$2:$B$3052,$B19,AKTIVITAS!$G$2:$G$3052,F19)</f>
        <v>0</v>
      </c>
    </row>
    <row r="20" spans="1:20" x14ac:dyDescent="0.2">
      <c r="A20" s="82" t="str">
        <f>PEMAGANG!B7</f>
        <v>MG/KH/4526</v>
      </c>
      <c r="B20" s="82" t="str">
        <f>PEMAGANG!C7</f>
        <v>SYAKIRAH TSALTSA FITRIAH</v>
      </c>
      <c r="C20" s="82" t="str">
        <f>PEMAGANG!D7</f>
        <v>AHMAD JALALUDDIN BASYAR</v>
      </c>
      <c r="D20" s="82" t="str">
        <f>PEMAGANG!E7</f>
        <v>KEMNAKER</v>
      </c>
      <c r="E20" s="75" t="str">
        <f t="shared" si="0"/>
        <v>Agustus</v>
      </c>
      <c r="F20" s="75">
        <f>MONTH(DATE(YEAR(SUMMARY!$C$6),MONTH(SUMMARY!$C$6)+2,1))</f>
        <v>8</v>
      </c>
      <c r="G20" s="83">
        <f>PEMAGANG!J7</f>
        <v>46244</v>
      </c>
      <c r="H20" s="83">
        <f>PEMAGANG!K7</f>
        <v>46295</v>
      </c>
      <c r="I20" s="75">
        <f>COUNTIFS(KALENDER!$D$3:$D$132,"Hari Kerja",KALENDER!$C$3:$C$132,F20,KALENDER!$A$3:$A$132,"&gt;="&amp;G20,KALENDER!$A$3:$A$132,"&lt;="&amp;H20)</f>
        <v>14</v>
      </c>
      <c r="J20" s="75">
        <f>COUNTIFS(KALENDER!$D$3:$D$132,"WFH",KALENDER!$C$3:$C$132,F20,KALENDER!$A$3:$A$132,"&gt;="&amp;G20,KALENDER!$A$3:$A$132,"&lt;="&amp;H20)</f>
        <v>0</v>
      </c>
      <c r="K20" s="75">
        <f>SUMIFS(ABSEN!$P$2:$P$4094,ABSEN!$B$2:$B$4094,$B20,ABSEN!$L$2:$L$4094,F20)</f>
        <v>14</v>
      </c>
      <c r="L20" s="75">
        <f>SUMIFS(ABSEN!$Q$2:$Q$4094,ABSEN!$B$2:$B$4094,$B20,ABSEN!$L$2:$L$4094,F20)</f>
        <v>0</v>
      </c>
      <c r="M20" s="75">
        <f>SUMIFS(ABSEN!$W$2:$W$4094,ABSEN!$B$2:$B$4094,$B20,ABSEN!$L$2:$L$4094,F20)</f>
        <v>14</v>
      </c>
      <c r="N20" s="75">
        <f>SUMIFS(ABSEN!$R$2:$R$4094,ABSEN!$B$2:$B$4094,$B20,ABSEN!$L$2:$L$4094,F20)</f>
        <v>1</v>
      </c>
      <c r="O20" s="75">
        <f>SUMIFS(ABSEN!$S$2:$S$4094,ABSEN!$B$2:$B$4094,$B20,ABSEN!$L$2:$L$4094,F20)</f>
        <v>261</v>
      </c>
      <c r="P20" s="75">
        <f>SUMIFS(ABSEN!$T$2:$T$4094,ABSEN!$B$2:$B$4094,$B20,ABSEN!$L$2:$L$4094,F20)</f>
        <v>1</v>
      </c>
      <c r="Q20" s="75">
        <f>SUMIFS(ABSEN!$U$2:$U$4094,ABSEN!$B$2:$B$4094,$B20,ABSEN!$L$2:$L$4094,F20)</f>
        <v>12</v>
      </c>
      <c r="R20" s="75">
        <f>COUNTIFS(AKTIVITAS!$B$2:$B$3052,$B20,AKTIVITAS!$G$2:$G$3052,F20)</f>
        <v>29</v>
      </c>
      <c r="S20" s="75" t="str">
        <f>PEMAGANG!F7</f>
        <v>PGS SM OF DIGITAL BUSSINES</v>
      </c>
      <c r="T20" s="75">
        <f>SUMIFS(AKTIVITAS!$H$2:$H$3052,AKTIVITAS!$B$2:$B$3052,$B20,AKTIVITAS!$G$2:$G$3052,F20)</f>
        <v>3761</v>
      </c>
    </row>
    <row r="21" spans="1:20" x14ac:dyDescent="0.2">
      <c r="A21" s="82" t="str">
        <f>PEMAGANG!B7</f>
        <v>MG/KH/4526</v>
      </c>
      <c r="B21" s="82" t="str">
        <f>PEMAGANG!C7</f>
        <v>SYAKIRAH TSALTSA FITRIAH</v>
      </c>
      <c r="C21" s="82" t="str">
        <f>PEMAGANG!D7</f>
        <v>AHMAD JALALUDDIN BASYAR</v>
      </c>
      <c r="D21" s="82" t="str">
        <f>PEMAGANG!E7</f>
        <v>KEMNAKER</v>
      </c>
      <c r="E21" s="75" t="str">
        <f t="shared" si="0"/>
        <v>September</v>
      </c>
      <c r="F21" s="75">
        <f>MONTH(DATE(YEAR(SUMMARY!$C$6),MONTH(SUMMARY!$C$6)+3,1))</f>
        <v>9</v>
      </c>
      <c r="G21" s="83">
        <f>PEMAGANG!J7</f>
        <v>46244</v>
      </c>
      <c r="H21" s="83">
        <f>PEMAGANG!K7</f>
        <v>46295</v>
      </c>
      <c r="I21" s="75">
        <f>COUNTIFS(KALENDER!$D$3:$D$132,"Hari Kerja",KALENDER!$C$3:$C$132,F21,KALENDER!$A$3:$A$132,"&gt;="&amp;G21,KALENDER!$A$3:$A$132,"&lt;="&amp;H21)</f>
        <v>22</v>
      </c>
      <c r="J21" s="75">
        <f>COUNTIFS(KALENDER!$D$3:$D$132,"WFH",KALENDER!$C$3:$C$132,F21,KALENDER!$A$3:$A$132,"&gt;="&amp;G21,KALENDER!$A$3:$A$132,"&lt;="&amp;H21)</f>
        <v>0</v>
      </c>
      <c r="K21" s="75">
        <f>SUMIFS(ABSEN!$P$2:$P$4094,ABSEN!$B$2:$B$4094,$B21,ABSEN!$L$2:$L$4094,F21)</f>
        <v>22</v>
      </c>
      <c r="L21" s="75">
        <f>SUMIFS(ABSEN!$Q$2:$Q$4094,ABSEN!$B$2:$B$4094,$B21,ABSEN!$L$2:$L$4094,F21)</f>
        <v>0</v>
      </c>
      <c r="M21" s="75">
        <f>SUMIFS(ABSEN!$W$2:$W$4094,ABSEN!$B$2:$B$4094,$B21,ABSEN!$L$2:$L$4094,F21)</f>
        <v>22</v>
      </c>
      <c r="N21" s="75">
        <f>SUMIFS(ABSEN!$R$2:$R$4094,ABSEN!$B$2:$B$4094,$B21,ABSEN!$L$2:$L$4094,F21)</f>
        <v>1</v>
      </c>
      <c r="O21" s="75">
        <f>SUMIFS(ABSEN!$S$2:$S$4094,ABSEN!$B$2:$B$4094,$B21,ABSEN!$L$2:$L$4094,F21)</f>
        <v>0.999999999999996</v>
      </c>
      <c r="P21" s="75">
        <f>SUMIFS(ABSEN!$T$2:$T$4094,ABSEN!$B$2:$B$4094,$B21,ABSEN!$L$2:$L$4094,F21)</f>
        <v>2</v>
      </c>
      <c r="Q21" s="75">
        <f>SUMIFS(ABSEN!$U$2:$U$4094,ABSEN!$B$2:$B$4094,$B21,ABSEN!$L$2:$L$4094,F21)</f>
        <v>22</v>
      </c>
      <c r="R21" s="75">
        <f>COUNTIFS(AKTIVITAS!$B$2:$B$3052,$B21,AKTIVITAS!$G$2:$G$3052,F21)</f>
        <v>51</v>
      </c>
      <c r="S21" s="75" t="str">
        <f>PEMAGANG!F7</f>
        <v>PGS SM OF DIGITAL BUSSINES</v>
      </c>
      <c r="T21" s="75">
        <f>SUMIFS(AKTIVITAS!$H$2:$H$3052,AKTIVITAS!$B$2:$B$3052,$B21,AKTIVITAS!$G$2:$G$3052,F21)</f>
        <v>6291</v>
      </c>
    </row>
    <row r="22" spans="1:20" x14ac:dyDescent="0.2">
      <c r="A22" s="82" t="str">
        <f>PEMAGANG!B8</f>
        <v>MG/KH/3325</v>
      </c>
      <c r="B22" s="82" t="str">
        <f>PEMAGANG!C8</f>
        <v>TIARA MARTHA ASNADHINATA</v>
      </c>
      <c r="C22" s="82" t="str">
        <f>PEMAGANG!D8</f>
        <v>AHMAD JALALUDDIN BASYAR</v>
      </c>
      <c r="D22" s="82" t="str">
        <f>PEMAGANG!E8</f>
        <v>Kontrak Project</v>
      </c>
      <c r="E22" s="75" t="str">
        <f t="shared" si="0"/>
        <v>Juni</v>
      </c>
      <c r="F22" s="75">
        <f>MONTH(DATE(YEAR(SUMMARY!$C$6),MONTH(SUMMARY!$C$6)+0,1))</f>
        <v>6</v>
      </c>
      <c r="G22" s="83">
        <f>PEMAGANG!J8</f>
        <v>46174</v>
      </c>
      <c r="H22" s="83">
        <f>PEMAGANG!K8</f>
        <v>46295</v>
      </c>
      <c r="I22" s="75">
        <f>COUNTIFS(KALENDER!$D$3:$D$132,"Hari Kerja",KALENDER!$C$3:$C$132,F22,KALENDER!$A$3:$A$132,"&gt;="&amp;G22,KALENDER!$A$3:$A$132,"&lt;="&amp;H22)</f>
        <v>16</v>
      </c>
      <c r="J22" s="75">
        <f>COUNTIFS(KALENDER!$D$3:$D$132,"WFH",KALENDER!$C$3:$C$132,F22,KALENDER!$A$3:$A$132,"&gt;="&amp;G22,KALENDER!$A$3:$A$132,"&lt;="&amp;H22)</f>
        <v>4</v>
      </c>
      <c r="K22" s="75">
        <f>SUMIFS(ABSEN!$P$2:$P$4094,ABSEN!$B$2:$B$4094,$B22,ABSEN!$L$2:$L$4094,F22)</f>
        <v>16</v>
      </c>
      <c r="L22" s="75">
        <f>SUMIFS(ABSEN!$Q$2:$Q$4094,ABSEN!$B$2:$B$4094,$B22,ABSEN!$L$2:$L$4094,F22)</f>
        <v>4</v>
      </c>
      <c r="M22" s="75">
        <f>SUMIFS(ABSEN!$W$2:$W$4094,ABSEN!$B$2:$B$4094,$B22,ABSEN!$L$2:$L$4094,F22)</f>
        <v>20</v>
      </c>
      <c r="N22" s="75">
        <f>SUMIFS(ABSEN!$R$2:$R$4094,ABSEN!$B$2:$B$4094,$B22,ABSEN!$L$2:$L$4094,F22)</f>
        <v>2</v>
      </c>
      <c r="O22" s="75">
        <f>SUMIFS(ABSEN!$S$2:$S$4094,ABSEN!$B$2:$B$4094,$B22,ABSEN!$L$2:$L$4094,F22)</f>
        <v>12.000000000000039</v>
      </c>
      <c r="P22" s="75">
        <f>SUMIFS(ABSEN!$T$2:$T$4094,ABSEN!$B$2:$B$4094,$B22,ABSEN!$L$2:$L$4094,F22)</f>
        <v>2</v>
      </c>
      <c r="Q22" s="75">
        <f>SUMIFS(ABSEN!$U$2:$U$4094,ABSEN!$B$2:$B$4094,$B22,ABSEN!$L$2:$L$4094,F22)</f>
        <v>16</v>
      </c>
      <c r="R22" s="75">
        <f>COUNTIFS(AKTIVITAS!$B$2:$B$3052,$B22,AKTIVITAS!$G$2:$G$3052,F22)</f>
        <v>44</v>
      </c>
      <c r="S22" s="75" t="str">
        <f>PEMAGANG!F8</f>
        <v>PGS SM OF DIGITAL BUSSINES</v>
      </c>
      <c r="T22" s="75">
        <f>SUMIFS(AKTIVITAS!$H$2:$H$3052,AKTIVITAS!$B$2:$B$3052,$B22,AKTIVITAS!$G$2:$G$3052,F22)</f>
        <v>2413</v>
      </c>
    </row>
    <row r="23" spans="1:20" x14ac:dyDescent="0.2">
      <c r="A23" s="82" t="str">
        <f>PEMAGANG!B8</f>
        <v>MG/KH/3325</v>
      </c>
      <c r="B23" s="82" t="str">
        <f>PEMAGANG!C8</f>
        <v>TIARA MARTHA ASNADHINATA</v>
      </c>
      <c r="C23" s="82" t="str">
        <f>PEMAGANG!D8</f>
        <v>AHMAD JALALUDDIN BASYAR</v>
      </c>
      <c r="D23" s="82" t="str">
        <f>PEMAGANG!E8</f>
        <v>Kontrak Project</v>
      </c>
      <c r="E23" s="75" t="str">
        <f t="shared" si="0"/>
        <v>Juli</v>
      </c>
      <c r="F23" s="75">
        <f>MONTH(DATE(YEAR(SUMMARY!$C$6),MONTH(SUMMARY!$C$6)+1,1))</f>
        <v>7</v>
      </c>
      <c r="G23" s="83">
        <f>PEMAGANG!J8</f>
        <v>46174</v>
      </c>
      <c r="H23" s="83">
        <f>PEMAGANG!K8</f>
        <v>46295</v>
      </c>
      <c r="I23" s="75">
        <f>COUNTIFS(KALENDER!$D$3:$D$132,"Hari Kerja",KALENDER!$C$3:$C$132,F23,KALENDER!$A$3:$A$132,"&gt;="&amp;G23,KALENDER!$A$3:$A$132,"&lt;="&amp;H23)</f>
        <v>18</v>
      </c>
      <c r="J23" s="75">
        <f>COUNTIFS(KALENDER!$D$3:$D$132,"WFH",KALENDER!$C$3:$C$132,F23,KALENDER!$A$3:$A$132,"&gt;="&amp;G23,KALENDER!$A$3:$A$132,"&lt;="&amp;H23)</f>
        <v>5</v>
      </c>
      <c r="K23" s="75">
        <f>SUMIFS(ABSEN!$P$2:$P$4094,ABSEN!$B$2:$B$4094,$B23,ABSEN!$L$2:$L$4094,F23)</f>
        <v>16</v>
      </c>
      <c r="L23" s="75">
        <f>SUMIFS(ABSEN!$Q$2:$Q$4094,ABSEN!$B$2:$B$4094,$B23,ABSEN!$L$2:$L$4094,F23)</f>
        <v>2</v>
      </c>
      <c r="M23" s="75">
        <f>SUMIFS(ABSEN!$W$2:$W$4094,ABSEN!$B$2:$B$4094,$B23,ABSEN!$L$2:$L$4094,F23)</f>
        <v>18</v>
      </c>
      <c r="N23" s="75">
        <f>SUMIFS(ABSEN!$R$2:$R$4094,ABSEN!$B$2:$B$4094,$B23,ABSEN!$L$2:$L$4094,F23)</f>
        <v>2</v>
      </c>
      <c r="O23" s="75">
        <f>SUMIFS(ABSEN!$S$2:$S$4094,ABSEN!$B$2:$B$4094,$B23,ABSEN!$L$2:$L$4094,F23)</f>
        <v>60.999999999999993</v>
      </c>
      <c r="P23" s="75">
        <f>SUMIFS(ABSEN!$T$2:$T$4094,ABSEN!$B$2:$B$4094,$B23,ABSEN!$L$2:$L$4094,F23)</f>
        <v>0</v>
      </c>
      <c r="Q23" s="75">
        <f>SUMIFS(ABSEN!$U$2:$U$4094,ABSEN!$B$2:$B$4094,$B23,ABSEN!$L$2:$L$4094,F23)</f>
        <v>18</v>
      </c>
      <c r="R23" s="75">
        <f>COUNTIFS(AKTIVITAS!$B$2:$B$3052,$B23,AKTIVITAS!$G$2:$G$3052,F23)</f>
        <v>54</v>
      </c>
      <c r="S23" s="75" t="str">
        <f>PEMAGANG!F8</f>
        <v>PGS SM OF DIGITAL BUSSINES</v>
      </c>
      <c r="T23" s="75">
        <f>SUMIFS(AKTIVITAS!$H$2:$H$3052,AKTIVITAS!$B$2:$B$3052,$B23,AKTIVITAS!$G$2:$G$3052,F23)</f>
        <v>3430</v>
      </c>
    </row>
    <row r="24" spans="1:20" x14ac:dyDescent="0.2">
      <c r="A24" s="82" t="str">
        <f>PEMAGANG!B8</f>
        <v>MG/KH/3325</v>
      </c>
      <c r="B24" s="82" t="str">
        <f>PEMAGANG!C8</f>
        <v>TIARA MARTHA ASNADHINATA</v>
      </c>
      <c r="C24" s="82" t="str">
        <f>PEMAGANG!D8</f>
        <v>AHMAD JALALUDDIN BASYAR</v>
      </c>
      <c r="D24" s="82" t="str">
        <f>PEMAGANG!E8</f>
        <v>Kontrak Project</v>
      </c>
      <c r="E24" s="75" t="str">
        <f t="shared" si="0"/>
        <v>Agustus</v>
      </c>
      <c r="F24" s="75">
        <f>MONTH(DATE(YEAR(SUMMARY!$C$6),MONTH(SUMMARY!$C$6)+2,1))</f>
        <v>8</v>
      </c>
      <c r="G24" s="83">
        <f>PEMAGANG!J8</f>
        <v>46174</v>
      </c>
      <c r="H24" s="83">
        <f>PEMAGANG!K8</f>
        <v>46295</v>
      </c>
      <c r="I24" s="75">
        <f>COUNTIFS(KALENDER!$D$3:$D$132,"Hari Kerja",KALENDER!$C$3:$C$132,F24,KALENDER!$A$3:$A$132,"&gt;="&amp;G24,KALENDER!$A$3:$A$132,"&lt;="&amp;H24)</f>
        <v>19</v>
      </c>
      <c r="J24" s="75">
        <f>COUNTIFS(KALENDER!$D$3:$D$132,"WFH",KALENDER!$C$3:$C$132,F24,KALENDER!$A$3:$A$132,"&gt;="&amp;G24,KALENDER!$A$3:$A$132,"&lt;="&amp;H24)</f>
        <v>0</v>
      </c>
      <c r="K24" s="75">
        <f>SUMIFS(ABSEN!$P$2:$P$4094,ABSEN!$B$2:$B$4094,$B24,ABSEN!$L$2:$L$4094,F24)</f>
        <v>18</v>
      </c>
      <c r="L24" s="75">
        <f>SUMIFS(ABSEN!$Q$2:$Q$4094,ABSEN!$B$2:$B$4094,$B24,ABSEN!$L$2:$L$4094,F24)</f>
        <v>0</v>
      </c>
      <c r="M24" s="75">
        <f>SUMIFS(ABSEN!$W$2:$W$4094,ABSEN!$B$2:$B$4094,$B24,ABSEN!$L$2:$L$4094,F24)</f>
        <v>18</v>
      </c>
      <c r="N24" s="75">
        <f>SUMIFS(ABSEN!$R$2:$R$4094,ABSEN!$B$2:$B$4094,$B24,ABSEN!$L$2:$L$4094,F24)</f>
        <v>1</v>
      </c>
      <c r="O24" s="75">
        <f>SUMIFS(ABSEN!$S$2:$S$4094,ABSEN!$B$2:$B$4094,$B24,ABSEN!$L$2:$L$4094,F24)</f>
        <v>0.999999999999996</v>
      </c>
      <c r="P24" s="75">
        <f>SUMIFS(ABSEN!$T$2:$T$4094,ABSEN!$B$2:$B$4094,$B24,ABSEN!$L$2:$L$4094,F24)</f>
        <v>2</v>
      </c>
      <c r="Q24" s="75">
        <f>SUMIFS(ABSEN!$U$2:$U$4094,ABSEN!$B$2:$B$4094,$B24,ABSEN!$L$2:$L$4094,F24)</f>
        <v>17</v>
      </c>
      <c r="R24" s="75">
        <f>COUNTIFS(AKTIVITAS!$B$2:$B$3052,$B24,AKTIVITAS!$G$2:$G$3052,F24)</f>
        <v>47</v>
      </c>
      <c r="S24" s="75" t="str">
        <f>PEMAGANG!F8</f>
        <v>PGS SM OF DIGITAL BUSSINES</v>
      </c>
      <c r="T24" s="75">
        <f>SUMIFS(AKTIVITAS!$H$2:$H$3052,AKTIVITAS!$B$2:$B$3052,$B24,AKTIVITAS!$G$2:$G$3052,F24)</f>
        <v>2797</v>
      </c>
    </row>
    <row r="25" spans="1:20" x14ac:dyDescent="0.2">
      <c r="A25" s="82" t="str">
        <f>PEMAGANG!B8</f>
        <v>MG/KH/3325</v>
      </c>
      <c r="B25" s="82" t="str">
        <f>PEMAGANG!C8</f>
        <v>TIARA MARTHA ASNADHINATA</v>
      </c>
      <c r="C25" s="82" t="str">
        <f>PEMAGANG!D8</f>
        <v>AHMAD JALALUDDIN BASYAR</v>
      </c>
      <c r="D25" s="82" t="str">
        <f>PEMAGANG!E8</f>
        <v>Kontrak Project</v>
      </c>
      <c r="E25" s="75" t="str">
        <f t="shared" si="0"/>
        <v>September</v>
      </c>
      <c r="F25" s="75">
        <f>MONTH(DATE(YEAR(SUMMARY!$C$6),MONTH(SUMMARY!$C$6)+3,1))</f>
        <v>9</v>
      </c>
      <c r="G25" s="83">
        <f>PEMAGANG!J8</f>
        <v>46174</v>
      </c>
      <c r="H25" s="83">
        <f>PEMAGANG!K8</f>
        <v>46295</v>
      </c>
      <c r="I25" s="75">
        <f>COUNTIFS(KALENDER!$D$3:$D$132,"Hari Kerja",KALENDER!$C$3:$C$132,F25,KALENDER!$A$3:$A$132,"&gt;="&amp;G25,KALENDER!$A$3:$A$132,"&lt;="&amp;H25)</f>
        <v>22</v>
      </c>
      <c r="J25" s="75">
        <f>COUNTIFS(KALENDER!$D$3:$D$132,"WFH",KALENDER!$C$3:$C$132,F25,KALENDER!$A$3:$A$132,"&gt;="&amp;G25,KALENDER!$A$3:$A$132,"&lt;="&amp;H25)</f>
        <v>0</v>
      </c>
      <c r="K25" s="75">
        <f>SUMIFS(ABSEN!$P$2:$P$4094,ABSEN!$B$2:$B$4094,$B25,ABSEN!$L$2:$L$4094,F25)</f>
        <v>22</v>
      </c>
      <c r="L25" s="75">
        <f>SUMIFS(ABSEN!$Q$2:$Q$4094,ABSEN!$B$2:$B$4094,$B25,ABSEN!$L$2:$L$4094,F25)</f>
        <v>0</v>
      </c>
      <c r="M25" s="75">
        <f>SUMIFS(ABSEN!$W$2:$W$4094,ABSEN!$B$2:$B$4094,$B25,ABSEN!$L$2:$L$4094,F25)</f>
        <v>22</v>
      </c>
      <c r="N25" s="75">
        <f>SUMIFS(ABSEN!$R$2:$R$4094,ABSEN!$B$2:$B$4094,$B25,ABSEN!$L$2:$L$4094,F25)</f>
        <v>0</v>
      </c>
      <c r="O25" s="75">
        <f>SUMIFS(ABSEN!$S$2:$S$4094,ABSEN!$B$2:$B$4094,$B25,ABSEN!$L$2:$L$4094,F25)</f>
        <v>0</v>
      </c>
      <c r="P25" s="75">
        <f>SUMIFS(ABSEN!$T$2:$T$4094,ABSEN!$B$2:$B$4094,$B25,ABSEN!$L$2:$L$4094,F25)</f>
        <v>1</v>
      </c>
      <c r="Q25" s="75">
        <f>SUMIFS(ABSEN!$U$2:$U$4094,ABSEN!$B$2:$B$4094,$B25,ABSEN!$L$2:$L$4094,F25)</f>
        <v>22</v>
      </c>
      <c r="R25" s="75">
        <f>COUNTIFS(AKTIVITAS!$B$2:$B$3052,$B25,AKTIVITAS!$G$2:$G$3052,F25)</f>
        <v>47</v>
      </c>
      <c r="S25" s="75" t="str">
        <f>PEMAGANG!F8</f>
        <v>PGS SM OF DIGITAL BUSSINES</v>
      </c>
      <c r="T25" s="75">
        <f>SUMIFS(AKTIVITAS!$H$2:$H$3052,AKTIVITAS!$B$2:$B$3052,$B25,AKTIVITAS!$G$2:$G$3052,F25)</f>
        <v>2587</v>
      </c>
    </row>
    <row r="26" spans="1:20" x14ac:dyDescent="0.2">
      <c r="A26" s="82" t="str">
        <f>PEMAGANG!B9</f>
        <v>MG4326</v>
      </c>
      <c r="B26" s="82" t="str">
        <f>PEMAGANG!C9</f>
        <v>WIDIYA DESY MAWAR SARI</v>
      </c>
      <c r="C26" s="82" t="str">
        <f>PEMAGANG!D9</f>
        <v>AHMAD JALALUDDIN BASYAR</v>
      </c>
      <c r="D26" s="82" t="str">
        <f>PEMAGANG!E9</f>
        <v>MANDIRI</v>
      </c>
      <c r="E26" s="75" t="str">
        <f t="shared" si="0"/>
        <v>Juni</v>
      </c>
      <c r="F26" s="75">
        <f>MONTH(DATE(YEAR(SUMMARY!$C$6),MONTH(SUMMARY!$C$6)+0,1))</f>
        <v>6</v>
      </c>
      <c r="G26" s="83">
        <f>PEMAGANG!J9</f>
        <v>46175</v>
      </c>
      <c r="H26" s="83">
        <f>PEMAGANG!K9</f>
        <v>46295</v>
      </c>
      <c r="I26" s="75">
        <f>COUNTIFS(KALENDER!$D$3:$D$132,"Hari Kerja",KALENDER!$C$3:$C$132,F26,KALENDER!$A$3:$A$132,"&gt;="&amp;G26,KALENDER!$A$3:$A$132,"&lt;="&amp;H26)</f>
        <v>16</v>
      </c>
      <c r="J26" s="75">
        <f>COUNTIFS(KALENDER!$D$3:$D$132,"WFH",KALENDER!$C$3:$C$132,F26,KALENDER!$A$3:$A$132,"&gt;="&amp;G26,KALENDER!$A$3:$A$132,"&lt;="&amp;H26)</f>
        <v>4</v>
      </c>
      <c r="K26" s="75">
        <f>SUMIFS(ABSEN!$P$2:$P$4094,ABSEN!$B$2:$B$4094,$B26,ABSEN!$L$2:$L$4094,F26)</f>
        <v>16</v>
      </c>
      <c r="L26" s="75">
        <f>SUMIFS(ABSEN!$Q$2:$Q$4094,ABSEN!$B$2:$B$4094,$B26,ABSEN!$L$2:$L$4094,F26)</f>
        <v>0</v>
      </c>
      <c r="M26" s="75">
        <f>SUMIFS(ABSEN!$W$2:$W$4094,ABSEN!$B$2:$B$4094,$B26,ABSEN!$L$2:$L$4094,F26)</f>
        <v>16</v>
      </c>
      <c r="N26" s="75">
        <f>SUMIFS(ABSEN!$R$2:$R$4094,ABSEN!$B$2:$B$4094,$B26,ABSEN!$L$2:$L$4094,F26)</f>
        <v>2</v>
      </c>
      <c r="O26" s="75">
        <f>SUMIFS(ABSEN!$S$2:$S$4094,ABSEN!$B$2:$B$4094,$B26,ABSEN!$L$2:$L$4094,F26)</f>
        <v>649</v>
      </c>
      <c r="P26" s="75">
        <f>SUMIFS(ABSEN!$T$2:$T$4094,ABSEN!$B$2:$B$4094,$B26,ABSEN!$L$2:$L$4094,F26)</f>
        <v>3</v>
      </c>
      <c r="Q26" s="75">
        <f>SUMIFS(ABSEN!$U$2:$U$4094,ABSEN!$B$2:$B$4094,$B26,ABSEN!$L$2:$L$4094,F26)</f>
        <v>11</v>
      </c>
      <c r="R26" s="75">
        <f>COUNTIFS(AKTIVITAS!$B$2:$B$3052,$B26,AKTIVITAS!$G$2:$G$3052,F26)</f>
        <v>11</v>
      </c>
      <c r="S26" s="75" t="str">
        <f>PEMAGANG!F9</f>
        <v>PGS SM OF DIGITAL BUSSINES</v>
      </c>
      <c r="T26" s="75">
        <f>SUMIFS(AKTIVITAS!$H$2:$H$3052,AKTIVITAS!$B$2:$B$3052,$B26,AKTIVITAS!$G$2:$G$3052,F26)</f>
        <v>135</v>
      </c>
    </row>
    <row r="27" spans="1:20" x14ac:dyDescent="0.2">
      <c r="A27" s="82" t="str">
        <f>PEMAGANG!B9</f>
        <v>MG4326</v>
      </c>
      <c r="B27" s="82" t="str">
        <f>PEMAGANG!C9</f>
        <v>WIDIYA DESY MAWAR SARI</v>
      </c>
      <c r="C27" s="82" t="str">
        <f>PEMAGANG!D9</f>
        <v>AHMAD JALALUDDIN BASYAR</v>
      </c>
      <c r="D27" s="82" t="str">
        <f>PEMAGANG!E9</f>
        <v>MANDIRI</v>
      </c>
      <c r="E27" s="75" t="str">
        <f t="shared" si="0"/>
        <v>Juli</v>
      </c>
      <c r="F27" s="75">
        <f>MONTH(DATE(YEAR(SUMMARY!$C$6),MONTH(SUMMARY!$C$6)+1,1))</f>
        <v>7</v>
      </c>
      <c r="G27" s="83">
        <f>PEMAGANG!J9</f>
        <v>46175</v>
      </c>
      <c r="H27" s="83">
        <f>PEMAGANG!K9</f>
        <v>46295</v>
      </c>
      <c r="I27" s="75">
        <f>COUNTIFS(KALENDER!$D$3:$D$132,"Hari Kerja",KALENDER!$C$3:$C$132,F27,KALENDER!$A$3:$A$132,"&gt;="&amp;G27,KALENDER!$A$3:$A$132,"&lt;="&amp;H27)</f>
        <v>18</v>
      </c>
      <c r="J27" s="75">
        <f>COUNTIFS(KALENDER!$D$3:$D$132,"WFH",KALENDER!$C$3:$C$132,F27,KALENDER!$A$3:$A$132,"&gt;="&amp;G27,KALENDER!$A$3:$A$132,"&lt;="&amp;H27)</f>
        <v>5</v>
      </c>
      <c r="K27" s="75">
        <f>SUMIFS(ABSEN!$P$2:$P$4094,ABSEN!$B$2:$B$4094,$B27,ABSEN!$L$2:$L$4094,F27)</f>
        <v>18</v>
      </c>
      <c r="L27" s="75">
        <f>SUMIFS(ABSEN!$Q$2:$Q$4094,ABSEN!$B$2:$B$4094,$B27,ABSEN!$L$2:$L$4094,F27)</f>
        <v>1</v>
      </c>
      <c r="M27" s="75">
        <f>SUMIFS(ABSEN!$W$2:$W$4094,ABSEN!$B$2:$B$4094,$B27,ABSEN!$L$2:$L$4094,F27)</f>
        <v>19</v>
      </c>
      <c r="N27" s="75">
        <f>SUMIFS(ABSEN!$R$2:$R$4094,ABSEN!$B$2:$B$4094,$B27,ABSEN!$L$2:$L$4094,F27)</f>
        <v>13</v>
      </c>
      <c r="O27" s="75">
        <f>SUMIFS(ABSEN!$S$2:$S$4094,ABSEN!$B$2:$B$4094,$B27,ABSEN!$L$2:$L$4094,F27)</f>
        <v>499</v>
      </c>
      <c r="P27" s="75">
        <f>SUMIFS(ABSEN!$T$2:$T$4094,ABSEN!$B$2:$B$4094,$B27,ABSEN!$L$2:$L$4094,F27)</f>
        <v>0</v>
      </c>
      <c r="Q27" s="75">
        <f>SUMIFS(ABSEN!$U$2:$U$4094,ABSEN!$B$2:$B$4094,$B27,ABSEN!$L$2:$L$4094,F27)</f>
        <v>15</v>
      </c>
      <c r="R27" s="75">
        <f>COUNTIFS(AKTIVITAS!$B$2:$B$3052,$B27,AKTIVITAS!$G$2:$G$3052,F27)</f>
        <v>15</v>
      </c>
      <c r="S27" s="75" t="str">
        <f>PEMAGANG!F9</f>
        <v>PGS SM OF DIGITAL BUSSINES</v>
      </c>
      <c r="T27" s="75">
        <f>SUMIFS(AKTIVITAS!$H$2:$H$3052,AKTIVITAS!$B$2:$B$3052,$B27,AKTIVITAS!$G$2:$G$3052,F27)</f>
        <v>167</v>
      </c>
    </row>
    <row r="28" spans="1:20" x14ac:dyDescent="0.2">
      <c r="A28" s="82" t="str">
        <f>PEMAGANG!B9</f>
        <v>MG4326</v>
      </c>
      <c r="B28" s="82" t="str">
        <f>PEMAGANG!C9</f>
        <v>WIDIYA DESY MAWAR SARI</v>
      </c>
      <c r="C28" s="82" t="str">
        <f>PEMAGANG!D9</f>
        <v>AHMAD JALALUDDIN BASYAR</v>
      </c>
      <c r="D28" s="82" t="str">
        <f>PEMAGANG!E9</f>
        <v>MANDIRI</v>
      </c>
      <c r="E28" s="75" t="str">
        <f t="shared" si="0"/>
        <v>Agustus</v>
      </c>
      <c r="F28" s="75">
        <f>MONTH(DATE(YEAR(SUMMARY!$C$6),MONTH(SUMMARY!$C$6)+2,1))</f>
        <v>8</v>
      </c>
      <c r="G28" s="83">
        <f>PEMAGANG!J9</f>
        <v>46175</v>
      </c>
      <c r="H28" s="83">
        <f>PEMAGANG!K9</f>
        <v>46295</v>
      </c>
      <c r="I28" s="75">
        <f>COUNTIFS(KALENDER!$D$3:$D$132,"Hari Kerja",KALENDER!$C$3:$C$132,F28,KALENDER!$A$3:$A$132,"&gt;="&amp;G28,KALENDER!$A$3:$A$132,"&lt;="&amp;H28)</f>
        <v>19</v>
      </c>
      <c r="J28" s="75">
        <f>COUNTIFS(KALENDER!$D$3:$D$132,"WFH",KALENDER!$C$3:$C$132,F28,KALENDER!$A$3:$A$132,"&gt;="&amp;G28,KALENDER!$A$3:$A$132,"&lt;="&amp;H28)</f>
        <v>0</v>
      </c>
      <c r="K28" s="75">
        <f>SUMIFS(ABSEN!$P$2:$P$4094,ABSEN!$B$2:$B$4094,$B28,ABSEN!$L$2:$L$4094,F28)</f>
        <v>19</v>
      </c>
      <c r="L28" s="75">
        <f>SUMIFS(ABSEN!$Q$2:$Q$4094,ABSEN!$B$2:$B$4094,$B28,ABSEN!$L$2:$L$4094,F28)</f>
        <v>0</v>
      </c>
      <c r="M28" s="75">
        <f>SUMIFS(ABSEN!$W$2:$W$4094,ABSEN!$B$2:$B$4094,$B28,ABSEN!$L$2:$L$4094,F28)</f>
        <v>19</v>
      </c>
      <c r="N28" s="75">
        <f>SUMIFS(ABSEN!$R$2:$R$4094,ABSEN!$B$2:$B$4094,$B28,ABSEN!$L$2:$L$4094,F28)</f>
        <v>8</v>
      </c>
      <c r="O28" s="75">
        <f>SUMIFS(ABSEN!$S$2:$S$4094,ABSEN!$B$2:$B$4094,$B28,ABSEN!$L$2:$L$4094,F28)</f>
        <v>74.000000000000057</v>
      </c>
      <c r="P28" s="75">
        <f>SUMIFS(ABSEN!$T$2:$T$4094,ABSEN!$B$2:$B$4094,$B28,ABSEN!$L$2:$L$4094,F28)</f>
        <v>0</v>
      </c>
      <c r="Q28" s="75">
        <f>SUMIFS(ABSEN!$U$2:$U$4094,ABSEN!$B$2:$B$4094,$B28,ABSEN!$L$2:$L$4094,F28)</f>
        <v>16</v>
      </c>
      <c r="R28" s="75">
        <f>COUNTIFS(AKTIVITAS!$B$2:$B$3052,$B28,AKTIVITAS!$G$2:$G$3052,F28)</f>
        <v>16</v>
      </c>
      <c r="S28" s="75" t="str">
        <f>PEMAGANG!F9</f>
        <v>PGS SM OF DIGITAL BUSSINES</v>
      </c>
      <c r="T28" s="75">
        <f>SUMIFS(AKTIVITAS!$H$2:$H$3052,AKTIVITAS!$B$2:$B$3052,$B28,AKTIVITAS!$G$2:$G$3052,F28)</f>
        <v>153</v>
      </c>
    </row>
    <row r="29" spans="1:20" x14ac:dyDescent="0.2">
      <c r="A29" s="82" t="str">
        <f>PEMAGANG!B9</f>
        <v>MG4326</v>
      </c>
      <c r="B29" s="82" t="str">
        <f>PEMAGANG!C9</f>
        <v>WIDIYA DESY MAWAR SARI</v>
      </c>
      <c r="C29" s="82" t="str">
        <f>PEMAGANG!D9</f>
        <v>AHMAD JALALUDDIN BASYAR</v>
      </c>
      <c r="D29" s="82" t="str">
        <f>PEMAGANG!E9</f>
        <v>MANDIRI</v>
      </c>
      <c r="E29" s="75" t="str">
        <f t="shared" si="0"/>
        <v>September</v>
      </c>
      <c r="F29" s="75">
        <f>MONTH(DATE(YEAR(SUMMARY!$C$6),MONTH(SUMMARY!$C$6)+3,1))</f>
        <v>9</v>
      </c>
      <c r="G29" s="83">
        <f>PEMAGANG!J9</f>
        <v>46175</v>
      </c>
      <c r="H29" s="83">
        <f>PEMAGANG!K9</f>
        <v>46295</v>
      </c>
      <c r="I29" s="75">
        <f>COUNTIFS(KALENDER!$D$3:$D$132,"Hari Kerja",KALENDER!$C$3:$C$132,F29,KALENDER!$A$3:$A$132,"&gt;="&amp;G29,KALENDER!$A$3:$A$132,"&lt;="&amp;H29)</f>
        <v>22</v>
      </c>
      <c r="J29" s="75">
        <f>COUNTIFS(KALENDER!$D$3:$D$132,"WFH",KALENDER!$C$3:$C$132,F29,KALENDER!$A$3:$A$132,"&gt;="&amp;G29,KALENDER!$A$3:$A$132,"&lt;="&amp;H29)</f>
        <v>0</v>
      </c>
      <c r="K29" s="75">
        <f>SUMIFS(ABSEN!$P$2:$P$4094,ABSEN!$B$2:$B$4094,$B29,ABSEN!$L$2:$L$4094,F29)</f>
        <v>20</v>
      </c>
      <c r="L29" s="75">
        <f>SUMIFS(ABSEN!$Q$2:$Q$4094,ABSEN!$B$2:$B$4094,$B29,ABSEN!$L$2:$L$4094,F29)</f>
        <v>0</v>
      </c>
      <c r="M29" s="75">
        <f>SUMIFS(ABSEN!$W$2:$W$4094,ABSEN!$B$2:$B$4094,$B29,ABSEN!$L$2:$L$4094,F29)</f>
        <v>20</v>
      </c>
      <c r="N29" s="75">
        <f>SUMIFS(ABSEN!$R$2:$R$4094,ABSEN!$B$2:$B$4094,$B29,ABSEN!$L$2:$L$4094,F29)</f>
        <v>6</v>
      </c>
      <c r="O29" s="75">
        <f>SUMIFS(ABSEN!$S$2:$S$4094,ABSEN!$B$2:$B$4094,$B29,ABSEN!$L$2:$L$4094,F29)</f>
        <v>657</v>
      </c>
      <c r="P29" s="75">
        <f>SUMIFS(ABSEN!$T$2:$T$4094,ABSEN!$B$2:$B$4094,$B29,ABSEN!$L$2:$L$4094,F29)</f>
        <v>2</v>
      </c>
      <c r="Q29" s="75">
        <f>SUMIFS(ABSEN!$U$2:$U$4094,ABSEN!$B$2:$B$4094,$B29,ABSEN!$L$2:$L$4094,F29)</f>
        <v>16</v>
      </c>
      <c r="R29" s="75">
        <f>COUNTIFS(AKTIVITAS!$B$2:$B$3052,$B29,AKTIVITAS!$G$2:$G$3052,F29)</f>
        <v>20</v>
      </c>
      <c r="S29" s="75" t="str">
        <f>PEMAGANG!F9</f>
        <v>PGS SM OF DIGITAL BUSSINES</v>
      </c>
      <c r="T29" s="75">
        <f>SUMIFS(AKTIVITAS!$H$2:$H$3052,AKTIVITAS!$B$2:$B$3052,$B29,AKTIVITAS!$G$2:$G$3052,F29)</f>
        <v>195</v>
      </c>
    </row>
    <row r="30" spans="1:20" x14ac:dyDescent="0.2">
      <c r="A30" s="82" t="str">
        <f>PEMAGANG!B10</f>
        <v>MG4126</v>
      </c>
      <c r="B30" s="82" t="str">
        <f>PEMAGANG!C10</f>
        <v>NURIKA AMELIA ROSYIDAH</v>
      </c>
      <c r="C30" s="82" t="str">
        <f>PEMAGANG!D10</f>
        <v>AKHMAT ABIDIN</v>
      </c>
      <c r="D30" s="82" t="str">
        <f>PEMAGANG!E10</f>
        <v>MANDIRI</v>
      </c>
      <c r="E30" s="75" t="str">
        <f t="shared" si="0"/>
        <v>Juni</v>
      </c>
      <c r="F30" s="75">
        <f>MONTH(DATE(YEAR(SUMMARY!$C$6),MONTH(SUMMARY!$C$6)+0,1))</f>
        <v>6</v>
      </c>
      <c r="G30" s="83">
        <f>PEMAGANG!J10</f>
        <v>46174</v>
      </c>
      <c r="H30" s="83">
        <f>PEMAGANG!K10</f>
        <v>46263</v>
      </c>
      <c r="I30" s="75">
        <f>COUNTIFS(KALENDER!$D$3:$D$132,"Hari Kerja",KALENDER!$C$3:$C$132,F30,KALENDER!$A$3:$A$132,"&gt;="&amp;G30,KALENDER!$A$3:$A$132,"&lt;="&amp;H30)</f>
        <v>16</v>
      </c>
      <c r="J30" s="75">
        <f>COUNTIFS(KALENDER!$D$3:$D$132,"WFH",KALENDER!$C$3:$C$132,F30,KALENDER!$A$3:$A$132,"&gt;="&amp;G30,KALENDER!$A$3:$A$132,"&lt;="&amp;H30)</f>
        <v>4</v>
      </c>
      <c r="K30" s="75">
        <f>SUMIFS(ABSEN!$P$2:$P$4094,ABSEN!$B$2:$B$4094,$B30,ABSEN!$L$2:$L$4094,F30)</f>
        <v>14</v>
      </c>
      <c r="L30" s="75">
        <f>SUMIFS(ABSEN!$Q$2:$Q$4094,ABSEN!$B$2:$B$4094,$B30,ABSEN!$L$2:$L$4094,F30)</f>
        <v>2</v>
      </c>
      <c r="M30" s="75">
        <f>SUMIFS(ABSEN!$W$2:$W$4094,ABSEN!$B$2:$B$4094,$B30,ABSEN!$L$2:$L$4094,F30)</f>
        <v>16</v>
      </c>
      <c r="N30" s="75">
        <f>SUMIFS(ABSEN!$R$2:$R$4094,ABSEN!$B$2:$B$4094,$B30,ABSEN!$L$2:$L$4094,F30)</f>
        <v>2</v>
      </c>
      <c r="O30" s="75">
        <f>SUMIFS(ABSEN!$S$2:$S$4094,ABSEN!$B$2:$B$4094,$B30,ABSEN!$L$2:$L$4094,F30)</f>
        <v>6.9999999999999698</v>
      </c>
      <c r="P30" s="75">
        <f>SUMIFS(ABSEN!$T$2:$T$4094,ABSEN!$B$2:$B$4094,$B30,ABSEN!$L$2:$L$4094,F30)</f>
        <v>3</v>
      </c>
      <c r="Q30" s="75">
        <f>SUMIFS(ABSEN!$U$2:$U$4094,ABSEN!$B$2:$B$4094,$B30,ABSEN!$L$2:$L$4094,F30)</f>
        <v>14</v>
      </c>
      <c r="R30" s="75">
        <f>COUNTIFS(AKTIVITAS!$B$2:$B$3052,$B30,AKTIVITAS!$G$2:$G$3052,F30)</f>
        <v>15</v>
      </c>
      <c r="S30" s="75" t="str">
        <f>PEMAGANG!F10</f>
        <v>PJ GM OF MARKETING (SID)</v>
      </c>
      <c r="T30" s="75">
        <f>SUMIFS(AKTIVITAS!$H$2:$H$3052,AKTIVITAS!$B$2:$B$3052,$B30,AKTIVITAS!$G$2:$G$3052,F30)</f>
        <v>1891</v>
      </c>
    </row>
    <row r="31" spans="1:20" x14ac:dyDescent="0.2">
      <c r="A31" s="82" t="str">
        <f>PEMAGANG!B10</f>
        <v>MG4126</v>
      </c>
      <c r="B31" s="82" t="str">
        <f>PEMAGANG!C10</f>
        <v>NURIKA AMELIA ROSYIDAH</v>
      </c>
      <c r="C31" s="82" t="str">
        <f>PEMAGANG!D10</f>
        <v>AKHMAT ABIDIN</v>
      </c>
      <c r="D31" s="82" t="str">
        <f>PEMAGANG!E10</f>
        <v>MANDIRI</v>
      </c>
      <c r="E31" s="75" t="str">
        <f t="shared" si="0"/>
        <v>Juli</v>
      </c>
      <c r="F31" s="75">
        <f>MONTH(DATE(YEAR(SUMMARY!$C$6),MONTH(SUMMARY!$C$6)+1,1))</f>
        <v>7</v>
      </c>
      <c r="G31" s="83">
        <f>PEMAGANG!J10</f>
        <v>46174</v>
      </c>
      <c r="H31" s="83">
        <f>PEMAGANG!K10</f>
        <v>46263</v>
      </c>
      <c r="I31" s="75">
        <f>COUNTIFS(KALENDER!$D$3:$D$132,"Hari Kerja",KALENDER!$C$3:$C$132,F31,KALENDER!$A$3:$A$132,"&gt;="&amp;G31,KALENDER!$A$3:$A$132,"&lt;="&amp;H31)</f>
        <v>18</v>
      </c>
      <c r="J31" s="75">
        <f>COUNTIFS(KALENDER!$D$3:$D$132,"WFH",KALENDER!$C$3:$C$132,F31,KALENDER!$A$3:$A$132,"&gt;="&amp;G31,KALENDER!$A$3:$A$132,"&lt;="&amp;H31)</f>
        <v>5</v>
      </c>
      <c r="K31" s="75">
        <f>SUMIFS(ABSEN!$P$2:$P$4094,ABSEN!$B$2:$B$4094,$B31,ABSEN!$L$2:$L$4094,F31)</f>
        <v>18</v>
      </c>
      <c r="L31" s="75">
        <f>SUMIFS(ABSEN!$Q$2:$Q$4094,ABSEN!$B$2:$B$4094,$B31,ABSEN!$L$2:$L$4094,F31)</f>
        <v>4</v>
      </c>
      <c r="M31" s="75">
        <f>SUMIFS(ABSEN!$W$2:$W$4094,ABSEN!$B$2:$B$4094,$B31,ABSEN!$L$2:$L$4094,F31)</f>
        <v>22</v>
      </c>
      <c r="N31" s="75">
        <f>SUMIFS(ABSEN!$R$2:$R$4094,ABSEN!$B$2:$B$4094,$B31,ABSEN!$L$2:$L$4094,F31)</f>
        <v>1</v>
      </c>
      <c r="O31" s="75">
        <f>SUMIFS(ABSEN!$S$2:$S$4094,ABSEN!$B$2:$B$4094,$B31,ABSEN!$L$2:$L$4094,F31)</f>
        <v>2.9999999999999898</v>
      </c>
      <c r="P31" s="75">
        <f>SUMIFS(ABSEN!$T$2:$T$4094,ABSEN!$B$2:$B$4094,$B31,ABSEN!$L$2:$L$4094,F31)</f>
        <v>1</v>
      </c>
      <c r="Q31" s="75">
        <f>SUMIFS(ABSEN!$U$2:$U$4094,ABSEN!$B$2:$B$4094,$B31,ABSEN!$L$2:$L$4094,F31)</f>
        <v>22</v>
      </c>
      <c r="R31" s="75">
        <f>COUNTIFS(AKTIVITAS!$B$2:$B$3052,$B31,AKTIVITAS!$G$2:$G$3052,F31)</f>
        <v>48</v>
      </c>
      <c r="S31" s="75" t="str">
        <f>PEMAGANG!F10</f>
        <v>PJ GM OF MARKETING (SID)</v>
      </c>
      <c r="T31" s="75">
        <f>SUMIFS(AKTIVITAS!$H$2:$H$3052,AKTIVITAS!$B$2:$B$3052,$B31,AKTIVITAS!$G$2:$G$3052,F31)</f>
        <v>3364</v>
      </c>
    </row>
    <row r="32" spans="1:20" x14ac:dyDescent="0.2">
      <c r="A32" s="82" t="str">
        <f>PEMAGANG!B10</f>
        <v>MG4126</v>
      </c>
      <c r="B32" s="82" t="str">
        <f>PEMAGANG!C10</f>
        <v>NURIKA AMELIA ROSYIDAH</v>
      </c>
      <c r="C32" s="82" t="str">
        <f>PEMAGANG!D10</f>
        <v>AKHMAT ABIDIN</v>
      </c>
      <c r="D32" s="82" t="str">
        <f>PEMAGANG!E10</f>
        <v>MANDIRI</v>
      </c>
      <c r="E32" s="75" t="str">
        <f t="shared" si="0"/>
        <v>Agustus</v>
      </c>
      <c r="F32" s="75">
        <f>MONTH(DATE(YEAR(SUMMARY!$C$6),MONTH(SUMMARY!$C$6)+2,1))</f>
        <v>8</v>
      </c>
      <c r="G32" s="83">
        <f>PEMAGANG!J10</f>
        <v>46174</v>
      </c>
      <c r="H32" s="83">
        <f>PEMAGANG!K10</f>
        <v>46263</v>
      </c>
      <c r="I32" s="75">
        <f>COUNTIFS(KALENDER!$D$3:$D$132,"Hari Kerja",KALENDER!$C$3:$C$132,F32,KALENDER!$A$3:$A$132,"&gt;="&amp;G32,KALENDER!$A$3:$A$132,"&lt;="&amp;H32)</f>
        <v>18</v>
      </c>
      <c r="J32" s="75">
        <f>COUNTIFS(KALENDER!$D$3:$D$132,"WFH",KALENDER!$C$3:$C$132,F32,KALENDER!$A$3:$A$132,"&gt;="&amp;G32,KALENDER!$A$3:$A$132,"&lt;="&amp;H32)</f>
        <v>0</v>
      </c>
      <c r="K32" s="75">
        <f>SUMIFS(ABSEN!$P$2:$P$4094,ABSEN!$B$2:$B$4094,$B32,ABSEN!$L$2:$L$4094,F32)</f>
        <v>16</v>
      </c>
      <c r="L32" s="75">
        <f>SUMIFS(ABSEN!$Q$2:$Q$4094,ABSEN!$B$2:$B$4094,$B32,ABSEN!$L$2:$L$4094,F32)</f>
        <v>1</v>
      </c>
      <c r="M32" s="75">
        <f>SUMIFS(ABSEN!$W$2:$W$4094,ABSEN!$B$2:$B$4094,$B32,ABSEN!$L$2:$L$4094,F32)</f>
        <v>16</v>
      </c>
      <c r="N32" s="75">
        <f>SUMIFS(ABSEN!$R$2:$R$4094,ABSEN!$B$2:$B$4094,$B32,ABSEN!$L$2:$L$4094,F32)</f>
        <v>0</v>
      </c>
      <c r="O32" s="75">
        <f>SUMIFS(ABSEN!$S$2:$S$4094,ABSEN!$B$2:$B$4094,$B32,ABSEN!$L$2:$L$4094,F32)</f>
        <v>0</v>
      </c>
      <c r="P32" s="75">
        <f>SUMIFS(ABSEN!$T$2:$T$4094,ABSEN!$B$2:$B$4094,$B32,ABSEN!$L$2:$L$4094,F32)</f>
        <v>1</v>
      </c>
      <c r="Q32" s="75">
        <f>SUMIFS(ABSEN!$U$2:$U$4094,ABSEN!$B$2:$B$4094,$B32,ABSEN!$L$2:$L$4094,F32)</f>
        <v>15</v>
      </c>
      <c r="R32" s="75">
        <f>COUNTIFS(AKTIVITAS!$B$2:$B$3052,$B32,AKTIVITAS!$G$2:$G$3052,F32)</f>
        <v>28</v>
      </c>
      <c r="S32" s="75" t="str">
        <f>PEMAGANG!F10</f>
        <v>PJ GM OF MARKETING (SID)</v>
      </c>
      <c r="T32" s="75">
        <f>SUMIFS(AKTIVITAS!$H$2:$H$3052,AKTIVITAS!$B$2:$B$3052,$B32,AKTIVITAS!$G$2:$G$3052,F32)</f>
        <v>1395</v>
      </c>
    </row>
    <row r="33" spans="1:20" x14ac:dyDescent="0.2">
      <c r="A33" s="82" t="str">
        <f>PEMAGANG!B10</f>
        <v>MG4126</v>
      </c>
      <c r="B33" s="82" t="str">
        <f>PEMAGANG!C10</f>
        <v>NURIKA AMELIA ROSYIDAH</v>
      </c>
      <c r="C33" s="82" t="str">
        <f>PEMAGANG!D10</f>
        <v>AKHMAT ABIDIN</v>
      </c>
      <c r="D33" s="82" t="str">
        <f>PEMAGANG!E10</f>
        <v>MANDIRI</v>
      </c>
      <c r="E33" s="75" t="str">
        <f t="shared" si="0"/>
        <v>September</v>
      </c>
      <c r="F33" s="75">
        <f>MONTH(DATE(YEAR(SUMMARY!$C$6),MONTH(SUMMARY!$C$6)+3,1))</f>
        <v>9</v>
      </c>
      <c r="G33" s="83">
        <f>PEMAGANG!J10</f>
        <v>46174</v>
      </c>
      <c r="H33" s="83">
        <f>PEMAGANG!K10</f>
        <v>46263</v>
      </c>
      <c r="I33" s="75">
        <f>COUNTIFS(KALENDER!$D$3:$D$132,"Hari Kerja",KALENDER!$C$3:$C$132,F33,KALENDER!$A$3:$A$132,"&gt;="&amp;G33,KALENDER!$A$3:$A$132,"&lt;="&amp;H33)</f>
        <v>0</v>
      </c>
      <c r="J33" s="75">
        <f>COUNTIFS(KALENDER!$D$3:$D$132,"WFH",KALENDER!$C$3:$C$132,F33,KALENDER!$A$3:$A$132,"&gt;="&amp;G33,KALENDER!$A$3:$A$132,"&lt;="&amp;H33)</f>
        <v>0</v>
      </c>
      <c r="K33" s="75">
        <f>SUMIFS(ABSEN!$P$2:$P$4094,ABSEN!$B$2:$B$4094,$B33,ABSEN!$L$2:$L$4094,F33)</f>
        <v>0</v>
      </c>
      <c r="L33" s="75">
        <f>SUMIFS(ABSEN!$Q$2:$Q$4094,ABSEN!$B$2:$B$4094,$B33,ABSEN!$L$2:$L$4094,F33)</f>
        <v>0</v>
      </c>
      <c r="M33" s="75">
        <f>SUMIFS(ABSEN!$W$2:$W$4094,ABSEN!$B$2:$B$4094,$B33,ABSEN!$L$2:$L$4094,F33)</f>
        <v>0</v>
      </c>
      <c r="N33" s="75">
        <f>SUMIFS(ABSEN!$R$2:$R$4094,ABSEN!$B$2:$B$4094,$B33,ABSEN!$L$2:$L$4094,F33)</f>
        <v>0</v>
      </c>
      <c r="O33" s="75">
        <f>SUMIFS(ABSEN!$S$2:$S$4094,ABSEN!$B$2:$B$4094,$B33,ABSEN!$L$2:$L$4094,F33)</f>
        <v>0</v>
      </c>
      <c r="P33" s="75">
        <f>SUMIFS(ABSEN!$T$2:$T$4094,ABSEN!$B$2:$B$4094,$B33,ABSEN!$L$2:$L$4094,F33)</f>
        <v>0</v>
      </c>
      <c r="Q33" s="75">
        <f>SUMIFS(ABSEN!$U$2:$U$4094,ABSEN!$B$2:$B$4094,$B33,ABSEN!$L$2:$L$4094,F33)</f>
        <v>0</v>
      </c>
      <c r="R33" s="75">
        <f>COUNTIFS(AKTIVITAS!$B$2:$B$3052,$B33,AKTIVITAS!$G$2:$G$3052,F33)</f>
        <v>0</v>
      </c>
      <c r="S33" s="75" t="str">
        <f>PEMAGANG!F10</f>
        <v>PJ GM OF MARKETING (SID)</v>
      </c>
      <c r="T33" s="75">
        <f>SUMIFS(AKTIVITAS!$H$2:$H$3052,AKTIVITAS!$B$2:$B$3052,$B33,AKTIVITAS!$G$2:$G$3052,F33)</f>
        <v>0</v>
      </c>
    </row>
    <row r="34" spans="1:20" x14ac:dyDescent="0.2">
      <c r="A34" s="82" t="str">
        <f>PEMAGANG!B11</f>
        <v>MG/KH/3525</v>
      </c>
      <c r="B34" s="82" t="str">
        <f>PEMAGANG!C11</f>
        <v>JANU PRASTYO</v>
      </c>
      <c r="C34" s="82" t="str">
        <f>PEMAGANG!D11</f>
        <v>ARIFANO KUSUMA BAYU</v>
      </c>
      <c r="D34" s="82" t="str">
        <f>PEMAGANG!E11</f>
        <v>Kontrak Project</v>
      </c>
      <c r="E34" s="75" t="str">
        <f t="shared" ref="E34:E65" si="1">CHOOSE(F34,"Januari","Februari","Maret","April","Mei","Juni","Juli","Agustus","September","Oktober","November","Desember")</f>
        <v>Juni</v>
      </c>
      <c r="F34" s="75">
        <f>MONTH(DATE(YEAR(SUMMARY!$C$6),MONTH(SUMMARY!$C$6)+0,1))</f>
        <v>6</v>
      </c>
      <c r="G34" s="83">
        <f>PEMAGANG!J11</f>
        <v>46174</v>
      </c>
      <c r="H34" s="83">
        <f>PEMAGANG!K11</f>
        <v>46295</v>
      </c>
      <c r="I34" s="75">
        <f>COUNTIFS(KALENDER!$D$3:$D$132,"Hari Kerja",KALENDER!$C$3:$C$132,F34,KALENDER!$A$3:$A$132,"&gt;="&amp;G34,KALENDER!$A$3:$A$132,"&lt;="&amp;H34)</f>
        <v>16</v>
      </c>
      <c r="J34" s="75">
        <f>COUNTIFS(KALENDER!$D$3:$D$132,"WFH",KALENDER!$C$3:$C$132,F34,KALENDER!$A$3:$A$132,"&gt;="&amp;G34,KALENDER!$A$3:$A$132,"&lt;="&amp;H34)</f>
        <v>4</v>
      </c>
      <c r="K34" s="75">
        <f>SUMIFS(ABSEN!$P$2:$P$4094,ABSEN!$B$2:$B$4094,$B34,ABSEN!$L$2:$L$4094,F34)</f>
        <v>16</v>
      </c>
      <c r="L34" s="75">
        <f>SUMIFS(ABSEN!$Q$2:$Q$4094,ABSEN!$B$2:$B$4094,$B34,ABSEN!$L$2:$L$4094,F34)</f>
        <v>4</v>
      </c>
      <c r="M34" s="75">
        <f>SUMIFS(ABSEN!$W$2:$W$4094,ABSEN!$B$2:$B$4094,$B34,ABSEN!$L$2:$L$4094,F34)</f>
        <v>20</v>
      </c>
      <c r="N34" s="75">
        <f>SUMIFS(ABSEN!$R$2:$R$4094,ABSEN!$B$2:$B$4094,$B34,ABSEN!$L$2:$L$4094,F34)</f>
        <v>7</v>
      </c>
      <c r="O34" s="75">
        <f>SUMIFS(ABSEN!$S$2:$S$4094,ABSEN!$B$2:$B$4094,$B34,ABSEN!$L$2:$L$4094,F34)</f>
        <v>114.00000000000009</v>
      </c>
      <c r="P34" s="75">
        <f>SUMIFS(ABSEN!$T$2:$T$4094,ABSEN!$B$2:$B$4094,$B34,ABSEN!$L$2:$L$4094,F34)</f>
        <v>1</v>
      </c>
      <c r="Q34" s="75">
        <f>SUMIFS(ABSEN!$U$2:$U$4094,ABSEN!$B$2:$B$4094,$B34,ABSEN!$L$2:$L$4094,F34)</f>
        <v>19</v>
      </c>
      <c r="R34" s="75">
        <f>COUNTIFS(AKTIVITAS!$B$2:$B$3052,$B34,AKTIVITAS!$G$2:$G$3052,F34)</f>
        <v>30</v>
      </c>
      <c r="S34" s="75" t="str">
        <f>PEMAGANG!F11</f>
        <v>PGS SM OF DIGITAL BUSSINES</v>
      </c>
      <c r="T34" s="75">
        <f>SUMIFS(AKTIVITAS!$H$2:$H$3052,AKTIVITAS!$B$2:$B$3052,$B34,AKTIVITAS!$G$2:$G$3052,F34)</f>
        <v>1867</v>
      </c>
    </row>
    <row r="35" spans="1:20" x14ac:dyDescent="0.2">
      <c r="A35" s="82" t="str">
        <f>PEMAGANG!B11</f>
        <v>MG/KH/3525</v>
      </c>
      <c r="B35" s="82" t="str">
        <f>PEMAGANG!C11</f>
        <v>JANU PRASTYO</v>
      </c>
      <c r="C35" s="82" t="str">
        <f>PEMAGANG!D11</f>
        <v>ARIFANO KUSUMA BAYU</v>
      </c>
      <c r="D35" s="82" t="str">
        <f>PEMAGANG!E11</f>
        <v>Kontrak Project</v>
      </c>
      <c r="E35" s="75" t="str">
        <f t="shared" si="1"/>
        <v>Juli</v>
      </c>
      <c r="F35" s="75">
        <f>MONTH(DATE(YEAR(SUMMARY!$C$6),MONTH(SUMMARY!$C$6)+1,1))</f>
        <v>7</v>
      </c>
      <c r="G35" s="83">
        <f>PEMAGANG!J11</f>
        <v>46174</v>
      </c>
      <c r="H35" s="83">
        <f>PEMAGANG!K11</f>
        <v>46295</v>
      </c>
      <c r="I35" s="75">
        <f>COUNTIFS(KALENDER!$D$3:$D$132,"Hari Kerja",KALENDER!$C$3:$C$132,F35,KALENDER!$A$3:$A$132,"&gt;="&amp;G35,KALENDER!$A$3:$A$132,"&lt;="&amp;H35)</f>
        <v>18</v>
      </c>
      <c r="J35" s="75">
        <f>COUNTIFS(KALENDER!$D$3:$D$132,"WFH",KALENDER!$C$3:$C$132,F35,KALENDER!$A$3:$A$132,"&gt;="&amp;G35,KALENDER!$A$3:$A$132,"&lt;="&amp;H35)</f>
        <v>5</v>
      </c>
      <c r="K35" s="75">
        <f>SUMIFS(ABSEN!$P$2:$P$4094,ABSEN!$B$2:$B$4094,$B35,ABSEN!$L$2:$L$4094,F35)</f>
        <v>16</v>
      </c>
      <c r="L35" s="75">
        <f>SUMIFS(ABSEN!$Q$2:$Q$4094,ABSEN!$B$2:$B$4094,$B35,ABSEN!$L$2:$L$4094,F35)</f>
        <v>2</v>
      </c>
      <c r="M35" s="75">
        <f>SUMIFS(ABSEN!$W$2:$W$4094,ABSEN!$B$2:$B$4094,$B35,ABSEN!$L$2:$L$4094,F35)</f>
        <v>18</v>
      </c>
      <c r="N35" s="75">
        <f>SUMIFS(ABSEN!$R$2:$R$4094,ABSEN!$B$2:$B$4094,$B35,ABSEN!$L$2:$L$4094,F35)</f>
        <v>10</v>
      </c>
      <c r="O35" s="75">
        <f>SUMIFS(ABSEN!$S$2:$S$4094,ABSEN!$B$2:$B$4094,$B35,ABSEN!$L$2:$L$4094,F35)</f>
        <v>34.999999999999922</v>
      </c>
      <c r="P35" s="75">
        <f>SUMIFS(ABSEN!$T$2:$T$4094,ABSEN!$B$2:$B$4094,$B35,ABSEN!$L$2:$L$4094,F35)</f>
        <v>0</v>
      </c>
      <c r="Q35" s="75">
        <f>SUMIFS(ABSEN!$U$2:$U$4094,ABSEN!$B$2:$B$4094,$B35,ABSEN!$L$2:$L$4094,F35)</f>
        <v>18</v>
      </c>
      <c r="R35" s="75">
        <f>COUNTIFS(AKTIVITAS!$B$2:$B$3052,$B35,AKTIVITAS!$G$2:$G$3052,F35)</f>
        <v>50</v>
      </c>
      <c r="S35" s="75" t="str">
        <f>PEMAGANG!F11</f>
        <v>PGS SM OF DIGITAL BUSSINES</v>
      </c>
      <c r="T35" s="75">
        <f>SUMIFS(AKTIVITAS!$H$2:$H$3052,AKTIVITAS!$B$2:$B$3052,$B35,AKTIVITAS!$G$2:$G$3052,F35)</f>
        <v>2868</v>
      </c>
    </row>
    <row r="36" spans="1:20" x14ac:dyDescent="0.2">
      <c r="A36" s="82" t="str">
        <f>PEMAGANG!B11</f>
        <v>MG/KH/3525</v>
      </c>
      <c r="B36" s="82" t="str">
        <f>PEMAGANG!C11</f>
        <v>JANU PRASTYO</v>
      </c>
      <c r="C36" s="82" t="str">
        <f>PEMAGANG!D11</f>
        <v>ARIFANO KUSUMA BAYU</v>
      </c>
      <c r="D36" s="82" t="str">
        <f>PEMAGANG!E11</f>
        <v>Kontrak Project</v>
      </c>
      <c r="E36" s="75" t="str">
        <f t="shared" si="1"/>
        <v>Agustus</v>
      </c>
      <c r="F36" s="75">
        <f>MONTH(DATE(YEAR(SUMMARY!$C$6),MONTH(SUMMARY!$C$6)+2,1))</f>
        <v>8</v>
      </c>
      <c r="G36" s="83">
        <f>PEMAGANG!J11</f>
        <v>46174</v>
      </c>
      <c r="H36" s="83">
        <f>PEMAGANG!K11</f>
        <v>46295</v>
      </c>
      <c r="I36" s="75">
        <f>COUNTIFS(KALENDER!$D$3:$D$132,"Hari Kerja",KALENDER!$C$3:$C$132,F36,KALENDER!$A$3:$A$132,"&gt;="&amp;G36,KALENDER!$A$3:$A$132,"&lt;="&amp;H36)</f>
        <v>19</v>
      </c>
      <c r="J36" s="75">
        <f>COUNTIFS(KALENDER!$D$3:$D$132,"WFH",KALENDER!$C$3:$C$132,F36,KALENDER!$A$3:$A$132,"&gt;="&amp;G36,KALENDER!$A$3:$A$132,"&lt;="&amp;H36)</f>
        <v>0</v>
      </c>
      <c r="K36" s="75">
        <f>SUMIFS(ABSEN!$P$2:$P$4094,ABSEN!$B$2:$B$4094,$B36,ABSEN!$L$2:$L$4094,F36)</f>
        <v>18</v>
      </c>
      <c r="L36" s="75">
        <f>SUMIFS(ABSEN!$Q$2:$Q$4094,ABSEN!$B$2:$B$4094,$B36,ABSEN!$L$2:$L$4094,F36)</f>
        <v>0</v>
      </c>
      <c r="M36" s="75">
        <f>SUMIFS(ABSEN!$W$2:$W$4094,ABSEN!$B$2:$B$4094,$B36,ABSEN!$L$2:$L$4094,F36)</f>
        <v>18</v>
      </c>
      <c r="N36" s="75">
        <f>SUMIFS(ABSEN!$R$2:$R$4094,ABSEN!$B$2:$B$4094,$B36,ABSEN!$L$2:$L$4094,F36)</f>
        <v>5</v>
      </c>
      <c r="O36" s="75">
        <f>SUMIFS(ABSEN!$S$2:$S$4094,ABSEN!$B$2:$B$4094,$B36,ABSEN!$L$2:$L$4094,F36)</f>
        <v>12.999999999999952</v>
      </c>
      <c r="P36" s="75">
        <f>SUMIFS(ABSEN!$T$2:$T$4094,ABSEN!$B$2:$B$4094,$B36,ABSEN!$L$2:$L$4094,F36)</f>
        <v>0</v>
      </c>
      <c r="Q36" s="75">
        <f>SUMIFS(ABSEN!$U$2:$U$4094,ABSEN!$B$2:$B$4094,$B36,ABSEN!$L$2:$L$4094,F36)</f>
        <v>18</v>
      </c>
      <c r="R36" s="75">
        <f>COUNTIFS(AKTIVITAS!$B$2:$B$3052,$B36,AKTIVITAS!$G$2:$G$3052,F36)</f>
        <v>67</v>
      </c>
      <c r="S36" s="75" t="str">
        <f>PEMAGANG!F11</f>
        <v>PGS SM OF DIGITAL BUSSINES</v>
      </c>
      <c r="T36" s="75">
        <f>SUMIFS(AKTIVITAS!$H$2:$H$3052,AKTIVITAS!$B$2:$B$3052,$B36,AKTIVITAS!$G$2:$G$3052,F36)</f>
        <v>3665</v>
      </c>
    </row>
    <row r="37" spans="1:20" x14ac:dyDescent="0.2">
      <c r="A37" s="82" t="str">
        <f>PEMAGANG!B11</f>
        <v>MG/KH/3525</v>
      </c>
      <c r="B37" s="82" t="str">
        <f>PEMAGANG!C11</f>
        <v>JANU PRASTYO</v>
      </c>
      <c r="C37" s="82" t="str">
        <f>PEMAGANG!D11</f>
        <v>ARIFANO KUSUMA BAYU</v>
      </c>
      <c r="D37" s="82" t="str">
        <f>PEMAGANG!E11</f>
        <v>Kontrak Project</v>
      </c>
      <c r="E37" s="75" t="str">
        <f t="shared" si="1"/>
        <v>September</v>
      </c>
      <c r="F37" s="75">
        <f>MONTH(DATE(YEAR(SUMMARY!$C$6),MONTH(SUMMARY!$C$6)+3,1))</f>
        <v>9</v>
      </c>
      <c r="G37" s="83">
        <f>PEMAGANG!J11</f>
        <v>46174</v>
      </c>
      <c r="H37" s="83">
        <f>PEMAGANG!K11</f>
        <v>46295</v>
      </c>
      <c r="I37" s="75">
        <f>COUNTIFS(KALENDER!$D$3:$D$132,"Hari Kerja",KALENDER!$C$3:$C$132,F37,KALENDER!$A$3:$A$132,"&gt;="&amp;G37,KALENDER!$A$3:$A$132,"&lt;="&amp;H37)</f>
        <v>22</v>
      </c>
      <c r="J37" s="75">
        <f>COUNTIFS(KALENDER!$D$3:$D$132,"WFH",KALENDER!$C$3:$C$132,F37,KALENDER!$A$3:$A$132,"&gt;="&amp;G37,KALENDER!$A$3:$A$132,"&lt;="&amp;H37)</f>
        <v>0</v>
      </c>
      <c r="K37" s="75">
        <f>SUMIFS(ABSEN!$P$2:$P$4094,ABSEN!$B$2:$B$4094,$B37,ABSEN!$L$2:$L$4094,F37)</f>
        <v>21</v>
      </c>
      <c r="L37" s="75">
        <f>SUMIFS(ABSEN!$Q$2:$Q$4094,ABSEN!$B$2:$B$4094,$B37,ABSEN!$L$2:$L$4094,F37)</f>
        <v>0</v>
      </c>
      <c r="M37" s="75">
        <f>SUMIFS(ABSEN!$W$2:$W$4094,ABSEN!$B$2:$B$4094,$B37,ABSEN!$L$2:$L$4094,F37)</f>
        <v>21</v>
      </c>
      <c r="N37" s="75">
        <f>SUMIFS(ABSEN!$R$2:$R$4094,ABSEN!$B$2:$B$4094,$B37,ABSEN!$L$2:$L$4094,F37)</f>
        <v>6</v>
      </c>
      <c r="O37" s="75">
        <f>SUMIFS(ABSEN!$S$2:$S$4094,ABSEN!$B$2:$B$4094,$B37,ABSEN!$L$2:$L$4094,F37)</f>
        <v>22.999999999999922</v>
      </c>
      <c r="P37" s="75">
        <f>SUMIFS(ABSEN!$T$2:$T$4094,ABSEN!$B$2:$B$4094,$B37,ABSEN!$L$2:$L$4094,F37)</f>
        <v>2</v>
      </c>
      <c r="Q37" s="75">
        <f>SUMIFS(ABSEN!$U$2:$U$4094,ABSEN!$B$2:$B$4094,$B37,ABSEN!$L$2:$L$4094,F37)</f>
        <v>21</v>
      </c>
      <c r="R37" s="75">
        <f>COUNTIFS(AKTIVITAS!$B$2:$B$3052,$B37,AKTIVITAS!$G$2:$G$3052,F37)</f>
        <v>60</v>
      </c>
      <c r="S37" s="75" t="str">
        <f>PEMAGANG!F11</f>
        <v>PGS SM OF DIGITAL BUSSINES</v>
      </c>
      <c r="T37" s="75">
        <f>SUMIFS(AKTIVITAS!$H$2:$H$3052,AKTIVITAS!$B$2:$B$3052,$B37,AKTIVITAS!$G$2:$G$3052,F37)</f>
        <v>3264</v>
      </c>
    </row>
    <row r="38" spans="1:20" x14ac:dyDescent="0.2">
      <c r="A38" s="82" t="str">
        <f>PEMAGANG!B12</f>
        <v>MG5026</v>
      </c>
      <c r="B38" s="82" t="str">
        <f>PEMAGANG!C12</f>
        <v>DINDA RAHADATUL AISY</v>
      </c>
      <c r="C38" s="82" t="str">
        <f>PEMAGANG!D12</f>
        <v>DIAN RIZKA SARI</v>
      </c>
      <c r="D38" s="82" t="str">
        <f>PEMAGANG!E12</f>
        <v>KEMNAKER</v>
      </c>
      <c r="E38" s="75" t="str">
        <f t="shared" si="1"/>
        <v>Juni</v>
      </c>
      <c r="F38" s="75">
        <f>MONTH(DATE(YEAR(SUMMARY!$C$6),MONTH(SUMMARY!$C$6)+0,1))</f>
        <v>6</v>
      </c>
      <c r="G38" s="83">
        <f>PEMAGANG!J12</f>
        <v>46223</v>
      </c>
      <c r="H38" s="83">
        <f>PEMAGANG!K12</f>
        <v>46295</v>
      </c>
      <c r="I38" s="75">
        <f>COUNTIFS(KALENDER!$D$3:$D$132,"Hari Kerja",KALENDER!$C$3:$C$132,F38,KALENDER!$A$3:$A$132,"&gt;="&amp;G38,KALENDER!$A$3:$A$132,"&lt;="&amp;H38)</f>
        <v>0</v>
      </c>
      <c r="J38" s="75">
        <f>COUNTIFS(KALENDER!$D$3:$D$132,"WFH",KALENDER!$C$3:$C$132,F38,KALENDER!$A$3:$A$132,"&gt;="&amp;G38,KALENDER!$A$3:$A$132,"&lt;="&amp;H38)</f>
        <v>0</v>
      </c>
      <c r="K38" s="75">
        <f>SUMIFS(ABSEN!$P$2:$P$4094,ABSEN!$B$2:$B$4094,$B38,ABSEN!$L$2:$L$4094,F38)</f>
        <v>0</v>
      </c>
      <c r="L38" s="75">
        <f>SUMIFS(ABSEN!$Q$2:$Q$4094,ABSEN!$B$2:$B$4094,$B38,ABSEN!$L$2:$L$4094,F38)</f>
        <v>0</v>
      </c>
      <c r="M38" s="75">
        <f>SUMIFS(ABSEN!$W$2:$W$4094,ABSEN!$B$2:$B$4094,$B38,ABSEN!$L$2:$L$4094,F38)</f>
        <v>0</v>
      </c>
      <c r="N38" s="75">
        <f>SUMIFS(ABSEN!$R$2:$R$4094,ABSEN!$B$2:$B$4094,$B38,ABSEN!$L$2:$L$4094,F38)</f>
        <v>0</v>
      </c>
      <c r="O38" s="75">
        <f>SUMIFS(ABSEN!$S$2:$S$4094,ABSEN!$B$2:$B$4094,$B38,ABSEN!$L$2:$L$4094,F38)</f>
        <v>0</v>
      </c>
      <c r="P38" s="75">
        <f>SUMIFS(ABSEN!$T$2:$T$4094,ABSEN!$B$2:$B$4094,$B38,ABSEN!$L$2:$L$4094,F38)</f>
        <v>0</v>
      </c>
      <c r="Q38" s="75">
        <f>SUMIFS(ABSEN!$U$2:$U$4094,ABSEN!$B$2:$B$4094,$B38,ABSEN!$L$2:$L$4094,F38)</f>
        <v>0</v>
      </c>
      <c r="R38" s="75">
        <f>COUNTIFS(AKTIVITAS!$B$2:$B$3052,$B38,AKTIVITAS!$G$2:$G$3052,F38)</f>
        <v>0</v>
      </c>
      <c r="S38" s="75" t="str">
        <f>PEMAGANG!F12</f>
        <v>PGS TREASURY (SID) OFFICER</v>
      </c>
      <c r="T38" s="75">
        <f>SUMIFS(AKTIVITAS!$H$2:$H$3052,AKTIVITAS!$B$2:$B$3052,$B38,AKTIVITAS!$G$2:$G$3052,F38)</f>
        <v>0</v>
      </c>
    </row>
    <row r="39" spans="1:20" x14ac:dyDescent="0.2">
      <c r="A39" s="82" t="str">
        <f>PEMAGANG!B12</f>
        <v>MG5026</v>
      </c>
      <c r="B39" s="82" t="str">
        <f>PEMAGANG!C12</f>
        <v>DINDA RAHADATUL AISY</v>
      </c>
      <c r="C39" s="82" t="str">
        <f>PEMAGANG!D12</f>
        <v>DIAN RIZKA SARI</v>
      </c>
      <c r="D39" s="82" t="str">
        <f>PEMAGANG!E12</f>
        <v>KEMNAKER</v>
      </c>
      <c r="E39" s="75" t="str">
        <f t="shared" si="1"/>
        <v>Juli</v>
      </c>
      <c r="F39" s="75">
        <f>MONTH(DATE(YEAR(SUMMARY!$C$6),MONTH(SUMMARY!$C$6)+1,1))</f>
        <v>7</v>
      </c>
      <c r="G39" s="83">
        <f>PEMAGANG!J12</f>
        <v>46223</v>
      </c>
      <c r="H39" s="83">
        <f>PEMAGANG!K12</f>
        <v>46295</v>
      </c>
      <c r="I39" s="75">
        <f>COUNTIFS(KALENDER!$D$3:$D$132,"Hari Kerja",KALENDER!$C$3:$C$132,F39,KALENDER!$A$3:$A$132,"&gt;="&amp;G39,KALENDER!$A$3:$A$132,"&lt;="&amp;H39)</f>
        <v>8</v>
      </c>
      <c r="J39" s="75">
        <f>COUNTIFS(KALENDER!$D$3:$D$132,"WFH",KALENDER!$C$3:$C$132,F39,KALENDER!$A$3:$A$132,"&gt;="&amp;G39,KALENDER!$A$3:$A$132,"&lt;="&amp;H39)</f>
        <v>2</v>
      </c>
      <c r="K39" s="75">
        <f>SUMIFS(ABSEN!$P$2:$P$4094,ABSEN!$B$2:$B$4094,$B39,ABSEN!$L$2:$L$4094,F39)</f>
        <v>7</v>
      </c>
      <c r="L39" s="75">
        <f>SUMIFS(ABSEN!$Q$2:$Q$4094,ABSEN!$B$2:$B$4094,$B39,ABSEN!$L$2:$L$4094,F39)</f>
        <v>0</v>
      </c>
      <c r="M39" s="75">
        <f>SUMIFS(ABSEN!$W$2:$W$4094,ABSEN!$B$2:$B$4094,$B39,ABSEN!$L$2:$L$4094,F39)</f>
        <v>7</v>
      </c>
      <c r="N39" s="75">
        <f>SUMIFS(ABSEN!$R$2:$R$4094,ABSEN!$B$2:$B$4094,$B39,ABSEN!$L$2:$L$4094,F39)</f>
        <v>0</v>
      </c>
      <c r="O39" s="75">
        <f>SUMIFS(ABSEN!$S$2:$S$4094,ABSEN!$B$2:$B$4094,$B39,ABSEN!$L$2:$L$4094,F39)</f>
        <v>0</v>
      </c>
      <c r="P39" s="75">
        <f>SUMIFS(ABSEN!$T$2:$T$4094,ABSEN!$B$2:$B$4094,$B39,ABSEN!$L$2:$L$4094,F39)</f>
        <v>0</v>
      </c>
      <c r="Q39" s="75">
        <f>SUMIFS(ABSEN!$U$2:$U$4094,ABSEN!$B$2:$B$4094,$B39,ABSEN!$L$2:$L$4094,F39)</f>
        <v>7</v>
      </c>
      <c r="R39" s="75">
        <f>COUNTIFS(AKTIVITAS!$B$2:$B$3052,$B39,AKTIVITAS!$G$2:$G$3052,F39)</f>
        <v>8</v>
      </c>
      <c r="S39" s="75" t="str">
        <f>PEMAGANG!F12</f>
        <v>PGS TREASURY (SID) OFFICER</v>
      </c>
      <c r="T39" s="75">
        <f>SUMIFS(AKTIVITAS!$H$2:$H$3052,AKTIVITAS!$B$2:$B$3052,$B39,AKTIVITAS!$G$2:$G$3052,F39)</f>
        <v>257</v>
      </c>
    </row>
    <row r="40" spans="1:20" x14ac:dyDescent="0.2">
      <c r="A40" s="82" t="str">
        <f>PEMAGANG!B12</f>
        <v>MG5026</v>
      </c>
      <c r="B40" s="82" t="str">
        <f>PEMAGANG!C12</f>
        <v>DINDA RAHADATUL AISY</v>
      </c>
      <c r="C40" s="82" t="str">
        <f>PEMAGANG!D12</f>
        <v>DIAN RIZKA SARI</v>
      </c>
      <c r="D40" s="82" t="str">
        <f>PEMAGANG!E12</f>
        <v>KEMNAKER</v>
      </c>
      <c r="E40" s="75" t="str">
        <f t="shared" si="1"/>
        <v>Agustus</v>
      </c>
      <c r="F40" s="75">
        <f>MONTH(DATE(YEAR(SUMMARY!$C$6),MONTH(SUMMARY!$C$6)+2,1))</f>
        <v>8</v>
      </c>
      <c r="G40" s="83">
        <f>PEMAGANG!J12</f>
        <v>46223</v>
      </c>
      <c r="H40" s="83">
        <f>PEMAGANG!K12</f>
        <v>46295</v>
      </c>
      <c r="I40" s="75">
        <f>COUNTIFS(KALENDER!$D$3:$D$132,"Hari Kerja",KALENDER!$C$3:$C$132,F40,KALENDER!$A$3:$A$132,"&gt;="&amp;G40,KALENDER!$A$3:$A$132,"&lt;="&amp;H40)</f>
        <v>19</v>
      </c>
      <c r="J40" s="75">
        <f>COUNTIFS(KALENDER!$D$3:$D$132,"WFH",KALENDER!$C$3:$C$132,F40,KALENDER!$A$3:$A$132,"&gt;="&amp;G40,KALENDER!$A$3:$A$132,"&lt;="&amp;H40)</f>
        <v>0</v>
      </c>
      <c r="K40" s="75">
        <f>SUMIFS(ABSEN!$P$2:$P$4094,ABSEN!$B$2:$B$4094,$B40,ABSEN!$L$2:$L$4094,F40)</f>
        <v>17</v>
      </c>
      <c r="L40" s="75">
        <f>SUMIFS(ABSEN!$Q$2:$Q$4094,ABSEN!$B$2:$B$4094,$B40,ABSEN!$L$2:$L$4094,F40)</f>
        <v>0</v>
      </c>
      <c r="M40" s="75">
        <f>SUMIFS(ABSEN!$W$2:$W$4094,ABSEN!$B$2:$B$4094,$B40,ABSEN!$L$2:$L$4094,F40)</f>
        <v>17</v>
      </c>
      <c r="N40" s="75">
        <f>SUMIFS(ABSEN!$R$2:$R$4094,ABSEN!$B$2:$B$4094,$B40,ABSEN!$L$2:$L$4094,F40)</f>
        <v>0</v>
      </c>
      <c r="O40" s="75">
        <f>SUMIFS(ABSEN!$S$2:$S$4094,ABSEN!$B$2:$B$4094,$B40,ABSEN!$L$2:$L$4094,F40)</f>
        <v>0</v>
      </c>
      <c r="P40" s="75">
        <f>SUMIFS(ABSEN!$T$2:$T$4094,ABSEN!$B$2:$B$4094,$B40,ABSEN!$L$2:$L$4094,F40)</f>
        <v>0</v>
      </c>
      <c r="Q40" s="75">
        <f>SUMIFS(ABSEN!$U$2:$U$4094,ABSEN!$B$2:$B$4094,$B40,ABSEN!$L$2:$L$4094,F40)</f>
        <v>17</v>
      </c>
      <c r="R40" s="75">
        <f>COUNTIFS(AKTIVITAS!$B$2:$B$3052,$B40,AKTIVITAS!$G$2:$G$3052,F40)</f>
        <v>17</v>
      </c>
      <c r="S40" s="75" t="str">
        <f>PEMAGANG!F12</f>
        <v>PGS TREASURY (SID) OFFICER</v>
      </c>
      <c r="T40" s="75">
        <f>SUMIFS(AKTIVITAS!$H$2:$H$3052,AKTIVITAS!$B$2:$B$3052,$B40,AKTIVITAS!$G$2:$G$3052,F40)</f>
        <v>846</v>
      </c>
    </row>
    <row r="41" spans="1:20" x14ac:dyDescent="0.2">
      <c r="A41" s="82" t="str">
        <f>PEMAGANG!B12</f>
        <v>MG5026</v>
      </c>
      <c r="B41" s="82" t="str">
        <f>PEMAGANG!C12</f>
        <v>DINDA RAHADATUL AISY</v>
      </c>
      <c r="C41" s="82" t="str">
        <f>PEMAGANG!D12</f>
        <v>DIAN RIZKA SARI</v>
      </c>
      <c r="D41" s="82" t="str">
        <f>PEMAGANG!E12</f>
        <v>KEMNAKER</v>
      </c>
      <c r="E41" s="75" t="str">
        <f t="shared" si="1"/>
        <v>September</v>
      </c>
      <c r="F41" s="75">
        <f>MONTH(DATE(YEAR(SUMMARY!$C$6),MONTH(SUMMARY!$C$6)+3,1))</f>
        <v>9</v>
      </c>
      <c r="G41" s="83">
        <f>PEMAGANG!J12</f>
        <v>46223</v>
      </c>
      <c r="H41" s="83">
        <f>PEMAGANG!K12</f>
        <v>46295</v>
      </c>
      <c r="I41" s="75">
        <f>COUNTIFS(KALENDER!$D$3:$D$132,"Hari Kerja",KALENDER!$C$3:$C$132,F41,KALENDER!$A$3:$A$132,"&gt;="&amp;G41,KALENDER!$A$3:$A$132,"&lt;="&amp;H41)</f>
        <v>22</v>
      </c>
      <c r="J41" s="75">
        <f>COUNTIFS(KALENDER!$D$3:$D$132,"WFH",KALENDER!$C$3:$C$132,F41,KALENDER!$A$3:$A$132,"&gt;="&amp;G41,KALENDER!$A$3:$A$132,"&lt;="&amp;H41)</f>
        <v>0</v>
      </c>
      <c r="K41" s="75">
        <f>SUMIFS(ABSEN!$P$2:$P$4094,ABSEN!$B$2:$B$4094,$B41,ABSEN!$L$2:$L$4094,F41)</f>
        <v>18</v>
      </c>
      <c r="L41" s="75">
        <f>SUMIFS(ABSEN!$Q$2:$Q$4094,ABSEN!$B$2:$B$4094,$B41,ABSEN!$L$2:$L$4094,F41)</f>
        <v>0</v>
      </c>
      <c r="M41" s="75">
        <f>SUMIFS(ABSEN!$W$2:$W$4094,ABSEN!$B$2:$B$4094,$B41,ABSEN!$L$2:$L$4094,F41)</f>
        <v>18</v>
      </c>
      <c r="N41" s="75">
        <f>SUMIFS(ABSEN!$R$2:$R$4094,ABSEN!$B$2:$B$4094,$B41,ABSEN!$L$2:$L$4094,F41)</f>
        <v>0</v>
      </c>
      <c r="O41" s="75">
        <f>SUMIFS(ABSEN!$S$2:$S$4094,ABSEN!$B$2:$B$4094,$B41,ABSEN!$L$2:$L$4094,F41)</f>
        <v>0</v>
      </c>
      <c r="P41" s="75">
        <f>SUMIFS(ABSEN!$T$2:$T$4094,ABSEN!$B$2:$B$4094,$B41,ABSEN!$L$2:$L$4094,F41)</f>
        <v>1</v>
      </c>
      <c r="Q41" s="75">
        <f>SUMIFS(ABSEN!$U$2:$U$4094,ABSEN!$B$2:$B$4094,$B41,ABSEN!$L$2:$L$4094,F41)</f>
        <v>18</v>
      </c>
      <c r="R41" s="75">
        <f>COUNTIFS(AKTIVITAS!$B$2:$B$3052,$B41,AKTIVITAS!$G$2:$G$3052,F41)</f>
        <v>18</v>
      </c>
      <c r="S41" s="75" t="str">
        <f>PEMAGANG!F12</f>
        <v>PGS TREASURY (SID) OFFICER</v>
      </c>
      <c r="T41" s="75">
        <f>SUMIFS(AKTIVITAS!$H$2:$H$3052,AKTIVITAS!$B$2:$B$3052,$B41,AKTIVITAS!$G$2:$G$3052,F41)</f>
        <v>836</v>
      </c>
    </row>
    <row r="42" spans="1:20" x14ac:dyDescent="0.2">
      <c r="A42" s="82" t="str">
        <f>PEMAGANG!B13</f>
        <v>MG27</v>
      </c>
      <c r="B42" s="82" t="str">
        <f>PEMAGANG!C13</f>
        <v>NIKEN AURELIA SAPUTRI</v>
      </c>
      <c r="C42" s="82" t="str">
        <f>PEMAGANG!D13</f>
        <v>DIAN RIZKA SARI</v>
      </c>
      <c r="D42" s="82" t="str">
        <f>PEMAGANG!E13</f>
        <v>MANDIRI</v>
      </c>
      <c r="E42" s="75" t="str">
        <f t="shared" si="1"/>
        <v>Juni</v>
      </c>
      <c r="F42" s="75">
        <f>MONTH(DATE(YEAR(SUMMARY!$C$6),MONTH(SUMMARY!$C$6)+0,1))</f>
        <v>6</v>
      </c>
      <c r="G42" s="83">
        <f>PEMAGANG!J13</f>
        <v>46174</v>
      </c>
      <c r="H42" s="83">
        <f>PEMAGANG!K13</f>
        <v>46203</v>
      </c>
      <c r="I42" s="75">
        <f>COUNTIFS(KALENDER!$D$3:$D$132,"Hari Kerja",KALENDER!$C$3:$C$132,F42,KALENDER!$A$3:$A$132,"&gt;="&amp;G42,KALENDER!$A$3:$A$132,"&lt;="&amp;H42)</f>
        <v>16</v>
      </c>
      <c r="J42" s="75">
        <f>COUNTIFS(KALENDER!$D$3:$D$132,"WFH",KALENDER!$C$3:$C$132,F42,KALENDER!$A$3:$A$132,"&gt;="&amp;G42,KALENDER!$A$3:$A$132,"&lt;="&amp;H42)</f>
        <v>4</v>
      </c>
      <c r="K42" s="75">
        <f>SUMIFS(ABSEN!$P$2:$P$4094,ABSEN!$B$2:$B$4094,$B42,ABSEN!$L$2:$L$4094,F42)</f>
        <v>16</v>
      </c>
      <c r="L42" s="75">
        <f>SUMIFS(ABSEN!$Q$2:$Q$4094,ABSEN!$B$2:$B$4094,$B42,ABSEN!$L$2:$L$4094,F42)</f>
        <v>0</v>
      </c>
      <c r="M42" s="75">
        <f>SUMIFS(ABSEN!$W$2:$W$4094,ABSEN!$B$2:$B$4094,$B42,ABSEN!$L$2:$L$4094,F42)</f>
        <v>16</v>
      </c>
      <c r="N42" s="75">
        <f>SUMIFS(ABSEN!$R$2:$R$4094,ABSEN!$B$2:$B$4094,$B42,ABSEN!$L$2:$L$4094,F42)</f>
        <v>0</v>
      </c>
      <c r="O42" s="75">
        <f>SUMIFS(ABSEN!$S$2:$S$4094,ABSEN!$B$2:$B$4094,$B42,ABSEN!$L$2:$L$4094,F42)</f>
        <v>0</v>
      </c>
      <c r="P42" s="75">
        <f>SUMIFS(ABSEN!$T$2:$T$4094,ABSEN!$B$2:$B$4094,$B42,ABSEN!$L$2:$L$4094,F42)</f>
        <v>2</v>
      </c>
      <c r="Q42" s="75">
        <f>SUMIFS(ABSEN!$U$2:$U$4094,ABSEN!$B$2:$B$4094,$B42,ABSEN!$L$2:$L$4094,F42)</f>
        <v>15</v>
      </c>
      <c r="R42" s="75">
        <f>COUNTIFS(AKTIVITAS!$B$2:$B$3052,$B42,AKTIVITAS!$G$2:$G$3052,F42)</f>
        <v>17</v>
      </c>
      <c r="S42" s="75" t="str">
        <f>PEMAGANG!F13</f>
        <v>PGS TREASURY (SID) OFFICER</v>
      </c>
      <c r="T42" s="75">
        <f>SUMIFS(AKTIVITAS!$H$2:$H$3052,AKTIVITAS!$B$2:$B$3052,$B42,AKTIVITAS!$G$2:$G$3052,F42)</f>
        <v>377</v>
      </c>
    </row>
    <row r="43" spans="1:20" x14ac:dyDescent="0.2">
      <c r="A43" s="82" t="str">
        <f>PEMAGANG!B13</f>
        <v>MG27</v>
      </c>
      <c r="B43" s="82" t="str">
        <f>PEMAGANG!C13</f>
        <v>NIKEN AURELIA SAPUTRI</v>
      </c>
      <c r="C43" s="82" t="str">
        <f>PEMAGANG!D13</f>
        <v>DIAN RIZKA SARI</v>
      </c>
      <c r="D43" s="82" t="str">
        <f>PEMAGANG!E13</f>
        <v>MANDIRI</v>
      </c>
      <c r="E43" s="75" t="str">
        <f t="shared" si="1"/>
        <v>Juli</v>
      </c>
      <c r="F43" s="75">
        <f>MONTH(DATE(YEAR(SUMMARY!$C$6),MONTH(SUMMARY!$C$6)+1,1))</f>
        <v>7</v>
      </c>
      <c r="G43" s="83">
        <f>PEMAGANG!J13</f>
        <v>46174</v>
      </c>
      <c r="H43" s="83">
        <f>PEMAGANG!K13</f>
        <v>46203</v>
      </c>
      <c r="I43" s="75">
        <f>COUNTIFS(KALENDER!$D$3:$D$132,"Hari Kerja",KALENDER!$C$3:$C$132,F43,KALENDER!$A$3:$A$132,"&gt;="&amp;G43,KALENDER!$A$3:$A$132,"&lt;="&amp;H43)</f>
        <v>0</v>
      </c>
      <c r="J43" s="75">
        <f>COUNTIFS(KALENDER!$D$3:$D$132,"WFH",KALENDER!$C$3:$C$132,F43,KALENDER!$A$3:$A$132,"&gt;="&amp;G43,KALENDER!$A$3:$A$132,"&lt;="&amp;H43)</f>
        <v>0</v>
      </c>
      <c r="K43" s="75">
        <f>SUMIFS(ABSEN!$P$2:$P$4094,ABSEN!$B$2:$B$4094,$B43,ABSEN!$L$2:$L$4094,F43)</f>
        <v>0</v>
      </c>
      <c r="L43" s="75">
        <f>SUMIFS(ABSEN!$Q$2:$Q$4094,ABSEN!$B$2:$B$4094,$B43,ABSEN!$L$2:$L$4094,F43)</f>
        <v>1</v>
      </c>
      <c r="M43" s="75">
        <f>SUMIFS(ABSEN!$W$2:$W$4094,ABSEN!$B$2:$B$4094,$B43,ABSEN!$L$2:$L$4094,F43)</f>
        <v>0</v>
      </c>
      <c r="N43" s="75">
        <f>SUMIFS(ABSEN!$R$2:$R$4094,ABSEN!$B$2:$B$4094,$B43,ABSEN!$L$2:$L$4094,F43)</f>
        <v>0</v>
      </c>
      <c r="O43" s="75">
        <f>SUMIFS(ABSEN!$S$2:$S$4094,ABSEN!$B$2:$B$4094,$B43,ABSEN!$L$2:$L$4094,F43)</f>
        <v>0</v>
      </c>
      <c r="P43" s="75">
        <f>SUMIFS(ABSEN!$T$2:$T$4094,ABSEN!$B$2:$B$4094,$B43,ABSEN!$L$2:$L$4094,F43)</f>
        <v>0</v>
      </c>
      <c r="Q43" s="75">
        <f>SUMIFS(ABSEN!$U$2:$U$4094,ABSEN!$B$2:$B$4094,$B43,ABSEN!$L$2:$L$4094,F43)</f>
        <v>0</v>
      </c>
      <c r="R43" s="75">
        <f>COUNTIFS(AKTIVITAS!$B$2:$B$3052,$B43,AKTIVITAS!$G$2:$G$3052,F43)</f>
        <v>0</v>
      </c>
      <c r="S43" s="75" t="str">
        <f>PEMAGANG!F13</f>
        <v>PGS TREASURY (SID) OFFICER</v>
      </c>
      <c r="T43" s="75">
        <f>SUMIFS(AKTIVITAS!$H$2:$H$3052,AKTIVITAS!$B$2:$B$3052,$B43,AKTIVITAS!$G$2:$G$3052,F43)</f>
        <v>0</v>
      </c>
    </row>
    <row r="44" spans="1:20" x14ac:dyDescent="0.2">
      <c r="A44" s="82" t="str">
        <f>PEMAGANG!B13</f>
        <v>MG27</v>
      </c>
      <c r="B44" s="82" t="str">
        <f>PEMAGANG!C13</f>
        <v>NIKEN AURELIA SAPUTRI</v>
      </c>
      <c r="C44" s="82" t="str">
        <f>PEMAGANG!D13</f>
        <v>DIAN RIZKA SARI</v>
      </c>
      <c r="D44" s="82" t="str">
        <f>PEMAGANG!E13</f>
        <v>MANDIRI</v>
      </c>
      <c r="E44" s="75" t="str">
        <f t="shared" si="1"/>
        <v>Agustus</v>
      </c>
      <c r="F44" s="75">
        <f>MONTH(DATE(YEAR(SUMMARY!$C$6),MONTH(SUMMARY!$C$6)+2,1))</f>
        <v>8</v>
      </c>
      <c r="G44" s="83">
        <f>PEMAGANG!J13</f>
        <v>46174</v>
      </c>
      <c r="H44" s="83">
        <f>PEMAGANG!K13</f>
        <v>46203</v>
      </c>
      <c r="I44" s="75">
        <f>COUNTIFS(KALENDER!$D$3:$D$132,"Hari Kerja",KALENDER!$C$3:$C$132,F44,KALENDER!$A$3:$A$132,"&gt;="&amp;G44,KALENDER!$A$3:$A$132,"&lt;="&amp;H44)</f>
        <v>0</v>
      </c>
      <c r="J44" s="75">
        <f>COUNTIFS(KALENDER!$D$3:$D$132,"WFH",KALENDER!$C$3:$C$132,F44,KALENDER!$A$3:$A$132,"&gt;="&amp;G44,KALENDER!$A$3:$A$132,"&lt;="&amp;H44)</f>
        <v>0</v>
      </c>
      <c r="K44" s="75">
        <f>SUMIFS(ABSEN!$P$2:$P$4094,ABSEN!$B$2:$B$4094,$B44,ABSEN!$L$2:$L$4094,F44)</f>
        <v>0</v>
      </c>
      <c r="L44" s="75">
        <f>SUMIFS(ABSEN!$Q$2:$Q$4094,ABSEN!$B$2:$B$4094,$B44,ABSEN!$L$2:$L$4094,F44)</f>
        <v>0</v>
      </c>
      <c r="M44" s="75">
        <f>SUMIFS(ABSEN!$W$2:$W$4094,ABSEN!$B$2:$B$4094,$B44,ABSEN!$L$2:$L$4094,F44)</f>
        <v>0</v>
      </c>
      <c r="N44" s="75">
        <f>SUMIFS(ABSEN!$R$2:$R$4094,ABSEN!$B$2:$B$4094,$B44,ABSEN!$L$2:$L$4094,F44)</f>
        <v>0</v>
      </c>
      <c r="O44" s="75">
        <f>SUMIFS(ABSEN!$S$2:$S$4094,ABSEN!$B$2:$B$4094,$B44,ABSEN!$L$2:$L$4094,F44)</f>
        <v>0</v>
      </c>
      <c r="P44" s="75">
        <f>SUMIFS(ABSEN!$T$2:$T$4094,ABSEN!$B$2:$B$4094,$B44,ABSEN!$L$2:$L$4094,F44)</f>
        <v>0</v>
      </c>
      <c r="Q44" s="75">
        <f>SUMIFS(ABSEN!$U$2:$U$4094,ABSEN!$B$2:$B$4094,$B44,ABSEN!$L$2:$L$4094,F44)</f>
        <v>0</v>
      </c>
      <c r="R44" s="75">
        <f>COUNTIFS(AKTIVITAS!$B$2:$B$3052,$B44,AKTIVITAS!$G$2:$G$3052,F44)</f>
        <v>0</v>
      </c>
      <c r="S44" s="75" t="str">
        <f>PEMAGANG!F13</f>
        <v>PGS TREASURY (SID) OFFICER</v>
      </c>
      <c r="T44" s="75">
        <f>SUMIFS(AKTIVITAS!$H$2:$H$3052,AKTIVITAS!$B$2:$B$3052,$B44,AKTIVITAS!$G$2:$G$3052,F44)</f>
        <v>0</v>
      </c>
    </row>
    <row r="45" spans="1:20" x14ac:dyDescent="0.2">
      <c r="A45" s="82" t="str">
        <f>PEMAGANG!B13</f>
        <v>MG27</v>
      </c>
      <c r="B45" s="82" t="str">
        <f>PEMAGANG!C13</f>
        <v>NIKEN AURELIA SAPUTRI</v>
      </c>
      <c r="C45" s="82" t="str">
        <f>PEMAGANG!D13</f>
        <v>DIAN RIZKA SARI</v>
      </c>
      <c r="D45" s="82" t="str">
        <f>PEMAGANG!E13</f>
        <v>MANDIRI</v>
      </c>
      <c r="E45" s="75" t="str">
        <f t="shared" si="1"/>
        <v>September</v>
      </c>
      <c r="F45" s="75">
        <f>MONTH(DATE(YEAR(SUMMARY!$C$6),MONTH(SUMMARY!$C$6)+3,1))</f>
        <v>9</v>
      </c>
      <c r="G45" s="83">
        <f>PEMAGANG!J13</f>
        <v>46174</v>
      </c>
      <c r="H45" s="83">
        <f>PEMAGANG!K13</f>
        <v>46203</v>
      </c>
      <c r="I45" s="75">
        <f>COUNTIFS(KALENDER!$D$3:$D$132,"Hari Kerja",KALENDER!$C$3:$C$132,F45,KALENDER!$A$3:$A$132,"&gt;="&amp;G45,KALENDER!$A$3:$A$132,"&lt;="&amp;H45)</f>
        <v>0</v>
      </c>
      <c r="J45" s="75">
        <f>COUNTIFS(KALENDER!$D$3:$D$132,"WFH",KALENDER!$C$3:$C$132,F45,KALENDER!$A$3:$A$132,"&gt;="&amp;G45,KALENDER!$A$3:$A$132,"&lt;="&amp;H45)</f>
        <v>0</v>
      </c>
      <c r="K45" s="75">
        <f>SUMIFS(ABSEN!$P$2:$P$4094,ABSEN!$B$2:$B$4094,$B45,ABSEN!$L$2:$L$4094,F45)</f>
        <v>0</v>
      </c>
      <c r="L45" s="75">
        <f>SUMIFS(ABSEN!$Q$2:$Q$4094,ABSEN!$B$2:$B$4094,$B45,ABSEN!$L$2:$L$4094,F45)</f>
        <v>0</v>
      </c>
      <c r="M45" s="75">
        <f>SUMIFS(ABSEN!$W$2:$W$4094,ABSEN!$B$2:$B$4094,$B45,ABSEN!$L$2:$L$4094,F45)</f>
        <v>0</v>
      </c>
      <c r="N45" s="75">
        <f>SUMIFS(ABSEN!$R$2:$R$4094,ABSEN!$B$2:$B$4094,$B45,ABSEN!$L$2:$L$4094,F45)</f>
        <v>0</v>
      </c>
      <c r="O45" s="75">
        <f>SUMIFS(ABSEN!$S$2:$S$4094,ABSEN!$B$2:$B$4094,$B45,ABSEN!$L$2:$L$4094,F45)</f>
        <v>0</v>
      </c>
      <c r="P45" s="75">
        <f>SUMIFS(ABSEN!$T$2:$T$4094,ABSEN!$B$2:$B$4094,$B45,ABSEN!$L$2:$L$4094,F45)</f>
        <v>0</v>
      </c>
      <c r="Q45" s="75">
        <f>SUMIFS(ABSEN!$U$2:$U$4094,ABSEN!$B$2:$B$4094,$B45,ABSEN!$L$2:$L$4094,F45)</f>
        <v>0</v>
      </c>
      <c r="R45" s="75">
        <f>COUNTIFS(AKTIVITAS!$B$2:$B$3052,$B45,AKTIVITAS!$G$2:$G$3052,F45)</f>
        <v>0</v>
      </c>
      <c r="S45" s="75" t="str">
        <f>PEMAGANG!F13</f>
        <v>PGS TREASURY (SID) OFFICER</v>
      </c>
      <c r="T45" s="75">
        <f>SUMIFS(AKTIVITAS!$H$2:$H$3052,AKTIVITAS!$B$2:$B$3052,$B45,AKTIVITAS!$G$2:$G$3052,F45)</f>
        <v>0</v>
      </c>
    </row>
    <row r="46" spans="1:20" x14ac:dyDescent="0.2">
      <c r="A46" s="82" t="str">
        <f>PEMAGANG!B14</f>
        <v>MG4426</v>
      </c>
      <c r="B46" s="82" t="str">
        <f>PEMAGANG!C14</f>
        <v>EKA PUTRI FEBRIANTI</v>
      </c>
      <c r="C46" s="82" t="str">
        <f>PEMAGANG!D14</f>
        <v>DWI SULIASTARI</v>
      </c>
      <c r="D46" s="82" t="str">
        <f>PEMAGANG!E14</f>
        <v>MANDIRI</v>
      </c>
      <c r="E46" s="75" t="str">
        <f t="shared" si="1"/>
        <v>Juni</v>
      </c>
      <c r="F46" s="75">
        <f>MONTH(DATE(YEAR(SUMMARY!$C$6),MONTH(SUMMARY!$C$6)+0,1))</f>
        <v>6</v>
      </c>
      <c r="G46" s="83">
        <f>PEMAGANG!J14</f>
        <v>46177</v>
      </c>
      <c r="H46" s="83">
        <f>PEMAGANG!K14</f>
        <v>46295</v>
      </c>
      <c r="I46" s="75">
        <f>COUNTIFS(KALENDER!$D$3:$D$132,"Hari Kerja",KALENDER!$C$3:$C$132,F46,KALENDER!$A$3:$A$132,"&gt;="&amp;G46,KALENDER!$A$3:$A$132,"&lt;="&amp;H46)</f>
        <v>15</v>
      </c>
      <c r="J46" s="75">
        <f>COUNTIFS(KALENDER!$D$3:$D$132,"WFH",KALENDER!$C$3:$C$132,F46,KALENDER!$A$3:$A$132,"&gt;="&amp;G46,KALENDER!$A$3:$A$132,"&lt;="&amp;H46)</f>
        <v>3</v>
      </c>
      <c r="K46" s="75">
        <f>SUMIFS(ABSEN!$P$2:$P$4094,ABSEN!$B$2:$B$4094,$B46,ABSEN!$L$2:$L$4094,F46)</f>
        <v>14</v>
      </c>
      <c r="L46" s="75">
        <f>SUMIFS(ABSEN!$Q$2:$Q$4094,ABSEN!$B$2:$B$4094,$B46,ABSEN!$L$2:$L$4094,F46)</f>
        <v>0</v>
      </c>
      <c r="M46" s="75">
        <f>SUMIFS(ABSEN!$W$2:$W$4094,ABSEN!$B$2:$B$4094,$B46,ABSEN!$L$2:$L$4094,F46)</f>
        <v>14</v>
      </c>
      <c r="N46" s="75">
        <f>SUMIFS(ABSEN!$R$2:$R$4094,ABSEN!$B$2:$B$4094,$B46,ABSEN!$L$2:$L$4094,F46)</f>
        <v>1</v>
      </c>
      <c r="O46" s="75">
        <f>SUMIFS(ABSEN!$S$2:$S$4094,ABSEN!$B$2:$B$4094,$B46,ABSEN!$L$2:$L$4094,F46)</f>
        <v>223</v>
      </c>
      <c r="P46" s="75">
        <f>SUMIFS(ABSEN!$T$2:$T$4094,ABSEN!$B$2:$B$4094,$B46,ABSEN!$L$2:$L$4094,F46)</f>
        <v>1</v>
      </c>
      <c r="Q46" s="75">
        <f>SUMIFS(ABSEN!$U$2:$U$4094,ABSEN!$B$2:$B$4094,$B46,ABSEN!$L$2:$L$4094,F46)</f>
        <v>13</v>
      </c>
      <c r="R46" s="75">
        <f>COUNTIFS(AKTIVITAS!$B$2:$B$3052,$B46,AKTIVITAS!$G$2:$G$3052,F46)</f>
        <v>16</v>
      </c>
      <c r="S46" s="75" t="str">
        <f>PEMAGANG!F14</f>
        <v>SM OF SECRETARIAT &amp; FILLING</v>
      </c>
      <c r="T46" s="75">
        <f>SUMIFS(AKTIVITAS!$H$2:$H$3052,AKTIVITAS!$B$2:$B$3052,$B46,AKTIVITAS!$G$2:$G$3052,F46)</f>
        <v>482</v>
      </c>
    </row>
    <row r="47" spans="1:20" x14ac:dyDescent="0.2">
      <c r="A47" s="82" t="str">
        <f>PEMAGANG!B14</f>
        <v>MG4426</v>
      </c>
      <c r="B47" s="82" t="str">
        <f>PEMAGANG!C14</f>
        <v>EKA PUTRI FEBRIANTI</v>
      </c>
      <c r="C47" s="82" t="str">
        <f>PEMAGANG!D14</f>
        <v>DWI SULIASTARI</v>
      </c>
      <c r="D47" s="82" t="str">
        <f>PEMAGANG!E14</f>
        <v>MANDIRI</v>
      </c>
      <c r="E47" s="75" t="str">
        <f t="shared" si="1"/>
        <v>Juli</v>
      </c>
      <c r="F47" s="75">
        <f>MONTH(DATE(YEAR(SUMMARY!$C$6),MONTH(SUMMARY!$C$6)+1,1))</f>
        <v>7</v>
      </c>
      <c r="G47" s="83">
        <f>PEMAGANG!J14</f>
        <v>46177</v>
      </c>
      <c r="H47" s="83">
        <f>PEMAGANG!K14</f>
        <v>46295</v>
      </c>
      <c r="I47" s="75">
        <f>COUNTIFS(KALENDER!$D$3:$D$132,"Hari Kerja",KALENDER!$C$3:$C$132,F47,KALENDER!$A$3:$A$132,"&gt;="&amp;G47,KALENDER!$A$3:$A$132,"&lt;="&amp;H47)</f>
        <v>18</v>
      </c>
      <c r="J47" s="75">
        <f>COUNTIFS(KALENDER!$D$3:$D$132,"WFH",KALENDER!$C$3:$C$132,F47,KALENDER!$A$3:$A$132,"&gt;="&amp;G47,KALENDER!$A$3:$A$132,"&lt;="&amp;H47)</f>
        <v>5</v>
      </c>
      <c r="K47" s="75">
        <f>SUMIFS(ABSEN!$P$2:$P$4094,ABSEN!$B$2:$B$4094,$B47,ABSEN!$L$2:$L$4094,F47)</f>
        <v>18</v>
      </c>
      <c r="L47" s="75">
        <f>SUMIFS(ABSEN!$Q$2:$Q$4094,ABSEN!$B$2:$B$4094,$B47,ABSEN!$L$2:$L$4094,F47)</f>
        <v>0</v>
      </c>
      <c r="M47" s="75">
        <f>SUMIFS(ABSEN!$W$2:$W$4094,ABSEN!$B$2:$B$4094,$B47,ABSEN!$L$2:$L$4094,F47)</f>
        <v>18</v>
      </c>
      <c r="N47" s="75">
        <f>SUMIFS(ABSEN!$R$2:$R$4094,ABSEN!$B$2:$B$4094,$B47,ABSEN!$L$2:$L$4094,F47)</f>
        <v>0</v>
      </c>
      <c r="O47" s="75">
        <f>SUMIFS(ABSEN!$S$2:$S$4094,ABSEN!$B$2:$B$4094,$B47,ABSEN!$L$2:$L$4094,F47)</f>
        <v>0</v>
      </c>
      <c r="P47" s="75">
        <f>SUMIFS(ABSEN!$T$2:$T$4094,ABSEN!$B$2:$B$4094,$B47,ABSEN!$L$2:$L$4094,F47)</f>
        <v>0</v>
      </c>
      <c r="Q47" s="75">
        <f>SUMIFS(ABSEN!$U$2:$U$4094,ABSEN!$B$2:$B$4094,$B47,ABSEN!$L$2:$L$4094,F47)</f>
        <v>16</v>
      </c>
      <c r="R47" s="75">
        <f>COUNTIFS(AKTIVITAS!$B$2:$B$3052,$B47,AKTIVITAS!$G$2:$G$3052,F47)</f>
        <v>18</v>
      </c>
      <c r="S47" s="75" t="str">
        <f>PEMAGANG!F14</f>
        <v>SM OF SECRETARIAT &amp; FILLING</v>
      </c>
      <c r="T47" s="75">
        <f>SUMIFS(AKTIVITAS!$H$2:$H$3052,AKTIVITAS!$B$2:$B$3052,$B47,AKTIVITAS!$G$2:$G$3052,F47)</f>
        <v>481</v>
      </c>
    </row>
    <row r="48" spans="1:20" x14ac:dyDescent="0.2">
      <c r="A48" s="82" t="str">
        <f>PEMAGANG!B14</f>
        <v>MG4426</v>
      </c>
      <c r="B48" s="82" t="str">
        <f>PEMAGANG!C14</f>
        <v>EKA PUTRI FEBRIANTI</v>
      </c>
      <c r="C48" s="82" t="str">
        <f>PEMAGANG!D14</f>
        <v>DWI SULIASTARI</v>
      </c>
      <c r="D48" s="82" t="str">
        <f>PEMAGANG!E14</f>
        <v>MANDIRI</v>
      </c>
      <c r="E48" s="75" t="str">
        <f t="shared" si="1"/>
        <v>Agustus</v>
      </c>
      <c r="F48" s="75">
        <f>MONTH(DATE(YEAR(SUMMARY!$C$6),MONTH(SUMMARY!$C$6)+2,1))</f>
        <v>8</v>
      </c>
      <c r="G48" s="83">
        <f>PEMAGANG!J14</f>
        <v>46177</v>
      </c>
      <c r="H48" s="83">
        <f>PEMAGANG!K14</f>
        <v>46295</v>
      </c>
      <c r="I48" s="75">
        <f>COUNTIFS(KALENDER!$D$3:$D$132,"Hari Kerja",KALENDER!$C$3:$C$132,F48,KALENDER!$A$3:$A$132,"&gt;="&amp;G48,KALENDER!$A$3:$A$132,"&lt;="&amp;H48)</f>
        <v>19</v>
      </c>
      <c r="J48" s="75">
        <f>COUNTIFS(KALENDER!$D$3:$D$132,"WFH",KALENDER!$C$3:$C$132,F48,KALENDER!$A$3:$A$132,"&gt;="&amp;G48,KALENDER!$A$3:$A$132,"&lt;="&amp;H48)</f>
        <v>0</v>
      </c>
      <c r="K48" s="75">
        <f>SUMIFS(ABSEN!$P$2:$P$4094,ABSEN!$B$2:$B$4094,$B48,ABSEN!$L$2:$L$4094,F48)</f>
        <v>19</v>
      </c>
      <c r="L48" s="75">
        <f>SUMIFS(ABSEN!$Q$2:$Q$4094,ABSEN!$B$2:$B$4094,$B48,ABSEN!$L$2:$L$4094,F48)</f>
        <v>0</v>
      </c>
      <c r="M48" s="75">
        <f>SUMIFS(ABSEN!$W$2:$W$4094,ABSEN!$B$2:$B$4094,$B48,ABSEN!$L$2:$L$4094,F48)</f>
        <v>19</v>
      </c>
      <c r="N48" s="75">
        <f>SUMIFS(ABSEN!$R$2:$R$4094,ABSEN!$B$2:$B$4094,$B48,ABSEN!$L$2:$L$4094,F48)</f>
        <v>1</v>
      </c>
      <c r="O48" s="75">
        <f>SUMIFS(ABSEN!$S$2:$S$4094,ABSEN!$B$2:$B$4094,$B48,ABSEN!$L$2:$L$4094,F48)</f>
        <v>138</v>
      </c>
      <c r="P48" s="75">
        <f>SUMIFS(ABSEN!$T$2:$T$4094,ABSEN!$B$2:$B$4094,$B48,ABSEN!$L$2:$L$4094,F48)</f>
        <v>0</v>
      </c>
      <c r="Q48" s="75">
        <f>SUMIFS(ABSEN!$U$2:$U$4094,ABSEN!$B$2:$B$4094,$B48,ABSEN!$L$2:$L$4094,F48)</f>
        <v>18</v>
      </c>
      <c r="R48" s="75">
        <f>COUNTIFS(AKTIVITAS!$B$2:$B$3052,$B48,AKTIVITAS!$G$2:$G$3052,F48)</f>
        <v>18</v>
      </c>
      <c r="S48" s="75" t="str">
        <f>PEMAGANG!F14</f>
        <v>SM OF SECRETARIAT &amp; FILLING</v>
      </c>
      <c r="T48" s="75">
        <f>SUMIFS(AKTIVITAS!$H$2:$H$3052,AKTIVITAS!$B$2:$B$3052,$B48,AKTIVITAS!$G$2:$G$3052,F48)</f>
        <v>346</v>
      </c>
    </row>
    <row r="49" spans="1:20" x14ac:dyDescent="0.2">
      <c r="A49" s="82" t="str">
        <f>PEMAGANG!B14</f>
        <v>MG4426</v>
      </c>
      <c r="B49" s="82" t="str">
        <f>PEMAGANG!C14</f>
        <v>EKA PUTRI FEBRIANTI</v>
      </c>
      <c r="C49" s="82" t="str">
        <f>PEMAGANG!D14</f>
        <v>DWI SULIASTARI</v>
      </c>
      <c r="D49" s="82" t="str">
        <f>PEMAGANG!E14</f>
        <v>MANDIRI</v>
      </c>
      <c r="E49" s="75" t="str">
        <f t="shared" si="1"/>
        <v>September</v>
      </c>
      <c r="F49" s="75">
        <f>MONTH(DATE(YEAR(SUMMARY!$C$6),MONTH(SUMMARY!$C$6)+3,1))</f>
        <v>9</v>
      </c>
      <c r="G49" s="83">
        <f>PEMAGANG!J14</f>
        <v>46177</v>
      </c>
      <c r="H49" s="83">
        <f>PEMAGANG!K14</f>
        <v>46295</v>
      </c>
      <c r="I49" s="75">
        <f>COUNTIFS(KALENDER!$D$3:$D$132,"Hari Kerja",KALENDER!$C$3:$C$132,F49,KALENDER!$A$3:$A$132,"&gt;="&amp;G49,KALENDER!$A$3:$A$132,"&lt;="&amp;H49)</f>
        <v>22</v>
      </c>
      <c r="J49" s="75">
        <f>COUNTIFS(KALENDER!$D$3:$D$132,"WFH",KALENDER!$C$3:$C$132,F49,KALENDER!$A$3:$A$132,"&gt;="&amp;G49,KALENDER!$A$3:$A$132,"&lt;="&amp;H49)</f>
        <v>0</v>
      </c>
      <c r="K49" s="75">
        <f>SUMIFS(ABSEN!$P$2:$P$4094,ABSEN!$B$2:$B$4094,$B49,ABSEN!$L$2:$L$4094,F49)</f>
        <v>18</v>
      </c>
      <c r="L49" s="75">
        <f>SUMIFS(ABSEN!$Q$2:$Q$4094,ABSEN!$B$2:$B$4094,$B49,ABSEN!$L$2:$L$4094,F49)</f>
        <v>0</v>
      </c>
      <c r="M49" s="75">
        <f>SUMIFS(ABSEN!$W$2:$W$4094,ABSEN!$B$2:$B$4094,$B49,ABSEN!$L$2:$L$4094,F49)</f>
        <v>18</v>
      </c>
      <c r="N49" s="75">
        <f>SUMIFS(ABSEN!$R$2:$R$4094,ABSEN!$B$2:$B$4094,$B49,ABSEN!$L$2:$L$4094,F49)</f>
        <v>1</v>
      </c>
      <c r="O49" s="75">
        <f>SUMIFS(ABSEN!$S$2:$S$4094,ABSEN!$B$2:$B$4094,$B49,ABSEN!$L$2:$L$4094,F49)</f>
        <v>198</v>
      </c>
      <c r="P49" s="75">
        <f>SUMIFS(ABSEN!$T$2:$T$4094,ABSEN!$B$2:$B$4094,$B49,ABSEN!$L$2:$L$4094,F49)</f>
        <v>2</v>
      </c>
      <c r="Q49" s="75">
        <f>SUMIFS(ABSEN!$U$2:$U$4094,ABSEN!$B$2:$B$4094,$B49,ABSEN!$L$2:$L$4094,F49)</f>
        <v>17</v>
      </c>
      <c r="R49" s="75">
        <f>COUNTIFS(AKTIVITAS!$B$2:$B$3052,$B49,AKTIVITAS!$G$2:$G$3052,F49)</f>
        <v>17</v>
      </c>
      <c r="S49" s="75" t="str">
        <f>PEMAGANG!F14</f>
        <v>SM OF SECRETARIAT &amp; FILLING</v>
      </c>
      <c r="T49" s="75">
        <f>SUMIFS(AKTIVITAS!$H$2:$H$3052,AKTIVITAS!$B$2:$B$3052,$B49,AKTIVITAS!$G$2:$G$3052,F49)</f>
        <v>319</v>
      </c>
    </row>
    <row r="50" spans="1:20" x14ac:dyDescent="0.2">
      <c r="A50" s="82" t="str">
        <f>PEMAGANG!B15</f>
        <v>MG4526</v>
      </c>
      <c r="B50" s="82" t="str">
        <f>PEMAGANG!C15</f>
        <v>NABILA RAIS NUR ROMADHONA</v>
      </c>
      <c r="C50" s="82" t="str">
        <f>PEMAGANG!D15</f>
        <v>DWI SULIASTARI</v>
      </c>
      <c r="D50" s="82" t="str">
        <f>PEMAGANG!E15</f>
        <v>MANDIRI</v>
      </c>
      <c r="E50" s="75" t="str">
        <f t="shared" si="1"/>
        <v>Juni</v>
      </c>
      <c r="F50" s="75">
        <f>MONTH(DATE(YEAR(SUMMARY!$C$6),MONTH(SUMMARY!$C$6)+0,1))</f>
        <v>6</v>
      </c>
      <c r="G50" s="83">
        <f>PEMAGANG!J15</f>
        <v>46177</v>
      </c>
      <c r="H50" s="83">
        <f>PEMAGANG!K15</f>
        <v>46295</v>
      </c>
      <c r="I50" s="75">
        <f>COUNTIFS(KALENDER!$D$3:$D$132,"Hari Kerja",KALENDER!$C$3:$C$132,F50,KALENDER!$A$3:$A$132,"&gt;="&amp;G50,KALENDER!$A$3:$A$132,"&lt;="&amp;H50)</f>
        <v>15</v>
      </c>
      <c r="J50" s="75">
        <f>COUNTIFS(KALENDER!$D$3:$D$132,"WFH",KALENDER!$C$3:$C$132,F50,KALENDER!$A$3:$A$132,"&gt;="&amp;G50,KALENDER!$A$3:$A$132,"&lt;="&amp;H50)</f>
        <v>3</v>
      </c>
      <c r="K50" s="75">
        <f>SUMIFS(ABSEN!$P$2:$P$4094,ABSEN!$B$2:$B$4094,$B50,ABSEN!$L$2:$L$4094,F50)</f>
        <v>14</v>
      </c>
      <c r="L50" s="75">
        <f>SUMIFS(ABSEN!$Q$2:$Q$4094,ABSEN!$B$2:$B$4094,$B50,ABSEN!$L$2:$L$4094,F50)</f>
        <v>0</v>
      </c>
      <c r="M50" s="75">
        <f>SUMIFS(ABSEN!$W$2:$W$4094,ABSEN!$B$2:$B$4094,$B50,ABSEN!$L$2:$L$4094,F50)</f>
        <v>14</v>
      </c>
      <c r="N50" s="75">
        <f>SUMIFS(ABSEN!$R$2:$R$4094,ABSEN!$B$2:$B$4094,$B50,ABSEN!$L$2:$L$4094,F50)</f>
        <v>2</v>
      </c>
      <c r="O50" s="75">
        <f>SUMIFS(ABSEN!$S$2:$S$4094,ABSEN!$B$2:$B$4094,$B50,ABSEN!$L$2:$L$4094,F50)</f>
        <v>224</v>
      </c>
      <c r="P50" s="75">
        <f>SUMIFS(ABSEN!$T$2:$T$4094,ABSEN!$B$2:$B$4094,$B50,ABSEN!$L$2:$L$4094,F50)</f>
        <v>1</v>
      </c>
      <c r="Q50" s="75">
        <f>SUMIFS(ABSEN!$U$2:$U$4094,ABSEN!$B$2:$B$4094,$B50,ABSEN!$L$2:$L$4094,F50)</f>
        <v>13</v>
      </c>
      <c r="R50" s="75">
        <f>COUNTIFS(AKTIVITAS!$B$2:$B$3052,$B50,AKTIVITAS!$G$2:$G$3052,F50)</f>
        <v>15</v>
      </c>
      <c r="S50" s="75" t="str">
        <f>PEMAGANG!F15</f>
        <v>SM OF SECRETARIAT &amp; FILLING</v>
      </c>
      <c r="T50" s="75">
        <f>SUMIFS(AKTIVITAS!$H$2:$H$3052,AKTIVITAS!$B$2:$B$3052,$B50,AKTIVITAS!$G$2:$G$3052,F50)</f>
        <v>472</v>
      </c>
    </row>
    <row r="51" spans="1:20" x14ac:dyDescent="0.2">
      <c r="A51" s="82" t="str">
        <f>PEMAGANG!B15</f>
        <v>MG4526</v>
      </c>
      <c r="B51" s="82" t="str">
        <f>PEMAGANG!C15</f>
        <v>NABILA RAIS NUR ROMADHONA</v>
      </c>
      <c r="C51" s="82" t="str">
        <f>PEMAGANG!D15</f>
        <v>DWI SULIASTARI</v>
      </c>
      <c r="D51" s="82" t="str">
        <f>PEMAGANG!E15</f>
        <v>MANDIRI</v>
      </c>
      <c r="E51" s="75" t="str">
        <f t="shared" si="1"/>
        <v>Juli</v>
      </c>
      <c r="F51" s="75">
        <f>MONTH(DATE(YEAR(SUMMARY!$C$6),MONTH(SUMMARY!$C$6)+1,1))</f>
        <v>7</v>
      </c>
      <c r="G51" s="83">
        <f>PEMAGANG!J15</f>
        <v>46177</v>
      </c>
      <c r="H51" s="83">
        <f>PEMAGANG!K15</f>
        <v>46295</v>
      </c>
      <c r="I51" s="75">
        <f>COUNTIFS(KALENDER!$D$3:$D$132,"Hari Kerja",KALENDER!$C$3:$C$132,F51,KALENDER!$A$3:$A$132,"&gt;="&amp;G51,KALENDER!$A$3:$A$132,"&lt;="&amp;H51)</f>
        <v>18</v>
      </c>
      <c r="J51" s="75">
        <f>COUNTIFS(KALENDER!$D$3:$D$132,"WFH",KALENDER!$C$3:$C$132,F51,KALENDER!$A$3:$A$132,"&gt;="&amp;G51,KALENDER!$A$3:$A$132,"&lt;="&amp;H51)</f>
        <v>5</v>
      </c>
      <c r="K51" s="75">
        <f>SUMIFS(ABSEN!$P$2:$P$4094,ABSEN!$B$2:$B$4094,$B51,ABSEN!$L$2:$L$4094,F51)</f>
        <v>17</v>
      </c>
      <c r="L51" s="75">
        <f>SUMIFS(ABSEN!$Q$2:$Q$4094,ABSEN!$B$2:$B$4094,$B51,ABSEN!$L$2:$L$4094,F51)</f>
        <v>0</v>
      </c>
      <c r="M51" s="75">
        <f>SUMIFS(ABSEN!$W$2:$W$4094,ABSEN!$B$2:$B$4094,$B51,ABSEN!$L$2:$L$4094,F51)</f>
        <v>17</v>
      </c>
      <c r="N51" s="75">
        <f>SUMIFS(ABSEN!$R$2:$R$4094,ABSEN!$B$2:$B$4094,$B51,ABSEN!$L$2:$L$4094,F51)</f>
        <v>0</v>
      </c>
      <c r="O51" s="75">
        <f>SUMIFS(ABSEN!$S$2:$S$4094,ABSEN!$B$2:$B$4094,$B51,ABSEN!$L$2:$L$4094,F51)</f>
        <v>0</v>
      </c>
      <c r="P51" s="75">
        <f>SUMIFS(ABSEN!$T$2:$T$4094,ABSEN!$B$2:$B$4094,$B51,ABSEN!$L$2:$L$4094,F51)</f>
        <v>0</v>
      </c>
      <c r="Q51" s="75">
        <f>SUMIFS(ABSEN!$U$2:$U$4094,ABSEN!$B$2:$B$4094,$B51,ABSEN!$L$2:$L$4094,F51)</f>
        <v>17</v>
      </c>
      <c r="R51" s="75">
        <f>COUNTIFS(AKTIVITAS!$B$2:$B$3052,$B51,AKTIVITAS!$G$2:$G$3052,F51)</f>
        <v>20</v>
      </c>
      <c r="S51" s="75" t="str">
        <f>PEMAGANG!F15</f>
        <v>SM OF SECRETARIAT &amp; FILLING</v>
      </c>
      <c r="T51" s="75">
        <f>SUMIFS(AKTIVITAS!$H$2:$H$3052,AKTIVITAS!$B$2:$B$3052,$B51,AKTIVITAS!$G$2:$G$3052,F51)</f>
        <v>791</v>
      </c>
    </row>
    <row r="52" spans="1:20" x14ac:dyDescent="0.2">
      <c r="A52" s="82" t="str">
        <f>PEMAGANG!B15</f>
        <v>MG4526</v>
      </c>
      <c r="B52" s="82" t="str">
        <f>PEMAGANG!C15</f>
        <v>NABILA RAIS NUR ROMADHONA</v>
      </c>
      <c r="C52" s="82" t="str">
        <f>PEMAGANG!D15</f>
        <v>DWI SULIASTARI</v>
      </c>
      <c r="D52" s="82" t="str">
        <f>PEMAGANG!E15</f>
        <v>MANDIRI</v>
      </c>
      <c r="E52" s="75" t="str">
        <f t="shared" si="1"/>
        <v>Agustus</v>
      </c>
      <c r="F52" s="75">
        <f>MONTH(DATE(YEAR(SUMMARY!$C$6),MONTH(SUMMARY!$C$6)+2,1))</f>
        <v>8</v>
      </c>
      <c r="G52" s="83">
        <f>PEMAGANG!J15</f>
        <v>46177</v>
      </c>
      <c r="H52" s="83">
        <f>PEMAGANG!K15</f>
        <v>46295</v>
      </c>
      <c r="I52" s="75">
        <f>COUNTIFS(KALENDER!$D$3:$D$132,"Hari Kerja",KALENDER!$C$3:$C$132,F52,KALENDER!$A$3:$A$132,"&gt;="&amp;G52,KALENDER!$A$3:$A$132,"&lt;="&amp;H52)</f>
        <v>19</v>
      </c>
      <c r="J52" s="75">
        <f>COUNTIFS(KALENDER!$D$3:$D$132,"WFH",KALENDER!$C$3:$C$132,F52,KALENDER!$A$3:$A$132,"&gt;="&amp;G52,KALENDER!$A$3:$A$132,"&lt;="&amp;H52)</f>
        <v>0</v>
      </c>
      <c r="K52" s="75">
        <f>SUMIFS(ABSEN!$P$2:$P$4094,ABSEN!$B$2:$B$4094,$B52,ABSEN!$L$2:$L$4094,F52)</f>
        <v>19</v>
      </c>
      <c r="L52" s="75">
        <f>SUMIFS(ABSEN!$Q$2:$Q$4094,ABSEN!$B$2:$B$4094,$B52,ABSEN!$L$2:$L$4094,F52)</f>
        <v>0</v>
      </c>
      <c r="M52" s="75">
        <f>SUMIFS(ABSEN!$W$2:$W$4094,ABSEN!$B$2:$B$4094,$B52,ABSEN!$L$2:$L$4094,F52)</f>
        <v>19</v>
      </c>
      <c r="N52" s="75">
        <f>SUMIFS(ABSEN!$R$2:$R$4094,ABSEN!$B$2:$B$4094,$B52,ABSEN!$L$2:$L$4094,F52)</f>
        <v>2</v>
      </c>
      <c r="O52" s="75">
        <f>SUMIFS(ABSEN!$S$2:$S$4094,ABSEN!$B$2:$B$4094,$B52,ABSEN!$L$2:$L$4094,F52)</f>
        <v>142</v>
      </c>
      <c r="P52" s="75">
        <f>SUMIFS(ABSEN!$T$2:$T$4094,ABSEN!$B$2:$B$4094,$B52,ABSEN!$L$2:$L$4094,F52)</f>
        <v>0</v>
      </c>
      <c r="Q52" s="75">
        <f>SUMIFS(ABSEN!$U$2:$U$4094,ABSEN!$B$2:$B$4094,$B52,ABSEN!$L$2:$L$4094,F52)</f>
        <v>19</v>
      </c>
      <c r="R52" s="75">
        <f>COUNTIFS(AKTIVITAS!$B$2:$B$3052,$B52,AKTIVITAS!$G$2:$G$3052,F52)</f>
        <v>24</v>
      </c>
      <c r="S52" s="75" t="str">
        <f>PEMAGANG!F15</f>
        <v>SM OF SECRETARIAT &amp; FILLING</v>
      </c>
      <c r="T52" s="75">
        <f>SUMIFS(AKTIVITAS!$H$2:$H$3052,AKTIVITAS!$B$2:$B$3052,$B52,AKTIVITAS!$G$2:$G$3052,F52)</f>
        <v>841</v>
      </c>
    </row>
    <row r="53" spans="1:20" x14ac:dyDescent="0.2">
      <c r="A53" s="82" t="str">
        <f>PEMAGANG!B15</f>
        <v>MG4526</v>
      </c>
      <c r="B53" s="82" t="str">
        <f>PEMAGANG!C15</f>
        <v>NABILA RAIS NUR ROMADHONA</v>
      </c>
      <c r="C53" s="82" t="str">
        <f>PEMAGANG!D15</f>
        <v>DWI SULIASTARI</v>
      </c>
      <c r="D53" s="82" t="str">
        <f>PEMAGANG!E15</f>
        <v>MANDIRI</v>
      </c>
      <c r="E53" s="75" t="str">
        <f t="shared" si="1"/>
        <v>September</v>
      </c>
      <c r="F53" s="75">
        <f>MONTH(DATE(YEAR(SUMMARY!$C$6),MONTH(SUMMARY!$C$6)+3,1))</f>
        <v>9</v>
      </c>
      <c r="G53" s="83">
        <f>PEMAGANG!J15</f>
        <v>46177</v>
      </c>
      <c r="H53" s="83">
        <f>PEMAGANG!K15</f>
        <v>46295</v>
      </c>
      <c r="I53" s="75">
        <f>COUNTIFS(KALENDER!$D$3:$D$132,"Hari Kerja",KALENDER!$C$3:$C$132,F53,KALENDER!$A$3:$A$132,"&gt;="&amp;G53,KALENDER!$A$3:$A$132,"&lt;="&amp;H53)</f>
        <v>22</v>
      </c>
      <c r="J53" s="75">
        <f>COUNTIFS(KALENDER!$D$3:$D$132,"WFH",KALENDER!$C$3:$C$132,F53,KALENDER!$A$3:$A$132,"&gt;="&amp;G53,KALENDER!$A$3:$A$132,"&lt;="&amp;H53)</f>
        <v>0</v>
      </c>
      <c r="K53" s="75">
        <f>SUMIFS(ABSEN!$P$2:$P$4094,ABSEN!$B$2:$B$4094,$B53,ABSEN!$L$2:$L$4094,F53)</f>
        <v>19</v>
      </c>
      <c r="L53" s="75">
        <f>SUMIFS(ABSEN!$Q$2:$Q$4094,ABSEN!$B$2:$B$4094,$B53,ABSEN!$L$2:$L$4094,F53)</f>
        <v>0</v>
      </c>
      <c r="M53" s="75">
        <f>SUMIFS(ABSEN!$W$2:$W$4094,ABSEN!$B$2:$B$4094,$B53,ABSEN!$L$2:$L$4094,F53)</f>
        <v>19</v>
      </c>
      <c r="N53" s="75">
        <f>SUMIFS(ABSEN!$R$2:$R$4094,ABSEN!$B$2:$B$4094,$B53,ABSEN!$L$2:$L$4094,F53)</f>
        <v>0</v>
      </c>
      <c r="O53" s="75">
        <f>SUMIFS(ABSEN!$S$2:$S$4094,ABSEN!$B$2:$B$4094,$B53,ABSEN!$L$2:$L$4094,F53)</f>
        <v>0</v>
      </c>
      <c r="P53" s="75">
        <f>SUMIFS(ABSEN!$T$2:$T$4094,ABSEN!$B$2:$B$4094,$B53,ABSEN!$L$2:$L$4094,F53)</f>
        <v>2</v>
      </c>
      <c r="Q53" s="75">
        <f>SUMIFS(ABSEN!$U$2:$U$4094,ABSEN!$B$2:$B$4094,$B53,ABSEN!$L$2:$L$4094,F53)</f>
        <v>19</v>
      </c>
      <c r="R53" s="75">
        <f>COUNTIFS(AKTIVITAS!$B$2:$B$3052,$B53,AKTIVITAS!$G$2:$G$3052,F53)</f>
        <v>24</v>
      </c>
      <c r="S53" s="75" t="str">
        <f>PEMAGANG!F15</f>
        <v>SM OF SECRETARIAT &amp; FILLING</v>
      </c>
      <c r="T53" s="75">
        <f>SUMIFS(AKTIVITAS!$H$2:$H$3052,AKTIVITAS!$B$2:$B$3052,$B53,AKTIVITAS!$G$2:$G$3052,F53)</f>
        <v>789</v>
      </c>
    </row>
    <row r="54" spans="1:20" x14ac:dyDescent="0.2">
      <c r="A54" s="82" t="str">
        <f>PEMAGANG!B16</f>
        <v>RK/KH/25008</v>
      </c>
      <c r="B54" s="82" t="str">
        <f>PEMAGANG!C16</f>
        <v>FETI FATMAWATI</v>
      </c>
      <c r="C54" s="82" t="str">
        <f>PEMAGANG!D16</f>
        <v>ELFANO RANGGA PRATAMA</v>
      </c>
      <c r="D54" s="82" t="str">
        <f>PEMAGANG!E16</f>
        <v>KEMNAKER</v>
      </c>
      <c r="E54" s="75" t="str">
        <f t="shared" si="1"/>
        <v>Juni</v>
      </c>
      <c r="F54" s="75">
        <f>MONTH(DATE(YEAR(SUMMARY!$C$6),MONTH(SUMMARY!$C$6)+0,1))</f>
        <v>6</v>
      </c>
      <c r="G54" s="83">
        <f>PEMAGANG!J16</f>
        <v>46174</v>
      </c>
      <c r="H54" s="83">
        <f>PEMAGANG!K16</f>
        <v>46295</v>
      </c>
      <c r="I54" s="75">
        <f>COUNTIFS(KALENDER!$D$3:$D$132,"Hari Kerja",KALENDER!$C$3:$C$132,F54,KALENDER!$A$3:$A$132,"&gt;="&amp;G54,KALENDER!$A$3:$A$132,"&lt;="&amp;H54)</f>
        <v>16</v>
      </c>
      <c r="J54" s="75">
        <f>COUNTIFS(KALENDER!$D$3:$D$132,"WFH",KALENDER!$C$3:$C$132,F54,KALENDER!$A$3:$A$132,"&gt;="&amp;G54,KALENDER!$A$3:$A$132,"&lt;="&amp;H54)</f>
        <v>4</v>
      </c>
      <c r="K54" s="75">
        <f>SUMIFS(ABSEN!$P$2:$P$4094,ABSEN!$B$2:$B$4094,$B54,ABSEN!$L$2:$L$4094,F54)</f>
        <v>14</v>
      </c>
      <c r="L54" s="75">
        <f>SUMIFS(ABSEN!$Q$2:$Q$4094,ABSEN!$B$2:$B$4094,$B54,ABSEN!$L$2:$L$4094,F54)</f>
        <v>7</v>
      </c>
      <c r="M54" s="75">
        <f>SUMIFS(ABSEN!$W$2:$W$4094,ABSEN!$B$2:$B$4094,$B54,ABSEN!$L$2:$L$4094,F54)</f>
        <v>21</v>
      </c>
      <c r="N54" s="75">
        <f>SUMIFS(ABSEN!$R$2:$R$4094,ABSEN!$B$2:$B$4094,$B54,ABSEN!$L$2:$L$4094,F54)</f>
        <v>20</v>
      </c>
      <c r="O54" s="75">
        <f>SUMIFS(ABSEN!$S$2:$S$4094,ABSEN!$B$2:$B$4094,$B54,ABSEN!$L$2:$L$4094,F54)</f>
        <v>148.9999999999998</v>
      </c>
      <c r="P54" s="75">
        <f>SUMIFS(ABSEN!$T$2:$T$4094,ABSEN!$B$2:$B$4094,$B54,ABSEN!$L$2:$L$4094,F54)</f>
        <v>1</v>
      </c>
      <c r="Q54" s="75">
        <f>SUMIFS(ABSEN!$U$2:$U$4094,ABSEN!$B$2:$B$4094,$B54,ABSEN!$L$2:$L$4094,F54)</f>
        <v>16</v>
      </c>
      <c r="R54" s="75">
        <f>COUNTIFS(AKTIVITAS!$B$2:$B$3052,$B54,AKTIVITAS!$G$2:$G$3052,F54)</f>
        <v>34</v>
      </c>
      <c r="S54" s="75" t="str">
        <f>PEMAGANG!F16</f>
        <v>MARKETING &amp; EXPANSION MODERN RETAIL OFFICER</v>
      </c>
      <c r="T54" s="75">
        <f>SUMIFS(AKTIVITAS!$H$2:$H$3052,AKTIVITAS!$B$2:$B$3052,$B54,AKTIVITAS!$G$2:$G$3052,F54)</f>
        <v>976</v>
      </c>
    </row>
    <row r="55" spans="1:20" x14ac:dyDescent="0.2">
      <c r="A55" s="82" t="str">
        <f>PEMAGANG!B16</f>
        <v>RK/KH/25008</v>
      </c>
      <c r="B55" s="82" t="str">
        <f>PEMAGANG!C16</f>
        <v>FETI FATMAWATI</v>
      </c>
      <c r="C55" s="82" t="str">
        <f>PEMAGANG!D16</f>
        <v>ELFANO RANGGA PRATAMA</v>
      </c>
      <c r="D55" s="82" t="str">
        <f>PEMAGANG!E16</f>
        <v>KEMNAKER</v>
      </c>
      <c r="E55" s="75" t="str">
        <f t="shared" si="1"/>
        <v>Juli</v>
      </c>
      <c r="F55" s="75">
        <f>MONTH(DATE(YEAR(SUMMARY!$C$6),MONTH(SUMMARY!$C$6)+1,1))</f>
        <v>7</v>
      </c>
      <c r="G55" s="83">
        <f>PEMAGANG!J16</f>
        <v>46174</v>
      </c>
      <c r="H55" s="83">
        <f>PEMAGANG!K16</f>
        <v>46295</v>
      </c>
      <c r="I55" s="75">
        <f>COUNTIFS(KALENDER!$D$3:$D$132,"Hari Kerja",KALENDER!$C$3:$C$132,F55,KALENDER!$A$3:$A$132,"&gt;="&amp;G55,KALENDER!$A$3:$A$132,"&lt;="&amp;H55)</f>
        <v>18</v>
      </c>
      <c r="J55" s="75">
        <f>COUNTIFS(KALENDER!$D$3:$D$132,"WFH",KALENDER!$C$3:$C$132,F55,KALENDER!$A$3:$A$132,"&gt;="&amp;G55,KALENDER!$A$3:$A$132,"&lt;="&amp;H55)</f>
        <v>5</v>
      </c>
      <c r="K55" s="75">
        <f>SUMIFS(ABSEN!$P$2:$P$4094,ABSEN!$B$2:$B$4094,$B55,ABSEN!$L$2:$L$4094,F55)</f>
        <v>17</v>
      </c>
      <c r="L55" s="75">
        <f>SUMIFS(ABSEN!$Q$2:$Q$4094,ABSEN!$B$2:$B$4094,$B55,ABSEN!$L$2:$L$4094,F55)</f>
        <v>9</v>
      </c>
      <c r="M55" s="75">
        <f>SUMIFS(ABSEN!$W$2:$W$4094,ABSEN!$B$2:$B$4094,$B55,ABSEN!$L$2:$L$4094,F55)</f>
        <v>26</v>
      </c>
      <c r="N55" s="75">
        <f>SUMIFS(ABSEN!$R$2:$R$4094,ABSEN!$B$2:$B$4094,$B55,ABSEN!$L$2:$L$4094,F55)</f>
        <v>23</v>
      </c>
      <c r="O55" s="75">
        <f>SUMIFS(ABSEN!$S$2:$S$4094,ABSEN!$B$2:$B$4094,$B55,ABSEN!$L$2:$L$4094,F55)</f>
        <v>871.00000000000057</v>
      </c>
      <c r="P55" s="75">
        <f>SUMIFS(ABSEN!$T$2:$T$4094,ABSEN!$B$2:$B$4094,$B55,ABSEN!$L$2:$L$4094,F55)</f>
        <v>0</v>
      </c>
      <c r="Q55" s="75">
        <f>SUMIFS(ABSEN!$U$2:$U$4094,ABSEN!$B$2:$B$4094,$B55,ABSEN!$L$2:$L$4094,F55)</f>
        <v>25</v>
      </c>
      <c r="R55" s="75">
        <f>COUNTIFS(AKTIVITAS!$B$2:$B$3052,$B55,AKTIVITAS!$G$2:$G$3052,F55)</f>
        <v>53</v>
      </c>
      <c r="S55" s="75" t="str">
        <f>PEMAGANG!F16</f>
        <v>MARKETING &amp; EXPANSION MODERN RETAIL OFFICER</v>
      </c>
      <c r="T55" s="75">
        <f>SUMIFS(AKTIVITAS!$H$2:$H$3052,AKTIVITAS!$B$2:$B$3052,$B55,AKTIVITAS!$G$2:$G$3052,F55)</f>
        <v>1466</v>
      </c>
    </row>
    <row r="56" spans="1:20" x14ac:dyDescent="0.2">
      <c r="A56" s="82" t="str">
        <f>PEMAGANG!B16</f>
        <v>RK/KH/25008</v>
      </c>
      <c r="B56" s="82" t="str">
        <f>PEMAGANG!C16</f>
        <v>FETI FATMAWATI</v>
      </c>
      <c r="C56" s="82" t="str">
        <f>PEMAGANG!D16</f>
        <v>ELFANO RANGGA PRATAMA</v>
      </c>
      <c r="D56" s="82" t="str">
        <f>PEMAGANG!E16</f>
        <v>KEMNAKER</v>
      </c>
      <c r="E56" s="75" t="str">
        <f t="shared" si="1"/>
        <v>Agustus</v>
      </c>
      <c r="F56" s="75">
        <f>MONTH(DATE(YEAR(SUMMARY!$C$6),MONTH(SUMMARY!$C$6)+2,1))</f>
        <v>8</v>
      </c>
      <c r="G56" s="83">
        <f>PEMAGANG!J16</f>
        <v>46174</v>
      </c>
      <c r="H56" s="83">
        <f>PEMAGANG!K16</f>
        <v>46295</v>
      </c>
      <c r="I56" s="75">
        <f>COUNTIFS(KALENDER!$D$3:$D$132,"Hari Kerja",KALENDER!$C$3:$C$132,F56,KALENDER!$A$3:$A$132,"&gt;="&amp;G56,KALENDER!$A$3:$A$132,"&lt;="&amp;H56)</f>
        <v>19</v>
      </c>
      <c r="J56" s="75">
        <f>COUNTIFS(KALENDER!$D$3:$D$132,"WFH",KALENDER!$C$3:$C$132,F56,KALENDER!$A$3:$A$132,"&gt;="&amp;G56,KALENDER!$A$3:$A$132,"&lt;="&amp;H56)</f>
        <v>0</v>
      </c>
      <c r="K56" s="75">
        <f>SUMIFS(ABSEN!$P$2:$P$4094,ABSEN!$B$2:$B$4094,$B56,ABSEN!$L$2:$L$4094,F56)</f>
        <v>18</v>
      </c>
      <c r="L56" s="75">
        <f>SUMIFS(ABSEN!$Q$2:$Q$4094,ABSEN!$B$2:$B$4094,$B56,ABSEN!$L$2:$L$4094,F56)</f>
        <v>4</v>
      </c>
      <c r="M56" s="75">
        <f>SUMIFS(ABSEN!$W$2:$W$4094,ABSEN!$B$2:$B$4094,$B56,ABSEN!$L$2:$L$4094,F56)</f>
        <v>22</v>
      </c>
      <c r="N56" s="75">
        <f>SUMIFS(ABSEN!$R$2:$R$4094,ABSEN!$B$2:$B$4094,$B56,ABSEN!$L$2:$L$4094,F56)</f>
        <v>0</v>
      </c>
      <c r="O56" s="75">
        <f>SUMIFS(ABSEN!$S$2:$S$4094,ABSEN!$B$2:$B$4094,$B56,ABSEN!$L$2:$L$4094,F56)</f>
        <v>0</v>
      </c>
      <c r="P56" s="75">
        <f>SUMIFS(ABSEN!$T$2:$T$4094,ABSEN!$B$2:$B$4094,$B56,ABSEN!$L$2:$L$4094,F56)</f>
        <v>0</v>
      </c>
      <c r="Q56" s="75">
        <f>SUMIFS(ABSEN!$U$2:$U$4094,ABSEN!$B$2:$B$4094,$B56,ABSEN!$L$2:$L$4094,F56)</f>
        <v>22</v>
      </c>
      <c r="R56" s="75">
        <f>COUNTIFS(AKTIVITAS!$B$2:$B$3052,$B56,AKTIVITAS!$G$2:$G$3052,F56)</f>
        <v>33</v>
      </c>
      <c r="S56" s="75" t="str">
        <f>PEMAGANG!F16</f>
        <v>MARKETING &amp; EXPANSION MODERN RETAIL OFFICER</v>
      </c>
      <c r="T56" s="75">
        <f>SUMIFS(AKTIVITAS!$H$2:$H$3052,AKTIVITAS!$B$2:$B$3052,$B56,AKTIVITAS!$G$2:$G$3052,F56)</f>
        <v>982</v>
      </c>
    </row>
    <row r="57" spans="1:20" x14ac:dyDescent="0.2">
      <c r="A57" s="82" t="str">
        <f>PEMAGANG!B16</f>
        <v>RK/KH/25008</v>
      </c>
      <c r="B57" s="82" t="str">
        <f>PEMAGANG!C16</f>
        <v>FETI FATMAWATI</v>
      </c>
      <c r="C57" s="82" t="str">
        <f>PEMAGANG!D16</f>
        <v>ELFANO RANGGA PRATAMA</v>
      </c>
      <c r="D57" s="82" t="str">
        <f>PEMAGANG!E16</f>
        <v>KEMNAKER</v>
      </c>
      <c r="E57" s="75" t="str">
        <f t="shared" si="1"/>
        <v>September</v>
      </c>
      <c r="F57" s="75">
        <f>MONTH(DATE(YEAR(SUMMARY!$C$6),MONTH(SUMMARY!$C$6)+3,1))</f>
        <v>9</v>
      </c>
      <c r="G57" s="83">
        <f>PEMAGANG!J16</f>
        <v>46174</v>
      </c>
      <c r="H57" s="83">
        <f>PEMAGANG!K16</f>
        <v>46295</v>
      </c>
      <c r="I57" s="75">
        <f>COUNTIFS(KALENDER!$D$3:$D$132,"Hari Kerja",KALENDER!$C$3:$C$132,F57,KALENDER!$A$3:$A$132,"&gt;="&amp;G57,KALENDER!$A$3:$A$132,"&lt;="&amp;H57)</f>
        <v>22</v>
      </c>
      <c r="J57" s="75">
        <f>COUNTIFS(KALENDER!$D$3:$D$132,"WFH",KALENDER!$C$3:$C$132,F57,KALENDER!$A$3:$A$132,"&gt;="&amp;G57,KALENDER!$A$3:$A$132,"&lt;="&amp;H57)</f>
        <v>0</v>
      </c>
      <c r="K57" s="75">
        <f>SUMIFS(ABSEN!$P$2:$P$4094,ABSEN!$B$2:$B$4094,$B57,ABSEN!$L$2:$L$4094,F57)</f>
        <v>21</v>
      </c>
      <c r="L57" s="75">
        <f>SUMIFS(ABSEN!$Q$2:$Q$4094,ABSEN!$B$2:$B$4094,$B57,ABSEN!$L$2:$L$4094,F57)</f>
        <v>4</v>
      </c>
      <c r="M57" s="75">
        <f>SUMIFS(ABSEN!$W$2:$W$4094,ABSEN!$B$2:$B$4094,$B57,ABSEN!$L$2:$L$4094,F57)</f>
        <v>25</v>
      </c>
      <c r="N57" s="75">
        <f>SUMIFS(ABSEN!$R$2:$R$4094,ABSEN!$B$2:$B$4094,$B57,ABSEN!$L$2:$L$4094,F57)</f>
        <v>16</v>
      </c>
      <c r="O57" s="75">
        <f>SUMIFS(ABSEN!$S$2:$S$4094,ABSEN!$B$2:$B$4094,$B57,ABSEN!$L$2:$L$4094,F57)</f>
        <v>117.00000000000011</v>
      </c>
      <c r="P57" s="75">
        <f>SUMIFS(ABSEN!$T$2:$T$4094,ABSEN!$B$2:$B$4094,$B57,ABSEN!$L$2:$L$4094,F57)</f>
        <v>0</v>
      </c>
      <c r="Q57" s="75">
        <f>SUMIFS(ABSEN!$U$2:$U$4094,ABSEN!$B$2:$B$4094,$B57,ABSEN!$L$2:$L$4094,F57)</f>
        <v>23</v>
      </c>
      <c r="R57" s="75">
        <f>COUNTIFS(AKTIVITAS!$B$2:$B$3052,$B57,AKTIVITAS!$G$2:$G$3052,F57)</f>
        <v>34</v>
      </c>
      <c r="S57" s="75" t="str">
        <f>PEMAGANG!F16</f>
        <v>MARKETING &amp; EXPANSION MODERN RETAIL OFFICER</v>
      </c>
      <c r="T57" s="75">
        <f>SUMIFS(AKTIVITAS!$H$2:$H$3052,AKTIVITAS!$B$2:$B$3052,$B57,AKTIVITAS!$G$2:$G$3052,F57)</f>
        <v>854</v>
      </c>
    </row>
    <row r="58" spans="1:20" x14ac:dyDescent="0.2">
      <c r="A58" s="82" t="str">
        <f>PEMAGANG!B17</f>
        <v>MG/KH/4726</v>
      </c>
      <c r="B58" s="82" t="str">
        <f>PEMAGANG!C17</f>
        <v>AHMAD NOVAN JUNIARDY</v>
      </c>
      <c r="C58" s="82" t="str">
        <f>PEMAGANG!D17</f>
        <v>ENDAH YUNIA SRI WINDARI</v>
      </c>
      <c r="D58" s="82" t="str">
        <f>PEMAGANG!E17</f>
        <v>KEMNAKER</v>
      </c>
      <c r="E58" s="75" t="str">
        <f t="shared" si="1"/>
        <v>Juni</v>
      </c>
      <c r="F58" s="75">
        <f>MONTH(DATE(YEAR(SUMMARY!$C$6),MONTH(SUMMARY!$C$6)+0,1))</f>
        <v>6</v>
      </c>
      <c r="G58" s="83">
        <f>PEMAGANG!J17</f>
        <v>46244</v>
      </c>
      <c r="H58" s="83">
        <f>PEMAGANG!K17</f>
        <v>46295</v>
      </c>
      <c r="I58" s="75">
        <f>COUNTIFS(KALENDER!$D$3:$D$132,"Hari Kerja",KALENDER!$C$3:$C$132,F58,KALENDER!$A$3:$A$132,"&gt;="&amp;G58,KALENDER!$A$3:$A$132,"&lt;="&amp;H58)</f>
        <v>0</v>
      </c>
      <c r="J58" s="75">
        <f>COUNTIFS(KALENDER!$D$3:$D$132,"WFH",KALENDER!$C$3:$C$132,F58,KALENDER!$A$3:$A$132,"&gt;="&amp;G58,KALENDER!$A$3:$A$132,"&lt;="&amp;H58)</f>
        <v>0</v>
      </c>
      <c r="K58" s="75">
        <f>SUMIFS(ABSEN!$P$2:$P$4094,ABSEN!$B$2:$B$4094,$B58,ABSEN!$L$2:$L$4094,F58)</f>
        <v>0</v>
      </c>
      <c r="L58" s="75">
        <f>SUMIFS(ABSEN!$Q$2:$Q$4094,ABSEN!$B$2:$B$4094,$B58,ABSEN!$L$2:$L$4094,F58)</f>
        <v>0</v>
      </c>
      <c r="M58" s="75">
        <f>SUMIFS(ABSEN!$W$2:$W$4094,ABSEN!$B$2:$B$4094,$B58,ABSEN!$L$2:$L$4094,F58)</f>
        <v>0</v>
      </c>
      <c r="N58" s="75">
        <f>SUMIFS(ABSEN!$R$2:$R$4094,ABSEN!$B$2:$B$4094,$B58,ABSEN!$L$2:$L$4094,F58)</f>
        <v>0</v>
      </c>
      <c r="O58" s="75">
        <f>SUMIFS(ABSEN!$S$2:$S$4094,ABSEN!$B$2:$B$4094,$B58,ABSEN!$L$2:$L$4094,F58)</f>
        <v>0</v>
      </c>
      <c r="P58" s="75">
        <f>SUMIFS(ABSEN!$T$2:$T$4094,ABSEN!$B$2:$B$4094,$B58,ABSEN!$L$2:$L$4094,F58)</f>
        <v>0</v>
      </c>
      <c r="Q58" s="75">
        <f>SUMIFS(ABSEN!$U$2:$U$4094,ABSEN!$B$2:$B$4094,$B58,ABSEN!$L$2:$L$4094,F58)</f>
        <v>0</v>
      </c>
      <c r="R58" s="75">
        <f>COUNTIFS(AKTIVITAS!$B$2:$B$3052,$B58,AKTIVITAS!$G$2:$G$3052,F58)</f>
        <v>0</v>
      </c>
      <c r="S58" s="75" t="str">
        <f>PEMAGANG!F17</f>
        <v>SM OF FINANCE (SID)</v>
      </c>
      <c r="T58" s="75">
        <f>SUMIFS(AKTIVITAS!$H$2:$H$3052,AKTIVITAS!$B$2:$B$3052,$B58,AKTIVITAS!$G$2:$G$3052,F58)</f>
        <v>0</v>
      </c>
    </row>
    <row r="59" spans="1:20" x14ac:dyDescent="0.2">
      <c r="A59" s="82" t="str">
        <f>PEMAGANG!B17</f>
        <v>MG/KH/4726</v>
      </c>
      <c r="B59" s="82" t="str">
        <f>PEMAGANG!C17</f>
        <v>AHMAD NOVAN JUNIARDY</v>
      </c>
      <c r="C59" s="82" t="str">
        <f>PEMAGANG!D17</f>
        <v>ENDAH YUNIA SRI WINDARI</v>
      </c>
      <c r="D59" s="82" t="str">
        <f>PEMAGANG!E17</f>
        <v>KEMNAKER</v>
      </c>
      <c r="E59" s="75" t="str">
        <f t="shared" si="1"/>
        <v>Juli</v>
      </c>
      <c r="F59" s="75">
        <f>MONTH(DATE(YEAR(SUMMARY!$C$6),MONTH(SUMMARY!$C$6)+1,1))</f>
        <v>7</v>
      </c>
      <c r="G59" s="83">
        <f>PEMAGANG!J17</f>
        <v>46244</v>
      </c>
      <c r="H59" s="83">
        <f>PEMAGANG!K17</f>
        <v>46295</v>
      </c>
      <c r="I59" s="75">
        <f>COUNTIFS(KALENDER!$D$3:$D$132,"Hari Kerja",KALENDER!$C$3:$C$132,F59,KALENDER!$A$3:$A$132,"&gt;="&amp;G59,KALENDER!$A$3:$A$132,"&lt;="&amp;H59)</f>
        <v>0</v>
      </c>
      <c r="J59" s="75">
        <f>COUNTIFS(KALENDER!$D$3:$D$132,"WFH",KALENDER!$C$3:$C$132,F59,KALENDER!$A$3:$A$132,"&gt;="&amp;G59,KALENDER!$A$3:$A$132,"&lt;="&amp;H59)</f>
        <v>0</v>
      </c>
      <c r="K59" s="75">
        <f>SUMIFS(ABSEN!$P$2:$P$4094,ABSEN!$B$2:$B$4094,$B59,ABSEN!$L$2:$L$4094,F59)</f>
        <v>0</v>
      </c>
      <c r="L59" s="75">
        <f>SUMIFS(ABSEN!$Q$2:$Q$4094,ABSEN!$B$2:$B$4094,$B59,ABSEN!$L$2:$L$4094,F59)</f>
        <v>0</v>
      </c>
      <c r="M59" s="75">
        <f>SUMIFS(ABSEN!$W$2:$W$4094,ABSEN!$B$2:$B$4094,$B59,ABSEN!$L$2:$L$4094,F59)</f>
        <v>0</v>
      </c>
      <c r="N59" s="75">
        <f>SUMIFS(ABSEN!$R$2:$R$4094,ABSEN!$B$2:$B$4094,$B59,ABSEN!$L$2:$L$4094,F59)</f>
        <v>0</v>
      </c>
      <c r="O59" s="75">
        <f>SUMIFS(ABSEN!$S$2:$S$4094,ABSEN!$B$2:$B$4094,$B59,ABSEN!$L$2:$L$4094,F59)</f>
        <v>0</v>
      </c>
      <c r="P59" s="75">
        <f>SUMIFS(ABSEN!$T$2:$T$4094,ABSEN!$B$2:$B$4094,$B59,ABSEN!$L$2:$L$4094,F59)</f>
        <v>0</v>
      </c>
      <c r="Q59" s="75">
        <f>SUMIFS(ABSEN!$U$2:$U$4094,ABSEN!$B$2:$B$4094,$B59,ABSEN!$L$2:$L$4094,F59)</f>
        <v>0</v>
      </c>
      <c r="R59" s="75">
        <f>COUNTIFS(AKTIVITAS!$B$2:$B$3052,$B59,AKTIVITAS!$G$2:$G$3052,F59)</f>
        <v>0</v>
      </c>
      <c r="S59" s="75" t="str">
        <f>PEMAGANG!F17</f>
        <v>SM OF FINANCE (SID)</v>
      </c>
      <c r="T59" s="75">
        <f>SUMIFS(AKTIVITAS!$H$2:$H$3052,AKTIVITAS!$B$2:$B$3052,$B59,AKTIVITAS!$G$2:$G$3052,F59)</f>
        <v>0</v>
      </c>
    </row>
    <row r="60" spans="1:20" x14ac:dyDescent="0.2">
      <c r="A60" s="82" t="str">
        <f>PEMAGANG!B17</f>
        <v>MG/KH/4726</v>
      </c>
      <c r="B60" s="82" t="str">
        <f>PEMAGANG!C17</f>
        <v>AHMAD NOVAN JUNIARDY</v>
      </c>
      <c r="C60" s="82" t="str">
        <f>PEMAGANG!D17</f>
        <v>ENDAH YUNIA SRI WINDARI</v>
      </c>
      <c r="D60" s="82" t="str">
        <f>PEMAGANG!E17</f>
        <v>KEMNAKER</v>
      </c>
      <c r="E60" s="75" t="str">
        <f t="shared" si="1"/>
        <v>Agustus</v>
      </c>
      <c r="F60" s="75">
        <f>MONTH(DATE(YEAR(SUMMARY!$C$6),MONTH(SUMMARY!$C$6)+2,1))</f>
        <v>8</v>
      </c>
      <c r="G60" s="83">
        <f>PEMAGANG!J17</f>
        <v>46244</v>
      </c>
      <c r="H60" s="83">
        <f>PEMAGANG!K17</f>
        <v>46295</v>
      </c>
      <c r="I60" s="75">
        <f>COUNTIFS(KALENDER!$D$3:$D$132,"Hari Kerja",KALENDER!$C$3:$C$132,F60,KALENDER!$A$3:$A$132,"&gt;="&amp;G60,KALENDER!$A$3:$A$132,"&lt;="&amp;H60)</f>
        <v>14</v>
      </c>
      <c r="J60" s="75">
        <f>COUNTIFS(KALENDER!$D$3:$D$132,"WFH",KALENDER!$C$3:$C$132,F60,KALENDER!$A$3:$A$132,"&gt;="&amp;G60,KALENDER!$A$3:$A$132,"&lt;="&amp;H60)</f>
        <v>0</v>
      </c>
      <c r="K60" s="75">
        <f>SUMIFS(ABSEN!$P$2:$P$4094,ABSEN!$B$2:$B$4094,$B60,ABSEN!$L$2:$L$4094,F60)</f>
        <v>14</v>
      </c>
      <c r="L60" s="75">
        <f>SUMIFS(ABSEN!$Q$2:$Q$4094,ABSEN!$B$2:$B$4094,$B60,ABSEN!$L$2:$L$4094,F60)</f>
        <v>0</v>
      </c>
      <c r="M60" s="75">
        <f>SUMIFS(ABSEN!$W$2:$W$4094,ABSEN!$B$2:$B$4094,$B60,ABSEN!$L$2:$L$4094,F60)</f>
        <v>14</v>
      </c>
      <c r="N60" s="75">
        <f>SUMIFS(ABSEN!$R$2:$R$4094,ABSEN!$B$2:$B$4094,$B60,ABSEN!$L$2:$L$4094,F60)</f>
        <v>1</v>
      </c>
      <c r="O60" s="75">
        <f>SUMIFS(ABSEN!$S$2:$S$4094,ABSEN!$B$2:$B$4094,$B60,ABSEN!$L$2:$L$4094,F60)</f>
        <v>262</v>
      </c>
      <c r="P60" s="75">
        <f>SUMIFS(ABSEN!$T$2:$T$4094,ABSEN!$B$2:$B$4094,$B60,ABSEN!$L$2:$L$4094,F60)</f>
        <v>0</v>
      </c>
      <c r="Q60" s="75">
        <f>SUMIFS(ABSEN!$U$2:$U$4094,ABSEN!$B$2:$B$4094,$B60,ABSEN!$L$2:$L$4094,F60)</f>
        <v>14</v>
      </c>
      <c r="R60" s="75">
        <f>COUNTIFS(AKTIVITAS!$B$2:$B$3052,$B60,AKTIVITAS!$G$2:$G$3052,F60)</f>
        <v>22</v>
      </c>
      <c r="S60" s="75" t="str">
        <f>PEMAGANG!F17</f>
        <v>SM OF FINANCE (SID)</v>
      </c>
      <c r="T60" s="75">
        <f>SUMIFS(AKTIVITAS!$H$2:$H$3052,AKTIVITAS!$B$2:$B$3052,$B60,AKTIVITAS!$G$2:$G$3052,F60)</f>
        <v>2624</v>
      </c>
    </row>
    <row r="61" spans="1:20" x14ac:dyDescent="0.2">
      <c r="A61" s="82" t="str">
        <f>PEMAGANG!B17</f>
        <v>MG/KH/4726</v>
      </c>
      <c r="B61" s="82" t="str">
        <f>PEMAGANG!C17</f>
        <v>AHMAD NOVAN JUNIARDY</v>
      </c>
      <c r="C61" s="82" t="str">
        <f>PEMAGANG!D17</f>
        <v>ENDAH YUNIA SRI WINDARI</v>
      </c>
      <c r="D61" s="82" t="str">
        <f>PEMAGANG!E17</f>
        <v>KEMNAKER</v>
      </c>
      <c r="E61" s="75" t="str">
        <f t="shared" si="1"/>
        <v>September</v>
      </c>
      <c r="F61" s="75">
        <f>MONTH(DATE(YEAR(SUMMARY!$C$6),MONTH(SUMMARY!$C$6)+3,1))</f>
        <v>9</v>
      </c>
      <c r="G61" s="83">
        <f>PEMAGANG!J17</f>
        <v>46244</v>
      </c>
      <c r="H61" s="83">
        <f>PEMAGANG!K17</f>
        <v>46295</v>
      </c>
      <c r="I61" s="75">
        <f>COUNTIFS(KALENDER!$D$3:$D$132,"Hari Kerja",KALENDER!$C$3:$C$132,F61,KALENDER!$A$3:$A$132,"&gt;="&amp;G61,KALENDER!$A$3:$A$132,"&lt;="&amp;H61)</f>
        <v>22</v>
      </c>
      <c r="J61" s="75">
        <f>COUNTIFS(KALENDER!$D$3:$D$132,"WFH",KALENDER!$C$3:$C$132,F61,KALENDER!$A$3:$A$132,"&gt;="&amp;G61,KALENDER!$A$3:$A$132,"&lt;="&amp;H61)</f>
        <v>0</v>
      </c>
      <c r="K61" s="75">
        <f>SUMIFS(ABSEN!$P$2:$P$4094,ABSEN!$B$2:$B$4094,$B61,ABSEN!$L$2:$L$4094,F61)</f>
        <v>19</v>
      </c>
      <c r="L61" s="75">
        <f>SUMIFS(ABSEN!$Q$2:$Q$4094,ABSEN!$B$2:$B$4094,$B61,ABSEN!$L$2:$L$4094,F61)</f>
        <v>0</v>
      </c>
      <c r="M61" s="75">
        <f>SUMIFS(ABSEN!$W$2:$W$4094,ABSEN!$B$2:$B$4094,$B61,ABSEN!$L$2:$L$4094,F61)</f>
        <v>19</v>
      </c>
      <c r="N61" s="75">
        <f>SUMIFS(ABSEN!$R$2:$R$4094,ABSEN!$B$2:$B$4094,$B61,ABSEN!$L$2:$L$4094,F61)</f>
        <v>0</v>
      </c>
      <c r="O61" s="75">
        <f>SUMIFS(ABSEN!$S$2:$S$4094,ABSEN!$B$2:$B$4094,$B61,ABSEN!$L$2:$L$4094,F61)</f>
        <v>0</v>
      </c>
      <c r="P61" s="75">
        <f>SUMIFS(ABSEN!$T$2:$T$4094,ABSEN!$B$2:$B$4094,$B61,ABSEN!$L$2:$L$4094,F61)</f>
        <v>2</v>
      </c>
      <c r="Q61" s="75">
        <f>SUMIFS(ABSEN!$U$2:$U$4094,ABSEN!$B$2:$B$4094,$B61,ABSEN!$L$2:$L$4094,F61)</f>
        <v>19</v>
      </c>
      <c r="R61" s="75">
        <f>COUNTIFS(AKTIVITAS!$B$2:$B$3052,$B61,AKTIVITAS!$G$2:$G$3052,F61)</f>
        <v>43</v>
      </c>
      <c r="S61" s="75" t="str">
        <f>PEMAGANG!F17</f>
        <v>SM OF FINANCE (SID)</v>
      </c>
      <c r="T61" s="75">
        <f>SUMIFS(AKTIVITAS!$H$2:$H$3052,AKTIVITAS!$B$2:$B$3052,$B61,AKTIVITAS!$G$2:$G$3052,F61)</f>
        <v>3121</v>
      </c>
    </row>
    <row r="62" spans="1:20" x14ac:dyDescent="0.2">
      <c r="A62" s="82" t="str">
        <f>PEMAGANG!B18</f>
        <v>MG/KH/4426</v>
      </c>
      <c r="B62" s="82" t="str">
        <f>PEMAGANG!C18</f>
        <v>TAHYUDIN UZI SAFAAT</v>
      </c>
      <c r="C62" s="82" t="str">
        <f>PEMAGANG!D18</f>
        <v>ENDAH YUNIA SRI WINDARI</v>
      </c>
      <c r="D62" s="82" t="str">
        <f>PEMAGANG!E18</f>
        <v>KEMNAKER</v>
      </c>
      <c r="E62" s="75" t="str">
        <f t="shared" si="1"/>
        <v>Juni</v>
      </c>
      <c r="F62" s="75">
        <f>MONTH(DATE(YEAR(SUMMARY!$C$6),MONTH(SUMMARY!$C$6)+0,1))</f>
        <v>6</v>
      </c>
      <c r="G62" s="83">
        <f>PEMAGANG!J18</f>
        <v>46244</v>
      </c>
      <c r="H62" s="83">
        <f>PEMAGANG!K18</f>
        <v>46295</v>
      </c>
      <c r="I62" s="75">
        <f>COUNTIFS(KALENDER!$D$3:$D$132,"Hari Kerja",KALENDER!$C$3:$C$132,F62,KALENDER!$A$3:$A$132,"&gt;="&amp;G62,KALENDER!$A$3:$A$132,"&lt;="&amp;H62)</f>
        <v>0</v>
      </c>
      <c r="J62" s="75">
        <f>COUNTIFS(KALENDER!$D$3:$D$132,"WFH",KALENDER!$C$3:$C$132,F62,KALENDER!$A$3:$A$132,"&gt;="&amp;G62,KALENDER!$A$3:$A$132,"&lt;="&amp;H62)</f>
        <v>0</v>
      </c>
      <c r="K62" s="75">
        <f>SUMIFS(ABSEN!$P$2:$P$4094,ABSEN!$B$2:$B$4094,$B62,ABSEN!$L$2:$L$4094,F62)</f>
        <v>0</v>
      </c>
      <c r="L62" s="75">
        <f>SUMIFS(ABSEN!$Q$2:$Q$4094,ABSEN!$B$2:$B$4094,$B62,ABSEN!$L$2:$L$4094,F62)</f>
        <v>0</v>
      </c>
      <c r="M62" s="75">
        <f>SUMIFS(ABSEN!$W$2:$W$4094,ABSEN!$B$2:$B$4094,$B62,ABSEN!$L$2:$L$4094,F62)</f>
        <v>0</v>
      </c>
      <c r="N62" s="75">
        <f>SUMIFS(ABSEN!$R$2:$R$4094,ABSEN!$B$2:$B$4094,$B62,ABSEN!$L$2:$L$4094,F62)</f>
        <v>0</v>
      </c>
      <c r="O62" s="75">
        <f>SUMIFS(ABSEN!$S$2:$S$4094,ABSEN!$B$2:$B$4094,$B62,ABSEN!$L$2:$L$4094,F62)</f>
        <v>0</v>
      </c>
      <c r="P62" s="75">
        <f>SUMIFS(ABSEN!$T$2:$T$4094,ABSEN!$B$2:$B$4094,$B62,ABSEN!$L$2:$L$4094,F62)</f>
        <v>0</v>
      </c>
      <c r="Q62" s="75">
        <f>SUMIFS(ABSEN!$U$2:$U$4094,ABSEN!$B$2:$B$4094,$B62,ABSEN!$L$2:$L$4094,F62)</f>
        <v>0</v>
      </c>
      <c r="R62" s="75">
        <f>COUNTIFS(AKTIVITAS!$B$2:$B$3052,$B62,AKTIVITAS!$G$2:$G$3052,F62)</f>
        <v>0</v>
      </c>
      <c r="S62" s="75" t="str">
        <f>PEMAGANG!F18</f>
        <v>SM OF FINANCE (SID)</v>
      </c>
      <c r="T62" s="75">
        <f>SUMIFS(AKTIVITAS!$H$2:$H$3052,AKTIVITAS!$B$2:$B$3052,$B62,AKTIVITAS!$G$2:$G$3052,F62)</f>
        <v>0</v>
      </c>
    </row>
    <row r="63" spans="1:20" x14ac:dyDescent="0.2">
      <c r="A63" s="82" t="str">
        <f>PEMAGANG!B18</f>
        <v>MG/KH/4426</v>
      </c>
      <c r="B63" s="82" t="str">
        <f>PEMAGANG!C18</f>
        <v>TAHYUDIN UZI SAFAAT</v>
      </c>
      <c r="C63" s="82" t="str">
        <f>PEMAGANG!D18</f>
        <v>ENDAH YUNIA SRI WINDARI</v>
      </c>
      <c r="D63" s="82" t="str">
        <f>PEMAGANG!E18</f>
        <v>KEMNAKER</v>
      </c>
      <c r="E63" s="75" t="str">
        <f t="shared" si="1"/>
        <v>Juli</v>
      </c>
      <c r="F63" s="75">
        <f>MONTH(DATE(YEAR(SUMMARY!$C$6),MONTH(SUMMARY!$C$6)+1,1))</f>
        <v>7</v>
      </c>
      <c r="G63" s="83">
        <f>PEMAGANG!J18</f>
        <v>46244</v>
      </c>
      <c r="H63" s="83">
        <f>PEMAGANG!K18</f>
        <v>46295</v>
      </c>
      <c r="I63" s="75">
        <f>COUNTIFS(KALENDER!$D$3:$D$132,"Hari Kerja",KALENDER!$C$3:$C$132,F63,KALENDER!$A$3:$A$132,"&gt;="&amp;G63,KALENDER!$A$3:$A$132,"&lt;="&amp;H63)</f>
        <v>0</v>
      </c>
      <c r="J63" s="75">
        <f>COUNTIFS(KALENDER!$D$3:$D$132,"WFH",KALENDER!$C$3:$C$132,F63,KALENDER!$A$3:$A$132,"&gt;="&amp;G63,KALENDER!$A$3:$A$132,"&lt;="&amp;H63)</f>
        <v>0</v>
      </c>
      <c r="K63" s="75">
        <f>SUMIFS(ABSEN!$P$2:$P$4094,ABSEN!$B$2:$B$4094,$B63,ABSEN!$L$2:$L$4094,F63)</f>
        <v>0</v>
      </c>
      <c r="L63" s="75">
        <f>SUMIFS(ABSEN!$Q$2:$Q$4094,ABSEN!$B$2:$B$4094,$B63,ABSEN!$L$2:$L$4094,F63)</f>
        <v>0</v>
      </c>
      <c r="M63" s="75">
        <f>SUMIFS(ABSEN!$W$2:$W$4094,ABSEN!$B$2:$B$4094,$B63,ABSEN!$L$2:$L$4094,F63)</f>
        <v>0</v>
      </c>
      <c r="N63" s="75">
        <f>SUMIFS(ABSEN!$R$2:$R$4094,ABSEN!$B$2:$B$4094,$B63,ABSEN!$L$2:$L$4094,F63)</f>
        <v>0</v>
      </c>
      <c r="O63" s="75">
        <f>SUMIFS(ABSEN!$S$2:$S$4094,ABSEN!$B$2:$B$4094,$B63,ABSEN!$L$2:$L$4094,F63)</f>
        <v>0</v>
      </c>
      <c r="P63" s="75">
        <f>SUMIFS(ABSEN!$T$2:$T$4094,ABSEN!$B$2:$B$4094,$B63,ABSEN!$L$2:$L$4094,F63)</f>
        <v>0</v>
      </c>
      <c r="Q63" s="75">
        <f>SUMIFS(ABSEN!$U$2:$U$4094,ABSEN!$B$2:$B$4094,$B63,ABSEN!$L$2:$L$4094,F63)</f>
        <v>0</v>
      </c>
      <c r="R63" s="75">
        <f>COUNTIFS(AKTIVITAS!$B$2:$B$3052,$B63,AKTIVITAS!$G$2:$G$3052,F63)</f>
        <v>0</v>
      </c>
      <c r="S63" s="75" t="str">
        <f>PEMAGANG!F18</f>
        <v>SM OF FINANCE (SID)</v>
      </c>
      <c r="T63" s="75">
        <f>SUMIFS(AKTIVITAS!$H$2:$H$3052,AKTIVITAS!$B$2:$B$3052,$B63,AKTIVITAS!$G$2:$G$3052,F63)</f>
        <v>0</v>
      </c>
    </row>
    <row r="64" spans="1:20" x14ac:dyDescent="0.2">
      <c r="A64" s="82" t="str">
        <f>PEMAGANG!B18</f>
        <v>MG/KH/4426</v>
      </c>
      <c r="B64" s="82" t="str">
        <f>PEMAGANG!C18</f>
        <v>TAHYUDIN UZI SAFAAT</v>
      </c>
      <c r="C64" s="82" t="str">
        <f>PEMAGANG!D18</f>
        <v>ENDAH YUNIA SRI WINDARI</v>
      </c>
      <c r="D64" s="82" t="str">
        <f>PEMAGANG!E18</f>
        <v>KEMNAKER</v>
      </c>
      <c r="E64" s="75" t="str">
        <f t="shared" si="1"/>
        <v>Agustus</v>
      </c>
      <c r="F64" s="75">
        <f>MONTH(DATE(YEAR(SUMMARY!$C$6),MONTH(SUMMARY!$C$6)+2,1))</f>
        <v>8</v>
      </c>
      <c r="G64" s="83">
        <f>PEMAGANG!J18</f>
        <v>46244</v>
      </c>
      <c r="H64" s="83">
        <f>PEMAGANG!K18</f>
        <v>46295</v>
      </c>
      <c r="I64" s="75">
        <f>COUNTIFS(KALENDER!$D$3:$D$132,"Hari Kerja",KALENDER!$C$3:$C$132,F64,KALENDER!$A$3:$A$132,"&gt;="&amp;G64,KALENDER!$A$3:$A$132,"&lt;="&amp;H64)</f>
        <v>14</v>
      </c>
      <c r="J64" s="75">
        <f>COUNTIFS(KALENDER!$D$3:$D$132,"WFH",KALENDER!$C$3:$C$132,F64,KALENDER!$A$3:$A$132,"&gt;="&amp;G64,KALENDER!$A$3:$A$132,"&lt;="&amp;H64)</f>
        <v>0</v>
      </c>
      <c r="K64" s="75">
        <f>SUMIFS(ABSEN!$P$2:$P$4094,ABSEN!$B$2:$B$4094,$B64,ABSEN!$L$2:$L$4094,F64)</f>
        <v>14</v>
      </c>
      <c r="L64" s="75">
        <f>SUMIFS(ABSEN!$Q$2:$Q$4094,ABSEN!$B$2:$B$4094,$B64,ABSEN!$L$2:$L$4094,F64)</f>
        <v>0</v>
      </c>
      <c r="M64" s="75">
        <f>SUMIFS(ABSEN!$W$2:$W$4094,ABSEN!$B$2:$B$4094,$B64,ABSEN!$L$2:$L$4094,F64)</f>
        <v>14</v>
      </c>
      <c r="N64" s="75">
        <f>SUMIFS(ABSEN!$R$2:$R$4094,ABSEN!$B$2:$B$4094,$B64,ABSEN!$L$2:$L$4094,F64)</f>
        <v>1</v>
      </c>
      <c r="O64" s="75">
        <f>SUMIFS(ABSEN!$S$2:$S$4094,ABSEN!$B$2:$B$4094,$B64,ABSEN!$L$2:$L$4094,F64)</f>
        <v>261</v>
      </c>
      <c r="P64" s="75">
        <f>SUMIFS(ABSEN!$T$2:$T$4094,ABSEN!$B$2:$B$4094,$B64,ABSEN!$L$2:$L$4094,F64)</f>
        <v>0</v>
      </c>
      <c r="Q64" s="75">
        <f>SUMIFS(ABSEN!$U$2:$U$4094,ABSEN!$B$2:$B$4094,$B64,ABSEN!$L$2:$L$4094,F64)</f>
        <v>14</v>
      </c>
      <c r="R64" s="75">
        <f>COUNTIFS(AKTIVITAS!$B$2:$B$3052,$B64,AKTIVITAS!$G$2:$G$3052,F64)</f>
        <v>23</v>
      </c>
      <c r="S64" s="75" t="str">
        <f>PEMAGANG!F18</f>
        <v>SM OF FINANCE (SID)</v>
      </c>
      <c r="T64" s="75">
        <f>SUMIFS(AKTIVITAS!$H$2:$H$3052,AKTIVITAS!$B$2:$B$3052,$B64,AKTIVITAS!$G$2:$G$3052,F64)</f>
        <v>2039</v>
      </c>
    </row>
    <row r="65" spans="1:20" x14ac:dyDescent="0.2">
      <c r="A65" s="82" t="str">
        <f>PEMAGANG!B18</f>
        <v>MG/KH/4426</v>
      </c>
      <c r="B65" s="82" t="str">
        <f>PEMAGANG!C18</f>
        <v>TAHYUDIN UZI SAFAAT</v>
      </c>
      <c r="C65" s="82" t="str">
        <f>PEMAGANG!D18</f>
        <v>ENDAH YUNIA SRI WINDARI</v>
      </c>
      <c r="D65" s="82" t="str">
        <f>PEMAGANG!E18</f>
        <v>KEMNAKER</v>
      </c>
      <c r="E65" s="75" t="str">
        <f t="shared" si="1"/>
        <v>September</v>
      </c>
      <c r="F65" s="75">
        <f>MONTH(DATE(YEAR(SUMMARY!$C$6),MONTH(SUMMARY!$C$6)+3,1))</f>
        <v>9</v>
      </c>
      <c r="G65" s="83">
        <f>PEMAGANG!J18</f>
        <v>46244</v>
      </c>
      <c r="H65" s="83">
        <f>PEMAGANG!K18</f>
        <v>46295</v>
      </c>
      <c r="I65" s="75">
        <f>COUNTIFS(KALENDER!$D$3:$D$132,"Hari Kerja",KALENDER!$C$3:$C$132,F65,KALENDER!$A$3:$A$132,"&gt;="&amp;G65,KALENDER!$A$3:$A$132,"&lt;="&amp;H65)</f>
        <v>22</v>
      </c>
      <c r="J65" s="75">
        <f>COUNTIFS(KALENDER!$D$3:$D$132,"WFH",KALENDER!$C$3:$C$132,F65,KALENDER!$A$3:$A$132,"&gt;="&amp;G65,KALENDER!$A$3:$A$132,"&lt;="&amp;H65)</f>
        <v>0</v>
      </c>
      <c r="K65" s="75">
        <f>SUMIFS(ABSEN!$P$2:$P$4094,ABSEN!$B$2:$B$4094,$B65,ABSEN!$L$2:$L$4094,F65)</f>
        <v>21</v>
      </c>
      <c r="L65" s="75">
        <f>SUMIFS(ABSEN!$Q$2:$Q$4094,ABSEN!$B$2:$B$4094,$B65,ABSEN!$L$2:$L$4094,F65)</f>
        <v>0</v>
      </c>
      <c r="M65" s="75">
        <f>SUMIFS(ABSEN!$W$2:$W$4094,ABSEN!$B$2:$B$4094,$B65,ABSEN!$L$2:$L$4094,F65)</f>
        <v>21</v>
      </c>
      <c r="N65" s="75">
        <f>SUMIFS(ABSEN!$R$2:$R$4094,ABSEN!$B$2:$B$4094,$B65,ABSEN!$L$2:$L$4094,F65)</f>
        <v>0</v>
      </c>
      <c r="O65" s="75">
        <f>SUMIFS(ABSEN!$S$2:$S$4094,ABSEN!$B$2:$B$4094,$B65,ABSEN!$L$2:$L$4094,F65)</f>
        <v>0</v>
      </c>
      <c r="P65" s="75">
        <f>SUMIFS(ABSEN!$T$2:$T$4094,ABSEN!$B$2:$B$4094,$B65,ABSEN!$L$2:$L$4094,F65)</f>
        <v>3</v>
      </c>
      <c r="Q65" s="75">
        <f>SUMIFS(ABSEN!$U$2:$U$4094,ABSEN!$B$2:$B$4094,$B65,ABSEN!$L$2:$L$4094,F65)</f>
        <v>21</v>
      </c>
      <c r="R65" s="75">
        <f>COUNTIFS(AKTIVITAS!$B$2:$B$3052,$B65,AKTIVITAS!$G$2:$G$3052,F65)</f>
        <v>43</v>
      </c>
      <c r="S65" s="75" t="str">
        <f>PEMAGANG!F18</f>
        <v>SM OF FINANCE (SID)</v>
      </c>
      <c r="T65" s="75">
        <f>SUMIFS(AKTIVITAS!$H$2:$H$3052,AKTIVITAS!$B$2:$B$3052,$B65,AKTIVITAS!$G$2:$G$3052,F65)</f>
        <v>1936</v>
      </c>
    </row>
    <row r="66" spans="1:20" x14ac:dyDescent="0.2">
      <c r="A66" s="82" t="str">
        <f>PEMAGANG!B19</f>
        <v>MG4726</v>
      </c>
      <c r="B66" s="82" t="str">
        <f>PEMAGANG!C19</f>
        <v>NILNA FAIRUSSAKTI SALBANI AFANO</v>
      </c>
      <c r="C66" s="82" t="str">
        <f>PEMAGANG!D19</f>
        <v>FETI MUBAIYINI</v>
      </c>
      <c r="D66" s="82" t="str">
        <f>PEMAGANG!E19</f>
        <v>MANDIRI</v>
      </c>
      <c r="E66" s="75" t="str">
        <f t="shared" ref="E66:E97" si="2">CHOOSE(F66,"Januari","Februari","Maret","April","Mei","Juni","Juli","Agustus","September","Oktober","November","Desember")</f>
        <v>Juni</v>
      </c>
      <c r="F66" s="75">
        <f>MONTH(DATE(YEAR(SUMMARY!$C$6),MONTH(SUMMARY!$C$6)+0,1))</f>
        <v>6</v>
      </c>
      <c r="G66" s="83">
        <f>PEMAGANG!J19</f>
        <v>46177</v>
      </c>
      <c r="H66" s="83">
        <f>PEMAGANG!K19</f>
        <v>46295</v>
      </c>
      <c r="I66" s="75">
        <f>COUNTIFS(KALENDER!$D$3:$D$132,"Hari Kerja",KALENDER!$C$3:$C$132,F66,KALENDER!$A$3:$A$132,"&gt;="&amp;G66,KALENDER!$A$3:$A$132,"&lt;="&amp;H66)</f>
        <v>15</v>
      </c>
      <c r="J66" s="75">
        <f>COUNTIFS(KALENDER!$D$3:$D$132,"WFH",KALENDER!$C$3:$C$132,F66,KALENDER!$A$3:$A$132,"&gt;="&amp;G66,KALENDER!$A$3:$A$132,"&lt;="&amp;H66)</f>
        <v>3</v>
      </c>
      <c r="K66" s="75">
        <f>SUMIFS(ABSEN!$P$2:$P$4094,ABSEN!$B$2:$B$4094,$B66,ABSEN!$L$2:$L$4094,F66)</f>
        <v>14</v>
      </c>
      <c r="L66" s="75">
        <f>SUMIFS(ABSEN!$Q$2:$Q$4094,ABSEN!$B$2:$B$4094,$B66,ABSEN!$L$2:$L$4094,F66)</f>
        <v>0</v>
      </c>
      <c r="M66" s="75">
        <f>SUMIFS(ABSEN!$W$2:$W$4094,ABSEN!$B$2:$B$4094,$B66,ABSEN!$L$2:$L$4094,F66)</f>
        <v>14</v>
      </c>
      <c r="N66" s="75">
        <f>SUMIFS(ABSEN!$R$2:$R$4094,ABSEN!$B$2:$B$4094,$B66,ABSEN!$L$2:$L$4094,F66)</f>
        <v>1</v>
      </c>
      <c r="O66" s="75">
        <f>SUMIFS(ABSEN!$S$2:$S$4094,ABSEN!$B$2:$B$4094,$B66,ABSEN!$L$2:$L$4094,F66)</f>
        <v>222</v>
      </c>
      <c r="P66" s="75">
        <f>SUMIFS(ABSEN!$T$2:$T$4094,ABSEN!$B$2:$B$4094,$B66,ABSEN!$L$2:$L$4094,F66)</f>
        <v>1</v>
      </c>
      <c r="Q66" s="75">
        <f>SUMIFS(ABSEN!$U$2:$U$4094,ABSEN!$B$2:$B$4094,$B66,ABSEN!$L$2:$L$4094,F66)</f>
        <v>13</v>
      </c>
      <c r="R66" s="75">
        <f>COUNTIFS(AKTIVITAS!$B$2:$B$3052,$B66,AKTIVITAS!$G$2:$G$3052,F66)</f>
        <v>42</v>
      </c>
      <c r="S66" s="75" t="str">
        <f>PEMAGANG!F19</f>
        <v>CENTRAL JAVA CURAH ADMINISTRATION JR. OFFICER</v>
      </c>
      <c r="T66" s="75">
        <f>SUMIFS(AKTIVITAS!$H$2:$H$3052,AKTIVITAS!$B$2:$B$3052,$B66,AKTIVITAS!$G$2:$G$3052,F66)</f>
        <v>442</v>
      </c>
    </row>
    <row r="67" spans="1:20" x14ac:dyDescent="0.2">
      <c r="A67" s="82" t="str">
        <f>PEMAGANG!B19</f>
        <v>MG4726</v>
      </c>
      <c r="B67" s="82" t="str">
        <f>PEMAGANG!C19</f>
        <v>NILNA FAIRUSSAKTI SALBANI AFANO</v>
      </c>
      <c r="C67" s="82" t="str">
        <f>PEMAGANG!D19</f>
        <v>FETI MUBAIYINI</v>
      </c>
      <c r="D67" s="82" t="str">
        <f>PEMAGANG!E19</f>
        <v>MANDIRI</v>
      </c>
      <c r="E67" s="75" t="str">
        <f t="shared" si="2"/>
        <v>Juli</v>
      </c>
      <c r="F67" s="75">
        <f>MONTH(DATE(YEAR(SUMMARY!$C$6),MONTH(SUMMARY!$C$6)+1,1))</f>
        <v>7</v>
      </c>
      <c r="G67" s="83">
        <f>PEMAGANG!J19</f>
        <v>46177</v>
      </c>
      <c r="H67" s="83">
        <f>PEMAGANG!K19</f>
        <v>46295</v>
      </c>
      <c r="I67" s="75">
        <f>COUNTIFS(KALENDER!$D$3:$D$132,"Hari Kerja",KALENDER!$C$3:$C$132,F67,KALENDER!$A$3:$A$132,"&gt;="&amp;G67,KALENDER!$A$3:$A$132,"&lt;="&amp;H67)</f>
        <v>18</v>
      </c>
      <c r="J67" s="75">
        <f>COUNTIFS(KALENDER!$D$3:$D$132,"WFH",KALENDER!$C$3:$C$132,F67,KALENDER!$A$3:$A$132,"&gt;="&amp;G67,KALENDER!$A$3:$A$132,"&lt;="&amp;H67)</f>
        <v>5</v>
      </c>
      <c r="K67" s="75">
        <f>SUMIFS(ABSEN!$P$2:$P$4094,ABSEN!$B$2:$B$4094,$B67,ABSEN!$L$2:$L$4094,F67)</f>
        <v>18</v>
      </c>
      <c r="L67" s="75">
        <f>SUMIFS(ABSEN!$Q$2:$Q$4094,ABSEN!$B$2:$B$4094,$B67,ABSEN!$L$2:$L$4094,F67)</f>
        <v>0</v>
      </c>
      <c r="M67" s="75">
        <f>SUMIFS(ABSEN!$W$2:$W$4094,ABSEN!$B$2:$B$4094,$B67,ABSEN!$L$2:$L$4094,F67)</f>
        <v>18</v>
      </c>
      <c r="N67" s="75">
        <f>SUMIFS(ABSEN!$R$2:$R$4094,ABSEN!$B$2:$B$4094,$B67,ABSEN!$L$2:$L$4094,F67)</f>
        <v>0</v>
      </c>
      <c r="O67" s="75">
        <f>SUMIFS(ABSEN!$S$2:$S$4094,ABSEN!$B$2:$B$4094,$B67,ABSEN!$L$2:$L$4094,F67)</f>
        <v>0</v>
      </c>
      <c r="P67" s="75">
        <f>SUMIFS(ABSEN!$T$2:$T$4094,ABSEN!$B$2:$B$4094,$B67,ABSEN!$L$2:$L$4094,F67)</f>
        <v>1</v>
      </c>
      <c r="Q67" s="75">
        <f>SUMIFS(ABSEN!$U$2:$U$4094,ABSEN!$B$2:$B$4094,$B67,ABSEN!$L$2:$L$4094,F67)</f>
        <v>17</v>
      </c>
      <c r="R67" s="75">
        <f>COUNTIFS(AKTIVITAS!$B$2:$B$3052,$B67,AKTIVITAS!$G$2:$G$3052,F67)</f>
        <v>55</v>
      </c>
      <c r="S67" s="75" t="str">
        <f>PEMAGANG!F19</f>
        <v>CENTRAL JAVA CURAH ADMINISTRATION JR. OFFICER</v>
      </c>
      <c r="T67" s="75">
        <f>SUMIFS(AKTIVITAS!$H$2:$H$3052,AKTIVITAS!$B$2:$B$3052,$B67,AKTIVITAS!$G$2:$G$3052,F67)</f>
        <v>656</v>
      </c>
    </row>
    <row r="68" spans="1:20" x14ac:dyDescent="0.2">
      <c r="A68" s="82" t="str">
        <f>PEMAGANG!B19</f>
        <v>MG4726</v>
      </c>
      <c r="B68" s="82" t="str">
        <f>PEMAGANG!C19</f>
        <v>NILNA FAIRUSSAKTI SALBANI AFANO</v>
      </c>
      <c r="C68" s="82" t="str">
        <f>PEMAGANG!D19</f>
        <v>FETI MUBAIYINI</v>
      </c>
      <c r="D68" s="82" t="str">
        <f>PEMAGANG!E19</f>
        <v>MANDIRI</v>
      </c>
      <c r="E68" s="75" t="str">
        <f t="shared" si="2"/>
        <v>Agustus</v>
      </c>
      <c r="F68" s="75">
        <f>MONTH(DATE(YEAR(SUMMARY!$C$6),MONTH(SUMMARY!$C$6)+2,1))</f>
        <v>8</v>
      </c>
      <c r="G68" s="83">
        <f>PEMAGANG!J19</f>
        <v>46177</v>
      </c>
      <c r="H68" s="83">
        <f>PEMAGANG!K19</f>
        <v>46295</v>
      </c>
      <c r="I68" s="75">
        <f>COUNTIFS(KALENDER!$D$3:$D$132,"Hari Kerja",KALENDER!$C$3:$C$132,F68,KALENDER!$A$3:$A$132,"&gt;="&amp;G68,KALENDER!$A$3:$A$132,"&lt;="&amp;H68)</f>
        <v>19</v>
      </c>
      <c r="J68" s="75">
        <f>COUNTIFS(KALENDER!$D$3:$D$132,"WFH",KALENDER!$C$3:$C$132,F68,KALENDER!$A$3:$A$132,"&gt;="&amp;G68,KALENDER!$A$3:$A$132,"&lt;="&amp;H68)</f>
        <v>0</v>
      </c>
      <c r="K68" s="75">
        <f>SUMIFS(ABSEN!$P$2:$P$4094,ABSEN!$B$2:$B$4094,$B68,ABSEN!$L$2:$L$4094,F68)</f>
        <v>19</v>
      </c>
      <c r="L68" s="75">
        <f>SUMIFS(ABSEN!$Q$2:$Q$4094,ABSEN!$B$2:$B$4094,$B68,ABSEN!$L$2:$L$4094,F68)</f>
        <v>0</v>
      </c>
      <c r="M68" s="75">
        <f>SUMIFS(ABSEN!$W$2:$W$4094,ABSEN!$B$2:$B$4094,$B68,ABSEN!$L$2:$L$4094,F68)</f>
        <v>19</v>
      </c>
      <c r="N68" s="75">
        <f>SUMIFS(ABSEN!$R$2:$R$4094,ABSEN!$B$2:$B$4094,$B68,ABSEN!$L$2:$L$4094,F68)</f>
        <v>1</v>
      </c>
      <c r="O68" s="75">
        <f>SUMIFS(ABSEN!$S$2:$S$4094,ABSEN!$B$2:$B$4094,$B68,ABSEN!$L$2:$L$4094,F68)</f>
        <v>22.000000000000099</v>
      </c>
      <c r="P68" s="75">
        <f>SUMIFS(ABSEN!$T$2:$T$4094,ABSEN!$B$2:$B$4094,$B68,ABSEN!$L$2:$L$4094,F68)</f>
        <v>1</v>
      </c>
      <c r="Q68" s="75">
        <f>SUMIFS(ABSEN!$U$2:$U$4094,ABSEN!$B$2:$B$4094,$B68,ABSEN!$L$2:$L$4094,F68)</f>
        <v>19</v>
      </c>
      <c r="R68" s="75">
        <f>COUNTIFS(AKTIVITAS!$B$2:$B$3052,$B68,AKTIVITAS!$G$2:$G$3052,F68)</f>
        <v>51</v>
      </c>
      <c r="S68" s="75" t="str">
        <f>PEMAGANG!F19</f>
        <v>CENTRAL JAVA CURAH ADMINISTRATION JR. OFFICER</v>
      </c>
      <c r="T68" s="75">
        <f>SUMIFS(AKTIVITAS!$H$2:$H$3052,AKTIVITAS!$B$2:$B$3052,$B68,AKTIVITAS!$G$2:$G$3052,F68)</f>
        <v>576</v>
      </c>
    </row>
    <row r="69" spans="1:20" x14ac:dyDescent="0.2">
      <c r="A69" s="82" t="str">
        <f>PEMAGANG!B19</f>
        <v>MG4726</v>
      </c>
      <c r="B69" s="82" t="str">
        <f>PEMAGANG!C19</f>
        <v>NILNA FAIRUSSAKTI SALBANI AFANO</v>
      </c>
      <c r="C69" s="82" t="str">
        <f>PEMAGANG!D19</f>
        <v>FETI MUBAIYINI</v>
      </c>
      <c r="D69" s="82" t="str">
        <f>PEMAGANG!E19</f>
        <v>MANDIRI</v>
      </c>
      <c r="E69" s="75" t="str">
        <f t="shared" si="2"/>
        <v>September</v>
      </c>
      <c r="F69" s="75">
        <f>MONTH(DATE(YEAR(SUMMARY!$C$6),MONTH(SUMMARY!$C$6)+3,1))</f>
        <v>9</v>
      </c>
      <c r="G69" s="83">
        <f>PEMAGANG!J19</f>
        <v>46177</v>
      </c>
      <c r="H69" s="83">
        <f>PEMAGANG!K19</f>
        <v>46295</v>
      </c>
      <c r="I69" s="75">
        <f>COUNTIFS(KALENDER!$D$3:$D$132,"Hari Kerja",KALENDER!$C$3:$C$132,F69,KALENDER!$A$3:$A$132,"&gt;="&amp;G69,KALENDER!$A$3:$A$132,"&lt;="&amp;H69)</f>
        <v>22</v>
      </c>
      <c r="J69" s="75">
        <f>COUNTIFS(KALENDER!$D$3:$D$132,"WFH",KALENDER!$C$3:$C$132,F69,KALENDER!$A$3:$A$132,"&gt;="&amp;G69,KALENDER!$A$3:$A$132,"&lt;="&amp;H69)</f>
        <v>0</v>
      </c>
      <c r="K69" s="75">
        <f>SUMIFS(ABSEN!$P$2:$P$4094,ABSEN!$B$2:$B$4094,$B69,ABSEN!$L$2:$L$4094,F69)</f>
        <v>18</v>
      </c>
      <c r="L69" s="75">
        <f>SUMIFS(ABSEN!$Q$2:$Q$4094,ABSEN!$B$2:$B$4094,$B69,ABSEN!$L$2:$L$4094,F69)</f>
        <v>0</v>
      </c>
      <c r="M69" s="75">
        <f>SUMIFS(ABSEN!$W$2:$W$4094,ABSEN!$B$2:$B$4094,$B69,ABSEN!$L$2:$L$4094,F69)</f>
        <v>18</v>
      </c>
      <c r="N69" s="75">
        <f>SUMIFS(ABSEN!$R$2:$R$4094,ABSEN!$B$2:$B$4094,$B69,ABSEN!$L$2:$L$4094,F69)</f>
        <v>1</v>
      </c>
      <c r="O69" s="75">
        <f>SUMIFS(ABSEN!$S$2:$S$4094,ABSEN!$B$2:$B$4094,$B69,ABSEN!$L$2:$L$4094,F69)</f>
        <v>82</v>
      </c>
      <c r="P69" s="75">
        <f>SUMIFS(ABSEN!$T$2:$T$4094,ABSEN!$B$2:$B$4094,$B69,ABSEN!$L$2:$L$4094,F69)</f>
        <v>3</v>
      </c>
      <c r="Q69" s="75">
        <f>SUMIFS(ABSEN!$U$2:$U$4094,ABSEN!$B$2:$B$4094,$B69,ABSEN!$L$2:$L$4094,F69)</f>
        <v>18</v>
      </c>
      <c r="R69" s="75">
        <f>COUNTIFS(AKTIVITAS!$B$2:$B$3052,$B69,AKTIVITAS!$G$2:$G$3052,F69)</f>
        <v>33</v>
      </c>
      <c r="S69" s="75" t="str">
        <f>PEMAGANG!F19</f>
        <v>CENTRAL JAVA CURAH ADMINISTRATION JR. OFFICER</v>
      </c>
      <c r="T69" s="75">
        <f>SUMIFS(AKTIVITAS!$H$2:$H$3052,AKTIVITAS!$B$2:$B$3052,$B69,AKTIVITAS!$G$2:$G$3052,F69)</f>
        <v>352</v>
      </c>
    </row>
    <row r="70" spans="1:20" x14ac:dyDescent="0.2">
      <c r="A70" s="82" t="str">
        <f>PEMAGANG!B20</f>
        <v>MG29</v>
      </c>
      <c r="B70" s="82" t="str">
        <f>PEMAGANG!C20</f>
        <v>SYACHIRA FARA NABILA</v>
      </c>
      <c r="C70" s="82" t="str">
        <f>PEMAGANG!D20</f>
        <v>FETI MUBAIYINI</v>
      </c>
      <c r="D70" s="82" t="str">
        <f>PEMAGANG!E20</f>
        <v>MANDIRI</v>
      </c>
      <c r="E70" s="75" t="str">
        <f t="shared" si="2"/>
        <v>Juni</v>
      </c>
      <c r="F70" s="75">
        <f>MONTH(DATE(YEAR(SUMMARY!$C$6),MONTH(SUMMARY!$C$6)+0,1))</f>
        <v>6</v>
      </c>
      <c r="G70" s="83">
        <f>PEMAGANG!J20</f>
        <v>46174</v>
      </c>
      <c r="H70" s="83">
        <f>PEMAGANG!K20</f>
        <v>46203</v>
      </c>
      <c r="I70" s="75">
        <f>COUNTIFS(KALENDER!$D$3:$D$132,"Hari Kerja",KALENDER!$C$3:$C$132,F70,KALENDER!$A$3:$A$132,"&gt;="&amp;G70,KALENDER!$A$3:$A$132,"&lt;="&amp;H70)</f>
        <v>16</v>
      </c>
      <c r="J70" s="75">
        <f>COUNTIFS(KALENDER!$D$3:$D$132,"WFH",KALENDER!$C$3:$C$132,F70,KALENDER!$A$3:$A$132,"&gt;="&amp;G70,KALENDER!$A$3:$A$132,"&lt;="&amp;H70)</f>
        <v>4</v>
      </c>
      <c r="K70" s="75">
        <f>SUMIFS(ABSEN!$P$2:$P$4094,ABSEN!$B$2:$B$4094,$B70,ABSEN!$L$2:$L$4094,F70)</f>
        <v>16</v>
      </c>
      <c r="L70" s="75">
        <f>SUMIFS(ABSEN!$Q$2:$Q$4094,ABSEN!$B$2:$B$4094,$B70,ABSEN!$L$2:$L$4094,F70)</f>
        <v>0</v>
      </c>
      <c r="M70" s="75">
        <f>SUMIFS(ABSEN!$W$2:$W$4094,ABSEN!$B$2:$B$4094,$B70,ABSEN!$L$2:$L$4094,F70)</f>
        <v>16</v>
      </c>
      <c r="N70" s="75">
        <f>SUMIFS(ABSEN!$R$2:$R$4094,ABSEN!$B$2:$B$4094,$B70,ABSEN!$L$2:$L$4094,F70)</f>
        <v>0</v>
      </c>
      <c r="O70" s="75">
        <f>SUMIFS(ABSEN!$S$2:$S$4094,ABSEN!$B$2:$B$4094,$B70,ABSEN!$L$2:$L$4094,F70)</f>
        <v>0</v>
      </c>
      <c r="P70" s="75">
        <f>SUMIFS(ABSEN!$T$2:$T$4094,ABSEN!$B$2:$B$4094,$B70,ABSEN!$L$2:$L$4094,F70)</f>
        <v>2</v>
      </c>
      <c r="Q70" s="75">
        <f>SUMIFS(ABSEN!$U$2:$U$4094,ABSEN!$B$2:$B$4094,$B70,ABSEN!$L$2:$L$4094,F70)</f>
        <v>14</v>
      </c>
      <c r="R70" s="75">
        <f>COUNTIFS(AKTIVITAS!$B$2:$B$3052,$B70,AKTIVITAS!$G$2:$G$3052,F70)</f>
        <v>14</v>
      </c>
      <c r="S70" s="75" t="str">
        <f>PEMAGANG!F20</f>
        <v>CENTRAL JAVA CURAH ADMINISTRATION JR. OFFICER</v>
      </c>
      <c r="T70" s="75">
        <f>SUMIFS(AKTIVITAS!$H$2:$H$3052,AKTIVITAS!$B$2:$B$3052,$B70,AKTIVITAS!$G$2:$G$3052,F70)</f>
        <v>192</v>
      </c>
    </row>
    <row r="71" spans="1:20" x14ac:dyDescent="0.2">
      <c r="A71" s="82" t="str">
        <f>PEMAGANG!B20</f>
        <v>MG29</v>
      </c>
      <c r="B71" s="82" t="str">
        <f>PEMAGANG!C20</f>
        <v>SYACHIRA FARA NABILA</v>
      </c>
      <c r="C71" s="82" t="str">
        <f>PEMAGANG!D20</f>
        <v>FETI MUBAIYINI</v>
      </c>
      <c r="D71" s="82" t="str">
        <f>PEMAGANG!E20</f>
        <v>MANDIRI</v>
      </c>
      <c r="E71" s="75" t="str">
        <f t="shared" si="2"/>
        <v>Juli</v>
      </c>
      <c r="F71" s="75">
        <f>MONTH(DATE(YEAR(SUMMARY!$C$6),MONTH(SUMMARY!$C$6)+1,1))</f>
        <v>7</v>
      </c>
      <c r="G71" s="83">
        <f>PEMAGANG!J20</f>
        <v>46174</v>
      </c>
      <c r="H71" s="83">
        <f>PEMAGANG!K20</f>
        <v>46203</v>
      </c>
      <c r="I71" s="75">
        <f>COUNTIFS(KALENDER!$D$3:$D$132,"Hari Kerja",KALENDER!$C$3:$C$132,F71,KALENDER!$A$3:$A$132,"&gt;="&amp;G71,KALENDER!$A$3:$A$132,"&lt;="&amp;H71)</f>
        <v>0</v>
      </c>
      <c r="J71" s="75">
        <f>COUNTIFS(KALENDER!$D$3:$D$132,"WFH",KALENDER!$C$3:$C$132,F71,KALENDER!$A$3:$A$132,"&gt;="&amp;G71,KALENDER!$A$3:$A$132,"&lt;="&amp;H71)</f>
        <v>0</v>
      </c>
      <c r="K71" s="75">
        <f>SUMIFS(ABSEN!$P$2:$P$4094,ABSEN!$B$2:$B$4094,$B71,ABSEN!$L$2:$L$4094,F71)</f>
        <v>0</v>
      </c>
      <c r="L71" s="75">
        <f>SUMIFS(ABSEN!$Q$2:$Q$4094,ABSEN!$B$2:$B$4094,$B71,ABSEN!$L$2:$L$4094,F71)</f>
        <v>1</v>
      </c>
      <c r="M71" s="75">
        <f>SUMIFS(ABSEN!$W$2:$W$4094,ABSEN!$B$2:$B$4094,$B71,ABSEN!$L$2:$L$4094,F71)</f>
        <v>0</v>
      </c>
      <c r="N71" s="75">
        <f>SUMIFS(ABSEN!$R$2:$R$4094,ABSEN!$B$2:$B$4094,$B71,ABSEN!$L$2:$L$4094,F71)</f>
        <v>0</v>
      </c>
      <c r="O71" s="75">
        <f>SUMIFS(ABSEN!$S$2:$S$4094,ABSEN!$B$2:$B$4094,$B71,ABSEN!$L$2:$L$4094,F71)</f>
        <v>0</v>
      </c>
      <c r="P71" s="75">
        <f>SUMIFS(ABSEN!$T$2:$T$4094,ABSEN!$B$2:$B$4094,$B71,ABSEN!$L$2:$L$4094,F71)</f>
        <v>0</v>
      </c>
      <c r="Q71" s="75">
        <f>SUMIFS(ABSEN!$U$2:$U$4094,ABSEN!$B$2:$B$4094,$B71,ABSEN!$L$2:$L$4094,F71)</f>
        <v>0</v>
      </c>
      <c r="R71" s="75">
        <f>COUNTIFS(AKTIVITAS!$B$2:$B$3052,$B71,AKTIVITAS!$G$2:$G$3052,F71)</f>
        <v>0</v>
      </c>
      <c r="S71" s="75" t="str">
        <f>PEMAGANG!F20</f>
        <v>CENTRAL JAVA CURAH ADMINISTRATION JR. OFFICER</v>
      </c>
      <c r="T71" s="75">
        <f>SUMIFS(AKTIVITAS!$H$2:$H$3052,AKTIVITAS!$B$2:$B$3052,$B71,AKTIVITAS!$G$2:$G$3052,F71)</f>
        <v>0</v>
      </c>
    </row>
    <row r="72" spans="1:20" x14ac:dyDescent="0.2">
      <c r="A72" s="82" t="str">
        <f>PEMAGANG!B20</f>
        <v>MG29</v>
      </c>
      <c r="B72" s="82" t="str">
        <f>PEMAGANG!C20</f>
        <v>SYACHIRA FARA NABILA</v>
      </c>
      <c r="C72" s="82" t="str">
        <f>PEMAGANG!D20</f>
        <v>FETI MUBAIYINI</v>
      </c>
      <c r="D72" s="82" t="str">
        <f>PEMAGANG!E20</f>
        <v>MANDIRI</v>
      </c>
      <c r="E72" s="75" t="str">
        <f t="shared" si="2"/>
        <v>Agustus</v>
      </c>
      <c r="F72" s="75">
        <f>MONTH(DATE(YEAR(SUMMARY!$C$6),MONTH(SUMMARY!$C$6)+2,1))</f>
        <v>8</v>
      </c>
      <c r="G72" s="83">
        <f>PEMAGANG!J20</f>
        <v>46174</v>
      </c>
      <c r="H72" s="83">
        <f>PEMAGANG!K20</f>
        <v>46203</v>
      </c>
      <c r="I72" s="75">
        <f>COUNTIFS(KALENDER!$D$3:$D$132,"Hari Kerja",KALENDER!$C$3:$C$132,F72,KALENDER!$A$3:$A$132,"&gt;="&amp;G72,KALENDER!$A$3:$A$132,"&lt;="&amp;H72)</f>
        <v>0</v>
      </c>
      <c r="J72" s="75">
        <f>COUNTIFS(KALENDER!$D$3:$D$132,"WFH",KALENDER!$C$3:$C$132,F72,KALENDER!$A$3:$A$132,"&gt;="&amp;G72,KALENDER!$A$3:$A$132,"&lt;="&amp;H72)</f>
        <v>0</v>
      </c>
      <c r="K72" s="75">
        <f>SUMIFS(ABSEN!$P$2:$P$4094,ABSEN!$B$2:$B$4094,$B72,ABSEN!$L$2:$L$4094,F72)</f>
        <v>0</v>
      </c>
      <c r="L72" s="75">
        <f>SUMIFS(ABSEN!$Q$2:$Q$4094,ABSEN!$B$2:$B$4094,$B72,ABSEN!$L$2:$L$4094,F72)</f>
        <v>0</v>
      </c>
      <c r="M72" s="75">
        <f>SUMIFS(ABSEN!$W$2:$W$4094,ABSEN!$B$2:$B$4094,$B72,ABSEN!$L$2:$L$4094,F72)</f>
        <v>0</v>
      </c>
      <c r="N72" s="75">
        <f>SUMIFS(ABSEN!$R$2:$R$4094,ABSEN!$B$2:$B$4094,$B72,ABSEN!$L$2:$L$4094,F72)</f>
        <v>0</v>
      </c>
      <c r="O72" s="75">
        <f>SUMIFS(ABSEN!$S$2:$S$4094,ABSEN!$B$2:$B$4094,$B72,ABSEN!$L$2:$L$4094,F72)</f>
        <v>0</v>
      </c>
      <c r="P72" s="75">
        <f>SUMIFS(ABSEN!$T$2:$T$4094,ABSEN!$B$2:$B$4094,$B72,ABSEN!$L$2:$L$4094,F72)</f>
        <v>0</v>
      </c>
      <c r="Q72" s="75">
        <f>SUMIFS(ABSEN!$U$2:$U$4094,ABSEN!$B$2:$B$4094,$B72,ABSEN!$L$2:$L$4094,F72)</f>
        <v>0</v>
      </c>
      <c r="R72" s="75">
        <f>COUNTIFS(AKTIVITAS!$B$2:$B$3052,$B72,AKTIVITAS!$G$2:$G$3052,F72)</f>
        <v>0</v>
      </c>
      <c r="S72" s="75" t="str">
        <f>PEMAGANG!F20</f>
        <v>CENTRAL JAVA CURAH ADMINISTRATION JR. OFFICER</v>
      </c>
      <c r="T72" s="75">
        <f>SUMIFS(AKTIVITAS!$H$2:$H$3052,AKTIVITAS!$B$2:$B$3052,$B72,AKTIVITAS!$G$2:$G$3052,F72)</f>
        <v>0</v>
      </c>
    </row>
    <row r="73" spans="1:20" x14ac:dyDescent="0.2">
      <c r="A73" s="82" t="str">
        <f>PEMAGANG!B20</f>
        <v>MG29</v>
      </c>
      <c r="B73" s="82" t="str">
        <f>PEMAGANG!C20</f>
        <v>SYACHIRA FARA NABILA</v>
      </c>
      <c r="C73" s="82" t="str">
        <f>PEMAGANG!D20</f>
        <v>FETI MUBAIYINI</v>
      </c>
      <c r="D73" s="82" t="str">
        <f>PEMAGANG!E20</f>
        <v>MANDIRI</v>
      </c>
      <c r="E73" s="75" t="str">
        <f t="shared" si="2"/>
        <v>September</v>
      </c>
      <c r="F73" s="75">
        <f>MONTH(DATE(YEAR(SUMMARY!$C$6),MONTH(SUMMARY!$C$6)+3,1))</f>
        <v>9</v>
      </c>
      <c r="G73" s="83">
        <f>PEMAGANG!J20</f>
        <v>46174</v>
      </c>
      <c r="H73" s="83">
        <f>PEMAGANG!K20</f>
        <v>46203</v>
      </c>
      <c r="I73" s="75">
        <f>COUNTIFS(KALENDER!$D$3:$D$132,"Hari Kerja",KALENDER!$C$3:$C$132,F73,KALENDER!$A$3:$A$132,"&gt;="&amp;G73,KALENDER!$A$3:$A$132,"&lt;="&amp;H73)</f>
        <v>0</v>
      </c>
      <c r="J73" s="75">
        <f>COUNTIFS(KALENDER!$D$3:$D$132,"WFH",KALENDER!$C$3:$C$132,F73,KALENDER!$A$3:$A$132,"&gt;="&amp;G73,KALENDER!$A$3:$A$132,"&lt;="&amp;H73)</f>
        <v>0</v>
      </c>
      <c r="K73" s="75">
        <f>SUMIFS(ABSEN!$P$2:$P$4094,ABSEN!$B$2:$B$4094,$B73,ABSEN!$L$2:$L$4094,F73)</f>
        <v>0</v>
      </c>
      <c r="L73" s="75">
        <f>SUMIFS(ABSEN!$Q$2:$Q$4094,ABSEN!$B$2:$B$4094,$B73,ABSEN!$L$2:$L$4094,F73)</f>
        <v>0</v>
      </c>
      <c r="M73" s="75">
        <f>SUMIFS(ABSEN!$W$2:$W$4094,ABSEN!$B$2:$B$4094,$B73,ABSEN!$L$2:$L$4094,F73)</f>
        <v>0</v>
      </c>
      <c r="N73" s="75">
        <f>SUMIFS(ABSEN!$R$2:$R$4094,ABSEN!$B$2:$B$4094,$B73,ABSEN!$L$2:$L$4094,F73)</f>
        <v>0</v>
      </c>
      <c r="O73" s="75">
        <f>SUMIFS(ABSEN!$S$2:$S$4094,ABSEN!$B$2:$B$4094,$B73,ABSEN!$L$2:$L$4094,F73)</f>
        <v>0</v>
      </c>
      <c r="P73" s="75">
        <f>SUMIFS(ABSEN!$T$2:$T$4094,ABSEN!$B$2:$B$4094,$B73,ABSEN!$L$2:$L$4094,F73)</f>
        <v>0</v>
      </c>
      <c r="Q73" s="75">
        <f>SUMIFS(ABSEN!$U$2:$U$4094,ABSEN!$B$2:$B$4094,$B73,ABSEN!$L$2:$L$4094,F73)</f>
        <v>0</v>
      </c>
      <c r="R73" s="75">
        <f>COUNTIFS(AKTIVITAS!$B$2:$B$3052,$B73,AKTIVITAS!$G$2:$G$3052,F73)</f>
        <v>0</v>
      </c>
      <c r="S73" s="75" t="str">
        <f>PEMAGANG!F20</f>
        <v>CENTRAL JAVA CURAH ADMINISTRATION JR. OFFICER</v>
      </c>
      <c r="T73" s="75">
        <f>SUMIFS(AKTIVITAS!$H$2:$H$3052,AKTIVITAS!$B$2:$B$3052,$B73,AKTIVITAS!$G$2:$G$3052,F73)</f>
        <v>0</v>
      </c>
    </row>
    <row r="74" spans="1:20" x14ac:dyDescent="0.2">
      <c r="A74" s="82" t="str">
        <f>PEMAGANG!B21</f>
        <v>MG12</v>
      </c>
      <c r="B74" s="82" t="str">
        <f>PEMAGANG!C21</f>
        <v>SELVI NURUL HASANAH</v>
      </c>
      <c r="C74" s="82" t="str">
        <f>PEMAGANG!D21</f>
        <v>GANANG MUSYAFFA FAHMI</v>
      </c>
      <c r="D74" s="82" t="str">
        <f>PEMAGANG!E21</f>
        <v>Kontrak Project</v>
      </c>
      <c r="E74" s="75" t="str">
        <f t="shared" si="2"/>
        <v>Juni</v>
      </c>
      <c r="F74" s="75">
        <f>MONTH(DATE(YEAR(SUMMARY!$C$6),MONTH(SUMMARY!$C$6)+0,1))</f>
        <v>6</v>
      </c>
      <c r="G74" s="83">
        <f>PEMAGANG!J21</f>
        <v>46174</v>
      </c>
      <c r="H74" s="83">
        <f>PEMAGANG!K21</f>
        <v>46295</v>
      </c>
      <c r="I74" s="75">
        <f>COUNTIFS(KALENDER!$D$3:$D$132,"Hari Kerja",KALENDER!$C$3:$C$132,F74,KALENDER!$A$3:$A$132,"&gt;="&amp;G74,KALENDER!$A$3:$A$132,"&lt;="&amp;H74)</f>
        <v>16</v>
      </c>
      <c r="J74" s="75">
        <f>COUNTIFS(KALENDER!$D$3:$D$132,"WFH",KALENDER!$C$3:$C$132,F74,KALENDER!$A$3:$A$132,"&gt;="&amp;G74,KALENDER!$A$3:$A$132,"&lt;="&amp;H74)</f>
        <v>4</v>
      </c>
      <c r="K74" s="75">
        <f>SUMIFS(ABSEN!$P$2:$P$4094,ABSEN!$B$2:$B$4094,$B74,ABSEN!$L$2:$L$4094,F74)</f>
        <v>15</v>
      </c>
      <c r="L74" s="75">
        <f>SUMIFS(ABSEN!$Q$2:$Q$4094,ABSEN!$B$2:$B$4094,$B74,ABSEN!$L$2:$L$4094,F74)</f>
        <v>2</v>
      </c>
      <c r="M74" s="75">
        <f>SUMIFS(ABSEN!$W$2:$W$4094,ABSEN!$B$2:$B$4094,$B74,ABSEN!$L$2:$L$4094,F74)</f>
        <v>17</v>
      </c>
      <c r="N74" s="75">
        <f>SUMIFS(ABSEN!$R$2:$R$4094,ABSEN!$B$2:$B$4094,$B74,ABSEN!$L$2:$L$4094,F74)</f>
        <v>0</v>
      </c>
      <c r="O74" s="75">
        <f>SUMIFS(ABSEN!$S$2:$S$4094,ABSEN!$B$2:$B$4094,$B74,ABSEN!$L$2:$L$4094,F74)</f>
        <v>0</v>
      </c>
      <c r="P74" s="75">
        <f>SUMIFS(ABSEN!$T$2:$T$4094,ABSEN!$B$2:$B$4094,$B74,ABSEN!$L$2:$L$4094,F74)</f>
        <v>3</v>
      </c>
      <c r="Q74" s="75">
        <f>SUMIFS(ABSEN!$U$2:$U$4094,ABSEN!$B$2:$B$4094,$B74,ABSEN!$L$2:$L$4094,F74)</f>
        <v>15</v>
      </c>
      <c r="R74" s="75">
        <f>COUNTIFS(AKTIVITAS!$B$2:$B$3052,$B74,AKTIVITAS!$G$2:$G$3052,F74)</f>
        <v>59</v>
      </c>
      <c r="S74" s="75" t="str">
        <f>PEMAGANG!F21</f>
        <v>PKSDM</v>
      </c>
      <c r="T74" s="75">
        <f>SUMIFS(AKTIVITAS!$H$2:$H$3052,AKTIVITAS!$B$2:$B$3052,$B74,AKTIVITAS!$G$2:$G$3052,F74)</f>
        <v>4396</v>
      </c>
    </row>
    <row r="75" spans="1:20" x14ac:dyDescent="0.2">
      <c r="A75" s="82" t="str">
        <f>PEMAGANG!B21</f>
        <v>MG12</v>
      </c>
      <c r="B75" s="82" t="str">
        <f>PEMAGANG!C21</f>
        <v>SELVI NURUL HASANAH</v>
      </c>
      <c r="C75" s="82" t="str">
        <f>PEMAGANG!D21</f>
        <v>GANANG MUSYAFFA FAHMI</v>
      </c>
      <c r="D75" s="82" t="str">
        <f>PEMAGANG!E21</f>
        <v>Kontrak Project</v>
      </c>
      <c r="E75" s="75" t="str">
        <f t="shared" si="2"/>
        <v>Juli</v>
      </c>
      <c r="F75" s="75">
        <f>MONTH(DATE(YEAR(SUMMARY!$C$6),MONTH(SUMMARY!$C$6)+1,1))</f>
        <v>7</v>
      </c>
      <c r="G75" s="83">
        <f>PEMAGANG!J21</f>
        <v>46174</v>
      </c>
      <c r="H75" s="83">
        <f>PEMAGANG!K21</f>
        <v>46295</v>
      </c>
      <c r="I75" s="75">
        <f>COUNTIFS(KALENDER!$D$3:$D$132,"Hari Kerja",KALENDER!$C$3:$C$132,F75,KALENDER!$A$3:$A$132,"&gt;="&amp;G75,KALENDER!$A$3:$A$132,"&lt;="&amp;H75)</f>
        <v>18</v>
      </c>
      <c r="J75" s="75">
        <f>COUNTIFS(KALENDER!$D$3:$D$132,"WFH",KALENDER!$C$3:$C$132,F75,KALENDER!$A$3:$A$132,"&gt;="&amp;G75,KALENDER!$A$3:$A$132,"&lt;="&amp;H75)</f>
        <v>5</v>
      </c>
      <c r="K75" s="75">
        <f>SUMIFS(ABSEN!$P$2:$P$4094,ABSEN!$B$2:$B$4094,$B75,ABSEN!$L$2:$L$4094,F75)</f>
        <v>17</v>
      </c>
      <c r="L75" s="75">
        <f>SUMIFS(ABSEN!$Q$2:$Q$4094,ABSEN!$B$2:$B$4094,$B75,ABSEN!$L$2:$L$4094,F75)</f>
        <v>3</v>
      </c>
      <c r="M75" s="75">
        <f>SUMIFS(ABSEN!$W$2:$W$4094,ABSEN!$B$2:$B$4094,$B75,ABSEN!$L$2:$L$4094,F75)</f>
        <v>20</v>
      </c>
      <c r="N75" s="75">
        <f>SUMIFS(ABSEN!$R$2:$R$4094,ABSEN!$B$2:$B$4094,$B75,ABSEN!$L$2:$L$4094,F75)</f>
        <v>0</v>
      </c>
      <c r="O75" s="75">
        <f>SUMIFS(ABSEN!$S$2:$S$4094,ABSEN!$B$2:$B$4094,$B75,ABSEN!$L$2:$L$4094,F75)</f>
        <v>0</v>
      </c>
      <c r="P75" s="75">
        <f>SUMIFS(ABSEN!$T$2:$T$4094,ABSEN!$B$2:$B$4094,$B75,ABSEN!$L$2:$L$4094,F75)</f>
        <v>0</v>
      </c>
      <c r="Q75" s="75">
        <f>SUMIFS(ABSEN!$U$2:$U$4094,ABSEN!$B$2:$B$4094,$B75,ABSEN!$L$2:$L$4094,F75)</f>
        <v>20</v>
      </c>
      <c r="R75" s="75">
        <f>COUNTIFS(AKTIVITAS!$B$2:$B$3052,$B75,AKTIVITAS!$G$2:$G$3052,F75)</f>
        <v>77</v>
      </c>
      <c r="S75" s="75" t="str">
        <f>PEMAGANG!F21</f>
        <v>PKSDM</v>
      </c>
      <c r="T75" s="75">
        <f>SUMIFS(AKTIVITAS!$H$2:$H$3052,AKTIVITAS!$B$2:$B$3052,$B75,AKTIVITAS!$G$2:$G$3052,F75)</f>
        <v>5899</v>
      </c>
    </row>
    <row r="76" spans="1:20" x14ac:dyDescent="0.2">
      <c r="A76" s="82" t="str">
        <f>PEMAGANG!B21</f>
        <v>MG12</v>
      </c>
      <c r="B76" s="82" t="str">
        <f>PEMAGANG!C21</f>
        <v>SELVI NURUL HASANAH</v>
      </c>
      <c r="C76" s="82" t="str">
        <f>PEMAGANG!D21</f>
        <v>GANANG MUSYAFFA FAHMI</v>
      </c>
      <c r="D76" s="82" t="str">
        <f>PEMAGANG!E21</f>
        <v>Kontrak Project</v>
      </c>
      <c r="E76" s="75" t="str">
        <f t="shared" si="2"/>
        <v>Agustus</v>
      </c>
      <c r="F76" s="75">
        <f>MONTH(DATE(YEAR(SUMMARY!$C$6),MONTH(SUMMARY!$C$6)+2,1))</f>
        <v>8</v>
      </c>
      <c r="G76" s="83">
        <f>PEMAGANG!J21</f>
        <v>46174</v>
      </c>
      <c r="H76" s="83">
        <f>PEMAGANG!K21</f>
        <v>46295</v>
      </c>
      <c r="I76" s="75">
        <f>COUNTIFS(KALENDER!$D$3:$D$132,"Hari Kerja",KALENDER!$C$3:$C$132,F76,KALENDER!$A$3:$A$132,"&gt;="&amp;G76,KALENDER!$A$3:$A$132,"&lt;="&amp;H76)</f>
        <v>19</v>
      </c>
      <c r="J76" s="75">
        <f>COUNTIFS(KALENDER!$D$3:$D$132,"WFH",KALENDER!$C$3:$C$132,F76,KALENDER!$A$3:$A$132,"&gt;="&amp;G76,KALENDER!$A$3:$A$132,"&lt;="&amp;H76)</f>
        <v>0</v>
      </c>
      <c r="K76" s="75">
        <f>SUMIFS(ABSEN!$P$2:$P$4094,ABSEN!$B$2:$B$4094,$B76,ABSEN!$L$2:$L$4094,F76)</f>
        <v>18</v>
      </c>
      <c r="L76" s="75">
        <f>SUMIFS(ABSEN!$Q$2:$Q$4094,ABSEN!$B$2:$B$4094,$B76,ABSEN!$L$2:$L$4094,F76)</f>
        <v>0</v>
      </c>
      <c r="M76" s="75">
        <f>SUMIFS(ABSEN!$W$2:$W$4094,ABSEN!$B$2:$B$4094,$B76,ABSEN!$L$2:$L$4094,F76)</f>
        <v>18</v>
      </c>
      <c r="N76" s="75">
        <f>SUMIFS(ABSEN!$R$2:$R$4094,ABSEN!$B$2:$B$4094,$B76,ABSEN!$L$2:$L$4094,F76)</f>
        <v>0</v>
      </c>
      <c r="O76" s="75">
        <f>SUMIFS(ABSEN!$S$2:$S$4094,ABSEN!$B$2:$B$4094,$B76,ABSEN!$L$2:$L$4094,F76)</f>
        <v>0</v>
      </c>
      <c r="P76" s="75">
        <f>SUMIFS(ABSEN!$T$2:$T$4094,ABSEN!$B$2:$B$4094,$B76,ABSEN!$L$2:$L$4094,F76)</f>
        <v>0</v>
      </c>
      <c r="Q76" s="75">
        <f>SUMIFS(ABSEN!$U$2:$U$4094,ABSEN!$B$2:$B$4094,$B76,ABSEN!$L$2:$L$4094,F76)</f>
        <v>18</v>
      </c>
      <c r="R76" s="75">
        <f>COUNTIFS(AKTIVITAS!$B$2:$B$3052,$B76,AKTIVITAS!$G$2:$G$3052,F76)</f>
        <v>63</v>
      </c>
      <c r="S76" s="75" t="str">
        <f>PEMAGANG!F21</f>
        <v>PKSDM</v>
      </c>
      <c r="T76" s="75">
        <f>SUMIFS(AKTIVITAS!$H$2:$H$3052,AKTIVITAS!$B$2:$B$3052,$B76,AKTIVITAS!$G$2:$G$3052,F76)</f>
        <v>4484</v>
      </c>
    </row>
    <row r="77" spans="1:20" x14ac:dyDescent="0.2">
      <c r="A77" s="82" t="str">
        <f>PEMAGANG!B21</f>
        <v>MG12</v>
      </c>
      <c r="B77" s="82" t="str">
        <f>PEMAGANG!C21</f>
        <v>SELVI NURUL HASANAH</v>
      </c>
      <c r="C77" s="82" t="str">
        <f>PEMAGANG!D21</f>
        <v>GANANG MUSYAFFA FAHMI</v>
      </c>
      <c r="D77" s="82" t="str">
        <f>PEMAGANG!E21</f>
        <v>Kontrak Project</v>
      </c>
      <c r="E77" s="75" t="str">
        <f t="shared" si="2"/>
        <v>September</v>
      </c>
      <c r="F77" s="75">
        <f>MONTH(DATE(YEAR(SUMMARY!$C$6),MONTH(SUMMARY!$C$6)+3,1))</f>
        <v>9</v>
      </c>
      <c r="G77" s="83">
        <f>PEMAGANG!J21</f>
        <v>46174</v>
      </c>
      <c r="H77" s="83">
        <f>PEMAGANG!K21</f>
        <v>46295</v>
      </c>
      <c r="I77" s="75">
        <f>COUNTIFS(KALENDER!$D$3:$D$132,"Hari Kerja",KALENDER!$C$3:$C$132,F77,KALENDER!$A$3:$A$132,"&gt;="&amp;G77,KALENDER!$A$3:$A$132,"&lt;="&amp;H77)</f>
        <v>22</v>
      </c>
      <c r="J77" s="75">
        <f>COUNTIFS(KALENDER!$D$3:$D$132,"WFH",KALENDER!$C$3:$C$132,F77,KALENDER!$A$3:$A$132,"&gt;="&amp;G77,KALENDER!$A$3:$A$132,"&lt;="&amp;H77)</f>
        <v>0</v>
      </c>
      <c r="K77" s="75">
        <f>SUMIFS(ABSEN!$P$2:$P$4094,ABSEN!$B$2:$B$4094,$B77,ABSEN!$L$2:$L$4094,F77)</f>
        <v>21</v>
      </c>
      <c r="L77" s="75">
        <f>SUMIFS(ABSEN!$Q$2:$Q$4094,ABSEN!$B$2:$B$4094,$B77,ABSEN!$L$2:$L$4094,F77)</f>
        <v>0</v>
      </c>
      <c r="M77" s="75">
        <f>SUMIFS(ABSEN!$W$2:$W$4094,ABSEN!$B$2:$B$4094,$B77,ABSEN!$L$2:$L$4094,F77)</f>
        <v>21</v>
      </c>
      <c r="N77" s="75">
        <f>SUMIFS(ABSEN!$R$2:$R$4094,ABSEN!$B$2:$B$4094,$B77,ABSEN!$L$2:$L$4094,F77)</f>
        <v>0</v>
      </c>
      <c r="O77" s="75">
        <f>SUMIFS(ABSEN!$S$2:$S$4094,ABSEN!$B$2:$B$4094,$B77,ABSEN!$L$2:$L$4094,F77)</f>
        <v>0</v>
      </c>
      <c r="P77" s="75">
        <f>SUMIFS(ABSEN!$T$2:$T$4094,ABSEN!$B$2:$B$4094,$B77,ABSEN!$L$2:$L$4094,F77)</f>
        <v>2</v>
      </c>
      <c r="Q77" s="75">
        <f>SUMIFS(ABSEN!$U$2:$U$4094,ABSEN!$B$2:$B$4094,$B77,ABSEN!$L$2:$L$4094,F77)</f>
        <v>21</v>
      </c>
      <c r="R77" s="75">
        <f>COUNTIFS(AKTIVITAS!$B$2:$B$3052,$B77,AKTIVITAS!$G$2:$G$3052,F77)</f>
        <v>54</v>
      </c>
      <c r="S77" s="75" t="str">
        <f>PEMAGANG!F21</f>
        <v>PKSDM</v>
      </c>
      <c r="T77" s="75">
        <f>SUMIFS(AKTIVITAS!$H$2:$H$3052,AKTIVITAS!$B$2:$B$3052,$B77,AKTIVITAS!$G$2:$G$3052,F77)</f>
        <v>4139</v>
      </c>
    </row>
    <row r="78" spans="1:20" x14ac:dyDescent="0.2">
      <c r="A78" s="82" t="str">
        <f>PEMAGANG!B22</f>
        <v>MG3826</v>
      </c>
      <c r="B78" s="82" t="str">
        <f>PEMAGANG!C22</f>
        <v>FARREL ALWIN RAHMADHAN</v>
      </c>
      <c r="C78" s="82" t="str">
        <f>PEMAGANG!D22</f>
        <v>HASKIN AVIONATA</v>
      </c>
      <c r="D78" s="82" t="str">
        <f>PEMAGANG!E22</f>
        <v>MANDIRI</v>
      </c>
      <c r="E78" s="75" t="str">
        <f t="shared" si="2"/>
        <v>Juni</v>
      </c>
      <c r="F78" s="75">
        <f>MONTH(DATE(YEAR(SUMMARY!$C$6),MONTH(SUMMARY!$C$6)+0,1))</f>
        <v>6</v>
      </c>
      <c r="G78" s="83">
        <f>PEMAGANG!J22</f>
        <v>46174</v>
      </c>
      <c r="H78" s="83">
        <f>PEMAGANG!K22</f>
        <v>46295</v>
      </c>
      <c r="I78" s="75">
        <f>COUNTIFS(KALENDER!$D$3:$D$132,"Hari Kerja",KALENDER!$C$3:$C$132,F78,KALENDER!$A$3:$A$132,"&gt;="&amp;G78,KALENDER!$A$3:$A$132,"&lt;="&amp;H78)</f>
        <v>16</v>
      </c>
      <c r="J78" s="75">
        <f>COUNTIFS(KALENDER!$D$3:$D$132,"WFH",KALENDER!$C$3:$C$132,F78,KALENDER!$A$3:$A$132,"&gt;="&amp;G78,KALENDER!$A$3:$A$132,"&lt;="&amp;H78)</f>
        <v>4</v>
      </c>
      <c r="K78" s="75">
        <f>SUMIFS(ABSEN!$P$2:$P$4094,ABSEN!$B$2:$B$4094,$B78,ABSEN!$L$2:$L$4094,F78)</f>
        <v>9</v>
      </c>
      <c r="L78" s="75">
        <f>SUMIFS(ABSEN!$Q$2:$Q$4094,ABSEN!$B$2:$B$4094,$B78,ABSEN!$L$2:$L$4094,F78)</f>
        <v>0</v>
      </c>
      <c r="M78" s="75">
        <f>SUMIFS(ABSEN!$W$2:$W$4094,ABSEN!$B$2:$B$4094,$B78,ABSEN!$L$2:$L$4094,F78)</f>
        <v>9</v>
      </c>
      <c r="N78" s="75">
        <f>SUMIFS(ABSEN!$R$2:$R$4094,ABSEN!$B$2:$B$4094,$B78,ABSEN!$L$2:$L$4094,F78)</f>
        <v>5</v>
      </c>
      <c r="O78" s="75">
        <f>SUMIFS(ABSEN!$S$2:$S$4094,ABSEN!$B$2:$B$4094,$B78,ABSEN!$L$2:$L$4094,F78)</f>
        <v>16.000000000000028</v>
      </c>
      <c r="P78" s="75">
        <f>SUMIFS(ABSEN!$T$2:$T$4094,ABSEN!$B$2:$B$4094,$B78,ABSEN!$L$2:$L$4094,F78)</f>
        <v>1</v>
      </c>
      <c r="Q78" s="75">
        <f>SUMIFS(ABSEN!$U$2:$U$4094,ABSEN!$B$2:$B$4094,$B78,ABSEN!$L$2:$L$4094,F78)</f>
        <v>9</v>
      </c>
      <c r="R78" s="75">
        <f>COUNTIFS(AKTIVITAS!$B$2:$B$3052,$B78,AKTIVITAS!$G$2:$G$3052,F78)</f>
        <v>13</v>
      </c>
      <c r="S78" s="75" t="str">
        <f>PEMAGANG!F22</f>
        <v>EQUALISATION OFFICER (SID)</v>
      </c>
      <c r="T78" s="75">
        <f>SUMIFS(AKTIVITAS!$H$2:$H$3052,AKTIVITAS!$B$2:$B$3052,$B78,AKTIVITAS!$G$2:$G$3052,F78)</f>
        <v>245</v>
      </c>
    </row>
    <row r="79" spans="1:20" x14ac:dyDescent="0.2">
      <c r="A79" s="82" t="str">
        <f>PEMAGANG!B22</f>
        <v>MG3826</v>
      </c>
      <c r="B79" s="82" t="str">
        <f>PEMAGANG!C22</f>
        <v>FARREL ALWIN RAHMADHAN</v>
      </c>
      <c r="C79" s="82" t="str">
        <f>PEMAGANG!D22</f>
        <v>HASKIN AVIONATA</v>
      </c>
      <c r="D79" s="82" t="str">
        <f>PEMAGANG!E22</f>
        <v>MANDIRI</v>
      </c>
      <c r="E79" s="75" t="str">
        <f t="shared" si="2"/>
        <v>Juli</v>
      </c>
      <c r="F79" s="75">
        <f>MONTH(DATE(YEAR(SUMMARY!$C$6),MONTH(SUMMARY!$C$6)+1,1))</f>
        <v>7</v>
      </c>
      <c r="G79" s="83">
        <f>PEMAGANG!J22</f>
        <v>46174</v>
      </c>
      <c r="H79" s="83">
        <f>PEMAGANG!K22</f>
        <v>46295</v>
      </c>
      <c r="I79" s="75">
        <f>COUNTIFS(KALENDER!$D$3:$D$132,"Hari Kerja",KALENDER!$C$3:$C$132,F79,KALENDER!$A$3:$A$132,"&gt;="&amp;G79,KALENDER!$A$3:$A$132,"&lt;="&amp;H79)</f>
        <v>18</v>
      </c>
      <c r="J79" s="75">
        <f>COUNTIFS(KALENDER!$D$3:$D$132,"WFH",KALENDER!$C$3:$C$132,F79,KALENDER!$A$3:$A$132,"&gt;="&amp;G79,KALENDER!$A$3:$A$132,"&lt;="&amp;H79)</f>
        <v>5</v>
      </c>
      <c r="K79" s="75">
        <f>SUMIFS(ABSEN!$P$2:$P$4094,ABSEN!$B$2:$B$4094,$B79,ABSEN!$L$2:$L$4094,F79)</f>
        <v>15</v>
      </c>
      <c r="L79" s="75">
        <f>SUMIFS(ABSEN!$Q$2:$Q$4094,ABSEN!$B$2:$B$4094,$B79,ABSEN!$L$2:$L$4094,F79)</f>
        <v>1</v>
      </c>
      <c r="M79" s="75">
        <f>SUMIFS(ABSEN!$W$2:$W$4094,ABSEN!$B$2:$B$4094,$B79,ABSEN!$L$2:$L$4094,F79)</f>
        <v>16</v>
      </c>
      <c r="N79" s="75">
        <f>SUMIFS(ABSEN!$R$2:$R$4094,ABSEN!$B$2:$B$4094,$B79,ABSEN!$L$2:$L$4094,F79)</f>
        <v>3</v>
      </c>
      <c r="O79" s="75">
        <f>SUMIFS(ABSEN!$S$2:$S$4094,ABSEN!$B$2:$B$4094,$B79,ABSEN!$L$2:$L$4094,F79)</f>
        <v>4.9999999999999822</v>
      </c>
      <c r="P79" s="75">
        <f>SUMIFS(ABSEN!$T$2:$T$4094,ABSEN!$B$2:$B$4094,$B79,ABSEN!$L$2:$L$4094,F79)</f>
        <v>0</v>
      </c>
      <c r="Q79" s="75">
        <f>SUMIFS(ABSEN!$U$2:$U$4094,ABSEN!$B$2:$B$4094,$B79,ABSEN!$L$2:$L$4094,F79)</f>
        <v>15</v>
      </c>
      <c r="R79" s="75">
        <f>COUNTIFS(AKTIVITAS!$B$2:$B$3052,$B79,AKTIVITAS!$G$2:$G$3052,F79)</f>
        <v>22</v>
      </c>
      <c r="S79" s="75" t="str">
        <f>PEMAGANG!F22</f>
        <v>EQUALISATION OFFICER (SID)</v>
      </c>
      <c r="T79" s="75">
        <f>SUMIFS(AKTIVITAS!$H$2:$H$3052,AKTIVITAS!$B$2:$B$3052,$B79,AKTIVITAS!$G$2:$G$3052,F79)</f>
        <v>373</v>
      </c>
    </row>
    <row r="80" spans="1:20" x14ac:dyDescent="0.2">
      <c r="A80" s="82" t="str">
        <f>PEMAGANG!B22</f>
        <v>MG3826</v>
      </c>
      <c r="B80" s="82" t="str">
        <f>PEMAGANG!C22</f>
        <v>FARREL ALWIN RAHMADHAN</v>
      </c>
      <c r="C80" s="82" t="str">
        <f>PEMAGANG!D22</f>
        <v>HASKIN AVIONATA</v>
      </c>
      <c r="D80" s="82" t="str">
        <f>PEMAGANG!E22</f>
        <v>MANDIRI</v>
      </c>
      <c r="E80" s="75" t="str">
        <f t="shared" si="2"/>
        <v>Agustus</v>
      </c>
      <c r="F80" s="75">
        <f>MONTH(DATE(YEAR(SUMMARY!$C$6),MONTH(SUMMARY!$C$6)+2,1))</f>
        <v>8</v>
      </c>
      <c r="G80" s="83">
        <f>PEMAGANG!J22</f>
        <v>46174</v>
      </c>
      <c r="H80" s="83">
        <f>PEMAGANG!K22</f>
        <v>46295</v>
      </c>
      <c r="I80" s="75">
        <f>COUNTIFS(KALENDER!$D$3:$D$132,"Hari Kerja",KALENDER!$C$3:$C$132,F80,KALENDER!$A$3:$A$132,"&gt;="&amp;G80,KALENDER!$A$3:$A$132,"&lt;="&amp;H80)</f>
        <v>19</v>
      </c>
      <c r="J80" s="75">
        <f>COUNTIFS(KALENDER!$D$3:$D$132,"WFH",KALENDER!$C$3:$C$132,F80,KALENDER!$A$3:$A$132,"&gt;="&amp;G80,KALENDER!$A$3:$A$132,"&lt;="&amp;H80)</f>
        <v>0</v>
      </c>
      <c r="K80" s="75">
        <f>SUMIFS(ABSEN!$P$2:$P$4094,ABSEN!$B$2:$B$4094,$B80,ABSEN!$L$2:$L$4094,F80)</f>
        <v>18</v>
      </c>
      <c r="L80" s="75">
        <f>SUMIFS(ABSEN!$Q$2:$Q$4094,ABSEN!$B$2:$B$4094,$B80,ABSEN!$L$2:$L$4094,F80)</f>
        <v>0</v>
      </c>
      <c r="M80" s="75">
        <f>SUMIFS(ABSEN!$W$2:$W$4094,ABSEN!$B$2:$B$4094,$B80,ABSEN!$L$2:$L$4094,F80)</f>
        <v>18</v>
      </c>
      <c r="N80" s="75">
        <f>SUMIFS(ABSEN!$R$2:$R$4094,ABSEN!$B$2:$B$4094,$B80,ABSEN!$L$2:$L$4094,F80)</f>
        <v>5</v>
      </c>
      <c r="O80" s="75">
        <f>SUMIFS(ABSEN!$S$2:$S$4094,ABSEN!$B$2:$B$4094,$B80,ABSEN!$L$2:$L$4094,F80)</f>
        <v>28.000000000000064</v>
      </c>
      <c r="P80" s="75">
        <f>SUMIFS(ABSEN!$T$2:$T$4094,ABSEN!$B$2:$B$4094,$B80,ABSEN!$L$2:$L$4094,F80)</f>
        <v>1</v>
      </c>
      <c r="Q80" s="75">
        <f>SUMIFS(ABSEN!$U$2:$U$4094,ABSEN!$B$2:$B$4094,$B80,ABSEN!$L$2:$L$4094,F80)</f>
        <v>17</v>
      </c>
      <c r="R80" s="75">
        <f>COUNTIFS(AKTIVITAS!$B$2:$B$3052,$B80,AKTIVITAS!$G$2:$G$3052,F80)</f>
        <v>28</v>
      </c>
      <c r="S80" s="75" t="str">
        <f>PEMAGANG!F22</f>
        <v>EQUALISATION OFFICER (SID)</v>
      </c>
      <c r="T80" s="75">
        <f>SUMIFS(AKTIVITAS!$H$2:$H$3052,AKTIVITAS!$B$2:$B$3052,$B80,AKTIVITAS!$G$2:$G$3052,F80)</f>
        <v>489</v>
      </c>
    </row>
    <row r="81" spans="1:20" x14ac:dyDescent="0.2">
      <c r="A81" s="82" t="str">
        <f>PEMAGANG!B22</f>
        <v>MG3826</v>
      </c>
      <c r="B81" s="82" t="str">
        <f>PEMAGANG!C22</f>
        <v>FARREL ALWIN RAHMADHAN</v>
      </c>
      <c r="C81" s="82" t="str">
        <f>PEMAGANG!D22</f>
        <v>HASKIN AVIONATA</v>
      </c>
      <c r="D81" s="82" t="str">
        <f>PEMAGANG!E22</f>
        <v>MANDIRI</v>
      </c>
      <c r="E81" s="75" t="str">
        <f t="shared" si="2"/>
        <v>September</v>
      </c>
      <c r="F81" s="75">
        <f>MONTH(DATE(YEAR(SUMMARY!$C$6),MONTH(SUMMARY!$C$6)+3,1))</f>
        <v>9</v>
      </c>
      <c r="G81" s="83">
        <f>PEMAGANG!J22</f>
        <v>46174</v>
      </c>
      <c r="H81" s="83">
        <f>PEMAGANG!K22</f>
        <v>46295</v>
      </c>
      <c r="I81" s="75">
        <f>COUNTIFS(KALENDER!$D$3:$D$132,"Hari Kerja",KALENDER!$C$3:$C$132,F81,KALENDER!$A$3:$A$132,"&gt;="&amp;G81,KALENDER!$A$3:$A$132,"&lt;="&amp;H81)</f>
        <v>22</v>
      </c>
      <c r="J81" s="75">
        <f>COUNTIFS(KALENDER!$D$3:$D$132,"WFH",KALENDER!$C$3:$C$132,F81,KALENDER!$A$3:$A$132,"&gt;="&amp;G81,KALENDER!$A$3:$A$132,"&lt;="&amp;H81)</f>
        <v>0</v>
      </c>
      <c r="K81" s="75">
        <f>SUMIFS(ABSEN!$P$2:$P$4094,ABSEN!$B$2:$B$4094,$B81,ABSEN!$L$2:$L$4094,F81)</f>
        <v>22</v>
      </c>
      <c r="L81" s="75">
        <f>SUMIFS(ABSEN!$Q$2:$Q$4094,ABSEN!$B$2:$B$4094,$B81,ABSEN!$L$2:$L$4094,F81)</f>
        <v>0</v>
      </c>
      <c r="M81" s="75">
        <f>SUMIFS(ABSEN!$W$2:$W$4094,ABSEN!$B$2:$B$4094,$B81,ABSEN!$L$2:$L$4094,F81)</f>
        <v>22</v>
      </c>
      <c r="N81" s="75">
        <f>SUMIFS(ABSEN!$R$2:$R$4094,ABSEN!$B$2:$B$4094,$B81,ABSEN!$L$2:$L$4094,F81)</f>
        <v>4</v>
      </c>
      <c r="O81" s="75">
        <f>SUMIFS(ABSEN!$S$2:$S$4094,ABSEN!$B$2:$B$4094,$B81,ABSEN!$L$2:$L$4094,F81)</f>
        <v>15.999999999999948</v>
      </c>
      <c r="P81" s="75">
        <f>SUMIFS(ABSEN!$T$2:$T$4094,ABSEN!$B$2:$B$4094,$B81,ABSEN!$L$2:$L$4094,F81)</f>
        <v>1</v>
      </c>
      <c r="Q81" s="75">
        <f>SUMIFS(ABSEN!$U$2:$U$4094,ABSEN!$B$2:$B$4094,$B81,ABSEN!$L$2:$L$4094,F81)</f>
        <v>22</v>
      </c>
      <c r="R81" s="75">
        <f>COUNTIFS(AKTIVITAS!$B$2:$B$3052,$B81,AKTIVITAS!$G$2:$G$3052,F81)</f>
        <v>45</v>
      </c>
      <c r="S81" s="75" t="str">
        <f>PEMAGANG!F22</f>
        <v>EQUALISATION OFFICER (SID)</v>
      </c>
      <c r="T81" s="75">
        <f>SUMIFS(AKTIVITAS!$H$2:$H$3052,AKTIVITAS!$B$2:$B$3052,$B81,AKTIVITAS!$G$2:$G$3052,F81)</f>
        <v>736</v>
      </c>
    </row>
    <row r="82" spans="1:20" x14ac:dyDescent="0.2">
      <c r="A82" s="82" t="str">
        <f>PEMAGANG!B23</f>
        <v>INT/SILOG/260353</v>
      </c>
      <c r="B82" s="82" t="str">
        <f>PEMAGANG!C23</f>
        <v>MASDUQI MUHAMMAD</v>
      </c>
      <c r="C82" s="82" t="str">
        <f>PEMAGANG!D23</f>
        <v>IMAM SUBEKTI</v>
      </c>
      <c r="D82" s="82" t="str">
        <f>PEMAGANG!E23</f>
        <v>-</v>
      </c>
      <c r="E82" s="75" t="str">
        <f t="shared" si="2"/>
        <v>Juni</v>
      </c>
      <c r="F82" s="75">
        <f>MONTH(DATE(YEAR(SUMMARY!$C$6),MONTH(SUMMARY!$C$6)+0,1))</f>
        <v>6</v>
      </c>
      <c r="G82" s="83">
        <f>PEMAGANG!J23</f>
        <v>46268</v>
      </c>
      <c r="H82" s="83">
        <f>PEMAGANG!K23</f>
        <v>46295</v>
      </c>
      <c r="I82" s="75">
        <f>COUNTIFS(KALENDER!$D$3:$D$132,"Hari Kerja",KALENDER!$C$3:$C$132,F82,KALENDER!$A$3:$A$132,"&gt;="&amp;G82,KALENDER!$A$3:$A$132,"&lt;="&amp;H82)</f>
        <v>0</v>
      </c>
      <c r="J82" s="75">
        <f>COUNTIFS(KALENDER!$D$3:$D$132,"WFH",KALENDER!$C$3:$C$132,F82,KALENDER!$A$3:$A$132,"&gt;="&amp;G82,KALENDER!$A$3:$A$132,"&lt;="&amp;H82)</f>
        <v>0</v>
      </c>
      <c r="K82" s="75">
        <f>SUMIFS(ABSEN!$P$2:$P$4094,ABSEN!$B$2:$B$4094,$B82,ABSEN!$L$2:$L$4094,F82)</f>
        <v>0</v>
      </c>
      <c r="L82" s="75">
        <f>SUMIFS(ABSEN!$Q$2:$Q$4094,ABSEN!$B$2:$B$4094,$B82,ABSEN!$L$2:$L$4094,F82)</f>
        <v>0</v>
      </c>
      <c r="M82" s="75">
        <f>SUMIFS(ABSEN!$W$2:$W$4094,ABSEN!$B$2:$B$4094,$B82,ABSEN!$L$2:$L$4094,F82)</f>
        <v>0</v>
      </c>
      <c r="N82" s="75">
        <f>SUMIFS(ABSEN!$R$2:$R$4094,ABSEN!$B$2:$B$4094,$B82,ABSEN!$L$2:$L$4094,F82)</f>
        <v>0</v>
      </c>
      <c r="O82" s="75">
        <f>SUMIFS(ABSEN!$S$2:$S$4094,ABSEN!$B$2:$B$4094,$B82,ABSEN!$L$2:$L$4094,F82)</f>
        <v>0</v>
      </c>
      <c r="P82" s="75">
        <f>SUMIFS(ABSEN!$T$2:$T$4094,ABSEN!$B$2:$B$4094,$B82,ABSEN!$L$2:$L$4094,F82)</f>
        <v>0</v>
      </c>
      <c r="Q82" s="75">
        <f>SUMIFS(ABSEN!$U$2:$U$4094,ABSEN!$B$2:$B$4094,$B82,ABSEN!$L$2:$L$4094,F82)</f>
        <v>0</v>
      </c>
      <c r="R82" s="75">
        <f>COUNTIFS(AKTIVITAS!$B$2:$B$3052,$B82,AKTIVITAS!$G$2:$G$3052,F82)</f>
        <v>0</v>
      </c>
      <c r="S82" s="75" t="str">
        <f>PEMAGANG!F23</f>
        <v>PGS MANAGER OF LAMONGAN BRANCH</v>
      </c>
      <c r="T82" s="75">
        <f>SUMIFS(AKTIVITAS!$H$2:$H$3052,AKTIVITAS!$B$2:$B$3052,$B82,AKTIVITAS!$G$2:$G$3052,F82)</f>
        <v>0</v>
      </c>
    </row>
    <row r="83" spans="1:20" x14ac:dyDescent="0.2">
      <c r="A83" s="82" t="str">
        <f>PEMAGANG!B23</f>
        <v>INT/SILOG/260353</v>
      </c>
      <c r="B83" s="82" t="str">
        <f>PEMAGANG!C23</f>
        <v>MASDUQI MUHAMMAD</v>
      </c>
      <c r="C83" s="82" t="str">
        <f>PEMAGANG!D23</f>
        <v>IMAM SUBEKTI</v>
      </c>
      <c r="D83" s="82" t="str">
        <f>PEMAGANG!E23</f>
        <v>-</v>
      </c>
      <c r="E83" s="75" t="str">
        <f t="shared" si="2"/>
        <v>Juli</v>
      </c>
      <c r="F83" s="75">
        <f>MONTH(DATE(YEAR(SUMMARY!$C$6),MONTH(SUMMARY!$C$6)+1,1))</f>
        <v>7</v>
      </c>
      <c r="G83" s="83">
        <f>PEMAGANG!J23</f>
        <v>46268</v>
      </c>
      <c r="H83" s="83">
        <f>PEMAGANG!K23</f>
        <v>46295</v>
      </c>
      <c r="I83" s="75">
        <f>COUNTIFS(KALENDER!$D$3:$D$132,"Hari Kerja",KALENDER!$C$3:$C$132,F83,KALENDER!$A$3:$A$132,"&gt;="&amp;G83,KALENDER!$A$3:$A$132,"&lt;="&amp;H83)</f>
        <v>0</v>
      </c>
      <c r="J83" s="75">
        <f>COUNTIFS(KALENDER!$D$3:$D$132,"WFH",KALENDER!$C$3:$C$132,F83,KALENDER!$A$3:$A$132,"&gt;="&amp;G83,KALENDER!$A$3:$A$132,"&lt;="&amp;H83)</f>
        <v>0</v>
      </c>
      <c r="K83" s="75">
        <f>SUMIFS(ABSEN!$P$2:$P$4094,ABSEN!$B$2:$B$4094,$B83,ABSEN!$L$2:$L$4094,F83)</f>
        <v>0</v>
      </c>
      <c r="L83" s="75">
        <f>SUMIFS(ABSEN!$Q$2:$Q$4094,ABSEN!$B$2:$B$4094,$B83,ABSEN!$L$2:$L$4094,F83)</f>
        <v>0</v>
      </c>
      <c r="M83" s="75">
        <f>SUMIFS(ABSEN!$W$2:$W$4094,ABSEN!$B$2:$B$4094,$B83,ABSEN!$L$2:$L$4094,F83)</f>
        <v>0</v>
      </c>
      <c r="N83" s="75">
        <f>SUMIFS(ABSEN!$R$2:$R$4094,ABSEN!$B$2:$B$4094,$B83,ABSEN!$L$2:$L$4094,F83)</f>
        <v>0</v>
      </c>
      <c r="O83" s="75">
        <f>SUMIFS(ABSEN!$S$2:$S$4094,ABSEN!$B$2:$B$4094,$B83,ABSEN!$L$2:$L$4094,F83)</f>
        <v>0</v>
      </c>
      <c r="P83" s="75">
        <f>SUMIFS(ABSEN!$T$2:$T$4094,ABSEN!$B$2:$B$4094,$B83,ABSEN!$L$2:$L$4094,F83)</f>
        <v>0</v>
      </c>
      <c r="Q83" s="75">
        <f>SUMIFS(ABSEN!$U$2:$U$4094,ABSEN!$B$2:$B$4094,$B83,ABSEN!$L$2:$L$4094,F83)</f>
        <v>0</v>
      </c>
      <c r="R83" s="75">
        <f>COUNTIFS(AKTIVITAS!$B$2:$B$3052,$B83,AKTIVITAS!$G$2:$G$3052,F83)</f>
        <v>0</v>
      </c>
      <c r="S83" s="75" t="str">
        <f>PEMAGANG!F23</f>
        <v>PGS MANAGER OF LAMONGAN BRANCH</v>
      </c>
      <c r="T83" s="75">
        <f>SUMIFS(AKTIVITAS!$H$2:$H$3052,AKTIVITAS!$B$2:$B$3052,$B83,AKTIVITAS!$G$2:$G$3052,F83)</f>
        <v>0</v>
      </c>
    </row>
    <row r="84" spans="1:20" x14ac:dyDescent="0.2">
      <c r="A84" s="82" t="str">
        <f>PEMAGANG!B23</f>
        <v>INT/SILOG/260353</v>
      </c>
      <c r="B84" s="82" t="str">
        <f>PEMAGANG!C23</f>
        <v>MASDUQI MUHAMMAD</v>
      </c>
      <c r="C84" s="82" t="str">
        <f>PEMAGANG!D23</f>
        <v>IMAM SUBEKTI</v>
      </c>
      <c r="D84" s="82" t="str">
        <f>PEMAGANG!E23</f>
        <v>-</v>
      </c>
      <c r="E84" s="75" t="str">
        <f t="shared" si="2"/>
        <v>Agustus</v>
      </c>
      <c r="F84" s="75">
        <f>MONTH(DATE(YEAR(SUMMARY!$C$6),MONTH(SUMMARY!$C$6)+2,1))</f>
        <v>8</v>
      </c>
      <c r="G84" s="83">
        <f>PEMAGANG!J23</f>
        <v>46268</v>
      </c>
      <c r="H84" s="83">
        <f>PEMAGANG!K23</f>
        <v>46295</v>
      </c>
      <c r="I84" s="75">
        <f>COUNTIFS(KALENDER!$D$3:$D$132,"Hari Kerja",KALENDER!$C$3:$C$132,F84,KALENDER!$A$3:$A$132,"&gt;="&amp;G84,KALENDER!$A$3:$A$132,"&lt;="&amp;H84)</f>
        <v>0</v>
      </c>
      <c r="J84" s="75">
        <f>COUNTIFS(KALENDER!$D$3:$D$132,"WFH",KALENDER!$C$3:$C$132,F84,KALENDER!$A$3:$A$132,"&gt;="&amp;G84,KALENDER!$A$3:$A$132,"&lt;="&amp;H84)</f>
        <v>0</v>
      </c>
      <c r="K84" s="75">
        <f>SUMIFS(ABSEN!$P$2:$P$4094,ABSEN!$B$2:$B$4094,$B84,ABSEN!$L$2:$L$4094,F84)</f>
        <v>0</v>
      </c>
      <c r="L84" s="75">
        <f>SUMIFS(ABSEN!$Q$2:$Q$4094,ABSEN!$B$2:$B$4094,$B84,ABSEN!$L$2:$L$4094,F84)</f>
        <v>0</v>
      </c>
      <c r="M84" s="75">
        <f>SUMIFS(ABSEN!$W$2:$W$4094,ABSEN!$B$2:$B$4094,$B84,ABSEN!$L$2:$L$4094,F84)</f>
        <v>0</v>
      </c>
      <c r="N84" s="75">
        <f>SUMIFS(ABSEN!$R$2:$R$4094,ABSEN!$B$2:$B$4094,$B84,ABSEN!$L$2:$L$4094,F84)</f>
        <v>0</v>
      </c>
      <c r="O84" s="75">
        <f>SUMIFS(ABSEN!$S$2:$S$4094,ABSEN!$B$2:$B$4094,$B84,ABSEN!$L$2:$L$4094,F84)</f>
        <v>0</v>
      </c>
      <c r="P84" s="75">
        <f>SUMIFS(ABSEN!$T$2:$T$4094,ABSEN!$B$2:$B$4094,$B84,ABSEN!$L$2:$L$4094,F84)</f>
        <v>0</v>
      </c>
      <c r="Q84" s="75">
        <f>SUMIFS(ABSEN!$U$2:$U$4094,ABSEN!$B$2:$B$4094,$B84,ABSEN!$L$2:$L$4094,F84)</f>
        <v>0</v>
      </c>
      <c r="R84" s="75">
        <f>COUNTIFS(AKTIVITAS!$B$2:$B$3052,$B84,AKTIVITAS!$G$2:$G$3052,F84)</f>
        <v>0</v>
      </c>
      <c r="S84" s="75" t="str">
        <f>PEMAGANG!F23</f>
        <v>PGS MANAGER OF LAMONGAN BRANCH</v>
      </c>
      <c r="T84" s="75">
        <f>SUMIFS(AKTIVITAS!$H$2:$H$3052,AKTIVITAS!$B$2:$B$3052,$B84,AKTIVITAS!$G$2:$G$3052,F84)</f>
        <v>0</v>
      </c>
    </row>
    <row r="85" spans="1:20" x14ac:dyDescent="0.2">
      <c r="A85" s="82" t="str">
        <f>PEMAGANG!B23</f>
        <v>INT/SILOG/260353</v>
      </c>
      <c r="B85" s="82" t="str">
        <f>PEMAGANG!C23</f>
        <v>MASDUQI MUHAMMAD</v>
      </c>
      <c r="C85" s="82" t="str">
        <f>PEMAGANG!D23</f>
        <v>IMAM SUBEKTI</v>
      </c>
      <c r="D85" s="82" t="str">
        <f>PEMAGANG!E23</f>
        <v>-</v>
      </c>
      <c r="E85" s="75" t="str">
        <f t="shared" si="2"/>
        <v>September</v>
      </c>
      <c r="F85" s="75">
        <f>MONTH(DATE(YEAR(SUMMARY!$C$6),MONTH(SUMMARY!$C$6)+3,1))</f>
        <v>9</v>
      </c>
      <c r="G85" s="83">
        <f>PEMAGANG!J23</f>
        <v>46268</v>
      </c>
      <c r="H85" s="83">
        <f>PEMAGANG!K23</f>
        <v>46295</v>
      </c>
      <c r="I85" s="75">
        <f>COUNTIFS(KALENDER!$D$3:$D$132,"Hari Kerja",KALENDER!$C$3:$C$132,F85,KALENDER!$A$3:$A$132,"&gt;="&amp;G85,KALENDER!$A$3:$A$132,"&lt;="&amp;H85)</f>
        <v>20</v>
      </c>
      <c r="J85" s="75">
        <f>COUNTIFS(KALENDER!$D$3:$D$132,"WFH",KALENDER!$C$3:$C$132,F85,KALENDER!$A$3:$A$132,"&gt;="&amp;G85,KALENDER!$A$3:$A$132,"&lt;="&amp;H85)</f>
        <v>0</v>
      </c>
      <c r="K85" s="75">
        <f>SUMIFS(ABSEN!$P$2:$P$4094,ABSEN!$B$2:$B$4094,$B85,ABSEN!$L$2:$L$4094,F85)</f>
        <v>15</v>
      </c>
      <c r="L85" s="75">
        <f>SUMIFS(ABSEN!$Q$2:$Q$4094,ABSEN!$B$2:$B$4094,$B85,ABSEN!$L$2:$L$4094,F85)</f>
        <v>0</v>
      </c>
      <c r="M85" s="75">
        <f>SUMIFS(ABSEN!$W$2:$W$4094,ABSEN!$B$2:$B$4094,$B85,ABSEN!$L$2:$L$4094,F85)</f>
        <v>15</v>
      </c>
      <c r="N85" s="75">
        <f>SUMIFS(ABSEN!$R$2:$R$4094,ABSEN!$B$2:$B$4094,$B85,ABSEN!$L$2:$L$4094,F85)</f>
        <v>8</v>
      </c>
      <c r="O85" s="75">
        <f>SUMIFS(ABSEN!$S$2:$S$4094,ABSEN!$B$2:$B$4094,$B85,ABSEN!$L$2:$L$4094,F85)</f>
        <v>150.00000000000017</v>
      </c>
      <c r="P85" s="75">
        <f>SUMIFS(ABSEN!$T$2:$T$4094,ABSEN!$B$2:$B$4094,$B85,ABSEN!$L$2:$L$4094,F85)</f>
        <v>12</v>
      </c>
      <c r="Q85" s="75">
        <f>SUMIFS(ABSEN!$U$2:$U$4094,ABSEN!$B$2:$B$4094,$B85,ABSEN!$L$2:$L$4094,F85)</f>
        <v>0</v>
      </c>
      <c r="R85" s="75">
        <f>COUNTIFS(AKTIVITAS!$B$2:$B$3052,$B85,AKTIVITAS!$G$2:$G$3052,F85)</f>
        <v>0</v>
      </c>
      <c r="S85" s="75" t="str">
        <f>PEMAGANG!F23</f>
        <v>PGS MANAGER OF LAMONGAN BRANCH</v>
      </c>
      <c r="T85" s="75">
        <f>SUMIFS(AKTIVITAS!$H$2:$H$3052,AKTIVITAS!$B$2:$B$3052,$B85,AKTIVITAS!$G$2:$G$3052,F85)</f>
        <v>0</v>
      </c>
    </row>
    <row r="86" spans="1:20" x14ac:dyDescent="0.2">
      <c r="A86" s="82" t="str">
        <f>PEMAGANG!B24</f>
        <v>MG5226</v>
      </c>
      <c r="B86" s="82" t="str">
        <f>PEMAGANG!C24</f>
        <v>CITRA ANGGRAINI</v>
      </c>
      <c r="C86" s="82" t="str">
        <f>PEMAGANG!D24</f>
        <v>IMANIAR PUTRI UTAMI</v>
      </c>
      <c r="D86" s="82" t="str">
        <f>PEMAGANG!E24</f>
        <v>MANDIRI</v>
      </c>
      <c r="E86" s="75" t="str">
        <f t="shared" si="2"/>
        <v>Juni</v>
      </c>
      <c r="F86" s="75">
        <f>MONTH(DATE(YEAR(SUMMARY!$C$6),MONTH(SUMMARY!$C$6)+0,1))</f>
        <v>6</v>
      </c>
      <c r="G86" s="83">
        <f>PEMAGANG!J24</f>
        <v>46279</v>
      </c>
      <c r="H86" s="83">
        <f>PEMAGANG!K24</f>
        <v>46295</v>
      </c>
      <c r="I86" s="75">
        <f>COUNTIFS(KALENDER!$D$3:$D$132,"Hari Kerja",KALENDER!$C$3:$C$132,F86,KALENDER!$A$3:$A$132,"&gt;="&amp;G86,KALENDER!$A$3:$A$132,"&lt;="&amp;H86)</f>
        <v>0</v>
      </c>
      <c r="J86" s="75">
        <f>COUNTIFS(KALENDER!$D$3:$D$132,"WFH",KALENDER!$C$3:$C$132,F86,KALENDER!$A$3:$A$132,"&gt;="&amp;G86,KALENDER!$A$3:$A$132,"&lt;="&amp;H86)</f>
        <v>0</v>
      </c>
      <c r="K86" s="75">
        <f>SUMIFS(ABSEN!$P$2:$P$4094,ABSEN!$B$2:$B$4094,$B86,ABSEN!$L$2:$L$4094,F86)</f>
        <v>0</v>
      </c>
      <c r="L86" s="75">
        <f>SUMIFS(ABSEN!$Q$2:$Q$4094,ABSEN!$B$2:$B$4094,$B86,ABSEN!$L$2:$L$4094,F86)</f>
        <v>0</v>
      </c>
      <c r="M86" s="75">
        <f>SUMIFS(ABSEN!$W$2:$W$4094,ABSEN!$B$2:$B$4094,$B86,ABSEN!$L$2:$L$4094,F86)</f>
        <v>0</v>
      </c>
      <c r="N86" s="75">
        <f>SUMIFS(ABSEN!$R$2:$R$4094,ABSEN!$B$2:$B$4094,$B86,ABSEN!$L$2:$L$4094,F86)</f>
        <v>0</v>
      </c>
      <c r="O86" s="75">
        <f>SUMIFS(ABSEN!$S$2:$S$4094,ABSEN!$B$2:$B$4094,$B86,ABSEN!$L$2:$L$4094,F86)</f>
        <v>0</v>
      </c>
      <c r="P86" s="75">
        <f>SUMIFS(ABSEN!$T$2:$T$4094,ABSEN!$B$2:$B$4094,$B86,ABSEN!$L$2:$L$4094,F86)</f>
        <v>0</v>
      </c>
      <c r="Q86" s="75">
        <f>SUMIFS(ABSEN!$U$2:$U$4094,ABSEN!$B$2:$B$4094,$B86,ABSEN!$L$2:$L$4094,F86)</f>
        <v>0</v>
      </c>
      <c r="R86" s="75">
        <f>COUNTIFS(AKTIVITAS!$B$2:$B$3052,$B86,AKTIVITAS!$G$2:$G$3052,F86)</f>
        <v>0</v>
      </c>
      <c r="S86" s="75" t="str">
        <f>PEMAGANG!F24</f>
        <v>MANAGER OF VERIFICATION</v>
      </c>
      <c r="T86" s="75">
        <f>SUMIFS(AKTIVITAS!$H$2:$H$3052,AKTIVITAS!$B$2:$B$3052,$B86,AKTIVITAS!$G$2:$G$3052,F86)</f>
        <v>0</v>
      </c>
    </row>
    <row r="87" spans="1:20" x14ac:dyDescent="0.2">
      <c r="A87" s="82" t="str">
        <f>PEMAGANG!B24</f>
        <v>MG5226</v>
      </c>
      <c r="B87" s="82" t="str">
        <f>PEMAGANG!C24</f>
        <v>CITRA ANGGRAINI</v>
      </c>
      <c r="C87" s="82" t="str">
        <f>PEMAGANG!D24</f>
        <v>IMANIAR PUTRI UTAMI</v>
      </c>
      <c r="D87" s="82" t="str">
        <f>PEMAGANG!E24</f>
        <v>MANDIRI</v>
      </c>
      <c r="E87" s="75" t="str">
        <f t="shared" si="2"/>
        <v>Juli</v>
      </c>
      <c r="F87" s="75">
        <f>MONTH(DATE(YEAR(SUMMARY!$C$6),MONTH(SUMMARY!$C$6)+1,1))</f>
        <v>7</v>
      </c>
      <c r="G87" s="83">
        <f>PEMAGANG!J24</f>
        <v>46279</v>
      </c>
      <c r="H87" s="83">
        <f>PEMAGANG!K24</f>
        <v>46295</v>
      </c>
      <c r="I87" s="75">
        <f>COUNTIFS(KALENDER!$D$3:$D$132,"Hari Kerja",KALENDER!$C$3:$C$132,F87,KALENDER!$A$3:$A$132,"&gt;="&amp;G87,KALENDER!$A$3:$A$132,"&lt;="&amp;H87)</f>
        <v>0</v>
      </c>
      <c r="J87" s="75">
        <f>COUNTIFS(KALENDER!$D$3:$D$132,"WFH",KALENDER!$C$3:$C$132,F87,KALENDER!$A$3:$A$132,"&gt;="&amp;G87,KALENDER!$A$3:$A$132,"&lt;="&amp;H87)</f>
        <v>0</v>
      </c>
      <c r="K87" s="75">
        <f>SUMIFS(ABSEN!$P$2:$P$4094,ABSEN!$B$2:$B$4094,$B87,ABSEN!$L$2:$L$4094,F87)</f>
        <v>0</v>
      </c>
      <c r="L87" s="75">
        <f>SUMIFS(ABSEN!$Q$2:$Q$4094,ABSEN!$B$2:$B$4094,$B87,ABSEN!$L$2:$L$4094,F87)</f>
        <v>0</v>
      </c>
      <c r="M87" s="75">
        <f>SUMIFS(ABSEN!$W$2:$W$4094,ABSEN!$B$2:$B$4094,$B87,ABSEN!$L$2:$L$4094,F87)</f>
        <v>0</v>
      </c>
      <c r="N87" s="75">
        <f>SUMIFS(ABSEN!$R$2:$R$4094,ABSEN!$B$2:$B$4094,$B87,ABSEN!$L$2:$L$4094,F87)</f>
        <v>0</v>
      </c>
      <c r="O87" s="75">
        <f>SUMIFS(ABSEN!$S$2:$S$4094,ABSEN!$B$2:$B$4094,$B87,ABSEN!$L$2:$L$4094,F87)</f>
        <v>0</v>
      </c>
      <c r="P87" s="75">
        <f>SUMIFS(ABSEN!$T$2:$T$4094,ABSEN!$B$2:$B$4094,$B87,ABSEN!$L$2:$L$4094,F87)</f>
        <v>0</v>
      </c>
      <c r="Q87" s="75">
        <f>SUMIFS(ABSEN!$U$2:$U$4094,ABSEN!$B$2:$B$4094,$B87,ABSEN!$L$2:$L$4094,F87)</f>
        <v>0</v>
      </c>
      <c r="R87" s="75">
        <f>COUNTIFS(AKTIVITAS!$B$2:$B$3052,$B87,AKTIVITAS!$G$2:$G$3052,F87)</f>
        <v>0</v>
      </c>
      <c r="S87" s="75" t="str">
        <f>PEMAGANG!F24</f>
        <v>MANAGER OF VERIFICATION</v>
      </c>
      <c r="T87" s="75">
        <f>SUMIFS(AKTIVITAS!$H$2:$H$3052,AKTIVITAS!$B$2:$B$3052,$B87,AKTIVITAS!$G$2:$G$3052,F87)</f>
        <v>0</v>
      </c>
    </row>
    <row r="88" spans="1:20" x14ac:dyDescent="0.2">
      <c r="A88" s="82" t="str">
        <f>PEMAGANG!B24</f>
        <v>MG5226</v>
      </c>
      <c r="B88" s="82" t="str">
        <f>PEMAGANG!C24</f>
        <v>CITRA ANGGRAINI</v>
      </c>
      <c r="C88" s="82" t="str">
        <f>PEMAGANG!D24</f>
        <v>IMANIAR PUTRI UTAMI</v>
      </c>
      <c r="D88" s="82" t="str">
        <f>PEMAGANG!E24</f>
        <v>MANDIRI</v>
      </c>
      <c r="E88" s="75" t="str">
        <f t="shared" si="2"/>
        <v>Agustus</v>
      </c>
      <c r="F88" s="75">
        <f>MONTH(DATE(YEAR(SUMMARY!$C$6),MONTH(SUMMARY!$C$6)+2,1))</f>
        <v>8</v>
      </c>
      <c r="G88" s="83">
        <f>PEMAGANG!J24</f>
        <v>46279</v>
      </c>
      <c r="H88" s="83">
        <f>PEMAGANG!K24</f>
        <v>46295</v>
      </c>
      <c r="I88" s="75">
        <f>COUNTIFS(KALENDER!$D$3:$D$132,"Hari Kerja",KALENDER!$C$3:$C$132,F88,KALENDER!$A$3:$A$132,"&gt;="&amp;G88,KALENDER!$A$3:$A$132,"&lt;="&amp;H88)</f>
        <v>0</v>
      </c>
      <c r="J88" s="75">
        <f>COUNTIFS(KALENDER!$D$3:$D$132,"WFH",KALENDER!$C$3:$C$132,F88,KALENDER!$A$3:$A$132,"&gt;="&amp;G88,KALENDER!$A$3:$A$132,"&lt;="&amp;H88)</f>
        <v>0</v>
      </c>
      <c r="K88" s="75">
        <f>SUMIFS(ABSEN!$P$2:$P$4094,ABSEN!$B$2:$B$4094,$B88,ABSEN!$L$2:$L$4094,F88)</f>
        <v>0</v>
      </c>
      <c r="L88" s="75">
        <f>SUMIFS(ABSEN!$Q$2:$Q$4094,ABSEN!$B$2:$B$4094,$B88,ABSEN!$L$2:$L$4094,F88)</f>
        <v>0</v>
      </c>
      <c r="M88" s="75">
        <f>SUMIFS(ABSEN!$W$2:$W$4094,ABSEN!$B$2:$B$4094,$B88,ABSEN!$L$2:$L$4094,F88)</f>
        <v>0</v>
      </c>
      <c r="N88" s="75">
        <f>SUMIFS(ABSEN!$R$2:$R$4094,ABSEN!$B$2:$B$4094,$B88,ABSEN!$L$2:$L$4094,F88)</f>
        <v>0</v>
      </c>
      <c r="O88" s="75">
        <f>SUMIFS(ABSEN!$S$2:$S$4094,ABSEN!$B$2:$B$4094,$B88,ABSEN!$L$2:$L$4094,F88)</f>
        <v>0</v>
      </c>
      <c r="P88" s="75">
        <f>SUMIFS(ABSEN!$T$2:$T$4094,ABSEN!$B$2:$B$4094,$B88,ABSEN!$L$2:$L$4094,F88)</f>
        <v>0</v>
      </c>
      <c r="Q88" s="75">
        <f>SUMIFS(ABSEN!$U$2:$U$4094,ABSEN!$B$2:$B$4094,$B88,ABSEN!$L$2:$L$4094,F88)</f>
        <v>0</v>
      </c>
      <c r="R88" s="75">
        <f>COUNTIFS(AKTIVITAS!$B$2:$B$3052,$B88,AKTIVITAS!$G$2:$G$3052,F88)</f>
        <v>0</v>
      </c>
      <c r="S88" s="75" t="str">
        <f>PEMAGANG!F24</f>
        <v>MANAGER OF VERIFICATION</v>
      </c>
      <c r="T88" s="75">
        <f>SUMIFS(AKTIVITAS!$H$2:$H$3052,AKTIVITAS!$B$2:$B$3052,$B88,AKTIVITAS!$G$2:$G$3052,F88)</f>
        <v>0</v>
      </c>
    </row>
    <row r="89" spans="1:20" x14ac:dyDescent="0.2">
      <c r="A89" s="82" t="str">
        <f>PEMAGANG!B24</f>
        <v>MG5226</v>
      </c>
      <c r="B89" s="82" t="str">
        <f>PEMAGANG!C24</f>
        <v>CITRA ANGGRAINI</v>
      </c>
      <c r="C89" s="82" t="str">
        <f>PEMAGANG!D24</f>
        <v>IMANIAR PUTRI UTAMI</v>
      </c>
      <c r="D89" s="82" t="str">
        <f>PEMAGANG!E24</f>
        <v>MANDIRI</v>
      </c>
      <c r="E89" s="75" t="str">
        <f t="shared" si="2"/>
        <v>September</v>
      </c>
      <c r="F89" s="75">
        <f>MONTH(DATE(YEAR(SUMMARY!$C$6),MONTH(SUMMARY!$C$6)+3,1))</f>
        <v>9</v>
      </c>
      <c r="G89" s="83">
        <f>PEMAGANG!J24</f>
        <v>46279</v>
      </c>
      <c r="H89" s="83">
        <f>PEMAGANG!K24</f>
        <v>46295</v>
      </c>
      <c r="I89" s="75">
        <f>COUNTIFS(KALENDER!$D$3:$D$132,"Hari Kerja",KALENDER!$C$3:$C$132,F89,KALENDER!$A$3:$A$132,"&gt;="&amp;G89,KALENDER!$A$3:$A$132,"&lt;="&amp;H89)</f>
        <v>13</v>
      </c>
      <c r="J89" s="75">
        <f>COUNTIFS(KALENDER!$D$3:$D$132,"WFH",KALENDER!$C$3:$C$132,F89,KALENDER!$A$3:$A$132,"&gt;="&amp;G89,KALENDER!$A$3:$A$132,"&lt;="&amp;H89)</f>
        <v>0</v>
      </c>
      <c r="K89" s="75">
        <f>SUMIFS(ABSEN!$P$2:$P$4094,ABSEN!$B$2:$B$4094,$B89,ABSEN!$L$2:$L$4094,F89)</f>
        <v>13</v>
      </c>
      <c r="L89" s="75">
        <f>SUMIFS(ABSEN!$Q$2:$Q$4094,ABSEN!$B$2:$B$4094,$B89,ABSEN!$L$2:$L$4094,F89)</f>
        <v>0</v>
      </c>
      <c r="M89" s="75">
        <f>SUMIFS(ABSEN!$W$2:$W$4094,ABSEN!$B$2:$B$4094,$B89,ABSEN!$L$2:$L$4094,F89)</f>
        <v>13</v>
      </c>
      <c r="N89" s="75">
        <f>SUMIFS(ABSEN!$R$2:$R$4094,ABSEN!$B$2:$B$4094,$B89,ABSEN!$L$2:$L$4094,F89)</f>
        <v>1</v>
      </c>
      <c r="O89" s="75">
        <f>SUMIFS(ABSEN!$S$2:$S$4094,ABSEN!$B$2:$B$4094,$B89,ABSEN!$L$2:$L$4094,F89)</f>
        <v>202</v>
      </c>
      <c r="P89" s="75">
        <f>SUMIFS(ABSEN!$T$2:$T$4094,ABSEN!$B$2:$B$4094,$B89,ABSEN!$L$2:$L$4094,F89)</f>
        <v>0</v>
      </c>
      <c r="Q89" s="75">
        <f>SUMIFS(ABSEN!$U$2:$U$4094,ABSEN!$B$2:$B$4094,$B89,ABSEN!$L$2:$L$4094,F89)</f>
        <v>13</v>
      </c>
      <c r="R89" s="75">
        <f>COUNTIFS(AKTIVITAS!$B$2:$B$3052,$B89,AKTIVITAS!$G$2:$G$3052,F89)</f>
        <v>13</v>
      </c>
      <c r="S89" s="75" t="str">
        <f>PEMAGANG!F24</f>
        <v>MANAGER OF VERIFICATION</v>
      </c>
      <c r="T89" s="75">
        <f>SUMIFS(AKTIVITAS!$H$2:$H$3052,AKTIVITAS!$B$2:$B$3052,$B89,AKTIVITAS!$G$2:$G$3052,F89)</f>
        <v>1261</v>
      </c>
    </row>
    <row r="90" spans="1:20" x14ac:dyDescent="0.2">
      <c r="A90" s="82" t="str">
        <f>PEMAGANG!B25</f>
        <v>MG/KH/3125</v>
      </c>
      <c r="B90" s="82" t="str">
        <f>PEMAGANG!C25</f>
        <v>KHOFIFATUNNABILAH</v>
      </c>
      <c r="C90" s="82" t="str">
        <f>PEMAGANG!D25</f>
        <v>M. RIZAD FAHRURI</v>
      </c>
      <c r="D90" s="82" t="str">
        <f>PEMAGANG!E25</f>
        <v>Kontrak Project</v>
      </c>
      <c r="E90" s="75" t="str">
        <f t="shared" si="2"/>
        <v>Juni</v>
      </c>
      <c r="F90" s="75">
        <f>MONTH(DATE(YEAR(SUMMARY!$C$6),MONTH(SUMMARY!$C$6)+0,1))</f>
        <v>6</v>
      </c>
      <c r="G90" s="83">
        <f>PEMAGANG!J25</f>
        <v>46174</v>
      </c>
      <c r="H90" s="83">
        <f>PEMAGANG!K25</f>
        <v>46295</v>
      </c>
      <c r="I90" s="75">
        <f>COUNTIFS(KALENDER!$D$3:$D$132,"Hari Kerja",KALENDER!$C$3:$C$132,F90,KALENDER!$A$3:$A$132,"&gt;="&amp;G90,KALENDER!$A$3:$A$132,"&lt;="&amp;H90)</f>
        <v>16</v>
      </c>
      <c r="J90" s="75">
        <f>COUNTIFS(KALENDER!$D$3:$D$132,"WFH",KALENDER!$C$3:$C$132,F90,KALENDER!$A$3:$A$132,"&gt;="&amp;G90,KALENDER!$A$3:$A$132,"&lt;="&amp;H90)</f>
        <v>4</v>
      </c>
      <c r="K90" s="75">
        <f>SUMIFS(ABSEN!$P$2:$P$4094,ABSEN!$B$2:$B$4094,$B90,ABSEN!$L$2:$L$4094,F90)</f>
        <v>16</v>
      </c>
      <c r="L90" s="75">
        <f>SUMIFS(ABSEN!$Q$2:$Q$4094,ABSEN!$B$2:$B$4094,$B90,ABSEN!$L$2:$L$4094,F90)</f>
        <v>4</v>
      </c>
      <c r="M90" s="75">
        <f>SUMIFS(ABSEN!$W$2:$W$4094,ABSEN!$B$2:$B$4094,$B90,ABSEN!$L$2:$L$4094,F90)</f>
        <v>20</v>
      </c>
      <c r="N90" s="75">
        <f>SUMIFS(ABSEN!$R$2:$R$4094,ABSEN!$B$2:$B$4094,$B90,ABSEN!$L$2:$L$4094,F90)</f>
        <v>0</v>
      </c>
      <c r="O90" s="75">
        <f>SUMIFS(ABSEN!$S$2:$S$4094,ABSEN!$B$2:$B$4094,$B90,ABSEN!$L$2:$L$4094,F90)</f>
        <v>0</v>
      </c>
      <c r="P90" s="75">
        <f>SUMIFS(ABSEN!$T$2:$T$4094,ABSEN!$B$2:$B$4094,$B90,ABSEN!$L$2:$L$4094,F90)</f>
        <v>1</v>
      </c>
      <c r="Q90" s="75">
        <f>SUMIFS(ABSEN!$U$2:$U$4094,ABSEN!$B$2:$B$4094,$B90,ABSEN!$L$2:$L$4094,F90)</f>
        <v>19</v>
      </c>
      <c r="R90" s="75">
        <f>COUNTIFS(AKTIVITAS!$B$2:$B$3052,$B90,AKTIVITAS!$G$2:$G$3052,F90)</f>
        <v>52</v>
      </c>
      <c r="S90" s="75" t="str">
        <f>PEMAGANG!F25</f>
        <v>PGS FINANCIAL ANALYSIS OFFICER</v>
      </c>
      <c r="T90" s="75">
        <f>SUMIFS(AKTIVITAS!$H$2:$H$3052,AKTIVITAS!$B$2:$B$3052,$B90,AKTIVITAS!$G$2:$G$3052,F90)</f>
        <v>3119</v>
      </c>
    </row>
    <row r="91" spans="1:20" x14ac:dyDescent="0.2">
      <c r="A91" s="82" t="str">
        <f>PEMAGANG!B25</f>
        <v>MG/KH/3125</v>
      </c>
      <c r="B91" s="82" t="str">
        <f>PEMAGANG!C25</f>
        <v>KHOFIFATUNNABILAH</v>
      </c>
      <c r="C91" s="82" t="str">
        <f>PEMAGANG!D25</f>
        <v>M. RIZAD FAHRURI</v>
      </c>
      <c r="D91" s="82" t="str">
        <f>PEMAGANG!E25</f>
        <v>Kontrak Project</v>
      </c>
      <c r="E91" s="75" t="str">
        <f t="shared" si="2"/>
        <v>Juli</v>
      </c>
      <c r="F91" s="75">
        <f>MONTH(DATE(YEAR(SUMMARY!$C$6),MONTH(SUMMARY!$C$6)+1,1))</f>
        <v>7</v>
      </c>
      <c r="G91" s="83">
        <f>PEMAGANG!J25</f>
        <v>46174</v>
      </c>
      <c r="H91" s="83">
        <f>PEMAGANG!K25</f>
        <v>46295</v>
      </c>
      <c r="I91" s="75">
        <f>COUNTIFS(KALENDER!$D$3:$D$132,"Hari Kerja",KALENDER!$C$3:$C$132,F91,KALENDER!$A$3:$A$132,"&gt;="&amp;G91,KALENDER!$A$3:$A$132,"&lt;="&amp;H91)</f>
        <v>18</v>
      </c>
      <c r="J91" s="75">
        <f>COUNTIFS(KALENDER!$D$3:$D$132,"WFH",KALENDER!$C$3:$C$132,F91,KALENDER!$A$3:$A$132,"&gt;="&amp;G91,KALENDER!$A$3:$A$132,"&lt;="&amp;H91)</f>
        <v>5</v>
      </c>
      <c r="K91" s="75">
        <f>SUMIFS(ABSEN!$P$2:$P$4094,ABSEN!$B$2:$B$4094,$B91,ABSEN!$L$2:$L$4094,F91)</f>
        <v>15</v>
      </c>
      <c r="L91" s="75">
        <f>SUMIFS(ABSEN!$Q$2:$Q$4094,ABSEN!$B$2:$B$4094,$B91,ABSEN!$L$2:$L$4094,F91)</f>
        <v>2</v>
      </c>
      <c r="M91" s="75">
        <f>SUMIFS(ABSEN!$W$2:$W$4094,ABSEN!$B$2:$B$4094,$B91,ABSEN!$L$2:$L$4094,F91)</f>
        <v>17</v>
      </c>
      <c r="N91" s="75">
        <f>SUMIFS(ABSEN!$R$2:$R$4094,ABSEN!$B$2:$B$4094,$B91,ABSEN!$L$2:$L$4094,F91)</f>
        <v>0</v>
      </c>
      <c r="O91" s="75">
        <f>SUMIFS(ABSEN!$S$2:$S$4094,ABSEN!$B$2:$B$4094,$B91,ABSEN!$L$2:$L$4094,F91)</f>
        <v>0</v>
      </c>
      <c r="P91" s="75">
        <f>SUMIFS(ABSEN!$T$2:$T$4094,ABSEN!$B$2:$B$4094,$B91,ABSEN!$L$2:$L$4094,F91)</f>
        <v>0</v>
      </c>
      <c r="Q91" s="75">
        <f>SUMIFS(ABSEN!$U$2:$U$4094,ABSEN!$B$2:$B$4094,$B91,ABSEN!$L$2:$L$4094,F91)</f>
        <v>17</v>
      </c>
      <c r="R91" s="75">
        <f>COUNTIFS(AKTIVITAS!$B$2:$B$3052,$B91,AKTIVITAS!$G$2:$G$3052,F91)</f>
        <v>63</v>
      </c>
      <c r="S91" s="75" t="str">
        <f>PEMAGANG!F25</f>
        <v>PGS FINANCIAL ANALYSIS OFFICER</v>
      </c>
      <c r="T91" s="75">
        <f>SUMIFS(AKTIVITAS!$H$2:$H$3052,AKTIVITAS!$B$2:$B$3052,$B91,AKTIVITAS!$G$2:$G$3052,F91)</f>
        <v>3954</v>
      </c>
    </row>
    <row r="92" spans="1:20" x14ac:dyDescent="0.2">
      <c r="A92" s="82" t="str">
        <f>PEMAGANG!B25</f>
        <v>MG/KH/3125</v>
      </c>
      <c r="B92" s="82" t="str">
        <f>PEMAGANG!C25</f>
        <v>KHOFIFATUNNABILAH</v>
      </c>
      <c r="C92" s="82" t="str">
        <f>PEMAGANG!D25</f>
        <v>M. RIZAD FAHRURI</v>
      </c>
      <c r="D92" s="82" t="str">
        <f>PEMAGANG!E25</f>
        <v>Kontrak Project</v>
      </c>
      <c r="E92" s="75" t="str">
        <f t="shared" si="2"/>
        <v>Agustus</v>
      </c>
      <c r="F92" s="75">
        <f>MONTH(DATE(YEAR(SUMMARY!$C$6),MONTH(SUMMARY!$C$6)+2,1))</f>
        <v>8</v>
      </c>
      <c r="G92" s="83">
        <f>PEMAGANG!J25</f>
        <v>46174</v>
      </c>
      <c r="H92" s="83">
        <f>PEMAGANG!K25</f>
        <v>46295</v>
      </c>
      <c r="I92" s="75">
        <f>COUNTIFS(KALENDER!$D$3:$D$132,"Hari Kerja",KALENDER!$C$3:$C$132,F92,KALENDER!$A$3:$A$132,"&gt;="&amp;G92,KALENDER!$A$3:$A$132,"&lt;="&amp;H92)</f>
        <v>19</v>
      </c>
      <c r="J92" s="75">
        <f>COUNTIFS(KALENDER!$D$3:$D$132,"WFH",KALENDER!$C$3:$C$132,F92,KALENDER!$A$3:$A$132,"&gt;="&amp;G92,KALENDER!$A$3:$A$132,"&lt;="&amp;H92)</f>
        <v>0</v>
      </c>
      <c r="K92" s="75">
        <f>SUMIFS(ABSEN!$P$2:$P$4094,ABSEN!$B$2:$B$4094,$B92,ABSEN!$L$2:$L$4094,F92)</f>
        <v>19</v>
      </c>
      <c r="L92" s="75">
        <f>SUMIFS(ABSEN!$Q$2:$Q$4094,ABSEN!$B$2:$B$4094,$B92,ABSEN!$L$2:$L$4094,F92)</f>
        <v>0</v>
      </c>
      <c r="M92" s="75">
        <f>SUMIFS(ABSEN!$W$2:$W$4094,ABSEN!$B$2:$B$4094,$B92,ABSEN!$L$2:$L$4094,F92)</f>
        <v>19</v>
      </c>
      <c r="N92" s="75">
        <f>SUMIFS(ABSEN!$R$2:$R$4094,ABSEN!$B$2:$B$4094,$B92,ABSEN!$L$2:$L$4094,F92)</f>
        <v>0</v>
      </c>
      <c r="O92" s="75">
        <f>SUMIFS(ABSEN!$S$2:$S$4094,ABSEN!$B$2:$B$4094,$B92,ABSEN!$L$2:$L$4094,F92)</f>
        <v>0</v>
      </c>
      <c r="P92" s="75">
        <f>SUMIFS(ABSEN!$T$2:$T$4094,ABSEN!$B$2:$B$4094,$B92,ABSEN!$L$2:$L$4094,F92)</f>
        <v>0</v>
      </c>
      <c r="Q92" s="75">
        <f>SUMIFS(ABSEN!$U$2:$U$4094,ABSEN!$B$2:$B$4094,$B92,ABSEN!$L$2:$L$4094,F92)</f>
        <v>19</v>
      </c>
      <c r="R92" s="75">
        <f>COUNTIFS(AKTIVITAS!$B$2:$B$3052,$B92,AKTIVITAS!$G$2:$G$3052,F92)</f>
        <v>62</v>
      </c>
      <c r="S92" s="75" t="str">
        <f>PEMAGANG!F25</f>
        <v>PGS FINANCIAL ANALYSIS OFFICER</v>
      </c>
      <c r="T92" s="75">
        <f>SUMIFS(AKTIVITAS!$H$2:$H$3052,AKTIVITAS!$B$2:$B$3052,$B92,AKTIVITAS!$G$2:$G$3052,F92)</f>
        <v>4371</v>
      </c>
    </row>
    <row r="93" spans="1:20" x14ac:dyDescent="0.2">
      <c r="A93" s="82" t="str">
        <f>PEMAGANG!B25</f>
        <v>MG/KH/3125</v>
      </c>
      <c r="B93" s="82" t="str">
        <f>PEMAGANG!C25</f>
        <v>KHOFIFATUNNABILAH</v>
      </c>
      <c r="C93" s="82" t="str">
        <f>PEMAGANG!D25</f>
        <v>M. RIZAD FAHRURI</v>
      </c>
      <c r="D93" s="82" t="str">
        <f>PEMAGANG!E25</f>
        <v>Kontrak Project</v>
      </c>
      <c r="E93" s="75" t="str">
        <f t="shared" si="2"/>
        <v>September</v>
      </c>
      <c r="F93" s="75">
        <f>MONTH(DATE(YEAR(SUMMARY!$C$6),MONTH(SUMMARY!$C$6)+3,1))</f>
        <v>9</v>
      </c>
      <c r="G93" s="83">
        <f>PEMAGANG!J25</f>
        <v>46174</v>
      </c>
      <c r="H93" s="83">
        <f>PEMAGANG!K25</f>
        <v>46295</v>
      </c>
      <c r="I93" s="75">
        <f>COUNTIFS(KALENDER!$D$3:$D$132,"Hari Kerja",KALENDER!$C$3:$C$132,F93,KALENDER!$A$3:$A$132,"&gt;="&amp;G93,KALENDER!$A$3:$A$132,"&lt;="&amp;H93)</f>
        <v>22</v>
      </c>
      <c r="J93" s="75">
        <f>COUNTIFS(KALENDER!$D$3:$D$132,"WFH",KALENDER!$C$3:$C$132,F93,KALENDER!$A$3:$A$132,"&gt;="&amp;G93,KALENDER!$A$3:$A$132,"&lt;="&amp;H93)</f>
        <v>0</v>
      </c>
      <c r="K93" s="75">
        <f>SUMIFS(ABSEN!$P$2:$P$4094,ABSEN!$B$2:$B$4094,$B93,ABSEN!$L$2:$L$4094,F93)</f>
        <v>22</v>
      </c>
      <c r="L93" s="75">
        <f>SUMIFS(ABSEN!$Q$2:$Q$4094,ABSEN!$B$2:$B$4094,$B93,ABSEN!$L$2:$L$4094,F93)</f>
        <v>0</v>
      </c>
      <c r="M93" s="75">
        <f>SUMIFS(ABSEN!$W$2:$W$4094,ABSEN!$B$2:$B$4094,$B93,ABSEN!$L$2:$L$4094,F93)</f>
        <v>22</v>
      </c>
      <c r="N93" s="75">
        <f>SUMIFS(ABSEN!$R$2:$R$4094,ABSEN!$B$2:$B$4094,$B93,ABSEN!$L$2:$L$4094,F93)</f>
        <v>0</v>
      </c>
      <c r="O93" s="75">
        <f>SUMIFS(ABSEN!$S$2:$S$4094,ABSEN!$B$2:$B$4094,$B93,ABSEN!$L$2:$L$4094,F93)</f>
        <v>0</v>
      </c>
      <c r="P93" s="75">
        <f>SUMIFS(ABSEN!$T$2:$T$4094,ABSEN!$B$2:$B$4094,$B93,ABSEN!$L$2:$L$4094,F93)</f>
        <v>2</v>
      </c>
      <c r="Q93" s="75">
        <f>SUMIFS(ABSEN!$U$2:$U$4094,ABSEN!$B$2:$B$4094,$B93,ABSEN!$L$2:$L$4094,F93)</f>
        <v>22</v>
      </c>
      <c r="R93" s="75">
        <f>COUNTIFS(AKTIVITAS!$B$2:$B$3052,$B93,AKTIVITAS!$G$2:$G$3052,F93)</f>
        <v>71</v>
      </c>
      <c r="S93" s="75" t="str">
        <f>PEMAGANG!F25</f>
        <v>PGS FINANCIAL ANALYSIS OFFICER</v>
      </c>
      <c r="T93" s="75">
        <f>SUMIFS(AKTIVITAS!$H$2:$H$3052,AKTIVITAS!$B$2:$B$3052,$B93,AKTIVITAS!$G$2:$G$3052,F93)</f>
        <v>4696</v>
      </c>
    </row>
    <row r="94" spans="1:20" x14ac:dyDescent="0.2">
      <c r="A94" s="82" t="str">
        <f>PEMAGANG!B26</f>
        <v>MG/KH/3925</v>
      </c>
      <c r="B94" s="82" t="str">
        <f>PEMAGANG!C26</f>
        <v>ANGGUN NUR TSANIA AGUSTIN</v>
      </c>
      <c r="C94" s="82" t="str">
        <f>PEMAGANG!D26</f>
        <v>MOH. AGUS EFENDI</v>
      </c>
      <c r="D94" s="82" t="str">
        <f>PEMAGANG!E26</f>
        <v>Kontrak Project</v>
      </c>
      <c r="E94" s="75" t="str">
        <f t="shared" si="2"/>
        <v>Juni</v>
      </c>
      <c r="F94" s="75">
        <f>MONTH(DATE(YEAR(SUMMARY!$C$6),MONTH(SUMMARY!$C$6)+0,1))</f>
        <v>6</v>
      </c>
      <c r="G94" s="83">
        <f>PEMAGANG!J26</f>
        <v>46174</v>
      </c>
      <c r="H94" s="83">
        <f>PEMAGANG!K26</f>
        <v>46295</v>
      </c>
      <c r="I94" s="75">
        <f>COUNTIFS(KALENDER!$D$3:$D$132,"Hari Kerja",KALENDER!$C$3:$C$132,F94,KALENDER!$A$3:$A$132,"&gt;="&amp;G94,KALENDER!$A$3:$A$132,"&lt;="&amp;H94)</f>
        <v>16</v>
      </c>
      <c r="J94" s="75">
        <f>COUNTIFS(KALENDER!$D$3:$D$132,"WFH",KALENDER!$C$3:$C$132,F94,KALENDER!$A$3:$A$132,"&gt;="&amp;G94,KALENDER!$A$3:$A$132,"&lt;="&amp;H94)</f>
        <v>4</v>
      </c>
      <c r="K94" s="75">
        <f>SUMIFS(ABSEN!$P$2:$P$4094,ABSEN!$B$2:$B$4094,$B94,ABSEN!$L$2:$L$4094,F94)</f>
        <v>16</v>
      </c>
      <c r="L94" s="75">
        <f>SUMIFS(ABSEN!$Q$2:$Q$4094,ABSEN!$B$2:$B$4094,$B94,ABSEN!$L$2:$L$4094,F94)</f>
        <v>4</v>
      </c>
      <c r="M94" s="75">
        <f>SUMIFS(ABSEN!$W$2:$W$4094,ABSEN!$B$2:$B$4094,$B94,ABSEN!$L$2:$L$4094,F94)</f>
        <v>20</v>
      </c>
      <c r="N94" s="75">
        <f>SUMIFS(ABSEN!$R$2:$R$4094,ABSEN!$B$2:$B$4094,$B94,ABSEN!$L$2:$L$4094,F94)</f>
        <v>0</v>
      </c>
      <c r="O94" s="75">
        <f>SUMIFS(ABSEN!$S$2:$S$4094,ABSEN!$B$2:$B$4094,$B94,ABSEN!$L$2:$L$4094,F94)</f>
        <v>0</v>
      </c>
      <c r="P94" s="75">
        <f>SUMIFS(ABSEN!$T$2:$T$4094,ABSEN!$B$2:$B$4094,$B94,ABSEN!$L$2:$L$4094,F94)</f>
        <v>1</v>
      </c>
      <c r="Q94" s="75">
        <f>SUMIFS(ABSEN!$U$2:$U$4094,ABSEN!$B$2:$B$4094,$B94,ABSEN!$L$2:$L$4094,F94)</f>
        <v>19</v>
      </c>
      <c r="R94" s="75">
        <f>COUNTIFS(AKTIVITAS!$B$2:$B$3052,$B94,AKTIVITAS!$G$2:$G$3052,F94)</f>
        <v>52</v>
      </c>
      <c r="S94" s="75" t="str">
        <f>PEMAGANG!F26</f>
        <v>MANAGER OF TRANSPORTATION</v>
      </c>
      <c r="T94" s="75">
        <f>SUMIFS(AKTIVITAS!$H$2:$H$3052,AKTIVITAS!$B$2:$B$3052,$B94,AKTIVITAS!$G$2:$G$3052,F94)</f>
        <v>2526</v>
      </c>
    </row>
    <row r="95" spans="1:20" x14ac:dyDescent="0.2">
      <c r="A95" s="82" t="str">
        <f>PEMAGANG!B26</f>
        <v>MG/KH/3925</v>
      </c>
      <c r="B95" s="82" t="str">
        <f>PEMAGANG!C26</f>
        <v>ANGGUN NUR TSANIA AGUSTIN</v>
      </c>
      <c r="C95" s="82" t="str">
        <f>PEMAGANG!D26</f>
        <v>MOH. AGUS EFENDI</v>
      </c>
      <c r="D95" s="82" t="str">
        <f>PEMAGANG!E26</f>
        <v>Kontrak Project</v>
      </c>
      <c r="E95" s="75" t="str">
        <f t="shared" si="2"/>
        <v>Juli</v>
      </c>
      <c r="F95" s="75">
        <f>MONTH(DATE(YEAR(SUMMARY!$C$6),MONTH(SUMMARY!$C$6)+1,1))</f>
        <v>7</v>
      </c>
      <c r="G95" s="83">
        <f>PEMAGANG!J26</f>
        <v>46174</v>
      </c>
      <c r="H95" s="83">
        <f>PEMAGANG!K26</f>
        <v>46295</v>
      </c>
      <c r="I95" s="75">
        <f>COUNTIFS(KALENDER!$D$3:$D$132,"Hari Kerja",KALENDER!$C$3:$C$132,F95,KALENDER!$A$3:$A$132,"&gt;="&amp;G95,KALENDER!$A$3:$A$132,"&lt;="&amp;H95)</f>
        <v>18</v>
      </c>
      <c r="J95" s="75">
        <f>COUNTIFS(KALENDER!$D$3:$D$132,"WFH",KALENDER!$C$3:$C$132,F95,KALENDER!$A$3:$A$132,"&gt;="&amp;G95,KALENDER!$A$3:$A$132,"&lt;="&amp;H95)</f>
        <v>5</v>
      </c>
      <c r="K95" s="75">
        <f>SUMIFS(ABSEN!$P$2:$P$4094,ABSEN!$B$2:$B$4094,$B95,ABSEN!$L$2:$L$4094,F95)</f>
        <v>16</v>
      </c>
      <c r="L95" s="75">
        <f>SUMIFS(ABSEN!$Q$2:$Q$4094,ABSEN!$B$2:$B$4094,$B95,ABSEN!$L$2:$L$4094,F95)</f>
        <v>4</v>
      </c>
      <c r="M95" s="75">
        <f>SUMIFS(ABSEN!$W$2:$W$4094,ABSEN!$B$2:$B$4094,$B95,ABSEN!$L$2:$L$4094,F95)</f>
        <v>20</v>
      </c>
      <c r="N95" s="75">
        <f>SUMIFS(ABSEN!$R$2:$R$4094,ABSEN!$B$2:$B$4094,$B95,ABSEN!$L$2:$L$4094,F95)</f>
        <v>0</v>
      </c>
      <c r="O95" s="75">
        <f>SUMIFS(ABSEN!$S$2:$S$4094,ABSEN!$B$2:$B$4094,$B95,ABSEN!$L$2:$L$4094,F95)</f>
        <v>0</v>
      </c>
      <c r="P95" s="75">
        <f>SUMIFS(ABSEN!$T$2:$T$4094,ABSEN!$B$2:$B$4094,$B95,ABSEN!$L$2:$L$4094,F95)</f>
        <v>0</v>
      </c>
      <c r="Q95" s="75">
        <f>SUMIFS(ABSEN!$U$2:$U$4094,ABSEN!$B$2:$B$4094,$B95,ABSEN!$L$2:$L$4094,F95)</f>
        <v>20</v>
      </c>
      <c r="R95" s="75">
        <f>COUNTIFS(AKTIVITAS!$B$2:$B$3052,$B95,AKTIVITAS!$G$2:$G$3052,F95)</f>
        <v>53</v>
      </c>
      <c r="S95" s="75" t="str">
        <f>PEMAGANG!F26</f>
        <v>MANAGER OF TRANSPORTATION</v>
      </c>
      <c r="T95" s="75">
        <f>SUMIFS(AKTIVITAS!$H$2:$H$3052,AKTIVITAS!$B$2:$B$3052,$B95,AKTIVITAS!$G$2:$G$3052,F95)</f>
        <v>2394</v>
      </c>
    </row>
    <row r="96" spans="1:20" x14ac:dyDescent="0.2">
      <c r="A96" s="82" t="str">
        <f>PEMAGANG!B26</f>
        <v>MG/KH/3925</v>
      </c>
      <c r="B96" s="82" t="str">
        <f>PEMAGANG!C26</f>
        <v>ANGGUN NUR TSANIA AGUSTIN</v>
      </c>
      <c r="C96" s="82" t="str">
        <f>PEMAGANG!D26</f>
        <v>MOH. AGUS EFENDI</v>
      </c>
      <c r="D96" s="82" t="str">
        <f>PEMAGANG!E26</f>
        <v>Kontrak Project</v>
      </c>
      <c r="E96" s="75" t="str">
        <f t="shared" si="2"/>
        <v>Agustus</v>
      </c>
      <c r="F96" s="75">
        <f>MONTH(DATE(YEAR(SUMMARY!$C$6),MONTH(SUMMARY!$C$6)+2,1))</f>
        <v>8</v>
      </c>
      <c r="G96" s="83">
        <f>PEMAGANG!J26</f>
        <v>46174</v>
      </c>
      <c r="H96" s="83">
        <f>PEMAGANG!K26</f>
        <v>46295</v>
      </c>
      <c r="I96" s="75">
        <f>COUNTIFS(KALENDER!$D$3:$D$132,"Hari Kerja",KALENDER!$C$3:$C$132,F96,KALENDER!$A$3:$A$132,"&gt;="&amp;G96,KALENDER!$A$3:$A$132,"&lt;="&amp;H96)</f>
        <v>19</v>
      </c>
      <c r="J96" s="75">
        <f>COUNTIFS(KALENDER!$D$3:$D$132,"WFH",KALENDER!$C$3:$C$132,F96,KALENDER!$A$3:$A$132,"&gt;="&amp;G96,KALENDER!$A$3:$A$132,"&lt;="&amp;H96)</f>
        <v>0</v>
      </c>
      <c r="K96" s="75">
        <f>SUMIFS(ABSEN!$P$2:$P$4094,ABSEN!$B$2:$B$4094,$B96,ABSEN!$L$2:$L$4094,F96)</f>
        <v>19</v>
      </c>
      <c r="L96" s="75">
        <f>SUMIFS(ABSEN!$Q$2:$Q$4094,ABSEN!$B$2:$B$4094,$B96,ABSEN!$L$2:$L$4094,F96)</f>
        <v>0</v>
      </c>
      <c r="M96" s="75">
        <f>SUMIFS(ABSEN!$W$2:$W$4094,ABSEN!$B$2:$B$4094,$B96,ABSEN!$L$2:$L$4094,F96)</f>
        <v>19</v>
      </c>
      <c r="N96" s="75">
        <f>SUMIFS(ABSEN!$R$2:$R$4094,ABSEN!$B$2:$B$4094,$B96,ABSEN!$L$2:$L$4094,F96)</f>
        <v>0</v>
      </c>
      <c r="O96" s="75">
        <f>SUMIFS(ABSEN!$S$2:$S$4094,ABSEN!$B$2:$B$4094,$B96,ABSEN!$L$2:$L$4094,F96)</f>
        <v>0</v>
      </c>
      <c r="P96" s="75">
        <f>SUMIFS(ABSEN!$T$2:$T$4094,ABSEN!$B$2:$B$4094,$B96,ABSEN!$L$2:$L$4094,F96)</f>
        <v>0</v>
      </c>
      <c r="Q96" s="75">
        <f>SUMIFS(ABSEN!$U$2:$U$4094,ABSEN!$B$2:$B$4094,$B96,ABSEN!$L$2:$L$4094,F96)</f>
        <v>19</v>
      </c>
      <c r="R96" s="75">
        <f>COUNTIFS(AKTIVITAS!$B$2:$B$3052,$B96,AKTIVITAS!$G$2:$G$3052,F96)</f>
        <v>54</v>
      </c>
      <c r="S96" s="75" t="str">
        <f>PEMAGANG!F26</f>
        <v>MANAGER OF TRANSPORTATION</v>
      </c>
      <c r="T96" s="75">
        <f>SUMIFS(AKTIVITAS!$H$2:$H$3052,AKTIVITAS!$B$2:$B$3052,$B96,AKTIVITAS!$G$2:$G$3052,F96)</f>
        <v>2379</v>
      </c>
    </row>
    <row r="97" spans="1:20" x14ac:dyDescent="0.2">
      <c r="A97" s="82" t="str">
        <f>PEMAGANG!B26</f>
        <v>MG/KH/3925</v>
      </c>
      <c r="B97" s="82" t="str">
        <f>PEMAGANG!C26</f>
        <v>ANGGUN NUR TSANIA AGUSTIN</v>
      </c>
      <c r="C97" s="82" t="str">
        <f>PEMAGANG!D26</f>
        <v>MOH. AGUS EFENDI</v>
      </c>
      <c r="D97" s="82" t="str">
        <f>PEMAGANG!E26</f>
        <v>Kontrak Project</v>
      </c>
      <c r="E97" s="75" t="str">
        <f t="shared" si="2"/>
        <v>September</v>
      </c>
      <c r="F97" s="75">
        <f>MONTH(DATE(YEAR(SUMMARY!$C$6),MONTH(SUMMARY!$C$6)+3,1))</f>
        <v>9</v>
      </c>
      <c r="G97" s="83">
        <f>PEMAGANG!J26</f>
        <v>46174</v>
      </c>
      <c r="H97" s="83">
        <f>PEMAGANG!K26</f>
        <v>46295</v>
      </c>
      <c r="I97" s="75">
        <f>COUNTIFS(KALENDER!$D$3:$D$132,"Hari Kerja",KALENDER!$C$3:$C$132,F97,KALENDER!$A$3:$A$132,"&gt;="&amp;G97,KALENDER!$A$3:$A$132,"&lt;="&amp;H97)</f>
        <v>22</v>
      </c>
      <c r="J97" s="75">
        <f>COUNTIFS(KALENDER!$D$3:$D$132,"WFH",KALENDER!$C$3:$C$132,F97,KALENDER!$A$3:$A$132,"&gt;="&amp;G97,KALENDER!$A$3:$A$132,"&lt;="&amp;H97)</f>
        <v>0</v>
      </c>
      <c r="K97" s="75">
        <f>SUMIFS(ABSEN!$P$2:$P$4094,ABSEN!$B$2:$B$4094,$B97,ABSEN!$L$2:$L$4094,F97)</f>
        <v>22</v>
      </c>
      <c r="L97" s="75">
        <f>SUMIFS(ABSEN!$Q$2:$Q$4094,ABSEN!$B$2:$B$4094,$B97,ABSEN!$L$2:$L$4094,F97)</f>
        <v>0</v>
      </c>
      <c r="M97" s="75">
        <f>SUMIFS(ABSEN!$W$2:$W$4094,ABSEN!$B$2:$B$4094,$B97,ABSEN!$L$2:$L$4094,F97)</f>
        <v>22</v>
      </c>
      <c r="N97" s="75">
        <f>SUMIFS(ABSEN!$R$2:$R$4094,ABSEN!$B$2:$B$4094,$B97,ABSEN!$L$2:$L$4094,F97)</f>
        <v>0</v>
      </c>
      <c r="O97" s="75">
        <f>SUMIFS(ABSEN!$S$2:$S$4094,ABSEN!$B$2:$B$4094,$B97,ABSEN!$L$2:$L$4094,F97)</f>
        <v>0</v>
      </c>
      <c r="P97" s="75">
        <f>SUMIFS(ABSEN!$T$2:$T$4094,ABSEN!$B$2:$B$4094,$B97,ABSEN!$L$2:$L$4094,F97)</f>
        <v>0</v>
      </c>
      <c r="Q97" s="75">
        <f>SUMIFS(ABSEN!$U$2:$U$4094,ABSEN!$B$2:$B$4094,$B97,ABSEN!$L$2:$L$4094,F97)</f>
        <v>22</v>
      </c>
      <c r="R97" s="75">
        <f>COUNTIFS(AKTIVITAS!$B$2:$B$3052,$B97,AKTIVITAS!$G$2:$G$3052,F97)</f>
        <v>58</v>
      </c>
      <c r="S97" s="75" t="str">
        <f>PEMAGANG!F26</f>
        <v>MANAGER OF TRANSPORTATION</v>
      </c>
      <c r="T97" s="75">
        <f>SUMIFS(AKTIVITAS!$H$2:$H$3052,AKTIVITAS!$B$2:$B$3052,$B97,AKTIVITAS!$G$2:$G$3052,F97)</f>
        <v>2268</v>
      </c>
    </row>
    <row r="98" spans="1:20" x14ac:dyDescent="0.2">
      <c r="A98" s="82" t="str">
        <f>PEMAGANG!B27</f>
        <v>MG4926</v>
      </c>
      <c r="B98" s="82" t="str">
        <f>PEMAGANG!C27</f>
        <v>MUHAMMAD FATCHUL ALAM</v>
      </c>
      <c r="C98" s="82" t="str">
        <f>PEMAGANG!D27</f>
        <v>MOH. AGUS EFENDI</v>
      </c>
      <c r="D98" s="82" t="str">
        <f>PEMAGANG!E27</f>
        <v>MANDIRI</v>
      </c>
      <c r="E98" s="75" t="str">
        <f t="shared" ref="E98:E129" si="3">CHOOSE(F98,"Januari","Februari","Maret","April","Mei","Juni","Juli","Agustus","September","Oktober","November","Desember")</f>
        <v>Juni</v>
      </c>
      <c r="F98" s="75">
        <f>MONTH(DATE(YEAR(SUMMARY!$C$6),MONTH(SUMMARY!$C$6)+0,1))</f>
        <v>6</v>
      </c>
      <c r="G98" s="83">
        <f>PEMAGANG!J27</f>
        <v>46204</v>
      </c>
      <c r="H98" s="83">
        <f>PEMAGANG!K27</f>
        <v>46295</v>
      </c>
      <c r="I98" s="75">
        <f>COUNTIFS(KALENDER!$D$3:$D$132,"Hari Kerja",KALENDER!$C$3:$C$132,F98,KALENDER!$A$3:$A$132,"&gt;="&amp;G98,KALENDER!$A$3:$A$132,"&lt;="&amp;H98)</f>
        <v>0</v>
      </c>
      <c r="J98" s="75">
        <f>COUNTIFS(KALENDER!$D$3:$D$132,"WFH",KALENDER!$C$3:$C$132,F98,KALENDER!$A$3:$A$132,"&gt;="&amp;G98,KALENDER!$A$3:$A$132,"&lt;="&amp;H98)</f>
        <v>0</v>
      </c>
      <c r="K98" s="75">
        <f>SUMIFS(ABSEN!$P$2:$P$4094,ABSEN!$B$2:$B$4094,$B98,ABSEN!$L$2:$L$4094,F98)</f>
        <v>0</v>
      </c>
      <c r="L98" s="75">
        <f>SUMIFS(ABSEN!$Q$2:$Q$4094,ABSEN!$B$2:$B$4094,$B98,ABSEN!$L$2:$L$4094,F98)</f>
        <v>0</v>
      </c>
      <c r="M98" s="75">
        <f>SUMIFS(ABSEN!$W$2:$W$4094,ABSEN!$B$2:$B$4094,$B98,ABSEN!$L$2:$L$4094,F98)</f>
        <v>0</v>
      </c>
      <c r="N98" s="75">
        <f>SUMIFS(ABSEN!$R$2:$R$4094,ABSEN!$B$2:$B$4094,$B98,ABSEN!$L$2:$L$4094,F98)</f>
        <v>0</v>
      </c>
      <c r="O98" s="75">
        <f>SUMIFS(ABSEN!$S$2:$S$4094,ABSEN!$B$2:$B$4094,$B98,ABSEN!$L$2:$L$4094,F98)</f>
        <v>0</v>
      </c>
      <c r="P98" s="75">
        <f>SUMIFS(ABSEN!$T$2:$T$4094,ABSEN!$B$2:$B$4094,$B98,ABSEN!$L$2:$L$4094,F98)</f>
        <v>0</v>
      </c>
      <c r="Q98" s="75">
        <f>SUMIFS(ABSEN!$U$2:$U$4094,ABSEN!$B$2:$B$4094,$B98,ABSEN!$L$2:$L$4094,F98)</f>
        <v>0</v>
      </c>
      <c r="R98" s="75">
        <f>COUNTIFS(AKTIVITAS!$B$2:$B$3052,$B98,AKTIVITAS!$G$2:$G$3052,F98)</f>
        <v>0</v>
      </c>
      <c r="S98" s="75" t="str">
        <f>PEMAGANG!F27</f>
        <v>MANAGER OF TRANSPORTATION</v>
      </c>
      <c r="T98" s="75">
        <f>SUMIFS(AKTIVITAS!$H$2:$H$3052,AKTIVITAS!$B$2:$B$3052,$B98,AKTIVITAS!$G$2:$G$3052,F98)</f>
        <v>0</v>
      </c>
    </row>
    <row r="99" spans="1:20" x14ac:dyDescent="0.2">
      <c r="A99" s="82" t="str">
        <f>PEMAGANG!B27</f>
        <v>MG4926</v>
      </c>
      <c r="B99" s="82" t="str">
        <f>PEMAGANG!C27</f>
        <v>MUHAMMAD FATCHUL ALAM</v>
      </c>
      <c r="C99" s="82" t="str">
        <f>PEMAGANG!D27</f>
        <v>MOH. AGUS EFENDI</v>
      </c>
      <c r="D99" s="82" t="str">
        <f>PEMAGANG!E27</f>
        <v>MANDIRI</v>
      </c>
      <c r="E99" s="75" t="str">
        <f t="shared" si="3"/>
        <v>Juli</v>
      </c>
      <c r="F99" s="75">
        <f>MONTH(DATE(YEAR(SUMMARY!$C$6),MONTH(SUMMARY!$C$6)+1,1))</f>
        <v>7</v>
      </c>
      <c r="G99" s="83">
        <f>PEMAGANG!J27</f>
        <v>46204</v>
      </c>
      <c r="H99" s="83">
        <f>PEMAGANG!K27</f>
        <v>46295</v>
      </c>
      <c r="I99" s="75">
        <f>COUNTIFS(KALENDER!$D$3:$D$132,"Hari Kerja",KALENDER!$C$3:$C$132,F99,KALENDER!$A$3:$A$132,"&gt;="&amp;G99,KALENDER!$A$3:$A$132,"&lt;="&amp;H99)</f>
        <v>18</v>
      </c>
      <c r="J99" s="75">
        <f>COUNTIFS(KALENDER!$D$3:$D$132,"WFH",KALENDER!$C$3:$C$132,F99,KALENDER!$A$3:$A$132,"&gt;="&amp;G99,KALENDER!$A$3:$A$132,"&lt;="&amp;H99)</f>
        <v>5</v>
      </c>
      <c r="K99" s="75">
        <f>SUMIFS(ABSEN!$P$2:$P$4094,ABSEN!$B$2:$B$4094,$B99,ABSEN!$L$2:$L$4094,F99)</f>
        <v>18</v>
      </c>
      <c r="L99" s="75">
        <f>SUMIFS(ABSEN!$Q$2:$Q$4094,ABSEN!$B$2:$B$4094,$B99,ABSEN!$L$2:$L$4094,F99)</f>
        <v>0</v>
      </c>
      <c r="M99" s="75">
        <f>SUMIFS(ABSEN!$W$2:$W$4094,ABSEN!$B$2:$B$4094,$B99,ABSEN!$L$2:$L$4094,F99)</f>
        <v>18</v>
      </c>
      <c r="N99" s="75">
        <f>SUMIFS(ABSEN!$R$2:$R$4094,ABSEN!$B$2:$B$4094,$B99,ABSEN!$L$2:$L$4094,F99)</f>
        <v>3</v>
      </c>
      <c r="O99" s="75">
        <f>SUMIFS(ABSEN!$S$2:$S$4094,ABSEN!$B$2:$B$4094,$B99,ABSEN!$L$2:$L$4094,F99)</f>
        <v>41.999999999999972</v>
      </c>
      <c r="P99" s="75">
        <f>SUMIFS(ABSEN!$T$2:$T$4094,ABSEN!$B$2:$B$4094,$B99,ABSEN!$L$2:$L$4094,F99)</f>
        <v>0</v>
      </c>
      <c r="Q99" s="75">
        <f>SUMIFS(ABSEN!$U$2:$U$4094,ABSEN!$B$2:$B$4094,$B99,ABSEN!$L$2:$L$4094,F99)</f>
        <v>18</v>
      </c>
      <c r="R99" s="75">
        <f>COUNTIFS(AKTIVITAS!$B$2:$B$3052,$B99,AKTIVITAS!$G$2:$G$3052,F99)</f>
        <v>26</v>
      </c>
      <c r="S99" s="75" t="str">
        <f>PEMAGANG!F27</f>
        <v>MANAGER OF TRANSPORTATION</v>
      </c>
      <c r="T99" s="75">
        <f>SUMIFS(AKTIVITAS!$H$2:$H$3052,AKTIVITAS!$B$2:$B$3052,$B99,AKTIVITAS!$G$2:$G$3052,F99)</f>
        <v>778</v>
      </c>
    </row>
    <row r="100" spans="1:20" x14ac:dyDescent="0.2">
      <c r="A100" s="82" t="str">
        <f>PEMAGANG!B27</f>
        <v>MG4926</v>
      </c>
      <c r="B100" s="82" t="str">
        <f>PEMAGANG!C27</f>
        <v>MUHAMMAD FATCHUL ALAM</v>
      </c>
      <c r="C100" s="82" t="str">
        <f>PEMAGANG!D27</f>
        <v>MOH. AGUS EFENDI</v>
      </c>
      <c r="D100" s="82" t="str">
        <f>PEMAGANG!E27</f>
        <v>MANDIRI</v>
      </c>
      <c r="E100" s="75" t="str">
        <f t="shared" si="3"/>
        <v>Agustus</v>
      </c>
      <c r="F100" s="75">
        <f>MONTH(DATE(YEAR(SUMMARY!$C$6),MONTH(SUMMARY!$C$6)+2,1))</f>
        <v>8</v>
      </c>
      <c r="G100" s="83">
        <f>PEMAGANG!J27</f>
        <v>46204</v>
      </c>
      <c r="H100" s="83">
        <f>PEMAGANG!K27</f>
        <v>46295</v>
      </c>
      <c r="I100" s="75">
        <f>COUNTIFS(KALENDER!$D$3:$D$132,"Hari Kerja",KALENDER!$C$3:$C$132,F100,KALENDER!$A$3:$A$132,"&gt;="&amp;G100,KALENDER!$A$3:$A$132,"&lt;="&amp;H100)</f>
        <v>19</v>
      </c>
      <c r="J100" s="75">
        <f>COUNTIFS(KALENDER!$D$3:$D$132,"WFH",KALENDER!$C$3:$C$132,F100,KALENDER!$A$3:$A$132,"&gt;="&amp;G100,KALENDER!$A$3:$A$132,"&lt;="&amp;H100)</f>
        <v>0</v>
      </c>
      <c r="K100" s="75">
        <f>SUMIFS(ABSEN!$P$2:$P$4094,ABSEN!$B$2:$B$4094,$B100,ABSEN!$L$2:$L$4094,F100)</f>
        <v>16</v>
      </c>
      <c r="L100" s="75">
        <f>SUMIFS(ABSEN!$Q$2:$Q$4094,ABSEN!$B$2:$B$4094,$B100,ABSEN!$L$2:$L$4094,F100)</f>
        <v>0</v>
      </c>
      <c r="M100" s="75">
        <f>SUMIFS(ABSEN!$W$2:$W$4094,ABSEN!$B$2:$B$4094,$B100,ABSEN!$L$2:$L$4094,F100)</f>
        <v>16</v>
      </c>
      <c r="N100" s="75">
        <f>SUMIFS(ABSEN!$R$2:$R$4094,ABSEN!$B$2:$B$4094,$B100,ABSEN!$L$2:$L$4094,F100)</f>
        <v>0</v>
      </c>
      <c r="O100" s="75">
        <f>SUMIFS(ABSEN!$S$2:$S$4094,ABSEN!$B$2:$B$4094,$B100,ABSEN!$L$2:$L$4094,F100)</f>
        <v>0</v>
      </c>
      <c r="P100" s="75">
        <f>SUMIFS(ABSEN!$T$2:$T$4094,ABSEN!$B$2:$B$4094,$B100,ABSEN!$L$2:$L$4094,F100)</f>
        <v>0</v>
      </c>
      <c r="Q100" s="75">
        <f>SUMIFS(ABSEN!$U$2:$U$4094,ABSEN!$B$2:$B$4094,$B100,ABSEN!$L$2:$L$4094,F100)</f>
        <v>16</v>
      </c>
      <c r="R100" s="75">
        <f>COUNTIFS(AKTIVITAS!$B$2:$B$3052,$B100,AKTIVITAS!$G$2:$G$3052,F100)</f>
        <v>27</v>
      </c>
      <c r="S100" s="75" t="str">
        <f>PEMAGANG!F27</f>
        <v>MANAGER OF TRANSPORTATION</v>
      </c>
      <c r="T100" s="75">
        <f>SUMIFS(AKTIVITAS!$H$2:$H$3052,AKTIVITAS!$B$2:$B$3052,$B100,AKTIVITAS!$G$2:$G$3052,F100)</f>
        <v>819</v>
      </c>
    </row>
    <row r="101" spans="1:20" x14ac:dyDescent="0.2">
      <c r="A101" s="82" t="str">
        <f>PEMAGANG!B27</f>
        <v>MG4926</v>
      </c>
      <c r="B101" s="82" t="str">
        <f>PEMAGANG!C27</f>
        <v>MUHAMMAD FATCHUL ALAM</v>
      </c>
      <c r="C101" s="82" t="str">
        <f>PEMAGANG!D27</f>
        <v>MOH. AGUS EFENDI</v>
      </c>
      <c r="D101" s="82" t="str">
        <f>PEMAGANG!E27</f>
        <v>MANDIRI</v>
      </c>
      <c r="E101" s="75" t="str">
        <f t="shared" si="3"/>
        <v>September</v>
      </c>
      <c r="F101" s="75">
        <f>MONTH(DATE(YEAR(SUMMARY!$C$6),MONTH(SUMMARY!$C$6)+3,1))</f>
        <v>9</v>
      </c>
      <c r="G101" s="83">
        <f>PEMAGANG!J27</f>
        <v>46204</v>
      </c>
      <c r="H101" s="83">
        <f>PEMAGANG!K27</f>
        <v>46295</v>
      </c>
      <c r="I101" s="75">
        <f>COUNTIFS(KALENDER!$D$3:$D$132,"Hari Kerja",KALENDER!$C$3:$C$132,F101,KALENDER!$A$3:$A$132,"&gt;="&amp;G101,KALENDER!$A$3:$A$132,"&lt;="&amp;H101)</f>
        <v>22</v>
      </c>
      <c r="J101" s="75">
        <f>COUNTIFS(KALENDER!$D$3:$D$132,"WFH",KALENDER!$C$3:$C$132,F101,KALENDER!$A$3:$A$132,"&gt;="&amp;G101,KALENDER!$A$3:$A$132,"&lt;="&amp;H101)</f>
        <v>0</v>
      </c>
      <c r="K101" s="75">
        <f>SUMIFS(ABSEN!$P$2:$P$4094,ABSEN!$B$2:$B$4094,$B101,ABSEN!$L$2:$L$4094,F101)</f>
        <v>21</v>
      </c>
      <c r="L101" s="75">
        <f>SUMIFS(ABSEN!$Q$2:$Q$4094,ABSEN!$B$2:$B$4094,$B101,ABSEN!$L$2:$L$4094,F101)</f>
        <v>0</v>
      </c>
      <c r="M101" s="75">
        <f>SUMIFS(ABSEN!$W$2:$W$4094,ABSEN!$B$2:$B$4094,$B101,ABSEN!$L$2:$L$4094,F101)</f>
        <v>21</v>
      </c>
      <c r="N101" s="75">
        <f>SUMIFS(ABSEN!$R$2:$R$4094,ABSEN!$B$2:$B$4094,$B101,ABSEN!$L$2:$L$4094,F101)</f>
        <v>0</v>
      </c>
      <c r="O101" s="75">
        <f>SUMIFS(ABSEN!$S$2:$S$4094,ABSEN!$B$2:$B$4094,$B101,ABSEN!$L$2:$L$4094,F101)</f>
        <v>0</v>
      </c>
      <c r="P101" s="75">
        <f>SUMIFS(ABSEN!$T$2:$T$4094,ABSEN!$B$2:$B$4094,$B101,ABSEN!$L$2:$L$4094,F101)</f>
        <v>2</v>
      </c>
      <c r="Q101" s="75">
        <f>SUMIFS(ABSEN!$U$2:$U$4094,ABSEN!$B$2:$B$4094,$B101,ABSEN!$L$2:$L$4094,F101)</f>
        <v>21</v>
      </c>
      <c r="R101" s="75">
        <f>COUNTIFS(AKTIVITAS!$B$2:$B$3052,$B101,AKTIVITAS!$G$2:$G$3052,F101)</f>
        <v>26</v>
      </c>
      <c r="S101" s="75" t="str">
        <f>PEMAGANG!F27</f>
        <v>MANAGER OF TRANSPORTATION</v>
      </c>
      <c r="T101" s="75">
        <f>SUMIFS(AKTIVITAS!$H$2:$H$3052,AKTIVITAS!$B$2:$B$3052,$B101,AKTIVITAS!$G$2:$G$3052,F101)</f>
        <v>771</v>
      </c>
    </row>
    <row r="102" spans="1:20" x14ac:dyDescent="0.2">
      <c r="A102" s="82" t="str">
        <f>PEMAGANG!B28</f>
        <v>MG4826</v>
      </c>
      <c r="B102" s="82" t="str">
        <f>PEMAGANG!C28</f>
        <v>ASA AGHNIA ZAHIDA</v>
      </c>
      <c r="C102" s="82" t="str">
        <f>PEMAGANG!D28</f>
        <v>MUHAMMAD SADULLAH</v>
      </c>
      <c r="D102" s="82" t="str">
        <f>PEMAGANG!E28</f>
        <v>MANDIRI</v>
      </c>
      <c r="E102" s="75" t="str">
        <f t="shared" si="3"/>
        <v>Juni</v>
      </c>
      <c r="F102" s="75">
        <f>MONTH(DATE(YEAR(SUMMARY!$C$6),MONTH(SUMMARY!$C$6)+0,1))</f>
        <v>6</v>
      </c>
      <c r="G102" s="83">
        <f>PEMAGANG!J28</f>
        <v>46195</v>
      </c>
      <c r="H102" s="83">
        <f>PEMAGANG!K28</f>
        <v>46256</v>
      </c>
      <c r="I102" s="75">
        <f>COUNTIFS(KALENDER!$D$3:$D$132,"Hari Kerja",KALENDER!$C$3:$C$132,F102,KALENDER!$A$3:$A$132,"&gt;="&amp;G102,KALENDER!$A$3:$A$132,"&lt;="&amp;H102)</f>
        <v>6</v>
      </c>
      <c r="J102" s="75">
        <f>COUNTIFS(KALENDER!$D$3:$D$132,"WFH",KALENDER!$C$3:$C$132,F102,KALENDER!$A$3:$A$132,"&gt;="&amp;G102,KALENDER!$A$3:$A$132,"&lt;="&amp;H102)</f>
        <v>1</v>
      </c>
      <c r="K102" s="75">
        <f>SUMIFS(ABSEN!$P$2:$P$4094,ABSEN!$B$2:$B$4094,$B102,ABSEN!$L$2:$L$4094,F102)</f>
        <v>6</v>
      </c>
      <c r="L102" s="75">
        <f>SUMIFS(ABSEN!$Q$2:$Q$4094,ABSEN!$B$2:$B$4094,$B102,ABSEN!$L$2:$L$4094,F102)</f>
        <v>1</v>
      </c>
      <c r="M102" s="75">
        <f>SUMIFS(ABSEN!$W$2:$W$4094,ABSEN!$B$2:$B$4094,$B102,ABSEN!$L$2:$L$4094,F102)</f>
        <v>7</v>
      </c>
      <c r="N102" s="75">
        <f>SUMIFS(ABSEN!$R$2:$R$4094,ABSEN!$B$2:$B$4094,$B102,ABSEN!$L$2:$L$4094,F102)</f>
        <v>1</v>
      </c>
      <c r="O102" s="75">
        <f>SUMIFS(ABSEN!$S$2:$S$4094,ABSEN!$B$2:$B$4094,$B102,ABSEN!$L$2:$L$4094,F102)</f>
        <v>0.999999999999996</v>
      </c>
      <c r="P102" s="75">
        <f>SUMIFS(ABSEN!$T$2:$T$4094,ABSEN!$B$2:$B$4094,$B102,ABSEN!$L$2:$L$4094,F102)</f>
        <v>1</v>
      </c>
      <c r="Q102" s="75">
        <f>SUMIFS(ABSEN!$U$2:$U$4094,ABSEN!$B$2:$B$4094,$B102,ABSEN!$L$2:$L$4094,F102)</f>
        <v>6</v>
      </c>
      <c r="R102" s="75">
        <f>COUNTIFS(AKTIVITAS!$B$2:$B$3052,$B102,AKTIVITAS!$G$2:$G$3052,F102)</f>
        <v>13</v>
      </c>
      <c r="S102" s="75" t="str">
        <f>PEMAGANG!F28</f>
        <v>SM OF LEGAL</v>
      </c>
      <c r="T102" s="75">
        <f>SUMIFS(AKTIVITAS!$H$2:$H$3052,AKTIVITAS!$B$2:$B$3052,$B102,AKTIVITAS!$G$2:$G$3052,F102)</f>
        <v>497</v>
      </c>
    </row>
    <row r="103" spans="1:20" x14ac:dyDescent="0.2">
      <c r="A103" s="82" t="str">
        <f>PEMAGANG!B28</f>
        <v>MG4826</v>
      </c>
      <c r="B103" s="82" t="str">
        <f>PEMAGANG!C28</f>
        <v>ASA AGHNIA ZAHIDA</v>
      </c>
      <c r="C103" s="82" t="str">
        <f>PEMAGANG!D28</f>
        <v>MUHAMMAD SADULLAH</v>
      </c>
      <c r="D103" s="82" t="str">
        <f>PEMAGANG!E28</f>
        <v>MANDIRI</v>
      </c>
      <c r="E103" s="75" t="str">
        <f t="shared" si="3"/>
        <v>Juli</v>
      </c>
      <c r="F103" s="75">
        <f>MONTH(DATE(YEAR(SUMMARY!$C$6),MONTH(SUMMARY!$C$6)+1,1))</f>
        <v>7</v>
      </c>
      <c r="G103" s="83">
        <f>PEMAGANG!J28</f>
        <v>46195</v>
      </c>
      <c r="H103" s="83">
        <f>PEMAGANG!K28</f>
        <v>46256</v>
      </c>
      <c r="I103" s="75">
        <f>COUNTIFS(KALENDER!$D$3:$D$132,"Hari Kerja",KALENDER!$C$3:$C$132,F103,KALENDER!$A$3:$A$132,"&gt;="&amp;G103,KALENDER!$A$3:$A$132,"&lt;="&amp;H103)</f>
        <v>18</v>
      </c>
      <c r="J103" s="75">
        <f>COUNTIFS(KALENDER!$D$3:$D$132,"WFH",KALENDER!$C$3:$C$132,F103,KALENDER!$A$3:$A$132,"&gt;="&amp;G103,KALENDER!$A$3:$A$132,"&lt;="&amp;H103)</f>
        <v>5</v>
      </c>
      <c r="K103" s="75">
        <f>SUMIFS(ABSEN!$P$2:$P$4094,ABSEN!$B$2:$B$4094,$B103,ABSEN!$L$2:$L$4094,F103)</f>
        <v>18</v>
      </c>
      <c r="L103" s="75">
        <f>SUMIFS(ABSEN!$Q$2:$Q$4094,ABSEN!$B$2:$B$4094,$B103,ABSEN!$L$2:$L$4094,F103)</f>
        <v>3</v>
      </c>
      <c r="M103" s="75">
        <f>SUMIFS(ABSEN!$W$2:$W$4094,ABSEN!$B$2:$B$4094,$B103,ABSEN!$L$2:$L$4094,F103)</f>
        <v>21</v>
      </c>
      <c r="N103" s="75">
        <f>SUMIFS(ABSEN!$R$2:$R$4094,ABSEN!$B$2:$B$4094,$B103,ABSEN!$L$2:$L$4094,F103)</f>
        <v>5</v>
      </c>
      <c r="O103" s="75">
        <f>SUMIFS(ABSEN!$S$2:$S$4094,ABSEN!$B$2:$B$4094,$B103,ABSEN!$L$2:$L$4094,F103)</f>
        <v>18.999999999999932</v>
      </c>
      <c r="P103" s="75">
        <f>SUMIFS(ABSEN!$T$2:$T$4094,ABSEN!$B$2:$B$4094,$B103,ABSEN!$L$2:$L$4094,F103)</f>
        <v>1</v>
      </c>
      <c r="Q103" s="75">
        <f>SUMIFS(ABSEN!$U$2:$U$4094,ABSEN!$B$2:$B$4094,$B103,ABSEN!$L$2:$L$4094,F103)</f>
        <v>20</v>
      </c>
      <c r="R103" s="75">
        <f>COUNTIFS(AKTIVITAS!$B$2:$B$3052,$B103,AKTIVITAS!$G$2:$G$3052,F103)</f>
        <v>25</v>
      </c>
      <c r="S103" s="75" t="str">
        <f>PEMAGANG!F28</f>
        <v>SM OF LEGAL</v>
      </c>
      <c r="T103" s="75">
        <f>SUMIFS(AKTIVITAS!$H$2:$H$3052,AKTIVITAS!$B$2:$B$3052,$B103,AKTIVITAS!$G$2:$G$3052,F103)</f>
        <v>912</v>
      </c>
    </row>
    <row r="104" spans="1:20" x14ac:dyDescent="0.2">
      <c r="A104" s="82" t="str">
        <f>PEMAGANG!B28</f>
        <v>MG4826</v>
      </c>
      <c r="B104" s="82" t="str">
        <f>PEMAGANG!C28</f>
        <v>ASA AGHNIA ZAHIDA</v>
      </c>
      <c r="C104" s="82" t="str">
        <f>PEMAGANG!D28</f>
        <v>MUHAMMAD SADULLAH</v>
      </c>
      <c r="D104" s="82" t="str">
        <f>PEMAGANG!E28</f>
        <v>MANDIRI</v>
      </c>
      <c r="E104" s="75" t="str">
        <f t="shared" si="3"/>
        <v>Agustus</v>
      </c>
      <c r="F104" s="75">
        <f>MONTH(DATE(YEAR(SUMMARY!$C$6),MONTH(SUMMARY!$C$6)+2,1))</f>
        <v>8</v>
      </c>
      <c r="G104" s="83">
        <f>PEMAGANG!J28</f>
        <v>46195</v>
      </c>
      <c r="H104" s="83">
        <f>PEMAGANG!K28</f>
        <v>46256</v>
      </c>
      <c r="I104" s="75">
        <f>COUNTIFS(KALENDER!$D$3:$D$132,"Hari Kerja",KALENDER!$C$3:$C$132,F104,KALENDER!$A$3:$A$132,"&gt;="&amp;G104,KALENDER!$A$3:$A$132,"&lt;="&amp;H104)</f>
        <v>14</v>
      </c>
      <c r="J104" s="75">
        <f>COUNTIFS(KALENDER!$D$3:$D$132,"WFH",KALENDER!$C$3:$C$132,F104,KALENDER!$A$3:$A$132,"&gt;="&amp;G104,KALENDER!$A$3:$A$132,"&lt;="&amp;H104)</f>
        <v>0</v>
      </c>
      <c r="K104" s="75">
        <f>SUMIFS(ABSEN!$P$2:$P$4094,ABSEN!$B$2:$B$4094,$B104,ABSEN!$L$2:$L$4094,F104)</f>
        <v>14</v>
      </c>
      <c r="L104" s="75">
        <f>SUMIFS(ABSEN!$Q$2:$Q$4094,ABSEN!$B$2:$B$4094,$B104,ABSEN!$L$2:$L$4094,F104)</f>
        <v>0</v>
      </c>
      <c r="M104" s="75">
        <f>SUMIFS(ABSEN!$W$2:$W$4094,ABSEN!$B$2:$B$4094,$B104,ABSEN!$L$2:$L$4094,F104)</f>
        <v>14</v>
      </c>
      <c r="N104" s="75">
        <f>SUMIFS(ABSEN!$R$2:$R$4094,ABSEN!$B$2:$B$4094,$B104,ABSEN!$L$2:$L$4094,F104)</f>
        <v>1</v>
      </c>
      <c r="O104" s="75">
        <f>SUMIFS(ABSEN!$S$2:$S$4094,ABSEN!$B$2:$B$4094,$B104,ABSEN!$L$2:$L$4094,F104)</f>
        <v>0.999999999999996</v>
      </c>
      <c r="P104" s="75">
        <f>SUMIFS(ABSEN!$T$2:$T$4094,ABSEN!$B$2:$B$4094,$B104,ABSEN!$L$2:$L$4094,F104)</f>
        <v>0</v>
      </c>
      <c r="Q104" s="75">
        <f>SUMIFS(ABSEN!$U$2:$U$4094,ABSEN!$B$2:$B$4094,$B104,ABSEN!$L$2:$L$4094,F104)</f>
        <v>14</v>
      </c>
      <c r="R104" s="75">
        <f>COUNTIFS(AKTIVITAS!$B$2:$B$3052,$B104,AKTIVITAS!$G$2:$G$3052,F104)</f>
        <v>16</v>
      </c>
      <c r="S104" s="75" t="str">
        <f>PEMAGANG!F28</f>
        <v>SM OF LEGAL</v>
      </c>
      <c r="T104" s="75">
        <f>SUMIFS(AKTIVITAS!$H$2:$H$3052,AKTIVITAS!$B$2:$B$3052,$B104,AKTIVITAS!$G$2:$G$3052,F104)</f>
        <v>758</v>
      </c>
    </row>
    <row r="105" spans="1:20" x14ac:dyDescent="0.2">
      <c r="A105" s="82" t="str">
        <f>PEMAGANG!B28</f>
        <v>MG4826</v>
      </c>
      <c r="B105" s="82" t="str">
        <f>PEMAGANG!C28</f>
        <v>ASA AGHNIA ZAHIDA</v>
      </c>
      <c r="C105" s="82" t="str">
        <f>PEMAGANG!D28</f>
        <v>MUHAMMAD SADULLAH</v>
      </c>
      <c r="D105" s="82" t="str">
        <f>PEMAGANG!E28</f>
        <v>MANDIRI</v>
      </c>
      <c r="E105" s="75" t="str">
        <f t="shared" si="3"/>
        <v>September</v>
      </c>
      <c r="F105" s="75">
        <f>MONTH(DATE(YEAR(SUMMARY!$C$6),MONTH(SUMMARY!$C$6)+3,1))</f>
        <v>9</v>
      </c>
      <c r="G105" s="83">
        <f>PEMAGANG!J28</f>
        <v>46195</v>
      </c>
      <c r="H105" s="83">
        <f>PEMAGANG!K28</f>
        <v>46256</v>
      </c>
      <c r="I105" s="75">
        <f>COUNTIFS(KALENDER!$D$3:$D$132,"Hari Kerja",KALENDER!$C$3:$C$132,F105,KALENDER!$A$3:$A$132,"&gt;="&amp;G105,KALENDER!$A$3:$A$132,"&lt;="&amp;H105)</f>
        <v>0</v>
      </c>
      <c r="J105" s="75">
        <f>COUNTIFS(KALENDER!$D$3:$D$132,"WFH",KALENDER!$C$3:$C$132,F105,KALENDER!$A$3:$A$132,"&gt;="&amp;G105,KALENDER!$A$3:$A$132,"&lt;="&amp;H105)</f>
        <v>0</v>
      </c>
      <c r="K105" s="75">
        <f>SUMIFS(ABSEN!$P$2:$P$4094,ABSEN!$B$2:$B$4094,$B105,ABSEN!$L$2:$L$4094,F105)</f>
        <v>0</v>
      </c>
      <c r="L105" s="75">
        <f>SUMIFS(ABSEN!$Q$2:$Q$4094,ABSEN!$B$2:$B$4094,$B105,ABSEN!$L$2:$L$4094,F105)</f>
        <v>0</v>
      </c>
      <c r="M105" s="75">
        <f>SUMIFS(ABSEN!$W$2:$W$4094,ABSEN!$B$2:$B$4094,$B105,ABSEN!$L$2:$L$4094,F105)</f>
        <v>0</v>
      </c>
      <c r="N105" s="75">
        <f>SUMIFS(ABSEN!$R$2:$R$4094,ABSEN!$B$2:$B$4094,$B105,ABSEN!$L$2:$L$4094,F105)</f>
        <v>0</v>
      </c>
      <c r="O105" s="75">
        <f>SUMIFS(ABSEN!$S$2:$S$4094,ABSEN!$B$2:$B$4094,$B105,ABSEN!$L$2:$L$4094,F105)</f>
        <v>0</v>
      </c>
      <c r="P105" s="75">
        <f>SUMIFS(ABSEN!$T$2:$T$4094,ABSEN!$B$2:$B$4094,$B105,ABSEN!$L$2:$L$4094,F105)</f>
        <v>0</v>
      </c>
      <c r="Q105" s="75">
        <f>SUMIFS(ABSEN!$U$2:$U$4094,ABSEN!$B$2:$B$4094,$B105,ABSEN!$L$2:$L$4094,F105)</f>
        <v>0</v>
      </c>
      <c r="R105" s="75">
        <f>COUNTIFS(AKTIVITAS!$B$2:$B$3052,$B105,AKTIVITAS!$G$2:$G$3052,F105)</f>
        <v>0</v>
      </c>
      <c r="S105" s="75" t="str">
        <f>PEMAGANG!F28</f>
        <v>SM OF LEGAL</v>
      </c>
      <c r="T105" s="75">
        <f>SUMIFS(AKTIVITAS!$H$2:$H$3052,AKTIVITAS!$B$2:$B$3052,$B105,AKTIVITAS!$G$2:$G$3052,F105)</f>
        <v>0</v>
      </c>
    </row>
    <row r="106" spans="1:20" x14ac:dyDescent="0.2">
      <c r="A106" s="82" t="str">
        <f>PEMAGANG!B29</f>
        <v>MG3025</v>
      </c>
      <c r="B106" s="82" t="str">
        <f>PEMAGANG!C29</f>
        <v>EVI WIDIYAH ASTUTIH</v>
      </c>
      <c r="C106" s="82" t="str">
        <f>PEMAGANG!D29</f>
        <v>SITI MUJAYANAH</v>
      </c>
      <c r="D106" s="82" t="str">
        <f>PEMAGANG!E29</f>
        <v>MANDIRI</v>
      </c>
      <c r="E106" s="75" t="str">
        <f t="shared" si="3"/>
        <v>Juni</v>
      </c>
      <c r="F106" s="75">
        <f>MONTH(DATE(YEAR(SUMMARY!$C$6),MONTH(SUMMARY!$C$6)+0,1))</f>
        <v>6</v>
      </c>
      <c r="G106" s="83">
        <f>PEMAGANG!J29</f>
        <v>46174</v>
      </c>
      <c r="H106" s="83">
        <f>PEMAGANG!K29</f>
        <v>46295</v>
      </c>
      <c r="I106" s="75">
        <f>COUNTIFS(KALENDER!$D$3:$D$132,"Hari Kerja",KALENDER!$C$3:$C$132,F106,KALENDER!$A$3:$A$132,"&gt;="&amp;G106,KALENDER!$A$3:$A$132,"&lt;="&amp;H106)</f>
        <v>16</v>
      </c>
      <c r="J106" s="75">
        <f>COUNTIFS(KALENDER!$D$3:$D$132,"WFH",KALENDER!$C$3:$C$132,F106,KALENDER!$A$3:$A$132,"&gt;="&amp;G106,KALENDER!$A$3:$A$132,"&lt;="&amp;H106)</f>
        <v>4</v>
      </c>
      <c r="K106" s="75">
        <f>SUMIFS(ABSEN!$P$2:$P$4094,ABSEN!$B$2:$B$4094,$B106,ABSEN!$L$2:$L$4094,F106)</f>
        <v>16</v>
      </c>
      <c r="L106" s="75">
        <f>SUMIFS(ABSEN!$Q$2:$Q$4094,ABSEN!$B$2:$B$4094,$B106,ABSEN!$L$2:$L$4094,F106)</f>
        <v>0</v>
      </c>
      <c r="M106" s="75">
        <f>SUMIFS(ABSEN!$W$2:$W$4094,ABSEN!$B$2:$B$4094,$B106,ABSEN!$L$2:$L$4094,F106)</f>
        <v>16</v>
      </c>
      <c r="N106" s="75">
        <f>SUMIFS(ABSEN!$R$2:$R$4094,ABSEN!$B$2:$B$4094,$B106,ABSEN!$L$2:$L$4094,F106)</f>
        <v>0</v>
      </c>
      <c r="O106" s="75">
        <f>SUMIFS(ABSEN!$S$2:$S$4094,ABSEN!$B$2:$B$4094,$B106,ABSEN!$L$2:$L$4094,F106)</f>
        <v>0</v>
      </c>
      <c r="P106" s="75">
        <f>SUMIFS(ABSEN!$T$2:$T$4094,ABSEN!$B$2:$B$4094,$B106,ABSEN!$L$2:$L$4094,F106)</f>
        <v>2</v>
      </c>
      <c r="Q106" s="75">
        <f>SUMIFS(ABSEN!$U$2:$U$4094,ABSEN!$B$2:$B$4094,$B106,ABSEN!$L$2:$L$4094,F106)</f>
        <v>14</v>
      </c>
      <c r="R106" s="75">
        <f>COUNTIFS(AKTIVITAS!$B$2:$B$3052,$B106,AKTIVITAS!$G$2:$G$3052,F106)</f>
        <v>14</v>
      </c>
      <c r="S106" s="75" t="str">
        <f>PEMAGANG!F29</f>
        <v>VERIFICATION (SID) JR. OFFICER</v>
      </c>
      <c r="T106" s="75">
        <f>SUMIFS(AKTIVITAS!$H$2:$H$3052,AKTIVITAS!$B$2:$B$3052,$B106,AKTIVITAS!$G$2:$G$3052,F106)</f>
        <v>2038</v>
      </c>
    </row>
    <row r="107" spans="1:20" x14ac:dyDescent="0.2">
      <c r="A107" s="82" t="str">
        <f>PEMAGANG!B29</f>
        <v>MG3025</v>
      </c>
      <c r="B107" s="82" t="str">
        <f>PEMAGANG!C29</f>
        <v>EVI WIDIYAH ASTUTIH</v>
      </c>
      <c r="C107" s="82" t="str">
        <f>PEMAGANG!D29</f>
        <v>SITI MUJAYANAH</v>
      </c>
      <c r="D107" s="82" t="str">
        <f>PEMAGANG!E29</f>
        <v>MANDIRI</v>
      </c>
      <c r="E107" s="75" t="str">
        <f t="shared" si="3"/>
        <v>Juli</v>
      </c>
      <c r="F107" s="75">
        <f>MONTH(DATE(YEAR(SUMMARY!$C$6),MONTH(SUMMARY!$C$6)+1,1))</f>
        <v>7</v>
      </c>
      <c r="G107" s="83">
        <f>PEMAGANG!J29</f>
        <v>46174</v>
      </c>
      <c r="H107" s="83">
        <f>PEMAGANG!K29</f>
        <v>46295</v>
      </c>
      <c r="I107" s="75">
        <f>COUNTIFS(KALENDER!$D$3:$D$132,"Hari Kerja",KALENDER!$C$3:$C$132,F107,KALENDER!$A$3:$A$132,"&gt;="&amp;G107,KALENDER!$A$3:$A$132,"&lt;="&amp;H107)</f>
        <v>18</v>
      </c>
      <c r="J107" s="75">
        <f>COUNTIFS(KALENDER!$D$3:$D$132,"WFH",KALENDER!$C$3:$C$132,F107,KALENDER!$A$3:$A$132,"&gt;="&amp;G107,KALENDER!$A$3:$A$132,"&lt;="&amp;H107)</f>
        <v>5</v>
      </c>
      <c r="K107" s="75">
        <f>SUMIFS(ABSEN!$P$2:$P$4094,ABSEN!$B$2:$B$4094,$B107,ABSEN!$L$2:$L$4094,F107)</f>
        <v>18</v>
      </c>
      <c r="L107" s="75">
        <f>SUMIFS(ABSEN!$Q$2:$Q$4094,ABSEN!$B$2:$B$4094,$B107,ABSEN!$L$2:$L$4094,F107)</f>
        <v>4</v>
      </c>
      <c r="M107" s="75">
        <f>SUMIFS(ABSEN!$W$2:$W$4094,ABSEN!$B$2:$B$4094,$B107,ABSEN!$L$2:$L$4094,F107)</f>
        <v>22</v>
      </c>
      <c r="N107" s="75">
        <f>SUMIFS(ABSEN!$R$2:$R$4094,ABSEN!$B$2:$B$4094,$B107,ABSEN!$L$2:$L$4094,F107)</f>
        <v>1</v>
      </c>
      <c r="O107" s="75">
        <f>SUMIFS(ABSEN!$S$2:$S$4094,ABSEN!$B$2:$B$4094,$B107,ABSEN!$L$2:$L$4094,F107)</f>
        <v>10</v>
      </c>
      <c r="P107" s="75">
        <f>SUMIFS(ABSEN!$T$2:$T$4094,ABSEN!$B$2:$B$4094,$B107,ABSEN!$L$2:$L$4094,F107)</f>
        <v>2</v>
      </c>
      <c r="Q107" s="75">
        <f>SUMIFS(ABSEN!$U$2:$U$4094,ABSEN!$B$2:$B$4094,$B107,ABSEN!$L$2:$L$4094,F107)</f>
        <v>20</v>
      </c>
      <c r="R107" s="75">
        <f>COUNTIFS(AKTIVITAS!$B$2:$B$3052,$B107,AKTIVITAS!$G$2:$G$3052,F107)</f>
        <v>20</v>
      </c>
      <c r="S107" s="75" t="str">
        <f>PEMAGANG!F29</f>
        <v>VERIFICATION (SID) JR. OFFICER</v>
      </c>
      <c r="T107" s="75">
        <f>SUMIFS(AKTIVITAS!$H$2:$H$3052,AKTIVITAS!$B$2:$B$3052,$B107,AKTIVITAS!$G$2:$G$3052,F107)</f>
        <v>2196</v>
      </c>
    </row>
    <row r="108" spans="1:20" x14ac:dyDescent="0.2">
      <c r="A108" s="82" t="str">
        <f>PEMAGANG!B29</f>
        <v>MG3025</v>
      </c>
      <c r="B108" s="82" t="str">
        <f>PEMAGANG!C29</f>
        <v>EVI WIDIYAH ASTUTIH</v>
      </c>
      <c r="C108" s="82" t="str">
        <f>PEMAGANG!D29</f>
        <v>SITI MUJAYANAH</v>
      </c>
      <c r="D108" s="82" t="str">
        <f>PEMAGANG!E29</f>
        <v>MANDIRI</v>
      </c>
      <c r="E108" s="75" t="str">
        <f t="shared" si="3"/>
        <v>Agustus</v>
      </c>
      <c r="F108" s="75">
        <f>MONTH(DATE(YEAR(SUMMARY!$C$6),MONTH(SUMMARY!$C$6)+2,1))</f>
        <v>8</v>
      </c>
      <c r="G108" s="83">
        <f>PEMAGANG!J29</f>
        <v>46174</v>
      </c>
      <c r="H108" s="83">
        <f>PEMAGANG!K29</f>
        <v>46295</v>
      </c>
      <c r="I108" s="75">
        <f>COUNTIFS(KALENDER!$D$3:$D$132,"Hari Kerja",KALENDER!$C$3:$C$132,F108,KALENDER!$A$3:$A$132,"&gt;="&amp;G108,KALENDER!$A$3:$A$132,"&lt;="&amp;H108)</f>
        <v>19</v>
      </c>
      <c r="J108" s="75">
        <f>COUNTIFS(KALENDER!$D$3:$D$132,"WFH",KALENDER!$C$3:$C$132,F108,KALENDER!$A$3:$A$132,"&gt;="&amp;G108,KALENDER!$A$3:$A$132,"&lt;="&amp;H108)</f>
        <v>0</v>
      </c>
      <c r="K108" s="75">
        <f>SUMIFS(ABSEN!$P$2:$P$4094,ABSEN!$B$2:$B$4094,$B108,ABSEN!$L$2:$L$4094,F108)</f>
        <v>19</v>
      </c>
      <c r="L108" s="75">
        <f>SUMIFS(ABSEN!$Q$2:$Q$4094,ABSEN!$B$2:$B$4094,$B108,ABSEN!$L$2:$L$4094,F108)</f>
        <v>0</v>
      </c>
      <c r="M108" s="75">
        <f>SUMIFS(ABSEN!$W$2:$W$4094,ABSEN!$B$2:$B$4094,$B108,ABSEN!$L$2:$L$4094,F108)</f>
        <v>19</v>
      </c>
      <c r="N108" s="75">
        <f>SUMIFS(ABSEN!$R$2:$R$4094,ABSEN!$B$2:$B$4094,$B108,ABSEN!$L$2:$L$4094,F108)</f>
        <v>0</v>
      </c>
      <c r="O108" s="75">
        <f>SUMIFS(ABSEN!$S$2:$S$4094,ABSEN!$B$2:$B$4094,$B108,ABSEN!$L$2:$L$4094,F108)</f>
        <v>0</v>
      </c>
      <c r="P108" s="75">
        <f>SUMIFS(ABSEN!$T$2:$T$4094,ABSEN!$B$2:$B$4094,$B108,ABSEN!$L$2:$L$4094,F108)</f>
        <v>0</v>
      </c>
      <c r="Q108" s="75">
        <f>SUMIFS(ABSEN!$U$2:$U$4094,ABSEN!$B$2:$B$4094,$B108,ABSEN!$L$2:$L$4094,F108)</f>
        <v>19</v>
      </c>
      <c r="R108" s="75">
        <f>COUNTIFS(AKTIVITAS!$B$2:$B$3052,$B108,AKTIVITAS!$G$2:$G$3052,F108)</f>
        <v>19</v>
      </c>
      <c r="S108" s="75" t="str">
        <f>PEMAGANG!F29</f>
        <v>VERIFICATION (SID) JR. OFFICER</v>
      </c>
      <c r="T108" s="75">
        <f>SUMIFS(AKTIVITAS!$H$2:$H$3052,AKTIVITAS!$B$2:$B$3052,$B108,AKTIVITAS!$G$2:$G$3052,F108)</f>
        <v>2156</v>
      </c>
    </row>
    <row r="109" spans="1:20" x14ac:dyDescent="0.2">
      <c r="A109" s="82" t="str">
        <f>PEMAGANG!B29</f>
        <v>MG3025</v>
      </c>
      <c r="B109" s="82" t="str">
        <f>PEMAGANG!C29</f>
        <v>EVI WIDIYAH ASTUTIH</v>
      </c>
      <c r="C109" s="82" t="str">
        <f>PEMAGANG!D29</f>
        <v>SITI MUJAYANAH</v>
      </c>
      <c r="D109" s="82" t="str">
        <f>PEMAGANG!E29</f>
        <v>MANDIRI</v>
      </c>
      <c r="E109" s="75" t="str">
        <f t="shared" si="3"/>
        <v>September</v>
      </c>
      <c r="F109" s="75">
        <f>MONTH(DATE(YEAR(SUMMARY!$C$6),MONTH(SUMMARY!$C$6)+3,1))</f>
        <v>9</v>
      </c>
      <c r="G109" s="83">
        <f>PEMAGANG!J29</f>
        <v>46174</v>
      </c>
      <c r="H109" s="83">
        <f>PEMAGANG!K29</f>
        <v>46295</v>
      </c>
      <c r="I109" s="75">
        <f>COUNTIFS(KALENDER!$D$3:$D$132,"Hari Kerja",KALENDER!$C$3:$C$132,F109,KALENDER!$A$3:$A$132,"&gt;="&amp;G109,KALENDER!$A$3:$A$132,"&lt;="&amp;H109)</f>
        <v>22</v>
      </c>
      <c r="J109" s="75">
        <f>COUNTIFS(KALENDER!$D$3:$D$132,"WFH",KALENDER!$C$3:$C$132,F109,KALENDER!$A$3:$A$132,"&gt;="&amp;G109,KALENDER!$A$3:$A$132,"&lt;="&amp;H109)</f>
        <v>0</v>
      </c>
      <c r="K109" s="75">
        <f>SUMIFS(ABSEN!$P$2:$P$4094,ABSEN!$B$2:$B$4094,$B109,ABSEN!$L$2:$L$4094,F109)</f>
        <v>18</v>
      </c>
      <c r="L109" s="75">
        <f>SUMIFS(ABSEN!$Q$2:$Q$4094,ABSEN!$B$2:$B$4094,$B109,ABSEN!$L$2:$L$4094,F109)</f>
        <v>0</v>
      </c>
      <c r="M109" s="75">
        <f>SUMIFS(ABSEN!$W$2:$W$4094,ABSEN!$B$2:$B$4094,$B109,ABSEN!$L$2:$L$4094,F109)</f>
        <v>18</v>
      </c>
      <c r="N109" s="75">
        <f>SUMIFS(ABSEN!$R$2:$R$4094,ABSEN!$B$2:$B$4094,$B109,ABSEN!$L$2:$L$4094,F109)</f>
        <v>0</v>
      </c>
      <c r="O109" s="75">
        <f>SUMIFS(ABSEN!$S$2:$S$4094,ABSEN!$B$2:$B$4094,$B109,ABSEN!$L$2:$L$4094,F109)</f>
        <v>0</v>
      </c>
      <c r="P109" s="75">
        <f>SUMIFS(ABSEN!$T$2:$T$4094,ABSEN!$B$2:$B$4094,$B109,ABSEN!$L$2:$L$4094,F109)</f>
        <v>1</v>
      </c>
      <c r="Q109" s="75">
        <f>SUMIFS(ABSEN!$U$2:$U$4094,ABSEN!$B$2:$B$4094,$B109,ABSEN!$L$2:$L$4094,F109)</f>
        <v>18</v>
      </c>
      <c r="R109" s="75">
        <f>COUNTIFS(AKTIVITAS!$B$2:$B$3052,$B109,AKTIVITAS!$G$2:$G$3052,F109)</f>
        <v>18</v>
      </c>
      <c r="S109" s="75" t="str">
        <f>PEMAGANG!F29</f>
        <v>VERIFICATION (SID) JR. OFFICER</v>
      </c>
      <c r="T109" s="75">
        <f>SUMIFS(AKTIVITAS!$H$2:$H$3052,AKTIVITAS!$B$2:$B$3052,$B109,AKTIVITAS!$G$2:$G$3052,F109)</f>
        <v>1626</v>
      </c>
    </row>
    <row r="110" spans="1:20" x14ac:dyDescent="0.2">
      <c r="A110" s="82" t="str">
        <f>PEMAGANG!B30</f>
        <v>MG28</v>
      </c>
      <c r="B110" s="82" t="str">
        <f>PEMAGANG!C30</f>
        <v>RIZAL AKBAR ARDIANSYAH</v>
      </c>
      <c r="C110" s="82" t="str">
        <f>PEMAGANG!D30</f>
        <v>SITI MUJAYANAH</v>
      </c>
      <c r="D110" s="82" t="str">
        <f>PEMAGANG!E30</f>
        <v>MANDIRI</v>
      </c>
      <c r="E110" s="75" t="str">
        <f t="shared" si="3"/>
        <v>Juni</v>
      </c>
      <c r="F110" s="75">
        <f>MONTH(DATE(YEAR(SUMMARY!$C$6),MONTH(SUMMARY!$C$6)+0,1))</f>
        <v>6</v>
      </c>
      <c r="G110" s="83">
        <f>PEMAGANG!J30</f>
        <v>46174</v>
      </c>
      <c r="H110" s="83">
        <f>PEMAGANG!K30</f>
        <v>46203</v>
      </c>
      <c r="I110" s="75">
        <f>COUNTIFS(KALENDER!$D$3:$D$132,"Hari Kerja",KALENDER!$C$3:$C$132,F110,KALENDER!$A$3:$A$132,"&gt;="&amp;G110,KALENDER!$A$3:$A$132,"&lt;="&amp;H110)</f>
        <v>16</v>
      </c>
      <c r="J110" s="75">
        <f>COUNTIFS(KALENDER!$D$3:$D$132,"WFH",KALENDER!$C$3:$C$132,F110,KALENDER!$A$3:$A$132,"&gt;="&amp;G110,KALENDER!$A$3:$A$132,"&lt;="&amp;H110)</f>
        <v>4</v>
      </c>
      <c r="K110" s="75">
        <f>SUMIFS(ABSEN!$P$2:$P$4094,ABSEN!$B$2:$B$4094,$B110,ABSEN!$L$2:$L$4094,F110)</f>
        <v>16</v>
      </c>
      <c r="L110" s="75">
        <f>SUMIFS(ABSEN!$Q$2:$Q$4094,ABSEN!$B$2:$B$4094,$B110,ABSEN!$L$2:$L$4094,F110)</f>
        <v>0</v>
      </c>
      <c r="M110" s="75">
        <f>SUMIFS(ABSEN!$W$2:$W$4094,ABSEN!$B$2:$B$4094,$B110,ABSEN!$L$2:$L$4094,F110)</f>
        <v>16</v>
      </c>
      <c r="N110" s="75">
        <f>SUMIFS(ABSEN!$R$2:$R$4094,ABSEN!$B$2:$B$4094,$B110,ABSEN!$L$2:$L$4094,F110)</f>
        <v>0</v>
      </c>
      <c r="O110" s="75">
        <f>SUMIFS(ABSEN!$S$2:$S$4094,ABSEN!$B$2:$B$4094,$B110,ABSEN!$L$2:$L$4094,F110)</f>
        <v>0</v>
      </c>
      <c r="P110" s="75">
        <f>SUMIFS(ABSEN!$T$2:$T$4094,ABSEN!$B$2:$B$4094,$B110,ABSEN!$L$2:$L$4094,F110)</f>
        <v>4</v>
      </c>
      <c r="Q110" s="75">
        <f>SUMIFS(ABSEN!$U$2:$U$4094,ABSEN!$B$2:$B$4094,$B110,ABSEN!$L$2:$L$4094,F110)</f>
        <v>14</v>
      </c>
      <c r="R110" s="75">
        <f>COUNTIFS(AKTIVITAS!$B$2:$B$3052,$B110,AKTIVITAS!$G$2:$G$3052,F110)</f>
        <v>14</v>
      </c>
      <c r="S110" s="75" t="str">
        <f>PEMAGANG!F30</f>
        <v>VERIFICATION (SID) JR. OFFICER</v>
      </c>
      <c r="T110" s="75">
        <f>SUMIFS(AKTIVITAS!$H$2:$H$3052,AKTIVITAS!$B$2:$B$3052,$B110,AKTIVITAS!$G$2:$G$3052,F110)</f>
        <v>243</v>
      </c>
    </row>
    <row r="111" spans="1:20" x14ac:dyDescent="0.2">
      <c r="A111" s="82" t="str">
        <f>PEMAGANG!B30</f>
        <v>MG28</v>
      </c>
      <c r="B111" s="82" t="str">
        <f>PEMAGANG!C30</f>
        <v>RIZAL AKBAR ARDIANSYAH</v>
      </c>
      <c r="C111" s="82" t="str">
        <f>PEMAGANG!D30</f>
        <v>SITI MUJAYANAH</v>
      </c>
      <c r="D111" s="82" t="str">
        <f>PEMAGANG!E30</f>
        <v>MANDIRI</v>
      </c>
      <c r="E111" s="75" t="str">
        <f t="shared" si="3"/>
        <v>Juli</v>
      </c>
      <c r="F111" s="75">
        <f>MONTH(DATE(YEAR(SUMMARY!$C$6),MONTH(SUMMARY!$C$6)+1,1))</f>
        <v>7</v>
      </c>
      <c r="G111" s="83">
        <f>PEMAGANG!J30</f>
        <v>46174</v>
      </c>
      <c r="H111" s="83">
        <f>PEMAGANG!K30</f>
        <v>46203</v>
      </c>
      <c r="I111" s="75">
        <f>COUNTIFS(KALENDER!$D$3:$D$132,"Hari Kerja",KALENDER!$C$3:$C$132,F111,KALENDER!$A$3:$A$132,"&gt;="&amp;G111,KALENDER!$A$3:$A$132,"&lt;="&amp;H111)</f>
        <v>0</v>
      </c>
      <c r="J111" s="75">
        <f>COUNTIFS(KALENDER!$D$3:$D$132,"WFH",KALENDER!$C$3:$C$132,F111,KALENDER!$A$3:$A$132,"&gt;="&amp;G111,KALENDER!$A$3:$A$132,"&lt;="&amp;H111)</f>
        <v>0</v>
      </c>
      <c r="K111" s="75">
        <f>SUMIFS(ABSEN!$P$2:$P$4094,ABSEN!$B$2:$B$4094,$B111,ABSEN!$L$2:$L$4094,F111)</f>
        <v>0</v>
      </c>
      <c r="L111" s="75">
        <f>SUMIFS(ABSEN!$Q$2:$Q$4094,ABSEN!$B$2:$B$4094,$B111,ABSEN!$L$2:$L$4094,F111)</f>
        <v>1</v>
      </c>
      <c r="M111" s="75">
        <f>SUMIFS(ABSEN!$W$2:$W$4094,ABSEN!$B$2:$B$4094,$B111,ABSEN!$L$2:$L$4094,F111)</f>
        <v>0</v>
      </c>
      <c r="N111" s="75">
        <f>SUMIFS(ABSEN!$R$2:$R$4094,ABSEN!$B$2:$B$4094,$B111,ABSEN!$L$2:$L$4094,F111)</f>
        <v>0</v>
      </c>
      <c r="O111" s="75">
        <f>SUMIFS(ABSEN!$S$2:$S$4094,ABSEN!$B$2:$B$4094,$B111,ABSEN!$L$2:$L$4094,F111)</f>
        <v>0</v>
      </c>
      <c r="P111" s="75">
        <f>SUMIFS(ABSEN!$T$2:$T$4094,ABSEN!$B$2:$B$4094,$B111,ABSEN!$L$2:$L$4094,F111)</f>
        <v>0</v>
      </c>
      <c r="Q111" s="75">
        <f>SUMIFS(ABSEN!$U$2:$U$4094,ABSEN!$B$2:$B$4094,$B111,ABSEN!$L$2:$L$4094,F111)</f>
        <v>0</v>
      </c>
      <c r="R111" s="75">
        <f>COUNTIFS(AKTIVITAS!$B$2:$B$3052,$B111,AKTIVITAS!$G$2:$G$3052,F111)</f>
        <v>1</v>
      </c>
      <c r="S111" s="75" t="str">
        <f>PEMAGANG!F30</f>
        <v>VERIFICATION (SID) JR. OFFICER</v>
      </c>
      <c r="T111" s="75">
        <f>SUMIFS(AKTIVITAS!$H$2:$H$3052,AKTIVITAS!$B$2:$B$3052,$B111,AKTIVITAS!$G$2:$G$3052,F111)</f>
        <v>18</v>
      </c>
    </row>
    <row r="112" spans="1:20" x14ac:dyDescent="0.2">
      <c r="A112" s="82" t="str">
        <f>PEMAGANG!B30</f>
        <v>MG28</v>
      </c>
      <c r="B112" s="82" t="str">
        <f>PEMAGANG!C30</f>
        <v>RIZAL AKBAR ARDIANSYAH</v>
      </c>
      <c r="C112" s="82" t="str">
        <f>PEMAGANG!D30</f>
        <v>SITI MUJAYANAH</v>
      </c>
      <c r="D112" s="82" t="str">
        <f>PEMAGANG!E30</f>
        <v>MANDIRI</v>
      </c>
      <c r="E112" s="75" t="str">
        <f t="shared" si="3"/>
        <v>Agustus</v>
      </c>
      <c r="F112" s="75">
        <f>MONTH(DATE(YEAR(SUMMARY!$C$6),MONTH(SUMMARY!$C$6)+2,1))</f>
        <v>8</v>
      </c>
      <c r="G112" s="83">
        <f>PEMAGANG!J30</f>
        <v>46174</v>
      </c>
      <c r="H112" s="83">
        <f>PEMAGANG!K30</f>
        <v>46203</v>
      </c>
      <c r="I112" s="75">
        <f>COUNTIFS(KALENDER!$D$3:$D$132,"Hari Kerja",KALENDER!$C$3:$C$132,F112,KALENDER!$A$3:$A$132,"&gt;="&amp;G112,KALENDER!$A$3:$A$132,"&lt;="&amp;H112)</f>
        <v>0</v>
      </c>
      <c r="J112" s="75">
        <f>COUNTIFS(KALENDER!$D$3:$D$132,"WFH",KALENDER!$C$3:$C$132,F112,KALENDER!$A$3:$A$132,"&gt;="&amp;G112,KALENDER!$A$3:$A$132,"&lt;="&amp;H112)</f>
        <v>0</v>
      </c>
      <c r="K112" s="75">
        <f>SUMIFS(ABSEN!$P$2:$P$4094,ABSEN!$B$2:$B$4094,$B112,ABSEN!$L$2:$L$4094,F112)</f>
        <v>0</v>
      </c>
      <c r="L112" s="75">
        <f>SUMIFS(ABSEN!$Q$2:$Q$4094,ABSEN!$B$2:$B$4094,$B112,ABSEN!$L$2:$L$4094,F112)</f>
        <v>0</v>
      </c>
      <c r="M112" s="75">
        <f>SUMIFS(ABSEN!$W$2:$W$4094,ABSEN!$B$2:$B$4094,$B112,ABSEN!$L$2:$L$4094,F112)</f>
        <v>0</v>
      </c>
      <c r="N112" s="75">
        <f>SUMIFS(ABSEN!$R$2:$R$4094,ABSEN!$B$2:$B$4094,$B112,ABSEN!$L$2:$L$4094,F112)</f>
        <v>0</v>
      </c>
      <c r="O112" s="75">
        <f>SUMIFS(ABSEN!$S$2:$S$4094,ABSEN!$B$2:$B$4094,$B112,ABSEN!$L$2:$L$4094,F112)</f>
        <v>0</v>
      </c>
      <c r="P112" s="75">
        <f>SUMIFS(ABSEN!$T$2:$T$4094,ABSEN!$B$2:$B$4094,$B112,ABSEN!$L$2:$L$4094,F112)</f>
        <v>0</v>
      </c>
      <c r="Q112" s="75">
        <f>SUMIFS(ABSEN!$U$2:$U$4094,ABSEN!$B$2:$B$4094,$B112,ABSEN!$L$2:$L$4094,F112)</f>
        <v>0</v>
      </c>
      <c r="R112" s="75">
        <f>COUNTIFS(AKTIVITAS!$B$2:$B$3052,$B112,AKTIVITAS!$G$2:$G$3052,F112)</f>
        <v>0</v>
      </c>
      <c r="S112" s="75" t="str">
        <f>PEMAGANG!F30</f>
        <v>VERIFICATION (SID) JR. OFFICER</v>
      </c>
      <c r="T112" s="75">
        <f>SUMIFS(AKTIVITAS!$H$2:$H$3052,AKTIVITAS!$B$2:$B$3052,$B112,AKTIVITAS!$G$2:$G$3052,F112)</f>
        <v>0</v>
      </c>
    </row>
    <row r="113" spans="1:20" x14ac:dyDescent="0.2">
      <c r="A113" s="82" t="str">
        <f>PEMAGANG!B30</f>
        <v>MG28</v>
      </c>
      <c r="B113" s="82" t="str">
        <f>PEMAGANG!C30</f>
        <v>RIZAL AKBAR ARDIANSYAH</v>
      </c>
      <c r="C113" s="82" t="str">
        <f>PEMAGANG!D30</f>
        <v>SITI MUJAYANAH</v>
      </c>
      <c r="D113" s="82" t="str">
        <f>PEMAGANG!E30</f>
        <v>MANDIRI</v>
      </c>
      <c r="E113" s="75" t="str">
        <f t="shared" si="3"/>
        <v>September</v>
      </c>
      <c r="F113" s="75">
        <f>MONTH(DATE(YEAR(SUMMARY!$C$6),MONTH(SUMMARY!$C$6)+3,1))</f>
        <v>9</v>
      </c>
      <c r="G113" s="83">
        <f>PEMAGANG!J30</f>
        <v>46174</v>
      </c>
      <c r="H113" s="83">
        <f>PEMAGANG!K30</f>
        <v>46203</v>
      </c>
      <c r="I113" s="75">
        <f>COUNTIFS(KALENDER!$D$3:$D$132,"Hari Kerja",KALENDER!$C$3:$C$132,F113,KALENDER!$A$3:$A$132,"&gt;="&amp;G113,KALENDER!$A$3:$A$132,"&lt;="&amp;H113)</f>
        <v>0</v>
      </c>
      <c r="J113" s="75">
        <f>COUNTIFS(KALENDER!$D$3:$D$132,"WFH",KALENDER!$C$3:$C$132,F113,KALENDER!$A$3:$A$132,"&gt;="&amp;G113,KALENDER!$A$3:$A$132,"&lt;="&amp;H113)</f>
        <v>0</v>
      </c>
      <c r="K113" s="75">
        <f>SUMIFS(ABSEN!$P$2:$P$4094,ABSEN!$B$2:$B$4094,$B113,ABSEN!$L$2:$L$4094,F113)</f>
        <v>0</v>
      </c>
      <c r="L113" s="75">
        <f>SUMIFS(ABSEN!$Q$2:$Q$4094,ABSEN!$B$2:$B$4094,$B113,ABSEN!$L$2:$L$4094,F113)</f>
        <v>0</v>
      </c>
      <c r="M113" s="75">
        <f>SUMIFS(ABSEN!$W$2:$W$4094,ABSEN!$B$2:$B$4094,$B113,ABSEN!$L$2:$L$4094,F113)</f>
        <v>0</v>
      </c>
      <c r="N113" s="75">
        <f>SUMIFS(ABSEN!$R$2:$R$4094,ABSEN!$B$2:$B$4094,$B113,ABSEN!$L$2:$L$4094,F113)</f>
        <v>0</v>
      </c>
      <c r="O113" s="75">
        <f>SUMIFS(ABSEN!$S$2:$S$4094,ABSEN!$B$2:$B$4094,$B113,ABSEN!$L$2:$L$4094,F113)</f>
        <v>0</v>
      </c>
      <c r="P113" s="75">
        <f>SUMIFS(ABSEN!$T$2:$T$4094,ABSEN!$B$2:$B$4094,$B113,ABSEN!$L$2:$L$4094,F113)</f>
        <v>0</v>
      </c>
      <c r="Q113" s="75">
        <f>SUMIFS(ABSEN!$U$2:$U$4094,ABSEN!$B$2:$B$4094,$B113,ABSEN!$L$2:$L$4094,F113)</f>
        <v>0</v>
      </c>
      <c r="R113" s="75">
        <f>COUNTIFS(AKTIVITAS!$B$2:$B$3052,$B113,AKTIVITAS!$G$2:$G$3052,F113)</f>
        <v>0</v>
      </c>
      <c r="S113" s="75" t="str">
        <f>PEMAGANG!F30</f>
        <v>VERIFICATION (SID) JR. OFFICER</v>
      </c>
      <c r="T113" s="75">
        <f>SUMIFS(AKTIVITAS!$H$2:$H$3052,AKTIVITAS!$B$2:$B$3052,$B113,AKTIVITAS!$G$2:$G$3052,F113)</f>
        <v>0</v>
      </c>
    </row>
    <row r="114" spans="1:20" x14ac:dyDescent="0.2">
      <c r="A114" s="82" t="str">
        <f>PEMAGANG!B31</f>
        <v>MG4626</v>
      </c>
      <c r="B114" s="82" t="str">
        <f>PEMAGANG!C31</f>
        <v>THARISSA ADELIA PUTRI</v>
      </c>
      <c r="C114" s="82" t="str">
        <f>PEMAGANG!D31</f>
        <v>SITI MUJAYANAH</v>
      </c>
      <c r="D114" s="82" t="str">
        <f>PEMAGANG!E31</f>
        <v>MANDIRI</v>
      </c>
      <c r="E114" s="75" t="str">
        <f t="shared" si="3"/>
        <v>Juni</v>
      </c>
      <c r="F114" s="75">
        <f>MONTH(DATE(YEAR(SUMMARY!$C$6),MONTH(SUMMARY!$C$6)+0,1))</f>
        <v>6</v>
      </c>
      <c r="G114" s="83">
        <f>PEMAGANG!J31</f>
        <v>46177</v>
      </c>
      <c r="H114" s="83">
        <f>PEMAGANG!K31</f>
        <v>46279</v>
      </c>
      <c r="I114" s="75">
        <f>COUNTIFS(KALENDER!$D$3:$D$132,"Hari Kerja",KALENDER!$C$3:$C$132,F114,KALENDER!$A$3:$A$132,"&gt;="&amp;G114,KALENDER!$A$3:$A$132,"&lt;="&amp;H114)</f>
        <v>15</v>
      </c>
      <c r="J114" s="75">
        <f>COUNTIFS(KALENDER!$D$3:$D$132,"WFH",KALENDER!$C$3:$C$132,F114,KALENDER!$A$3:$A$132,"&gt;="&amp;G114,KALENDER!$A$3:$A$132,"&lt;="&amp;H114)</f>
        <v>3</v>
      </c>
      <c r="K114" s="75">
        <f>SUMIFS(ABSEN!$P$2:$P$4094,ABSEN!$B$2:$B$4094,$B114,ABSEN!$L$2:$L$4094,F114)</f>
        <v>14</v>
      </c>
      <c r="L114" s="75">
        <f>SUMIFS(ABSEN!$Q$2:$Q$4094,ABSEN!$B$2:$B$4094,$B114,ABSEN!$L$2:$L$4094,F114)</f>
        <v>0</v>
      </c>
      <c r="M114" s="75">
        <f>SUMIFS(ABSEN!$W$2:$W$4094,ABSEN!$B$2:$B$4094,$B114,ABSEN!$L$2:$L$4094,F114)</f>
        <v>14</v>
      </c>
      <c r="N114" s="75">
        <f>SUMIFS(ABSEN!$R$2:$R$4094,ABSEN!$B$2:$B$4094,$B114,ABSEN!$L$2:$L$4094,F114)</f>
        <v>1</v>
      </c>
      <c r="O114" s="75">
        <f>SUMIFS(ABSEN!$S$2:$S$4094,ABSEN!$B$2:$B$4094,$B114,ABSEN!$L$2:$L$4094,F114)</f>
        <v>237</v>
      </c>
      <c r="P114" s="75">
        <f>SUMIFS(ABSEN!$T$2:$T$4094,ABSEN!$B$2:$B$4094,$B114,ABSEN!$L$2:$L$4094,F114)</f>
        <v>1</v>
      </c>
      <c r="Q114" s="75">
        <f>SUMIFS(ABSEN!$U$2:$U$4094,ABSEN!$B$2:$B$4094,$B114,ABSEN!$L$2:$L$4094,F114)</f>
        <v>13</v>
      </c>
      <c r="R114" s="75">
        <f>COUNTIFS(AKTIVITAS!$B$2:$B$3052,$B114,AKTIVITAS!$G$2:$G$3052,F114)</f>
        <v>44</v>
      </c>
      <c r="S114" s="75" t="str">
        <f>PEMAGANG!F31</f>
        <v>VERIFICATION (SID) JR. OFFICER</v>
      </c>
      <c r="T114" s="75">
        <f>SUMIFS(AKTIVITAS!$H$2:$H$3052,AKTIVITAS!$B$2:$B$3052,$B114,AKTIVITAS!$G$2:$G$3052,F114)</f>
        <v>2009</v>
      </c>
    </row>
    <row r="115" spans="1:20" x14ac:dyDescent="0.2">
      <c r="A115" s="82" t="str">
        <f>PEMAGANG!B31</f>
        <v>MG4626</v>
      </c>
      <c r="B115" s="82" t="str">
        <f>PEMAGANG!C31</f>
        <v>THARISSA ADELIA PUTRI</v>
      </c>
      <c r="C115" s="82" t="str">
        <f>PEMAGANG!D31</f>
        <v>SITI MUJAYANAH</v>
      </c>
      <c r="D115" s="82" t="str">
        <f>PEMAGANG!E31</f>
        <v>MANDIRI</v>
      </c>
      <c r="E115" s="75" t="str">
        <f t="shared" si="3"/>
        <v>Juli</v>
      </c>
      <c r="F115" s="75">
        <f>MONTH(DATE(YEAR(SUMMARY!$C$6),MONTH(SUMMARY!$C$6)+1,1))</f>
        <v>7</v>
      </c>
      <c r="G115" s="83">
        <f>PEMAGANG!J31</f>
        <v>46177</v>
      </c>
      <c r="H115" s="83">
        <f>PEMAGANG!K31</f>
        <v>46279</v>
      </c>
      <c r="I115" s="75">
        <f>COUNTIFS(KALENDER!$D$3:$D$132,"Hari Kerja",KALENDER!$C$3:$C$132,F115,KALENDER!$A$3:$A$132,"&gt;="&amp;G115,KALENDER!$A$3:$A$132,"&lt;="&amp;H115)</f>
        <v>18</v>
      </c>
      <c r="J115" s="75">
        <f>COUNTIFS(KALENDER!$D$3:$D$132,"WFH",KALENDER!$C$3:$C$132,F115,KALENDER!$A$3:$A$132,"&gt;="&amp;G115,KALENDER!$A$3:$A$132,"&lt;="&amp;H115)</f>
        <v>5</v>
      </c>
      <c r="K115" s="75">
        <f>SUMIFS(ABSEN!$P$2:$P$4094,ABSEN!$B$2:$B$4094,$B115,ABSEN!$L$2:$L$4094,F115)</f>
        <v>17</v>
      </c>
      <c r="L115" s="75">
        <f>SUMIFS(ABSEN!$Q$2:$Q$4094,ABSEN!$B$2:$B$4094,$B115,ABSEN!$L$2:$L$4094,F115)</f>
        <v>1</v>
      </c>
      <c r="M115" s="75">
        <f>SUMIFS(ABSEN!$W$2:$W$4094,ABSEN!$B$2:$B$4094,$B115,ABSEN!$L$2:$L$4094,F115)</f>
        <v>18</v>
      </c>
      <c r="N115" s="75">
        <f>SUMIFS(ABSEN!$R$2:$R$4094,ABSEN!$B$2:$B$4094,$B115,ABSEN!$L$2:$L$4094,F115)</f>
        <v>0</v>
      </c>
      <c r="O115" s="75">
        <f>SUMIFS(ABSEN!$S$2:$S$4094,ABSEN!$B$2:$B$4094,$B115,ABSEN!$L$2:$L$4094,F115)</f>
        <v>0</v>
      </c>
      <c r="P115" s="75">
        <f>SUMIFS(ABSEN!$T$2:$T$4094,ABSEN!$B$2:$B$4094,$B115,ABSEN!$L$2:$L$4094,F115)</f>
        <v>0</v>
      </c>
      <c r="Q115" s="75">
        <f>SUMIFS(ABSEN!$U$2:$U$4094,ABSEN!$B$2:$B$4094,$B115,ABSEN!$L$2:$L$4094,F115)</f>
        <v>18</v>
      </c>
      <c r="R115" s="75">
        <f>COUNTIFS(AKTIVITAS!$B$2:$B$3052,$B115,AKTIVITAS!$G$2:$G$3052,F115)</f>
        <v>37</v>
      </c>
      <c r="S115" s="75" t="str">
        <f>PEMAGANG!F31</f>
        <v>VERIFICATION (SID) JR. OFFICER</v>
      </c>
      <c r="T115" s="75">
        <f>SUMIFS(AKTIVITAS!$H$2:$H$3052,AKTIVITAS!$B$2:$B$3052,$B115,AKTIVITAS!$G$2:$G$3052,F115)</f>
        <v>1935</v>
      </c>
    </row>
    <row r="116" spans="1:20" x14ac:dyDescent="0.2">
      <c r="A116" s="82" t="str">
        <f>PEMAGANG!B31</f>
        <v>MG4626</v>
      </c>
      <c r="B116" s="82" t="str">
        <f>PEMAGANG!C31</f>
        <v>THARISSA ADELIA PUTRI</v>
      </c>
      <c r="C116" s="82" t="str">
        <f>PEMAGANG!D31</f>
        <v>SITI MUJAYANAH</v>
      </c>
      <c r="D116" s="82" t="str">
        <f>PEMAGANG!E31</f>
        <v>MANDIRI</v>
      </c>
      <c r="E116" s="75" t="str">
        <f t="shared" si="3"/>
        <v>Agustus</v>
      </c>
      <c r="F116" s="75">
        <f>MONTH(DATE(YEAR(SUMMARY!$C$6),MONTH(SUMMARY!$C$6)+2,1))</f>
        <v>8</v>
      </c>
      <c r="G116" s="83">
        <f>PEMAGANG!J31</f>
        <v>46177</v>
      </c>
      <c r="H116" s="83">
        <f>PEMAGANG!K31</f>
        <v>46279</v>
      </c>
      <c r="I116" s="75">
        <f>COUNTIFS(KALENDER!$D$3:$D$132,"Hari Kerja",KALENDER!$C$3:$C$132,F116,KALENDER!$A$3:$A$132,"&gt;="&amp;G116,KALENDER!$A$3:$A$132,"&lt;="&amp;H116)</f>
        <v>19</v>
      </c>
      <c r="J116" s="75">
        <f>COUNTIFS(KALENDER!$D$3:$D$132,"WFH",KALENDER!$C$3:$C$132,F116,KALENDER!$A$3:$A$132,"&gt;="&amp;G116,KALENDER!$A$3:$A$132,"&lt;="&amp;H116)</f>
        <v>0</v>
      </c>
      <c r="K116" s="75">
        <f>SUMIFS(ABSEN!$P$2:$P$4094,ABSEN!$B$2:$B$4094,$B116,ABSEN!$L$2:$L$4094,F116)</f>
        <v>19</v>
      </c>
      <c r="L116" s="75">
        <f>SUMIFS(ABSEN!$Q$2:$Q$4094,ABSEN!$B$2:$B$4094,$B116,ABSEN!$L$2:$L$4094,F116)</f>
        <v>0</v>
      </c>
      <c r="M116" s="75">
        <f>SUMIFS(ABSEN!$W$2:$W$4094,ABSEN!$B$2:$B$4094,$B116,ABSEN!$L$2:$L$4094,F116)</f>
        <v>19</v>
      </c>
      <c r="N116" s="75">
        <f>SUMIFS(ABSEN!$R$2:$R$4094,ABSEN!$B$2:$B$4094,$B116,ABSEN!$L$2:$L$4094,F116)</f>
        <v>0</v>
      </c>
      <c r="O116" s="75">
        <f>SUMIFS(ABSEN!$S$2:$S$4094,ABSEN!$B$2:$B$4094,$B116,ABSEN!$L$2:$L$4094,F116)</f>
        <v>0</v>
      </c>
      <c r="P116" s="75">
        <f>SUMIFS(ABSEN!$T$2:$T$4094,ABSEN!$B$2:$B$4094,$B116,ABSEN!$L$2:$L$4094,F116)</f>
        <v>0</v>
      </c>
      <c r="Q116" s="75">
        <f>SUMIFS(ABSEN!$U$2:$U$4094,ABSEN!$B$2:$B$4094,$B116,ABSEN!$L$2:$L$4094,F116)</f>
        <v>19</v>
      </c>
      <c r="R116" s="75">
        <f>COUNTIFS(AKTIVITAS!$B$2:$B$3052,$B116,AKTIVITAS!$G$2:$G$3052,F116)</f>
        <v>19</v>
      </c>
      <c r="S116" s="75" t="str">
        <f>PEMAGANG!F31</f>
        <v>VERIFICATION (SID) JR. OFFICER</v>
      </c>
      <c r="T116" s="75">
        <f>SUMIFS(AKTIVITAS!$H$2:$H$3052,AKTIVITAS!$B$2:$B$3052,$B116,AKTIVITAS!$G$2:$G$3052,F116)</f>
        <v>1214</v>
      </c>
    </row>
    <row r="117" spans="1:20" x14ac:dyDescent="0.2">
      <c r="A117" s="82" t="str">
        <f>PEMAGANG!B31</f>
        <v>MG4626</v>
      </c>
      <c r="B117" s="82" t="str">
        <f>PEMAGANG!C31</f>
        <v>THARISSA ADELIA PUTRI</v>
      </c>
      <c r="C117" s="82" t="str">
        <f>PEMAGANG!D31</f>
        <v>SITI MUJAYANAH</v>
      </c>
      <c r="D117" s="82" t="str">
        <f>PEMAGANG!E31</f>
        <v>MANDIRI</v>
      </c>
      <c r="E117" s="75" t="str">
        <f t="shared" si="3"/>
        <v>September</v>
      </c>
      <c r="F117" s="75">
        <f>MONTH(DATE(YEAR(SUMMARY!$C$6),MONTH(SUMMARY!$C$6)+3,1))</f>
        <v>9</v>
      </c>
      <c r="G117" s="83">
        <f>PEMAGANG!J31</f>
        <v>46177</v>
      </c>
      <c r="H117" s="83">
        <f>PEMAGANG!K31</f>
        <v>46279</v>
      </c>
      <c r="I117" s="75">
        <f>COUNTIFS(KALENDER!$D$3:$D$132,"Hari Kerja",KALENDER!$C$3:$C$132,F117,KALENDER!$A$3:$A$132,"&gt;="&amp;G117,KALENDER!$A$3:$A$132,"&lt;="&amp;H117)</f>
        <v>10</v>
      </c>
      <c r="J117" s="75">
        <f>COUNTIFS(KALENDER!$D$3:$D$132,"WFH",KALENDER!$C$3:$C$132,F117,KALENDER!$A$3:$A$132,"&gt;="&amp;G117,KALENDER!$A$3:$A$132,"&lt;="&amp;H117)</f>
        <v>0</v>
      </c>
      <c r="K117" s="75">
        <f>SUMIFS(ABSEN!$P$2:$P$4094,ABSEN!$B$2:$B$4094,$B117,ABSEN!$L$2:$L$4094,F117)</f>
        <v>10</v>
      </c>
      <c r="L117" s="75">
        <f>SUMIFS(ABSEN!$Q$2:$Q$4094,ABSEN!$B$2:$B$4094,$B117,ABSEN!$L$2:$L$4094,F117)</f>
        <v>1</v>
      </c>
      <c r="M117" s="75">
        <f>SUMIFS(ABSEN!$W$2:$W$4094,ABSEN!$B$2:$B$4094,$B117,ABSEN!$L$2:$L$4094,F117)</f>
        <v>10</v>
      </c>
      <c r="N117" s="75">
        <f>SUMIFS(ABSEN!$R$2:$R$4094,ABSEN!$B$2:$B$4094,$B117,ABSEN!$L$2:$L$4094,F117)</f>
        <v>3</v>
      </c>
      <c r="O117" s="75">
        <f>SUMIFS(ABSEN!$S$2:$S$4094,ABSEN!$B$2:$B$4094,$B117,ABSEN!$L$2:$L$4094,F117)</f>
        <v>138</v>
      </c>
      <c r="P117" s="75">
        <f>SUMIFS(ABSEN!$T$2:$T$4094,ABSEN!$B$2:$B$4094,$B117,ABSEN!$L$2:$L$4094,F117)</f>
        <v>1</v>
      </c>
      <c r="Q117" s="75">
        <f>SUMIFS(ABSEN!$U$2:$U$4094,ABSEN!$B$2:$B$4094,$B117,ABSEN!$L$2:$L$4094,F117)</f>
        <v>10</v>
      </c>
      <c r="R117" s="75">
        <f>COUNTIFS(AKTIVITAS!$B$2:$B$3052,$B117,AKTIVITAS!$G$2:$G$3052,F117)</f>
        <v>11</v>
      </c>
      <c r="S117" s="75" t="str">
        <f>PEMAGANG!F31</f>
        <v>VERIFICATION (SID) JR. OFFICER</v>
      </c>
      <c r="T117" s="75">
        <f>SUMIFS(AKTIVITAS!$H$2:$H$3052,AKTIVITAS!$B$2:$B$3052,$B117,AKTIVITAS!$G$2:$G$3052,F117)</f>
        <v>704</v>
      </c>
    </row>
    <row r="118" spans="1:20" x14ac:dyDescent="0.2">
      <c r="A118" s="82" t="str">
        <f>PEMAGANG!B32</f>
        <v>MG5126</v>
      </c>
      <c r="B118" s="82" t="str">
        <f>PEMAGANG!C32</f>
        <v>ZALFA NUR ROHMAH</v>
      </c>
      <c r="C118" s="82" t="str">
        <f>PEMAGANG!D32</f>
        <v>SITI MUJAYANAH</v>
      </c>
      <c r="D118" s="82" t="str">
        <f>PEMAGANG!E32</f>
        <v>MANDIRI</v>
      </c>
      <c r="E118" s="75" t="str">
        <f t="shared" si="3"/>
        <v>Juni</v>
      </c>
      <c r="F118" s="75">
        <f>MONTH(DATE(YEAR(SUMMARY!$C$6),MONTH(SUMMARY!$C$6)+0,1))</f>
        <v>6</v>
      </c>
      <c r="G118" s="83">
        <f>PEMAGANG!J32</f>
        <v>46279</v>
      </c>
      <c r="H118" s="83">
        <f>PEMAGANG!K32</f>
        <v>46295</v>
      </c>
      <c r="I118" s="75">
        <f>COUNTIFS(KALENDER!$D$3:$D$132,"Hari Kerja",KALENDER!$C$3:$C$132,F118,KALENDER!$A$3:$A$132,"&gt;="&amp;G118,KALENDER!$A$3:$A$132,"&lt;="&amp;H118)</f>
        <v>0</v>
      </c>
      <c r="J118" s="75">
        <f>COUNTIFS(KALENDER!$D$3:$D$132,"WFH",KALENDER!$C$3:$C$132,F118,KALENDER!$A$3:$A$132,"&gt;="&amp;G118,KALENDER!$A$3:$A$132,"&lt;="&amp;H118)</f>
        <v>0</v>
      </c>
      <c r="K118" s="75">
        <f>SUMIFS(ABSEN!$P$2:$P$4094,ABSEN!$B$2:$B$4094,$B118,ABSEN!$L$2:$L$4094,F118)</f>
        <v>0</v>
      </c>
      <c r="L118" s="75">
        <f>SUMIFS(ABSEN!$Q$2:$Q$4094,ABSEN!$B$2:$B$4094,$B118,ABSEN!$L$2:$L$4094,F118)</f>
        <v>0</v>
      </c>
      <c r="M118" s="75">
        <f>SUMIFS(ABSEN!$W$2:$W$4094,ABSEN!$B$2:$B$4094,$B118,ABSEN!$L$2:$L$4094,F118)</f>
        <v>0</v>
      </c>
      <c r="N118" s="75">
        <f>SUMIFS(ABSEN!$R$2:$R$4094,ABSEN!$B$2:$B$4094,$B118,ABSEN!$L$2:$L$4094,F118)</f>
        <v>0</v>
      </c>
      <c r="O118" s="75">
        <f>SUMIFS(ABSEN!$S$2:$S$4094,ABSEN!$B$2:$B$4094,$B118,ABSEN!$L$2:$L$4094,F118)</f>
        <v>0</v>
      </c>
      <c r="P118" s="75">
        <f>SUMIFS(ABSEN!$T$2:$T$4094,ABSEN!$B$2:$B$4094,$B118,ABSEN!$L$2:$L$4094,F118)</f>
        <v>0</v>
      </c>
      <c r="Q118" s="75">
        <f>SUMIFS(ABSEN!$U$2:$U$4094,ABSEN!$B$2:$B$4094,$B118,ABSEN!$L$2:$L$4094,F118)</f>
        <v>0</v>
      </c>
      <c r="R118" s="75">
        <f>COUNTIFS(AKTIVITAS!$B$2:$B$3052,$B118,AKTIVITAS!$G$2:$G$3052,F118)</f>
        <v>0</v>
      </c>
      <c r="S118" s="75" t="str">
        <f>PEMAGANG!F32</f>
        <v>VERIFICATION (SID) JR. OFFICER</v>
      </c>
      <c r="T118" s="75">
        <f>SUMIFS(AKTIVITAS!$H$2:$H$3052,AKTIVITAS!$B$2:$B$3052,$B118,AKTIVITAS!$G$2:$G$3052,F118)</f>
        <v>0</v>
      </c>
    </row>
    <row r="119" spans="1:20" x14ac:dyDescent="0.2">
      <c r="A119" s="82" t="str">
        <f>PEMAGANG!B32</f>
        <v>MG5126</v>
      </c>
      <c r="B119" s="82" t="str">
        <f>PEMAGANG!C32</f>
        <v>ZALFA NUR ROHMAH</v>
      </c>
      <c r="C119" s="82" t="str">
        <f>PEMAGANG!D32</f>
        <v>SITI MUJAYANAH</v>
      </c>
      <c r="D119" s="82" t="str">
        <f>PEMAGANG!E32</f>
        <v>MANDIRI</v>
      </c>
      <c r="E119" s="75" t="str">
        <f t="shared" si="3"/>
        <v>Juli</v>
      </c>
      <c r="F119" s="75">
        <f>MONTH(DATE(YEAR(SUMMARY!$C$6),MONTH(SUMMARY!$C$6)+1,1))</f>
        <v>7</v>
      </c>
      <c r="G119" s="83">
        <f>PEMAGANG!J32</f>
        <v>46279</v>
      </c>
      <c r="H119" s="83">
        <f>PEMAGANG!K32</f>
        <v>46295</v>
      </c>
      <c r="I119" s="75">
        <f>COUNTIFS(KALENDER!$D$3:$D$132,"Hari Kerja",KALENDER!$C$3:$C$132,F119,KALENDER!$A$3:$A$132,"&gt;="&amp;G119,KALENDER!$A$3:$A$132,"&lt;="&amp;H119)</f>
        <v>0</v>
      </c>
      <c r="J119" s="75">
        <f>COUNTIFS(KALENDER!$D$3:$D$132,"WFH",KALENDER!$C$3:$C$132,F119,KALENDER!$A$3:$A$132,"&gt;="&amp;G119,KALENDER!$A$3:$A$132,"&lt;="&amp;H119)</f>
        <v>0</v>
      </c>
      <c r="K119" s="75">
        <f>SUMIFS(ABSEN!$P$2:$P$4094,ABSEN!$B$2:$B$4094,$B119,ABSEN!$L$2:$L$4094,F119)</f>
        <v>0</v>
      </c>
      <c r="L119" s="75">
        <f>SUMIFS(ABSEN!$Q$2:$Q$4094,ABSEN!$B$2:$B$4094,$B119,ABSEN!$L$2:$L$4094,F119)</f>
        <v>0</v>
      </c>
      <c r="M119" s="75">
        <f>SUMIFS(ABSEN!$W$2:$W$4094,ABSEN!$B$2:$B$4094,$B119,ABSEN!$L$2:$L$4094,F119)</f>
        <v>0</v>
      </c>
      <c r="N119" s="75">
        <f>SUMIFS(ABSEN!$R$2:$R$4094,ABSEN!$B$2:$B$4094,$B119,ABSEN!$L$2:$L$4094,F119)</f>
        <v>0</v>
      </c>
      <c r="O119" s="75">
        <f>SUMIFS(ABSEN!$S$2:$S$4094,ABSEN!$B$2:$B$4094,$B119,ABSEN!$L$2:$L$4094,F119)</f>
        <v>0</v>
      </c>
      <c r="P119" s="75">
        <f>SUMIFS(ABSEN!$T$2:$T$4094,ABSEN!$B$2:$B$4094,$B119,ABSEN!$L$2:$L$4094,F119)</f>
        <v>0</v>
      </c>
      <c r="Q119" s="75">
        <f>SUMIFS(ABSEN!$U$2:$U$4094,ABSEN!$B$2:$B$4094,$B119,ABSEN!$L$2:$L$4094,F119)</f>
        <v>0</v>
      </c>
      <c r="R119" s="75">
        <f>COUNTIFS(AKTIVITAS!$B$2:$B$3052,$B119,AKTIVITAS!$G$2:$G$3052,F119)</f>
        <v>0</v>
      </c>
      <c r="S119" s="75" t="str">
        <f>PEMAGANG!F32</f>
        <v>VERIFICATION (SID) JR. OFFICER</v>
      </c>
      <c r="T119" s="75">
        <f>SUMIFS(AKTIVITAS!$H$2:$H$3052,AKTIVITAS!$B$2:$B$3052,$B119,AKTIVITAS!$G$2:$G$3052,F119)</f>
        <v>0</v>
      </c>
    </row>
    <row r="120" spans="1:20" x14ac:dyDescent="0.2">
      <c r="A120" s="82" t="str">
        <f>PEMAGANG!B32</f>
        <v>MG5126</v>
      </c>
      <c r="B120" s="82" t="str">
        <f>PEMAGANG!C32</f>
        <v>ZALFA NUR ROHMAH</v>
      </c>
      <c r="C120" s="82" t="str">
        <f>PEMAGANG!D32</f>
        <v>SITI MUJAYANAH</v>
      </c>
      <c r="D120" s="82" t="str">
        <f>PEMAGANG!E32</f>
        <v>MANDIRI</v>
      </c>
      <c r="E120" s="75" t="str">
        <f t="shared" si="3"/>
        <v>Agustus</v>
      </c>
      <c r="F120" s="75">
        <f>MONTH(DATE(YEAR(SUMMARY!$C$6),MONTH(SUMMARY!$C$6)+2,1))</f>
        <v>8</v>
      </c>
      <c r="G120" s="83">
        <f>PEMAGANG!J32</f>
        <v>46279</v>
      </c>
      <c r="H120" s="83">
        <f>PEMAGANG!K32</f>
        <v>46295</v>
      </c>
      <c r="I120" s="75">
        <f>COUNTIFS(KALENDER!$D$3:$D$132,"Hari Kerja",KALENDER!$C$3:$C$132,F120,KALENDER!$A$3:$A$132,"&gt;="&amp;G120,KALENDER!$A$3:$A$132,"&lt;="&amp;H120)</f>
        <v>0</v>
      </c>
      <c r="J120" s="75">
        <f>COUNTIFS(KALENDER!$D$3:$D$132,"WFH",KALENDER!$C$3:$C$132,F120,KALENDER!$A$3:$A$132,"&gt;="&amp;G120,KALENDER!$A$3:$A$132,"&lt;="&amp;H120)</f>
        <v>0</v>
      </c>
      <c r="K120" s="75">
        <f>SUMIFS(ABSEN!$P$2:$P$4094,ABSEN!$B$2:$B$4094,$B120,ABSEN!$L$2:$L$4094,F120)</f>
        <v>0</v>
      </c>
      <c r="L120" s="75">
        <f>SUMIFS(ABSEN!$Q$2:$Q$4094,ABSEN!$B$2:$B$4094,$B120,ABSEN!$L$2:$L$4094,F120)</f>
        <v>0</v>
      </c>
      <c r="M120" s="75">
        <f>SUMIFS(ABSEN!$W$2:$W$4094,ABSEN!$B$2:$B$4094,$B120,ABSEN!$L$2:$L$4094,F120)</f>
        <v>0</v>
      </c>
      <c r="N120" s="75">
        <f>SUMIFS(ABSEN!$R$2:$R$4094,ABSEN!$B$2:$B$4094,$B120,ABSEN!$L$2:$L$4094,F120)</f>
        <v>0</v>
      </c>
      <c r="O120" s="75">
        <f>SUMIFS(ABSEN!$S$2:$S$4094,ABSEN!$B$2:$B$4094,$B120,ABSEN!$L$2:$L$4094,F120)</f>
        <v>0</v>
      </c>
      <c r="P120" s="75">
        <f>SUMIFS(ABSEN!$T$2:$T$4094,ABSEN!$B$2:$B$4094,$B120,ABSEN!$L$2:$L$4094,F120)</f>
        <v>0</v>
      </c>
      <c r="Q120" s="75">
        <f>SUMIFS(ABSEN!$U$2:$U$4094,ABSEN!$B$2:$B$4094,$B120,ABSEN!$L$2:$L$4094,F120)</f>
        <v>0</v>
      </c>
      <c r="R120" s="75">
        <f>COUNTIFS(AKTIVITAS!$B$2:$B$3052,$B120,AKTIVITAS!$G$2:$G$3052,F120)</f>
        <v>0</v>
      </c>
      <c r="S120" s="75" t="str">
        <f>PEMAGANG!F32</f>
        <v>VERIFICATION (SID) JR. OFFICER</v>
      </c>
      <c r="T120" s="75">
        <f>SUMIFS(AKTIVITAS!$H$2:$H$3052,AKTIVITAS!$B$2:$B$3052,$B120,AKTIVITAS!$G$2:$G$3052,F120)</f>
        <v>0</v>
      </c>
    </row>
    <row r="121" spans="1:20" x14ac:dyDescent="0.2">
      <c r="A121" s="82" t="str">
        <f>PEMAGANG!B32</f>
        <v>MG5126</v>
      </c>
      <c r="B121" s="82" t="str">
        <f>PEMAGANG!C32</f>
        <v>ZALFA NUR ROHMAH</v>
      </c>
      <c r="C121" s="82" t="str">
        <f>PEMAGANG!D32</f>
        <v>SITI MUJAYANAH</v>
      </c>
      <c r="D121" s="82" t="str">
        <f>PEMAGANG!E32</f>
        <v>MANDIRI</v>
      </c>
      <c r="E121" s="75" t="str">
        <f t="shared" si="3"/>
        <v>September</v>
      </c>
      <c r="F121" s="75">
        <f>MONTH(DATE(YEAR(SUMMARY!$C$6),MONTH(SUMMARY!$C$6)+3,1))</f>
        <v>9</v>
      </c>
      <c r="G121" s="83">
        <f>PEMAGANG!J32</f>
        <v>46279</v>
      </c>
      <c r="H121" s="83">
        <f>PEMAGANG!K32</f>
        <v>46295</v>
      </c>
      <c r="I121" s="75">
        <f>COUNTIFS(KALENDER!$D$3:$D$132,"Hari Kerja",KALENDER!$C$3:$C$132,F121,KALENDER!$A$3:$A$132,"&gt;="&amp;G121,KALENDER!$A$3:$A$132,"&lt;="&amp;H121)</f>
        <v>13</v>
      </c>
      <c r="J121" s="75">
        <f>COUNTIFS(KALENDER!$D$3:$D$132,"WFH",KALENDER!$C$3:$C$132,F121,KALENDER!$A$3:$A$132,"&gt;="&amp;G121,KALENDER!$A$3:$A$132,"&lt;="&amp;H121)</f>
        <v>0</v>
      </c>
      <c r="K121" s="75">
        <f>SUMIFS(ABSEN!$P$2:$P$4094,ABSEN!$B$2:$B$4094,$B121,ABSEN!$L$2:$L$4094,F121)</f>
        <v>13</v>
      </c>
      <c r="L121" s="75">
        <f>SUMIFS(ABSEN!$Q$2:$Q$4094,ABSEN!$B$2:$B$4094,$B121,ABSEN!$L$2:$L$4094,F121)</f>
        <v>0</v>
      </c>
      <c r="M121" s="75">
        <f>SUMIFS(ABSEN!$W$2:$W$4094,ABSEN!$B$2:$B$4094,$B121,ABSEN!$L$2:$L$4094,F121)</f>
        <v>13</v>
      </c>
      <c r="N121" s="75">
        <f>SUMIFS(ABSEN!$R$2:$R$4094,ABSEN!$B$2:$B$4094,$B121,ABSEN!$L$2:$L$4094,F121)</f>
        <v>1</v>
      </c>
      <c r="O121" s="75">
        <f>SUMIFS(ABSEN!$S$2:$S$4094,ABSEN!$B$2:$B$4094,$B121,ABSEN!$L$2:$L$4094,F121)</f>
        <v>202</v>
      </c>
      <c r="P121" s="75">
        <f>SUMIFS(ABSEN!$T$2:$T$4094,ABSEN!$B$2:$B$4094,$B121,ABSEN!$L$2:$L$4094,F121)</f>
        <v>0</v>
      </c>
      <c r="Q121" s="75">
        <f>SUMIFS(ABSEN!$U$2:$U$4094,ABSEN!$B$2:$B$4094,$B121,ABSEN!$L$2:$L$4094,F121)</f>
        <v>13</v>
      </c>
      <c r="R121" s="75">
        <f>COUNTIFS(AKTIVITAS!$B$2:$B$3052,$B121,AKTIVITAS!$G$2:$G$3052,F121)</f>
        <v>13</v>
      </c>
      <c r="S121" s="75" t="str">
        <f>PEMAGANG!F32</f>
        <v>VERIFICATION (SID) JR. OFFICER</v>
      </c>
      <c r="T121" s="75">
        <f>SUMIFS(AKTIVITAS!$H$2:$H$3052,AKTIVITAS!$B$2:$B$3052,$B121,AKTIVITAS!$G$2:$G$3052,F121)</f>
        <v>1626</v>
      </c>
    </row>
    <row r="122" spans="1:20" x14ac:dyDescent="0.2">
      <c r="A122" s="82" t="str">
        <f>PEMAGANG!B33</f>
        <v>MG5326</v>
      </c>
      <c r="B122" s="82" t="str">
        <f>PEMAGANG!C33</f>
        <v>ALFINA ZAKYA ULA</v>
      </c>
      <c r="C122" s="82" t="str">
        <f>PEMAGANG!D33</f>
        <v>TRI HARTANTO</v>
      </c>
      <c r="D122" s="82" t="str">
        <f>PEMAGANG!E33</f>
        <v>MANDIRI</v>
      </c>
      <c r="E122" s="75" t="str">
        <f t="shared" si="3"/>
        <v>Juni</v>
      </c>
      <c r="F122" s="75">
        <f>MONTH(DATE(YEAR(SUMMARY!$C$6),MONTH(SUMMARY!$C$6)+0,1))</f>
        <v>6</v>
      </c>
      <c r="G122" s="83">
        <f>PEMAGANG!J33</f>
        <v>46279</v>
      </c>
      <c r="H122" s="83">
        <f>PEMAGANG!K33</f>
        <v>46295</v>
      </c>
      <c r="I122" s="75">
        <f>COUNTIFS(KALENDER!$D$3:$D$132,"Hari Kerja",KALENDER!$C$3:$C$132,F122,KALENDER!$A$3:$A$132,"&gt;="&amp;G122,KALENDER!$A$3:$A$132,"&lt;="&amp;H122)</f>
        <v>0</v>
      </c>
      <c r="J122" s="75">
        <f>COUNTIFS(KALENDER!$D$3:$D$132,"WFH",KALENDER!$C$3:$C$132,F122,KALENDER!$A$3:$A$132,"&gt;="&amp;G122,KALENDER!$A$3:$A$132,"&lt;="&amp;H122)</f>
        <v>0</v>
      </c>
      <c r="K122" s="75">
        <f>SUMIFS(ABSEN!$P$2:$P$4094,ABSEN!$B$2:$B$4094,$B122,ABSEN!$L$2:$L$4094,F122)</f>
        <v>0</v>
      </c>
      <c r="L122" s="75">
        <f>SUMIFS(ABSEN!$Q$2:$Q$4094,ABSEN!$B$2:$B$4094,$B122,ABSEN!$L$2:$L$4094,F122)</f>
        <v>0</v>
      </c>
      <c r="M122" s="75">
        <f>SUMIFS(ABSEN!$W$2:$W$4094,ABSEN!$B$2:$B$4094,$B122,ABSEN!$L$2:$L$4094,F122)</f>
        <v>0</v>
      </c>
      <c r="N122" s="75">
        <f>SUMIFS(ABSEN!$R$2:$R$4094,ABSEN!$B$2:$B$4094,$B122,ABSEN!$L$2:$L$4094,F122)</f>
        <v>0</v>
      </c>
      <c r="O122" s="75">
        <f>SUMIFS(ABSEN!$S$2:$S$4094,ABSEN!$B$2:$B$4094,$B122,ABSEN!$L$2:$L$4094,F122)</f>
        <v>0</v>
      </c>
      <c r="P122" s="75">
        <f>SUMIFS(ABSEN!$T$2:$T$4094,ABSEN!$B$2:$B$4094,$B122,ABSEN!$L$2:$L$4094,F122)</f>
        <v>0</v>
      </c>
      <c r="Q122" s="75">
        <f>SUMIFS(ABSEN!$U$2:$U$4094,ABSEN!$B$2:$B$4094,$B122,ABSEN!$L$2:$L$4094,F122)</f>
        <v>0</v>
      </c>
      <c r="R122" s="75">
        <f>COUNTIFS(AKTIVITAS!$B$2:$B$3052,$B122,AKTIVITAS!$G$2:$G$3052,F122)</f>
        <v>0</v>
      </c>
      <c r="S122" s="75" t="str">
        <f>PEMAGANG!F33</f>
        <v>SM OF CEMENT PURCHASING</v>
      </c>
      <c r="T122" s="75">
        <f>SUMIFS(AKTIVITAS!$H$2:$H$3052,AKTIVITAS!$B$2:$B$3052,$B122,AKTIVITAS!$G$2:$G$3052,F122)</f>
        <v>0</v>
      </c>
    </row>
    <row r="123" spans="1:20" x14ac:dyDescent="0.2">
      <c r="A123" s="82" t="str">
        <f>PEMAGANG!B33</f>
        <v>MG5326</v>
      </c>
      <c r="B123" s="82" t="str">
        <f>PEMAGANG!C33</f>
        <v>ALFINA ZAKYA ULA</v>
      </c>
      <c r="C123" s="82" t="str">
        <f>PEMAGANG!D33</f>
        <v>TRI HARTANTO</v>
      </c>
      <c r="D123" s="82" t="str">
        <f>PEMAGANG!E33</f>
        <v>MANDIRI</v>
      </c>
      <c r="E123" s="75" t="str">
        <f t="shared" si="3"/>
        <v>Juli</v>
      </c>
      <c r="F123" s="75">
        <f>MONTH(DATE(YEAR(SUMMARY!$C$6),MONTH(SUMMARY!$C$6)+1,1))</f>
        <v>7</v>
      </c>
      <c r="G123" s="83">
        <f>PEMAGANG!J33</f>
        <v>46279</v>
      </c>
      <c r="H123" s="83">
        <f>PEMAGANG!K33</f>
        <v>46295</v>
      </c>
      <c r="I123" s="75">
        <f>COUNTIFS(KALENDER!$D$3:$D$132,"Hari Kerja",KALENDER!$C$3:$C$132,F123,KALENDER!$A$3:$A$132,"&gt;="&amp;G123,KALENDER!$A$3:$A$132,"&lt;="&amp;H123)</f>
        <v>0</v>
      </c>
      <c r="J123" s="75">
        <f>COUNTIFS(KALENDER!$D$3:$D$132,"WFH",KALENDER!$C$3:$C$132,F123,KALENDER!$A$3:$A$132,"&gt;="&amp;G123,KALENDER!$A$3:$A$132,"&lt;="&amp;H123)</f>
        <v>0</v>
      </c>
      <c r="K123" s="75">
        <f>SUMIFS(ABSEN!$P$2:$P$4094,ABSEN!$B$2:$B$4094,$B123,ABSEN!$L$2:$L$4094,F123)</f>
        <v>0</v>
      </c>
      <c r="L123" s="75">
        <f>SUMIFS(ABSEN!$Q$2:$Q$4094,ABSEN!$B$2:$B$4094,$B123,ABSEN!$L$2:$L$4094,F123)</f>
        <v>0</v>
      </c>
      <c r="M123" s="75">
        <f>SUMIFS(ABSEN!$W$2:$W$4094,ABSEN!$B$2:$B$4094,$B123,ABSEN!$L$2:$L$4094,F123)</f>
        <v>0</v>
      </c>
      <c r="N123" s="75">
        <f>SUMIFS(ABSEN!$R$2:$R$4094,ABSEN!$B$2:$B$4094,$B123,ABSEN!$L$2:$L$4094,F123)</f>
        <v>0</v>
      </c>
      <c r="O123" s="75">
        <f>SUMIFS(ABSEN!$S$2:$S$4094,ABSEN!$B$2:$B$4094,$B123,ABSEN!$L$2:$L$4094,F123)</f>
        <v>0</v>
      </c>
      <c r="P123" s="75">
        <f>SUMIFS(ABSEN!$T$2:$T$4094,ABSEN!$B$2:$B$4094,$B123,ABSEN!$L$2:$L$4094,F123)</f>
        <v>0</v>
      </c>
      <c r="Q123" s="75">
        <f>SUMIFS(ABSEN!$U$2:$U$4094,ABSEN!$B$2:$B$4094,$B123,ABSEN!$L$2:$L$4094,F123)</f>
        <v>0</v>
      </c>
      <c r="R123" s="75">
        <f>COUNTIFS(AKTIVITAS!$B$2:$B$3052,$B123,AKTIVITAS!$G$2:$G$3052,F123)</f>
        <v>0</v>
      </c>
      <c r="S123" s="75" t="str">
        <f>PEMAGANG!F33</f>
        <v>SM OF CEMENT PURCHASING</v>
      </c>
      <c r="T123" s="75">
        <f>SUMIFS(AKTIVITAS!$H$2:$H$3052,AKTIVITAS!$B$2:$B$3052,$B123,AKTIVITAS!$G$2:$G$3052,F123)</f>
        <v>0</v>
      </c>
    </row>
    <row r="124" spans="1:20" x14ac:dyDescent="0.2">
      <c r="A124" s="82" t="str">
        <f>PEMAGANG!B33</f>
        <v>MG5326</v>
      </c>
      <c r="B124" s="82" t="str">
        <f>PEMAGANG!C33</f>
        <v>ALFINA ZAKYA ULA</v>
      </c>
      <c r="C124" s="82" t="str">
        <f>PEMAGANG!D33</f>
        <v>TRI HARTANTO</v>
      </c>
      <c r="D124" s="82" t="str">
        <f>PEMAGANG!E33</f>
        <v>MANDIRI</v>
      </c>
      <c r="E124" s="75" t="str">
        <f t="shared" si="3"/>
        <v>Agustus</v>
      </c>
      <c r="F124" s="75">
        <f>MONTH(DATE(YEAR(SUMMARY!$C$6),MONTH(SUMMARY!$C$6)+2,1))</f>
        <v>8</v>
      </c>
      <c r="G124" s="83">
        <f>PEMAGANG!J33</f>
        <v>46279</v>
      </c>
      <c r="H124" s="83">
        <f>PEMAGANG!K33</f>
        <v>46295</v>
      </c>
      <c r="I124" s="75">
        <f>COUNTIFS(KALENDER!$D$3:$D$132,"Hari Kerja",KALENDER!$C$3:$C$132,F124,KALENDER!$A$3:$A$132,"&gt;="&amp;G124,KALENDER!$A$3:$A$132,"&lt;="&amp;H124)</f>
        <v>0</v>
      </c>
      <c r="J124" s="75">
        <f>COUNTIFS(KALENDER!$D$3:$D$132,"WFH",KALENDER!$C$3:$C$132,F124,KALENDER!$A$3:$A$132,"&gt;="&amp;G124,KALENDER!$A$3:$A$132,"&lt;="&amp;H124)</f>
        <v>0</v>
      </c>
      <c r="K124" s="75">
        <f>SUMIFS(ABSEN!$P$2:$P$4094,ABSEN!$B$2:$B$4094,$B124,ABSEN!$L$2:$L$4094,F124)</f>
        <v>0</v>
      </c>
      <c r="L124" s="75">
        <f>SUMIFS(ABSEN!$Q$2:$Q$4094,ABSEN!$B$2:$B$4094,$B124,ABSEN!$L$2:$L$4094,F124)</f>
        <v>0</v>
      </c>
      <c r="M124" s="75">
        <f>SUMIFS(ABSEN!$W$2:$W$4094,ABSEN!$B$2:$B$4094,$B124,ABSEN!$L$2:$L$4094,F124)</f>
        <v>0</v>
      </c>
      <c r="N124" s="75">
        <f>SUMIFS(ABSEN!$R$2:$R$4094,ABSEN!$B$2:$B$4094,$B124,ABSEN!$L$2:$L$4094,F124)</f>
        <v>0</v>
      </c>
      <c r="O124" s="75">
        <f>SUMIFS(ABSEN!$S$2:$S$4094,ABSEN!$B$2:$B$4094,$B124,ABSEN!$L$2:$L$4094,F124)</f>
        <v>0</v>
      </c>
      <c r="P124" s="75">
        <f>SUMIFS(ABSEN!$T$2:$T$4094,ABSEN!$B$2:$B$4094,$B124,ABSEN!$L$2:$L$4094,F124)</f>
        <v>0</v>
      </c>
      <c r="Q124" s="75">
        <f>SUMIFS(ABSEN!$U$2:$U$4094,ABSEN!$B$2:$B$4094,$B124,ABSEN!$L$2:$L$4094,F124)</f>
        <v>0</v>
      </c>
      <c r="R124" s="75">
        <f>COUNTIFS(AKTIVITAS!$B$2:$B$3052,$B124,AKTIVITAS!$G$2:$G$3052,F124)</f>
        <v>0</v>
      </c>
      <c r="S124" s="75" t="str">
        <f>PEMAGANG!F33</f>
        <v>SM OF CEMENT PURCHASING</v>
      </c>
      <c r="T124" s="75">
        <f>SUMIFS(AKTIVITAS!$H$2:$H$3052,AKTIVITAS!$B$2:$B$3052,$B124,AKTIVITAS!$G$2:$G$3052,F124)</f>
        <v>0</v>
      </c>
    </row>
    <row r="125" spans="1:20" x14ac:dyDescent="0.2">
      <c r="A125" s="82" t="str">
        <f>PEMAGANG!B33</f>
        <v>MG5326</v>
      </c>
      <c r="B125" s="82" t="str">
        <f>PEMAGANG!C33</f>
        <v>ALFINA ZAKYA ULA</v>
      </c>
      <c r="C125" s="82" t="str">
        <f>PEMAGANG!D33</f>
        <v>TRI HARTANTO</v>
      </c>
      <c r="D125" s="82" t="str">
        <f>PEMAGANG!E33</f>
        <v>MANDIRI</v>
      </c>
      <c r="E125" s="75" t="str">
        <f t="shared" si="3"/>
        <v>September</v>
      </c>
      <c r="F125" s="75">
        <f>MONTH(DATE(YEAR(SUMMARY!$C$6),MONTH(SUMMARY!$C$6)+3,1))</f>
        <v>9</v>
      </c>
      <c r="G125" s="83">
        <f>PEMAGANG!J33</f>
        <v>46279</v>
      </c>
      <c r="H125" s="83">
        <f>PEMAGANG!K33</f>
        <v>46295</v>
      </c>
      <c r="I125" s="75">
        <f>COUNTIFS(KALENDER!$D$3:$D$132,"Hari Kerja",KALENDER!$C$3:$C$132,F125,KALENDER!$A$3:$A$132,"&gt;="&amp;G125,KALENDER!$A$3:$A$132,"&lt;="&amp;H125)</f>
        <v>13</v>
      </c>
      <c r="J125" s="75">
        <f>COUNTIFS(KALENDER!$D$3:$D$132,"WFH",KALENDER!$C$3:$C$132,F125,KALENDER!$A$3:$A$132,"&gt;="&amp;G125,KALENDER!$A$3:$A$132,"&lt;="&amp;H125)</f>
        <v>0</v>
      </c>
      <c r="K125" s="75">
        <f>SUMIFS(ABSEN!$P$2:$P$4094,ABSEN!$B$2:$B$4094,$B125,ABSEN!$L$2:$L$4094,F125)</f>
        <v>9</v>
      </c>
      <c r="L125" s="75">
        <f>SUMIFS(ABSEN!$Q$2:$Q$4094,ABSEN!$B$2:$B$4094,$B125,ABSEN!$L$2:$L$4094,F125)</f>
        <v>0</v>
      </c>
      <c r="M125" s="75">
        <f>SUMIFS(ABSEN!$W$2:$W$4094,ABSEN!$B$2:$B$4094,$B125,ABSEN!$L$2:$L$4094,F125)</f>
        <v>9</v>
      </c>
      <c r="N125" s="75">
        <f>SUMIFS(ABSEN!$R$2:$R$4094,ABSEN!$B$2:$B$4094,$B125,ABSEN!$L$2:$L$4094,F125)</f>
        <v>2</v>
      </c>
      <c r="O125" s="75">
        <f>SUMIFS(ABSEN!$S$2:$S$4094,ABSEN!$B$2:$B$4094,$B125,ABSEN!$L$2:$L$4094,F125)</f>
        <v>6.9999999999999698</v>
      </c>
      <c r="P125" s="75">
        <f>SUMIFS(ABSEN!$T$2:$T$4094,ABSEN!$B$2:$B$4094,$B125,ABSEN!$L$2:$L$4094,F125)</f>
        <v>3</v>
      </c>
      <c r="Q125" s="75">
        <f>SUMIFS(ABSEN!$U$2:$U$4094,ABSEN!$B$2:$B$4094,$B125,ABSEN!$L$2:$L$4094,F125)</f>
        <v>7</v>
      </c>
      <c r="R125" s="75">
        <f>COUNTIFS(AKTIVITAS!$B$2:$B$3052,$B125,AKTIVITAS!$G$2:$G$3052,F125)</f>
        <v>7</v>
      </c>
      <c r="S125" s="75" t="str">
        <f>PEMAGANG!F33</f>
        <v>SM OF CEMENT PURCHASING</v>
      </c>
      <c r="T125" s="75">
        <f>SUMIFS(AKTIVITAS!$H$2:$H$3052,AKTIVITAS!$B$2:$B$3052,$B125,AKTIVITAS!$G$2:$G$3052,F125)</f>
        <v>521</v>
      </c>
    </row>
    <row r="126" spans="1:20" x14ac:dyDescent="0.2">
      <c r="A126" s="82" t="str">
        <f>PEMAGANG!B34</f>
        <v>MG5426</v>
      </c>
      <c r="B126" s="82" t="str">
        <f>PEMAGANG!C34</f>
        <v>AMELIA KURNIA FITRI</v>
      </c>
      <c r="C126" s="82" t="str">
        <f>PEMAGANG!D34</f>
        <v>WATIN UTARI</v>
      </c>
      <c r="D126" s="82" t="str">
        <f>PEMAGANG!E34</f>
        <v>-</v>
      </c>
      <c r="E126" s="75" t="str">
        <f t="shared" si="3"/>
        <v>Juni</v>
      </c>
      <c r="F126" s="75">
        <f>MONTH(DATE(YEAR(SUMMARY!$C$6),MONTH(SUMMARY!$C$6)+0,1))</f>
        <v>6</v>
      </c>
      <c r="G126" s="83">
        <f>PEMAGANG!J34</f>
        <v>46287</v>
      </c>
      <c r="H126" s="83">
        <f>PEMAGANG!K34</f>
        <v>46295</v>
      </c>
      <c r="I126" s="75">
        <f>COUNTIFS(KALENDER!$D$3:$D$132,"Hari Kerja",KALENDER!$C$3:$C$132,F126,KALENDER!$A$3:$A$132,"&gt;="&amp;G126,KALENDER!$A$3:$A$132,"&lt;="&amp;H126)</f>
        <v>0</v>
      </c>
      <c r="J126" s="75">
        <f>COUNTIFS(KALENDER!$D$3:$D$132,"WFH",KALENDER!$C$3:$C$132,F126,KALENDER!$A$3:$A$132,"&gt;="&amp;G126,KALENDER!$A$3:$A$132,"&lt;="&amp;H126)</f>
        <v>0</v>
      </c>
      <c r="K126" s="75">
        <f>SUMIFS(ABSEN!$P$2:$P$4094,ABSEN!$B$2:$B$4094,$B126,ABSEN!$L$2:$L$4094,F126)</f>
        <v>0</v>
      </c>
      <c r="L126" s="75">
        <f>SUMIFS(ABSEN!$Q$2:$Q$4094,ABSEN!$B$2:$B$4094,$B126,ABSEN!$L$2:$L$4094,F126)</f>
        <v>0</v>
      </c>
      <c r="M126" s="75">
        <f>SUMIFS(ABSEN!$W$2:$W$4094,ABSEN!$B$2:$B$4094,$B126,ABSEN!$L$2:$L$4094,F126)</f>
        <v>0</v>
      </c>
      <c r="N126" s="75">
        <f>SUMIFS(ABSEN!$R$2:$R$4094,ABSEN!$B$2:$B$4094,$B126,ABSEN!$L$2:$L$4094,F126)</f>
        <v>0</v>
      </c>
      <c r="O126" s="75">
        <f>SUMIFS(ABSEN!$S$2:$S$4094,ABSEN!$B$2:$B$4094,$B126,ABSEN!$L$2:$L$4094,F126)</f>
        <v>0</v>
      </c>
      <c r="P126" s="75">
        <f>SUMIFS(ABSEN!$T$2:$T$4094,ABSEN!$B$2:$B$4094,$B126,ABSEN!$L$2:$L$4094,F126)</f>
        <v>0</v>
      </c>
      <c r="Q126" s="75">
        <f>SUMIFS(ABSEN!$U$2:$U$4094,ABSEN!$B$2:$B$4094,$B126,ABSEN!$L$2:$L$4094,F126)</f>
        <v>0</v>
      </c>
      <c r="R126" s="75">
        <f>COUNTIFS(AKTIVITAS!$B$2:$B$3052,$B126,AKTIVITAS!$G$2:$G$3052,F126)</f>
        <v>0</v>
      </c>
      <c r="S126" s="75" t="str">
        <f>PEMAGANG!F34</f>
        <v>PJ GM OF MARKETING (SID)</v>
      </c>
      <c r="T126" s="75">
        <f>SUMIFS(AKTIVITAS!$H$2:$H$3052,AKTIVITAS!$B$2:$B$3052,$B126,AKTIVITAS!$G$2:$G$3052,F126)</f>
        <v>0</v>
      </c>
    </row>
    <row r="127" spans="1:20" x14ac:dyDescent="0.2">
      <c r="A127" s="82" t="str">
        <f>PEMAGANG!B34</f>
        <v>MG5426</v>
      </c>
      <c r="B127" s="82" t="str">
        <f>PEMAGANG!C34</f>
        <v>AMELIA KURNIA FITRI</v>
      </c>
      <c r="C127" s="82" t="str">
        <f>PEMAGANG!D34</f>
        <v>WATIN UTARI</v>
      </c>
      <c r="D127" s="82" t="str">
        <f>PEMAGANG!E34</f>
        <v>-</v>
      </c>
      <c r="E127" s="75" t="str">
        <f t="shared" si="3"/>
        <v>Juli</v>
      </c>
      <c r="F127" s="75">
        <f>MONTH(DATE(YEAR(SUMMARY!$C$6),MONTH(SUMMARY!$C$6)+1,1))</f>
        <v>7</v>
      </c>
      <c r="G127" s="83">
        <f>PEMAGANG!J34</f>
        <v>46287</v>
      </c>
      <c r="H127" s="83">
        <f>PEMAGANG!K34</f>
        <v>46295</v>
      </c>
      <c r="I127" s="75">
        <f>COUNTIFS(KALENDER!$D$3:$D$132,"Hari Kerja",KALENDER!$C$3:$C$132,F127,KALENDER!$A$3:$A$132,"&gt;="&amp;G127,KALENDER!$A$3:$A$132,"&lt;="&amp;H127)</f>
        <v>0</v>
      </c>
      <c r="J127" s="75">
        <f>COUNTIFS(KALENDER!$D$3:$D$132,"WFH",KALENDER!$C$3:$C$132,F127,KALENDER!$A$3:$A$132,"&gt;="&amp;G127,KALENDER!$A$3:$A$132,"&lt;="&amp;H127)</f>
        <v>0</v>
      </c>
      <c r="K127" s="75">
        <f>SUMIFS(ABSEN!$P$2:$P$4094,ABSEN!$B$2:$B$4094,$B127,ABSEN!$L$2:$L$4094,F127)</f>
        <v>0</v>
      </c>
      <c r="L127" s="75">
        <f>SUMIFS(ABSEN!$Q$2:$Q$4094,ABSEN!$B$2:$B$4094,$B127,ABSEN!$L$2:$L$4094,F127)</f>
        <v>0</v>
      </c>
      <c r="M127" s="75">
        <f>SUMIFS(ABSEN!$W$2:$W$4094,ABSEN!$B$2:$B$4094,$B127,ABSEN!$L$2:$L$4094,F127)</f>
        <v>0</v>
      </c>
      <c r="N127" s="75">
        <f>SUMIFS(ABSEN!$R$2:$R$4094,ABSEN!$B$2:$B$4094,$B127,ABSEN!$L$2:$L$4094,F127)</f>
        <v>0</v>
      </c>
      <c r="O127" s="75">
        <f>SUMIFS(ABSEN!$S$2:$S$4094,ABSEN!$B$2:$B$4094,$B127,ABSEN!$L$2:$L$4094,F127)</f>
        <v>0</v>
      </c>
      <c r="P127" s="75">
        <f>SUMIFS(ABSEN!$T$2:$T$4094,ABSEN!$B$2:$B$4094,$B127,ABSEN!$L$2:$L$4094,F127)</f>
        <v>0</v>
      </c>
      <c r="Q127" s="75">
        <f>SUMIFS(ABSEN!$U$2:$U$4094,ABSEN!$B$2:$B$4094,$B127,ABSEN!$L$2:$L$4094,F127)</f>
        <v>0</v>
      </c>
      <c r="R127" s="75">
        <f>COUNTIFS(AKTIVITAS!$B$2:$B$3052,$B127,AKTIVITAS!$G$2:$G$3052,F127)</f>
        <v>0</v>
      </c>
      <c r="S127" s="75" t="str">
        <f>PEMAGANG!F34</f>
        <v>PJ GM OF MARKETING (SID)</v>
      </c>
      <c r="T127" s="75">
        <f>SUMIFS(AKTIVITAS!$H$2:$H$3052,AKTIVITAS!$B$2:$B$3052,$B127,AKTIVITAS!$G$2:$G$3052,F127)</f>
        <v>0</v>
      </c>
    </row>
    <row r="128" spans="1:20" x14ac:dyDescent="0.2">
      <c r="A128" s="82" t="str">
        <f>PEMAGANG!B34</f>
        <v>MG5426</v>
      </c>
      <c r="B128" s="82" t="str">
        <f>PEMAGANG!C34</f>
        <v>AMELIA KURNIA FITRI</v>
      </c>
      <c r="C128" s="82" t="str">
        <f>PEMAGANG!D34</f>
        <v>WATIN UTARI</v>
      </c>
      <c r="D128" s="82" t="str">
        <f>PEMAGANG!E34</f>
        <v>-</v>
      </c>
      <c r="E128" s="75" t="str">
        <f t="shared" si="3"/>
        <v>Agustus</v>
      </c>
      <c r="F128" s="75">
        <f>MONTH(DATE(YEAR(SUMMARY!$C$6),MONTH(SUMMARY!$C$6)+2,1))</f>
        <v>8</v>
      </c>
      <c r="G128" s="83">
        <f>PEMAGANG!J34</f>
        <v>46287</v>
      </c>
      <c r="H128" s="83">
        <f>PEMAGANG!K34</f>
        <v>46295</v>
      </c>
      <c r="I128" s="75">
        <f>COUNTIFS(KALENDER!$D$3:$D$132,"Hari Kerja",KALENDER!$C$3:$C$132,F128,KALENDER!$A$3:$A$132,"&gt;="&amp;G128,KALENDER!$A$3:$A$132,"&lt;="&amp;H128)</f>
        <v>0</v>
      </c>
      <c r="J128" s="75">
        <f>COUNTIFS(KALENDER!$D$3:$D$132,"WFH",KALENDER!$C$3:$C$132,F128,KALENDER!$A$3:$A$132,"&gt;="&amp;G128,KALENDER!$A$3:$A$132,"&lt;="&amp;H128)</f>
        <v>0</v>
      </c>
      <c r="K128" s="75">
        <f>SUMIFS(ABSEN!$P$2:$P$4094,ABSEN!$B$2:$B$4094,$B128,ABSEN!$L$2:$L$4094,F128)</f>
        <v>0</v>
      </c>
      <c r="L128" s="75">
        <f>SUMIFS(ABSEN!$Q$2:$Q$4094,ABSEN!$B$2:$B$4094,$B128,ABSEN!$L$2:$L$4094,F128)</f>
        <v>0</v>
      </c>
      <c r="M128" s="75">
        <f>SUMIFS(ABSEN!$W$2:$W$4094,ABSEN!$B$2:$B$4094,$B128,ABSEN!$L$2:$L$4094,F128)</f>
        <v>0</v>
      </c>
      <c r="N128" s="75">
        <f>SUMIFS(ABSEN!$R$2:$R$4094,ABSEN!$B$2:$B$4094,$B128,ABSEN!$L$2:$L$4094,F128)</f>
        <v>0</v>
      </c>
      <c r="O128" s="75">
        <f>SUMIFS(ABSEN!$S$2:$S$4094,ABSEN!$B$2:$B$4094,$B128,ABSEN!$L$2:$L$4094,F128)</f>
        <v>0</v>
      </c>
      <c r="P128" s="75">
        <f>SUMIFS(ABSEN!$T$2:$T$4094,ABSEN!$B$2:$B$4094,$B128,ABSEN!$L$2:$L$4094,F128)</f>
        <v>0</v>
      </c>
      <c r="Q128" s="75">
        <f>SUMIFS(ABSEN!$U$2:$U$4094,ABSEN!$B$2:$B$4094,$B128,ABSEN!$L$2:$L$4094,F128)</f>
        <v>0</v>
      </c>
      <c r="R128" s="75">
        <f>COUNTIFS(AKTIVITAS!$B$2:$B$3052,$B128,AKTIVITAS!$G$2:$G$3052,F128)</f>
        <v>0</v>
      </c>
      <c r="S128" s="75" t="str">
        <f>PEMAGANG!F34</f>
        <v>PJ GM OF MARKETING (SID)</v>
      </c>
      <c r="T128" s="75">
        <f>SUMIFS(AKTIVITAS!$H$2:$H$3052,AKTIVITAS!$B$2:$B$3052,$B128,AKTIVITAS!$G$2:$G$3052,F128)</f>
        <v>0</v>
      </c>
    </row>
    <row r="129" spans="1:20" x14ac:dyDescent="0.2">
      <c r="A129" s="82" t="str">
        <f>PEMAGANG!B34</f>
        <v>MG5426</v>
      </c>
      <c r="B129" s="82" t="str">
        <f>PEMAGANG!C34</f>
        <v>AMELIA KURNIA FITRI</v>
      </c>
      <c r="C129" s="82" t="str">
        <f>PEMAGANG!D34</f>
        <v>WATIN UTARI</v>
      </c>
      <c r="D129" s="82" t="str">
        <f>PEMAGANG!E34</f>
        <v>-</v>
      </c>
      <c r="E129" s="75" t="str">
        <f t="shared" si="3"/>
        <v>September</v>
      </c>
      <c r="F129" s="75">
        <f>MONTH(DATE(YEAR(SUMMARY!$C$6),MONTH(SUMMARY!$C$6)+3,1))</f>
        <v>9</v>
      </c>
      <c r="G129" s="83">
        <f>PEMAGANG!J34</f>
        <v>46287</v>
      </c>
      <c r="H129" s="83">
        <f>PEMAGANG!K34</f>
        <v>46295</v>
      </c>
      <c r="I129" s="75">
        <f>COUNTIFS(KALENDER!$D$3:$D$132,"Hari Kerja",KALENDER!$C$3:$C$132,F129,KALENDER!$A$3:$A$132,"&gt;="&amp;G129,KALENDER!$A$3:$A$132,"&lt;="&amp;H129)</f>
        <v>7</v>
      </c>
      <c r="J129" s="75">
        <f>COUNTIFS(KALENDER!$D$3:$D$132,"WFH",KALENDER!$C$3:$C$132,F129,KALENDER!$A$3:$A$132,"&gt;="&amp;G129,KALENDER!$A$3:$A$132,"&lt;="&amp;H129)</f>
        <v>0</v>
      </c>
      <c r="K129" s="75">
        <f>SUMIFS(ABSEN!$P$2:$P$4094,ABSEN!$B$2:$B$4094,$B129,ABSEN!$L$2:$L$4094,F129)</f>
        <v>6</v>
      </c>
      <c r="L129" s="75">
        <f>SUMIFS(ABSEN!$Q$2:$Q$4094,ABSEN!$B$2:$B$4094,$B129,ABSEN!$L$2:$L$4094,F129)</f>
        <v>0</v>
      </c>
      <c r="M129" s="75">
        <f>SUMIFS(ABSEN!$W$2:$W$4094,ABSEN!$B$2:$B$4094,$B129,ABSEN!$L$2:$L$4094,F129)</f>
        <v>6</v>
      </c>
      <c r="N129" s="75">
        <f>SUMIFS(ABSEN!$R$2:$R$4094,ABSEN!$B$2:$B$4094,$B129,ABSEN!$L$2:$L$4094,F129)</f>
        <v>1</v>
      </c>
      <c r="O129" s="75">
        <f>SUMIFS(ABSEN!$S$2:$S$4094,ABSEN!$B$2:$B$4094,$B129,ABSEN!$L$2:$L$4094,F129)</f>
        <v>334</v>
      </c>
      <c r="P129" s="75">
        <f>SUMIFS(ABSEN!$T$2:$T$4094,ABSEN!$B$2:$B$4094,$B129,ABSEN!$L$2:$L$4094,F129)</f>
        <v>0</v>
      </c>
      <c r="Q129" s="75">
        <f>SUMIFS(ABSEN!$U$2:$U$4094,ABSEN!$B$2:$B$4094,$B129,ABSEN!$L$2:$L$4094,F129)</f>
        <v>6</v>
      </c>
      <c r="R129" s="75">
        <f>COUNTIFS(AKTIVITAS!$B$2:$B$3052,$B129,AKTIVITAS!$G$2:$G$3052,F129)</f>
        <v>13</v>
      </c>
      <c r="S129" s="75" t="str">
        <f>PEMAGANG!F34</f>
        <v>PJ GM OF MARKETING (SID)</v>
      </c>
      <c r="T129" s="75">
        <f>SUMIFS(AKTIVITAS!$H$2:$H$3052,AKTIVITAS!$B$2:$B$3052,$B129,AKTIVITAS!$G$2:$G$3052,F129)</f>
        <v>480</v>
      </c>
    </row>
    <row r="130" spans="1:20" x14ac:dyDescent="0.2">
      <c r="A130" s="82" t="str">
        <f>PEMAGANG!B35</f>
        <v>MG/KH/4025</v>
      </c>
      <c r="B130" s="82" t="str">
        <f>PEMAGANG!C35</f>
        <v>PUTRI WIDYOWATI</v>
      </c>
      <c r="C130" s="82" t="str">
        <f>PEMAGANG!D35</f>
        <v>WAWAN SETIAWAN</v>
      </c>
      <c r="D130" s="82" t="str">
        <f>PEMAGANG!E35</f>
        <v>Kontrak Project</v>
      </c>
      <c r="E130" s="75" t="str">
        <f t="shared" ref="E130:E161" si="4">CHOOSE(F130,"Januari","Februari","Maret","April","Mei","Juni","Juli","Agustus","September","Oktober","November","Desember")</f>
        <v>Juni</v>
      </c>
      <c r="F130" s="75">
        <f>MONTH(DATE(YEAR(SUMMARY!$C$6),MONTH(SUMMARY!$C$6)+0,1))</f>
        <v>6</v>
      </c>
      <c r="G130" s="83">
        <f>PEMAGANG!J35</f>
        <v>46174</v>
      </c>
      <c r="H130" s="83">
        <f>PEMAGANG!K35</f>
        <v>46295</v>
      </c>
      <c r="I130" s="75">
        <f>COUNTIFS(KALENDER!$D$3:$D$132,"Hari Kerja",KALENDER!$C$3:$C$132,F130,KALENDER!$A$3:$A$132,"&gt;="&amp;G130,KALENDER!$A$3:$A$132,"&lt;="&amp;H130)</f>
        <v>16</v>
      </c>
      <c r="J130" s="75">
        <f>COUNTIFS(KALENDER!$D$3:$D$132,"WFH",KALENDER!$C$3:$C$132,F130,KALENDER!$A$3:$A$132,"&gt;="&amp;G130,KALENDER!$A$3:$A$132,"&lt;="&amp;H130)</f>
        <v>4</v>
      </c>
      <c r="K130" s="75">
        <f>SUMIFS(ABSEN!$P$2:$P$4094,ABSEN!$B$2:$B$4094,$B130,ABSEN!$L$2:$L$4094,F130)</f>
        <v>16</v>
      </c>
      <c r="L130" s="75">
        <f>SUMIFS(ABSEN!$Q$2:$Q$4094,ABSEN!$B$2:$B$4094,$B130,ABSEN!$L$2:$L$4094,F130)</f>
        <v>2</v>
      </c>
      <c r="M130" s="75">
        <f>SUMIFS(ABSEN!$W$2:$W$4094,ABSEN!$B$2:$B$4094,$B130,ABSEN!$L$2:$L$4094,F130)</f>
        <v>18</v>
      </c>
      <c r="N130" s="75">
        <f>SUMIFS(ABSEN!$R$2:$R$4094,ABSEN!$B$2:$B$4094,$B130,ABSEN!$L$2:$L$4094,F130)</f>
        <v>7</v>
      </c>
      <c r="O130" s="75">
        <f>SUMIFS(ABSEN!$S$2:$S$4094,ABSEN!$B$2:$B$4094,$B130,ABSEN!$L$2:$L$4094,F130)</f>
        <v>406</v>
      </c>
      <c r="P130" s="75">
        <f>SUMIFS(ABSEN!$T$2:$T$4094,ABSEN!$B$2:$B$4094,$B130,ABSEN!$L$2:$L$4094,F130)</f>
        <v>3</v>
      </c>
      <c r="Q130" s="75">
        <f>SUMIFS(ABSEN!$U$2:$U$4094,ABSEN!$B$2:$B$4094,$B130,ABSEN!$L$2:$L$4094,F130)</f>
        <v>17</v>
      </c>
      <c r="R130" s="75">
        <f>COUNTIFS(AKTIVITAS!$B$2:$B$3052,$B130,AKTIVITAS!$G$2:$G$3052,F130)</f>
        <v>19</v>
      </c>
      <c r="S130" s="75" t="str">
        <f>PEMAGANG!F35</f>
        <v>VERIFICATION (SID) JR. OFFICER</v>
      </c>
      <c r="T130" s="75">
        <f>SUMIFS(AKTIVITAS!$H$2:$H$3052,AKTIVITAS!$B$2:$B$3052,$B130,AKTIVITAS!$G$2:$G$3052,F130)</f>
        <v>3198</v>
      </c>
    </row>
    <row r="131" spans="1:20" x14ac:dyDescent="0.2">
      <c r="A131" s="82" t="str">
        <f>PEMAGANG!B35</f>
        <v>MG/KH/4025</v>
      </c>
      <c r="B131" s="82" t="str">
        <f>PEMAGANG!C35</f>
        <v>PUTRI WIDYOWATI</v>
      </c>
      <c r="C131" s="82" t="str">
        <f>PEMAGANG!D35</f>
        <v>WAWAN SETIAWAN</v>
      </c>
      <c r="D131" s="82" t="str">
        <f>PEMAGANG!E35</f>
        <v>Kontrak Project</v>
      </c>
      <c r="E131" s="75" t="str">
        <f t="shared" si="4"/>
        <v>Juli</v>
      </c>
      <c r="F131" s="75">
        <f>MONTH(DATE(YEAR(SUMMARY!$C$6),MONTH(SUMMARY!$C$6)+1,1))</f>
        <v>7</v>
      </c>
      <c r="G131" s="83">
        <f>PEMAGANG!J35</f>
        <v>46174</v>
      </c>
      <c r="H131" s="83">
        <f>PEMAGANG!K35</f>
        <v>46295</v>
      </c>
      <c r="I131" s="75">
        <f>COUNTIFS(KALENDER!$D$3:$D$132,"Hari Kerja",KALENDER!$C$3:$C$132,F131,KALENDER!$A$3:$A$132,"&gt;="&amp;G131,KALENDER!$A$3:$A$132,"&lt;="&amp;H131)</f>
        <v>18</v>
      </c>
      <c r="J131" s="75">
        <f>COUNTIFS(KALENDER!$D$3:$D$132,"WFH",KALENDER!$C$3:$C$132,F131,KALENDER!$A$3:$A$132,"&gt;="&amp;G131,KALENDER!$A$3:$A$132,"&lt;="&amp;H131)</f>
        <v>5</v>
      </c>
      <c r="K131" s="75">
        <f>SUMIFS(ABSEN!$P$2:$P$4094,ABSEN!$B$2:$B$4094,$B131,ABSEN!$L$2:$L$4094,F131)</f>
        <v>18</v>
      </c>
      <c r="L131" s="75">
        <f>SUMIFS(ABSEN!$Q$2:$Q$4094,ABSEN!$B$2:$B$4094,$B131,ABSEN!$L$2:$L$4094,F131)</f>
        <v>3</v>
      </c>
      <c r="M131" s="75">
        <f>SUMIFS(ABSEN!$W$2:$W$4094,ABSEN!$B$2:$B$4094,$B131,ABSEN!$L$2:$L$4094,F131)</f>
        <v>21</v>
      </c>
      <c r="N131" s="75">
        <f>SUMIFS(ABSEN!$R$2:$R$4094,ABSEN!$B$2:$B$4094,$B131,ABSEN!$L$2:$L$4094,F131)</f>
        <v>2</v>
      </c>
      <c r="O131" s="75">
        <f>SUMIFS(ABSEN!$S$2:$S$4094,ABSEN!$B$2:$B$4094,$B131,ABSEN!$L$2:$L$4094,F131)</f>
        <v>17.999999999999996</v>
      </c>
      <c r="P131" s="75">
        <f>SUMIFS(ABSEN!$T$2:$T$4094,ABSEN!$B$2:$B$4094,$B131,ABSEN!$L$2:$L$4094,F131)</f>
        <v>1</v>
      </c>
      <c r="Q131" s="75">
        <f>SUMIFS(ABSEN!$U$2:$U$4094,ABSEN!$B$2:$B$4094,$B131,ABSEN!$L$2:$L$4094,F131)</f>
        <v>21</v>
      </c>
      <c r="R131" s="75">
        <f>COUNTIFS(AKTIVITAS!$B$2:$B$3052,$B131,AKTIVITAS!$G$2:$G$3052,F131)</f>
        <v>23</v>
      </c>
      <c r="S131" s="75" t="str">
        <f>PEMAGANG!F35</f>
        <v>VERIFICATION (SID) JR. OFFICER</v>
      </c>
      <c r="T131" s="75">
        <f>SUMIFS(AKTIVITAS!$H$2:$H$3052,AKTIVITAS!$B$2:$B$3052,$B131,AKTIVITAS!$G$2:$G$3052,F131)</f>
        <v>5865</v>
      </c>
    </row>
    <row r="132" spans="1:20" x14ac:dyDescent="0.2">
      <c r="A132" s="82" t="str">
        <f>PEMAGANG!B35</f>
        <v>MG/KH/4025</v>
      </c>
      <c r="B132" s="82" t="str">
        <f>PEMAGANG!C35</f>
        <v>PUTRI WIDYOWATI</v>
      </c>
      <c r="C132" s="82" t="str">
        <f>PEMAGANG!D35</f>
        <v>WAWAN SETIAWAN</v>
      </c>
      <c r="D132" s="82" t="str">
        <f>PEMAGANG!E35</f>
        <v>Kontrak Project</v>
      </c>
      <c r="E132" s="75" t="str">
        <f t="shared" si="4"/>
        <v>Agustus</v>
      </c>
      <c r="F132" s="75">
        <f>MONTH(DATE(YEAR(SUMMARY!$C$6),MONTH(SUMMARY!$C$6)+2,1))</f>
        <v>8</v>
      </c>
      <c r="G132" s="83">
        <f>PEMAGANG!J35</f>
        <v>46174</v>
      </c>
      <c r="H132" s="83">
        <f>PEMAGANG!K35</f>
        <v>46295</v>
      </c>
      <c r="I132" s="75">
        <f>COUNTIFS(KALENDER!$D$3:$D$132,"Hari Kerja",KALENDER!$C$3:$C$132,F132,KALENDER!$A$3:$A$132,"&gt;="&amp;G132,KALENDER!$A$3:$A$132,"&lt;="&amp;H132)</f>
        <v>19</v>
      </c>
      <c r="J132" s="75">
        <f>COUNTIFS(KALENDER!$D$3:$D$132,"WFH",KALENDER!$C$3:$C$132,F132,KALENDER!$A$3:$A$132,"&gt;="&amp;G132,KALENDER!$A$3:$A$132,"&lt;="&amp;H132)</f>
        <v>0</v>
      </c>
      <c r="K132" s="75">
        <f>SUMIFS(ABSEN!$P$2:$P$4094,ABSEN!$B$2:$B$4094,$B132,ABSEN!$L$2:$L$4094,F132)</f>
        <v>19</v>
      </c>
      <c r="L132" s="75">
        <f>SUMIFS(ABSEN!$Q$2:$Q$4094,ABSEN!$B$2:$B$4094,$B132,ABSEN!$L$2:$L$4094,F132)</f>
        <v>0</v>
      </c>
      <c r="M132" s="75">
        <f>SUMIFS(ABSEN!$W$2:$W$4094,ABSEN!$B$2:$B$4094,$B132,ABSEN!$L$2:$L$4094,F132)</f>
        <v>19</v>
      </c>
      <c r="N132" s="75">
        <f>SUMIFS(ABSEN!$R$2:$R$4094,ABSEN!$B$2:$B$4094,$B132,ABSEN!$L$2:$L$4094,F132)</f>
        <v>3</v>
      </c>
      <c r="O132" s="75">
        <f>SUMIFS(ABSEN!$S$2:$S$4094,ABSEN!$B$2:$B$4094,$B132,ABSEN!$L$2:$L$4094,F132)</f>
        <v>1090</v>
      </c>
      <c r="P132" s="75">
        <f>SUMIFS(ABSEN!$T$2:$T$4094,ABSEN!$B$2:$B$4094,$B132,ABSEN!$L$2:$L$4094,F132)</f>
        <v>0</v>
      </c>
      <c r="Q132" s="75">
        <f>SUMIFS(ABSEN!$U$2:$U$4094,ABSEN!$B$2:$B$4094,$B132,ABSEN!$L$2:$L$4094,F132)</f>
        <v>19</v>
      </c>
      <c r="R132" s="75">
        <f>COUNTIFS(AKTIVITAS!$B$2:$B$3052,$B132,AKTIVITAS!$G$2:$G$3052,F132)</f>
        <v>27</v>
      </c>
      <c r="S132" s="75" t="str">
        <f>PEMAGANG!F35</f>
        <v>VERIFICATION (SID) JR. OFFICER</v>
      </c>
      <c r="T132" s="75">
        <f>SUMIFS(AKTIVITAS!$H$2:$H$3052,AKTIVITAS!$B$2:$B$3052,$B132,AKTIVITAS!$G$2:$G$3052,F132)</f>
        <v>5021</v>
      </c>
    </row>
    <row r="133" spans="1:20" x14ac:dyDescent="0.2">
      <c r="A133" s="82" t="str">
        <f>PEMAGANG!B35</f>
        <v>MG/KH/4025</v>
      </c>
      <c r="B133" s="82" t="str">
        <f>PEMAGANG!C35</f>
        <v>PUTRI WIDYOWATI</v>
      </c>
      <c r="C133" s="82" t="str">
        <f>PEMAGANG!D35</f>
        <v>WAWAN SETIAWAN</v>
      </c>
      <c r="D133" s="82" t="str">
        <f>PEMAGANG!E35</f>
        <v>Kontrak Project</v>
      </c>
      <c r="E133" s="75" t="str">
        <f t="shared" si="4"/>
        <v>September</v>
      </c>
      <c r="F133" s="75">
        <f>MONTH(DATE(YEAR(SUMMARY!$C$6),MONTH(SUMMARY!$C$6)+3,1))</f>
        <v>9</v>
      </c>
      <c r="G133" s="83">
        <f>PEMAGANG!J35</f>
        <v>46174</v>
      </c>
      <c r="H133" s="83">
        <f>PEMAGANG!K35</f>
        <v>46295</v>
      </c>
      <c r="I133" s="75">
        <f>COUNTIFS(KALENDER!$D$3:$D$132,"Hari Kerja",KALENDER!$C$3:$C$132,F133,KALENDER!$A$3:$A$132,"&gt;="&amp;G133,KALENDER!$A$3:$A$132,"&lt;="&amp;H133)</f>
        <v>22</v>
      </c>
      <c r="J133" s="75">
        <f>COUNTIFS(KALENDER!$D$3:$D$132,"WFH",KALENDER!$C$3:$C$132,F133,KALENDER!$A$3:$A$132,"&gt;="&amp;G133,KALENDER!$A$3:$A$132,"&lt;="&amp;H133)</f>
        <v>0</v>
      </c>
      <c r="K133" s="75">
        <f>SUMIFS(ABSEN!$P$2:$P$4094,ABSEN!$B$2:$B$4094,$B133,ABSEN!$L$2:$L$4094,F133)</f>
        <v>22</v>
      </c>
      <c r="L133" s="75">
        <f>SUMIFS(ABSEN!$Q$2:$Q$4094,ABSEN!$B$2:$B$4094,$B133,ABSEN!$L$2:$L$4094,F133)</f>
        <v>0</v>
      </c>
      <c r="M133" s="75">
        <f>SUMIFS(ABSEN!$W$2:$W$4094,ABSEN!$B$2:$B$4094,$B133,ABSEN!$L$2:$L$4094,F133)</f>
        <v>22</v>
      </c>
      <c r="N133" s="75">
        <f>SUMIFS(ABSEN!$R$2:$R$4094,ABSEN!$B$2:$B$4094,$B133,ABSEN!$L$2:$L$4094,F133)</f>
        <v>0</v>
      </c>
      <c r="O133" s="75">
        <f>SUMIFS(ABSEN!$S$2:$S$4094,ABSEN!$B$2:$B$4094,$B133,ABSEN!$L$2:$L$4094,F133)</f>
        <v>0</v>
      </c>
      <c r="P133" s="75">
        <f>SUMIFS(ABSEN!$T$2:$T$4094,ABSEN!$B$2:$B$4094,$B133,ABSEN!$L$2:$L$4094,F133)</f>
        <v>2</v>
      </c>
      <c r="Q133" s="75">
        <f>SUMIFS(ABSEN!$U$2:$U$4094,ABSEN!$B$2:$B$4094,$B133,ABSEN!$L$2:$L$4094,F133)</f>
        <v>22</v>
      </c>
      <c r="R133" s="75">
        <f>COUNTIFS(AKTIVITAS!$B$2:$B$3052,$B133,AKTIVITAS!$G$2:$G$3052,F133)</f>
        <v>50</v>
      </c>
      <c r="S133" s="75" t="str">
        <f>PEMAGANG!F35</f>
        <v>VERIFICATION (SID) JR. OFFICER</v>
      </c>
      <c r="T133" s="75">
        <f>SUMIFS(AKTIVITAS!$H$2:$H$3052,AKTIVITAS!$B$2:$B$3052,$B133,AKTIVITAS!$G$2:$G$3052,F133)</f>
        <v>6030</v>
      </c>
    </row>
    <row r="134" spans="1:20" x14ac:dyDescent="0.2">
      <c r="A134" s="82" t="str">
        <f>PEMAGANG!B36</f>
        <v>MG/KH/4626</v>
      </c>
      <c r="B134" s="82" t="str">
        <f>PEMAGANG!C36</f>
        <v>MUHAMMAD QAIRUL UMAM</v>
      </c>
      <c r="C134" s="82" t="str">
        <f>PEMAGANG!D36</f>
        <v>YUSUF REZA MUHAMMAD</v>
      </c>
      <c r="D134" s="82" t="str">
        <f>PEMAGANG!E36</f>
        <v>KEMNAKER</v>
      </c>
      <c r="E134" s="75" t="str">
        <f t="shared" si="4"/>
        <v>Juni</v>
      </c>
      <c r="F134" s="75">
        <f>MONTH(DATE(YEAR(SUMMARY!$C$6),MONTH(SUMMARY!$C$6)+0,1))</f>
        <v>6</v>
      </c>
      <c r="G134" s="83">
        <f>PEMAGANG!J36</f>
        <v>46244</v>
      </c>
      <c r="H134" s="83">
        <f>PEMAGANG!K36</f>
        <v>46295</v>
      </c>
      <c r="I134" s="75">
        <f>COUNTIFS(KALENDER!$D$3:$D$132,"Hari Kerja",KALENDER!$C$3:$C$132,F134,KALENDER!$A$3:$A$132,"&gt;="&amp;G134,KALENDER!$A$3:$A$132,"&lt;="&amp;H134)</f>
        <v>0</v>
      </c>
      <c r="J134" s="75">
        <f>COUNTIFS(KALENDER!$D$3:$D$132,"WFH",KALENDER!$C$3:$C$132,F134,KALENDER!$A$3:$A$132,"&gt;="&amp;G134,KALENDER!$A$3:$A$132,"&lt;="&amp;H134)</f>
        <v>0</v>
      </c>
      <c r="K134" s="75">
        <f>SUMIFS(ABSEN!$P$2:$P$4094,ABSEN!$B$2:$B$4094,$B134,ABSEN!$L$2:$L$4094,F134)</f>
        <v>0</v>
      </c>
      <c r="L134" s="75">
        <f>SUMIFS(ABSEN!$Q$2:$Q$4094,ABSEN!$B$2:$B$4094,$B134,ABSEN!$L$2:$L$4094,F134)</f>
        <v>0</v>
      </c>
      <c r="M134" s="75">
        <f>SUMIFS(ABSEN!$W$2:$W$4094,ABSEN!$B$2:$B$4094,$B134,ABSEN!$L$2:$L$4094,F134)</f>
        <v>0</v>
      </c>
      <c r="N134" s="75">
        <f>SUMIFS(ABSEN!$R$2:$R$4094,ABSEN!$B$2:$B$4094,$B134,ABSEN!$L$2:$L$4094,F134)</f>
        <v>0</v>
      </c>
      <c r="O134" s="75">
        <f>SUMIFS(ABSEN!$S$2:$S$4094,ABSEN!$B$2:$B$4094,$B134,ABSEN!$L$2:$L$4094,F134)</f>
        <v>0</v>
      </c>
      <c r="P134" s="75">
        <f>SUMIFS(ABSEN!$T$2:$T$4094,ABSEN!$B$2:$B$4094,$B134,ABSEN!$L$2:$L$4094,F134)</f>
        <v>0</v>
      </c>
      <c r="Q134" s="75">
        <f>SUMIFS(ABSEN!$U$2:$U$4094,ABSEN!$B$2:$B$4094,$B134,ABSEN!$L$2:$L$4094,F134)</f>
        <v>0</v>
      </c>
      <c r="R134" s="75">
        <f>COUNTIFS(AKTIVITAS!$B$2:$B$3052,$B134,AKTIVITAS!$G$2:$G$3052,F134)</f>
        <v>0</v>
      </c>
      <c r="S134" s="75" t="str">
        <f>PEMAGANG!F36</f>
        <v>GM OF TAX &amp; ACCOUNTING</v>
      </c>
      <c r="T134" s="75">
        <f>SUMIFS(AKTIVITAS!$H$2:$H$3052,AKTIVITAS!$B$2:$B$3052,$B134,AKTIVITAS!$G$2:$G$3052,F134)</f>
        <v>0</v>
      </c>
    </row>
    <row r="135" spans="1:20" x14ac:dyDescent="0.2">
      <c r="A135" s="82" t="str">
        <f>PEMAGANG!B36</f>
        <v>MG/KH/4626</v>
      </c>
      <c r="B135" s="82" t="str">
        <f>PEMAGANG!C36</f>
        <v>MUHAMMAD QAIRUL UMAM</v>
      </c>
      <c r="C135" s="82" t="str">
        <f>PEMAGANG!D36</f>
        <v>YUSUF REZA MUHAMMAD</v>
      </c>
      <c r="D135" s="82" t="str">
        <f>PEMAGANG!E36</f>
        <v>KEMNAKER</v>
      </c>
      <c r="E135" s="75" t="str">
        <f t="shared" si="4"/>
        <v>Juli</v>
      </c>
      <c r="F135" s="75">
        <f>MONTH(DATE(YEAR(SUMMARY!$C$6),MONTH(SUMMARY!$C$6)+1,1))</f>
        <v>7</v>
      </c>
      <c r="G135" s="83">
        <f>PEMAGANG!J36</f>
        <v>46244</v>
      </c>
      <c r="H135" s="83">
        <f>PEMAGANG!K36</f>
        <v>46295</v>
      </c>
      <c r="I135" s="75">
        <f>COUNTIFS(KALENDER!$D$3:$D$132,"Hari Kerja",KALENDER!$C$3:$C$132,F135,KALENDER!$A$3:$A$132,"&gt;="&amp;G135,KALENDER!$A$3:$A$132,"&lt;="&amp;H135)</f>
        <v>0</v>
      </c>
      <c r="J135" s="75">
        <f>COUNTIFS(KALENDER!$D$3:$D$132,"WFH",KALENDER!$C$3:$C$132,F135,KALENDER!$A$3:$A$132,"&gt;="&amp;G135,KALENDER!$A$3:$A$132,"&lt;="&amp;H135)</f>
        <v>0</v>
      </c>
      <c r="K135" s="75">
        <f>SUMIFS(ABSEN!$P$2:$P$4094,ABSEN!$B$2:$B$4094,$B135,ABSEN!$L$2:$L$4094,F135)</f>
        <v>0</v>
      </c>
      <c r="L135" s="75">
        <f>SUMIFS(ABSEN!$Q$2:$Q$4094,ABSEN!$B$2:$B$4094,$B135,ABSEN!$L$2:$L$4094,F135)</f>
        <v>0</v>
      </c>
      <c r="M135" s="75">
        <f>SUMIFS(ABSEN!$W$2:$W$4094,ABSEN!$B$2:$B$4094,$B135,ABSEN!$L$2:$L$4094,F135)</f>
        <v>0</v>
      </c>
      <c r="N135" s="75">
        <f>SUMIFS(ABSEN!$R$2:$R$4094,ABSEN!$B$2:$B$4094,$B135,ABSEN!$L$2:$L$4094,F135)</f>
        <v>0</v>
      </c>
      <c r="O135" s="75">
        <f>SUMIFS(ABSEN!$S$2:$S$4094,ABSEN!$B$2:$B$4094,$B135,ABSEN!$L$2:$L$4094,F135)</f>
        <v>0</v>
      </c>
      <c r="P135" s="75">
        <f>SUMIFS(ABSEN!$T$2:$T$4094,ABSEN!$B$2:$B$4094,$B135,ABSEN!$L$2:$L$4094,F135)</f>
        <v>0</v>
      </c>
      <c r="Q135" s="75">
        <f>SUMIFS(ABSEN!$U$2:$U$4094,ABSEN!$B$2:$B$4094,$B135,ABSEN!$L$2:$L$4094,F135)</f>
        <v>0</v>
      </c>
      <c r="R135" s="75">
        <f>COUNTIFS(AKTIVITAS!$B$2:$B$3052,$B135,AKTIVITAS!$G$2:$G$3052,F135)</f>
        <v>0</v>
      </c>
      <c r="S135" s="75" t="str">
        <f>PEMAGANG!F36</f>
        <v>GM OF TAX &amp; ACCOUNTING</v>
      </c>
      <c r="T135" s="75">
        <f>SUMIFS(AKTIVITAS!$H$2:$H$3052,AKTIVITAS!$B$2:$B$3052,$B135,AKTIVITAS!$G$2:$G$3052,F135)</f>
        <v>0</v>
      </c>
    </row>
    <row r="136" spans="1:20" x14ac:dyDescent="0.2">
      <c r="A136" s="82" t="str">
        <f>PEMAGANG!B36</f>
        <v>MG/KH/4626</v>
      </c>
      <c r="B136" s="82" t="str">
        <f>PEMAGANG!C36</f>
        <v>MUHAMMAD QAIRUL UMAM</v>
      </c>
      <c r="C136" s="82" t="str">
        <f>PEMAGANG!D36</f>
        <v>YUSUF REZA MUHAMMAD</v>
      </c>
      <c r="D136" s="82" t="str">
        <f>PEMAGANG!E36</f>
        <v>KEMNAKER</v>
      </c>
      <c r="E136" s="75" t="str">
        <f t="shared" si="4"/>
        <v>Agustus</v>
      </c>
      <c r="F136" s="75">
        <f>MONTH(DATE(YEAR(SUMMARY!$C$6),MONTH(SUMMARY!$C$6)+2,1))</f>
        <v>8</v>
      </c>
      <c r="G136" s="83">
        <f>PEMAGANG!J36</f>
        <v>46244</v>
      </c>
      <c r="H136" s="83">
        <f>PEMAGANG!K36</f>
        <v>46295</v>
      </c>
      <c r="I136" s="75">
        <f>COUNTIFS(KALENDER!$D$3:$D$132,"Hari Kerja",KALENDER!$C$3:$C$132,F136,KALENDER!$A$3:$A$132,"&gt;="&amp;G136,KALENDER!$A$3:$A$132,"&lt;="&amp;H136)</f>
        <v>14</v>
      </c>
      <c r="J136" s="75">
        <f>COUNTIFS(KALENDER!$D$3:$D$132,"WFH",KALENDER!$C$3:$C$132,F136,KALENDER!$A$3:$A$132,"&gt;="&amp;G136,KALENDER!$A$3:$A$132,"&lt;="&amp;H136)</f>
        <v>0</v>
      </c>
      <c r="K136" s="75">
        <f>SUMIFS(ABSEN!$P$2:$P$4094,ABSEN!$B$2:$B$4094,$B136,ABSEN!$L$2:$L$4094,F136)</f>
        <v>13</v>
      </c>
      <c r="L136" s="75">
        <f>SUMIFS(ABSEN!$Q$2:$Q$4094,ABSEN!$B$2:$B$4094,$B136,ABSEN!$L$2:$L$4094,F136)</f>
        <v>0</v>
      </c>
      <c r="M136" s="75">
        <f>SUMIFS(ABSEN!$W$2:$W$4094,ABSEN!$B$2:$B$4094,$B136,ABSEN!$L$2:$L$4094,F136)</f>
        <v>13</v>
      </c>
      <c r="N136" s="75">
        <f>SUMIFS(ABSEN!$R$2:$R$4094,ABSEN!$B$2:$B$4094,$B136,ABSEN!$L$2:$L$4094,F136)</f>
        <v>3</v>
      </c>
      <c r="O136" s="75">
        <f>SUMIFS(ABSEN!$S$2:$S$4094,ABSEN!$B$2:$B$4094,$B136,ABSEN!$L$2:$L$4094,F136)</f>
        <v>273</v>
      </c>
      <c r="P136" s="75">
        <f>SUMIFS(ABSEN!$T$2:$T$4094,ABSEN!$B$2:$B$4094,$B136,ABSEN!$L$2:$L$4094,F136)</f>
        <v>0</v>
      </c>
      <c r="Q136" s="75">
        <f>SUMIFS(ABSEN!$U$2:$U$4094,ABSEN!$B$2:$B$4094,$B136,ABSEN!$L$2:$L$4094,F136)</f>
        <v>10</v>
      </c>
      <c r="R136" s="75">
        <f>COUNTIFS(AKTIVITAS!$B$2:$B$3052,$B136,AKTIVITAS!$G$2:$G$3052,F136)</f>
        <v>18</v>
      </c>
      <c r="S136" s="75" t="str">
        <f>PEMAGANG!F36</f>
        <v>GM OF TAX &amp; ACCOUNTING</v>
      </c>
      <c r="T136" s="75">
        <f>SUMIFS(AKTIVITAS!$H$2:$H$3052,AKTIVITAS!$B$2:$B$3052,$B136,AKTIVITAS!$G$2:$G$3052,F136)</f>
        <v>1662</v>
      </c>
    </row>
    <row r="137" spans="1:20" x14ac:dyDescent="0.2">
      <c r="A137" s="82" t="str">
        <f>PEMAGANG!B36</f>
        <v>MG/KH/4626</v>
      </c>
      <c r="B137" s="82" t="str">
        <f>PEMAGANG!C36</f>
        <v>MUHAMMAD QAIRUL UMAM</v>
      </c>
      <c r="C137" s="82" t="str">
        <f>PEMAGANG!D36</f>
        <v>YUSUF REZA MUHAMMAD</v>
      </c>
      <c r="D137" s="82" t="str">
        <f>PEMAGANG!E36</f>
        <v>KEMNAKER</v>
      </c>
      <c r="E137" s="75" t="str">
        <f t="shared" si="4"/>
        <v>September</v>
      </c>
      <c r="F137" s="75">
        <f>MONTH(DATE(YEAR(SUMMARY!$C$6),MONTH(SUMMARY!$C$6)+3,1))</f>
        <v>9</v>
      </c>
      <c r="G137" s="83">
        <f>PEMAGANG!J36</f>
        <v>46244</v>
      </c>
      <c r="H137" s="83">
        <f>PEMAGANG!K36</f>
        <v>46295</v>
      </c>
      <c r="I137" s="75">
        <f>COUNTIFS(KALENDER!$D$3:$D$132,"Hari Kerja",KALENDER!$C$3:$C$132,F137,KALENDER!$A$3:$A$132,"&gt;="&amp;G137,KALENDER!$A$3:$A$132,"&lt;="&amp;H137)</f>
        <v>22</v>
      </c>
      <c r="J137" s="75">
        <f>COUNTIFS(KALENDER!$D$3:$D$132,"WFH",KALENDER!$C$3:$C$132,F137,KALENDER!$A$3:$A$132,"&gt;="&amp;G137,KALENDER!$A$3:$A$132,"&lt;="&amp;H137)</f>
        <v>0</v>
      </c>
      <c r="K137" s="75">
        <f>SUMIFS(ABSEN!$P$2:$P$4094,ABSEN!$B$2:$B$4094,$B137,ABSEN!$L$2:$L$4094,F137)</f>
        <v>20</v>
      </c>
      <c r="L137" s="75">
        <f>SUMIFS(ABSEN!$Q$2:$Q$4094,ABSEN!$B$2:$B$4094,$B137,ABSEN!$L$2:$L$4094,F137)</f>
        <v>0</v>
      </c>
      <c r="M137" s="75">
        <f>SUMIFS(ABSEN!$W$2:$W$4094,ABSEN!$B$2:$B$4094,$B137,ABSEN!$L$2:$L$4094,F137)</f>
        <v>20</v>
      </c>
      <c r="N137" s="75">
        <f>SUMIFS(ABSEN!$R$2:$R$4094,ABSEN!$B$2:$B$4094,$B137,ABSEN!$L$2:$L$4094,F137)</f>
        <v>0</v>
      </c>
      <c r="O137" s="75">
        <f>SUMIFS(ABSEN!$S$2:$S$4094,ABSEN!$B$2:$B$4094,$B137,ABSEN!$L$2:$L$4094,F137)</f>
        <v>0</v>
      </c>
      <c r="P137" s="75">
        <f>SUMIFS(ABSEN!$T$2:$T$4094,ABSEN!$B$2:$B$4094,$B137,ABSEN!$L$2:$L$4094,F137)</f>
        <v>1</v>
      </c>
      <c r="Q137" s="75">
        <f>SUMIFS(ABSEN!$U$2:$U$4094,ABSEN!$B$2:$B$4094,$B137,ABSEN!$L$2:$L$4094,F137)</f>
        <v>20</v>
      </c>
      <c r="R137" s="75">
        <f>COUNTIFS(AKTIVITAS!$B$2:$B$3052,$B137,AKTIVITAS!$G$2:$G$3052,F137)</f>
        <v>31</v>
      </c>
      <c r="S137" s="75" t="str">
        <f>PEMAGANG!F36</f>
        <v>GM OF TAX &amp; ACCOUNTING</v>
      </c>
      <c r="T137" s="75">
        <f>SUMIFS(AKTIVITAS!$H$2:$H$3052,AKTIVITAS!$B$2:$B$3052,$B137,AKTIVITAS!$G$2:$G$3052,F137)</f>
        <v>3498</v>
      </c>
    </row>
  </sheetData>
  <autoFilter ref="A1:T137"/>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
  <sheetViews>
    <sheetView zoomScaleNormal="100" workbookViewId="0">
      <pane ySplit="2" topLeftCell="A3" activePane="bottomLeft" state="frozen"/>
      <selection pane="bottomLeft" activeCell="F11" sqref="F11"/>
    </sheetView>
  </sheetViews>
  <sheetFormatPr defaultColWidth="8.7109375" defaultRowHeight="11.25" x14ac:dyDescent="0.2"/>
  <cols>
    <col min="1" max="1" width="12" style="56" customWidth="1"/>
    <col min="2" max="2" width="10" style="56" customWidth="1"/>
    <col min="3" max="3" width="7" style="56" customWidth="1"/>
    <col min="4" max="4" width="20" style="56" customWidth="1"/>
    <col min="5" max="5" width="3" style="56" customWidth="1"/>
    <col min="6" max="6" width="14" style="56" customWidth="1"/>
    <col min="7" max="7" width="30" style="56" customWidth="1"/>
    <col min="8" max="16384" width="8.7109375" style="56"/>
  </cols>
  <sheetData>
    <row r="1" spans="1:7" x14ac:dyDescent="0.2">
      <c r="A1" s="57" t="s">
        <v>165</v>
      </c>
    </row>
    <row r="2" spans="1:7" ht="30" customHeight="1" x14ac:dyDescent="0.2">
      <c r="A2" s="73" t="s">
        <v>166</v>
      </c>
      <c r="B2" s="73" t="s">
        <v>167</v>
      </c>
      <c r="C2" s="73" t="s">
        <v>148</v>
      </c>
      <c r="D2" s="73" t="s">
        <v>168</v>
      </c>
      <c r="F2" s="73" t="s">
        <v>169</v>
      </c>
      <c r="G2" s="73" t="s">
        <v>170</v>
      </c>
    </row>
    <row r="3" spans="1:7" x14ac:dyDescent="0.2">
      <c r="A3" s="84">
        <f>SUMMARY!$C$6</f>
        <v>46174</v>
      </c>
      <c r="B3" s="75" t="str">
        <f t="shared" ref="B3:B34" si="0">IF(A3="","",CHOOSE(WEEKDAY(A3,2),"Senin","Selasa","Rabu","Kamis","Jumat","Sabtu","Minggu"))</f>
        <v>Senin</v>
      </c>
      <c r="C3" s="75">
        <f t="shared" ref="C3:C34" si="1">IF(A3="","",MONTH(A3))</f>
        <v>6</v>
      </c>
      <c r="D3" s="75" t="str">
        <f>IF(A3="","",IF(WEEKDAY(A3,2)&gt;=6,"Libur (Sabtu/Minggu)",IF(COUNTIF($F$3:$F$30,A3)&gt;0,"Libur Nasional",IF(AND(B3=SUMMARY!$C$8,A3&gt;=SUMMARY!$C$9,A3&lt;=SUMMARY!$C$10),"WFH","Hari Kerja"))))</f>
        <v>Libur Nasional</v>
      </c>
      <c r="F3" s="60">
        <v>46174</v>
      </c>
      <c r="G3" s="85" t="s">
        <v>171</v>
      </c>
    </row>
    <row r="4" spans="1:7" x14ac:dyDescent="0.2">
      <c r="A4" s="84">
        <f>IF(A3="","",IF(A3+1&gt;SUMMARY!$C$7,"",A3+1))</f>
        <v>46175</v>
      </c>
      <c r="B4" s="75" t="str">
        <f t="shared" si="0"/>
        <v>Selasa</v>
      </c>
      <c r="C4" s="75">
        <f t="shared" si="1"/>
        <v>6</v>
      </c>
      <c r="D4" s="75" t="str">
        <f>IF(A4="","",IF(WEEKDAY(A4,2)&gt;=6,"Libur (Sabtu/Minggu)",IF(COUNTIF($F$3:$F$30,A4)&gt;0,"Libur Nasional",IF(AND(B4=SUMMARY!$C$8,A4&gt;=SUMMARY!$C$9,A4&lt;=SUMMARY!$C$10),"WFH","Hari Kerja"))))</f>
        <v>Hari Kerja</v>
      </c>
      <c r="F4" s="60">
        <v>46189</v>
      </c>
      <c r="G4" s="85" t="s">
        <v>172</v>
      </c>
    </row>
    <row r="5" spans="1:7" x14ac:dyDescent="0.2">
      <c r="A5" s="84">
        <f>IF(A4="","",IF(A4+1&gt;SUMMARY!$C$7,"",A4+1))</f>
        <v>46176</v>
      </c>
      <c r="B5" s="75" t="str">
        <f t="shared" si="0"/>
        <v>Rabu</v>
      </c>
      <c r="C5" s="75">
        <f t="shared" si="1"/>
        <v>6</v>
      </c>
      <c r="D5" s="75" t="str">
        <f>IF(A5="","",IF(WEEKDAY(A5,2)&gt;=6,"Libur (Sabtu/Minggu)",IF(COUNTIF($F$3:$F$30,A5)&gt;0,"Libur Nasional",IF(AND(B5=SUMMARY!$C$8,A5&gt;=SUMMARY!$C$9,A5&lt;=SUMMARY!$C$10),"WFH","Hari Kerja"))))</f>
        <v>WFH</v>
      </c>
      <c r="F5" s="60">
        <v>46251</v>
      </c>
      <c r="G5" s="85" t="s">
        <v>173</v>
      </c>
    </row>
    <row r="6" spans="1:7" x14ac:dyDescent="0.2">
      <c r="A6" s="84">
        <f>IF(A5="","",IF(A5+1&gt;SUMMARY!$C$7,"",A5+1))</f>
        <v>46177</v>
      </c>
      <c r="B6" s="75" t="str">
        <f t="shared" si="0"/>
        <v>Kamis</v>
      </c>
      <c r="C6" s="75">
        <f t="shared" si="1"/>
        <v>6</v>
      </c>
      <c r="D6" s="75" t="str">
        <f>IF(A6="","",IF(WEEKDAY(A6,2)&gt;=6,"Libur (Sabtu/Minggu)",IF(COUNTIF($F$3:$F$30,A6)&gt;0,"Libur Nasional",IF(AND(B6=SUMMARY!$C$8,A6&gt;=SUMMARY!$C$9,A6&lt;=SUMMARY!$C$10),"WFH","Hari Kerja"))))</f>
        <v>Hari Kerja</v>
      </c>
      <c r="F6" s="60">
        <v>46259</v>
      </c>
      <c r="G6" s="85" t="s">
        <v>174</v>
      </c>
    </row>
    <row r="7" spans="1:7" x14ac:dyDescent="0.2">
      <c r="A7" s="84">
        <f>IF(A6="","",IF(A6+1&gt;SUMMARY!$C$7,"",A6+1))</f>
        <v>46178</v>
      </c>
      <c r="B7" s="75" t="str">
        <f t="shared" si="0"/>
        <v>Jumat</v>
      </c>
      <c r="C7" s="75">
        <f t="shared" si="1"/>
        <v>6</v>
      </c>
      <c r="D7" s="75" t="str">
        <f>IF(A7="","",IF(WEEKDAY(A7,2)&gt;=6,"Libur (Sabtu/Minggu)",IF(COUNTIF($F$3:$F$30,A7)&gt;0,"Libur Nasional",IF(AND(B7=SUMMARY!$C$8,A7&gt;=SUMMARY!$C$9,A7&lt;=SUMMARY!$C$10),"WFH","Hari Kerja"))))</f>
        <v>Hari Kerja</v>
      </c>
      <c r="F7" s="60"/>
      <c r="G7" s="85"/>
    </row>
    <row r="8" spans="1:7" x14ac:dyDescent="0.2">
      <c r="A8" s="84">
        <f>IF(A7="","",IF(A7+1&gt;SUMMARY!$C$7,"",A7+1))</f>
        <v>46179</v>
      </c>
      <c r="B8" s="75" t="str">
        <f t="shared" si="0"/>
        <v>Sabtu</v>
      </c>
      <c r="C8" s="75">
        <f t="shared" si="1"/>
        <v>6</v>
      </c>
      <c r="D8" s="75" t="str">
        <f>IF(A8="","",IF(WEEKDAY(A8,2)&gt;=6,"Libur (Sabtu/Minggu)",IF(COUNTIF($F$3:$F$30,A8)&gt;0,"Libur Nasional",IF(AND(B8=SUMMARY!$C$8,A8&gt;=SUMMARY!$C$9,A8&lt;=SUMMARY!$C$10),"WFH","Hari Kerja"))))</f>
        <v>Libur (Sabtu/Minggu)</v>
      </c>
      <c r="F8" s="60"/>
      <c r="G8" s="85"/>
    </row>
    <row r="9" spans="1:7" x14ac:dyDescent="0.2">
      <c r="A9" s="84">
        <f>IF(A8="","",IF(A8+1&gt;SUMMARY!$C$7,"",A8+1))</f>
        <v>46180</v>
      </c>
      <c r="B9" s="75" t="str">
        <f t="shared" si="0"/>
        <v>Minggu</v>
      </c>
      <c r="C9" s="75">
        <f t="shared" si="1"/>
        <v>6</v>
      </c>
      <c r="D9" s="75" t="str">
        <f>IF(A9="","",IF(WEEKDAY(A9,2)&gt;=6,"Libur (Sabtu/Minggu)",IF(COUNTIF($F$3:$F$30,A9)&gt;0,"Libur Nasional",IF(AND(B9=SUMMARY!$C$8,A9&gt;=SUMMARY!$C$9,A9&lt;=SUMMARY!$C$10),"WFH","Hari Kerja"))))</f>
        <v>Libur (Sabtu/Minggu)</v>
      </c>
      <c r="F9" s="60"/>
      <c r="G9" s="85"/>
    </row>
    <row r="10" spans="1:7" x14ac:dyDescent="0.2">
      <c r="A10" s="84">
        <f>IF(A9="","",IF(A9+1&gt;SUMMARY!$C$7,"",A9+1))</f>
        <v>46181</v>
      </c>
      <c r="B10" s="75" t="str">
        <f t="shared" si="0"/>
        <v>Senin</v>
      </c>
      <c r="C10" s="75">
        <f t="shared" si="1"/>
        <v>6</v>
      </c>
      <c r="D10" s="75" t="str">
        <f>IF(A10="","",IF(WEEKDAY(A10,2)&gt;=6,"Libur (Sabtu/Minggu)",IF(COUNTIF($F$3:$F$30,A10)&gt;0,"Libur Nasional",IF(AND(B10=SUMMARY!$C$8,A10&gt;=SUMMARY!$C$9,A10&lt;=SUMMARY!$C$10),"WFH","Hari Kerja"))))</f>
        <v>Hari Kerja</v>
      </c>
      <c r="F10" s="60"/>
      <c r="G10" s="85"/>
    </row>
    <row r="11" spans="1:7" x14ac:dyDescent="0.2">
      <c r="A11" s="84">
        <f>IF(A10="","",IF(A10+1&gt;SUMMARY!$C$7,"",A10+1))</f>
        <v>46182</v>
      </c>
      <c r="B11" s="75" t="str">
        <f t="shared" si="0"/>
        <v>Selasa</v>
      </c>
      <c r="C11" s="75">
        <f t="shared" si="1"/>
        <v>6</v>
      </c>
      <c r="D11" s="75" t="str">
        <f>IF(A11="","",IF(WEEKDAY(A11,2)&gt;=6,"Libur (Sabtu/Minggu)",IF(COUNTIF($F$3:$F$30,A11)&gt;0,"Libur Nasional",IF(AND(B11=SUMMARY!$C$8,A11&gt;=SUMMARY!$C$9,A11&lt;=SUMMARY!$C$10),"WFH","Hari Kerja"))))</f>
        <v>Hari Kerja</v>
      </c>
      <c r="F11" s="60"/>
      <c r="G11" s="85"/>
    </row>
    <row r="12" spans="1:7" x14ac:dyDescent="0.2">
      <c r="A12" s="84">
        <f>IF(A11="","",IF(A11+1&gt;SUMMARY!$C$7,"",A11+1))</f>
        <v>46183</v>
      </c>
      <c r="B12" s="75" t="str">
        <f t="shared" si="0"/>
        <v>Rabu</v>
      </c>
      <c r="C12" s="75">
        <f t="shared" si="1"/>
        <v>6</v>
      </c>
      <c r="D12" s="75" t="str">
        <f>IF(A12="","",IF(WEEKDAY(A12,2)&gt;=6,"Libur (Sabtu/Minggu)",IF(COUNTIF($F$3:$F$30,A12)&gt;0,"Libur Nasional",IF(AND(B12=SUMMARY!$C$8,A12&gt;=SUMMARY!$C$9,A12&lt;=SUMMARY!$C$10),"WFH","Hari Kerja"))))</f>
        <v>WFH</v>
      </c>
      <c r="F12" s="60"/>
      <c r="G12" s="85"/>
    </row>
    <row r="13" spans="1:7" x14ac:dyDescent="0.2">
      <c r="A13" s="84">
        <f>IF(A12="","",IF(A12+1&gt;SUMMARY!$C$7,"",A12+1))</f>
        <v>46184</v>
      </c>
      <c r="B13" s="75" t="str">
        <f t="shared" si="0"/>
        <v>Kamis</v>
      </c>
      <c r="C13" s="75">
        <f t="shared" si="1"/>
        <v>6</v>
      </c>
      <c r="D13" s="75" t="str">
        <f>IF(A13="","",IF(WEEKDAY(A13,2)&gt;=6,"Libur (Sabtu/Minggu)",IF(COUNTIF($F$3:$F$30,A13)&gt;0,"Libur Nasional",IF(AND(B13=SUMMARY!$C$8,A13&gt;=SUMMARY!$C$9,A13&lt;=SUMMARY!$C$10),"WFH","Hari Kerja"))))</f>
        <v>Hari Kerja</v>
      </c>
      <c r="F13" s="60"/>
      <c r="G13" s="85"/>
    </row>
    <row r="14" spans="1:7" x14ac:dyDescent="0.2">
      <c r="A14" s="84">
        <f>IF(A13="","",IF(A13+1&gt;SUMMARY!$C$7,"",A13+1))</f>
        <v>46185</v>
      </c>
      <c r="B14" s="75" t="str">
        <f t="shared" si="0"/>
        <v>Jumat</v>
      </c>
      <c r="C14" s="75">
        <f t="shared" si="1"/>
        <v>6</v>
      </c>
      <c r="D14" s="75" t="str">
        <f>IF(A14="","",IF(WEEKDAY(A14,2)&gt;=6,"Libur (Sabtu/Minggu)",IF(COUNTIF($F$3:$F$30,A14)&gt;0,"Libur Nasional",IF(AND(B14=SUMMARY!$C$8,A14&gt;=SUMMARY!$C$9,A14&lt;=SUMMARY!$C$10),"WFH","Hari Kerja"))))</f>
        <v>Hari Kerja</v>
      </c>
      <c r="F14" s="60"/>
      <c r="G14" s="85"/>
    </row>
    <row r="15" spans="1:7" x14ac:dyDescent="0.2">
      <c r="A15" s="84">
        <f>IF(A14="","",IF(A14+1&gt;SUMMARY!$C$7,"",A14+1))</f>
        <v>46186</v>
      </c>
      <c r="B15" s="75" t="str">
        <f t="shared" si="0"/>
        <v>Sabtu</v>
      </c>
      <c r="C15" s="75">
        <f t="shared" si="1"/>
        <v>6</v>
      </c>
      <c r="D15" s="75" t="str">
        <f>IF(A15="","",IF(WEEKDAY(A15,2)&gt;=6,"Libur (Sabtu/Minggu)",IF(COUNTIF($F$3:$F$30,A15)&gt;0,"Libur Nasional",IF(AND(B15=SUMMARY!$C$8,A15&gt;=SUMMARY!$C$9,A15&lt;=SUMMARY!$C$10),"WFH","Hari Kerja"))))</f>
        <v>Libur (Sabtu/Minggu)</v>
      </c>
      <c r="F15" s="60"/>
      <c r="G15" s="85"/>
    </row>
    <row r="16" spans="1:7" x14ac:dyDescent="0.2">
      <c r="A16" s="84">
        <f>IF(A15="","",IF(A15+1&gt;SUMMARY!$C$7,"",A15+1))</f>
        <v>46187</v>
      </c>
      <c r="B16" s="75" t="str">
        <f t="shared" si="0"/>
        <v>Minggu</v>
      </c>
      <c r="C16" s="75">
        <f t="shared" si="1"/>
        <v>6</v>
      </c>
      <c r="D16" s="75" t="str">
        <f>IF(A16="","",IF(WEEKDAY(A16,2)&gt;=6,"Libur (Sabtu/Minggu)",IF(COUNTIF($F$3:$F$30,A16)&gt;0,"Libur Nasional",IF(AND(B16=SUMMARY!$C$8,A16&gt;=SUMMARY!$C$9,A16&lt;=SUMMARY!$C$10),"WFH","Hari Kerja"))))</f>
        <v>Libur (Sabtu/Minggu)</v>
      </c>
      <c r="F16" s="60"/>
      <c r="G16" s="85"/>
    </row>
    <row r="17" spans="1:7" x14ac:dyDescent="0.2">
      <c r="A17" s="84">
        <f>IF(A16="","",IF(A16+1&gt;SUMMARY!$C$7,"",A16+1))</f>
        <v>46188</v>
      </c>
      <c r="B17" s="75" t="str">
        <f t="shared" si="0"/>
        <v>Senin</v>
      </c>
      <c r="C17" s="75">
        <f t="shared" si="1"/>
        <v>6</v>
      </c>
      <c r="D17" s="75" t="str">
        <f>IF(A17="","",IF(WEEKDAY(A17,2)&gt;=6,"Libur (Sabtu/Minggu)",IF(COUNTIF($F$3:$F$30,A17)&gt;0,"Libur Nasional",IF(AND(B17=SUMMARY!$C$8,A17&gt;=SUMMARY!$C$9,A17&lt;=SUMMARY!$C$10),"WFH","Hari Kerja"))))</f>
        <v>Hari Kerja</v>
      </c>
      <c r="F17" s="60"/>
      <c r="G17" s="85"/>
    </row>
    <row r="18" spans="1:7" x14ac:dyDescent="0.2">
      <c r="A18" s="84">
        <f>IF(A17="","",IF(A17+1&gt;SUMMARY!$C$7,"",A17+1))</f>
        <v>46189</v>
      </c>
      <c r="B18" s="75" t="str">
        <f t="shared" si="0"/>
        <v>Selasa</v>
      </c>
      <c r="C18" s="75">
        <f t="shared" si="1"/>
        <v>6</v>
      </c>
      <c r="D18" s="75" t="str">
        <f>IF(A18="","",IF(WEEKDAY(A18,2)&gt;=6,"Libur (Sabtu/Minggu)",IF(COUNTIF($F$3:$F$30,A18)&gt;0,"Libur Nasional",IF(AND(B18=SUMMARY!$C$8,A18&gt;=SUMMARY!$C$9,A18&lt;=SUMMARY!$C$10),"WFH","Hari Kerja"))))</f>
        <v>Libur Nasional</v>
      </c>
      <c r="F18" s="60"/>
      <c r="G18" s="85"/>
    </row>
    <row r="19" spans="1:7" x14ac:dyDescent="0.2">
      <c r="A19" s="84">
        <f>IF(A18="","",IF(A18+1&gt;SUMMARY!$C$7,"",A18+1))</f>
        <v>46190</v>
      </c>
      <c r="B19" s="75" t="str">
        <f t="shared" si="0"/>
        <v>Rabu</v>
      </c>
      <c r="C19" s="75">
        <f t="shared" si="1"/>
        <v>6</v>
      </c>
      <c r="D19" s="75" t="str">
        <f>IF(A19="","",IF(WEEKDAY(A19,2)&gt;=6,"Libur (Sabtu/Minggu)",IF(COUNTIF($F$3:$F$30,A19)&gt;0,"Libur Nasional",IF(AND(B19=SUMMARY!$C$8,A19&gt;=SUMMARY!$C$9,A19&lt;=SUMMARY!$C$10),"WFH","Hari Kerja"))))</f>
        <v>WFH</v>
      </c>
      <c r="F19" s="60"/>
      <c r="G19" s="85"/>
    </row>
    <row r="20" spans="1:7" x14ac:dyDescent="0.2">
      <c r="A20" s="84">
        <f>IF(A19="","",IF(A19+1&gt;SUMMARY!$C$7,"",A19+1))</f>
        <v>46191</v>
      </c>
      <c r="B20" s="75" t="str">
        <f t="shared" si="0"/>
        <v>Kamis</v>
      </c>
      <c r="C20" s="75">
        <f t="shared" si="1"/>
        <v>6</v>
      </c>
      <c r="D20" s="75" t="str">
        <f>IF(A20="","",IF(WEEKDAY(A20,2)&gt;=6,"Libur (Sabtu/Minggu)",IF(COUNTIF($F$3:$F$30,A20)&gt;0,"Libur Nasional",IF(AND(B20=SUMMARY!$C$8,A20&gt;=SUMMARY!$C$9,A20&lt;=SUMMARY!$C$10),"WFH","Hari Kerja"))))</f>
        <v>Hari Kerja</v>
      </c>
      <c r="F20" s="60"/>
      <c r="G20" s="85"/>
    </row>
    <row r="21" spans="1:7" x14ac:dyDescent="0.2">
      <c r="A21" s="84">
        <f>IF(A20="","",IF(A20+1&gt;SUMMARY!$C$7,"",A20+1))</f>
        <v>46192</v>
      </c>
      <c r="B21" s="75" t="str">
        <f t="shared" si="0"/>
        <v>Jumat</v>
      </c>
      <c r="C21" s="75">
        <f t="shared" si="1"/>
        <v>6</v>
      </c>
      <c r="D21" s="75" t="str">
        <f>IF(A21="","",IF(WEEKDAY(A21,2)&gt;=6,"Libur (Sabtu/Minggu)",IF(COUNTIF($F$3:$F$30,A21)&gt;0,"Libur Nasional",IF(AND(B21=SUMMARY!$C$8,A21&gt;=SUMMARY!$C$9,A21&lt;=SUMMARY!$C$10),"WFH","Hari Kerja"))))</f>
        <v>Hari Kerja</v>
      </c>
      <c r="F21" s="60"/>
      <c r="G21" s="85"/>
    </row>
    <row r="22" spans="1:7" x14ac:dyDescent="0.2">
      <c r="A22" s="84">
        <f>IF(A21="","",IF(A21+1&gt;SUMMARY!$C$7,"",A21+1))</f>
        <v>46193</v>
      </c>
      <c r="B22" s="75" t="str">
        <f t="shared" si="0"/>
        <v>Sabtu</v>
      </c>
      <c r="C22" s="75">
        <f t="shared" si="1"/>
        <v>6</v>
      </c>
      <c r="D22" s="75" t="str">
        <f>IF(A22="","",IF(WEEKDAY(A22,2)&gt;=6,"Libur (Sabtu/Minggu)",IF(COUNTIF($F$3:$F$30,A22)&gt;0,"Libur Nasional",IF(AND(B22=SUMMARY!$C$8,A22&gt;=SUMMARY!$C$9,A22&lt;=SUMMARY!$C$10),"WFH","Hari Kerja"))))</f>
        <v>Libur (Sabtu/Minggu)</v>
      </c>
      <c r="F22" s="60"/>
      <c r="G22" s="85"/>
    </row>
    <row r="23" spans="1:7" x14ac:dyDescent="0.2">
      <c r="A23" s="84">
        <f>IF(A22="","",IF(A22+1&gt;SUMMARY!$C$7,"",A22+1))</f>
        <v>46194</v>
      </c>
      <c r="B23" s="75" t="str">
        <f t="shared" si="0"/>
        <v>Minggu</v>
      </c>
      <c r="C23" s="75">
        <f t="shared" si="1"/>
        <v>6</v>
      </c>
      <c r="D23" s="75" t="str">
        <f>IF(A23="","",IF(WEEKDAY(A23,2)&gt;=6,"Libur (Sabtu/Minggu)",IF(COUNTIF($F$3:$F$30,A23)&gt;0,"Libur Nasional",IF(AND(B23=SUMMARY!$C$8,A23&gt;=SUMMARY!$C$9,A23&lt;=SUMMARY!$C$10),"WFH","Hari Kerja"))))</f>
        <v>Libur (Sabtu/Minggu)</v>
      </c>
      <c r="F23" s="60"/>
      <c r="G23" s="85"/>
    </row>
    <row r="24" spans="1:7" x14ac:dyDescent="0.2">
      <c r="A24" s="84">
        <f>IF(A23="","",IF(A23+1&gt;SUMMARY!$C$7,"",A23+1))</f>
        <v>46195</v>
      </c>
      <c r="B24" s="75" t="str">
        <f t="shared" si="0"/>
        <v>Senin</v>
      </c>
      <c r="C24" s="75">
        <f t="shared" si="1"/>
        <v>6</v>
      </c>
      <c r="D24" s="75" t="str">
        <f>IF(A24="","",IF(WEEKDAY(A24,2)&gt;=6,"Libur (Sabtu/Minggu)",IF(COUNTIF($F$3:$F$30,A24)&gt;0,"Libur Nasional",IF(AND(B24=SUMMARY!$C$8,A24&gt;=SUMMARY!$C$9,A24&lt;=SUMMARY!$C$10),"WFH","Hari Kerja"))))</f>
        <v>Hari Kerja</v>
      </c>
      <c r="F24" s="60"/>
      <c r="G24" s="85"/>
    </row>
    <row r="25" spans="1:7" x14ac:dyDescent="0.2">
      <c r="A25" s="84">
        <f>IF(A24="","",IF(A24+1&gt;SUMMARY!$C$7,"",A24+1))</f>
        <v>46196</v>
      </c>
      <c r="B25" s="75" t="str">
        <f t="shared" si="0"/>
        <v>Selasa</v>
      </c>
      <c r="C25" s="75">
        <f t="shared" si="1"/>
        <v>6</v>
      </c>
      <c r="D25" s="75" t="str">
        <f>IF(A25="","",IF(WEEKDAY(A25,2)&gt;=6,"Libur (Sabtu/Minggu)",IF(COUNTIF($F$3:$F$30,A25)&gt;0,"Libur Nasional",IF(AND(B25=SUMMARY!$C$8,A25&gt;=SUMMARY!$C$9,A25&lt;=SUMMARY!$C$10),"WFH","Hari Kerja"))))</f>
        <v>Hari Kerja</v>
      </c>
      <c r="F25" s="60"/>
      <c r="G25" s="85"/>
    </row>
    <row r="26" spans="1:7" x14ac:dyDescent="0.2">
      <c r="A26" s="84">
        <f>IF(A25="","",IF(A25+1&gt;SUMMARY!$C$7,"",A25+1))</f>
        <v>46197</v>
      </c>
      <c r="B26" s="75" t="str">
        <f t="shared" si="0"/>
        <v>Rabu</v>
      </c>
      <c r="C26" s="75">
        <f t="shared" si="1"/>
        <v>6</v>
      </c>
      <c r="D26" s="75" t="str">
        <f>IF(A26="","",IF(WEEKDAY(A26,2)&gt;=6,"Libur (Sabtu/Minggu)",IF(COUNTIF($F$3:$F$30,A26)&gt;0,"Libur Nasional",IF(AND(B26=SUMMARY!$C$8,A26&gt;=SUMMARY!$C$9,A26&lt;=SUMMARY!$C$10),"WFH","Hari Kerja"))))</f>
        <v>WFH</v>
      </c>
      <c r="F26" s="60"/>
      <c r="G26" s="85"/>
    </row>
    <row r="27" spans="1:7" x14ac:dyDescent="0.2">
      <c r="A27" s="84">
        <f>IF(A26="","",IF(A26+1&gt;SUMMARY!$C$7,"",A26+1))</f>
        <v>46198</v>
      </c>
      <c r="B27" s="75" t="str">
        <f t="shared" si="0"/>
        <v>Kamis</v>
      </c>
      <c r="C27" s="75">
        <f t="shared" si="1"/>
        <v>6</v>
      </c>
      <c r="D27" s="75" t="str">
        <f>IF(A27="","",IF(WEEKDAY(A27,2)&gt;=6,"Libur (Sabtu/Minggu)",IF(COUNTIF($F$3:$F$30,A27)&gt;0,"Libur Nasional",IF(AND(B27=SUMMARY!$C$8,A27&gt;=SUMMARY!$C$9,A27&lt;=SUMMARY!$C$10),"WFH","Hari Kerja"))))</f>
        <v>Hari Kerja</v>
      </c>
      <c r="F27" s="60"/>
      <c r="G27" s="85"/>
    </row>
    <row r="28" spans="1:7" x14ac:dyDescent="0.2">
      <c r="A28" s="84">
        <f>IF(A27="","",IF(A27+1&gt;SUMMARY!$C$7,"",A27+1))</f>
        <v>46199</v>
      </c>
      <c r="B28" s="75" t="str">
        <f t="shared" si="0"/>
        <v>Jumat</v>
      </c>
      <c r="C28" s="75">
        <f t="shared" si="1"/>
        <v>6</v>
      </c>
      <c r="D28" s="75" t="str">
        <f>IF(A28="","",IF(WEEKDAY(A28,2)&gt;=6,"Libur (Sabtu/Minggu)",IF(COUNTIF($F$3:$F$30,A28)&gt;0,"Libur Nasional",IF(AND(B28=SUMMARY!$C$8,A28&gt;=SUMMARY!$C$9,A28&lt;=SUMMARY!$C$10),"WFH","Hari Kerja"))))</f>
        <v>Hari Kerja</v>
      </c>
      <c r="F28" s="60"/>
      <c r="G28" s="85"/>
    </row>
    <row r="29" spans="1:7" x14ac:dyDescent="0.2">
      <c r="A29" s="84">
        <f>IF(A28="","",IF(A28+1&gt;SUMMARY!$C$7,"",A28+1))</f>
        <v>46200</v>
      </c>
      <c r="B29" s="75" t="str">
        <f t="shared" si="0"/>
        <v>Sabtu</v>
      </c>
      <c r="C29" s="75">
        <f t="shared" si="1"/>
        <v>6</v>
      </c>
      <c r="D29" s="75" t="str">
        <f>IF(A29="","",IF(WEEKDAY(A29,2)&gt;=6,"Libur (Sabtu/Minggu)",IF(COUNTIF($F$3:$F$30,A29)&gt;0,"Libur Nasional",IF(AND(B29=SUMMARY!$C$8,A29&gt;=SUMMARY!$C$9,A29&lt;=SUMMARY!$C$10),"WFH","Hari Kerja"))))</f>
        <v>Libur (Sabtu/Minggu)</v>
      </c>
      <c r="F29" s="60"/>
      <c r="G29" s="85"/>
    </row>
    <row r="30" spans="1:7" x14ac:dyDescent="0.2">
      <c r="A30" s="84">
        <f>IF(A29="","",IF(A29+1&gt;SUMMARY!$C$7,"",A29+1))</f>
        <v>46201</v>
      </c>
      <c r="B30" s="75" t="str">
        <f t="shared" si="0"/>
        <v>Minggu</v>
      </c>
      <c r="C30" s="75">
        <f t="shared" si="1"/>
        <v>6</v>
      </c>
      <c r="D30" s="75" t="str">
        <f>IF(A30="","",IF(WEEKDAY(A30,2)&gt;=6,"Libur (Sabtu/Minggu)",IF(COUNTIF($F$3:$F$30,A30)&gt;0,"Libur Nasional",IF(AND(B30=SUMMARY!$C$8,A30&gt;=SUMMARY!$C$9,A30&lt;=SUMMARY!$C$10),"WFH","Hari Kerja"))))</f>
        <v>Libur (Sabtu/Minggu)</v>
      </c>
      <c r="F30" s="60"/>
      <c r="G30" s="85"/>
    </row>
    <row r="31" spans="1:7" x14ac:dyDescent="0.2">
      <c r="A31" s="84">
        <f>IF(A30="","",IF(A30+1&gt;SUMMARY!$C$7,"",A30+1))</f>
        <v>46202</v>
      </c>
      <c r="B31" s="75" t="str">
        <f t="shared" si="0"/>
        <v>Senin</v>
      </c>
      <c r="C31" s="75">
        <f t="shared" si="1"/>
        <v>6</v>
      </c>
      <c r="D31" s="75" t="str">
        <f>IF(A31="","",IF(WEEKDAY(A31,2)&gt;=6,"Libur (Sabtu/Minggu)",IF(COUNTIF($F$3:$F$30,A31)&gt;0,"Libur Nasional",IF(AND(B31=SUMMARY!$C$8,A31&gt;=SUMMARY!$C$9,A31&lt;=SUMMARY!$C$10),"WFH","Hari Kerja"))))</f>
        <v>Hari Kerja</v>
      </c>
    </row>
    <row r="32" spans="1:7" x14ac:dyDescent="0.2">
      <c r="A32" s="84">
        <f>IF(A31="","",IF(A31+1&gt;SUMMARY!$C$7,"",A31+1))</f>
        <v>46203</v>
      </c>
      <c r="B32" s="75" t="str">
        <f t="shared" si="0"/>
        <v>Selasa</v>
      </c>
      <c r="C32" s="75">
        <f t="shared" si="1"/>
        <v>6</v>
      </c>
      <c r="D32" s="75" t="str">
        <f>IF(A32="","",IF(WEEKDAY(A32,2)&gt;=6,"Libur (Sabtu/Minggu)",IF(COUNTIF($F$3:$F$30,A32)&gt;0,"Libur Nasional",IF(AND(B32=SUMMARY!$C$8,A32&gt;=SUMMARY!$C$9,A32&lt;=SUMMARY!$C$10),"WFH","Hari Kerja"))))</f>
        <v>Hari Kerja</v>
      </c>
      <c r="F32" s="86" t="s">
        <v>175</v>
      </c>
    </row>
    <row r="33" spans="1:4" x14ac:dyDescent="0.2">
      <c r="A33" s="84">
        <f>IF(A32="","",IF(A32+1&gt;SUMMARY!$C$7,"",A32+1))</f>
        <v>46204</v>
      </c>
      <c r="B33" s="75" t="str">
        <f t="shared" si="0"/>
        <v>Rabu</v>
      </c>
      <c r="C33" s="75">
        <f t="shared" si="1"/>
        <v>7</v>
      </c>
      <c r="D33" s="75" t="str">
        <f>IF(A33="","",IF(WEEKDAY(A33,2)&gt;=6,"Libur (Sabtu/Minggu)",IF(COUNTIF($F$3:$F$30,A33)&gt;0,"Libur Nasional",IF(AND(B33=SUMMARY!$C$8,A33&gt;=SUMMARY!$C$9,A33&lt;=SUMMARY!$C$10),"WFH","Hari Kerja"))))</f>
        <v>WFH</v>
      </c>
    </row>
    <row r="34" spans="1:4" x14ac:dyDescent="0.2">
      <c r="A34" s="84">
        <f>IF(A33="","",IF(A33+1&gt;SUMMARY!$C$7,"",A33+1))</f>
        <v>46205</v>
      </c>
      <c r="B34" s="75" t="str">
        <f t="shared" si="0"/>
        <v>Kamis</v>
      </c>
      <c r="C34" s="75">
        <f t="shared" si="1"/>
        <v>7</v>
      </c>
      <c r="D34" s="75" t="str">
        <f>IF(A34="","",IF(WEEKDAY(A34,2)&gt;=6,"Libur (Sabtu/Minggu)",IF(COUNTIF($F$3:$F$30,A34)&gt;0,"Libur Nasional",IF(AND(B34=SUMMARY!$C$8,A34&gt;=SUMMARY!$C$9,A34&lt;=SUMMARY!$C$10),"WFH","Hari Kerja"))))</f>
        <v>Hari Kerja</v>
      </c>
    </row>
    <row r="35" spans="1:4" x14ac:dyDescent="0.2">
      <c r="A35" s="84">
        <f>IF(A34="","",IF(A34+1&gt;SUMMARY!$C$7,"",A34+1))</f>
        <v>46206</v>
      </c>
      <c r="B35" s="75" t="str">
        <f t="shared" ref="B35:B66" si="2">IF(A35="","",CHOOSE(WEEKDAY(A35,2),"Senin","Selasa","Rabu","Kamis","Jumat","Sabtu","Minggu"))</f>
        <v>Jumat</v>
      </c>
      <c r="C35" s="75">
        <f t="shared" ref="C35:C66" si="3">IF(A35="","",MONTH(A35))</f>
        <v>7</v>
      </c>
      <c r="D35" s="75" t="str">
        <f>IF(A35="","",IF(WEEKDAY(A35,2)&gt;=6,"Libur (Sabtu/Minggu)",IF(COUNTIF($F$3:$F$30,A35)&gt;0,"Libur Nasional",IF(AND(B35=SUMMARY!$C$8,A35&gt;=SUMMARY!$C$9,A35&lt;=SUMMARY!$C$10),"WFH","Hari Kerja"))))</f>
        <v>Hari Kerja</v>
      </c>
    </row>
    <row r="36" spans="1:4" x14ac:dyDescent="0.2">
      <c r="A36" s="84">
        <f>IF(A35="","",IF(A35+1&gt;SUMMARY!$C$7,"",A35+1))</f>
        <v>46207</v>
      </c>
      <c r="B36" s="75" t="str">
        <f t="shared" si="2"/>
        <v>Sabtu</v>
      </c>
      <c r="C36" s="75">
        <f t="shared" si="3"/>
        <v>7</v>
      </c>
      <c r="D36" s="75" t="str">
        <f>IF(A36="","",IF(WEEKDAY(A36,2)&gt;=6,"Libur (Sabtu/Minggu)",IF(COUNTIF($F$3:$F$30,A36)&gt;0,"Libur Nasional",IF(AND(B36=SUMMARY!$C$8,A36&gt;=SUMMARY!$C$9,A36&lt;=SUMMARY!$C$10),"WFH","Hari Kerja"))))</f>
        <v>Libur (Sabtu/Minggu)</v>
      </c>
    </row>
    <row r="37" spans="1:4" x14ac:dyDescent="0.2">
      <c r="A37" s="84">
        <f>IF(A36="","",IF(A36+1&gt;SUMMARY!$C$7,"",A36+1))</f>
        <v>46208</v>
      </c>
      <c r="B37" s="75" t="str">
        <f t="shared" si="2"/>
        <v>Minggu</v>
      </c>
      <c r="C37" s="75">
        <f t="shared" si="3"/>
        <v>7</v>
      </c>
      <c r="D37" s="75" t="str">
        <f>IF(A37="","",IF(WEEKDAY(A37,2)&gt;=6,"Libur (Sabtu/Minggu)",IF(COUNTIF($F$3:$F$30,A37)&gt;0,"Libur Nasional",IF(AND(B37=SUMMARY!$C$8,A37&gt;=SUMMARY!$C$9,A37&lt;=SUMMARY!$C$10),"WFH","Hari Kerja"))))</f>
        <v>Libur (Sabtu/Minggu)</v>
      </c>
    </row>
    <row r="38" spans="1:4" x14ac:dyDescent="0.2">
      <c r="A38" s="84">
        <f>IF(A37="","",IF(A37+1&gt;SUMMARY!$C$7,"",A37+1))</f>
        <v>46209</v>
      </c>
      <c r="B38" s="75" t="str">
        <f t="shared" si="2"/>
        <v>Senin</v>
      </c>
      <c r="C38" s="75">
        <f t="shared" si="3"/>
        <v>7</v>
      </c>
      <c r="D38" s="75" t="str">
        <f>IF(A38="","",IF(WEEKDAY(A38,2)&gt;=6,"Libur (Sabtu/Minggu)",IF(COUNTIF($F$3:$F$30,A38)&gt;0,"Libur Nasional",IF(AND(B38=SUMMARY!$C$8,A38&gt;=SUMMARY!$C$9,A38&lt;=SUMMARY!$C$10),"WFH","Hari Kerja"))))</f>
        <v>Hari Kerja</v>
      </c>
    </row>
    <row r="39" spans="1:4" x14ac:dyDescent="0.2">
      <c r="A39" s="84">
        <f>IF(A38="","",IF(A38+1&gt;SUMMARY!$C$7,"",A38+1))</f>
        <v>46210</v>
      </c>
      <c r="B39" s="75" t="str">
        <f t="shared" si="2"/>
        <v>Selasa</v>
      </c>
      <c r="C39" s="75">
        <f t="shared" si="3"/>
        <v>7</v>
      </c>
      <c r="D39" s="75" t="str">
        <f>IF(A39="","",IF(WEEKDAY(A39,2)&gt;=6,"Libur (Sabtu/Minggu)",IF(COUNTIF($F$3:$F$30,A39)&gt;0,"Libur Nasional",IF(AND(B39=SUMMARY!$C$8,A39&gt;=SUMMARY!$C$9,A39&lt;=SUMMARY!$C$10),"WFH","Hari Kerja"))))</f>
        <v>Hari Kerja</v>
      </c>
    </row>
    <row r="40" spans="1:4" x14ac:dyDescent="0.2">
      <c r="A40" s="84">
        <f>IF(A39="","",IF(A39+1&gt;SUMMARY!$C$7,"",A39+1))</f>
        <v>46211</v>
      </c>
      <c r="B40" s="75" t="str">
        <f t="shared" si="2"/>
        <v>Rabu</v>
      </c>
      <c r="C40" s="75">
        <f t="shared" si="3"/>
        <v>7</v>
      </c>
      <c r="D40" s="75" t="str">
        <f>IF(A40="","",IF(WEEKDAY(A40,2)&gt;=6,"Libur (Sabtu/Minggu)",IF(COUNTIF($F$3:$F$30,A40)&gt;0,"Libur Nasional",IF(AND(B40=SUMMARY!$C$8,A40&gt;=SUMMARY!$C$9,A40&lt;=SUMMARY!$C$10),"WFH","Hari Kerja"))))</f>
        <v>WFH</v>
      </c>
    </row>
    <row r="41" spans="1:4" x14ac:dyDescent="0.2">
      <c r="A41" s="84">
        <f>IF(A40="","",IF(A40+1&gt;SUMMARY!$C$7,"",A40+1))</f>
        <v>46212</v>
      </c>
      <c r="B41" s="75" t="str">
        <f t="shared" si="2"/>
        <v>Kamis</v>
      </c>
      <c r="C41" s="75">
        <f t="shared" si="3"/>
        <v>7</v>
      </c>
      <c r="D41" s="75" t="str">
        <f>IF(A41="","",IF(WEEKDAY(A41,2)&gt;=6,"Libur (Sabtu/Minggu)",IF(COUNTIF($F$3:$F$30,A41)&gt;0,"Libur Nasional",IF(AND(B41=SUMMARY!$C$8,A41&gt;=SUMMARY!$C$9,A41&lt;=SUMMARY!$C$10),"WFH","Hari Kerja"))))</f>
        <v>Hari Kerja</v>
      </c>
    </row>
    <row r="42" spans="1:4" x14ac:dyDescent="0.2">
      <c r="A42" s="84">
        <f>IF(A41="","",IF(A41+1&gt;SUMMARY!$C$7,"",A41+1))</f>
        <v>46213</v>
      </c>
      <c r="B42" s="75" t="str">
        <f t="shared" si="2"/>
        <v>Jumat</v>
      </c>
      <c r="C42" s="75">
        <f t="shared" si="3"/>
        <v>7</v>
      </c>
      <c r="D42" s="75" t="str">
        <f>IF(A42="","",IF(WEEKDAY(A42,2)&gt;=6,"Libur (Sabtu/Minggu)",IF(COUNTIF($F$3:$F$30,A42)&gt;0,"Libur Nasional",IF(AND(B42=SUMMARY!$C$8,A42&gt;=SUMMARY!$C$9,A42&lt;=SUMMARY!$C$10),"WFH","Hari Kerja"))))</f>
        <v>Hari Kerja</v>
      </c>
    </row>
    <row r="43" spans="1:4" x14ac:dyDescent="0.2">
      <c r="A43" s="84">
        <f>IF(A42="","",IF(A42+1&gt;SUMMARY!$C$7,"",A42+1))</f>
        <v>46214</v>
      </c>
      <c r="B43" s="75" t="str">
        <f t="shared" si="2"/>
        <v>Sabtu</v>
      </c>
      <c r="C43" s="75">
        <f t="shared" si="3"/>
        <v>7</v>
      </c>
      <c r="D43" s="75" t="str">
        <f>IF(A43="","",IF(WEEKDAY(A43,2)&gt;=6,"Libur (Sabtu/Minggu)",IF(COUNTIF($F$3:$F$30,A43)&gt;0,"Libur Nasional",IF(AND(B43=SUMMARY!$C$8,A43&gt;=SUMMARY!$C$9,A43&lt;=SUMMARY!$C$10),"WFH","Hari Kerja"))))</f>
        <v>Libur (Sabtu/Minggu)</v>
      </c>
    </row>
    <row r="44" spans="1:4" x14ac:dyDescent="0.2">
      <c r="A44" s="84">
        <f>IF(A43="","",IF(A43+1&gt;SUMMARY!$C$7,"",A43+1))</f>
        <v>46215</v>
      </c>
      <c r="B44" s="75" t="str">
        <f t="shared" si="2"/>
        <v>Minggu</v>
      </c>
      <c r="C44" s="75">
        <f t="shared" si="3"/>
        <v>7</v>
      </c>
      <c r="D44" s="75" t="str">
        <f>IF(A44="","",IF(WEEKDAY(A44,2)&gt;=6,"Libur (Sabtu/Minggu)",IF(COUNTIF($F$3:$F$30,A44)&gt;0,"Libur Nasional",IF(AND(B44=SUMMARY!$C$8,A44&gt;=SUMMARY!$C$9,A44&lt;=SUMMARY!$C$10),"WFH","Hari Kerja"))))</f>
        <v>Libur (Sabtu/Minggu)</v>
      </c>
    </row>
    <row r="45" spans="1:4" x14ac:dyDescent="0.2">
      <c r="A45" s="84">
        <f>IF(A44="","",IF(A44+1&gt;SUMMARY!$C$7,"",A44+1))</f>
        <v>46216</v>
      </c>
      <c r="B45" s="75" t="str">
        <f t="shared" si="2"/>
        <v>Senin</v>
      </c>
      <c r="C45" s="75">
        <f t="shared" si="3"/>
        <v>7</v>
      </c>
      <c r="D45" s="75" t="str">
        <f>IF(A45="","",IF(WEEKDAY(A45,2)&gt;=6,"Libur (Sabtu/Minggu)",IF(COUNTIF($F$3:$F$30,A45)&gt;0,"Libur Nasional",IF(AND(B45=SUMMARY!$C$8,A45&gt;=SUMMARY!$C$9,A45&lt;=SUMMARY!$C$10),"WFH","Hari Kerja"))))</f>
        <v>Hari Kerja</v>
      </c>
    </row>
    <row r="46" spans="1:4" x14ac:dyDescent="0.2">
      <c r="A46" s="84">
        <f>IF(A45="","",IF(A45+1&gt;SUMMARY!$C$7,"",A45+1))</f>
        <v>46217</v>
      </c>
      <c r="B46" s="75" t="str">
        <f t="shared" si="2"/>
        <v>Selasa</v>
      </c>
      <c r="C46" s="75">
        <f t="shared" si="3"/>
        <v>7</v>
      </c>
      <c r="D46" s="75" t="str">
        <f>IF(A46="","",IF(WEEKDAY(A46,2)&gt;=6,"Libur (Sabtu/Minggu)",IF(COUNTIF($F$3:$F$30,A46)&gt;0,"Libur Nasional",IF(AND(B46=SUMMARY!$C$8,A46&gt;=SUMMARY!$C$9,A46&lt;=SUMMARY!$C$10),"WFH","Hari Kerja"))))</f>
        <v>Hari Kerja</v>
      </c>
    </row>
    <row r="47" spans="1:4" x14ac:dyDescent="0.2">
      <c r="A47" s="84">
        <f>IF(A46="","",IF(A46+1&gt;SUMMARY!$C$7,"",A46+1))</f>
        <v>46218</v>
      </c>
      <c r="B47" s="75" t="str">
        <f t="shared" si="2"/>
        <v>Rabu</v>
      </c>
      <c r="C47" s="75">
        <f t="shared" si="3"/>
        <v>7</v>
      </c>
      <c r="D47" s="75" t="str">
        <f>IF(A47="","",IF(WEEKDAY(A47,2)&gt;=6,"Libur (Sabtu/Minggu)",IF(COUNTIF($F$3:$F$30,A47)&gt;0,"Libur Nasional",IF(AND(B47=SUMMARY!$C$8,A47&gt;=SUMMARY!$C$9,A47&lt;=SUMMARY!$C$10),"WFH","Hari Kerja"))))</f>
        <v>WFH</v>
      </c>
    </row>
    <row r="48" spans="1:4" x14ac:dyDescent="0.2">
      <c r="A48" s="84">
        <f>IF(A47="","",IF(A47+1&gt;SUMMARY!$C$7,"",A47+1))</f>
        <v>46219</v>
      </c>
      <c r="B48" s="75" t="str">
        <f t="shared" si="2"/>
        <v>Kamis</v>
      </c>
      <c r="C48" s="75">
        <f t="shared" si="3"/>
        <v>7</v>
      </c>
      <c r="D48" s="75" t="str">
        <f>IF(A48="","",IF(WEEKDAY(A48,2)&gt;=6,"Libur (Sabtu/Minggu)",IF(COUNTIF($F$3:$F$30,A48)&gt;0,"Libur Nasional",IF(AND(B48=SUMMARY!$C$8,A48&gt;=SUMMARY!$C$9,A48&lt;=SUMMARY!$C$10),"WFH","Hari Kerja"))))</f>
        <v>Hari Kerja</v>
      </c>
    </row>
    <row r="49" spans="1:4" x14ac:dyDescent="0.2">
      <c r="A49" s="84">
        <f>IF(A48="","",IF(A48+1&gt;SUMMARY!$C$7,"",A48+1))</f>
        <v>46220</v>
      </c>
      <c r="B49" s="75" t="str">
        <f t="shared" si="2"/>
        <v>Jumat</v>
      </c>
      <c r="C49" s="75">
        <f t="shared" si="3"/>
        <v>7</v>
      </c>
      <c r="D49" s="75" t="str">
        <f>IF(A49="","",IF(WEEKDAY(A49,2)&gt;=6,"Libur (Sabtu/Minggu)",IF(COUNTIF($F$3:$F$30,A49)&gt;0,"Libur Nasional",IF(AND(B49=SUMMARY!$C$8,A49&gt;=SUMMARY!$C$9,A49&lt;=SUMMARY!$C$10),"WFH","Hari Kerja"))))</f>
        <v>Hari Kerja</v>
      </c>
    </row>
    <row r="50" spans="1:4" x14ac:dyDescent="0.2">
      <c r="A50" s="84">
        <f>IF(A49="","",IF(A49+1&gt;SUMMARY!$C$7,"",A49+1))</f>
        <v>46221</v>
      </c>
      <c r="B50" s="75" t="str">
        <f t="shared" si="2"/>
        <v>Sabtu</v>
      </c>
      <c r="C50" s="75">
        <f t="shared" si="3"/>
        <v>7</v>
      </c>
      <c r="D50" s="75" t="str">
        <f>IF(A50="","",IF(WEEKDAY(A50,2)&gt;=6,"Libur (Sabtu/Minggu)",IF(COUNTIF($F$3:$F$30,A50)&gt;0,"Libur Nasional",IF(AND(B50=SUMMARY!$C$8,A50&gt;=SUMMARY!$C$9,A50&lt;=SUMMARY!$C$10),"WFH","Hari Kerja"))))</f>
        <v>Libur (Sabtu/Minggu)</v>
      </c>
    </row>
    <row r="51" spans="1:4" x14ac:dyDescent="0.2">
      <c r="A51" s="84">
        <f>IF(A50="","",IF(A50+1&gt;SUMMARY!$C$7,"",A50+1))</f>
        <v>46222</v>
      </c>
      <c r="B51" s="75" t="str">
        <f t="shared" si="2"/>
        <v>Minggu</v>
      </c>
      <c r="C51" s="75">
        <f t="shared" si="3"/>
        <v>7</v>
      </c>
      <c r="D51" s="75" t="str">
        <f>IF(A51="","",IF(WEEKDAY(A51,2)&gt;=6,"Libur (Sabtu/Minggu)",IF(COUNTIF($F$3:$F$30,A51)&gt;0,"Libur Nasional",IF(AND(B51=SUMMARY!$C$8,A51&gt;=SUMMARY!$C$9,A51&lt;=SUMMARY!$C$10),"WFH","Hari Kerja"))))</f>
        <v>Libur (Sabtu/Minggu)</v>
      </c>
    </row>
    <row r="52" spans="1:4" x14ac:dyDescent="0.2">
      <c r="A52" s="84">
        <f>IF(A51="","",IF(A51+1&gt;SUMMARY!$C$7,"",A51+1))</f>
        <v>46223</v>
      </c>
      <c r="B52" s="75" t="str">
        <f t="shared" si="2"/>
        <v>Senin</v>
      </c>
      <c r="C52" s="75">
        <f t="shared" si="3"/>
        <v>7</v>
      </c>
      <c r="D52" s="75" t="str">
        <f>IF(A52="","",IF(WEEKDAY(A52,2)&gt;=6,"Libur (Sabtu/Minggu)",IF(COUNTIF($F$3:$F$30,A52)&gt;0,"Libur Nasional",IF(AND(B52=SUMMARY!$C$8,A52&gt;=SUMMARY!$C$9,A52&lt;=SUMMARY!$C$10),"WFH","Hari Kerja"))))</f>
        <v>Hari Kerja</v>
      </c>
    </row>
    <row r="53" spans="1:4" x14ac:dyDescent="0.2">
      <c r="A53" s="84">
        <f>IF(A52="","",IF(A52+1&gt;SUMMARY!$C$7,"",A52+1))</f>
        <v>46224</v>
      </c>
      <c r="B53" s="75" t="str">
        <f t="shared" si="2"/>
        <v>Selasa</v>
      </c>
      <c r="C53" s="75">
        <f t="shared" si="3"/>
        <v>7</v>
      </c>
      <c r="D53" s="75" t="str">
        <f>IF(A53="","",IF(WEEKDAY(A53,2)&gt;=6,"Libur (Sabtu/Minggu)",IF(COUNTIF($F$3:$F$30,A53)&gt;0,"Libur Nasional",IF(AND(B53=SUMMARY!$C$8,A53&gt;=SUMMARY!$C$9,A53&lt;=SUMMARY!$C$10),"WFH","Hari Kerja"))))</f>
        <v>Hari Kerja</v>
      </c>
    </row>
    <row r="54" spans="1:4" x14ac:dyDescent="0.2">
      <c r="A54" s="84">
        <f>IF(A53="","",IF(A53+1&gt;SUMMARY!$C$7,"",A53+1))</f>
        <v>46225</v>
      </c>
      <c r="B54" s="75" t="str">
        <f t="shared" si="2"/>
        <v>Rabu</v>
      </c>
      <c r="C54" s="75">
        <f t="shared" si="3"/>
        <v>7</v>
      </c>
      <c r="D54" s="75" t="str">
        <f>IF(A54="","",IF(WEEKDAY(A54,2)&gt;=6,"Libur (Sabtu/Minggu)",IF(COUNTIF($F$3:$F$30,A54)&gt;0,"Libur Nasional",IF(AND(B54=SUMMARY!$C$8,A54&gt;=SUMMARY!$C$9,A54&lt;=SUMMARY!$C$10),"WFH","Hari Kerja"))))</f>
        <v>WFH</v>
      </c>
    </row>
    <row r="55" spans="1:4" x14ac:dyDescent="0.2">
      <c r="A55" s="84">
        <f>IF(A54="","",IF(A54+1&gt;SUMMARY!$C$7,"",A54+1))</f>
        <v>46226</v>
      </c>
      <c r="B55" s="75" t="str">
        <f t="shared" si="2"/>
        <v>Kamis</v>
      </c>
      <c r="C55" s="75">
        <f t="shared" si="3"/>
        <v>7</v>
      </c>
      <c r="D55" s="75" t="str">
        <f>IF(A55="","",IF(WEEKDAY(A55,2)&gt;=6,"Libur (Sabtu/Minggu)",IF(COUNTIF($F$3:$F$30,A55)&gt;0,"Libur Nasional",IF(AND(B55=SUMMARY!$C$8,A55&gt;=SUMMARY!$C$9,A55&lt;=SUMMARY!$C$10),"WFH","Hari Kerja"))))</f>
        <v>Hari Kerja</v>
      </c>
    </row>
    <row r="56" spans="1:4" x14ac:dyDescent="0.2">
      <c r="A56" s="84">
        <f>IF(A55="","",IF(A55+1&gt;SUMMARY!$C$7,"",A55+1))</f>
        <v>46227</v>
      </c>
      <c r="B56" s="75" t="str">
        <f t="shared" si="2"/>
        <v>Jumat</v>
      </c>
      <c r="C56" s="75">
        <f t="shared" si="3"/>
        <v>7</v>
      </c>
      <c r="D56" s="75" t="str">
        <f>IF(A56="","",IF(WEEKDAY(A56,2)&gt;=6,"Libur (Sabtu/Minggu)",IF(COUNTIF($F$3:$F$30,A56)&gt;0,"Libur Nasional",IF(AND(B56=SUMMARY!$C$8,A56&gt;=SUMMARY!$C$9,A56&lt;=SUMMARY!$C$10),"WFH","Hari Kerja"))))</f>
        <v>Hari Kerja</v>
      </c>
    </row>
    <row r="57" spans="1:4" x14ac:dyDescent="0.2">
      <c r="A57" s="84">
        <f>IF(A56="","",IF(A56+1&gt;SUMMARY!$C$7,"",A56+1))</f>
        <v>46228</v>
      </c>
      <c r="B57" s="75" t="str">
        <f t="shared" si="2"/>
        <v>Sabtu</v>
      </c>
      <c r="C57" s="75">
        <f t="shared" si="3"/>
        <v>7</v>
      </c>
      <c r="D57" s="75" t="str">
        <f>IF(A57="","",IF(WEEKDAY(A57,2)&gt;=6,"Libur (Sabtu/Minggu)",IF(COUNTIF($F$3:$F$30,A57)&gt;0,"Libur Nasional",IF(AND(B57=SUMMARY!$C$8,A57&gt;=SUMMARY!$C$9,A57&lt;=SUMMARY!$C$10),"WFH","Hari Kerja"))))</f>
        <v>Libur (Sabtu/Minggu)</v>
      </c>
    </row>
    <row r="58" spans="1:4" x14ac:dyDescent="0.2">
      <c r="A58" s="84">
        <f>IF(A57="","",IF(A57+1&gt;SUMMARY!$C$7,"",A57+1))</f>
        <v>46229</v>
      </c>
      <c r="B58" s="75" t="str">
        <f t="shared" si="2"/>
        <v>Minggu</v>
      </c>
      <c r="C58" s="75">
        <f t="shared" si="3"/>
        <v>7</v>
      </c>
      <c r="D58" s="75" t="str">
        <f>IF(A58="","",IF(WEEKDAY(A58,2)&gt;=6,"Libur (Sabtu/Minggu)",IF(COUNTIF($F$3:$F$30,A58)&gt;0,"Libur Nasional",IF(AND(B58=SUMMARY!$C$8,A58&gt;=SUMMARY!$C$9,A58&lt;=SUMMARY!$C$10),"WFH","Hari Kerja"))))</f>
        <v>Libur (Sabtu/Minggu)</v>
      </c>
    </row>
    <row r="59" spans="1:4" x14ac:dyDescent="0.2">
      <c r="A59" s="84">
        <f>IF(A58="","",IF(A58+1&gt;SUMMARY!$C$7,"",A58+1))</f>
        <v>46230</v>
      </c>
      <c r="B59" s="75" t="str">
        <f t="shared" si="2"/>
        <v>Senin</v>
      </c>
      <c r="C59" s="75">
        <f t="shared" si="3"/>
        <v>7</v>
      </c>
      <c r="D59" s="75" t="str">
        <f>IF(A59="","",IF(WEEKDAY(A59,2)&gt;=6,"Libur (Sabtu/Minggu)",IF(COUNTIF($F$3:$F$30,A59)&gt;0,"Libur Nasional",IF(AND(B59=SUMMARY!$C$8,A59&gt;=SUMMARY!$C$9,A59&lt;=SUMMARY!$C$10),"WFH","Hari Kerja"))))</f>
        <v>Hari Kerja</v>
      </c>
    </row>
    <row r="60" spans="1:4" x14ac:dyDescent="0.2">
      <c r="A60" s="84">
        <f>IF(A59="","",IF(A59+1&gt;SUMMARY!$C$7,"",A59+1))</f>
        <v>46231</v>
      </c>
      <c r="B60" s="75" t="str">
        <f t="shared" si="2"/>
        <v>Selasa</v>
      </c>
      <c r="C60" s="75">
        <f t="shared" si="3"/>
        <v>7</v>
      </c>
      <c r="D60" s="75" t="str">
        <f>IF(A60="","",IF(WEEKDAY(A60,2)&gt;=6,"Libur (Sabtu/Minggu)",IF(COUNTIF($F$3:$F$30,A60)&gt;0,"Libur Nasional",IF(AND(B60=SUMMARY!$C$8,A60&gt;=SUMMARY!$C$9,A60&lt;=SUMMARY!$C$10),"WFH","Hari Kerja"))))</f>
        <v>Hari Kerja</v>
      </c>
    </row>
    <row r="61" spans="1:4" x14ac:dyDescent="0.2">
      <c r="A61" s="84">
        <f>IF(A60="","",IF(A60+1&gt;SUMMARY!$C$7,"",A60+1))</f>
        <v>46232</v>
      </c>
      <c r="B61" s="75" t="str">
        <f t="shared" si="2"/>
        <v>Rabu</v>
      </c>
      <c r="C61" s="75">
        <f t="shared" si="3"/>
        <v>7</v>
      </c>
      <c r="D61" s="75" t="str">
        <f>IF(A61="","",IF(WEEKDAY(A61,2)&gt;=6,"Libur (Sabtu/Minggu)",IF(COUNTIF($F$3:$F$30,A61)&gt;0,"Libur Nasional",IF(AND(B61=SUMMARY!$C$8,A61&gt;=SUMMARY!$C$9,A61&lt;=SUMMARY!$C$10),"WFH","Hari Kerja"))))</f>
        <v>WFH</v>
      </c>
    </row>
    <row r="62" spans="1:4" x14ac:dyDescent="0.2">
      <c r="A62" s="84">
        <f>IF(A61="","",IF(A61+1&gt;SUMMARY!$C$7,"",A61+1))</f>
        <v>46233</v>
      </c>
      <c r="B62" s="75" t="str">
        <f t="shared" si="2"/>
        <v>Kamis</v>
      </c>
      <c r="C62" s="75">
        <f t="shared" si="3"/>
        <v>7</v>
      </c>
      <c r="D62" s="75" t="str">
        <f>IF(A62="","",IF(WEEKDAY(A62,2)&gt;=6,"Libur (Sabtu/Minggu)",IF(COUNTIF($F$3:$F$30,A62)&gt;0,"Libur Nasional",IF(AND(B62=SUMMARY!$C$8,A62&gt;=SUMMARY!$C$9,A62&lt;=SUMMARY!$C$10),"WFH","Hari Kerja"))))</f>
        <v>Hari Kerja</v>
      </c>
    </row>
    <row r="63" spans="1:4" x14ac:dyDescent="0.2">
      <c r="A63" s="84">
        <f>IF(A62="","",IF(A62+1&gt;SUMMARY!$C$7,"",A62+1))</f>
        <v>46234</v>
      </c>
      <c r="B63" s="75" t="str">
        <f t="shared" si="2"/>
        <v>Jumat</v>
      </c>
      <c r="C63" s="75">
        <f t="shared" si="3"/>
        <v>7</v>
      </c>
      <c r="D63" s="75" t="str">
        <f>IF(A63="","",IF(WEEKDAY(A63,2)&gt;=6,"Libur (Sabtu/Minggu)",IF(COUNTIF($F$3:$F$30,A63)&gt;0,"Libur Nasional",IF(AND(B63=SUMMARY!$C$8,A63&gt;=SUMMARY!$C$9,A63&lt;=SUMMARY!$C$10),"WFH","Hari Kerja"))))</f>
        <v>Hari Kerja</v>
      </c>
    </row>
    <row r="64" spans="1:4" x14ac:dyDescent="0.2">
      <c r="A64" s="84">
        <f>IF(A63="","",IF(A63+1&gt;SUMMARY!$C$7,"",A63+1))</f>
        <v>46235</v>
      </c>
      <c r="B64" s="75" t="str">
        <f t="shared" si="2"/>
        <v>Sabtu</v>
      </c>
      <c r="C64" s="75">
        <f t="shared" si="3"/>
        <v>8</v>
      </c>
      <c r="D64" s="75" t="str">
        <f>IF(A64="","",IF(WEEKDAY(A64,2)&gt;=6,"Libur (Sabtu/Minggu)",IF(COUNTIF($F$3:$F$30,A64)&gt;0,"Libur Nasional",IF(AND(B64=SUMMARY!$C$8,A64&gt;=SUMMARY!$C$9,A64&lt;=SUMMARY!$C$10),"WFH","Hari Kerja"))))</f>
        <v>Libur (Sabtu/Minggu)</v>
      </c>
    </row>
    <row r="65" spans="1:4" x14ac:dyDescent="0.2">
      <c r="A65" s="84">
        <f>IF(A64="","",IF(A64+1&gt;SUMMARY!$C$7,"",A64+1))</f>
        <v>46236</v>
      </c>
      <c r="B65" s="75" t="str">
        <f t="shared" si="2"/>
        <v>Minggu</v>
      </c>
      <c r="C65" s="75">
        <f t="shared" si="3"/>
        <v>8</v>
      </c>
      <c r="D65" s="75" t="str">
        <f>IF(A65="","",IF(WEEKDAY(A65,2)&gt;=6,"Libur (Sabtu/Minggu)",IF(COUNTIF($F$3:$F$30,A65)&gt;0,"Libur Nasional",IF(AND(B65=SUMMARY!$C$8,A65&gt;=SUMMARY!$C$9,A65&lt;=SUMMARY!$C$10),"WFH","Hari Kerja"))))</f>
        <v>Libur (Sabtu/Minggu)</v>
      </c>
    </row>
    <row r="66" spans="1:4" x14ac:dyDescent="0.2">
      <c r="A66" s="84">
        <f>IF(A65="","",IF(A65+1&gt;SUMMARY!$C$7,"",A65+1))</f>
        <v>46237</v>
      </c>
      <c r="B66" s="75" t="str">
        <f t="shared" si="2"/>
        <v>Senin</v>
      </c>
      <c r="C66" s="75">
        <f t="shared" si="3"/>
        <v>8</v>
      </c>
      <c r="D66" s="75" t="str">
        <f>IF(A66="","",IF(WEEKDAY(A66,2)&gt;=6,"Libur (Sabtu/Minggu)",IF(COUNTIF($F$3:$F$30,A66)&gt;0,"Libur Nasional",IF(AND(B66=SUMMARY!$C$8,A66&gt;=SUMMARY!$C$9,A66&lt;=SUMMARY!$C$10),"WFH","Hari Kerja"))))</f>
        <v>Hari Kerja</v>
      </c>
    </row>
    <row r="67" spans="1:4" x14ac:dyDescent="0.2">
      <c r="A67" s="84">
        <f>IF(A66="","",IF(A66+1&gt;SUMMARY!$C$7,"",A66+1))</f>
        <v>46238</v>
      </c>
      <c r="B67" s="75" t="str">
        <f t="shared" ref="B67:B98" si="4">IF(A67="","",CHOOSE(WEEKDAY(A67,2),"Senin","Selasa","Rabu","Kamis","Jumat","Sabtu","Minggu"))</f>
        <v>Selasa</v>
      </c>
      <c r="C67" s="75">
        <f t="shared" ref="C67:C98" si="5">IF(A67="","",MONTH(A67))</f>
        <v>8</v>
      </c>
      <c r="D67" s="75" t="str">
        <f>IF(A67="","",IF(WEEKDAY(A67,2)&gt;=6,"Libur (Sabtu/Minggu)",IF(COUNTIF($F$3:$F$30,A67)&gt;0,"Libur Nasional",IF(AND(B67=SUMMARY!$C$8,A67&gt;=SUMMARY!$C$9,A67&lt;=SUMMARY!$C$10),"WFH","Hari Kerja"))))</f>
        <v>Hari Kerja</v>
      </c>
    </row>
    <row r="68" spans="1:4" x14ac:dyDescent="0.2">
      <c r="A68" s="84">
        <f>IF(A67="","",IF(A67+1&gt;SUMMARY!$C$7,"",A67+1))</f>
        <v>46239</v>
      </c>
      <c r="B68" s="75" t="str">
        <f t="shared" si="4"/>
        <v>Rabu</v>
      </c>
      <c r="C68" s="75">
        <f t="shared" si="5"/>
        <v>8</v>
      </c>
      <c r="D68" s="75" t="str">
        <f>IF(A68="","",IF(WEEKDAY(A68,2)&gt;=6,"Libur (Sabtu/Minggu)",IF(COUNTIF($F$3:$F$30,A68)&gt;0,"Libur Nasional",IF(AND(B68=SUMMARY!$C$8,A68&gt;=SUMMARY!$C$9,A68&lt;=SUMMARY!$C$10),"WFH","Hari Kerja"))))</f>
        <v>Hari Kerja</v>
      </c>
    </row>
    <row r="69" spans="1:4" x14ac:dyDescent="0.2">
      <c r="A69" s="84">
        <f>IF(A68="","",IF(A68+1&gt;SUMMARY!$C$7,"",A68+1))</f>
        <v>46240</v>
      </c>
      <c r="B69" s="75" t="str">
        <f t="shared" si="4"/>
        <v>Kamis</v>
      </c>
      <c r="C69" s="75">
        <f t="shared" si="5"/>
        <v>8</v>
      </c>
      <c r="D69" s="75" t="str">
        <f>IF(A69="","",IF(WEEKDAY(A69,2)&gt;=6,"Libur (Sabtu/Minggu)",IF(COUNTIF($F$3:$F$30,A69)&gt;0,"Libur Nasional",IF(AND(B69=SUMMARY!$C$8,A69&gt;=SUMMARY!$C$9,A69&lt;=SUMMARY!$C$10),"WFH","Hari Kerja"))))</f>
        <v>Hari Kerja</v>
      </c>
    </row>
    <row r="70" spans="1:4" x14ac:dyDescent="0.2">
      <c r="A70" s="84">
        <f>IF(A69="","",IF(A69+1&gt;SUMMARY!$C$7,"",A69+1))</f>
        <v>46241</v>
      </c>
      <c r="B70" s="75" t="str">
        <f t="shared" si="4"/>
        <v>Jumat</v>
      </c>
      <c r="C70" s="75">
        <f t="shared" si="5"/>
        <v>8</v>
      </c>
      <c r="D70" s="75" t="str">
        <f>IF(A70="","",IF(WEEKDAY(A70,2)&gt;=6,"Libur (Sabtu/Minggu)",IF(COUNTIF($F$3:$F$30,A70)&gt;0,"Libur Nasional",IF(AND(B70=SUMMARY!$C$8,A70&gt;=SUMMARY!$C$9,A70&lt;=SUMMARY!$C$10),"WFH","Hari Kerja"))))</f>
        <v>Hari Kerja</v>
      </c>
    </row>
    <row r="71" spans="1:4" x14ac:dyDescent="0.2">
      <c r="A71" s="84">
        <f>IF(A70="","",IF(A70+1&gt;SUMMARY!$C$7,"",A70+1))</f>
        <v>46242</v>
      </c>
      <c r="B71" s="75" t="str">
        <f t="shared" si="4"/>
        <v>Sabtu</v>
      </c>
      <c r="C71" s="75">
        <f t="shared" si="5"/>
        <v>8</v>
      </c>
      <c r="D71" s="75" t="str">
        <f>IF(A71="","",IF(WEEKDAY(A71,2)&gt;=6,"Libur (Sabtu/Minggu)",IF(COUNTIF($F$3:$F$30,A71)&gt;0,"Libur Nasional",IF(AND(B71=SUMMARY!$C$8,A71&gt;=SUMMARY!$C$9,A71&lt;=SUMMARY!$C$10),"WFH","Hari Kerja"))))</f>
        <v>Libur (Sabtu/Minggu)</v>
      </c>
    </row>
    <row r="72" spans="1:4" x14ac:dyDescent="0.2">
      <c r="A72" s="84">
        <f>IF(A71="","",IF(A71+1&gt;SUMMARY!$C$7,"",A71+1))</f>
        <v>46243</v>
      </c>
      <c r="B72" s="75" t="str">
        <f t="shared" si="4"/>
        <v>Minggu</v>
      </c>
      <c r="C72" s="75">
        <f t="shared" si="5"/>
        <v>8</v>
      </c>
      <c r="D72" s="75" t="str">
        <f>IF(A72="","",IF(WEEKDAY(A72,2)&gt;=6,"Libur (Sabtu/Minggu)",IF(COUNTIF($F$3:$F$30,A72)&gt;0,"Libur Nasional",IF(AND(B72=SUMMARY!$C$8,A72&gt;=SUMMARY!$C$9,A72&lt;=SUMMARY!$C$10),"WFH","Hari Kerja"))))</f>
        <v>Libur (Sabtu/Minggu)</v>
      </c>
    </row>
    <row r="73" spans="1:4" x14ac:dyDescent="0.2">
      <c r="A73" s="84">
        <f>IF(A72="","",IF(A72+1&gt;SUMMARY!$C$7,"",A72+1))</f>
        <v>46244</v>
      </c>
      <c r="B73" s="75" t="str">
        <f t="shared" si="4"/>
        <v>Senin</v>
      </c>
      <c r="C73" s="75">
        <f t="shared" si="5"/>
        <v>8</v>
      </c>
      <c r="D73" s="75" t="str">
        <f>IF(A73="","",IF(WEEKDAY(A73,2)&gt;=6,"Libur (Sabtu/Minggu)",IF(COUNTIF($F$3:$F$30,A73)&gt;0,"Libur Nasional",IF(AND(B73=SUMMARY!$C$8,A73&gt;=SUMMARY!$C$9,A73&lt;=SUMMARY!$C$10),"WFH","Hari Kerja"))))</f>
        <v>Hari Kerja</v>
      </c>
    </row>
    <row r="74" spans="1:4" x14ac:dyDescent="0.2">
      <c r="A74" s="84">
        <f>IF(A73="","",IF(A73+1&gt;SUMMARY!$C$7,"",A73+1))</f>
        <v>46245</v>
      </c>
      <c r="B74" s="75" t="str">
        <f t="shared" si="4"/>
        <v>Selasa</v>
      </c>
      <c r="C74" s="75">
        <f t="shared" si="5"/>
        <v>8</v>
      </c>
      <c r="D74" s="75" t="str">
        <f>IF(A74="","",IF(WEEKDAY(A74,2)&gt;=6,"Libur (Sabtu/Minggu)",IF(COUNTIF($F$3:$F$30,A74)&gt;0,"Libur Nasional",IF(AND(B74=SUMMARY!$C$8,A74&gt;=SUMMARY!$C$9,A74&lt;=SUMMARY!$C$10),"WFH","Hari Kerja"))))</f>
        <v>Hari Kerja</v>
      </c>
    </row>
    <row r="75" spans="1:4" x14ac:dyDescent="0.2">
      <c r="A75" s="84">
        <f>IF(A74="","",IF(A74+1&gt;SUMMARY!$C$7,"",A74+1))</f>
        <v>46246</v>
      </c>
      <c r="B75" s="75" t="str">
        <f t="shared" si="4"/>
        <v>Rabu</v>
      </c>
      <c r="C75" s="75">
        <f t="shared" si="5"/>
        <v>8</v>
      </c>
      <c r="D75" s="75" t="str">
        <f>IF(A75="","",IF(WEEKDAY(A75,2)&gt;=6,"Libur (Sabtu/Minggu)",IF(COUNTIF($F$3:$F$30,A75)&gt;0,"Libur Nasional",IF(AND(B75=SUMMARY!$C$8,A75&gt;=SUMMARY!$C$9,A75&lt;=SUMMARY!$C$10),"WFH","Hari Kerja"))))</f>
        <v>Hari Kerja</v>
      </c>
    </row>
    <row r="76" spans="1:4" x14ac:dyDescent="0.2">
      <c r="A76" s="84">
        <f>IF(A75="","",IF(A75+1&gt;SUMMARY!$C$7,"",A75+1))</f>
        <v>46247</v>
      </c>
      <c r="B76" s="75" t="str">
        <f t="shared" si="4"/>
        <v>Kamis</v>
      </c>
      <c r="C76" s="75">
        <f t="shared" si="5"/>
        <v>8</v>
      </c>
      <c r="D76" s="75" t="str">
        <f>IF(A76="","",IF(WEEKDAY(A76,2)&gt;=6,"Libur (Sabtu/Minggu)",IF(COUNTIF($F$3:$F$30,A76)&gt;0,"Libur Nasional",IF(AND(B76=SUMMARY!$C$8,A76&gt;=SUMMARY!$C$9,A76&lt;=SUMMARY!$C$10),"WFH","Hari Kerja"))))</f>
        <v>Hari Kerja</v>
      </c>
    </row>
    <row r="77" spans="1:4" x14ac:dyDescent="0.2">
      <c r="A77" s="84">
        <f>IF(A76="","",IF(A76+1&gt;SUMMARY!$C$7,"",A76+1))</f>
        <v>46248</v>
      </c>
      <c r="B77" s="75" t="str">
        <f t="shared" si="4"/>
        <v>Jumat</v>
      </c>
      <c r="C77" s="75">
        <f t="shared" si="5"/>
        <v>8</v>
      </c>
      <c r="D77" s="75" t="str">
        <f>IF(A77="","",IF(WEEKDAY(A77,2)&gt;=6,"Libur (Sabtu/Minggu)",IF(COUNTIF($F$3:$F$30,A77)&gt;0,"Libur Nasional",IF(AND(B77=SUMMARY!$C$8,A77&gt;=SUMMARY!$C$9,A77&lt;=SUMMARY!$C$10),"WFH","Hari Kerja"))))</f>
        <v>Hari Kerja</v>
      </c>
    </row>
    <row r="78" spans="1:4" x14ac:dyDescent="0.2">
      <c r="A78" s="84">
        <f>IF(A77="","",IF(A77+1&gt;SUMMARY!$C$7,"",A77+1))</f>
        <v>46249</v>
      </c>
      <c r="B78" s="75" t="str">
        <f t="shared" si="4"/>
        <v>Sabtu</v>
      </c>
      <c r="C78" s="75">
        <f t="shared" si="5"/>
        <v>8</v>
      </c>
      <c r="D78" s="75" t="str">
        <f>IF(A78="","",IF(WEEKDAY(A78,2)&gt;=6,"Libur (Sabtu/Minggu)",IF(COUNTIF($F$3:$F$30,A78)&gt;0,"Libur Nasional",IF(AND(B78=SUMMARY!$C$8,A78&gt;=SUMMARY!$C$9,A78&lt;=SUMMARY!$C$10),"WFH","Hari Kerja"))))</f>
        <v>Libur (Sabtu/Minggu)</v>
      </c>
    </row>
    <row r="79" spans="1:4" x14ac:dyDescent="0.2">
      <c r="A79" s="84">
        <f>IF(A78="","",IF(A78+1&gt;SUMMARY!$C$7,"",A78+1))</f>
        <v>46250</v>
      </c>
      <c r="B79" s="75" t="str">
        <f t="shared" si="4"/>
        <v>Minggu</v>
      </c>
      <c r="C79" s="75">
        <f t="shared" si="5"/>
        <v>8</v>
      </c>
      <c r="D79" s="75" t="str">
        <f>IF(A79="","",IF(WEEKDAY(A79,2)&gt;=6,"Libur (Sabtu/Minggu)",IF(COUNTIF($F$3:$F$30,A79)&gt;0,"Libur Nasional",IF(AND(B79=SUMMARY!$C$8,A79&gt;=SUMMARY!$C$9,A79&lt;=SUMMARY!$C$10),"WFH","Hari Kerja"))))</f>
        <v>Libur (Sabtu/Minggu)</v>
      </c>
    </row>
    <row r="80" spans="1:4" x14ac:dyDescent="0.2">
      <c r="A80" s="84">
        <f>IF(A79="","",IF(A79+1&gt;SUMMARY!$C$7,"",A79+1))</f>
        <v>46251</v>
      </c>
      <c r="B80" s="75" t="str">
        <f t="shared" si="4"/>
        <v>Senin</v>
      </c>
      <c r="C80" s="75">
        <f t="shared" si="5"/>
        <v>8</v>
      </c>
      <c r="D80" s="75" t="str">
        <f>IF(A80="","",IF(WEEKDAY(A80,2)&gt;=6,"Libur (Sabtu/Minggu)",IF(COUNTIF($F$3:$F$30,A80)&gt;0,"Libur Nasional",IF(AND(B80=SUMMARY!$C$8,A80&gt;=SUMMARY!$C$9,A80&lt;=SUMMARY!$C$10),"WFH","Hari Kerja"))))</f>
        <v>Libur Nasional</v>
      </c>
    </row>
    <row r="81" spans="1:4" x14ac:dyDescent="0.2">
      <c r="A81" s="84">
        <f>IF(A80="","",IF(A80+1&gt;SUMMARY!$C$7,"",A80+1))</f>
        <v>46252</v>
      </c>
      <c r="B81" s="75" t="str">
        <f t="shared" si="4"/>
        <v>Selasa</v>
      </c>
      <c r="C81" s="75">
        <f t="shared" si="5"/>
        <v>8</v>
      </c>
      <c r="D81" s="75" t="str">
        <f>IF(A81="","",IF(WEEKDAY(A81,2)&gt;=6,"Libur (Sabtu/Minggu)",IF(COUNTIF($F$3:$F$30,A81)&gt;0,"Libur Nasional",IF(AND(B81=SUMMARY!$C$8,A81&gt;=SUMMARY!$C$9,A81&lt;=SUMMARY!$C$10),"WFH","Hari Kerja"))))</f>
        <v>Hari Kerja</v>
      </c>
    </row>
    <row r="82" spans="1:4" x14ac:dyDescent="0.2">
      <c r="A82" s="84">
        <f>IF(A81="","",IF(A81+1&gt;SUMMARY!$C$7,"",A81+1))</f>
        <v>46253</v>
      </c>
      <c r="B82" s="75" t="str">
        <f t="shared" si="4"/>
        <v>Rabu</v>
      </c>
      <c r="C82" s="75">
        <f t="shared" si="5"/>
        <v>8</v>
      </c>
      <c r="D82" s="75" t="str">
        <f>IF(A82="","",IF(WEEKDAY(A82,2)&gt;=6,"Libur (Sabtu/Minggu)",IF(COUNTIF($F$3:$F$30,A82)&gt;0,"Libur Nasional",IF(AND(B82=SUMMARY!$C$8,A82&gt;=SUMMARY!$C$9,A82&lt;=SUMMARY!$C$10),"WFH","Hari Kerja"))))</f>
        <v>Hari Kerja</v>
      </c>
    </row>
    <row r="83" spans="1:4" x14ac:dyDescent="0.2">
      <c r="A83" s="84">
        <f>IF(A82="","",IF(A82+1&gt;SUMMARY!$C$7,"",A82+1))</f>
        <v>46254</v>
      </c>
      <c r="B83" s="75" t="str">
        <f t="shared" si="4"/>
        <v>Kamis</v>
      </c>
      <c r="C83" s="75">
        <f t="shared" si="5"/>
        <v>8</v>
      </c>
      <c r="D83" s="75" t="str">
        <f>IF(A83="","",IF(WEEKDAY(A83,2)&gt;=6,"Libur (Sabtu/Minggu)",IF(COUNTIF($F$3:$F$30,A83)&gt;0,"Libur Nasional",IF(AND(B83=SUMMARY!$C$8,A83&gt;=SUMMARY!$C$9,A83&lt;=SUMMARY!$C$10),"WFH","Hari Kerja"))))</f>
        <v>Hari Kerja</v>
      </c>
    </row>
    <row r="84" spans="1:4" x14ac:dyDescent="0.2">
      <c r="A84" s="84">
        <f>IF(A83="","",IF(A83+1&gt;SUMMARY!$C$7,"",A83+1))</f>
        <v>46255</v>
      </c>
      <c r="B84" s="75" t="str">
        <f t="shared" si="4"/>
        <v>Jumat</v>
      </c>
      <c r="C84" s="75">
        <f t="shared" si="5"/>
        <v>8</v>
      </c>
      <c r="D84" s="75" t="str">
        <f>IF(A84="","",IF(WEEKDAY(A84,2)&gt;=6,"Libur (Sabtu/Minggu)",IF(COUNTIF($F$3:$F$30,A84)&gt;0,"Libur Nasional",IF(AND(B84=SUMMARY!$C$8,A84&gt;=SUMMARY!$C$9,A84&lt;=SUMMARY!$C$10),"WFH","Hari Kerja"))))</f>
        <v>Hari Kerja</v>
      </c>
    </row>
    <row r="85" spans="1:4" x14ac:dyDescent="0.2">
      <c r="A85" s="84">
        <f>IF(A84="","",IF(A84+1&gt;SUMMARY!$C$7,"",A84+1))</f>
        <v>46256</v>
      </c>
      <c r="B85" s="75" t="str">
        <f t="shared" si="4"/>
        <v>Sabtu</v>
      </c>
      <c r="C85" s="75">
        <f t="shared" si="5"/>
        <v>8</v>
      </c>
      <c r="D85" s="75" t="str">
        <f>IF(A85="","",IF(WEEKDAY(A85,2)&gt;=6,"Libur (Sabtu/Minggu)",IF(COUNTIF($F$3:$F$30,A85)&gt;0,"Libur Nasional",IF(AND(B85=SUMMARY!$C$8,A85&gt;=SUMMARY!$C$9,A85&lt;=SUMMARY!$C$10),"WFH","Hari Kerja"))))</f>
        <v>Libur (Sabtu/Minggu)</v>
      </c>
    </row>
    <row r="86" spans="1:4" x14ac:dyDescent="0.2">
      <c r="A86" s="84">
        <f>IF(A85="","",IF(A85+1&gt;SUMMARY!$C$7,"",A85+1))</f>
        <v>46257</v>
      </c>
      <c r="B86" s="75" t="str">
        <f t="shared" si="4"/>
        <v>Minggu</v>
      </c>
      <c r="C86" s="75">
        <f t="shared" si="5"/>
        <v>8</v>
      </c>
      <c r="D86" s="75" t="str">
        <f>IF(A86="","",IF(WEEKDAY(A86,2)&gt;=6,"Libur (Sabtu/Minggu)",IF(COUNTIF($F$3:$F$30,A86)&gt;0,"Libur Nasional",IF(AND(B86=SUMMARY!$C$8,A86&gt;=SUMMARY!$C$9,A86&lt;=SUMMARY!$C$10),"WFH","Hari Kerja"))))</f>
        <v>Libur (Sabtu/Minggu)</v>
      </c>
    </row>
    <row r="87" spans="1:4" x14ac:dyDescent="0.2">
      <c r="A87" s="84">
        <f>IF(A86="","",IF(A86+1&gt;SUMMARY!$C$7,"",A86+1))</f>
        <v>46258</v>
      </c>
      <c r="B87" s="75" t="str">
        <f t="shared" si="4"/>
        <v>Senin</v>
      </c>
      <c r="C87" s="75">
        <f t="shared" si="5"/>
        <v>8</v>
      </c>
      <c r="D87" s="75" t="str">
        <f>IF(A87="","",IF(WEEKDAY(A87,2)&gt;=6,"Libur (Sabtu/Minggu)",IF(COUNTIF($F$3:$F$30,A87)&gt;0,"Libur Nasional",IF(AND(B87=SUMMARY!$C$8,A87&gt;=SUMMARY!$C$9,A87&lt;=SUMMARY!$C$10),"WFH","Hari Kerja"))))</f>
        <v>Hari Kerja</v>
      </c>
    </row>
    <row r="88" spans="1:4" x14ac:dyDescent="0.2">
      <c r="A88" s="84">
        <f>IF(A87="","",IF(A87+1&gt;SUMMARY!$C$7,"",A87+1))</f>
        <v>46259</v>
      </c>
      <c r="B88" s="75" t="str">
        <f t="shared" si="4"/>
        <v>Selasa</v>
      </c>
      <c r="C88" s="75">
        <f t="shared" si="5"/>
        <v>8</v>
      </c>
      <c r="D88" s="75" t="str">
        <f>IF(A88="","",IF(WEEKDAY(A88,2)&gt;=6,"Libur (Sabtu/Minggu)",IF(COUNTIF($F$3:$F$30,A88)&gt;0,"Libur Nasional",IF(AND(B88=SUMMARY!$C$8,A88&gt;=SUMMARY!$C$9,A88&lt;=SUMMARY!$C$10),"WFH","Hari Kerja"))))</f>
        <v>Libur Nasional</v>
      </c>
    </row>
    <row r="89" spans="1:4" x14ac:dyDescent="0.2">
      <c r="A89" s="84">
        <f>IF(A88="","",IF(A88+1&gt;SUMMARY!$C$7,"",A88+1))</f>
        <v>46260</v>
      </c>
      <c r="B89" s="75" t="str">
        <f t="shared" si="4"/>
        <v>Rabu</v>
      </c>
      <c r="C89" s="75">
        <f t="shared" si="5"/>
        <v>8</v>
      </c>
      <c r="D89" s="75" t="str">
        <f>IF(A89="","",IF(WEEKDAY(A89,2)&gt;=6,"Libur (Sabtu/Minggu)",IF(COUNTIF($F$3:$F$30,A89)&gt;0,"Libur Nasional",IF(AND(B89=SUMMARY!$C$8,A89&gt;=SUMMARY!$C$9,A89&lt;=SUMMARY!$C$10),"WFH","Hari Kerja"))))</f>
        <v>Hari Kerja</v>
      </c>
    </row>
    <row r="90" spans="1:4" x14ac:dyDescent="0.2">
      <c r="A90" s="84">
        <f>IF(A89="","",IF(A89+1&gt;SUMMARY!$C$7,"",A89+1))</f>
        <v>46261</v>
      </c>
      <c r="B90" s="75" t="str">
        <f t="shared" si="4"/>
        <v>Kamis</v>
      </c>
      <c r="C90" s="75">
        <f t="shared" si="5"/>
        <v>8</v>
      </c>
      <c r="D90" s="75" t="str">
        <f>IF(A90="","",IF(WEEKDAY(A90,2)&gt;=6,"Libur (Sabtu/Minggu)",IF(COUNTIF($F$3:$F$30,A90)&gt;0,"Libur Nasional",IF(AND(B90=SUMMARY!$C$8,A90&gt;=SUMMARY!$C$9,A90&lt;=SUMMARY!$C$10),"WFH","Hari Kerja"))))</f>
        <v>Hari Kerja</v>
      </c>
    </row>
    <row r="91" spans="1:4" x14ac:dyDescent="0.2">
      <c r="A91" s="84">
        <f>IF(A90="","",IF(A90+1&gt;SUMMARY!$C$7,"",A90+1))</f>
        <v>46262</v>
      </c>
      <c r="B91" s="75" t="str">
        <f t="shared" si="4"/>
        <v>Jumat</v>
      </c>
      <c r="C91" s="75">
        <f t="shared" si="5"/>
        <v>8</v>
      </c>
      <c r="D91" s="75" t="str">
        <f>IF(A91="","",IF(WEEKDAY(A91,2)&gt;=6,"Libur (Sabtu/Minggu)",IF(COUNTIF($F$3:$F$30,A91)&gt;0,"Libur Nasional",IF(AND(B91=SUMMARY!$C$8,A91&gt;=SUMMARY!$C$9,A91&lt;=SUMMARY!$C$10),"WFH","Hari Kerja"))))</f>
        <v>Hari Kerja</v>
      </c>
    </row>
    <row r="92" spans="1:4" x14ac:dyDescent="0.2">
      <c r="A92" s="84">
        <f>IF(A91="","",IF(A91+1&gt;SUMMARY!$C$7,"",A91+1))</f>
        <v>46263</v>
      </c>
      <c r="B92" s="75" t="str">
        <f t="shared" si="4"/>
        <v>Sabtu</v>
      </c>
      <c r="C92" s="75">
        <f t="shared" si="5"/>
        <v>8</v>
      </c>
      <c r="D92" s="75" t="str">
        <f>IF(A92="","",IF(WEEKDAY(A92,2)&gt;=6,"Libur (Sabtu/Minggu)",IF(COUNTIF($F$3:$F$30,A92)&gt;0,"Libur Nasional",IF(AND(B92=SUMMARY!$C$8,A92&gt;=SUMMARY!$C$9,A92&lt;=SUMMARY!$C$10),"WFH","Hari Kerja"))))</f>
        <v>Libur (Sabtu/Minggu)</v>
      </c>
    </row>
    <row r="93" spans="1:4" x14ac:dyDescent="0.2">
      <c r="A93" s="84">
        <f>IF(A92="","",IF(A92+1&gt;SUMMARY!$C$7,"",A92+1))</f>
        <v>46264</v>
      </c>
      <c r="B93" s="75" t="str">
        <f t="shared" si="4"/>
        <v>Minggu</v>
      </c>
      <c r="C93" s="75">
        <f t="shared" si="5"/>
        <v>8</v>
      </c>
      <c r="D93" s="75" t="str">
        <f>IF(A93="","",IF(WEEKDAY(A93,2)&gt;=6,"Libur (Sabtu/Minggu)",IF(COUNTIF($F$3:$F$30,A93)&gt;0,"Libur Nasional",IF(AND(B93=SUMMARY!$C$8,A93&gt;=SUMMARY!$C$9,A93&lt;=SUMMARY!$C$10),"WFH","Hari Kerja"))))</f>
        <v>Libur (Sabtu/Minggu)</v>
      </c>
    </row>
    <row r="94" spans="1:4" x14ac:dyDescent="0.2">
      <c r="A94" s="84">
        <f>IF(A93="","",IF(A93+1&gt;SUMMARY!$C$7,"",A93+1))</f>
        <v>46265</v>
      </c>
      <c r="B94" s="75" t="str">
        <f t="shared" si="4"/>
        <v>Senin</v>
      </c>
      <c r="C94" s="75">
        <f t="shared" si="5"/>
        <v>8</v>
      </c>
      <c r="D94" s="75" t="str">
        <f>IF(A94="","",IF(WEEKDAY(A94,2)&gt;=6,"Libur (Sabtu/Minggu)",IF(COUNTIF($F$3:$F$30,A94)&gt;0,"Libur Nasional",IF(AND(B94=SUMMARY!$C$8,A94&gt;=SUMMARY!$C$9,A94&lt;=SUMMARY!$C$10),"WFH","Hari Kerja"))))</f>
        <v>Hari Kerja</v>
      </c>
    </row>
    <row r="95" spans="1:4" x14ac:dyDescent="0.2">
      <c r="A95" s="84">
        <f>IF(A94="","",IF(A94+1&gt;SUMMARY!$C$7,"",A94+1))</f>
        <v>46266</v>
      </c>
      <c r="B95" s="75" t="str">
        <f t="shared" si="4"/>
        <v>Selasa</v>
      </c>
      <c r="C95" s="75">
        <f t="shared" si="5"/>
        <v>9</v>
      </c>
      <c r="D95" s="75" t="str">
        <f>IF(A95="","",IF(WEEKDAY(A95,2)&gt;=6,"Libur (Sabtu/Minggu)",IF(COUNTIF($F$3:$F$30,A95)&gt;0,"Libur Nasional",IF(AND(B95=SUMMARY!$C$8,A95&gt;=SUMMARY!$C$9,A95&lt;=SUMMARY!$C$10),"WFH","Hari Kerja"))))</f>
        <v>Hari Kerja</v>
      </c>
    </row>
    <row r="96" spans="1:4" x14ac:dyDescent="0.2">
      <c r="A96" s="84">
        <f>IF(A95="","",IF(A95+1&gt;SUMMARY!$C$7,"",A95+1))</f>
        <v>46267</v>
      </c>
      <c r="B96" s="75" t="str">
        <f t="shared" si="4"/>
        <v>Rabu</v>
      </c>
      <c r="C96" s="75">
        <f t="shared" si="5"/>
        <v>9</v>
      </c>
      <c r="D96" s="75" t="str">
        <f>IF(A96="","",IF(WEEKDAY(A96,2)&gt;=6,"Libur (Sabtu/Minggu)",IF(COUNTIF($F$3:$F$30,A96)&gt;0,"Libur Nasional",IF(AND(B96=SUMMARY!$C$8,A96&gt;=SUMMARY!$C$9,A96&lt;=SUMMARY!$C$10),"WFH","Hari Kerja"))))</f>
        <v>Hari Kerja</v>
      </c>
    </row>
    <row r="97" spans="1:4" x14ac:dyDescent="0.2">
      <c r="A97" s="84">
        <f>IF(A96="","",IF(A96+1&gt;SUMMARY!$C$7,"",A96+1))</f>
        <v>46268</v>
      </c>
      <c r="B97" s="75" t="str">
        <f t="shared" si="4"/>
        <v>Kamis</v>
      </c>
      <c r="C97" s="75">
        <f t="shared" si="5"/>
        <v>9</v>
      </c>
      <c r="D97" s="75" t="str">
        <f>IF(A97="","",IF(WEEKDAY(A97,2)&gt;=6,"Libur (Sabtu/Minggu)",IF(COUNTIF($F$3:$F$30,A97)&gt;0,"Libur Nasional",IF(AND(B97=SUMMARY!$C$8,A97&gt;=SUMMARY!$C$9,A97&lt;=SUMMARY!$C$10),"WFH","Hari Kerja"))))</f>
        <v>Hari Kerja</v>
      </c>
    </row>
    <row r="98" spans="1:4" x14ac:dyDescent="0.2">
      <c r="A98" s="84">
        <f>IF(A97="","",IF(A97+1&gt;SUMMARY!$C$7,"",A97+1))</f>
        <v>46269</v>
      </c>
      <c r="B98" s="75" t="str">
        <f t="shared" si="4"/>
        <v>Jumat</v>
      </c>
      <c r="C98" s="75">
        <f t="shared" si="5"/>
        <v>9</v>
      </c>
      <c r="D98" s="75" t="str">
        <f>IF(A98="","",IF(WEEKDAY(A98,2)&gt;=6,"Libur (Sabtu/Minggu)",IF(COUNTIF($F$3:$F$30,A98)&gt;0,"Libur Nasional",IF(AND(B98=SUMMARY!$C$8,A98&gt;=SUMMARY!$C$9,A98&lt;=SUMMARY!$C$10),"WFH","Hari Kerja"))))</f>
        <v>Hari Kerja</v>
      </c>
    </row>
    <row r="99" spans="1:4" x14ac:dyDescent="0.2">
      <c r="A99" s="84">
        <f>IF(A98="","",IF(A98+1&gt;SUMMARY!$C$7,"",A98+1))</f>
        <v>46270</v>
      </c>
      <c r="B99" s="75" t="str">
        <f t="shared" ref="B99:B130" si="6">IF(A99="","",CHOOSE(WEEKDAY(A99,2),"Senin","Selasa","Rabu","Kamis","Jumat","Sabtu","Minggu"))</f>
        <v>Sabtu</v>
      </c>
      <c r="C99" s="75">
        <f t="shared" ref="C99:C132" si="7">IF(A99="","",MONTH(A99))</f>
        <v>9</v>
      </c>
      <c r="D99" s="75" t="str">
        <f>IF(A99="","",IF(WEEKDAY(A99,2)&gt;=6,"Libur (Sabtu/Minggu)",IF(COUNTIF($F$3:$F$30,A99)&gt;0,"Libur Nasional",IF(AND(B99=SUMMARY!$C$8,A99&gt;=SUMMARY!$C$9,A99&lt;=SUMMARY!$C$10),"WFH","Hari Kerja"))))</f>
        <v>Libur (Sabtu/Minggu)</v>
      </c>
    </row>
    <row r="100" spans="1:4" x14ac:dyDescent="0.2">
      <c r="A100" s="84">
        <f>IF(A99="","",IF(A99+1&gt;SUMMARY!$C$7,"",A99+1))</f>
        <v>46271</v>
      </c>
      <c r="B100" s="75" t="str">
        <f t="shared" si="6"/>
        <v>Minggu</v>
      </c>
      <c r="C100" s="75">
        <f t="shared" si="7"/>
        <v>9</v>
      </c>
      <c r="D100" s="75" t="str">
        <f>IF(A100="","",IF(WEEKDAY(A100,2)&gt;=6,"Libur (Sabtu/Minggu)",IF(COUNTIF($F$3:$F$30,A100)&gt;0,"Libur Nasional",IF(AND(B100=SUMMARY!$C$8,A100&gt;=SUMMARY!$C$9,A100&lt;=SUMMARY!$C$10),"WFH","Hari Kerja"))))</f>
        <v>Libur (Sabtu/Minggu)</v>
      </c>
    </row>
    <row r="101" spans="1:4" x14ac:dyDescent="0.2">
      <c r="A101" s="84">
        <f>IF(A100="","",IF(A100+1&gt;SUMMARY!$C$7,"",A100+1))</f>
        <v>46272</v>
      </c>
      <c r="B101" s="75" t="str">
        <f t="shared" si="6"/>
        <v>Senin</v>
      </c>
      <c r="C101" s="75">
        <f t="shared" si="7"/>
        <v>9</v>
      </c>
      <c r="D101" s="75" t="str">
        <f>IF(A101="","",IF(WEEKDAY(A101,2)&gt;=6,"Libur (Sabtu/Minggu)",IF(COUNTIF($F$3:$F$30,A101)&gt;0,"Libur Nasional",IF(AND(B101=SUMMARY!$C$8,A101&gt;=SUMMARY!$C$9,A101&lt;=SUMMARY!$C$10),"WFH","Hari Kerja"))))</f>
        <v>Hari Kerja</v>
      </c>
    </row>
    <row r="102" spans="1:4" x14ac:dyDescent="0.2">
      <c r="A102" s="84">
        <f>IF(A101="","",IF(A101+1&gt;SUMMARY!$C$7,"",A101+1))</f>
        <v>46273</v>
      </c>
      <c r="B102" s="75" t="str">
        <f t="shared" si="6"/>
        <v>Selasa</v>
      </c>
      <c r="C102" s="75">
        <f t="shared" si="7"/>
        <v>9</v>
      </c>
      <c r="D102" s="75" t="str">
        <f>IF(A102="","",IF(WEEKDAY(A102,2)&gt;=6,"Libur (Sabtu/Minggu)",IF(COUNTIF($F$3:$F$30,A102)&gt;0,"Libur Nasional",IF(AND(B102=SUMMARY!$C$8,A102&gt;=SUMMARY!$C$9,A102&lt;=SUMMARY!$C$10),"WFH","Hari Kerja"))))</f>
        <v>Hari Kerja</v>
      </c>
    </row>
    <row r="103" spans="1:4" x14ac:dyDescent="0.2">
      <c r="A103" s="84">
        <f>IF(A102="","",IF(A102+1&gt;SUMMARY!$C$7,"",A102+1))</f>
        <v>46274</v>
      </c>
      <c r="B103" s="75" t="str">
        <f t="shared" si="6"/>
        <v>Rabu</v>
      </c>
      <c r="C103" s="75">
        <f t="shared" si="7"/>
        <v>9</v>
      </c>
      <c r="D103" s="75" t="str">
        <f>IF(A103="","",IF(WEEKDAY(A103,2)&gt;=6,"Libur (Sabtu/Minggu)",IF(COUNTIF($F$3:$F$30,A103)&gt;0,"Libur Nasional",IF(AND(B103=SUMMARY!$C$8,A103&gt;=SUMMARY!$C$9,A103&lt;=SUMMARY!$C$10),"WFH","Hari Kerja"))))</f>
        <v>Hari Kerja</v>
      </c>
    </row>
    <row r="104" spans="1:4" x14ac:dyDescent="0.2">
      <c r="A104" s="84">
        <f>IF(A103="","",IF(A103+1&gt;SUMMARY!$C$7,"",A103+1))</f>
        <v>46275</v>
      </c>
      <c r="B104" s="75" t="str">
        <f t="shared" si="6"/>
        <v>Kamis</v>
      </c>
      <c r="C104" s="75">
        <f t="shared" si="7"/>
        <v>9</v>
      </c>
      <c r="D104" s="75" t="str">
        <f>IF(A104="","",IF(WEEKDAY(A104,2)&gt;=6,"Libur (Sabtu/Minggu)",IF(COUNTIF($F$3:$F$30,A104)&gt;0,"Libur Nasional",IF(AND(B104=SUMMARY!$C$8,A104&gt;=SUMMARY!$C$9,A104&lt;=SUMMARY!$C$10),"WFH","Hari Kerja"))))</f>
        <v>Hari Kerja</v>
      </c>
    </row>
    <row r="105" spans="1:4" x14ac:dyDescent="0.2">
      <c r="A105" s="84">
        <f>IF(A104="","",IF(A104+1&gt;SUMMARY!$C$7,"",A104+1))</f>
        <v>46276</v>
      </c>
      <c r="B105" s="75" t="str">
        <f t="shared" si="6"/>
        <v>Jumat</v>
      </c>
      <c r="C105" s="75">
        <f t="shared" si="7"/>
        <v>9</v>
      </c>
      <c r="D105" s="75" t="str">
        <f>IF(A105="","",IF(WEEKDAY(A105,2)&gt;=6,"Libur (Sabtu/Minggu)",IF(COUNTIF($F$3:$F$30,A105)&gt;0,"Libur Nasional",IF(AND(B105=SUMMARY!$C$8,A105&gt;=SUMMARY!$C$9,A105&lt;=SUMMARY!$C$10),"WFH","Hari Kerja"))))</f>
        <v>Hari Kerja</v>
      </c>
    </row>
    <row r="106" spans="1:4" x14ac:dyDescent="0.2">
      <c r="A106" s="84">
        <f>IF(A105="","",IF(A105+1&gt;SUMMARY!$C$7,"",A105+1))</f>
        <v>46277</v>
      </c>
      <c r="B106" s="75" t="str">
        <f t="shared" si="6"/>
        <v>Sabtu</v>
      </c>
      <c r="C106" s="75">
        <f t="shared" si="7"/>
        <v>9</v>
      </c>
      <c r="D106" s="75" t="str">
        <f>IF(A106="","",IF(WEEKDAY(A106,2)&gt;=6,"Libur (Sabtu/Minggu)",IF(COUNTIF($F$3:$F$30,A106)&gt;0,"Libur Nasional",IF(AND(B106=SUMMARY!$C$8,A106&gt;=SUMMARY!$C$9,A106&lt;=SUMMARY!$C$10),"WFH","Hari Kerja"))))</f>
        <v>Libur (Sabtu/Minggu)</v>
      </c>
    </row>
    <row r="107" spans="1:4" x14ac:dyDescent="0.2">
      <c r="A107" s="84">
        <f>IF(A106="","",IF(A106+1&gt;SUMMARY!$C$7,"",A106+1))</f>
        <v>46278</v>
      </c>
      <c r="B107" s="75" t="str">
        <f t="shared" si="6"/>
        <v>Minggu</v>
      </c>
      <c r="C107" s="75">
        <f t="shared" si="7"/>
        <v>9</v>
      </c>
      <c r="D107" s="75" t="str">
        <f>IF(A107="","",IF(WEEKDAY(A107,2)&gt;=6,"Libur (Sabtu/Minggu)",IF(COUNTIF($F$3:$F$30,A107)&gt;0,"Libur Nasional",IF(AND(B107=SUMMARY!$C$8,A107&gt;=SUMMARY!$C$9,A107&lt;=SUMMARY!$C$10),"WFH","Hari Kerja"))))</f>
        <v>Libur (Sabtu/Minggu)</v>
      </c>
    </row>
    <row r="108" spans="1:4" x14ac:dyDescent="0.2">
      <c r="A108" s="84">
        <f>IF(A107="","",IF(A107+1&gt;SUMMARY!$C$7,"",A107+1))</f>
        <v>46279</v>
      </c>
      <c r="B108" s="75" t="str">
        <f t="shared" si="6"/>
        <v>Senin</v>
      </c>
      <c r="C108" s="75">
        <f t="shared" si="7"/>
        <v>9</v>
      </c>
      <c r="D108" s="75" t="str">
        <f>IF(A108="","",IF(WEEKDAY(A108,2)&gt;=6,"Libur (Sabtu/Minggu)",IF(COUNTIF($F$3:$F$30,A108)&gt;0,"Libur Nasional",IF(AND(B108=SUMMARY!$C$8,A108&gt;=SUMMARY!$C$9,A108&lt;=SUMMARY!$C$10),"WFH","Hari Kerja"))))</f>
        <v>Hari Kerja</v>
      </c>
    </row>
    <row r="109" spans="1:4" x14ac:dyDescent="0.2">
      <c r="A109" s="84">
        <f>IF(A108="","",IF(A108+1&gt;SUMMARY!$C$7,"",A108+1))</f>
        <v>46280</v>
      </c>
      <c r="B109" s="75" t="str">
        <f t="shared" si="6"/>
        <v>Selasa</v>
      </c>
      <c r="C109" s="75">
        <f t="shared" si="7"/>
        <v>9</v>
      </c>
      <c r="D109" s="75" t="str">
        <f>IF(A109="","",IF(WEEKDAY(A109,2)&gt;=6,"Libur (Sabtu/Minggu)",IF(COUNTIF($F$3:$F$30,A109)&gt;0,"Libur Nasional",IF(AND(B109=SUMMARY!$C$8,A109&gt;=SUMMARY!$C$9,A109&lt;=SUMMARY!$C$10),"WFH","Hari Kerja"))))</f>
        <v>Hari Kerja</v>
      </c>
    </row>
    <row r="110" spans="1:4" x14ac:dyDescent="0.2">
      <c r="A110" s="84">
        <f>IF(A109="","",IF(A109+1&gt;SUMMARY!$C$7,"",A109+1))</f>
        <v>46281</v>
      </c>
      <c r="B110" s="75" t="str">
        <f t="shared" si="6"/>
        <v>Rabu</v>
      </c>
      <c r="C110" s="75">
        <f t="shared" si="7"/>
        <v>9</v>
      </c>
      <c r="D110" s="75" t="str">
        <f>IF(A110="","",IF(WEEKDAY(A110,2)&gt;=6,"Libur (Sabtu/Minggu)",IF(COUNTIF($F$3:$F$30,A110)&gt;0,"Libur Nasional",IF(AND(B110=SUMMARY!$C$8,A110&gt;=SUMMARY!$C$9,A110&lt;=SUMMARY!$C$10),"WFH","Hari Kerja"))))</f>
        <v>Hari Kerja</v>
      </c>
    </row>
    <row r="111" spans="1:4" x14ac:dyDescent="0.2">
      <c r="A111" s="84">
        <f>IF(A110="","",IF(A110+1&gt;SUMMARY!$C$7,"",A110+1))</f>
        <v>46282</v>
      </c>
      <c r="B111" s="75" t="str">
        <f t="shared" si="6"/>
        <v>Kamis</v>
      </c>
      <c r="C111" s="75">
        <f t="shared" si="7"/>
        <v>9</v>
      </c>
      <c r="D111" s="75" t="str">
        <f>IF(A111="","",IF(WEEKDAY(A111,2)&gt;=6,"Libur (Sabtu/Minggu)",IF(COUNTIF($F$3:$F$30,A111)&gt;0,"Libur Nasional",IF(AND(B111=SUMMARY!$C$8,A111&gt;=SUMMARY!$C$9,A111&lt;=SUMMARY!$C$10),"WFH","Hari Kerja"))))</f>
        <v>Hari Kerja</v>
      </c>
    </row>
    <row r="112" spans="1:4" x14ac:dyDescent="0.2">
      <c r="A112" s="84">
        <f>IF(A111="","",IF(A111+1&gt;SUMMARY!$C$7,"",A111+1))</f>
        <v>46283</v>
      </c>
      <c r="B112" s="75" t="str">
        <f t="shared" si="6"/>
        <v>Jumat</v>
      </c>
      <c r="C112" s="75">
        <f t="shared" si="7"/>
        <v>9</v>
      </c>
      <c r="D112" s="75" t="str">
        <f>IF(A112="","",IF(WEEKDAY(A112,2)&gt;=6,"Libur (Sabtu/Minggu)",IF(COUNTIF($F$3:$F$30,A112)&gt;0,"Libur Nasional",IF(AND(B112=SUMMARY!$C$8,A112&gt;=SUMMARY!$C$9,A112&lt;=SUMMARY!$C$10),"WFH","Hari Kerja"))))</f>
        <v>Hari Kerja</v>
      </c>
    </row>
    <row r="113" spans="1:4" x14ac:dyDescent="0.2">
      <c r="A113" s="84">
        <f>IF(A112="","",IF(A112+1&gt;SUMMARY!$C$7,"",A112+1))</f>
        <v>46284</v>
      </c>
      <c r="B113" s="75" t="str">
        <f t="shared" si="6"/>
        <v>Sabtu</v>
      </c>
      <c r="C113" s="75">
        <f t="shared" si="7"/>
        <v>9</v>
      </c>
      <c r="D113" s="75" t="str">
        <f>IF(A113="","",IF(WEEKDAY(A113,2)&gt;=6,"Libur (Sabtu/Minggu)",IF(COUNTIF($F$3:$F$30,A113)&gt;0,"Libur Nasional",IF(AND(B113=SUMMARY!$C$8,A113&gt;=SUMMARY!$C$9,A113&lt;=SUMMARY!$C$10),"WFH","Hari Kerja"))))</f>
        <v>Libur (Sabtu/Minggu)</v>
      </c>
    </row>
    <row r="114" spans="1:4" x14ac:dyDescent="0.2">
      <c r="A114" s="84">
        <f>IF(A113="","",IF(A113+1&gt;SUMMARY!$C$7,"",A113+1))</f>
        <v>46285</v>
      </c>
      <c r="B114" s="75" t="str">
        <f t="shared" si="6"/>
        <v>Minggu</v>
      </c>
      <c r="C114" s="75">
        <f t="shared" si="7"/>
        <v>9</v>
      </c>
      <c r="D114" s="75" t="str">
        <f>IF(A114="","",IF(WEEKDAY(A114,2)&gt;=6,"Libur (Sabtu/Minggu)",IF(COUNTIF($F$3:$F$30,A114)&gt;0,"Libur Nasional",IF(AND(B114=SUMMARY!$C$8,A114&gt;=SUMMARY!$C$9,A114&lt;=SUMMARY!$C$10),"WFH","Hari Kerja"))))</f>
        <v>Libur (Sabtu/Minggu)</v>
      </c>
    </row>
    <row r="115" spans="1:4" x14ac:dyDescent="0.2">
      <c r="A115" s="84">
        <f>IF(A114="","",IF(A114+1&gt;SUMMARY!$C$7,"",A114+1))</f>
        <v>46286</v>
      </c>
      <c r="B115" s="75" t="str">
        <f t="shared" si="6"/>
        <v>Senin</v>
      </c>
      <c r="C115" s="75">
        <f t="shared" si="7"/>
        <v>9</v>
      </c>
      <c r="D115" s="75" t="str">
        <f>IF(A115="","",IF(WEEKDAY(A115,2)&gt;=6,"Libur (Sabtu/Minggu)",IF(COUNTIF($F$3:$F$30,A115)&gt;0,"Libur Nasional",IF(AND(B115=SUMMARY!$C$8,A115&gt;=SUMMARY!$C$9,A115&lt;=SUMMARY!$C$10),"WFH","Hari Kerja"))))</f>
        <v>Hari Kerja</v>
      </c>
    </row>
    <row r="116" spans="1:4" x14ac:dyDescent="0.2">
      <c r="A116" s="84">
        <f>IF(A115="","",IF(A115+1&gt;SUMMARY!$C$7,"",A115+1))</f>
        <v>46287</v>
      </c>
      <c r="B116" s="75" t="str">
        <f t="shared" si="6"/>
        <v>Selasa</v>
      </c>
      <c r="C116" s="75">
        <f t="shared" si="7"/>
        <v>9</v>
      </c>
      <c r="D116" s="75" t="str">
        <f>IF(A116="","",IF(WEEKDAY(A116,2)&gt;=6,"Libur (Sabtu/Minggu)",IF(COUNTIF($F$3:$F$30,A116)&gt;0,"Libur Nasional",IF(AND(B116=SUMMARY!$C$8,A116&gt;=SUMMARY!$C$9,A116&lt;=SUMMARY!$C$10),"WFH","Hari Kerja"))))</f>
        <v>Hari Kerja</v>
      </c>
    </row>
    <row r="117" spans="1:4" x14ac:dyDescent="0.2">
      <c r="A117" s="84">
        <f>IF(A116="","",IF(A116+1&gt;SUMMARY!$C$7,"",A116+1))</f>
        <v>46288</v>
      </c>
      <c r="B117" s="75" t="str">
        <f t="shared" si="6"/>
        <v>Rabu</v>
      </c>
      <c r="C117" s="75">
        <f t="shared" si="7"/>
        <v>9</v>
      </c>
      <c r="D117" s="75" t="str">
        <f>IF(A117="","",IF(WEEKDAY(A117,2)&gt;=6,"Libur (Sabtu/Minggu)",IF(COUNTIF($F$3:$F$30,A117)&gt;0,"Libur Nasional",IF(AND(B117=SUMMARY!$C$8,A117&gt;=SUMMARY!$C$9,A117&lt;=SUMMARY!$C$10),"WFH","Hari Kerja"))))</f>
        <v>Hari Kerja</v>
      </c>
    </row>
    <row r="118" spans="1:4" x14ac:dyDescent="0.2">
      <c r="A118" s="84">
        <f>IF(A117="","",IF(A117+1&gt;SUMMARY!$C$7,"",A117+1))</f>
        <v>46289</v>
      </c>
      <c r="B118" s="75" t="str">
        <f t="shared" si="6"/>
        <v>Kamis</v>
      </c>
      <c r="C118" s="75">
        <f t="shared" si="7"/>
        <v>9</v>
      </c>
      <c r="D118" s="75" t="str">
        <f>IF(A118="","",IF(WEEKDAY(A118,2)&gt;=6,"Libur (Sabtu/Minggu)",IF(COUNTIF($F$3:$F$30,A118)&gt;0,"Libur Nasional",IF(AND(B118=SUMMARY!$C$8,A118&gt;=SUMMARY!$C$9,A118&lt;=SUMMARY!$C$10),"WFH","Hari Kerja"))))</f>
        <v>Hari Kerja</v>
      </c>
    </row>
    <row r="119" spans="1:4" x14ac:dyDescent="0.2">
      <c r="A119" s="84">
        <f>IF(A118="","",IF(A118+1&gt;SUMMARY!$C$7,"",A118+1))</f>
        <v>46290</v>
      </c>
      <c r="B119" s="75" t="str">
        <f t="shared" si="6"/>
        <v>Jumat</v>
      </c>
      <c r="C119" s="75">
        <f t="shared" si="7"/>
        <v>9</v>
      </c>
      <c r="D119" s="75" t="str">
        <f>IF(A119="","",IF(WEEKDAY(A119,2)&gt;=6,"Libur (Sabtu/Minggu)",IF(COUNTIF($F$3:$F$30,A119)&gt;0,"Libur Nasional",IF(AND(B119=SUMMARY!$C$8,A119&gt;=SUMMARY!$C$9,A119&lt;=SUMMARY!$C$10),"WFH","Hari Kerja"))))</f>
        <v>Hari Kerja</v>
      </c>
    </row>
    <row r="120" spans="1:4" x14ac:dyDescent="0.2">
      <c r="A120" s="84">
        <f>IF(A119="","",IF(A119+1&gt;SUMMARY!$C$7,"",A119+1))</f>
        <v>46291</v>
      </c>
      <c r="B120" s="75" t="str">
        <f t="shared" si="6"/>
        <v>Sabtu</v>
      </c>
      <c r="C120" s="75">
        <f t="shared" si="7"/>
        <v>9</v>
      </c>
      <c r="D120" s="75" t="str">
        <f>IF(A120="","",IF(WEEKDAY(A120,2)&gt;=6,"Libur (Sabtu/Minggu)",IF(COUNTIF($F$3:$F$30,A120)&gt;0,"Libur Nasional",IF(AND(B120=SUMMARY!$C$8,A120&gt;=SUMMARY!$C$9,A120&lt;=SUMMARY!$C$10),"WFH","Hari Kerja"))))</f>
        <v>Libur (Sabtu/Minggu)</v>
      </c>
    </row>
    <row r="121" spans="1:4" x14ac:dyDescent="0.2">
      <c r="A121" s="84">
        <f>IF(A120="","",IF(A120+1&gt;SUMMARY!$C$7,"",A120+1))</f>
        <v>46292</v>
      </c>
      <c r="B121" s="75" t="str">
        <f t="shared" si="6"/>
        <v>Minggu</v>
      </c>
      <c r="C121" s="75">
        <f t="shared" si="7"/>
        <v>9</v>
      </c>
      <c r="D121" s="75" t="str">
        <f>IF(A121="","",IF(WEEKDAY(A121,2)&gt;=6,"Libur (Sabtu/Minggu)",IF(COUNTIF($F$3:$F$30,A121)&gt;0,"Libur Nasional",IF(AND(B121=SUMMARY!$C$8,A121&gt;=SUMMARY!$C$9,A121&lt;=SUMMARY!$C$10),"WFH","Hari Kerja"))))</f>
        <v>Libur (Sabtu/Minggu)</v>
      </c>
    </row>
    <row r="122" spans="1:4" x14ac:dyDescent="0.2">
      <c r="A122" s="84">
        <f>IF(A121="","",IF(A121+1&gt;SUMMARY!$C$7,"",A121+1))</f>
        <v>46293</v>
      </c>
      <c r="B122" s="75" t="str">
        <f t="shared" si="6"/>
        <v>Senin</v>
      </c>
      <c r="C122" s="75">
        <f t="shared" si="7"/>
        <v>9</v>
      </c>
      <c r="D122" s="75" t="str">
        <f>IF(A122="","",IF(WEEKDAY(A122,2)&gt;=6,"Libur (Sabtu/Minggu)",IF(COUNTIF($F$3:$F$30,A122)&gt;0,"Libur Nasional",IF(AND(B122=SUMMARY!$C$8,A122&gt;=SUMMARY!$C$9,A122&lt;=SUMMARY!$C$10),"WFH","Hari Kerja"))))</f>
        <v>Hari Kerja</v>
      </c>
    </row>
    <row r="123" spans="1:4" x14ac:dyDescent="0.2">
      <c r="A123" s="84">
        <f>IF(A122="","",IF(A122+1&gt;SUMMARY!$C$7,"",A122+1))</f>
        <v>46294</v>
      </c>
      <c r="B123" s="75" t="str">
        <f t="shared" si="6"/>
        <v>Selasa</v>
      </c>
      <c r="C123" s="75">
        <f t="shared" si="7"/>
        <v>9</v>
      </c>
      <c r="D123" s="75" t="str">
        <f>IF(A123="","",IF(WEEKDAY(A123,2)&gt;=6,"Libur (Sabtu/Minggu)",IF(COUNTIF($F$3:$F$30,A123)&gt;0,"Libur Nasional",IF(AND(B123=SUMMARY!$C$8,A123&gt;=SUMMARY!$C$9,A123&lt;=SUMMARY!$C$10),"WFH","Hari Kerja"))))</f>
        <v>Hari Kerja</v>
      </c>
    </row>
    <row r="124" spans="1:4" x14ac:dyDescent="0.2">
      <c r="A124" s="84">
        <f>IF(A123="","",IF(A123+1&gt;SUMMARY!$C$7,"",A123+1))</f>
        <v>46295</v>
      </c>
      <c r="B124" s="75" t="str">
        <f t="shared" si="6"/>
        <v>Rabu</v>
      </c>
      <c r="C124" s="75">
        <f t="shared" si="7"/>
        <v>9</v>
      </c>
      <c r="D124" s="75" t="str">
        <f>IF(A124="","",IF(WEEKDAY(A124,2)&gt;=6,"Libur (Sabtu/Minggu)",IF(COUNTIF($F$3:$F$30,A124)&gt;0,"Libur Nasional",IF(AND(B124=SUMMARY!$C$8,A124&gt;=SUMMARY!$C$9,A124&lt;=SUMMARY!$C$10),"WFH","Hari Kerja"))))</f>
        <v>Hari Kerja</v>
      </c>
    </row>
    <row r="125" spans="1:4" x14ac:dyDescent="0.2">
      <c r="A125" s="84" t="str">
        <f>IF(A124="","",IF(A124+1&gt;SUMMARY!$C$7,"",A124+1))</f>
        <v/>
      </c>
      <c r="B125" s="75" t="str">
        <f t="shared" si="6"/>
        <v/>
      </c>
      <c r="C125" s="75" t="str">
        <f t="shared" si="7"/>
        <v/>
      </c>
      <c r="D125" s="75" t="str">
        <f>IF(A125="","",IF(WEEKDAY(A125,2)&gt;=6,"Libur (Sabtu/Minggu)",IF(COUNTIF($F$3:$F$30,A125)&gt;0,"Libur Nasional",IF(AND(B125=SUMMARY!$C$8,A125&gt;=SUMMARY!$C$9,A125&lt;=SUMMARY!$C$10),"WFH","Hari Kerja"))))</f>
        <v/>
      </c>
    </row>
    <row r="126" spans="1:4" x14ac:dyDescent="0.2">
      <c r="A126" s="84" t="str">
        <f>IF(A125="","",IF(A125+1&gt;SUMMARY!$C$7,"",A125+1))</f>
        <v/>
      </c>
      <c r="B126" s="75" t="str">
        <f t="shared" si="6"/>
        <v/>
      </c>
      <c r="C126" s="75" t="str">
        <f t="shared" si="7"/>
        <v/>
      </c>
      <c r="D126" s="75" t="str">
        <f>IF(A126="","",IF(WEEKDAY(A126,2)&gt;=6,"Libur (Sabtu/Minggu)",IF(COUNTIF($F$3:$F$30,A126)&gt;0,"Libur Nasional",IF(AND(B126=SUMMARY!$C$8,A126&gt;=SUMMARY!$C$9,A126&lt;=SUMMARY!$C$10),"WFH","Hari Kerja"))))</f>
        <v/>
      </c>
    </row>
    <row r="127" spans="1:4" x14ac:dyDescent="0.2">
      <c r="A127" s="84" t="str">
        <f>IF(A126="","",IF(A126+1&gt;SUMMARY!$C$7,"",A126+1))</f>
        <v/>
      </c>
      <c r="B127" s="75" t="str">
        <f t="shared" si="6"/>
        <v/>
      </c>
      <c r="C127" s="75" t="str">
        <f t="shared" si="7"/>
        <v/>
      </c>
      <c r="D127" s="75" t="str">
        <f>IF(A127="","",IF(WEEKDAY(A127,2)&gt;=6,"Libur (Sabtu/Minggu)",IF(COUNTIF($F$3:$F$30,A127)&gt;0,"Libur Nasional",IF(AND(B127=SUMMARY!$C$8,A127&gt;=SUMMARY!$C$9,A127&lt;=SUMMARY!$C$10),"WFH","Hari Kerja"))))</f>
        <v/>
      </c>
    </row>
    <row r="128" spans="1:4" x14ac:dyDescent="0.2">
      <c r="A128" s="84" t="str">
        <f>IF(A127="","",IF(A127+1&gt;SUMMARY!$C$7,"",A127+1))</f>
        <v/>
      </c>
      <c r="B128" s="75" t="str">
        <f t="shared" si="6"/>
        <v/>
      </c>
      <c r="C128" s="75" t="str">
        <f t="shared" si="7"/>
        <v/>
      </c>
      <c r="D128" s="75" t="str">
        <f>IF(A128="","",IF(WEEKDAY(A128,2)&gt;=6,"Libur (Sabtu/Minggu)",IF(COUNTIF($F$3:$F$30,A128)&gt;0,"Libur Nasional",IF(AND(B128=SUMMARY!$C$8,A128&gt;=SUMMARY!$C$9,A128&lt;=SUMMARY!$C$10),"WFH","Hari Kerja"))))</f>
        <v/>
      </c>
    </row>
    <row r="129" spans="1:4" x14ac:dyDescent="0.2">
      <c r="A129" s="84" t="str">
        <f>IF(A128="","",IF(A128+1&gt;SUMMARY!$C$7,"",A128+1))</f>
        <v/>
      </c>
      <c r="B129" s="75" t="str">
        <f t="shared" si="6"/>
        <v/>
      </c>
      <c r="C129" s="75" t="str">
        <f t="shared" si="7"/>
        <v/>
      </c>
      <c r="D129" s="75" t="str">
        <f>IF(A129="","",IF(WEEKDAY(A129,2)&gt;=6,"Libur (Sabtu/Minggu)",IF(COUNTIF($F$3:$F$30,A129)&gt;0,"Libur Nasional",IF(AND(B129=SUMMARY!$C$8,A129&gt;=SUMMARY!$C$9,A129&lt;=SUMMARY!$C$10),"WFH","Hari Kerja"))))</f>
        <v/>
      </c>
    </row>
    <row r="130" spans="1:4" x14ac:dyDescent="0.2">
      <c r="A130" s="84" t="str">
        <f>IF(A129="","",IF(A129+1&gt;SUMMARY!$C$7,"",A129+1))</f>
        <v/>
      </c>
      <c r="B130" s="75" t="str">
        <f t="shared" si="6"/>
        <v/>
      </c>
      <c r="C130" s="75" t="str">
        <f t="shared" si="7"/>
        <v/>
      </c>
      <c r="D130" s="75" t="str">
        <f>IF(A130="","",IF(WEEKDAY(A130,2)&gt;=6,"Libur (Sabtu/Minggu)",IF(COUNTIF($F$3:$F$30,A130)&gt;0,"Libur Nasional",IF(AND(B130=SUMMARY!$C$8,A130&gt;=SUMMARY!$C$9,A130&lt;=SUMMARY!$C$10),"WFH","Hari Kerja"))))</f>
        <v/>
      </c>
    </row>
    <row r="131" spans="1:4" x14ac:dyDescent="0.2">
      <c r="A131" s="84" t="str">
        <f>IF(A130="","",IF(A130+1&gt;SUMMARY!$C$7,"",A130+1))</f>
        <v/>
      </c>
      <c r="B131" s="75" t="str">
        <f t="shared" ref="B131:B162" si="8">IF(A131="","",CHOOSE(WEEKDAY(A131,2),"Senin","Selasa","Rabu","Kamis","Jumat","Sabtu","Minggu"))</f>
        <v/>
      </c>
      <c r="C131" s="75" t="str">
        <f t="shared" si="7"/>
        <v/>
      </c>
      <c r="D131" s="75" t="str">
        <f>IF(A131="","",IF(WEEKDAY(A131,2)&gt;=6,"Libur (Sabtu/Minggu)",IF(COUNTIF($F$3:$F$30,A131)&gt;0,"Libur Nasional",IF(AND(B131=SUMMARY!$C$8,A131&gt;=SUMMARY!$C$9,A131&lt;=SUMMARY!$C$10),"WFH","Hari Kerja"))))</f>
        <v/>
      </c>
    </row>
    <row r="132" spans="1:4" x14ac:dyDescent="0.2">
      <c r="A132" s="84" t="str">
        <f>IF(A131="","",IF(A131+1&gt;SUMMARY!$C$7,"",A131+1))</f>
        <v/>
      </c>
      <c r="B132" s="75" t="str">
        <f t="shared" si="8"/>
        <v/>
      </c>
      <c r="C132" s="75" t="str">
        <f t="shared" si="7"/>
        <v/>
      </c>
      <c r="D132" s="75" t="str">
        <f>IF(A132="","",IF(WEEKDAY(A132,2)&gt;=6,"Libur (Sabtu/Minggu)",IF(COUNTIF($F$3:$F$30,A132)&gt;0,"Libur Nasional",IF(AND(B132=SUMMARY!$C$8,A132&gt;=SUMMARY!$C$9,A132&lt;=SUMMARY!$C$10),"WFH","Hari Kerja"))))</f>
        <v/>
      </c>
    </row>
  </sheetData>
  <conditionalFormatting sqref="D3:D132">
    <cfRule type="cellIs" dxfId="3" priority="2" operator="equal">
      <formula>"Hari Kerja"</formula>
    </cfRule>
    <cfRule type="cellIs" dxfId="2" priority="3" operator="equal">
      <formula>"WFH"</formula>
    </cfRule>
    <cfRule type="cellIs" dxfId="1" priority="4" operator="equal">
      <formula>"Libur Nasional"</formula>
    </cfRule>
    <cfRule type="cellIs" dxfId="0" priority="5" operator="equal">
      <formula>"Libur (Sabtu/Minggu)"</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zoomScaleNormal="100" workbookViewId="0">
      <pane xSplit="3" ySplit="2" topLeftCell="G27" activePane="bottomRight" state="frozen"/>
      <selection pane="topRight" activeCell="G1" sqref="G1"/>
      <selection pane="bottomLeft" activeCell="A27" sqref="A27"/>
      <selection pane="bottomRight" activeCell="J8" sqref="J8"/>
    </sheetView>
  </sheetViews>
  <sheetFormatPr defaultColWidth="8.7109375" defaultRowHeight="11.25" x14ac:dyDescent="0.2"/>
  <cols>
    <col min="1" max="1" width="5" style="56" customWidth="1"/>
    <col min="2" max="2" width="14" style="56" customWidth="1"/>
    <col min="3" max="3" width="32" style="56" customWidth="1"/>
    <col min="4" max="4" width="26" style="56" customWidth="1"/>
    <col min="5" max="5" width="15" style="56" customWidth="1"/>
    <col min="6" max="6" width="34" style="56" customWidth="1"/>
    <col min="7" max="13" width="12" style="56" customWidth="1"/>
    <col min="14" max="14" width="34" style="56" customWidth="1"/>
    <col min="15" max="16384" width="8.7109375" style="56"/>
  </cols>
  <sheetData>
    <row r="1" spans="1:14" x14ac:dyDescent="0.2">
      <c r="A1" s="57" t="s">
        <v>176</v>
      </c>
    </row>
    <row r="2" spans="1:14" ht="36" customHeight="1" x14ac:dyDescent="0.2">
      <c r="A2" s="73" t="s">
        <v>1</v>
      </c>
      <c r="B2" s="73" t="s">
        <v>58</v>
      </c>
      <c r="C2" s="73" t="s">
        <v>59</v>
      </c>
      <c r="D2" s="73" t="s">
        <v>2</v>
      </c>
      <c r="E2" s="73" t="s">
        <v>60</v>
      </c>
      <c r="F2" s="73" t="s">
        <v>23</v>
      </c>
      <c r="G2" s="73" t="s">
        <v>177</v>
      </c>
      <c r="H2" s="73" t="s">
        <v>178</v>
      </c>
      <c r="I2" s="73" t="s">
        <v>179</v>
      </c>
      <c r="J2" s="87" t="s">
        <v>154</v>
      </c>
      <c r="K2" s="87" t="s">
        <v>155</v>
      </c>
      <c r="L2" s="87" t="s">
        <v>180</v>
      </c>
      <c r="M2" s="87" t="s">
        <v>181</v>
      </c>
      <c r="N2" s="87" t="s">
        <v>182</v>
      </c>
    </row>
    <row r="3" spans="1:14" x14ac:dyDescent="0.2">
      <c r="A3" s="59">
        <v>1</v>
      </c>
      <c r="B3" s="59" t="s">
        <v>183</v>
      </c>
      <c r="C3" s="59" t="s">
        <v>184</v>
      </c>
      <c r="D3" s="59" t="s">
        <v>185</v>
      </c>
      <c r="E3" s="59" t="s">
        <v>186</v>
      </c>
      <c r="F3" s="59" t="s">
        <v>47</v>
      </c>
      <c r="G3" s="59" t="s">
        <v>187</v>
      </c>
      <c r="H3" s="60">
        <v>46175</v>
      </c>
      <c r="I3" s="60">
        <v>46358</v>
      </c>
      <c r="J3" s="84">
        <f>MAX(SUMMARY!$C$6,IF(H3="",IF(L3&lt;=SUMMARY!$C$6+5,SUMMARY!$C$6,L3),H3))</f>
        <v>46175</v>
      </c>
      <c r="K3" s="84">
        <f>MIN(SUMMARY!$C$7,IF(I3="",IF(M3&gt;=SUMMARY!$C$7-5,SUMMARY!$C$7,M3),I3))</f>
        <v>46295</v>
      </c>
      <c r="L3" s="84">
        <f>IFERROR(INDEX(ABSEN!$H$2:$H$4094,MATCH($C3,ABSEN!$B$2:$B$4094,0)),"")</f>
        <v>46177</v>
      </c>
      <c r="M3" s="84">
        <f>IFERROR(INDEX(ABSEN!$H$2:$H$4094,MATCH($C3,ABSEN!$B$2:$B$4094,0)+COUNTIF(ABSEN!$B$2:$B$4094,$C3)-1),"")</f>
        <v>46295</v>
      </c>
      <c r="N3" s="59" t="str">
        <f>IF(J3&gt;K3,"Tidak aktif dlm periode",IF(AND(J3=SUMMARY!$C$6,K3=SUMMARY!$C$7),"Aktif sepanjang periode",IF(J3&gt;SUMMARY!$C$6,"Masuk "&amp;TEXT(J3,"dd-mm-yyyy"),"")&amp;IF(AND(J3&gt;SUMMARY!$C$6,K3&lt;SUMMARY!$C$7)," · ","")&amp;IF(K3&lt;SUMMARY!$C$7,"Selesai "&amp;TEXT(K3,"dd-mm-yyyy"),"")))</f>
        <v>Masuk 02-06-2026</v>
      </c>
    </row>
    <row r="4" spans="1:14" x14ac:dyDescent="0.2">
      <c r="A4" s="59">
        <v>2</v>
      </c>
      <c r="B4" s="59" t="s">
        <v>188</v>
      </c>
      <c r="C4" s="59" t="s">
        <v>189</v>
      </c>
      <c r="D4" s="59" t="s">
        <v>185</v>
      </c>
      <c r="E4" s="59" t="s">
        <v>190</v>
      </c>
      <c r="F4" s="59" t="s">
        <v>47</v>
      </c>
      <c r="G4" s="59" t="s">
        <v>187</v>
      </c>
      <c r="H4" s="60">
        <v>46244</v>
      </c>
      <c r="I4" s="60">
        <v>46427</v>
      </c>
      <c r="J4" s="84">
        <f>MAX(SUMMARY!$C$6,IF(H4="",IF(L4&lt;=SUMMARY!$C$6+5,SUMMARY!$C$6,L4),H4))</f>
        <v>46244</v>
      </c>
      <c r="K4" s="84">
        <f>MIN(SUMMARY!$C$7,IF(I4="",IF(M4&gt;=SUMMARY!$C$7-5,SUMMARY!$C$7,M4),I4))</f>
        <v>46295</v>
      </c>
      <c r="L4" s="84">
        <f>IFERROR(INDEX(ABSEN!$H$2:$H$4094,MATCH($C4,ABSEN!$B$2:$B$4094,0)),"")</f>
        <v>46244</v>
      </c>
      <c r="M4" s="84">
        <f>IFERROR(INDEX(ABSEN!$H$2:$H$4094,MATCH($C4,ABSEN!$B$2:$B$4094,0)+COUNTIF(ABSEN!$B$2:$B$4094,$C4)-1),"")</f>
        <v>46295</v>
      </c>
      <c r="N4" s="59" t="str">
        <f>IF(J4&gt;K4,"Tidak aktif dlm periode",IF(AND(J4=SUMMARY!$C$6,K4=SUMMARY!$C$7),"Aktif sepanjang periode",IF(J4&gt;SUMMARY!$C$6,"Masuk "&amp;TEXT(J4,"dd-mm-yyyy"),"")&amp;IF(AND(J4&gt;SUMMARY!$C$6,K4&lt;SUMMARY!$C$7)," · ","")&amp;IF(K4&lt;SUMMARY!$C$7,"Selesai "&amp;TEXT(K4,"dd-mm-yyyy"),"")))</f>
        <v>Masuk 10-08-2026</v>
      </c>
    </row>
    <row r="5" spans="1:14" x14ac:dyDescent="0.2">
      <c r="A5" s="59">
        <v>3</v>
      </c>
      <c r="B5" s="59" t="s">
        <v>191</v>
      </c>
      <c r="C5" s="59" t="s">
        <v>192</v>
      </c>
      <c r="D5" s="59" t="s">
        <v>185</v>
      </c>
      <c r="E5" s="59" t="s">
        <v>190</v>
      </c>
      <c r="F5" s="59" t="s">
        <v>47</v>
      </c>
      <c r="G5" s="59" t="s">
        <v>187</v>
      </c>
      <c r="H5" s="60">
        <v>46244</v>
      </c>
      <c r="I5" s="60">
        <v>46427</v>
      </c>
      <c r="J5" s="84">
        <f>MAX(SUMMARY!$C$6,IF(H5="",IF(L5&lt;=SUMMARY!$C$6+5,SUMMARY!$C$6,L5),H5))</f>
        <v>46244</v>
      </c>
      <c r="K5" s="84">
        <f>MIN(SUMMARY!$C$7,IF(I5="",IF(M5&gt;=SUMMARY!$C$7-5,SUMMARY!$C$7,M5),I5))</f>
        <v>46295</v>
      </c>
      <c r="L5" s="84">
        <f>IFERROR(INDEX(ABSEN!$H$2:$H$4094,MATCH($C5,ABSEN!$B$2:$B$4094,0)),"")</f>
        <v>46244</v>
      </c>
      <c r="M5" s="84">
        <f>IFERROR(INDEX(ABSEN!$H$2:$H$4094,MATCH($C5,ABSEN!$B$2:$B$4094,0)+COUNTIF(ABSEN!$B$2:$B$4094,$C5)-1),"")</f>
        <v>46295</v>
      </c>
      <c r="N5" s="59" t="str">
        <f>IF(J5&gt;K5,"Tidak aktif dlm periode",IF(AND(J5=SUMMARY!$C$6,K5=SUMMARY!$C$7),"Aktif sepanjang periode",IF(J5&gt;SUMMARY!$C$6,"Masuk "&amp;TEXT(J5,"dd-mm-yyyy"),"")&amp;IF(AND(J5&gt;SUMMARY!$C$6,K5&lt;SUMMARY!$C$7)," · ","")&amp;IF(K5&lt;SUMMARY!$C$7,"Selesai "&amp;TEXT(K5,"dd-mm-yyyy"),"")))</f>
        <v>Masuk 10-08-2026</v>
      </c>
    </row>
    <row r="6" spans="1:14" x14ac:dyDescent="0.2">
      <c r="A6" s="59">
        <v>4</v>
      </c>
      <c r="B6" s="59" t="s">
        <v>193</v>
      </c>
      <c r="C6" s="59" t="s">
        <v>194</v>
      </c>
      <c r="D6" s="59" t="s">
        <v>185</v>
      </c>
      <c r="E6" s="59" t="s">
        <v>195</v>
      </c>
      <c r="F6" s="59" t="s">
        <v>47</v>
      </c>
      <c r="G6" s="59" t="s">
        <v>187</v>
      </c>
      <c r="H6" s="60">
        <v>45985</v>
      </c>
      <c r="I6" s="60">
        <v>46349</v>
      </c>
      <c r="J6" s="84">
        <f>MAX(SUMMARY!$C$6,IF(H6="",IF(L6&lt;=SUMMARY!$C$6+5,SUMMARY!$C$6,L6),H6))</f>
        <v>46174</v>
      </c>
      <c r="K6" s="84">
        <f>MIN(SUMMARY!$C$7,IF(I6="",IF(M6&gt;=SUMMARY!$C$7-5,SUMMARY!$C$7,M6),I6))</f>
        <v>46295</v>
      </c>
      <c r="L6" s="84">
        <f>IFERROR(INDEX(ABSEN!$H$2:$H$4094,MATCH($C6,ABSEN!$B$2:$B$4094,0)),"")</f>
        <v>46175</v>
      </c>
      <c r="M6" s="84">
        <f>IFERROR(INDEX(ABSEN!$H$2:$H$4094,MATCH($C6,ABSEN!$B$2:$B$4094,0)+COUNTIF(ABSEN!$B$2:$B$4094,$C6)-1),"")</f>
        <v>46295</v>
      </c>
      <c r="N6" s="59" t="str">
        <f>IF(J6&gt;K6,"Tidak aktif dlm periode",IF(AND(J6=SUMMARY!$C$6,K6=SUMMARY!$C$7),"Aktif sepanjang periode",IF(J6&gt;SUMMARY!$C$6,"Masuk "&amp;TEXT(J6,"dd-mm-yyyy"),"")&amp;IF(AND(J6&gt;SUMMARY!$C$6,K6&lt;SUMMARY!$C$7)," · ","")&amp;IF(K6&lt;SUMMARY!$C$7,"Selesai "&amp;TEXT(K6,"dd-mm-yyyy"),"")))</f>
        <v>Aktif sepanjang periode</v>
      </c>
    </row>
    <row r="7" spans="1:14" x14ac:dyDescent="0.2">
      <c r="A7" s="59">
        <v>5</v>
      </c>
      <c r="B7" s="59" t="s">
        <v>196</v>
      </c>
      <c r="C7" s="59" t="s">
        <v>197</v>
      </c>
      <c r="D7" s="59" t="s">
        <v>185</v>
      </c>
      <c r="E7" s="59" t="s">
        <v>190</v>
      </c>
      <c r="F7" s="59" t="s">
        <v>47</v>
      </c>
      <c r="G7" s="59" t="s">
        <v>187</v>
      </c>
      <c r="H7" s="60">
        <v>46244</v>
      </c>
      <c r="I7" s="60">
        <v>46427</v>
      </c>
      <c r="J7" s="84">
        <f>MAX(SUMMARY!$C$6,IF(H7="",IF(L7&lt;=SUMMARY!$C$6+5,SUMMARY!$C$6,L7),H7))</f>
        <v>46244</v>
      </c>
      <c r="K7" s="84">
        <f>MIN(SUMMARY!$C$7,IF(I7="",IF(M7&gt;=SUMMARY!$C$7-5,SUMMARY!$C$7,M7),I7))</f>
        <v>46295</v>
      </c>
      <c r="L7" s="84">
        <f>IFERROR(INDEX(ABSEN!$H$2:$H$4094,MATCH($C7,ABSEN!$B$2:$B$4094,0)),"")</f>
        <v>46244</v>
      </c>
      <c r="M7" s="84">
        <f>IFERROR(INDEX(ABSEN!$H$2:$H$4094,MATCH($C7,ABSEN!$B$2:$B$4094,0)+COUNTIF(ABSEN!$B$2:$B$4094,$C7)-1),"")</f>
        <v>46295</v>
      </c>
      <c r="N7" s="59" t="str">
        <f>IF(J7&gt;K7,"Tidak aktif dlm periode",IF(AND(J7=SUMMARY!$C$6,K7=SUMMARY!$C$7),"Aktif sepanjang periode",IF(J7&gt;SUMMARY!$C$6,"Masuk "&amp;TEXT(J7,"dd-mm-yyyy"),"")&amp;IF(AND(J7&gt;SUMMARY!$C$6,K7&lt;SUMMARY!$C$7)," · ","")&amp;IF(K7&lt;SUMMARY!$C$7,"Selesai "&amp;TEXT(K7,"dd-mm-yyyy"),"")))</f>
        <v>Masuk 10-08-2026</v>
      </c>
    </row>
    <row r="8" spans="1:14" x14ac:dyDescent="0.2">
      <c r="A8" s="59">
        <v>6</v>
      </c>
      <c r="B8" s="59" t="s">
        <v>198</v>
      </c>
      <c r="C8" s="59" t="s">
        <v>199</v>
      </c>
      <c r="D8" s="59" t="s">
        <v>185</v>
      </c>
      <c r="E8" s="59" t="s">
        <v>195</v>
      </c>
      <c r="F8" s="59" t="s">
        <v>47</v>
      </c>
      <c r="G8" s="59" t="s">
        <v>187</v>
      </c>
      <c r="H8" s="60">
        <v>45985</v>
      </c>
      <c r="I8" s="60">
        <v>46356</v>
      </c>
      <c r="J8" s="84">
        <f>MAX(SUMMARY!$C$6,IF(H8="",IF(L8&lt;=SUMMARY!$C$6+5,SUMMARY!$C$6,L8),H8))</f>
        <v>46174</v>
      </c>
      <c r="K8" s="84">
        <f>MIN(SUMMARY!$C$7,IF(I8="",IF(M8&gt;=SUMMARY!$C$7-5,SUMMARY!$C$7,M8),I8))</f>
        <v>46295</v>
      </c>
      <c r="L8" s="84">
        <f>IFERROR(INDEX(ABSEN!$H$2:$H$4094,MATCH($C8,ABSEN!$B$2:$B$4094,0)),"")</f>
        <v>46175</v>
      </c>
      <c r="M8" s="84">
        <f>IFERROR(INDEX(ABSEN!$H$2:$H$4094,MATCH($C8,ABSEN!$B$2:$B$4094,0)+COUNTIF(ABSEN!$B$2:$B$4094,$C8)-1),"")</f>
        <v>46295</v>
      </c>
      <c r="N8" s="59" t="str">
        <f>IF(J8&gt;K8,"Tidak aktif dlm periode",IF(AND(J8=SUMMARY!$C$6,K8=SUMMARY!$C$7),"Aktif sepanjang periode",IF(J8&gt;SUMMARY!$C$6,"Masuk "&amp;TEXT(J8,"dd-mm-yyyy"),"")&amp;IF(AND(J8&gt;SUMMARY!$C$6,K8&lt;SUMMARY!$C$7)," · ","")&amp;IF(K8&lt;SUMMARY!$C$7,"Selesai "&amp;TEXT(K8,"dd-mm-yyyy"),"")))</f>
        <v>Aktif sepanjang periode</v>
      </c>
    </row>
    <row r="9" spans="1:14" x14ac:dyDescent="0.2">
      <c r="A9" s="59">
        <v>7</v>
      </c>
      <c r="B9" s="59" t="s">
        <v>200</v>
      </c>
      <c r="C9" s="59" t="s">
        <v>201</v>
      </c>
      <c r="D9" s="59" t="s">
        <v>185</v>
      </c>
      <c r="E9" s="59" t="s">
        <v>186</v>
      </c>
      <c r="F9" s="59" t="s">
        <v>47</v>
      </c>
      <c r="G9" s="59" t="s">
        <v>187</v>
      </c>
      <c r="H9" s="60">
        <v>46175</v>
      </c>
      <c r="I9" s="60">
        <v>46358</v>
      </c>
      <c r="J9" s="84">
        <f>MAX(SUMMARY!$C$6,IF(H9="",IF(L9&lt;=SUMMARY!$C$6+5,SUMMARY!$C$6,L9),H9))</f>
        <v>46175</v>
      </c>
      <c r="K9" s="84">
        <f>MIN(SUMMARY!$C$7,IF(I9="",IF(M9&gt;=SUMMARY!$C$7-5,SUMMARY!$C$7,M9),I9))</f>
        <v>46295</v>
      </c>
      <c r="L9" s="84">
        <f>IFERROR(INDEX(ABSEN!$H$2:$H$4094,MATCH($C9,ABSEN!$B$2:$B$4094,0)),"")</f>
        <v>46175</v>
      </c>
      <c r="M9" s="84">
        <f>IFERROR(INDEX(ABSEN!$H$2:$H$4094,MATCH($C9,ABSEN!$B$2:$B$4094,0)+COUNTIF(ABSEN!$B$2:$B$4094,$C9)-1),"")</f>
        <v>46295</v>
      </c>
      <c r="N9" s="59" t="str">
        <f>IF(J9&gt;K9,"Tidak aktif dlm periode",IF(AND(J9=SUMMARY!$C$6,K9=SUMMARY!$C$7),"Aktif sepanjang periode",IF(J9&gt;SUMMARY!$C$6,"Masuk "&amp;TEXT(J9,"dd-mm-yyyy"),"")&amp;IF(AND(J9&gt;SUMMARY!$C$6,K9&lt;SUMMARY!$C$7)," · ","")&amp;IF(K9&lt;SUMMARY!$C$7,"Selesai "&amp;TEXT(K9,"dd-mm-yyyy"),"")))</f>
        <v>Masuk 02-06-2026</v>
      </c>
    </row>
    <row r="10" spans="1:14" x14ac:dyDescent="0.2">
      <c r="A10" s="59">
        <v>8</v>
      </c>
      <c r="B10" s="59" t="s">
        <v>202</v>
      </c>
      <c r="C10" s="59" t="s">
        <v>203</v>
      </c>
      <c r="D10" s="59" t="s">
        <v>204</v>
      </c>
      <c r="E10" s="59" t="s">
        <v>186</v>
      </c>
      <c r="F10" s="59" t="s">
        <v>49</v>
      </c>
      <c r="G10" s="59" t="s">
        <v>187</v>
      </c>
      <c r="H10" s="60">
        <v>46062</v>
      </c>
      <c r="I10" s="60">
        <v>46263</v>
      </c>
      <c r="J10" s="84">
        <f>MAX(SUMMARY!$C$6,IF(H10="",IF(L10&lt;=SUMMARY!$C$6+5,SUMMARY!$C$6,L10),H10))</f>
        <v>46174</v>
      </c>
      <c r="K10" s="84">
        <f>MIN(SUMMARY!$C$7,IF(I10="",IF(M10&gt;=SUMMARY!$C$7-5,SUMMARY!$C$7,M10),I10))</f>
        <v>46263</v>
      </c>
      <c r="L10" s="84">
        <f>IFERROR(INDEX(ABSEN!$H$2:$H$4094,MATCH($C10,ABSEN!$B$2:$B$4094,0)),"")</f>
        <v>46175</v>
      </c>
      <c r="M10" s="84">
        <f>IFERROR(INDEX(ABSEN!$H$2:$H$4094,MATCH($C10,ABSEN!$B$2:$B$4094,0)+COUNTIF(ABSEN!$B$2:$B$4094,$C10)-1),"")</f>
        <v>46265</v>
      </c>
      <c r="N10" s="59" t="str">
        <f>IF(J10&gt;K10,"Tidak aktif dlm periode",IF(AND(J10=SUMMARY!$C$6,K10=SUMMARY!$C$7),"Aktif sepanjang periode",IF(J10&gt;SUMMARY!$C$6,"Masuk "&amp;TEXT(J10,"dd-mm-yyyy"),"")&amp;IF(AND(J10&gt;SUMMARY!$C$6,K10&lt;SUMMARY!$C$7)," · ","")&amp;IF(K10&lt;SUMMARY!$C$7,"Selesai "&amp;TEXT(K10,"dd-mm-yyyy"),"")))</f>
        <v>Selesai 29-08-2026</v>
      </c>
    </row>
    <row r="11" spans="1:14" x14ac:dyDescent="0.2">
      <c r="A11" s="59">
        <v>9</v>
      </c>
      <c r="B11" s="59" t="s">
        <v>205</v>
      </c>
      <c r="C11" s="59" t="s">
        <v>206</v>
      </c>
      <c r="D11" s="59" t="s">
        <v>207</v>
      </c>
      <c r="E11" s="59" t="s">
        <v>195</v>
      </c>
      <c r="F11" s="59" t="s">
        <v>47</v>
      </c>
      <c r="G11" s="59" t="s">
        <v>187</v>
      </c>
      <c r="H11" s="60">
        <v>45985</v>
      </c>
      <c r="I11" s="60">
        <v>46356</v>
      </c>
      <c r="J11" s="84">
        <f>MAX(SUMMARY!$C$6,IF(H11="",IF(L11&lt;=SUMMARY!$C$6+5,SUMMARY!$C$6,L11),H11))</f>
        <v>46174</v>
      </c>
      <c r="K11" s="84">
        <f>MIN(SUMMARY!$C$7,IF(I11="",IF(M11&gt;=SUMMARY!$C$7-5,SUMMARY!$C$7,M11),I11))</f>
        <v>46295</v>
      </c>
      <c r="L11" s="84">
        <f>IFERROR(INDEX(ABSEN!$H$2:$H$4094,MATCH($C11,ABSEN!$B$2:$B$4094,0)),"")</f>
        <v>46175</v>
      </c>
      <c r="M11" s="84">
        <f>IFERROR(INDEX(ABSEN!$H$2:$H$4094,MATCH($C11,ABSEN!$B$2:$B$4094,0)+COUNTIF(ABSEN!$B$2:$B$4094,$C11)-1),"")</f>
        <v>46295</v>
      </c>
      <c r="N11" s="59" t="str">
        <f>IF(J11&gt;K11,"Tidak aktif dlm periode",IF(AND(J11=SUMMARY!$C$6,K11=SUMMARY!$C$7),"Aktif sepanjang periode",IF(J11&gt;SUMMARY!$C$6,"Masuk "&amp;TEXT(J11,"dd-mm-yyyy"),"")&amp;IF(AND(J11&gt;SUMMARY!$C$6,K11&lt;SUMMARY!$C$7)," · ","")&amp;IF(K11&lt;SUMMARY!$C$7,"Selesai "&amp;TEXT(K11,"dd-mm-yyyy"),"")))</f>
        <v>Aktif sepanjang periode</v>
      </c>
    </row>
    <row r="12" spans="1:14" x14ac:dyDescent="0.2">
      <c r="A12" s="59">
        <v>10</v>
      </c>
      <c r="B12" s="59" t="s">
        <v>208</v>
      </c>
      <c r="C12" s="59" t="s">
        <v>209</v>
      </c>
      <c r="D12" s="59" t="s">
        <v>210</v>
      </c>
      <c r="E12" s="59" t="s">
        <v>190</v>
      </c>
      <c r="F12" s="59" t="s">
        <v>48</v>
      </c>
      <c r="G12" s="59" t="s">
        <v>187</v>
      </c>
      <c r="H12" s="60">
        <v>46223</v>
      </c>
      <c r="I12" s="60">
        <v>46386</v>
      </c>
      <c r="J12" s="84">
        <f>MAX(SUMMARY!$C$6,IF(H12="",IF(L12&lt;=SUMMARY!$C$6+5,SUMMARY!$C$6,L12),H12))</f>
        <v>46223</v>
      </c>
      <c r="K12" s="84">
        <f>MIN(SUMMARY!$C$7,IF(I12="",IF(M12&gt;=SUMMARY!$C$7-5,SUMMARY!$C$7,M12),I12))</f>
        <v>46295</v>
      </c>
      <c r="L12" s="84">
        <f>IFERROR(INDEX(ABSEN!$H$2:$H$4094,MATCH($C12,ABSEN!$B$2:$B$4094,0)),"")</f>
        <v>46224</v>
      </c>
      <c r="M12" s="84">
        <f>IFERROR(INDEX(ABSEN!$H$2:$H$4094,MATCH($C12,ABSEN!$B$2:$B$4094,0)+COUNTIF(ABSEN!$B$2:$B$4094,$C12)-1),"")</f>
        <v>46290</v>
      </c>
      <c r="N12" s="59" t="str">
        <f>IF(J12&gt;K12,"Tidak aktif dlm periode",IF(AND(J12=SUMMARY!$C$6,K12=SUMMARY!$C$7),"Aktif sepanjang periode",IF(J12&gt;SUMMARY!$C$6,"Masuk "&amp;TEXT(J12,"dd-mm-yyyy"),"")&amp;IF(AND(J12&gt;SUMMARY!$C$6,K12&lt;SUMMARY!$C$7)," · ","")&amp;IF(K12&lt;SUMMARY!$C$7,"Selesai "&amp;TEXT(K12,"dd-mm-yyyy"),"")))</f>
        <v>Masuk 20-07-2026</v>
      </c>
    </row>
    <row r="13" spans="1:14" x14ac:dyDescent="0.2">
      <c r="A13" s="59">
        <v>11</v>
      </c>
      <c r="B13" s="59" t="s">
        <v>211</v>
      </c>
      <c r="C13" s="59" t="s">
        <v>212</v>
      </c>
      <c r="D13" s="59" t="s">
        <v>210</v>
      </c>
      <c r="E13" s="59" t="s">
        <v>186</v>
      </c>
      <c r="F13" s="59" t="s">
        <v>48</v>
      </c>
      <c r="G13" s="59" t="s">
        <v>187</v>
      </c>
      <c r="H13" s="60">
        <v>45971</v>
      </c>
      <c r="I13" s="60">
        <v>46203</v>
      </c>
      <c r="J13" s="84">
        <f>MAX(SUMMARY!$C$6,IF(H13="",IF(L13&lt;=SUMMARY!$C$6+5,SUMMARY!$C$6,L13),H13))</f>
        <v>46174</v>
      </c>
      <c r="K13" s="84">
        <f>MIN(SUMMARY!$C$7,IF(I13="",IF(M13&gt;=SUMMARY!$C$7-5,SUMMARY!$C$7,M13),I13))</f>
        <v>46203</v>
      </c>
      <c r="L13" s="84">
        <f>IFERROR(INDEX(ABSEN!$H$2:$H$4094,MATCH($C13,ABSEN!$B$2:$B$4094,0)),"")</f>
        <v>46175</v>
      </c>
      <c r="M13" s="84">
        <f>IFERROR(INDEX(ABSEN!$H$2:$H$4094,MATCH($C13,ABSEN!$B$2:$B$4094,0)+COUNTIF(ABSEN!$B$2:$B$4094,$C13)-1),"")</f>
        <v>46205</v>
      </c>
      <c r="N13" s="59" t="str">
        <f>IF(J13&gt;K13,"Tidak aktif dlm periode",IF(AND(J13=SUMMARY!$C$6,K13=SUMMARY!$C$7),"Aktif sepanjang periode",IF(J13&gt;SUMMARY!$C$6,"Masuk "&amp;TEXT(J13,"dd-mm-yyyy"),"")&amp;IF(AND(J13&gt;SUMMARY!$C$6,K13&lt;SUMMARY!$C$7)," · ","")&amp;IF(K13&lt;SUMMARY!$C$7,"Selesai "&amp;TEXT(K13,"dd-mm-yyyy"),"")))</f>
        <v>Selesai 30-06-2026</v>
      </c>
    </row>
    <row r="14" spans="1:14" x14ac:dyDescent="0.2">
      <c r="A14" s="59">
        <v>12</v>
      </c>
      <c r="B14" s="59" t="s">
        <v>213</v>
      </c>
      <c r="C14" s="59" t="s">
        <v>214</v>
      </c>
      <c r="D14" s="59" t="s">
        <v>215</v>
      </c>
      <c r="E14" s="59" t="s">
        <v>186</v>
      </c>
      <c r="F14" s="59" t="s">
        <v>54</v>
      </c>
      <c r="G14" s="59" t="s">
        <v>187</v>
      </c>
      <c r="H14" s="60">
        <v>46177</v>
      </c>
      <c r="I14" s="60">
        <v>46387</v>
      </c>
      <c r="J14" s="84">
        <f>MAX(SUMMARY!$C$6,IF(H14="",IF(L14&lt;=SUMMARY!$C$6+5,SUMMARY!$C$6,L14),H14))</f>
        <v>46177</v>
      </c>
      <c r="K14" s="84">
        <f>MIN(SUMMARY!$C$7,IF(I14="",IF(M14&gt;=SUMMARY!$C$7-5,SUMMARY!$C$7,M14),I14))</f>
        <v>46295</v>
      </c>
      <c r="L14" s="84">
        <f>IFERROR(INDEX(ABSEN!$H$2:$H$4094,MATCH($C14,ABSEN!$B$2:$B$4094,0)),"")</f>
        <v>46178</v>
      </c>
      <c r="M14" s="84">
        <f>IFERROR(INDEX(ABSEN!$H$2:$H$4094,MATCH($C14,ABSEN!$B$2:$B$4094,0)+COUNTIF(ABSEN!$B$2:$B$4094,$C14)-1),"")</f>
        <v>46289</v>
      </c>
      <c r="N14" s="59" t="str">
        <f>IF(J14&gt;K14,"Tidak aktif dlm periode",IF(AND(J14=SUMMARY!$C$6,K14=SUMMARY!$C$7),"Aktif sepanjang periode",IF(J14&gt;SUMMARY!$C$6,"Masuk "&amp;TEXT(J14,"dd-mm-yyyy"),"")&amp;IF(AND(J14&gt;SUMMARY!$C$6,K14&lt;SUMMARY!$C$7)," · ","")&amp;IF(K14&lt;SUMMARY!$C$7,"Selesai "&amp;TEXT(K14,"dd-mm-yyyy"),"")))</f>
        <v>Masuk 04-06-2026</v>
      </c>
    </row>
    <row r="15" spans="1:14" x14ac:dyDescent="0.2">
      <c r="A15" s="59">
        <v>13</v>
      </c>
      <c r="B15" s="59" t="s">
        <v>216</v>
      </c>
      <c r="C15" s="59" t="s">
        <v>217</v>
      </c>
      <c r="D15" s="59" t="s">
        <v>215</v>
      </c>
      <c r="E15" s="59" t="s">
        <v>186</v>
      </c>
      <c r="F15" s="59" t="s">
        <v>54</v>
      </c>
      <c r="G15" s="59" t="s">
        <v>187</v>
      </c>
      <c r="H15" s="60">
        <v>46177</v>
      </c>
      <c r="I15" s="60">
        <v>46387</v>
      </c>
      <c r="J15" s="84">
        <f>MAX(SUMMARY!$C$6,IF(H15="",IF(L15&lt;=SUMMARY!$C$6+5,SUMMARY!$C$6,L15),H15))</f>
        <v>46177</v>
      </c>
      <c r="K15" s="84">
        <f>MIN(SUMMARY!$C$7,IF(I15="",IF(M15&gt;=SUMMARY!$C$7-5,SUMMARY!$C$7,M15),I15))</f>
        <v>46295</v>
      </c>
      <c r="L15" s="84">
        <f>IFERROR(INDEX(ABSEN!$H$2:$H$4094,MATCH($C15,ABSEN!$B$2:$B$4094,0)),"")</f>
        <v>46178</v>
      </c>
      <c r="M15" s="84">
        <f>IFERROR(INDEX(ABSEN!$H$2:$H$4094,MATCH($C15,ABSEN!$B$2:$B$4094,0)+COUNTIF(ABSEN!$B$2:$B$4094,$C15)-1),"")</f>
        <v>46290</v>
      </c>
      <c r="N15" s="59" t="str">
        <f>IF(J15&gt;K15,"Tidak aktif dlm periode",IF(AND(J15=SUMMARY!$C$6,K15=SUMMARY!$C$7),"Aktif sepanjang periode",IF(J15&gt;SUMMARY!$C$6,"Masuk "&amp;TEXT(J15,"dd-mm-yyyy"),"")&amp;IF(AND(J15&gt;SUMMARY!$C$6,K15&lt;SUMMARY!$C$7)," · ","")&amp;IF(K15&lt;SUMMARY!$C$7,"Selesai "&amp;TEXT(K15,"dd-mm-yyyy"),"")))</f>
        <v>Masuk 04-06-2026</v>
      </c>
    </row>
    <row r="16" spans="1:14" x14ac:dyDescent="0.2">
      <c r="A16" s="59">
        <v>14</v>
      </c>
      <c r="B16" s="59" t="s">
        <v>218</v>
      </c>
      <c r="C16" s="59" t="s">
        <v>219</v>
      </c>
      <c r="D16" s="59" t="s">
        <v>220</v>
      </c>
      <c r="E16" s="59" t="s">
        <v>190</v>
      </c>
      <c r="F16" s="59" t="s">
        <v>44</v>
      </c>
      <c r="G16" s="59" t="s">
        <v>221</v>
      </c>
      <c r="H16" s="60">
        <v>45985</v>
      </c>
      <c r="I16" s="60">
        <v>46356</v>
      </c>
      <c r="J16" s="84">
        <f>MAX(SUMMARY!$C$6,IF(H16="",IF(L16&lt;=SUMMARY!$C$6+5,SUMMARY!$C$6,L16),H16))</f>
        <v>46174</v>
      </c>
      <c r="K16" s="84">
        <f>MIN(SUMMARY!$C$7,IF(I16="",IF(M16&gt;=SUMMARY!$C$7-5,SUMMARY!$C$7,M16),I16))</f>
        <v>46295</v>
      </c>
      <c r="L16" s="84">
        <f>IFERROR(INDEX(ABSEN!$H$2:$H$4094,MATCH($C16,ABSEN!$B$2:$B$4094,0)),"")</f>
        <v>46178</v>
      </c>
      <c r="M16" s="84">
        <f>IFERROR(INDEX(ABSEN!$H$2:$H$4094,MATCH($C16,ABSEN!$B$2:$B$4094,0)+COUNTIF(ABSEN!$B$2:$B$4094,$C16)-1),"")</f>
        <v>46295</v>
      </c>
      <c r="N16" s="59" t="str">
        <f>IF(J16&gt;K16,"Tidak aktif dlm periode",IF(AND(J16=SUMMARY!$C$6,K16=SUMMARY!$C$7),"Aktif sepanjang periode",IF(J16&gt;SUMMARY!$C$6,"Masuk "&amp;TEXT(J16,"dd-mm-yyyy"),"")&amp;IF(AND(J16&gt;SUMMARY!$C$6,K16&lt;SUMMARY!$C$7)," · ","")&amp;IF(K16&lt;SUMMARY!$C$7,"Selesai "&amp;TEXT(K16,"dd-mm-yyyy"),"")))</f>
        <v>Aktif sepanjang periode</v>
      </c>
    </row>
    <row r="17" spans="1:14" x14ac:dyDescent="0.2">
      <c r="A17" s="59">
        <v>15</v>
      </c>
      <c r="B17" s="59" t="s">
        <v>222</v>
      </c>
      <c r="C17" s="59" t="s">
        <v>223</v>
      </c>
      <c r="D17" s="59" t="s">
        <v>224</v>
      </c>
      <c r="E17" s="59" t="s">
        <v>190</v>
      </c>
      <c r="F17" s="59" t="s">
        <v>52</v>
      </c>
      <c r="G17" s="59" t="s">
        <v>187</v>
      </c>
      <c r="H17" s="60">
        <v>46244</v>
      </c>
      <c r="I17" s="60">
        <v>46427</v>
      </c>
      <c r="J17" s="84">
        <f>MAX(SUMMARY!$C$6,IF(H17="",IF(L17&lt;=SUMMARY!$C$6+5,SUMMARY!$C$6,L17),H17))</f>
        <v>46244</v>
      </c>
      <c r="K17" s="84">
        <f>MIN(SUMMARY!$C$7,IF(I17="",IF(M17&gt;=SUMMARY!$C$7-5,SUMMARY!$C$7,M17),I17))</f>
        <v>46295</v>
      </c>
      <c r="L17" s="84">
        <f>IFERROR(INDEX(ABSEN!$H$2:$H$4094,MATCH($C17,ABSEN!$B$2:$B$4094,0)),"")</f>
        <v>46244</v>
      </c>
      <c r="M17" s="84">
        <f>IFERROR(INDEX(ABSEN!$H$2:$H$4094,MATCH($C17,ABSEN!$B$2:$B$4094,0)+COUNTIF(ABSEN!$B$2:$B$4094,$C17)-1),"")</f>
        <v>46293</v>
      </c>
      <c r="N17" s="59" t="str">
        <f>IF(J17&gt;K17,"Tidak aktif dlm periode",IF(AND(J17=SUMMARY!$C$6,K17=SUMMARY!$C$7),"Aktif sepanjang periode",IF(J17&gt;SUMMARY!$C$6,"Masuk "&amp;TEXT(J17,"dd-mm-yyyy"),"")&amp;IF(AND(J17&gt;SUMMARY!$C$6,K17&lt;SUMMARY!$C$7)," · ","")&amp;IF(K17&lt;SUMMARY!$C$7,"Selesai "&amp;TEXT(K17,"dd-mm-yyyy"),"")))</f>
        <v>Masuk 10-08-2026</v>
      </c>
    </row>
    <row r="18" spans="1:14" x14ac:dyDescent="0.2">
      <c r="A18" s="59">
        <v>16</v>
      </c>
      <c r="B18" s="59" t="s">
        <v>225</v>
      </c>
      <c r="C18" s="59" t="s">
        <v>226</v>
      </c>
      <c r="D18" s="59" t="s">
        <v>224</v>
      </c>
      <c r="E18" s="59" t="s">
        <v>190</v>
      </c>
      <c r="F18" s="59" t="s">
        <v>52</v>
      </c>
      <c r="G18" s="59" t="s">
        <v>187</v>
      </c>
      <c r="H18" s="60">
        <v>46244</v>
      </c>
      <c r="I18" s="60">
        <v>46427</v>
      </c>
      <c r="J18" s="84">
        <f>MAX(SUMMARY!$C$6,IF(H18="",IF(L18&lt;=SUMMARY!$C$6+5,SUMMARY!$C$6,L18),H18))</f>
        <v>46244</v>
      </c>
      <c r="K18" s="84">
        <f>MIN(SUMMARY!$C$7,IF(I18="",IF(M18&gt;=SUMMARY!$C$7-5,SUMMARY!$C$7,M18),I18))</f>
        <v>46295</v>
      </c>
      <c r="L18" s="84">
        <f>IFERROR(INDEX(ABSEN!$H$2:$H$4094,MATCH($C18,ABSEN!$B$2:$B$4094,0)),"")</f>
        <v>46244</v>
      </c>
      <c r="M18" s="84">
        <f>IFERROR(INDEX(ABSEN!$H$2:$H$4094,MATCH($C18,ABSEN!$B$2:$B$4094,0)+COUNTIF(ABSEN!$B$2:$B$4094,$C18)-1),"")</f>
        <v>46295</v>
      </c>
      <c r="N18" s="59" t="str">
        <f>IF(J18&gt;K18,"Tidak aktif dlm periode",IF(AND(J18=SUMMARY!$C$6,K18=SUMMARY!$C$7),"Aktif sepanjang periode",IF(J18&gt;SUMMARY!$C$6,"Masuk "&amp;TEXT(J18,"dd-mm-yyyy"),"")&amp;IF(AND(J18&gt;SUMMARY!$C$6,K18&lt;SUMMARY!$C$7)," · ","")&amp;IF(K18&lt;SUMMARY!$C$7,"Selesai "&amp;TEXT(K18,"dd-mm-yyyy"),"")))</f>
        <v>Masuk 10-08-2026</v>
      </c>
    </row>
    <row r="19" spans="1:14" x14ac:dyDescent="0.2">
      <c r="A19" s="59">
        <v>17</v>
      </c>
      <c r="B19" s="59" t="s">
        <v>227</v>
      </c>
      <c r="C19" s="59" t="s">
        <v>228</v>
      </c>
      <c r="D19" s="59" t="s">
        <v>229</v>
      </c>
      <c r="E19" s="59" t="s">
        <v>186</v>
      </c>
      <c r="F19" s="59" t="s">
        <v>39</v>
      </c>
      <c r="G19" s="59" t="s">
        <v>187</v>
      </c>
      <c r="H19" s="60">
        <v>46177</v>
      </c>
      <c r="I19" s="60">
        <v>46418</v>
      </c>
      <c r="J19" s="84">
        <f>MAX(SUMMARY!$C$6,IF(H19="",IF(L19&lt;=SUMMARY!$C$6+5,SUMMARY!$C$6,L19),H19))</f>
        <v>46177</v>
      </c>
      <c r="K19" s="84">
        <f>MIN(SUMMARY!$C$7,IF(I19="",IF(M19&gt;=SUMMARY!$C$7-5,SUMMARY!$C$7,M19),I19))</f>
        <v>46295</v>
      </c>
      <c r="L19" s="84">
        <f>IFERROR(INDEX(ABSEN!$H$2:$H$4094,MATCH($C19,ABSEN!$B$2:$B$4094,0)),"")</f>
        <v>46178</v>
      </c>
      <c r="M19" s="84">
        <f>IFERROR(INDEX(ABSEN!$H$2:$H$4094,MATCH($C19,ABSEN!$B$2:$B$4094,0)+COUNTIF(ABSEN!$B$2:$B$4094,$C19)-1),"")</f>
        <v>46290</v>
      </c>
      <c r="N19" s="59" t="str">
        <f>IF(J19&gt;K19,"Tidak aktif dlm periode",IF(AND(J19=SUMMARY!$C$6,K19=SUMMARY!$C$7),"Aktif sepanjang periode",IF(J19&gt;SUMMARY!$C$6,"Masuk "&amp;TEXT(J19,"dd-mm-yyyy"),"")&amp;IF(AND(J19&gt;SUMMARY!$C$6,K19&lt;SUMMARY!$C$7)," · ","")&amp;IF(K19&lt;SUMMARY!$C$7,"Selesai "&amp;TEXT(K19,"dd-mm-yyyy"),"")))</f>
        <v>Masuk 04-06-2026</v>
      </c>
    </row>
    <row r="20" spans="1:14" x14ac:dyDescent="0.2">
      <c r="A20" s="59">
        <v>18</v>
      </c>
      <c r="B20" s="59" t="s">
        <v>230</v>
      </c>
      <c r="C20" s="59" t="s">
        <v>231</v>
      </c>
      <c r="D20" s="59" t="s">
        <v>229</v>
      </c>
      <c r="E20" s="59" t="s">
        <v>186</v>
      </c>
      <c r="F20" s="59" t="s">
        <v>39</v>
      </c>
      <c r="G20" s="59" t="s">
        <v>187</v>
      </c>
      <c r="H20" s="60">
        <v>45971</v>
      </c>
      <c r="I20" s="60">
        <v>46203</v>
      </c>
      <c r="J20" s="84">
        <f>MAX(SUMMARY!$C$6,IF(H20="",IF(L20&lt;=SUMMARY!$C$6+5,SUMMARY!$C$6,L20),H20))</f>
        <v>46174</v>
      </c>
      <c r="K20" s="84">
        <f>MIN(SUMMARY!$C$7,IF(I20="",IF(M20&gt;=SUMMARY!$C$7-5,SUMMARY!$C$7,M20),I20))</f>
        <v>46203</v>
      </c>
      <c r="L20" s="84">
        <f>IFERROR(INDEX(ABSEN!$H$2:$H$4094,MATCH($C20,ABSEN!$B$2:$B$4094,0)),"")</f>
        <v>46175</v>
      </c>
      <c r="M20" s="84">
        <f>IFERROR(INDEX(ABSEN!$H$2:$H$4094,MATCH($C20,ABSEN!$B$2:$B$4094,0)+COUNTIF(ABSEN!$B$2:$B$4094,$C20)-1),"")</f>
        <v>46205</v>
      </c>
      <c r="N20" s="59" t="str">
        <f>IF(J20&gt;K20,"Tidak aktif dlm periode",IF(AND(J20=SUMMARY!$C$6,K20=SUMMARY!$C$7),"Aktif sepanjang periode",IF(J20&gt;SUMMARY!$C$6,"Masuk "&amp;TEXT(J20,"dd-mm-yyyy"),"")&amp;IF(AND(J20&gt;SUMMARY!$C$6,K20&lt;SUMMARY!$C$7)," · ","")&amp;IF(K20&lt;SUMMARY!$C$7,"Selesai "&amp;TEXT(K20,"dd-mm-yyyy"),"")))</f>
        <v>Selesai 30-06-2026</v>
      </c>
    </row>
    <row r="21" spans="1:14" x14ac:dyDescent="0.2">
      <c r="A21" s="59">
        <v>19</v>
      </c>
      <c r="B21" s="59" t="s">
        <v>232</v>
      </c>
      <c r="C21" s="59" t="s">
        <v>233</v>
      </c>
      <c r="D21" s="59" t="s">
        <v>234</v>
      </c>
      <c r="E21" s="59" t="s">
        <v>195</v>
      </c>
      <c r="F21" s="59" t="s">
        <v>50</v>
      </c>
      <c r="G21" s="59" t="s">
        <v>187</v>
      </c>
      <c r="H21" s="60">
        <v>45855</v>
      </c>
      <c r="I21" s="60">
        <v>46418</v>
      </c>
      <c r="J21" s="84">
        <f>MAX(SUMMARY!$C$6,IF(H21="",IF(L21&lt;=SUMMARY!$C$6+5,SUMMARY!$C$6,L21),H21))</f>
        <v>46174</v>
      </c>
      <c r="K21" s="84">
        <f>MIN(SUMMARY!$C$7,IF(I21="",IF(M21&gt;=SUMMARY!$C$7-5,SUMMARY!$C$7,M21),I21))</f>
        <v>46295</v>
      </c>
      <c r="L21" s="84">
        <f>IFERROR(INDEX(ABSEN!$H$2:$H$4094,MATCH($C21,ABSEN!$B$2:$B$4094,0)),"")</f>
        <v>46175</v>
      </c>
      <c r="M21" s="84">
        <f>IFERROR(INDEX(ABSEN!$H$2:$H$4094,MATCH($C21,ABSEN!$B$2:$B$4094,0)+COUNTIF(ABSEN!$B$2:$B$4094,$C21)-1),"")</f>
        <v>46295</v>
      </c>
      <c r="N21" s="59" t="str">
        <f>IF(J21&gt;K21,"Tidak aktif dlm periode",IF(AND(J21=SUMMARY!$C$6,K21=SUMMARY!$C$7),"Aktif sepanjang periode",IF(J21&gt;SUMMARY!$C$6,"Masuk "&amp;TEXT(J21,"dd-mm-yyyy"),"")&amp;IF(AND(J21&gt;SUMMARY!$C$6,K21&lt;SUMMARY!$C$7)," · ","")&amp;IF(K21&lt;SUMMARY!$C$7,"Selesai "&amp;TEXT(K21,"dd-mm-yyyy"),"")))</f>
        <v>Aktif sepanjang periode</v>
      </c>
    </row>
    <row r="22" spans="1:14" x14ac:dyDescent="0.2">
      <c r="A22" s="59">
        <v>20</v>
      </c>
      <c r="B22" s="59" t="s">
        <v>235</v>
      </c>
      <c r="C22" s="59" t="s">
        <v>236</v>
      </c>
      <c r="D22" s="59" t="s">
        <v>237</v>
      </c>
      <c r="E22" s="59" t="s">
        <v>186</v>
      </c>
      <c r="F22" s="59" t="s">
        <v>40</v>
      </c>
      <c r="G22" s="59" t="s">
        <v>187</v>
      </c>
      <c r="H22" s="60">
        <v>46031</v>
      </c>
      <c r="I22" s="60">
        <v>46387</v>
      </c>
      <c r="J22" s="84">
        <f>MAX(SUMMARY!$C$6,IF(H22="",IF(L22&lt;=SUMMARY!$C$6+5,SUMMARY!$C$6,L22),H22))</f>
        <v>46174</v>
      </c>
      <c r="K22" s="84">
        <f>MIN(SUMMARY!$C$7,IF(I22="",IF(M22&gt;=SUMMARY!$C$7-5,SUMMARY!$C$7,M22),I22))</f>
        <v>46295</v>
      </c>
      <c r="L22" s="84">
        <f>IFERROR(INDEX(ABSEN!$H$2:$H$4094,MATCH($C22,ABSEN!$B$2:$B$4094,0)),"")</f>
        <v>46175</v>
      </c>
      <c r="M22" s="84">
        <f>IFERROR(INDEX(ABSEN!$H$2:$H$4094,MATCH($C22,ABSEN!$B$2:$B$4094,0)+COUNTIF(ABSEN!$B$2:$B$4094,$C22)-1),"")</f>
        <v>46295</v>
      </c>
      <c r="N22" s="59" t="str">
        <f>IF(J22&gt;K22,"Tidak aktif dlm periode",IF(AND(J22=SUMMARY!$C$6,K22=SUMMARY!$C$7),"Aktif sepanjang periode",IF(J22&gt;SUMMARY!$C$6,"Masuk "&amp;TEXT(J22,"dd-mm-yyyy"),"")&amp;IF(AND(J22&gt;SUMMARY!$C$6,K22&lt;SUMMARY!$C$7)," · ","")&amp;IF(K22&lt;SUMMARY!$C$7,"Selesai "&amp;TEXT(K22,"dd-mm-yyyy"),"")))</f>
        <v>Aktif sepanjang periode</v>
      </c>
    </row>
    <row r="23" spans="1:14" x14ac:dyDescent="0.2">
      <c r="A23" s="59">
        <v>21</v>
      </c>
      <c r="B23" s="59" t="s">
        <v>238</v>
      </c>
      <c r="C23" s="59" t="s">
        <v>239</v>
      </c>
      <c r="D23" s="59" t="s">
        <v>240</v>
      </c>
      <c r="E23" s="59" t="s">
        <v>241</v>
      </c>
      <c r="F23" s="59" t="s">
        <v>46</v>
      </c>
      <c r="G23" s="59" t="s">
        <v>242</v>
      </c>
      <c r="H23" s="60"/>
      <c r="I23" s="60"/>
      <c r="J23" s="84">
        <f>MAX(SUMMARY!$C$6,IF(H23="",IF(L23&lt;=SUMMARY!$C$6+5,SUMMARY!$C$6,L23),H23))</f>
        <v>46268</v>
      </c>
      <c r="K23" s="84">
        <f>MIN(SUMMARY!$C$7,IF(I23="",IF(M23&gt;=SUMMARY!$C$7-5,SUMMARY!$C$7,M23),I23))</f>
        <v>46295</v>
      </c>
      <c r="L23" s="84">
        <f>IFERROR(INDEX(ABSEN!$H$2:$H$4094,MATCH($C23,ABSEN!$B$2:$B$4094,0)),"")</f>
        <v>46268</v>
      </c>
      <c r="M23" s="84">
        <f>IFERROR(INDEX(ABSEN!$H$2:$H$4094,MATCH($C23,ABSEN!$B$2:$B$4094,0)+COUNTIF(ABSEN!$B$2:$B$4094,$C23)-1),"")</f>
        <v>46293</v>
      </c>
      <c r="N23" s="59" t="str">
        <f>IF(J23&gt;K23,"Tidak aktif dlm periode",IF(AND(J23=SUMMARY!$C$6,K23=SUMMARY!$C$7),"Aktif sepanjang periode",IF(J23&gt;SUMMARY!$C$6,"Masuk "&amp;TEXT(J23,"dd-mm-yyyy"),"")&amp;IF(AND(J23&gt;SUMMARY!$C$6,K23&lt;SUMMARY!$C$7)," · ","")&amp;IF(K23&lt;SUMMARY!$C$7,"Selesai "&amp;TEXT(K23,"dd-mm-yyyy"),"")))</f>
        <v>Masuk 03-09-2026</v>
      </c>
    </row>
    <row r="24" spans="1:14" x14ac:dyDescent="0.2">
      <c r="A24" s="59">
        <v>22</v>
      </c>
      <c r="B24" s="59" t="s">
        <v>243</v>
      </c>
      <c r="C24" s="59" t="s">
        <v>244</v>
      </c>
      <c r="D24" s="59" t="s">
        <v>245</v>
      </c>
      <c r="E24" s="59" t="s">
        <v>186</v>
      </c>
      <c r="F24" s="59" t="s">
        <v>43</v>
      </c>
      <c r="G24" s="59" t="s">
        <v>187</v>
      </c>
      <c r="H24" s="60">
        <v>46279</v>
      </c>
      <c r="I24" s="60">
        <v>46460</v>
      </c>
      <c r="J24" s="84">
        <f>MAX(SUMMARY!$C$6,IF(H24="",IF(L24&lt;=SUMMARY!$C$6+5,SUMMARY!$C$6,L24),H24))</f>
        <v>46279</v>
      </c>
      <c r="K24" s="84">
        <f>MIN(SUMMARY!$C$7,IF(I24="",IF(M24&gt;=SUMMARY!$C$7-5,SUMMARY!$C$7,M24),I24))</f>
        <v>46295</v>
      </c>
      <c r="L24" s="84">
        <f>IFERROR(INDEX(ABSEN!$H$2:$H$4094,MATCH($C24,ABSEN!$B$2:$B$4094,0)),"")</f>
        <v>46279</v>
      </c>
      <c r="M24" s="84">
        <f>IFERROR(INDEX(ABSEN!$H$2:$H$4094,MATCH($C24,ABSEN!$B$2:$B$4094,0)+COUNTIF(ABSEN!$B$2:$B$4094,$C24)-1),"")</f>
        <v>46295</v>
      </c>
      <c r="N24" s="59" t="str">
        <f>IF(J24&gt;K24,"Tidak aktif dlm periode",IF(AND(J24=SUMMARY!$C$6,K24=SUMMARY!$C$7),"Aktif sepanjang periode",IF(J24&gt;SUMMARY!$C$6,"Masuk "&amp;TEXT(J24,"dd-mm-yyyy"),"")&amp;IF(AND(J24&gt;SUMMARY!$C$6,K24&lt;SUMMARY!$C$7)," · ","")&amp;IF(K24&lt;SUMMARY!$C$7,"Selesai "&amp;TEXT(K24,"dd-mm-yyyy"),"")))</f>
        <v>Masuk 14-09-2026</v>
      </c>
    </row>
    <row r="25" spans="1:14" x14ac:dyDescent="0.2">
      <c r="A25" s="59">
        <v>23</v>
      </c>
      <c r="B25" s="59" t="s">
        <v>246</v>
      </c>
      <c r="C25" s="59" t="s">
        <v>247</v>
      </c>
      <c r="D25" s="59" t="s">
        <v>248</v>
      </c>
      <c r="E25" s="59" t="s">
        <v>195</v>
      </c>
      <c r="F25" s="59" t="s">
        <v>45</v>
      </c>
      <c r="G25" s="59" t="s">
        <v>187</v>
      </c>
      <c r="H25" s="60">
        <v>45985</v>
      </c>
      <c r="I25" s="60">
        <v>46356</v>
      </c>
      <c r="J25" s="84">
        <f>MAX(SUMMARY!$C$6,IF(H25="",IF(L25&lt;=SUMMARY!$C$6+5,SUMMARY!$C$6,L25),H25))</f>
        <v>46174</v>
      </c>
      <c r="K25" s="84">
        <f>MIN(SUMMARY!$C$7,IF(I25="",IF(M25&gt;=SUMMARY!$C$7-5,SUMMARY!$C$7,M25),I25))</f>
        <v>46295</v>
      </c>
      <c r="L25" s="84">
        <f>IFERROR(INDEX(ABSEN!$H$2:$H$4094,MATCH($C25,ABSEN!$B$2:$B$4094,0)),"")</f>
        <v>46175</v>
      </c>
      <c r="M25" s="84">
        <f>IFERROR(INDEX(ABSEN!$H$2:$H$4094,MATCH($C25,ABSEN!$B$2:$B$4094,0)+COUNTIF(ABSEN!$B$2:$B$4094,$C25)-1),"")</f>
        <v>46295</v>
      </c>
      <c r="N25" s="59" t="str">
        <f>IF(J25&gt;K25,"Tidak aktif dlm periode",IF(AND(J25=SUMMARY!$C$6,K25=SUMMARY!$C$7),"Aktif sepanjang periode",IF(J25&gt;SUMMARY!$C$6,"Masuk "&amp;TEXT(J25,"dd-mm-yyyy"),"")&amp;IF(AND(J25&gt;SUMMARY!$C$6,K25&lt;SUMMARY!$C$7)," · ","")&amp;IF(K25&lt;SUMMARY!$C$7,"Selesai "&amp;TEXT(K25,"dd-mm-yyyy"),"")))</f>
        <v>Aktif sepanjang periode</v>
      </c>
    </row>
    <row r="26" spans="1:14" x14ac:dyDescent="0.2">
      <c r="A26" s="59">
        <v>24</v>
      </c>
      <c r="B26" s="59" t="s">
        <v>249</v>
      </c>
      <c r="C26" s="59" t="s">
        <v>250</v>
      </c>
      <c r="D26" s="59" t="s">
        <v>251</v>
      </c>
      <c r="E26" s="59" t="s">
        <v>195</v>
      </c>
      <c r="F26" s="59" t="s">
        <v>42</v>
      </c>
      <c r="G26" s="59" t="s">
        <v>187</v>
      </c>
      <c r="H26" s="60">
        <v>45985</v>
      </c>
      <c r="I26" s="60">
        <v>46356</v>
      </c>
      <c r="J26" s="84">
        <f>MAX(SUMMARY!$C$6,IF(H26="",IF(L26&lt;=SUMMARY!$C$6+5,SUMMARY!$C$6,L26),H26))</f>
        <v>46174</v>
      </c>
      <c r="K26" s="84">
        <f>MIN(SUMMARY!$C$7,IF(I26="",IF(M26&gt;=SUMMARY!$C$7-5,SUMMARY!$C$7,M26),I26))</f>
        <v>46295</v>
      </c>
      <c r="L26" s="84">
        <f>IFERROR(INDEX(ABSEN!$H$2:$H$4094,MATCH($C26,ABSEN!$B$2:$B$4094,0)),"")</f>
        <v>46175</v>
      </c>
      <c r="M26" s="84">
        <f>IFERROR(INDEX(ABSEN!$H$2:$H$4094,MATCH($C26,ABSEN!$B$2:$B$4094,0)+COUNTIF(ABSEN!$B$2:$B$4094,$C26)-1),"")</f>
        <v>46295</v>
      </c>
      <c r="N26" s="59" t="str">
        <f>IF(J26&gt;K26,"Tidak aktif dlm periode",IF(AND(J26=SUMMARY!$C$6,K26=SUMMARY!$C$7),"Aktif sepanjang periode",IF(J26&gt;SUMMARY!$C$6,"Masuk "&amp;TEXT(J26,"dd-mm-yyyy"),"")&amp;IF(AND(J26&gt;SUMMARY!$C$6,K26&lt;SUMMARY!$C$7)," · ","")&amp;IF(K26&lt;SUMMARY!$C$7,"Selesai "&amp;TEXT(K26,"dd-mm-yyyy"),"")))</f>
        <v>Aktif sepanjang periode</v>
      </c>
    </row>
    <row r="27" spans="1:14" x14ac:dyDescent="0.2">
      <c r="A27" s="59">
        <v>25</v>
      </c>
      <c r="B27" s="59" t="s">
        <v>252</v>
      </c>
      <c r="C27" s="59" t="s">
        <v>253</v>
      </c>
      <c r="D27" s="59" t="s">
        <v>251</v>
      </c>
      <c r="E27" s="59" t="s">
        <v>186</v>
      </c>
      <c r="F27" s="59" t="s">
        <v>42</v>
      </c>
      <c r="G27" s="59" t="s">
        <v>187</v>
      </c>
      <c r="H27" s="60">
        <v>46204</v>
      </c>
      <c r="I27" s="60">
        <v>46295</v>
      </c>
      <c r="J27" s="84">
        <f>MAX(SUMMARY!$C$6,IF(H27="",IF(L27&lt;=SUMMARY!$C$6+5,SUMMARY!$C$6,L27),H27))</f>
        <v>46204</v>
      </c>
      <c r="K27" s="84">
        <f>MIN(SUMMARY!$C$7,IF(I27="",IF(M27&gt;=SUMMARY!$C$7-5,SUMMARY!$C$7,M27),I27))</f>
        <v>46295</v>
      </c>
      <c r="L27" s="84">
        <f>IFERROR(INDEX(ABSEN!$H$2:$H$4094,MATCH($C27,ABSEN!$B$2:$B$4094,0)),"")</f>
        <v>46205</v>
      </c>
      <c r="M27" s="84">
        <f>IFERROR(INDEX(ABSEN!$H$2:$H$4094,MATCH($C27,ABSEN!$B$2:$B$4094,0)+COUNTIF(ABSEN!$B$2:$B$4094,$C27)-1),"")</f>
        <v>46295</v>
      </c>
      <c r="N27" s="59" t="str">
        <f>IF(J27&gt;K27,"Tidak aktif dlm periode",IF(AND(J27=SUMMARY!$C$6,K27=SUMMARY!$C$7),"Aktif sepanjang periode",IF(J27&gt;SUMMARY!$C$6,"Masuk "&amp;TEXT(J27,"dd-mm-yyyy"),"")&amp;IF(AND(J27&gt;SUMMARY!$C$6,K27&lt;SUMMARY!$C$7)," · ","")&amp;IF(K27&lt;SUMMARY!$C$7,"Selesai "&amp;TEXT(K27,"dd-mm-yyyy"),"")))</f>
        <v>Masuk 01-07-2026</v>
      </c>
    </row>
    <row r="28" spans="1:14" x14ac:dyDescent="0.2">
      <c r="A28" s="59">
        <v>26</v>
      </c>
      <c r="B28" s="59" t="s">
        <v>254</v>
      </c>
      <c r="C28" s="59" t="s">
        <v>255</v>
      </c>
      <c r="D28" s="59" t="s">
        <v>256</v>
      </c>
      <c r="E28" s="59" t="s">
        <v>186</v>
      </c>
      <c r="F28" s="59" t="s">
        <v>53</v>
      </c>
      <c r="G28" s="59" t="s">
        <v>187</v>
      </c>
      <c r="H28" s="60">
        <v>46195</v>
      </c>
      <c r="I28" s="60">
        <v>46256</v>
      </c>
      <c r="J28" s="84">
        <f>MAX(SUMMARY!$C$6,IF(H28="",IF(L28&lt;=SUMMARY!$C$6+5,SUMMARY!$C$6,L28),H28))</f>
        <v>46195</v>
      </c>
      <c r="K28" s="84">
        <f>MIN(SUMMARY!$C$7,IF(I28="",IF(M28&gt;=SUMMARY!$C$7-5,SUMMARY!$C$7,M28),I28))</f>
        <v>46256</v>
      </c>
      <c r="L28" s="84">
        <f>IFERROR(INDEX(ABSEN!$H$2:$H$4094,MATCH($C28,ABSEN!$B$2:$B$4094,0)),"")</f>
        <v>46195</v>
      </c>
      <c r="M28" s="84">
        <f>IFERROR(INDEX(ABSEN!$H$2:$H$4094,MATCH($C28,ABSEN!$B$2:$B$4094,0)+COUNTIF(ABSEN!$B$2:$B$4094,$C28)-1),"")</f>
        <v>46255</v>
      </c>
      <c r="N28" s="59" t="str">
        <f>IF(J28&gt;K28,"Tidak aktif dlm periode",IF(AND(J28=SUMMARY!$C$6,K28=SUMMARY!$C$7),"Aktif sepanjang periode",IF(J28&gt;SUMMARY!$C$6,"Masuk "&amp;TEXT(J28,"dd-mm-yyyy"),"")&amp;IF(AND(J28&gt;SUMMARY!$C$6,K28&lt;SUMMARY!$C$7)," · ","")&amp;IF(K28&lt;SUMMARY!$C$7,"Selesai "&amp;TEXT(K28,"dd-mm-yyyy"),"")))</f>
        <v>Masuk 22-06-2026 · Selesai 22-08-2026</v>
      </c>
    </row>
    <row r="29" spans="1:14" x14ac:dyDescent="0.2">
      <c r="A29" s="59">
        <v>27</v>
      </c>
      <c r="B29" s="59" t="s">
        <v>257</v>
      </c>
      <c r="C29" s="59" t="s">
        <v>258</v>
      </c>
      <c r="D29" s="59" t="s">
        <v>259</v>
      </c>
      <c r="E29" s="59" t="s">
        <v>186</v>
      </c>
      <c r="F29" s="59" t="s">
        <v>55</v>
      </c>
      <c r="G29" s="59" t="s">
        <v>187</v>
      </c>
      <c r="H29" s="60">
        <v>45979</v>
      </c>
      <c r="I29" s="60">
        <v>46295</v>
      </c>
      <c r="J29" s="84">
        <f>MAX(SUMMARY!$C$6,IF(H29="",IF(L29&lt;=SUMMARY!$C$6+5,SUMMARY!$C$6,L29),H29))</f>
        <v>46174</v>
      </c>
      <c r="K29" s="84">
        <f>MIN(SUMMARY!$C$7,IF(I29="",IF(M29&gt;=SUMMARY!$C$7-5,SUMMARY!$C$7,M29),I29))</f>
        <v>46295</v>
      </c>
      <c r="L29" s="84">
        <f>IFERROR(INDEX(ABSEN!$H$2:$H$4094,MATCH($C29,ABSEN!$B$2:$B$4094,0)),"")</f>
        <v>46175</v>
      </c>
      <c r="M29" s="84">
        <f>IFERROR(INDEX(ABSEN!$H$2:$H$4094,MATCH($C29,ABSEN!$B$2:$B$4094,0)+COUNTIF(ABSEN!$B$2:$B$4094,$C29)-1),"")</f>
        <v>46290</v>
      </c>
      <c r="N29" s="59" t="str">
        <f>IF(J29&gt;K29,"Tidak aktif dlm periode",IF(AND(J29=SUMMARY!$C$6,K29=SUMMARY!$C$7),"Aktif sepanjang periode",IF(J29&gt;SUMMARY!$C$6,"Masuk "&amp;TEXT(J29,"dd-mm-yyyy"),"")&amp;IF(AND(J29&gt;SUMMARY!$C$6,K29&lt;SUMMARY!$C$7)," · ","")&amp;IF(K29&lt;SUMMARY!$C$7,"Selesai "&amp;TEXT(K29,"dd-mm-yyyy"),"")))</f>
        <v>Aktif sepanjang periode</v>
      </c>
    </row>
    <row r="30" spans="1:14" x14ac:dyDescent="0.2">
      <c r="A30" s="59">
        <v>28</v>
      </c>
      <c r="B30" s="59" t="s">
        <v>260</v>
      </c>
      <c r="C30" s="59" t="s">
        <v>261</v>
      </c>
      <c r="D30" s="59" t="s">
        <v>259</v>
      </c>
      <c r="E30" s="59" t="s">
        <v>186</v>
      </c>
      <c r="F30" s="59" t="s">
        <v>55</v>
      </c>
      <c r="G30" s="59" t="s">
        <v>187</v>
      </c>
      <c r="H30" s="60">
        <v>45971</v>
      </c>
      <c r="I30" s="60">
        <v>46203</v>
      </c>
      <c r="J30" s="84">
        <f>MAX(SUMMARY!$C$6,IF(H30="",IF(L30&lt;=SUMMARY!$C$6+5,SUMMARY!$C$6,L30),H30))</f>
        <v>46174</v>
      </c>
      <c r="K30" s="84">
        <f>MIN(SUMMARY!$C$7,IF(I30="",IF(M30&gt;=SUMMARY!$C$7-5,SUMMARY!$C$7,M30),I30))</f>
        <v>46203</v>
      </c>
      <c r="L30" s="84">
        <f>IFERROR(INDEX(ABSEN!$H$2:$H$4094,MATCH($C30,ABSEN!$B$2:$B$4094,0)),"")</f>
        <v>46175</v>
      </c>
      <c r="M30" s="84">
        <f>IFERROR(INDEX(ABSEN!$H$2:$H$4094,MATCH($C30,ABSEN!$B$2:$B$4094,0)+COUNTIF(ABSEN!$B$2:$B$4094,$C30)-1),"")</f>
        <v>46205</v>
      </c>
      <c r="N30" s="59" t="str">
        <f>IF(J30&gt;K30,"Tidak aktif dlm periode",IF(AND(J30=SUMMARY!$C$6,K30=SUMMARY!$C$7),"Aktif sepanjang periode",IF(J30&gt;SUMMARY!$C$6,"Masuk "&amp;TEXT(J30,"dd-mm-yyyy"),"")&amp;IF(AND(J30&gt;SUMMARY!$C$6,K30&lt;SUMMARY!$C$7)," · ","")&amp;IF(K30&lt;SUMMARY!$C$7,"Selesai "&amp;TEXT(K30,"dd-mm-yyyy"),"")))</f>
        <v>Selesai 30-06-2026</v>
      </c>
    </row>
    <row r="31" spans="1:14" x14ac:dyDescent="0.2">
      <c r="A31" s="59">
        <v>29</v>
      </c>
      <c r="B31" s="59" t="s">
        <v>262</v>
      </c>
      <c r="C31" s="59" t="s">
        <v>263</v>
      </c>
      <c r="D31" s="59" t="s">
        <v>259</v>
      </c>
      <c r="E31" s="59" t="s">
        <v>186</v>
      </c>
      <c r="F31" s="59" t="s">
        <v>55</v>
      </c>
      <c r="G31" s="59" t="s">
        <v>187</v>
      </c>
      <c r="H31" s="60">
        <v>46177</v>
      </c>
      <c r="I31" s="60">
        <v>46279</v>
      </c>
      <c r="J31" s="84">
        <f>MAX(SUMMARY!$C$6,IF(H31="",IF(L31&lt;=SUMMARY!$C$6+5,SUMMARY!$C$6,L31),H31))</f>
        <v>46177</v>
      </c>
      <c r="K31" s="84">
        <f>MIN(SUMMARY!$C$7,IF(I31="",IF(M31&gt;=SUMMARY!$C$7-5,SUMMARY!$C$7,M31),I31))</f>
        <v>46279</v>
      </c>
      <c r="L31" s="84">
        <f>IFERROR(INDEX(ABSEN!$H$2:$H$4094,MATCH($C31,ABSEN!$B$2:$B$4094,0)),"")</f>
        <v>46178</v>
      </c>
      <c r="M31" s="84">
        <f>IFERROR(INDEX(ABSEN!$H$2:$H$4094,MATCH($C31,ABSEN!$B$2:$B$4094,0)+COUNTIF(ABSEN!$B$2:$B$4094,$C31)-1),"")</f>
        <v>46280</v>
      </c>
      <c r="N31" s="59" t="str">
        <f>IF(J31&gt;K31,"Tidak aktif dlm periode",IF(AND(J31=SUMMARY!$C$6,K31=SUMMARY!$C$7),"Aktif sepanjang periode",IF(J31&gt;SUMMARY!$C$6,"Masuk "&amp;TEXT(J31,"dd-mm-yyyy"),"")&amp;IF(AND(J31&gt;SUMMARY!$C$6,K31&lt;SUMMARY!$C$7)," · ","")&amp;IF(K31&lt;SUMMARY!$C$7,"Selesai "&amp;TEXT(K31,"dd-mm-yyyy"),"")))</f>
        <v>Masuk 04-06-2026 · Selesai 14-09-2026</v>
      </c>
    </row>
    <row r="32" spans="1:14" x14ac:dyDescent="0.2">
      <c r="A32" s="59">
        <v>30</v>
      </c>
      <c r="B32" s="59" t="s">
        <v>264</v>
      </c>
      <c r="C32" s="59" t="s">
        <v>265</v>
      </c>
      <c r="D32" s="59" t="s">
        <v>259</v>
      </c>
      <c r="E32" s="59" t="s">
        <v>186</v>
      </c>
      <c r="F32" s="59" t="s">
        <v>55</v>
      </c>
      <c r="G32" s="59" t="s">
        <v>187</v>
      </c>
      <c r="H32" s="60">
        <v>46279</v>
      </c>
      <c r="I32" s="60">
        <v>46460</v>
      </c>
      <c r="J32" s="84">
        <f>MAX(SUMMARY!$C$6,IF(H32="",IF(L32&lt;=SUMMARY!$C$6+5,SUMMARY!$C$6,L32),H32))</f>
        <v>46279</v>
      </c>
      <c r="K32" s="84">
        <f>MIN(SUMMARY!$C$7,IF(I32="",IF(M32&gt;=SUMMARY!$C$7-5,SUMMARY!$C$7,M32),I32))</f>
        <v>46295</v>
      </c>
      <c r="L32" s="84">
        <f>IFERROR(INDEX(ABSEN!$H$2:$H$4094,MATCH($C32,ABSEN!$B$2:$B$4094,0)),"")</f>
        <v>46279</v>
      </c>
      <c r="M32" s="84">
        <f>IFERROR(INDEX(ABSEN!$H$2:$H$4094,MATCH($C32,ABSEN!$B$2:$B$4094,0)+COUNTIF(ABSEN!$B$2:$B$4094,$C32)-1),"")</f>
        <v>46295</v>
      </c>
      <c r="N32" s="59" t="str">
        <f>IF(J32&gt;K32,"Tidak aktif dlm periode",IF(AND(J32=SUMMARY!$C$6,K32=SUMMARY!$C$7),"Aktif sepanjang periode",IF(J32&gt;SUMMARY!$C$6,"Masuk "&amp;TEXT(J32,"dd-mm-yyyy"),"")&amp;IF(AND(J32&gt;SUMMARY!$C$6,K32&lt;SUMMARY!$C$7)," · ","")&amp;IF(K32&lt;SUMMARY!$C$7,"Selesai "&amp;TEXT(K32,"dd-mm-yyyy"),"")))</f>
        <v>Masuk 14-09-2026</v>
      </c>
    </row>
    <row r="33" spans="1:14" x14ac:dyDescent="0.2">
      <c r="A33" s="59">
        <v>31</v>
      </c>
      <c r="B33" s="59" t="s">
        <v>266</v>
      </c>
      <c r="C33" s="59" t="s">
        <v>267</v>
      </c>
      <c r="D33" s="59" t="s">
        <v>268</v>
      </c>
      <c r="E33" s="59" t="s">
        <v>186</v>
      </c>
      <c r="F33" s="59" t="s">
        <v>51</v>
      </c>
      <c r="G33" s="59" t="s">
        <v>187</v>
      </c>
      <c r="H33" s="60">
        <v>46279</v>
      </c>
      <c r="I33" s="60">
        <v>46387</v>
      </c>
      <c r="J33" s="84">
        <f>MAX(SUMMARY!$C$6,IF(H33="",IF(L33&lt;=SUMMARY!$C$6+5,SUMMARY!$C$6,L33),H33))</f>
        <v>46279</v>
      </c>
      <c r="K33" s="84">
        <f>MIN(SUMMARY!$C$7,IF(I33="",IF(M33&gt;=SUMMARY!$C$7-5,SUMMARY!$C$7,M33),I33))</f>
        <v>46295</v>
      </c>
      <c r="L33" s="84">
        <f>IFERROR(INDEX(ABSEN!$H$2:$H$4094,MATCH($C33,ABSEN!$B$2:$B$4094,0)),"")</f>
        <v>46280</v>
      </c>
      <c r="M33" s="84">
        <f>IFERROR(INDEX(ABSEN!$H$2:$H$4094,MATCH($C33,ABSEN!$B$2:$B$4094,0)+COUNTIF(ABSEN!$B$2:$B$4094,$C33)-1),"")</f>
        <v>46295</v>
      </c>
      <c r="N33" s="59" t="str">
        <f>IF(J33&gt;K33,"Tidak aktif dlm periode",IF(AND(J33=SUMMARY!$C$6,K33=SUMMARY!$C$7),"Aktif sepanjang periode",IF(J33&gt;SUMMARY!$C$6,"Masuk "&amp;TEXT(J33,"dd-mm-yyyy"),"")&amp;IF(AND(J33&gt;SUMMARY!$C$6,K33&lt;SUMMARY!$C$7)," · ","")&amp;IF(K33&lt;SUMMARY!$C$7,"Selesai "&amp;TEXT(K33,"dd-mm-yyyy"),"")))</f>
        <v>Masuk 14-09-2026</v>
      </c>
    </row>
    <row r="34" spans="1:14" x14ac:dyDescent="0.2">
      <c r="A34" s="59">
        <v>32</v>
      </c>
      <c r="B34" s="59" t="s">
        <v>269</v>
      </c>
      <c r="C34" s="59" t="s">
        <v>270</v>
      </c>
      <c r="D34" s="59" t="s">
        <v>271</v>
      </c>
      <c r="E34" s="59" t="s">
        <v>241</v>
      </c>
      <c r="F34" s="59" t="s">
        <v>49</v>
      </c>
      <c r="G34" s="59" t="s">
        <v>187</v>
      </c>
      <c r="H34" s="60"/>
      <c r="I34" s="60"/>
      <c r="J34" s="84">
        <f>MAX(SUMMARY!$C$6,IF(H34="",IF(L34&lt;=SUMMARY!$C$6+5,SUMMARY!$C$6,L34),H34))</f>
        <v>46287</v>
      </c>
      <c r="K34" s="84">
        <f>MIN(SUMMARY!$C$7,IF(I34="",IF(M34&gt;=SUMMARY!$C$7-5,SUMMARY!$C$7,M34),I34))</f>
        <v>46295</v>
      </c>
      <c r="L34" s="84">
        <f>IFERROR(INDEX(ABSEN!$H$2:$H$4094,MATCH($C34,ABSEN!$B$2:$B$4094,0)),"")</f>
        <v>46287</v>
      </c>
      <c r="M34" s="84">
        <f>IFERROR(INDEX(ABSEN!$H$2:$H$4094,MATCH($C34,ABSEN!$B$2:$B$4094,0)+COUNTIF(ABSEN!$B$2:$B$4094,$C34)-1),"")</f>
        <v>46295</v>
      </c>
      <c r="N34" s="59" t="str">
        <f>IF(J34&gt;K34,"Tidak aktif dlm periode",IF(AND(J34=SUMMARY!$C$6,K34=SUMMARY!$C$7),"Aktif sepanjang periode",IF(J34&gt;SUMMARY!$C$6,"Masuk "&amp;TEXT(J34,"dd-mm-yyyy"),"")&amp;IF(AND(J34&gt;SUMMARY!$C$6,K34&lt;SUMMARY!$C$7)," · ","")&amp;IF(K34&lt;SUMMARY!$C$7,"Selesai "&amp;TEXT(K34,"dd-mm-yyyy"),"")))</f>
        <v>Masuk 22-09-2026</v>
      </c>
    </row>
    <row r="35" spans="1:14" x14ac:dyDescent="0.2">
      <c r="A35" s="59">
        <v>33</v>
      </c>
      <c r="B35" s="59" t="s">
        <v>272</v>
      </c>
      <c r="C35" s="59" t="s">
        <v>273</v>
      </c>
      <c r="D35" s="59" t="s">
        <v>274</v>
      </c>
      <c r="E35" s="59" t="s">
        <v>195</v>
      </c>
      <c r="F35" s="59" t="s">
        <v>55</v>
      </c>
      <c r="G35" s="59" t="s">
        <v>187</v>
      </c>
      <c r="H35" s="60">
        <v>46007</v>
      </c>
      <c r="I35" s="60">
        <v>46387</v>
      </c>
      <c r="J35" s="84">
        <f>MAX(SUMMARY!$C$6,IF(H35="",IF(L35&lt;=SUMMARY!$C$6+5,SUMMARY!$C$6,L35),H35))</f>
        <v>46174</v>
      </c>
      <c r="K35" s="84">
        <f>MIN(SUMMARY!$C$7,IF(I35="",IF(M35&gt;=SUMMARY!$C$7-5,SUMMARY!$C$7,M35),I35))</f>
        <v>46295</v>
      </c>
      <c r="L35" s="84">
        <f>IFERROR(INDEX(ABSEN!$H$2:$H$4094,MATCH($C35,ABSEN!$B$2:$B$4094,0)),"")</f>
        <v>46175</v>
      </c>
      <c r="M35" s="84">
        <f>IFERROR(INDEX(ABSEN!$H$2:$H$4094,MATCH($C35,ABSEN!$B$2:$B$4094,0)+COUNTIF(ABSEN!$B$2:$B$4094,$C35)-1),"")</f>
        <v>46295</v>
      </c>
      <c r="N35" s="59" t="str">
        <f>IF(J35&gt;K35,"Tidak aktif dlm periode",IF(AND(J35=SUMMARY!$C$6,K35=SUMMARY!$C$7),"Aktif sepanjang periode",IF(J35&gt;SUMMARY!$C$6,"Masuk "&amp;TEXT(J35,"dd-mm-yyyy"),"")&amp;IF(AND(J35&gt;SUMMARY!$C$6,K35&lt;SUMMARY!$C$7)," · ","")&amp;IF(K35&lt;SUMMARY!$C$7,"Selesai "&amp;TEXT(K35,"dd-mm-yyyy"),"")))</f>
        <v>Aktif sepanjang periode</v>
      </c>
    </row>
    <row r="36" spans="1:14" x14ac:dyDescent="0.2">
      <c r="A36" s="59">
        <v>34</v>
      </c>
      <c r="B36" s="59" t="s">
        <v>275</v>
      </c>
      <c r="C36" s="59" t="s">
        <v>276</v>
      </c>
      <c r="D36" s="59" t="s">
        <v>277</v>
      </c>
      <c r="E36" s="59" t="s">
        <v>190</v>
      </c>
      <c r="F36" s="59" t="s">
        <v>41</v>
      </c>
      <c r="G36" s="59" t="s">
        <v>187</v>
      </c>
      <c r="H36" s="60">
        <v>46244</v>
      </c>
      <c r="I36" s="60">
        <v>46427</v>
      </c>
      <c r="J36" s="84">
        <f>MAX(SUMMARY!$C$6,IF(H36="",IF(L36&lt;=SUMMARY!$C$6+5,SUMMARY!$C$6,L36),H36))</f>
        <v>46244</v>
      </c>
      <c r="K36" s="84">
        <f>MIN(SUMMARY!$C$7,IF(I36="",IF(M36&gt;=SUMMARY!$C$7-5,SUMMARY!$C$7,M36),I36))</f>
        <v>46295</v>
      </c>
      <c r="L36" s="84">
        <f>IFERROR(INDEX(ABSEN!$H$2:$H$4094,MATCH($C36,ABSEN!$B$2:$B$4094,0)),"")</f>
        <v>46244</v>
      </c>
      <c r="M36" s="84">
        <f>IFERROR(INDEX(ABSEN!$H$2:$H$4094,MATCH($C36,ABSEN!$B$2:$B$4094,0)+COUNTIF(ABSEN!$B$2:$B$4094,$C36)-1),"")</f>
        <v>46295</v>
      </c>
      <c r="N36" s="59" t="str">
        <f>IF(J36&gt;K36,"Tidak aktif dlm periode",IF(AND(J36=SUMMARY!$C$6,K36=SUMMARY!$C$7),"Aktif sepanjang periode",IF(J36&gt;SUMMARY!$C$6,"Masuk "&amp;TEXT(J36,"dd-mm-yyyy"),"")&amp;IF(AND(J36&gt;SUMMARY!$C$6,K36&lt;SUMMARY!$C$7)," · ","")&amp;IF(K36&lt;SUMMARY!$C$7,"Selesai "&amp;TEXT(K36,"dd-mm-yyyy"),"")))</f>
        <v>Masuk 10-08-2026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97D"/>
  </sheetPr>
  <dimension ref="A1:W4094"/>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1.25" x14ac:dyDescent="0.2"/>
  <cols>
    <col min="1" max="1" width="14" style="56" customWidth="1"/>
    <col min="2" max="2" width="30" style="56" customWidth="1"/>
    <col min="3" max="3" width="12" style="56" customWidth="1"/>
    <col min="4" max="4" width="26" style="56" customWidth="1"/>
    <col min="5" max="5" width="30" style="56" customWidth="1"/>
    <col min="6" max="6" width="9" style="56" customWidth="1"/>
    <col min="7" max="7" width="17" style="56" customWidth="1"/>
    <col min="8" max="8" width="12" style="56" customWidth="1"/>
    <col min="9" max="9" width="8" style="56" customWidth="1"/>
    <col min="10" max="10" width="7" style="56" customWidth="1"/>
    <col min="11" max="11" width="12" style="56" customWidth="1"/>
    <col min="12" max="12" width="7" style="56" customWidth="1"/>
    <col min="13" max="13" width="16" style="56" customWidth="1"/>
    <col min="14" max="14" width="8" style="56" customWidth="1"/>
    <col min="15" max="19" width="9" style="56" customWidth="1"/>
    <col min="20" max="23" width="10" style="56" customWidth="1"/>
    <col min="24" max="16384" width="8.7109375" style="56"/>
  </cols>
  <sheetData>
    <row r="1" spans="1:23" ht="36" customHeight="1" x14ac:dyDescent="0.2">
      <c r="A1" s="73" t="s">
        <v>278</v>
      </c>
      <c r="B1" s="73" t="s">
        <v>279</v>
      </c>
      <c r="C1" s="73" t="s">
        <v>280</v>
      </c>
      <c r="D1" s="73" t="s">
        <v>281</v>
      </c>
      <c r="E1" s="73" t="s">
        <v>282</v>
      </c>
      <c r="F1" s="73" t="s">
        <v>283</v>
      </c>
      <c r="G1" s="73" t="s">
        <v>284</v>
      </c>
      <c r="H1" s="73" t="s">
        <v>285</v>
      </c>
      <c r="I1" s="73" t="s">
        <v>286</v>
      </c>
      <c r="J1" s="73" t="s">
        <v>287</v>
      </c>
      <c r="K1" s="73" t="s">
        <v>288</v>
      </c>
      <c r="L1" s="87" t="s">
        <v>148</v>
      </c>
      <c r="M1" s="87" t="s">
        <v>168</v>
      </c>
      <c r="N1" s="87" t="s">
        <v>289</v>
      </c>
      <c r="O1" s="87" t="s">
        <v>290</v>
      </c>
      <c r="P1" s="87" t="s">
        <v>291</v>
      </c>
      <c r="Q1" s="87" t="s">
        <v>292</v>
      </c>
      <c r="R1" s="87" t="s">
        <v>293</v>
      </c>
      <c r="S1" s="87" t="s">
        <v>294</v>
      </c>
      <c r="T1" s="87" t="s">
        <v>9</v>
      </c>
      <c r="U1" s="87" t="s">
        <v>295</v>
      </c>
      <c r="V1" s="87" t="s">
        <v>296</v>
      </c>
      <c r="W1" s="87" t="s">
        <v>297</v>
      </c>
    </row>
    <row r="2" spans="1:23" x14ac:dyDescent="0.2">
      <c r="A2" s="71" t="s">
        <v>222</v>
      </c>
      <c r="B2" s="71" t="s">
        <v>223</v>
      </c>
      <c r="C2" s="71" t="s">
        <v>187</v>
      </c>
      <c r="D2" s="71" t="s">
        <v>224</v>
      </c>
      <c r="E2" s="71" t="s">
        <v>52</v>
      </c>
      <c r="F2" s="71" t="s">
        <v>298</v>
      </c>
      <c r="G2" s="88">
        <v>46244.494490740697</v>
      </c>
      <c r="H2" s="89">
        <v>46244</v>
      </c>
      <c r="I2" s="71" t="s">
        <v>299</v>
      </c>
      <c r="J2" s="71">
        <v>262</v>
      </c>
      <c r="K2" s="71" t="s">
        <v>293</v>
      </c>
      <c r="L2" s="71">
        <f t="shared" ref="L2:L65" si="0">MONTH(H2)</f>
        <v>8</v>
      </c>
      <c r="M2" s="71" t="str">
        <f>IFERROR(INDEX(KALENDER!$D$3:$D$132,MATCH(H2,KALENDER!$A$3:$A$132,0)),"Di luar periode")</f>
        <v>Hari Kerja</v>
      </c>
      <c r="N2" s="71">
        <f t="shared" ref="N2:N65" si="1">IF(AND(B2=B1,H2=H1),0,1)</f>
        <v>1</v>
      </c>
      <c r="O2" s="71">
        <f t="shared" ref="O2:O65" si="2">IF(N2=1,0,O1)+IF(F2="MASUK",1,0)</f>
        <v>1</v>
      </c>
      <c r="P2" s="71">
        <f t="shared" ref="P2:P65" si="3">IF(AND(N2=1,M2="Hari Kerja",V2=1),1,0)</f>
        <v>1</v>
      </c>
      <c r="Q2" s="71">
        <f t="shared" ref="Q2:Q65" si="4">IF(AND(N2=1,OR(M2&lt;&gt;"Hari Kerja",V2=0)),1,0)</f>
        <v>0</v>
      </c>
      <c r="R2" s="71">
        <f t="shared" ref="R2:R65" si="5">IF(AND(F2="MASUK",O2=1,N(J2)&gt;0,V2=1),1,0)</f>
        <v>1</v>
      </c>
      <c r="S2" s="71">
        <f t="shared" ref="S2:S65" si="6">R2*N(J2)</f>
        <v>262</v>
      </c>
      <c r="T2" s="71">
        <f t="shared" ref="T2:T65" si="7">IF(AND(N2=1,V2=1),IF(AND(COUNTIFS($B$2:$B$4094,B2,$H$2:$H$4094,H2,$F$2:$F$4094,"MASUK")&gt;0,COUNTIFS($B$2:$B$4094,B2,$H$2:$H$4094,H2,$F$2:$F$4094,"PULANG")=0),1,0),0)</f>
        <v>0</v>
      </c>
      <c r="U2" s="71">
        <f>IF(AND(N2=1,V2=1),IF(COUNTIFS(AKTIVITAS!$B$2:$B$3052,B2,AKTIVITAS!$E$2:$E$3052,H2)&gt;0,1,0),0)</f>
        <v>1</v>
      </c>
      <c r="V2" s="71">
        <f>IFERROR(IF(AND(H2&gt;=INDEX(PEMAGANG!$J$3:$J$36,MATCH(B2,PEMAGANG!$C$3:$C$36,0)),H2&lt;=INDEX(PEMAGANG!$K$3:$K$36,MATCH(B2,PEMAGANG!$C$3:$C$36,0))),1,0),0)</f>
        <v>1</v>
      </c>
      <c r="W2" s="71">
        <f t="shared" ref="W2:W65" si="8">N2*V2</f>
        <v>1</v>
      </c>
    </row>
    <row r="3" spans="1:23" x14ac:dyDescent="0.2">
      <c r="A3" s="71" t="s">
        <v>222</v>
      </c>
      <c r="B3" s="71" t="s">
        <v>223</v>
      </c>
      <c r="C3" s="71" t="s">
        <v>187</v>
      </c>
      <c r="D3" s="71" t="s">
        <v>224</v>
      </c>
      <c r="E3" s="71" t="s">
        <v>52</v>
      </c>
      <c r="F3" s="71" t="s">
        <v>300</v>
      </c>
      <c r="G3" s="88">
        <v>46244.717164351903</v>
      </c>
      <c r="H3" s="89">
        <v>46244</v>
      </c>
      <c r="I3" s="71" t="s">
        <v>301</v>
      </c>
      <c r="J3" s="71">
        <v>0</v>
      </c>
      <c r="K3" s="71" t="s">
        <v>302</v>
      </c>
      <c r="L3" s="71">
        <f t="shared" si="0"/>
        <v>8</v>
      </c>
      <c r="M3" s="71" t="str">
        <f>IFERROR(INDEX(KALENDER!$D$3:$D$132,MATCH(H3,KALENDER!$A$3:$A$132,0)),"Di luar periode")</f>
        <v>Hari Kerja</v>
      </c>
      <c r="N3" s="71">
        <f t="shared" si="1"/>
        <v>0</v>
      </c>
      <c r="O3" s="71">
        <f t="shared" si="2"/>
        <v>1</v>
      </c>
      <c r="P3" s="71">
        <f t="shared" si="3"/>
        <v>0</v>
      </c>
      <c r="Q3" s="71">
        <f t="shared" si="4"/>
        <v>0</v>
      </c>
      <c r="R3" s="71">
        <f t="shared" si="5"/>
        <v>0</v>
      </c>
      <c r="S3" s="71">
        <f t="shared" si="6"/>
        <v>0</v>
      </c>
      <c r="T3" s="71">
        <f t="shared" si="7"/>
        <v>0</v>
      </c>
      <c r="U3" s="71">
        <f>IF(AND(N3=1,V3=1),IF(COUNTIFS(AKTIVITAS!$B$2:$B$3052,B3,AKTIVITAS!$E$2:$E$3052,H3)&gt;0,1,0),0)</f>
        <v>0</v>
      </c>
      <c r="V3" s="71">
        <f>IFERROR(IF(AND(H3&gt;=INDEX(PEMAGANG!$J$3:$J$36,MATCH(B3,PEMAGANG!$C$3:$C$36,0)),H3&lt;=INDEX(PEMAGANG!$K$3:$K$36,MATCH(B3,PEMAGANG!$C$3:$C$36,0))),1,0),0)</f>
        <v>1</v>
      </c>
      <c r="W3" s="71">
        <f t="shared" si="8"/>
        <v>0</v>
      </c>
    </row>
    <row r="4" spans="1:23" x14ac:dyDescent="0.2">
      <c r="A4" s="71" t="s">
        <v>222</v>
      </c>
      <c r="B4" s="71" t="s">
        <v>223</v>
      </c>
      <c r="C4" s="71" t="s">
        <v>187</v>
      </c>
      <c r="D4" s="71" t="s">
        <v>224</v>
      </c>
      <c r="E4" s="71" t="s">
        <v>52</v>
      </c>
      <c r="F4" s="71" t="s">
        <v>298</v>
      </c>
      <c r="G4" s="88">
        <v>46245.308703703697</v>
      </c>
      <c r="H4" s="89">
        <v>46245</v>
      </c>
      <c r="I4" s="71" t="s">
        <v>303</v>
      </c>
      <c r="J4" s="71">
        <v>-5.9999999999999796</v>
      </c>
      <c r="K4" s="71" t="s">
        <v>302</v>
      </c>
      <c r="L4" s="71">
        <f t="shared" si="0"/>
        <v>8</v>
      </c>
      <c r="M4" s="71" t="str">
        <f>IFERROR(INDEX(KALENDER!$D$3:$D$132,MATCH(H4,KALENDER!$A$3:$A$132,0)),"Di luar periode")</f>
        <v>Hari Kerja</v>
      </c>
      <c r="N4" s="71">
        <f t="shared" si="1"/>
        <v>1</v>
      </c>
      <c r="O4" s="71">
        <f t="shared" si="2"/>
        <v>1</v>
      </c>
      <c r="P4" s="71">
        <f t="shared" si="3"/>
        <v>1</v>
      </c>
      <c r="Q4" s="71">
        <f t="shared" si="4"/>
        <v>0</v>
      </c>
      <c r="R4" s="71">
        <f t="shared" si="5"/>
        <v>0</v>
      </c>
      <c r="S4" s="71">
        <f t="shared" si="6"/>
        <v>0</v>
      </c>
      <c r="T4" s="71">
        <f t="shared" si="7"/>
        <v>0</v>
      </c>
      <c r="U4" s="71">
        <f>IF(AND(N4=1,V4=1),IF(COUNTIFS(AKTIVITAS!$B$2:$B$3052,B4,AKTIVITAS!$E$2:$E$3052,H4)&gt;0,1,0),0)</f>
        <v>1</v>
      </c>
      <c r="V4" s="71">
        <f>IFERROR(IF(AND(H4&gt;=INDEX(PEMAGANG!$J$3:$J$36,MATCH(B4,PEMAGANG!$C$3:$C$36,0)),H4&lt;=INDEX(PEMAGANG!$K$3:$K$36,MATCH(B4,PEMAGANG!$C$3:$C$36,0))),1,0),0)</f>
        <v>1</v>
      </c>
      <c r="W4" s="71">
        <f t="shared" si="8"/>
        <v>1</v>
      </c>
    </row>
    <row r="5" spans="1:23" x14ac:dyDescent="0.2">
      <c r="A5" s="71" t="s">
        <v>222</v>
      </c>
      <c r="B5" s="71" t="s">
        <v>223</v>
      </c>
      <c r="C5" s="71" t="s">
        <v>187</v>
      </c>
      <c r="D5" s="71" t="s">
        <v>224</v>
      </c>
      <c r="E5" s="71" t="s">
        <v>52</v>
      </c>
      <c r="F5" s="71" t="s">
        <v>300</v>
      </c>
      <c r="G5" s="88">
        <v>46245.798796296302</v>
      </c>
      <c r="H5" s="89">
        <v>46245</v>
      </c>
      <c r="I5" s="71" t="s">
        <v>304</v>
      </c>
      <c r="J5" s="71">
        <v>0</v>
      </c>
      <c r="K5" s="71" t="s">
        <v>302</v>
      </c>
      <c r="L5" s="71">
        <f t="shared" si="0"/>
        <v>8</v>
      </c>
      <c r="M5" s="71" t="str">
        <f>IFERROR(INDEX(KALENDER!$D$3:$D$132,MATCH(H5,KALENDER!$A$3:$A$132,0)),"Di luar periode")</f>
        <v>Hari Kerja</v>
      </c>
      <c r="N5" s="71">
        <f t="shared" si="1"/>
        <v>0</v>
      </c>
      <c r="O5" s="71">
        <f t="shared" si="2"/>
        <v>1</v>
      </c>
      <c r="P5" s="71">
        <f t="shared" si="3"/>
        <v>0</v>
      </c>
      <c r="Q5" s="71">
        <f t="shared" si="4"/>
        <v>0</v>
      </c>
      <c r="R5" s="71">
        <f t="shared" si="5"/>
        <v>0</v>
      </c>
      <c r="S5" s="71">
        <f t="shared" si="6"/>
        <v>0</v>
      </c>
      <c r="T5" s="71">
        <f t="shared" si="7"/>
        <v>0</v>
      </c>
      <c r="U5" s="71">
        <f>IF(AND(N5=1,V5=1),IF(COUNTIFS(AKTIVITAS!$B$2:$B$3052,B5,AKTIVITAS!$E$2:$E$3052,H5)&gt;0,1,0),0)</f>
        <v>0</v>
      </c>
      <c r="V5" s="71">
        <f>IFERROR(IF(AND(H5&gt;=INDEX(PEMAGANG!$J$3:$J$36,MATCH(B5,PEMAGANG!$C$3:$C$36,0)),H5&lt;=INDEX(PEMAGANG!$K$3:$K$36,MATCH(B5,PEMAGANG!$C$3:$C$36,0))),1,0),0)</f>
        <v>1</v>
      </c>
      <c r="W5" s="71">
        <f t="shared" si="8"/>
        <v>0</v>
      </c>
    </row>
    <row r="6" spans="1:23" x14ac:dyDescent="0.2">
      <c r="A6" s="71" t="s">
        <v>222</v>
      </c>
      <c r="B6" s="71" t="s">
        <v>223</v>
      </c>
      <c r="C6" s="71" t="s">
        <v>187</v>
      </c>
      <c r="D6" s="71" t="s">
        <v>224</v>
      </c>
      <c r="E6" s="71" t="s">
        <v>52</v>
      </c>
      <c r="F6" s="71" t="s">
        <v>298</v>
      </c>
      <c r="G6" s="88">
        <v>46246.306921296302</v>
      </c>
      <c r="H6" s="89">
        <v>46246</v>
      </c>
      <c r="I6" s="71" t="s">
        <v>305</v>
      </c>
      <c r="J6" s="71">
        <v>-9.0000000000000497</v>
      </c>
      <c r="K6" s="71" t="s">
        <v>302</v>
      </c>
      <c r="L6" s="71">
        <f t="shared" si="0"/>
        <v>8</v>
      </c>
      <c r="M6" s="71" t="str">
        <f>IFERROR(INDEX(KALENDER!$D$3:$D$132,MATCH(H6,KALENDER!$A$3:$A$132,0)),"Di luar periode")</f>
        <v>Hari Kerja</v>
      </c>
      <c r="N6" s="71">
        <f t="shared" si="1"/>
        <v>1</v>
      </c>
      <c r="O6" s="71">
        <f t="shared" si="2"/>
        <v>1</v>
      </c>
      <c r="P6" s="71">
        <f t="shared" si="3"/>
        <v>1</v>
      </c>
      <c r="Q6" s="71">
        <f t="shared" si="4"/>
        <v>0</v>
      </c>
      <c r="R6" s="71">
        <f t="shared" si="5"/>
        <v>0</v>
      </c>
      <c r="S6" s="71">
        <f t="shared" si="6"/>
        <v>0</v>
      </c>
      <c r="T6" s="71">
        <f t="shared" si="7"/>
        <v>0</v>
      </c>
      <c r="U6" s="71">
        <f>IF(AND(N6=1,V6=1),IF(COUNTIFS(AKTIVITAS!$B$2:$B$3052,B6,AKTIVITAS!$E$2:$E$3052,H6)&gt;0,1,0),0)</f>
        <v>1</v>
      </c>
      <c r="V6" s="71">
        <f>IFERROR(IF(AND(H6&gt;=INDEX(PEMAGANG!$J$3:$J$36,MATCH(B6,PEMAGANG!$C$3:$C$36,0)),H6&lt;=INDEX(PEMAGANG!$K$3:$K$36,MATCH(B6,PEMAGANG!$C$3:$C$36,0))),1,0),0)</f>
        <v>1</v>
      </c>
      <c r="W6" s="71">
        <f t="shared" si="8"/>
        <v>1</v>
      </c>
    </row>
    <row r="7" spans="1:23" x14ac:dyDescent="0.2">
      <c r="A7" s="71" t="s">
        <v>222</v>
      </c>
      <c r="B7" s="71" t="s">
        <v>223</v>
      </c>
      <c r="C7" s="71" t="s">
        <v>187</v>
      </c>
      <c r="D7" s="71" t="s">
        <v>224</v>
      </c>
      <c r="E7" s="71" t="s">
        <v>52</v>
      </c>
      <c r="F7" s="71" t="s">
        <v>300</v>
      </c>
      <c r="G7" s="88">
        <v>46246.689247685201</v>
      </c>
      <c r="H7" s="89">
        <v>46246</v>
      </c>
      <c r="I7" s="71" t="s">
        <v>306</v>
      </c>
      <c r="J7" s="71">
        <v>0</v>
      </c>
      <c r="K7" s="71" t="s">
        <v>302</v>
      </c>
      <c r="L7" s="71">
        <f t="shared" si="0"/>
        <v>8</v>
      </c>
      <c r="M7" s="71" t="str">
        <f>IFERROR(INDEX(KALENDER!$D$3:$D$132,MATCH(H7,KALENDER!$A$3:$A$132,0)),"Di luar periode")</f>
        <v>Hari Kerja</v>
      </c>
      <c r="N7" s="71">
        <f t="shared" si="1"/>
        <v>0</v>
      </c>
      <c r="O7" s="71">
        <f t="shared" si="2"/>
        <v>1</v>
      </c>
      <c r="P7" s="71">
        <f t="shared" si="3"/>
        <v>0</v>
      </c>
      <c r="Q7" s="71">
        <f t="shared" si="4"/>
        <v>0</v>
      </c>
      <c r="R7" s="71">
        <f t="shared" si="5"/>
        <v>0</v>
      </c>
      <c r="S7" s="71">
        <f t="shared" si="6"/>
        <v>0</v>
      </c>
      <c r="T7" s="71">
        <f t="shared" si="7"/>
        <v>0</v>
      </c>
      <c r="U7" s="71">
        <f>IF(AND(N7=1,V7=1),IF(COUNTIFS(AKTIVITAS!$B$2:$B$3052,B7,AKTIVITAS!$E$2:$E$3052,H7)&gt;0,1,0),0)</f>
        <v>0</v>
      </c>
      <c r="V7" s="71">
        <f>IFERROR(IF(AND(H7&gt;=INDEX(PEMAGANG!$J$3:$J$36,MATCH(B7,PEMAGANG!$C$3:$C$36,0)),H7&lt;=INDEX(PEMAGANG!$K$3:$K$36,MATCH(B7,PEMAGANG!$C$3:$C$36,0))),1,0),0)</f>
        <v>1</v>
      </c>
      <c r="W7" s="71">
        <f t="shared" si="8"/>
        <v>0</v>
      </c>
    </row>
    <row r="8" spans="1:23" x14ac:dyDescent="0.2">
      <c r="A8" s="71" t="s">
        <v>222</v>
      </c>
      <c r="B8" s="71" t="s">
        <v>223</v>
      </c>
      <c r="C8" s="71" t="s">
        <v>187</v>
      </c>
      <c r="D8" s="71" t="s">
        <v>224</v>
      </c>
      <c r="E8" s="71" t="s">
        <v>52</v>
      </c>
      <c r="F8" s="71" t="s">
        <v>298</v>
      </c>
      <c r="G8" s="88">
        <v>46247.309027777803</v>
      </c>
      <c r="H8" s="89">
        <v>46247</v>
      </c>
      <c r="I8" s="71" t="s">
        <v>307</v>
      </c>
      <c r="J8" s="71">
        <v>-4.9999999999999796</v>
      </c>
      <c r="K8" s="71" t="s">
        <v>302</v>
      </c>
      <c r="L8" s="71">
        <f t="shared" si="0"/>
        <v>8</v>
      </c>
      <c r="M8" s="71" t="str">
        <f>IFERROR(INDEX(KALENDER!$D$3:$D$132,MATCH(H8,KALENDER!$A$3:$A$132,0)),"Di luar periode")</f>
        <v>Hari Kerja</v>
      </c>
      <c r="N8" s="71">
        <f t="shared" si="1"/>
        <v>1</v>
      </c>
      <c r="O8" s="71">
        <f t="shared" si="2"/>
        <v>1</v>
      </c>
      <c r="P8" s="71">
        <f t="shared" si="3"/>
        <v>1</v>
      </c>
      <c r="Q8" s="71">
        <f t="shared" si="4"/>
        <v>0</v>
      </c>
      <c r="R8" s="71">
        <f t="shared" si="5"/>
        <v>0</v>
      </c>
      <c r="S8" s="71">
        <f t="shared" si="6"/>
        <v>0</v>
      </c>
      <c r="T8" s="71">
        <f t="shared" si="7"/>
        <v>0</v>
      </c>
      <c r="U8" s="71">
        <f>IF(AND(N8=1,V8=1),IF(COUNTIFS(AKTIVITAS!$B$2:$B$3052,B8,AKTIVITAS!$E$2:$E$3052,H8)&gt;0,1,0),0)</f>
        <v>1</v>
      </c>
      <c r="V8" s="71">
        <f>IFERROR(IF(AND(H8&gt;=INDEX(PEMAGANG!$J$3:$J$36,MATCH(B8,PEMAGANG!$C$3:$C$36,0)),H8&lt;=INDEX(PEMAGANG!$K$3:$K$36,MATCH(B8,PEMAGANG!$C$3:$C$36,0))),1,0),0)</f>
        <v>1</v>
      </c>
      <c r="W8" s="71">
        <f t="shared" si="8"/>
        <v>1</v>
      </c>
    </row>
    <row r="9" spans="1:23" x14ac:dyDescent="0.2">
      <c r="A9" s="71" t="s">
        <v>222</v>
      </c>
      <c r="B9" s="71" t="s">
        <v>223</v>
      </c>
      <c r="C9" s="71" t="s">
        <v>187</v>
      </c>
      <c r="D9" s="71" t="s">
        <v>224</v>
      </c>
      <c r="E9" s="71" t="s">
        <v>52</v>
      </c>
      <c r="F9" s="71" t="s">
        <v>300</v>
      </c>
      <c r="G9" s="88">
        <v>46247.693912037001</v>
      </c>
      <c r="H9" s="89">
        <v>46247</v>
      </c>
      <c r="I9" s="71" t="s">
        <v>308</v>
      </c>
      <c r="J9" s="71">
        <v>0</v>
      </c>
      <c r="K9" s="71" t="s">
        <v>302</v>
      </c>
      <c r="L9" s="71">
        <f t="shared" si="0"/>
        <v>8</v>
      </c>
      <c r="M9" s="71" t="str">
        <f>IFERROR(INDEX(KALENDER!$D$3:$D$132,MATCH(H9,KALENDER!$A$3:$A$132,0)),"Di luar periode")</f>
        <v>Hari Kerja</v>
      </c>
      <c r="N9" s="71">
        <f t="shared" si="1"/>
        <v>0</v>
      </c>
      <c r="O9" s="71">
        <f t="shared" si="2"/>
        <v>1</v>
      </c>
      <c r="P9" s="71">
        <f t="shared" si="3"/>
        <v>0</v>
      </c>
      <c r="Q9" s="71">
        <f t="shared" si="4"/>
        <v>0</v>
      </c>
      <c r="R9" s="71">
        <f t="shared" si="5"/>
        <v>0</v>
      </c>
      <c r="S9" s="71">
        <f t="shared" si="6"/>
        <v>0</v>
      </c>
      <c r="T9" s="71">
        <f t="shared" si="7"/>
        <v>0</v>
      </c>
      <c r="U9" s="71">
        <f>IF(AND(N9=1,V9=1),IF(COUNTIFS(AKTIVITAS!$B$2:$B$3052,B9,AKTIVITAS!$E$2:$E$3052,H9)&gt;0,1,0),0)</f>
        <v>0</v>
      </c>
      <c r="V9" s="71">
        <f>IFERROR(IF(AND(H9&gt;=INDEX(PEMAGANG!$J$3:$J$36,MATCH(B9,PEMAGANG!$C$3:$C$36,0)),H9&lt;=INDEX(PEMAGANG!$K$3:$K$36,MATCH(B9,PEMAGANG!$C$3:$C$36,0))),1,0),0)</f>
        <v>1</v>
      </c>
      <c r="W9" s="71">
        <f t="shared" si="8"/>
        <v>0</v>
      </c>
    </row>
    <row r="10" spans="1:23" x14ac:dyDescent="0.2">
      <c r="A10" s="71" t="s">
        <v>222</v>
      </c>
      <c r="B10" s="71" t="s">
        <v>223</v>
      </c>
      <c r="C10" s="71" t="s">
        <v>187</v>
      </c>
      <c r="D10" s="71" t="s">
        <v>224</v>
      </c>
      <c r="E10" s="71" t="s">
        <v>52</v>
      </c>
      <c r="F10" s="71" t="s">
        <v>298</v>
      </c>
      <c r="G10" s="88">
        <v>46248.3105671296</v>
      </c>
      <c r="H10" s="89">
        <v>46248</v>
      </c>
      <c r="I10" s="71" t="s">
        <v>309</v>
      </c>
      <c r="J10" s="71">
        <v>-2.9999999999999898</v>
      </c>
      <c r="K10" s="71" t="s">
        <v>302</v>
      </c>
      <c r="L10" s="71">
        <f t="shared" si="0"/>
        <v>8</v>
      </c>
      <c r="M10" s="71" t="str">
        <f>IFERROR(INDEX(KALENDER!$D$3:$D$132,MATCH(H10,KALENDER!$A$3:$A$132,0)),"Di luar periode")</f>
        <v>Hari Kerja</v>
      </c>
      <c r="N10" s="71">
        <f t="shared" si="1"/>
        <v>1</v>
      </c>
      <c r="O10" s="71">
        <f t="shared" si="2"/>
        <v>1</v>
      </c>
      <c r="P10" s="71">
        <f t="shared" si="3"/>
        <v>1</v>
      </c>
      <c r="Q10" s="71">
        <f t="shared" si="4"/>
        <v>0</v>
      </c>
      <c r="R10" s="71">
        <f t="shared" si="5"/>
        <v>0</v>
      </c>
      <c r="S10" s="71">
        <f t="shared" si="6"/>
        <v>0</v>
      </c>
      <c r="T10" s="71">
        <f t="shared" si="7"/>
        <v>0</v>
      </c>
      <c r="U10" s="71">
        <f>IF(AND(N10=1,V10=1),IF(COUNTIFS(AKTIVITAS!$B$2:$B$3052,B10,AKTIVITAS!$E$2:$E$3052,H10)&gt;0,1,0),0)</f>
        <v>1</v>
      </c>
      <c r="V10" s="71">
        <f>IFERROR(IF(AND(H10&gt;=INDEX(PEMAGANG!$J$3:$J$36,MATCH(B10,PEMAGANG!$C$3:$C$36,0)),H10&lt;=INDEX(PEMAGANG!$K$3:$K$36,MATCH(B10,PEMAGANG!$C$3:$C$36,0))),1,0),0)</f>
        <v>1</v>
      </c>
      <c r="W10" s="71">
        <f t="shared" si="8"/>
        <v>1</v>
      </c>
    </row>
    <row r="11" spans="1:23" x14ac:dyDescent="0.2">
      <c r="A11" s="71" t="s">
        <v>222</v>
      </c>
      <c r="B11" s="71" t="s">
        <v>223</v>
      </c>
      <c r="C11" s="71" t="s">
        <v>187</v>
      </c>
      <c r="D11" s="71" t="s">
        <v>224</v>
      </c>
      <c r="E11" s="71" t="s">
        <v>52</v>
      </c>
      <c r="F11" s="71" t="s">
        <v>300</v>
      </c>
      <c r="G11" s="88">
        <v>46248.691157407397</v>
      </c>
      <c r="H11" s="89">
        <v>46248</v>
      </c>
      <c r="I11" s="71" t="s">
        <v>310</v>
      </c>
      <c r="J11" s="71">
        <v>0</v>
      </c>
      <c r="K11" s="71" t="s">
        <v>302</v>
      </c>
      <c r="L11" s="71">
        <f t="shared" si="0"/>
        <v>8</v>
      </c>
      <c r="M11" s="71" t="str">
        <f>IFERROR(INDEX(KALENDER!$D$3:$D$132,MATCH(H11,KALENDER!$A$3:$A$132,0)),"Di luar periode")</f>
        <v>Hari Kerja</v>
      </c>
      <c r="N11" s="71">
        <f t="shared" si="1"/>
        <v>0</v>
      </c>
      <c r="O11" s="71">
        <f t="shared" si="2"/>
        <v>1</v>
      </c>
      <c r="P11" s="71">
        <f t="shared" si="3"/>
        <v>0</v>
      </c>
      <c r="Q11" s="71">
        <f t="shared" si="4"/>
        <v>0</v>
      </c>
      <c r="R11" s="71">
        <f t="shared" si="5"/>
        <v>0</v>
      </c>
      <c r="S11" s="71">
        <f t="shared" si="6"/>
        <v>0</v>
      </c>
      <c r="T11" s="71">
        <f t="shared" si="7"/>
        <v>0</v>
      </c>
      <c r="U11" s="71">
        <f>IF(AND(N11=1,V11=1),IF(COUNTIFS(AKTIVITAS!$B$2:$B$3052,B11,AKTIVITAS!$E$2:$E$3052,H11)&gt;0,1,0),0)</f>
        <v>0</v>
      </c>
      <c r="V11" s="71">
        <f>IFERROR(IF(AND(H11&gt;=INDEX(PEMAGANG!$J$3:$J$36,MATCH(B11,PEMAGANG!$C$3:$C$36,0)),H11&lt;=INDEX(PEMAGANG!$K$3:$K$36,MATCH(B11,PEMAGANG!$C$3:$C$36,0))),1,0),0)</f>
        <v>1</v>
      </c>
      <c r="W11" s="71">
        <f t="shared" si="8"/>
        <v>0</v>
      </c>
    </row>
    <row r="12" spans="1:23" x14ac:dyDescent="0.2">
      <c r="A12" s="71" t="s">
        <v>222</v>
      </c>
      <c r="B12" s="71" t="s">
        <v>223</v>
      </c>
      <c r="C12" s="71" t="s">
        <v>187</v>
      </c>
      <c r="D12" s="71" t="s">
        <v>224</v>
      </c>
      <c r="E12" s="71" t="s">
        <v>52</v>
      </c>
      <c r="F12" s="71" t="s">
        <v>298</v>
      </c>
      <c r="G12" s="88">
        <v>46252.307824074102</v>
      </c>
      <c r="H12" s="89">
        <v>46252</v>
      </c>
      <c r="I12" s="71" t="s">
        <v>311</v>
      </c>
      <c r="J12" s="71">
        <v>-6.9999999999999796</v>
      </c>
      <c r="K12" s="71" t="s">
        <v>302</v>
      </c>
      <c r="L12" s="71">
        <f t="shared" si="0"/>
        <v>8</v>
      </c>
      <c r="M12" s="71" t="str">
        <f>IFERROR(INDEX(KALENDER!$D$3:$D$132,MATCH(H12,KALENDER!$A$3:$A$132,0)),"Di luar periode")</f>
        <v>Hari Kerja</v>
      </c>
      <c r="N12" s="71">
        <f t="shared" si="1"/>
        <v>1</v>
      </c>
      <c r="O12" s="71">
        <f t="shared" si="2"/>
        <v>1</v>
      </c>
      <c r="P12" s="71">
        <f t="shared" si="3"/>
        <v>1</v>
      </c>
      <c r="Q12" s="71">
        <f t="shared" si="4"/>
        <v>0</v>
      </c>
      <c r="R12" s="71">
        <f t="shared" si="5"/>
        <v>0</v>
      </c>
      <c r="S12" s="71">
        <f t="shared" si="6"/>
        <v>0</v>
      </c>
      <c r="T12" s="71">
        <f t="shared" si="7"/>
        <v>0</v>
      </c>
      <c r="U12" s="71">
        <f>IF(AND(N12=1,V12=1),IF(COUNTIFS(AKTIVITAS!$B$2:$B$3052,B12,AKTIVITAS!$E$2:$E$3052,H12)&gt;0,1,0),0)</f>
        <v>1</v>
      </c>
      <c r="V12" s="71">
        <f>IFERROR(IF(AND(H12&gt;=INDEX(PEMAGANG!$J$3:$J$36,MATCH(B12,PEMAGANG!$C$3:$C$36,0)),H12&lt;=INDEX(PEMAGANG!$K$3:$K$36,MATCH(B12,PEMAGANG!$C$3:$C$36,0))),1,0),0)</f>
        <v>1</v>
      </c>
      <c r="W12" s="71">
        <f t="shared" si="8"/>
        <v>1</v>
      </c>
    </row>
    <row r="13" spans="1:23" x14ac:dyDescent="0.2">
      <c r="A13" s="71" t="s">
        <v>222</v>
      </c>
      <c r="B13" s="71" t="s">
        <v>223</v>
      </c>
      <c r="C13" s="71" t="s">
        <v>187</v>
      </c>
      <c r="D13" s="71" t="s">
        <v>224</v>
      </c>
      <c r="E13" s="71" t="s">
        <v>52</v>
      </c>
      <c r="F13" s="71" t="s">
        <v>300</v>
      </c>
      <c r="G13" s="88">
        <v>46252.697337963</v>
      </c>
      <c r="H13" s="89">
        <v>46252</v>
      </c>
      <c r="I13" s="71" t="s">
        <v>312</v>
      </c>
      <c r="J13" s="71">
        <v>0</v>
      </c>
      <c r="K13" s="71" t="s">
        <v>302</v>
      </c>
      <c r="L13" s="71">
        <f t="shared" si="0"/>
        <v>8</v>
      </c>
      <c r="M13" s="71" t="str">
        <f>IFERROR(INDEX(KALENDER!$D$3:$D$132,MATCH(H13,KALENDER!$A$3:$A$132,0)),"Di luar periode")</f>
        <v>Hari Kerja</v>
      </c>
      <c r="N13" s="71">
        <f t="shared" si="1"/>
        <v>0</v>
      </c>
      <c r="O13" s="71">
        <f t="shared" si="2"/>
        <v>1</v>
      </c>
      <c r="P13" s="71">
        <f t="shared" si="3"/>
        <v>0</v>
      </c>
      <c r="Q13" s="71">
        <f t="shared" si="4"/>
        <v>0</v>
      </c>
      <c r="R13" s="71">
        <f t="shared" si="5"/>
        <v>0</v>
      </c>
      <c r="S13" s="71">
        <f t="shared" si="6"/>
        <v>0</v>
      </c>
      <c r="T13" s="71">
        <f t="shared" si="7"/>
        <v>0</v>
      </c>
      <c r="U13" s="71">
        <f>IF(AND(N13=1,V13=1),IF(COUNTIFS(AKTIVITAS!$B$2:$B$3052,B13,AKTIVITAS!$E$2:$E$3052,H13)&gt;0,1,0),0)</f>
        <v>0</v>
      </c>
      <c r="V13" s="71">
        <f>IFERROR(IF(AND(H13&gt;=INDEX(PEMAGANG!$J$3:$J$36,MATCH(B13,PEMAGANG!$C$3:$C$36,0)),H13&lt;=INDEX(PEMAGANG!$K$3:$K$36,MATCH(B13,PEMAGANG!$C$3:$C$36,0))),1,0),0)</f>
        <v>1</v>
      </c>
      <c r="W13" s="71">
        <f t="shared" si="8"/>
        <v>0</v>
      </c>
    </row>
    <row r="14" spans="1:23" x14ac:dyDescent="0.2">
      <c r="A14" s="71" t="s">
        <v>222</v>
      </c>
      <c r="B14" s="71" t="s">
        <v>223</v>
      </c>
      <c r="C14" s="71" t="s">
        <v>187</v>
      </c>
      <c r="D14" s="71" t="s">
        <v>224</v>
      </c>
      <c r="E14" s="71" t="s">
        <v>52</v>
      </c>
      <c r="F14" s="71" t="s">
        <v>298</v>
      </c>
      <c r="G14" s="88">
        <v>46253.308506944399</v>
      </c>
      <c r="H14" s="89">
        <v>46253</v>
      </c>
      <c r="I14" s="71" t="s">
        <v>303</v>
      </c>
      <c r="J14" s="71">
        <v>-5.9999999999999796</v>
      </c>
      <c r="K14" s="71" t="s">
        <v>302</v>
      </c>
      <c r="L14" s="71">
        <f t="shared" si="0"/>
        <v>8</v>
      </c>
      <c r="M14" s="71" t="str">
        <f>IFERROR(INDEX(KALENDER!$D$3:$D$132,MATCH(H14,KALENDER!$A$3:$A$132,0)),"Di luar periode")</f>
        <v>Hari Kerja</v>
      </c>
      <c r="N14" s="71">
        <f t="shared" si="1"/>
        <v>1</v>
      </c>
      <c r="O14" s="71">
        <f t="shared" si="2"/>
        <v>1</v>
      </c>
      <c r="P14" s="71">
        <f t="shared" si="3"/>
        <v>1</v>
      </c>
      <c r="Q14" s="71">
        <f t="shared" si="4"/>
        <v>0</v>
      </c>
      <c r="R14" s="71">
        <f t="shared" si="5"/>
        <v>0</v>
      </c>
      <c r="S14" s="71">
        <f t="shared" si="6"/>
        <v>0</v>
      </c>
      <c r="T14" s="71">
        <f t="shared" si="7"/>
        <v>0</v>
      </c>
      <c r="U14" s="71">
        <f>IF(AND(N14=1,V14=1),IF(COUNTIFS(AKTIVITAS!$B$2:$B$3052,B14,AKTIVITAS!$E$2:$E$3052,H14)&gt;0,1,0),0)</f>
        <v>1</v>
      </c>
      <c r="V14" s="71">
        <f>IFERROR(IF(AND(H14&gt;=INDEX(PEMAGANG!$J$3:$J$36,MATCH(B14,PEMAGANG!$C$3:$C$36,0)),H14&lt;=INDEX(PEMAGANG!$K$3:$K$36,MATCH(B14,PEMAGANG!$C$3:$C$36,0))),1,0),0)</f>
        <v>1</v>
      </c>
      <c r="W14" s="71">
        <f t="shared" si="8"/>
        <v>1</v>
      </c>
    </row>
    <row r="15" spans="1:23" x14ac:dyDescent="0.2">
      <c r="A15" s="71" t="s">
        <v>222</v>
      </c>
      <c r="B15" s="71" t="s">
        <v>223</v>
      </c>
      <c r="C15" s="71" t="s">
        <v>187</v>
      </c>
      <c r="D15" s="71" t="s">
        <v>224</v>
      </c>
      <c r="E15" s="71" t="s">
        <v>52</v>
      </c>
      <c r="F15" s="71" t="s">
        <v>300</v>
      </c>
      <c r="G15" s="88">
        <v>46253.688958333303</v>
      </c>
      <c r="H15" s="89">
        <v>46253</v>
      </c>
      <c r="I15" s="71" t="s">
        <v>306</v>
      </c>
      <c r="J15" s="71">
        <v>0</v>
      </c>
      <c r="K15" s="71" t="s">
        <v>302</v>
      </c>
      <c r="L15" s="71">
        <f t="shared" si="0"/>
        <v>8</v>
      </c>
      <c r="M15" s="71" t="str">
        <f>IFERROR(INDEX(KALENDER!$D$3:$D$132,MATCH(H15,KALENDER!$A$3:$A$132,0)),"Di luar periode")</f>
        <v>Hari Kerja</v>
      </c>
      <c r="N15" s="71">
        <f t="shared" si="1"/>
        <v>0</v>
      </c>
      <c r="O15" s="71">
        <f t="shared" si="2"/>
        <v>1</v>
      </c>
      <c r="P15" s="71">
        <f t="shared" si="3"/>
        <v>0</v>
      </c>
      <c r="Q15" s="71">
        <f t="shared" si="4"/>
        <v>0</v>
      </c>
      <c r="R15" s="71">
        <f t="shared" si="5"/>
        <v>0</v>
      </c>
      <c r="S15" s="71">
        <f t="shared" si="6"/>
        <v>0</v>
      </c>
      <c r="T15" s="71">
        <f t="shared" si="7"/>
        <v>0</v>
      </c>
      <c r="U15" s="71">
        <f>IF(AND(N15=1,V15=1),IF(COUNTIFS(AKTIVITAS!$B$2:$B$3052,B15,AKTIVITAS!$E$2:$E$3052,H15)&gt;0,1,0),0)</f>
        <v>0</v>
      </c>
      <c r="V15" s="71">
        <f>IFERROR(IF(AND(H15&gt;=INDEX(PEMAGANG!$J$3:$J$36,MATCH(B15,PEMAGANG!$C$3:$C$36,0)),H15&lt;=INDEX(PEMAGANG!$K$3:$K$36,MATCH(B15,PEMAGANG!$C$3:$C$36,0))),1,0),0)</f>
        <v>1</v>
      </c>
      <c r="W15" s="71">
        <f t="shared" si="8"/>
        <v>0</v>
      </c>
    </row>
    <row r="16" spans="1:23" x14ac:dyDescent="0.2">
      <c r="A16" s="71" t="s">
        <v>222</v>
      </c>
      <c r="B16" s="71" t="s">
        <v>223</v>
      </c>
      <c r="C16" s="71" t="s">
        <v>187</v>
      </c>
      <c r="D16" s="71" t="s">
        <v>224</v>
      </c>
      <c r="E16" s="71" t="s">
        <v>52</v>
      </c>
      <c r="F16" s="71" t="s">
        <v>298</v>
      </c>
      <c r="G16" s="88">
        <v>46254.307303240697</v>
      </c>
      <c r="H16" s="89">
        <v>46254</v>
      </c>
      <c r="I16" s="71" t="s">
        <v>313</v>
      </c>
      <c r="J16" s="71">
        <v>-8.0000000000000497</v>
      </c>
      <c r="K16" s="71" t="s">
        <v>302</v>
      </c>
      <c r="L16" s="71">
        <f t="shared" si="0"/>
        <v>8</v>
      </c>
      <c r="M16" s="71" t="str">
        <f>IFERROR(INDEX(KALENDER!$D$3:$D$132,MATCH(H16,KALENDER!$A$3:$A$132,0)),"Di luar periode")</f>
        <v>Hari Kerja</v>
      </c>
      <c r="N16" s="71">
        <f t="shared" si="1"/>
        <v>1</v>
      </c>
      <c r="O16" s="71">
        <f t="shared" si="2"/>
        <v>1</v>
      </c>
      <c r="P16" s="71">
        <f t="shared" si="3"/>
        <v>1</v>
      </c>
      <c r="Q16" s="71">
        <f t="shared" si="4"/>
        <v>0</v>
      </c>
      <c r="R16" s="71">
        <f t="shared" si="5"/>
        <v>0</v>
      </c>
      <c r="S16" s="71">
        <f t="shared" si="6"/>
        <v>0</v>
      </c>
      <c r="T16" s="71">
        <f t="shared" si="7"/>
        <v>0</v>
      </c>
      <c r="U16" s="71">
        <f>IF(AND(N16=1,V16=1),IF(COUNTIFS(AKTIVITAS!$B$2:$B$3052,B16,AKTIVITAS!$E$2:$E$3052,H16)&gt;0,1,0),0)</f>
        <v>1</v>
      </c>
      <c r="V16" s="71">
        <f>IFERROR(IF(AND(H16&gt;=INDEX(PEMAGANG!$J$3:$J$36,MATCH(B16,PEMAGANG!$C$3:$C$36,0)),H16&lt;=INDEX(PEMAGANG!$K$3:$K$36,MATCH(B16,PEMAGANG!$C$3:$C$36,0))),1,0),0)</f>
        <v>1</v>
      </c>
      <c r="W16" s="71">
        <f t="shared" si="8"/>
        <v>1</v>
      </c>
    </row>
    <row r="17" spans="1:23" x14ac:dyDescent="0.2">
      <c r="A17" s="71" t="s">
        <v>222</v>
      </c>
      <c r="B17" s="71" t="s">
        <v>223</v>
      </c>
      <c r="C17" s="71" t="s">
        <v>187</v>
      </c>
      <c r="D17" s="71" t="s">
        <v>224</v>
      </c>
      <c r="E17" s="71" t="s">
        <v>52</v>
      </c>
      <c r="F17" s="71" t="s">
        <v>300</v>
      </c>
      <c r="G17" s="88">
        <v>46254.694062499999</v>
      </c>
      <c r="H17" s="89">
        <v>46254</v>
      </c>
      <c r="I17" s="71" t="s">
        <v>308</v>
      </c>
      <c r="J17" s="71">
        <v>0</v>
      </c>
      <c r="K17" s="71" t="s">
        <v>302</v>
      </c>
      <c r="L17" s="71">
        <f t="shared" si="0"/>
        <v>8</v>
      </c>
      <c r="M17" s="71" t="str">
        <f>IFERROR(INDEX(KALENDER!$D$3:$D$132,MATCH(H17,KALENDER!$A$3:$A$132,0)),"Di luar periode")</f>
        <v>Hari Kerja</v>
      </c>
      <c r="N17" s="71">
        <f t="shared" si="1"/>
        <v>0</v>
      </c>
      <c r="O17" s="71">
        <f t="shared" si="2"/>
        <v>1</v>
      </c>
      <c r="P17" s="71">
        <f t="shared" si="3"/>
        <v>0</v>
      </c>
      <c r="Q17" s="71">
        <f t="shared" si="4"/>
        <v>0</v>
      </c>
      <c r="R17" s="71">
        <f t="shared" si="5"/>
        <v>0</v>
      </c>
      <c r="S17" s="71">
        <f t="shared" si="6"/>
        <v>0</v>
      </c>
      <c r="T17" s="71">
        <f t="shared" si="7"/>
        <v>0</v>
      </c>
      <c r="U17" s="71">
        <f>IF(AND(N17=1,V17=1),IF(COUNTIFS(AKTIVITAS!$B$2:$B$3052,B17,AKTIVITAS!$E$2:$E$3052,H17)&gt;0,1,0),0)</f>
        <v>0</v>
      </c>
      <c r="V17" s="71">
        <f>IFERROR(IF(AND(H17&gt;=INDEX(PEMAGANG!$J$3:$J$36,MATCH(B17,PEMAGANG!$C$3:$C$36,0)),H17&lt;=INDEX(PEMAGANG!$K$3:$K$36,MATCH(B17,PEMAGANG!$C$3:$C$36,0))),1,0),0)</f>
        <v>1</v>
      </c>
      <c r="W17" s="71">
        <f t="shared" si="8"/>
        <v>0</v>
      </c>
    </row>
    <row r="18" spans="1:23" x14ac:dyDescent="0.2">
      <c r="A18" s="71" t="s">
        <v>222</v>
      </c>
      <c r="B18" s="71" t="s">
        <v>223</v>
      </c>
      <c r="C18" s="71" t="s">
        <v>187</v>
      </c>
      <c r="D18" s="71" t="s">
        <v>224</v>
      </c>
      <c r="E18" s="71" t="s">
        <v>52</v>
      </c>
      <c r="F18" s="71" t="s">
        <v>298</v>
      </c>
      <c r="G18" s="88">
        <v>46255.308599536998</v>
      </c>
      <c r="H18" s="89">
        <v>46255</v>
      </c>
      <c r="I18" s="71" t="s">
        <v>303</v>
      </c>
      <c r="J18" s="71">
        <v>-36</v>
      </c>
      <c r="K18" s="71" t="s">
        <v>302</v>
      </c>
      <c r="L18" s="71">
        <f t="shared" si="0"/>
        <v>8</v>
      </c>
      <c r="M18" s="71" t="str">
        <f>IFERROR(INDEX(KALENDER!$D$3:$D$132,MATCH(H18,KALENDER!$A$3:$A$132,0)),"Di luar periode")</f>
        <v>Hari Kerja</v>
      </c>
      <c r="N18" s="71">
        <f t="shared" si="1"/>
        <v>1</v>
      </c>
      <c r="O18" s="71">
        <f t="shared" si="2"/>
        <v>1</v>
      </c>
      <c r="P18" s="71">
        <f t="shared" si="3"/>
        <v>1</v>
      </c>
      <c r="Q18" s="71">
        <f t="shared" si="4"/>
        <v>0</v>
      </c>
      <c r="R18" s="71">
        <f t="shared" si="5"/>
        <v>0</v>
      </c>
      <c r="S18" s="71">
        <f t="shared" si="6"/>
        <v>0</v>
      </c>
      <c r="T18" s="71">
        <f t="shared" si="7"/>
        <v>0</v>
      </c>
      <c r="U18" s="71">
        <f>IF(AND(N18=1,V18=1),IF(COUNTIFS(AKTIVITAS!$B$2:$B$3052,B18,AKTIVITAS!$E$2:$E$3052,H18)&gt;0,1,0),0)</f>
        <v>1</v>
      </c>
      <c r="V18" s="71">
        <f>IFERROR(IF(AND(H18&gt;=INDEX(PEMAGANG!$J$3:$J$36,MATCH(B18,PEMAGANG!$C$3:$C$36,0)),H18&lt;=INDEX(PEMAGANG!$K$3:$K$36,MATCH(B18,PEMAGANG!$C$3:$C$36,0))),1,0),0)</f>
        <v>1</v>
      </c>
      <c r="W18" s="71">
        <f t="shared" si="8"/>
        <v>1</v>
      </c>
    </row>
    <row r="19" spans="1:23" x14ac:dyDescent="0.2">
      <c r="A19" s="71" t="s">
        <v>222</v>
      </c>
      <c r="B19" s="71" t="s">
        <v>223</v>
      </c>
      <c r="C19" s="71" t="s">
        <v>187</v>
      </c>
      <c r="D19" s="71" t="s">
        <v>224</v>
      </c>
      <c r="E19" s="71" t="s">
        <v>52</v>
      </c>
      <c r="F19" s="71" t="s">
        <v>300</v>
      </c>
      <c r="G19" s="88">
        <v>46255.690856481502</v>
      </c>
      <c r="H19" s="89">
        <v>46255</v>
      </c>
      <c r="I19" s="71" t="s">
        <v>314</v>
      </c>
      <c r="J19" s="71">
        <v>0</v>
      </c>
      <c r="K19" s="71" t="s">
        <v>302</v>
      </c>
      <c r="L19" s="71">
        <f t="shared" si="0"/>
        <v>8</v>
      </c>
      <c r="M19" s="71" t="str">
        <f>IFERROR(INDEX(KALENDER!$D$3:$D$132,MATCH(H19,KALENDER!$A$3:$A$132,0)),"Di luar periode")</f>
        <v>Hari Kerja</v>
      </c>
      <c r="N19" s="71">
        <f t="shared" si="1"/>
        <v>0</v>
      </c>
      <c r="O19" s="71">
        <f t="shared" si="2"/>
        <v>1</v>
      </c>
      <c r="P19" s="71">
        <f t="shared" si="3"/>
        <v>0</v>
      </c>
      <c r="Q19" s="71">
        <f t="shared" si="4"/>
        <v>0</v>
      </c>
      <c r="R19" s="71">
        <f t="shared" si="5"/>
        <v>0</v>
      </c>
      <c r="S19" s="71">
        <f t="shared" si="6"/>
        <v>0</v>
      </c>
      <c r="T19" s="71">
        <f t="shared" si="7"/>
        <v>0</v>
      </c>
      <c r="U19" s="71">
        <f>IF(AND(N19=1,V19=1),IF(COUNTIFS(AKTIVITAS!$B$2:$B$3052,B19,AKTIVITAS!$E$2:$E$3052,H19)&gt;0,1,0),0)</f>
        <v>0</v>
      </c>
      <c r="V19" s="71">
        <f>IFERROR(IF(AND(H19&gt;=INDEX(PEMAGANG!$J$3:$J$36,MATCH(B19,PEMAGANG!$C$3:$C$36,0)),H19&lt;=INDEX(PEMAGANG!$K$3:$K$36,MATCH(B19,PEMAGANG!$C$3:$C$36,0))),1,0),0)</f>
        <v>1</v>
      </c>
      <c r="W19" s="71">
        <f t="shared" si="8"/>
        <v>0</v>
      </c>
    </row>
    <row r="20" spans="1:23" x14ac:dyDescent="0.2">
      <c r="A20" s="71" t="s">
        <v>222</v>
      </c>
      <c r="B20" s="71" t="s">
        <v>223</v>
      </c>
      <c r="C20" s="71" t="s">
        <v>187</v>
      </c>
      <c r="D20" s="71" t="s">
        <v>224</v>
      </c>
      <c r="E20" s="71" t="s">
        <v>52</v>
      </c>
      <c r="F20" s="71" t="s">
        <v>298</v>
      </c>
      <c r="G20" s="88">
        <v>46258.309791666703</v>
      </c>
      <c r="H20" s="89">
        <v>46258</v>
      </c>
      <c r="I20" s="71" t="s">
        <v>315</v>
      </c>
      <c r="J20" s="71">
        <v>-34</v>
      </c>
      <c r="K20" s="71" t="s">
        <v>302</v>
      </c>
      <c r="L20" s="71">
        <f t="shared" si="0"/>
        <v>8</v>
      </c>
      <c r="M20" s="71" t="str">
        <f>IFERROR(INDEX(KALENDER!$D$3:$D$132,MATCH(H20,KALENDER!$A$3:$A$132,0)),"Di luar periode")</f>
        <v>Hari Kerja</v>
      </c>
      <c r="N20" s="71">
        <f t="shared" si="1"/>
        <v>1</v>
      </c>
      <c r="O20" s="71">
        <f t="shared" si="2"/>
        <v>1</v>
      </c>
      <c r="P20" s="71">
        <f t="shared" si="3"/>
        <v>1</v>
      </c>
      <c r="Q20" s="71">
        <f t="shared" si="4"/>
        <v>0</v>
      </c>
      <c r="R20" s="71">
        <f t="shared" si="5"/>
        <v>0</v>
      </c>
      <c r="S20" s="71">
        <f t="shared" si="6"/>
        <v>0</v>
      </c>
      <c r="T20" s="71">
        <f t="shared" si="7"/>
        <v>0</v>
      </c>
      <c r="U20" s="71">
        <f>IF(AND(N20=1,V20=1),IF(COUNTIFS(AKTIVITAS!$B$2:$B$3052,B20,AKTIVITAS!$E$2:$E$3052,H20)&gt;0,1,0),0)</f>
        <v>1</v>
      </c>
      <c r="V20" s="71">
        <f>IFERROR(IF(AND(H20&gt;=INDEX(PEMAGANG!$J$3:$J$36,MATCH(B20,PEMAGANG!$C$3:$C$36,0)),H20&lt;=INDEX(PEMAGANG!$K$3:$K$36,MATCH(B20,PEMAGANG!$C$3:$C$36,0))),1,0),0)</f>
        <v>1</v>
      </c>
      <c r="W20" s="71">
        <f t="shared" si="8"/>
        <v>1</v>
      </c>
    </row>
    <row r="21" spans="1:23" x14ac:dyDescent="0.2">
      <c r="A21" s="71" t="s">
        <v>222</v>
      </c>
      <c r="B21" s="71" t="s">
        <v>223</v>
      </c>
      <c r="C21" s="71" t="s">
        <v>187</v>
      </c>
      <c r="D21" s="71" t="s">
        <v>224</v>
      </c>
      <c r="E21" s="71" t="s">
        <v>52</v>
      </c>
      <c r="F21" s="71" t="s">
        <v>300</v>
      </c>
      <c r="G21" s="88">
        <v>46258.689814814803</v>
      </c>
      <c r="H21" s="89">
        <v>46258</v>
      </c>
      <c r="I21" s="71" t="s">
        <v>316</v>
      </c>
      <c r="J21" s="71">
        <v>0</v>
      </c>
      <c r="K21" s="71" t="s">
        <v>302</v>
      </c>
      <c r="L21" s="71">
        <f t="shared" si="0"/>
        <v>8</v>
      </c>
      <c r="M21" s="71" t="str">
        <f>IFERROR(INDEX(KALENDER!$D$3:$D$132,MATCH(H21,KALENDER!$A$3:$A$132,0)),"Di luar periode")</f>
        <v>Hari Kerja</v>
      </c>
      <c r="N21" s="71">
        <f t="shared" si="1"/>
        <v>0</v>
      </c>
      <c r="O21" s="71">
        <f t="shared" si="2"/>
        <v>1</v>
      </c>
      <c r="P21" s="71">
        <f t="shared" si="3"/>
        <v>0</v>
      </c>
      <c r="Q21" s="71">
        <f t="shared" si="4"/>
        <v>0</v>
      </c>
      <c r="R21" s="71">
        <f t="shared" si="5"/>
        <v>0</v>
      </c>
      <c r="S21" s="71">
        <f t="shared" si="6"/>
        <v>0</v>
      </c>
      <c r="T21" s="71">
        <f t="shared" si="7"/>
        <v>0</v>
      </c>
      <c r="U21" s="71">
        <f>IF(AND(N21=1,V21=1),IF(COUNTIFS(AKTIVITAS!$B$2:$B$3052,B21,AKTIVITAS!$E$2:$E$3052,H21)&gt;0,1,0),0)</f>
        <v>0</v>
      </c>
      <c r="V21" s="71">
        <f>IFERROR(IF(AND(H21&gt;=INDEX(PEMAGANG!$J$3:$J$36,MATCH(B21,PEMAGANG!$C$3:$C$36,0)),H21&lt;=INDEX(PEMAGANG!$K$3:$K$36,MATCH(B21,PEMAGANG!$C$3:$C$36,0))),1,0),0)</f>
        <v>1</v>
      </c>
      <c r="W21" s="71">
        <f t="shared" si="8"/>
        <v>0</v>
      </c>
    </row>
    <row r="22" spans="1:23" x14ac:dyDescent="0.2">
      <c r="A22" s="71" t="s">
        <v>222</v>
      </c>
      <c r="B22" s="71" t="s">
        <v>223</v>
      </c>
      <c r="C22" s="71" t="s">
        <v>187</v>
      </c>
      <c r="D22" s="71" t="s">
        <v>224</v>
      </c>
      <c r="E22" s="71" t="s">
        <v>52</v>
      </c>
      <c r="F22" s="71" t="s">
        <v>298</v>
      </c>
      <c r="G22" s="88">
        <v>46260.311041666697</v>
      </c>
      <c r="H22" s="89">
        <v>46260</v>
      </c>
      <c r="I22" s="71" t="s">
        <v>309</v>
      </c>
      <c r="J22" s="71">
        <v>-33</v>
      </c>
      <c r="K22" s="71" t="s">
        <v>302</v>
      </c>
      <c r="L22" s="71">
        <f t="shared" si="0"/>
        <v>8</v>
      </c>
      <c r="M22" s="71" t="str">
        <f>IFERROR(INDEX(KALENDER!$D$3:$D$132,MATCH(H22,KALENDER!$A$3:$A$132,0)),"Di luar periode")</f>
        <v>Hari Kerja</v>
      </c>
      <c r="N22" s="71">
        <f t="shared" si="1"/>
        <v>1</v>
      </c>
      <c r="O22" s="71">
        <f t="shared" si="2"/>
        <v>1</v>
      </c>
      <c r="P22" s="71">
        <f t="shared" si="3"/>
        <v>1</v>
      </c>
      <c r="Q22" s="71">
        <f t="shared" si="4"/>
        <v>0</v>
      </c>
      <c r="R22" s="71">
        <f t="shared" si="5"/>
        <v>0</v>
      </c>
      <c r="S22" s="71">
        <f t="shared" si="6"/>
        <v>0</v>
      </c>
      <c r="T22" s="71">
        <f t="shared" si="7"/>
        <v>0</v>
      </c>
      <c r="U22" s="71">
        <f>IF(AND(N22=1,V22=1),IF(COUNTIFS(AKTIVITAS!$B$2:$B$3052,B22,AKTIVITAS!$E$2:$E$3052,H22)&gt;0,1,0),0)</f>
        <v>1</v>
      </c>
      <c r="V22" s="71">
        <f>IFERROR(IF(AND(H22&gt;=INDEX(PEMAGANG!$J$3:$J$36,MATCH(B22,PEMAGANG!$C$3:$C$36,0)),H22&lt;=INDEX(PEMAGANG!$K$3:$K$36,MATCH(B22,PEMAGANG!$C$3:$C$36,0))),1,0),0)</f>
        <v>1</v>
      </c>
      <c r="W22" s="71">
        <f t="shared" si="8"/>
        <v>1</v>
      </c>
    </row>
    <row r="23" spans="1:23" x14ac:dyDescent="0.2">
      <c r="A23" s="71" t="s">
        <v>222</v>
      </c>
      <c r="B23" s="71" t="s">
        <v>223</v>
      </c>
      <c r="C23" s="71" t="s">
        <v>187</v>
      </c>
      <c r="D23" s="71" t="s">
        <v>224</v>
      </c>
      <c r="E23" s="71" t="s">
        <v>52</v>
      </c>
      <c r="F23" s="71" t="s">
        <v>300</v>
      </c>
      <c r="G23" s="88">
        <v>46260.6937384259</v>
      </c>
      <c r="H23" s="89">
        <v>46260</v>
      </c>
      <c r="I23" s="71" t="s">
        <v>317</v>
      </c>
      <c r="J23" s="71">
        <v>0</v>
      </c>
      <c r="K23" s="71" t="s">
        <v>302</v>
      </c>
      <c r="L23" s="71">
        <f t="shared" si="0"/>
        <v>8</v>
      </c>
      <c r="M23" s="71" t="str">
        <f>IFERROR(INDEX(KALENDER!$D$3:$D$132,MATCH(H23,KALENDER!$A$3:$A$132,0)),"Di luar periode")</f>
        <v>Hari Kerja</v>
      </c>
      <c r="N23" s="71">
        <f t="shared" si="1"/>
        <v>0</v>
      </c>
      <c r="O23" s="71">
        <f t="shared" si="2"/>
        <v>1</v>
      </c>
      <c r="P23" s="71">
        <f t="shared" si="3"/>
        <v>0</v>
      </c>
      <c r="Q23" s="71">
        <f t="shared" si="4"/>
        <v>0</v>
      </c>
      <c r="R23" s="71">
        <f t="shared" si="5"/>
        <v>0</v>
      </c>
      <c r="S23" s="71">
        <f t="shared" si="6"/>
        <v>0</v>
      </c>
      <c r="T23" s="71">
        <f t="shared" si="7"/>
        <v>0</v>
      </c>
      <c r="U23" s="71">
        <f>IF(AND(N23=1,V23=1),IF(COUNTIFS(AKTIVITAS!$B$2:$B$3052,B23,AKTIVITAS!$E$2:$E$3052,H23)&gt;0,1,0),0)</f>
        <v>0</v>
      </c>
      <c r="V23" s="71">
        <f>IFERROR(IF(AND(H23&gt;=INDEX(PEMAGANG!$J$3:$J$36,MATCH(B23,PEMAGANG!$C$3:$C$36,0)),H23&lt;=INDEX(PEMAGANG!$K$3:$K$36,MATCH(B23,PEMAGANG!$C$3:$C$36,0))),1,0),0)</f>
        <v>1</v>
      </c>
      <c r="W23" s="71">
        <f t="shared" si="8"/>
        <v>0</v>
      </c>
    </row>
    <row r="24" spans="1:23" x14ac:dyDescent="0.2">
      <c r="A24" s="71" t="s">
        <v>222</v>
      </c>
      <c r="B24" s="71" t="s">
        <v>223</v>
      </c>
      <c r="C24" s="71" t="s">
        <v>187</v>
      </c>
      <c r="D24" s="71" t="s">
        <v>224</v>
      </c>
      <c r="E24" s="71" t="s">
        <v>52</v>
      </c>
      <c r="F24" s="71" t="s">
        <v>298</v>
      </c>
      <c r="G24" s="88">
        <v>46261.310509259303</v>
      </c>
      <c r="H24" s="89">
        <v>46261</v>
      </c>
      <c r="I24" s="71" t="s">
        <v>309</v>
      </c>
      <c r="J24" s="71">
        <v>-33</v>
      </c>
      <c r="K24" s="71" t="s">
        <v>302</v>
      </c>
      <c r="L24" s="71">
        <f t="shared" si="0"/>
        <v>8</v>
      </c>
      <c r="M24" s="71" t="str">
        <f>IFERROR(INDEX(KALENDER!$D$3:$D$132,MATCH(H24,KALENDER!$A$3:$A$132,0)),"Di luar periode")</f>
        <v>Hari Kerja</v>
      </c>
      <c r="N24" s="71">
        <f t="shared" si="1"/>
        <v>1</v>
      </c>
      <c r="O24" s="71">
        <f t="shared" si="2"/>
        <v>1</v>
      </c>
      <c r="P24" s="71">
        <f t="shared" si="3"/>
        <v>1</v>
      </c>
      <c r="Q24" s="71">
        <f t="shared" si="4"/>
        <v>0</v>
      </c>
      <c r="R24" s="71">
        <f t="shared" si="5"/>
        <v>0</v>
      </c>
      <c r="S24" s="71">
        <f t="shared" si="6"/>
        <v>0</v>
      </c>
      <c r="T24" s="71">
        <f t="shared" si="7"/>
        <v>0</v>
      </c>
      <c r="U24" s="71">
        <f>IF(AND(N24=1,V24=1),IF(COUNTIFS(AKTIVITAS!$B$2:$B$3052,B24,AKTIVITAS!$E$2:$E$3052,H24)&gt;0,1,0),0)</f>
        <v>1</v>
      </c>
      <c r="V24" s="71">
        <f>IFERROR(IF(AND(H24&gt;=INDEX(PEMAGANG!$J$3:$J$36,MATCH(B24,PEMAGANG!$C$3:$C$36,0)),H24&lt;=INDEX(PEMAGANG!$K$3:$K$36,MATCH(B24,PEMAGANG!$C$3:$C$36,0))),1,0),0)</f>
        <v>1</v>
      </c>
      <c r="W24" s="71">
        <f t="shared" si="8"/>
        <v>1</v>
      </c>
    </row>
    <row r="25" spans="1:23" x14ac:dyDescent="0.2">
      <c r="A25" s="71" t="s">
        <v>222</v>
      </c>
      <c r="B25" s="71" t="s">
        <v>223</v>
      </c>
      <c r="C25" s="71" t="s">
        <v>187</v>
      </c>
      <c r="D25" s="71" t="s">
        <v>224</v>
      </c>
      <c r="E25" s="71" t="s">
        <v>52</v>
      </c>
      <c r="F25" s="71" t="s">
        <v>300</v>
      </c>
      <c r="G25" s="88">
        <v>46261.690520833297</v>
      </c>
      <c r="H25" s="89">
        <v>46261</v>
      </c>
      <c r="I25" s="71" t="s">
        <v>314</v>
      </c>
      <c r="J25" s="71">
        <v>0</v>
      </c>
      <c r="K25" s="71" t="s">
        <v>302</v>
      </c>
      <c r="L25" s="71">
        <f t="shared" si="0"/>
        <v>8</v>
      </c>
      <c r="M25" s="71" t="str">
        <f>IFERROR(INDEX(KALENDER!$D$3:$D$132,MATCH(H25,KALENDER!$A$3:$A$132,0)),"Di luar periode")</f>
        <v>Hari Kerja</v>
      </c>
      <c r="N25" s="71">
        <f t="shared" si="1"/>
        <v>0</v>
      </c>
      <c r="O25" s="71">
        <f t="shared" si="2"/>
        <v>1</v>
      </c>
      <c r="P25" s="71">
        <f t="shared" si="3"/>
        <v>0</v>
      </c>
      <c r="Q25" s="71">
        <f t="shared" si="4"/>
        <v>0</v>
      </c>
      <c r="R25" s="71">
        <f t="shared" si="5"/>
        <v>0</v>
      </c>
      <c r="S25" s="71">
        <f t="shared" si="6"/>
        <v>0</v>
      </c>
      <c r="T25" s="71">
        <f t="shared" si="7"/>
        <v>0</v>
      </c>
      <c r="U25" s="71">
        <f>IF(AND(N25=1,V25=1),IF(COUNTIFS(AKTIVITAS!$B$2:$B$3052,B25,AKTIVITAS!$E$2:$E$3052,H25)&gt;0,1,0),0)</f>
        <v>0</v>
      </c>
      <c r="V25" s="71">
        <f>IFERROR(IF(AND(H25&gt;=INDEX(PEMAGANG!$J$3:$J$36,MATCH(B25,PEMAGANG!$C$3:$C$36,0)),H25&lt;=INDEX(PEMAGANG!$K$3:$K$36,MATCH(B25,PEMAGANG!$C$3:$C$36,0))),1,0),0)</f>
        <v>1</v>
      </c>
      <c r="W25" s="71">
        <f t="shared" si="8"/>
        <v>0</v>
      </c>
    </row>
    <row r="26" spans="1:23" x14ac:dyDescent="0.2">
      <c r="A26" s="71" t="s">
        <v>222</v>
      </c>
      <c r="B26" s="71" t="s">
        <v>223</v>
      </c>
      <c r="C26" s="71" t="s">
        <v>187</v>
      </c>
      <c r="D26" s="71" t="s">
        <v>224</v>
      </c>
      <c r="E26" s="71" t="s">
        <v>52</v>
      </c>
      <c r="F26" s="71" t="s">
        <v>298</v>
      </c>
      <c r="G26" s="88">
        <v>46262.310289351903</v>
      </c>
      <c r="H26" s="89">
        <v>46262</v>
      </c>
      <c r="I26" s="71" t="s">
        <v>315</v>
      </c>
      <c r="J26" s="71">
        <v>-34</v>
      </c>
      <c r="K26" s="71" t="s">
        <v>302</v>
      </c>
      <c r="L26" s="71">
        <f t="shared" si="0"/>
        <v>8</v>
      </c>
      <c r="M26" s="71" t="str">
        <f>IFERROR(INDEX(KALENDER!$D$3:$D$132,MATCH(H26,KALENDER!$A$3:$A$132,0)),"Di luar periode")</f>
        <v>Hari Kerja</v>
      </c>
      <c r="N26" s="71">
        <f t="shared" si="1"/>
        <v>1</v>
      </c>
      <c r="O26" s="71">
        <f t="shared" si="2"/>
        <v>1</v>
      </c>
      <c r="P26" s="71">
        <f t="shared" si="3"/>
        <v>1</v>
      </c>
      <c r="Q26" s="71">
        <f t="shared" si="4"/>
        <v>0</v>
      </c>
      <c r="R26" s="71">
        <f t="shared" si="5"/>
        <v>0</v>
      </c>
      <c r="S26" s="71">
        <f t="shared" si="6"/>
        <v>0</v>
      </c>
      <c r="T26" s="71">
        <f t="shared" si="7"/>
        <v>0</v>
      </c>
      <c r="U26" s="71">
        <f>IF(AND(N26=1,V26=1),IF(COUNTIFS(AKTIVITAS!$B$2:$B$3052,B26,AKTIVITAS!$E$2:$E$3052,H26)&gt;0,1,0),0)</f>
        <v>1</v>
      </c>
      <c r="V26" s="71">
        <f>IFERROR(IF(AND(H26&gt;=INDEX(PEMAGANG!$J$3:$J$36,MATCH(B26,PEMAGANG!$C$3:$C$36,0)),H26&lt;=INDEX(PEMAGANG!$K$3:$K$36,MATCH(B26,PEMAGANG!$C$3:$C$36,0))),1,0),0)</f>
        <v>1</v>
      </c>
      <c r="W26" s="71">
        <f t="shared" si="8"/>
        <v>1</v>
      </c>
    </row>
    <row r="27" spans="1:23" x14ac:dyDescent="0.2">
      <c r="A27" s="71" t="s">
        <v>222</v>
      </c>
      <c r="B27" s="71" t="s">
        <v>223</v>
      </c>
      <c r="C27" s="71" t="s">
        <v>187</v>
      </c>
      <c r="D27" s="71" t="s">
        <v>224</v>
      </c>
      <c r="E27" s="71" t="s">
        <v>52</v>
      </c>
      <c r="F27" s="71" t="s">
        <v>300</v>
      </c>
      <c r="G27" s="88">
        <v>46262.698090277801</v>
      </c>
      <c r="H27" s="89">
        <v>46262</v>
      </c>
      <c r="I27" s="71" t="s">
        <v>318</v>
      </c>
      <c r="J27" s="71">
        <v>0</v>
      </c>
      <c r="K27" s="71" t="s">
        <v>302</v>
      </c>
      <c r="L27" s="71">
        <f t="shared" si="0"/>
        <v>8</v>
      </c>
      <c r="M27" s="71" t="str">
        <f>IFERROR(INDEX(KALENDER!$D$3:$D$132,MATCH(H27,KALENDER!$A$3:$A$132,0)),"Di luar periode")</f>
        <v>Hari Kerja</v>
      </c>
      <c r="N27" s="71">
        <f t="shared" si="1"/>
        <v>0</v>
      </c>
      <c r="O27" s="71">
        <f t="shared" si="2"/>
        <v>1</v>
      </c>
      <c r="P27" s="71">
        <f t="shared" si="3"/>
        <v>0</v>
      </c>
      <c r="Q27" s="71">
        <f t="shared" si="4"/>
        <v>0</v>
      </c>
      <c r="R27" s="71">
        <f t="shared" si="5"/>
        <v>0</v>
      </c>
      <c r="S27" s="71">
        <f t="shared" si="6"/>
        <v>0</v>
      </c>
      <c r="T27" s="71">
        <f t="shared" si="7"/>
        <v>0</v>
      </c>
      <c r="U27" s="71">
        <f>IF(AND(N27=1,V27=1),IF(COUNTIFS(AKTIVITAS!$B$2:$B$3052,B27,AKTIVITAS!$E$2:$E$3052,H27)&gt;0,1,0),0)</f>
        <v>0</v>
      </c>
      <c r="V27" s="71">
        <f>IFERROR(IF(AND(H27&gt;=INDEX(PEMAGANG!$J$3:$J$36,MATCH(B27,PEMAGANG!$C$3:$C$36,0)),H27&lt;=INDEX(PEMAGANG!$K$3:$K$36,MATCH(B27,PEMAGANG!$C$3:$C$36,0))),1,0),0)</f>
        <v>1</v>
      </c>
      <c r="W27" s="71">
        <f t="shared" si="8"/>
        <v>0</v>
      </c>
    </row>
    <row r="28" spans="1:23" x14ac:dyDescent="0.2">
      <c r="A28" s="71" t="s">
        <v>222</v>
      </c>
      <c r="B28" s="71" t="s">
        <v>223</v>
      </c>
      <c r="C28" s="71" t="s">
        <v>187</v>
      </c>
      <c r="D28" s="71" t="s">
        <v>224</v>
      </c>
      <c r="E28" s="71" t="s">
        <v>52</v>
      </c>
      <c r="F28" s="71" t="s">
        <v>298</v>
      </c>
      <c r="G28" s="88">
        <v>46265.311006944401</v>
      </c>
      <c r="H28" s="89">
        <v>46265</v>
      </c>
      <c r="I28" s="71" t="s">
        <v>309</v>
      </c>
      <c r="J28" s="71">
        <v>-33</v>
      </c>
      <c r="K28" s="71" t="s">
        <v>302</v>
      </c>
      <c r="L28" s="71">
        <f t="shared" si="0"/>
        <v>8</v>
      </c>
      <c r="M28" s="71" t="str">
        <f>IFERROR(INDEX(KALENDER!$D$3:$D$132,MATCH(H28,KALENDER!$A$3:$A$132,0)),"Di luar periode")</f>
        <v>Hari Kerja</v>
      </c>
      <c r="N28" s="71">
        <f t="shared" si="1"/>
        <v>1</v>
      </c>
      <c r="O28" s="71">
        <f t="shared" si="2"/>
        <v>1</v>
      </c>
      <c r="P28" s="71">
        <f t="shared" si="3"/>
        <v>1</v>
      </c>
      <c r="Q28" s="71">
        <f t="shared" si="4"/>
        <v>0</v>
      </c>
      <c r="R28" s="71">
        <f t="shared" si="5"/>
        <v>0</v>
      </c>
      <c r="S28" s="71">
        <f t="shared" si="6"/>
        <v>0</v>
      </c>
      <c r="T28" s="71">
        <f t="shared" si="7"/>
        <v>0</v>
      </c>
      <c r="U28" s="71">
        <f>IF(AND(N28=1,V28=1),IF(COUNTIFS(AKTIVITAS!$B$2:$B$3052,B28,AKTIVITAS!$E$2:$E$3052,H28)&gt;0,1,0),0)</f>
        <v>1</v>
      </c>
      <c r="V28" s="71">
        <f>IFERROR(IF(AND(H28&gt;=INDEX(PEMAGANG!$J$3:$J$36,MATCH(B28,PEMAGANG!$C$3:$C$36,0)),H28&lt;=INDEX(PEMAGANG!$K$3:$K$36,MATCH(B28,PEMAGANG!$C$3:$C$36,0))),1,0),0)</f>
        <v>1</v>
      </c>
      <c r="W28" s="71">
        <f t="shared" si="8"/>
        <v>1</v>
      </c>
    </row>
    <row r="29" spans="1:23" x14ac:dyDescent="0.2">
      <c r="A29" s="71" t="s">
        <v>222</v>
      </c>
      <c r="B29" s="71" t="s">
        <v>223</v>
      </c>
      <c r="C29" s="71" t="s">
        <v>187</v>
      </c>
      <c r="D29" s="71" t="s">
        <v>224</v>
      </c>
      <c r="E29" s="71" t="s">
        <v>52</v>
      </c>
      <c r="F29" s="71" t="s">
        <v>300</v>
      </c>
      <c r="G29" s="88">
        <v>46265.695231481499</v>
      </c>
      <c r="H29" s="89">
        <v>46265</v>
      </c>
      <c r="I29" s="71" t="s">
        <v>319</v>
      </c>
      <c r="J29" s="71">
        <v>0</v>
      </c>
      <c r="K29" s="71" t="s">
        <v>302</v>
      </c>
      <c r="L29" s="71">
        <f t="shared" si="0"/>
        <v>8</v>
      </c>
      <c r="M29" s="71" t="str">
        <f>IFERROR(INDEX(KALENDER!$D$3:$D$132,MATCH(H29,KALENDER!$A$3:$A$132,0)),"Di luar periode")</f>
        <v>Hari Kerja</v>
      </c>
      <c r="N29" s="71">
        <f t="shared" si="1"/>
        <v>0</v>
      </c>
      <c r="O29" s="71">
        <f t="shared" si="2"/>
        <v>1</v>
      </c>
      <c r="P29" s="71">
        <f t="shared" si="3"/>
        <v>0</v>
      </c>
      <c r="Q29" s="71">
        <f t="shared" si="4"/>
        <v>0</v>
      </c>
      <c r="R29" s="71">
        <f t="shared" si="5"/>
        <v>0</v>
      </c>
      <c r="S29" s="71">
        <f t="shared" si="6"/>
        <v>0</v>
      </c>
      <c r="T29" s="71">
        <f t="shared" si="7"/>
        <v>0</v>
      </c>
      <c r="U29" s="71">
        <f>IF(AND(N29=1,V29=1),IF(COUNTIFS(AKTIVITAS!$B$2:$B$3052,B29,AKTIVITAS!$E$2:$E$3052,H29)&gt;0,1,0),0)</f>
        <v>0</v>
      </c>
      <c r="V29" s="71">
        <f>IFERROR(IF(AND(H29&gt;=INDEX(PEMAGANG!$J$3:$J$36,MATCH(B29,PEMAGANG!$C$3:$C$36,0)),H29&lt;=INDEX(PEMAGANG!$K$3:$K$36,MATCH(B29,PEMAGANG!$C$3:$C$36,0))),1,0),0)</f>
        <v>1</v>
      </c>
      <c r="W29" s="71">
        <f t="shared" si="8"/>
        <v>0</v>
      </c>
    </row>
    <row r="30" spans="1:23" x14ac:dyDescent="0.2">
      <c r="A30" s="71" t="s">
        <v>222</v>
      </c>
      <c r="B30" s="71" t="s">
        <v>223</v>
      </c>
      <c r="C30" s="71" t="s">
        <v>187</v>
      </c>
      <c r="D30" s="71" t="s">
        <v>224</v>
      </c>
      <c r="E30" s="71" t="s">
        <v>52</v>
      </c>
      <c r="F30" s="71" t="s">
        <v>298</v>
      </c>
      <c r="G30" s="88">
        <v>46266.310706018499</v>
      </c>
      <c r="H30" s="89">
        <v>46266</v>
      </c>
      <c r="I30" s="71" t="s">
        <v>309</v>
      </c>
      <c r="J30" s="71">
        <v>-33</v>
      </c>
      <c r="K30" s="71" t="s">
        <v>302</v>
      </c>
      <c r="L30" s="71">
        <f t="shared" si="0"/>
        <v>9</v>
      </c>
      <c r="M30" s="71" t="str">
        <f>IFERROR(INDEX(KALENDER!$D$3:$D$132,MATCH(H30,KALENDER!$A$3:$A$132,0)),"Di luar periode")</f>
        <v>Hari Kerja</v>
      </c>
      <c r="N30" s="71">
        <f t="shared" si="1"/>
        <v>1</v>
      </c>
      <c r="O30" s="71">
        <f t="shared" si="2"/>
        <v>1</v>
      </c>
      <c r="P30" s="71">
        <f t="shared" si="3"/>
        <v>1</v>
      </c>
      <c r="Q30" s="71">
        <f t="shared" si="4"/>
        <v>0</v>
      </c>
      <c r="R30" s="71">
        <f t="shared" si="5"/>
        <v>0</v>
      </c>
      <c r="S30" s="71">
        <f t="shared" si="6"/>
        <v>0</v>
      </c>
      <c r="T30" s="71">
        <f t="shared" si="7"/>
        <v>0</v>
      </c>
      <c r="U30" s="71">
        <f>IF(AND(N30=1,V30=1),IF(COUNTIFS(AKTIVITAS!$B$2:$B$3052,B30,AKTIVITAS!$E$2:$E$3052,H30)&gt;0,1,0),0)</f>
        <v>1</v>
      </c>
      <c r="V30" s="71">
        <f>IFERROR(IF(AND(H30&gt;=INDEX(PEMAGANG!$J$3:$J$36,MATCH(B30,PEMAGANG!$C$3:$C$36,0)),H30&lt;=INDEX(PEMAGANG!$K$3:$K$36,MATCH(B30,PEMAGANG!$C$3:$C$36,0))),1,0),0)</f>
        <v>1</v>
      </c>
      <c r="W30" s="71">
        <f t="shared" si="8"/>
        <v>1</v>
      </c>
    </row>
    <row r="31" spans="1:23" x14ac:dyDescent="0.2">
      <c r="A31" s="71" t="s">
        <v>222</v>
      </c>
      <c r="B31" s="71" t="s">
        <v>223</v>
      </c>
      <c r="C31" s="71" t="s">
        <v>187</v>
      </c>
      <c r="D31" s="71" t="s">
        <v>224</v>
      </c>
      <c r="E31" s="71" t="s">
        <v>52</v>
      </c>
      <c r="F31" s="71" t="s">
        <v>300</v>
      </c>
      <c r="G31" s="88">
        <v>46266.695833333302</v>
      </c>
      <c r="H31" s="89">
        <v>46266</v>
      </c>
      <c r="I31" s="71" t="s">
        <v>320</v>
      </c>
      <c r="J31" s="71">
        <v>0</v>
      </c>
      <c r="K31" s="71" t="s">
        <v>302</v>
      </c>
      <c r="L31" s="71">
        <f t="shared" si="0"/>
        <v>9</v>
      </c>
      <c r="M31" s="71" t="str">
        <f>IFERROR(INDEX(KALENDER!$D$3:$D$132,MATCH(H31,KALENDER!$A$3:$A$132,0)),"Di luar periode")</f>
        <v>Hari Kerja</v>
      </c>
      <c r="N31" s="71">
        <f t="shared" si="1"/>
        <v>0</v>
      </c>
      <c r="O31" s="71">
        <f t="shared" si="2"/>
        <v>1</v>
      </c>
      <c r="P31" s="71">
        <f t="shared" si="3"/>
        <v>0</v>
      </c>
      <c r="Q31" s="71">
        <f t="shared" si="4"/>
        <v>0</v>
      </c>
      <c r="R31" s="71">
        <f t="shared" si="5"/>
        <v>0</v>
      </c>
      <c r="S31" s="71">
        <f t="shared" si="6"/>
        <v>0</v>
      </c>
      <c r="T31" s="71">
        <f t="shared" si="7"/>
        <v>0</v>
      </c>
      <c r="U31" s="71">
        <f>IF(AND(N31=1,V31=1),IF(COUNTIFS(AKTIVITAS!$B$2:$B$3052,B31,AKTIVITAS!$E$2:$E$3052,H31)&gt;0,1,0),0)</f>
        <v>0</v>
      </c>
      <c r="V31" s="71">
        <f>IFERROR(IF(AND(H31&gt;=INDEX(PEMAGANG!$J$3:$J$36,MATCH(B31,PEMAGANG!$C$3:$C$36,0)),H31&lt;=INDEX(PEMAGANG!$K$3:$K$36,MATCH(B31,PEMAGANG!$C$3:$C$36,0))),1,0),0)</f>
        <v>1</v>
      </c>
      <c r="W31" s="71">
        <f t="shared" si="8"/>
        <v>0</v>
      </c>
    </row>
    <row r="32" spans="1:23" x14ac:dyDescent="0.2">
      <c r="A32" s="71" t="s">
        <v>222</v>
      </c>
      <c r="B32" s="71" t="s">
        <v>223</v>
      </c>
      <c r="C32" s="71" t="s">
        <v>187</v>
      </c>
      <c r="D32" s="71" t="s">
        <v>224</v>
      </c>
      <c r="E32" s="71" t="s">
        <v>52</v>
      </c>
      <c r="F32" s="71" t="s">
        <v>298</v>
      </c>
      <c r="G32" s="88">
        <v>46267.310393518499</v>
      </c>
      <c r="H32" s="89">
        <v>46267</v>
      </c>
      <c r="I32" s="71" t="s">
        <v>315</v>
      </c>
      <c r="J32" s="71">
        <v>-34</v>
      </c>
      <c r="K32" s="71" t="s">
        <v>302</v>
      </c>
      <c r="L32" s="71">
        <f t="shared" si="0"/>
        <v>9</v>
      </c>
      <c r="M32" s="71" t="str">
        <f>IFERROR(INDEX(KALENDER!$D$3:$D$132,MATCH(H32,KALENDER!$A$3:$A$132,0)),"Di luar periode")</f>
        <v>Hari Kerja</v>
      </c>
      <c r="N32" s="71">
        <f t="shared" si="1"/>
        <v>1</v>
      </c>
      <c r="O32" s="71">
        <f t="shared" si="2"/>
        <v>1</v>
      </c>
      <c r="P32" s="71">
        <f t="shared" si="3"/>
        <v>1</v>
      </c>
      <c r="Q32" s="71">
        <f t="shared" si="4"/>
        <v>0</v>
      </c>
      <c r="R32" s="71">
        <f t="shared" si="5"/>
        <v>0</v>
      </c>
      <c r="S32" s="71">
        <f t="shared" si="6"/>
        <v>0</v>
      </c>
      <c r="T32" s="71">
        <f t="shared" si="7"/>
        <v>0</v>
      </c>
      <c r="U32" s="71">
        <f>IF(AND(N32=1,V32=1),IF(COUNTIFS(AKTIVITAS!$B$2:$B$3052,B32,AKTIVITAS!$E$2:$E$3052,H32)&gt;0,1,0),0)</f>
        <v>1</v>
      </c>
      <c r="V32" s="71">
        <f>IFERROR(IF(AND(H32&gt;=INDEX(PEMAGANG!$J$3:$J$36,MATCH(B32,PEMAGANG!$C$3:$C$36,0)),H32&lt;=INDEX(PEMAGANG!$K$3:$K$36,MATCH(B32,PEMAGANG!$C$3:$C$36,0))),1,0),0)</f>
        <v>1</v>
      </c>
      <c r="W32" s="71">
        <f t="shared" si="8"/>
        <v>1</v>
      </c>
    </row>
    <row r="33" spans="1:23" x14ac:dyDescent="0.2">
      <c r="A33" s="71" t="s">
        <v>222</v>
      </c>
      <c r="B33" s="71" t="s">
        <v>223</v>
      </c>
      <c r="C33" s="71" t="s">
        <v>187</v>
      </c>
      <c r="D33" s="71" t="s">
        <v>224</v>
      </c>
      <c r="E33" s="71" t="s">
        <v>52</v>
      </c>
      <c r="F33" s="71" t="s">
        <v>300</v>
      </c>
      <c r="G33" s="88">
        <v>46267.6940046296</v>
      </c>
      <c r="H33" s="89">
        <v>46267</v>
      </c>
      <c r="I33" s="71" t="s">
        <v>308</v>
      </c>
      <c r="J33" s="71">
        <v>0</v>
      </c>
      <c r="K33" s="71" t="s">
        <v>302</v>
      </c>
      <c r="L33" s="71">
        <f t="shared" si="0"/>
        <v>9</v>
      </c>
      <c r="M33" s="71" t="str">
        <f>IFERROR(INDEX(KALENDER!$D$3:$D$132,MATCH(H33,KALENDER!$A$3:$A$132,0)),"Di luar periode")</f>
        <v>Hari Kerja</v>
      </c>
      <c r="N33" s="71">
        <f t="shared" si="1"/>
        <v>0</v>
      </c>
      <c r="O33" s="71">
        <f t="shared" si="2"/>
        <v>1</v>
      </c>
      <c r="P33" s="71">
        <f t="shared" si="3"/>
        <v>0</v>
      </c>
      <c r="Q33" s="71">
        <f t="shared" si="4"/>
        <v>0</v>
      </c>
      <c r="R33" s="71">
        <f t="shared" si="5"/>
        <v>0</v>
      </c>
      <c r="S33" s="71">
        <f t="shared" si="6"/>
        <v>0</v>
      </c>
      <c r="T33" s="71">
        <f t="shared" si="7"/>
        <v>0</v>
      </c>
      <c r="U33" s="71">
        <f>IF(AND(N33=1,V33=1),IF(COUNTIFS(AKTIVITAS!$B$2:$B$3052,B33,AKTIVITAS!$E$2:$E$3052,H33)&gt;0,1,0),0)</f>
        <v>0</v>
      </c>
      <c r="V33" s="71">
        <f>IFERROR(IF(AND(H33&gt;=INDEX(PEMAGANG!$J$3:$J$36,MATCH(B33,PEMAGANG!$C$3:$C$36,0)),H33&lt;=INDEX(PEMAGANG!$K$3:$K$36,MATCH(B33,PEMAGANG!$C$3:$C$36,0))),1,0),0)</f>
        <v>1</v>
      </c>
      <c r="W33" s="71">
        <f t="shared" si="8"/>
        <v>0</v>
      </c>
    </row>
    <row r="34" spans="1:23" x14ac:dyDescent="0.2">
      <c r="A34" s="71" t="s">
        <v>222</v>
      </c>
      <c r="B34" s="71" t="s">
        <v>223</v>
      </c>
      <c r="C34" s="71" t="s">
        <v>187</v>
      </c>
      <c r="D34" s="71" t="s">
        <v>224</v>
      </c>
      <c r="E34" s="71" t="s">
        <v>52</v>
      </c>
      <c r="F34" s="71" t="s">
        <v>298</v>
      </c>
      <c r="G34" s="88">
        <v>46268.305428240703</v>
      </c>
      <c r="H34" s="89">
        <v>46268</v>
      </c>
      <c r="I34" s="71" t="s">
        <v>321</v>
      </c>
      <c r="J34" s="71">
        <v>-41</v>
      </c>
      <c r="K34" s="71" t="s">
        <v>302</v>
      </c>
      <c r="L34" s="71">
        <f t="shared" si="0"/>
        <v>9</v>
      </c>
      <c r="M34" s="71" t="str">
        <f>IFERROR(INDEX(KALENDER!$D$3:$D$132,MATCH(H34,KALENDER!$A$3:$A$132,0)),"Di luar periode")</f>
        <v>Hari Kerja</v>
      </c>
      <c r="N34" s="71">
        <f t="shared" si="1"/>
        <v>1</v>
      </c>
      <c r="O34" s="71">
        <f t="shared" si="2"/>
        <v>1</v>
      </c>
      <c r="P34" s="71">
        <f t="shared" si="3"/>
        <v>1</v>
      </c>
      <c r="Q34" s="71">
        <f t="shared" si="4"/>
        <v>0</v>
      </c>
      <c r="R34" s="71">
        <f t="shared" si="5"/>
        <v>0</v>
      </c>
      <c r="S34" s="71">
        <f t="shared" si="6"/>
        <v>0</v>
      </c>
      <c r="T34" s="71">
        <f t="shared" si="7"/>
        <v>0</v>
      </c>
      <c r="U34" s="71">
        <f>IF(AND(N34=1,V34=1),IF(COUNTIFS(AKTIVITAS!$B$2:$B$3052,B34,AKTIVITAS!$E$2:$E$3052,H34)&gt;0,1,0),0)</f>
        <v>1</v>
      </c>
      <c r="V34" s="71">
        <f>IFERROR(IF(AND(H34&gt;=INDEX(PEMAGANG!$J$3:$J$36,MATCH(B34,PEMAGANG!$C$3:$C$36,0)),H34&lt;=INDEX(PEMAGANG!$K$3:$K$36,MATCH(B34,PEMAGANG!$C$3:$C$36,0))),1,0),0)</f>
        <v>1</v>
      </c>
      <c r="W34" s="71">
        <f t="shared" si="8"/>
        <v>1</v>
      </c>
    </row>
    <row r="35" spans="1:23" x14ac:dyDescent="0.2">
      <c r="A35" s="71" t="s">
        <v>222</v>
      </c>
      <c r="B35" s="71" t="s">
        <v>223</v>
      </c>
      <c r="C35" s="71" t="s">
        <v>187</v>
      </c>
      <c r="D35" s="71" t="s">
        <v>224</v>
      </c>
      <c r="E35" s="71" t="s">
        <v>52</v>
      </c>
      <c r="F35" s="71" t="s">
        <v>300</v>
      </c>
      <c r="G35" s="88">
        <v>46268.723333333299</v>
      </c>
      <c r="H35" s="89">
        <v>46268</v>
      </c>
      <c r="I35" s="71" t="s">
        <v>322</v>
      </c>
      <c r="J35" s="71">
        <v>0</v>
      </c>
      <c r="K35" s="71" t="s">
        <v>302</v>
      </c>
      <c r="L35" s="71">
        <f t="shared" si="0"/>
        <v>9</v>
      </c>
      <c r="M35" s="71" t="str">
        <f>IFERROR(INDEX(KALENDER!$D$3:$D$132,MATCH(H35,KALENDER!$A$3:$A$132,0)),"Di luar periode")</f>
        <v>Hari Kerja</v>
      </c>
      <c r="N35" s="71">
        <f t="shared" si="1"/>
        <v>0</v>
      </c>
      <c r="O35" s="71">
        <f t="shared" si="2"/>
        <v>1</v>
      </c>
      <c r="P35" s="71">
        <f t="shared" si="3"/>
        <v>0</v>
      </c>
      <c r="Q35" s="71">
        <f t="shared" si="4"/>
        <v>0</v>
      </c>
      <c r="R35" s="71">
        <f t="shared" si="5"/>
        <v>0</v>
      </c>
      <c r="S35" s="71">
        <f t="shared" si="6"/>
        <v>0</v>
      </c>
      <c r="T35" s="71">
        <f t="shared" si="7"/>
        <v>0</v>
      </c>
      <c r="U35" s="71">
        <f>IF(AND(N35=1,V35=1),IF(COUNTIFS(AKTIVITAS!$B$2:$B$3052,B35,AKTIVITAS!$E$2:$E$3052,H35)&gt;0,1,0),0)</f>
        <v>0</v>
      </c>
      <c r="V35" s="71">
        <f>IFERROR(IF(AND(H35&gt;=INDEX(PEMAGANG!$J$3:$J$36,MATCH(B35,PEMAGANG!$C$3:$C$36,0)),H35&lt;=INDEX(PEMAGANG!$K$3:$K$36,MATCH(B35,PEMAGANG!$C$3:$C$36,0))),1,0),0)</f>
        <v>1</v>
      </c>
      <c r="W35" s="71">
        <f t="shared" si="8"/>
        <v>0</v>
      </c>
    </row>
    <row r="36" spans="1:23" x14ac:dyDescent="0.2">
      <c r="A36" s="71" t="s">
        <v>222</v>
      </c>
      <c r="B36" s="71" t="s">
        <v>223</v>
      </c>
      <c r="C36" s="71" t="s">
        <v>187</v>
      </c>
      <c r="D36" s="71" t="s">
        <v>224</v>
      </c>
      <c r="E36" s="71" t="s">
        <v>52</v>
      </c>
      <c r="F36" s="71" t="s">
        <v>300</v>
      </c>
      <c r="G36" s="88">
        <v>46269.693900462997</v>
      </c>
      <c r="H36" s="89">
        <v>46269</v>
      </c>
      <c r="I36" s="71" t="s">
        <v>308</v>
      </c>
      <c r="J36" s="71">
        <v>0</v>
      </c>
      <c r="K36" s="71" t="s">
        <v>302</v>
      </c>
      <c r="L36" s="71">
        <f t="shared" si="0"/>
        <v>9</v>
      </c>
      <c r="M36" s="71" t="str">
        <f>IFERROR(INDEX(KALENDER!$D$3:$D$132,MATCH(H36,KALENDER!$A$3:$A$132,0)),"Di luar periode")</f>
        <v>Hari Kerja</v>
      </c>
      <c r="N36" s="71">
        <f t="shared" si="1"/>
        <v>1</v>
      </c>
      <c r="O36" s="71">
        <f t="shared" si="2"/>
        <v>0</v>
      </c>
      <c r="P36" s="71">
        <f t="shared" si="3"/>
        <v>1</v>
      </c>
      <c r="Q36" s="71">
        <f t="shared" si="4"/>
        <v>0</v>
      </c>
      <c r="R36" s="71">
        <f t="shared" si="5"/>
        <v>0</v>
      </c>
      <c r="S36" s="71">
        <f t="shared" si="6"/>
        <v>0</v>
      </c>
      <c r="T36" s="71">
        <f t="shared" si="7"/>
        <v>0</v>
      </c>
      <c r="U36" s="71">
        <f>IF(AND(N36=1,V36=1),IF(COUNTIFS(AKTIVITAS!$B$2:$B$3052,B36,AKTIVITAS!$E$2:$E$3052,H36)&gt;0,1,0),0)</f>
        <v>1</v>
      </c>
      <c r="V36" s="71">
        <f>IFERROR(IF(AND(H36&gt;=INDEX(PEMAGANG!$J$3:$J$36,MATCH(B36,PEMAGANG!$C$3:$C$36,0)),H36&lt;=INDEX(PEMAGANG!$K$3:$K$36,MATCH(B36,PEMAGANG!$C$3:$C$36,0))),1,0),0)</f>
        <v>1</v>
      </c>
      <c r="W36" s="71">
        <f t="shared" si="8"/>
        <v>1</v>
      </c>
    </row>
    <row r="37" spans="1:23" x14ac:dyDescent="0.2">
      <c r="A37" s="71" t="s">
        <v>222</v>
      </c>
      <c r="B37" s="71" t="s">
        <v>223</v>
      </c>
      <c r="C37" s="71" t="s">
        <v>187</v>
      </c>
      <c r="D37" s="71" t="s">
        <v>224</v>
      </c>
      <c r="E37" s="71" t="s">
        <v>52</v>
      </c>
      <c r="F37" s="71" t="s">
        <v>298</v>
      </c>
      <c r="G37" s="88">
        <v>46272.306689814803</v>
      </c>
      <c r="H37" s="89">
        <v>46272</v>
      </c>
      <c r="I37" s="71" t="s">
        <v>305</v>
      </c>
      <c r="J37" s="71">
        <v>-39</v>
      </c>
      <c r="K37" s="71" t="s">
        <v>302</v>
      </c>
      <c r="L37" s="71">
        <f t="shared" si="0"/>
        <v>9</v>
      </c>
      <c r="M37" s="71" t="str">
        <f>IFERROR(INDEX(KALENDER!$D$3:$D$132,MATCH(H37,KALENDER!$A$3:$A$132,0)),"Di luar periode")</f>
        <v>Hari Kerja</v>
      </c>
      <c r="N37" s="71">
        <f t="shared" si="1"/>
        <v>1</v>
      </c>
      <c r="O37" s="71">
        <f t="shared" si="2"/>
        <v>1</v>
      </c>
      <c r="P37" s="71">
        <f t="shared" si="3"/>
        <v>1</v>
      </c>
      <c r="Q37" s="71">
        <f t="shared" si="4"/>
        <v>0</v>
      </c>
      <c r="R37" s="71">
        <f t="shared" si="5"/>
        <v>0</v>
      </c>
      <c r="S37" s="71">
        <f t="shared" si="6"/>
        <v>0</v>
      </c>
      <c r="T37" s="71">
        <f t="shared" si="7"/>
        <v>0</v>
      </c>
      <c r="U37" s="71">
        <f>IF(AND(N37=1,V37=1),IF(COUNTIFS(AKTIVITAS!$B$2:$B$3052,B37,AKTIVITAS!$E$2:$E$3052,H37)&gt;0,1,0),0)</f>
        <v>1</v>
      </c>
      <c r="V37" s="71">
        <f>IFERROR(IF(AND(H37&gt;=INDEX(PEMAGANG!$J$3:$J$36,MATCH(B37,PEMAGANG!$C$3:$C$36,0)),H37&lt;=INDEX(PEMAGANG!$K$3:$K$36,MATCH(B37,PEMAGANG!$C$3:$C$36,0))),1,0),0)</f>
        <v>1</v>
      </c>
      <c r="W37" s="71">
        <f t="shared" si="8"/>
        <v>1</v>
      </c>
    </row>
    <row r="38" spans="1:23" x14ac:dyDescent="0.2">
      <c r="A38" s="71" t="s">
        <v>222</v>
      </c>
      <c r="B38" s="71" t="s">
        <v>223</v>
      </c>
      <c r="C38" s="71" t="s">
        <v>187</v>
      </c>
      <c r="D38" s="71" t="s">
        <v>224</v>
      </c>
      <c r="E38" s="71" t="s">
        <v>52</v>
      </c>
      <c r="F38" s="71" t="s">
        <v>300</v>
      </c>
      <c r="G38" s="88">
        <v>46272.690543981502</v>
      </c>
      <c r="H38" s="89">
        <v>46272</v>
      </c>
      <c r="I38" s="71" t="s">
        <v>314</v>
      </c>
      <c r="J38" s="71">
        <v>0</v>
      </c>
      <c r="K38" s="71" t="s">
        <v>302</v>
      </c>
      <c r="L38" s="71">
        <f t="shared" si="0"/>
        <v>9</v>
      </c>
      <c r="M38" s="71" t="str">
        <f>IFERROR(INDEX(KALENDER!$D$3:$D$132,MATCH(H38,KALENDER!$A$3:$A$132,0)),"Di luar periode")</f>
        <v>Hari Kerja</v>
      </c>
      <c r="N38" s="71">
        <f t="shared" si="1"/>
        <v>0</v>
      </c>
      <c r="O38" s="71">
        <f t="shared" si="2"/>
        <v>1</v>
      </c>
      <c r="P38" s="71">
        <f t="shared" si="3"/>
        <v>0</v>
      </c>
      <c r="Q38" s="71">
        <f t="shared" si="4"/>
        <v>0</v>
      </c>
      <c r="R38" s="71">
        <f t="shared" si="5"/>
        <v>0</v>
      </c>
      <c r="S38" s="71">
        <f t="shared" si="6"/>
        <v>0</v>
      </c>
      <c r="T38" s="71">
        <f t="shared" si="7"/>
        <v>0</v>
      </c>
      <c r="U38" s="71">
        <f>IF(AND(N38=1,V38=1),IF(COUNTIFS(AKTIVITAS!$B$2:$B$3052,B38,AKTIVITAS!$E$2:$E$3052,H38)&gt;0,1,0),0)</f>
        <v>0</v>
      </c>
      <c r="V38" s="71">
        <f>IFERROR(IF(AND(H38&gt;=INDEX(PEMAGANG!$J$3:$J$36,MATCH(B38,PEMAGANG!$C$3:$C$36,0)),H38&lt;=INDEX(PEMAGANG!$K$3:$K$36,MATCH(B38,PEMAGANG!$C$3:$C$36,0))),1,0),0)</f>
        <v>1</v>
      </c>
      <c r="W38" s="71">
        <f t="shared" si="8"/>
        <v>0</v>
      </c>
    </row>
    <row r="39" spans="1:23" x14ac:dyDescent="0.2">
      <c r="A39" s="71" t="s">
        <v>222</v>
      </c>
      <c r="B39" s="71" t="s">
        <v>223</v>
      </c>
      <c r="C39" s="71" t="s">
        <v>187</v>
      </c>
      <c r="D39" s="71" t="s">
        <v>224</v>
      </c>
      <c r="E39" s="71" t="s">
        <v>52</v>
      </c>
      <c r="F39" s="71" t="s">
        <v>298</v>
      </c>
      <c r="G39" s="88">
        <v>46273.309849537</v>
      </c>
      <c r="H39" s="89">
        <v>46273</v>
      </c>
      <c r="I39" s="71" t="s">
        <v>315</v>
      </c>
      <c r="J39" s="71">
        <v>-34</v>
      </c>
      <c r="K39" s="71" t="s">
        <v>302</v>
      </c>
      <c r="L39" s="71">
        <f t="shared" si="0"/>
        <v>9</v>
      </c>
      <c r="M39" s="71" t="str">
        <f>IFERROR(INDEX(KALENDER!$D$3:$D$132,MATCH(H39,KALENDER!$A$3:$A$132,0)),"Di luar periode")</f>
        <v>Hari Kerja</v>
      </c>
      <c r="N39" s="71">
        <f t="shared" si="1"/>
        <v>1</v>
      </c>
      <c r="O39" s="71">
        <f t="shared" si="2"/>
        <v>1</v>
      </c>
      <c r="P39" s="71">
        <f t="shared" si="3"/>
        <v>1</v>
      </c>
      <c r="Q39" s="71">
        <f t="shared" si="4"/>
        <v>0</v>
      </c>
      <c r="R39" s="71">
        <f t="shared" si="5"/>
        <v>0</v>
      </c>
      <c r="S39" s="71">
        <f t="shared" si="6"/>
        <v>0</v>
      </c>
      <c r="T39" s="71">
        <f t="shared" si="7"/>
        <v>0</v>
      </c>
      <c r="U39" s="71">
        <f>IF(AND(N39=1,V39=1),IF(COUNTIFS(AKTIVITAS!$B$2:$B$3052,B39,AKTIVITAS!$E$2:$E$3052,H39)&gt;0,1,0),0)</f>
        <v>1</v>
      </c>
      <c r="V39" s="71">
        <f>IFERROR(IF(AND(H39&gt;=INDEX(PEMAGANG!$J$3:$J$36,MATCH(B39,PEMAGANG!$C$3:$C$36,0)),H39&lt;=INDEX(PEMAGANG!$K$3:$K$36,MATCH(B39,PEMAGANG!$C$3:$C$36,0))),1,0),0)</f>
        <v>1</v>
      </c>
      <c r="W39" s="71">
        <f t="shared" si="8"/>
        <v>1</v>
      </c>
    </row>
    <row r="40" spans="1:23" x14ac:dyDescent="0.2">
      <c r="A40" s="71" t="s">
        <v>222</v>
      </c>
      <c r="B40" s="71" t="s">
        <v>223</v>
      </c>
      <c r="C40" s="71" t="s">
        <v>187</v>
      </c>
      <c r="D40" s="71" t="s">
        <v>224</v>
      </c>
      <c r="E40" s="71" t="s">
        <v>52</v>
      </c>
      <c r="F40" s="71" t="s">
        <v>300</v>
      </c>
      <c r="G40" s="88">
        <v>46273.7023611111</v>
      </c>
      <c r="H40" s="89">
        <v>46273</v>
      </c>
      <c r="I40" s="71" t="s">
        <v>323</v>
      </c>
      <c r="J40" s="71">
        <v>0</v>
      </c>
      <c r="K40" s="71" t="s">
        <v>302</v>
      </c>
      <c r="L40" s="71">
        <f t="shared" si="0"/>
        <v>9</v>
      </c>
      <c r="M40" s="71" t="str">
        <f>IFERROR(INDEX(KALENDER!$D$3:$D$132,MATCH(H40,KALENDER!$A$3:$A$132,0)),"Di luar periode")</f>
        <v>Hari Kerja</v>
      </c>
      <c r="N40" s="71">
        <f t="shared" si="1"/>
        <v>0</v>
      </c>
      <c r="O40" s="71">
        <f t="shared" si="2"/>
        <v>1</v>
      </c>
      <c r="P40" s="71">
        <f t="shared" si="3"/>
        <v>0</v>
      </c>
      <c r="Q40" s="71">
        <f t="shared" si="4"/>
        <v>0</v>
      </c>
      <c r="R40" s="71">
        <f t="shared" si="5"/>
        <v>0</v>
      </c>
      <c r="S40" s="71">
        <f t="shared" si="6"/>
        <v>0</v>
      </c>
      <c r="T40" s="71">
        <f t="shared" si="7"/>
        <v>0</v>
      </c>
      <c r="U40" s="71">
        <f>IF(AND(N40=1,V40=1),IF(COUNTIFS(AKTIVITAS!$B$2:$B$3052,B40,AKTIVITAS!$E$2:$E$3052,H40)&gt;0,1,0),0)</f>
        <v>0</v>
      </c>
      <c r="V40" s="71">
        <f>IFERROR(IF(AND(H40&gt;=INDEX(PEMAGANG!$J$3:$J$36,MATCH(B40,PEMAGANG!$C$3:$C$36,0)),H40&lt;=INDEX(PEMAGANG!$K$3:$K$36,MATCH(B40,PEMAGANG!$C$3:$C$36,0))),1,0),0)</f>
        <v>1</v>
      </c>
      <c r="W40" s="71">
        <f t="shared" si="8"/>
        <v>0</v>
      </c>
    </row>
    <row r="41" spans="1:23" x14ac:dyDescent="0.2">
      <c r="A41" s="71" t="s">
        <v>222</v>
      </c>
      <c r="B41" s="71" t="s">
        <v>223</v>
      </c>
      <c r="C41" s="71" t="s">
        <v>187</v>
      </c>
      <c r="D41" s="71" t="s">
        <v>224</v>
      </c>
      <c r="E41" s="71" t="s">
        <v>52</v>
      </c>
      <c r="F41" s="71" t="s">
        <v>298</v>
      </c>
      <c r="G41" s="88">
        <v>46274.308321759301</v>
      </c>
      <c r="H41" s="89">
        <v>46274</v>
      </c>
      <c r="I41" s="71" t="s">
        <v>311</v>
      </c>
      <c r="J41" s="71">
        <v>-37</v>
      </c>
      <c r="K41" s="71" t="s">
        <v>302</v>
      </c>
      <c r="L41" s="71">
        <f t="shared" si="0"/>
        <v>9</v>
      </c>
      <c r="M41" s="71" t="str">
        <f>IFERROR(INDEX(KALENDER!$D$3:$D$132,MATCH(H41,KALENDER!$A$3:$A$132,0)),"Di luar periode")</f>
        <v>Hari Kerja</v>
      </c>
      <c r="N41" s="71">
        <f t="shared" si="1"/>
        <v>1</v>
      </c>
      <c r="O41" s="71">
        <f t="shared" si="2"/>
        <v>1</v>
      </c>
      <c r="P41" s="71">
        <f t="shared" si="3"/>
        <v>1</v>
      </c>
      <c r="Q41" s="71">
        <f t="shared" si="4"/>
        <v>0</v>
      </c>
      <c r="R41" s="71">
        <f t="shared" si="5"/>
        <v>0</v>
      </c>
      <c r="S41" s="71">
        <f t="shared" si="6"/>
        <v>0</v>
      </c>
      <c r="T41" s="71">
        <f t="shared" si="7"/>
        <v>0</v>
      </c>
      <c r="U41" s="71">
        <f>IF(AND(N41=1,V41=1),IF(COUNTIFS(AKTIVITAS!$B$2:$B$3052,B41,AKTIVITAS!$E$2:$E$3052,H41)&gt;0,1,0),0)</f>
        <v>1</v>
      </c>
      <c r="V41" s="71">
        <f>IFERROR(IF(AND(H41&gt;=INDEX(PEMAGANG!$J$3:$J$36,MATCH(B41,PEMAGANG!$C$3:$C$36,0)),H41&lt;=INDEX(PEMAGANG!$K$3:$K$36,MATCH(B41,PEMAGANG!$C$3:$C$36,0))),1,0),0)</f>
        <v>1</v>
      </c>
      <c r="W41" s="71">
        <f t="shared" si="8"/>
        <v>1</v>
      </c>
    </row>
    <row r="42" spans="1:23" x14ac:dyDescent="0.2">
      <c r="A42" s="71" t="s">
        <v>222</v>
      </c>
      <c r="B42" s="71" t="s">
        <v>223</v>
      </c>
      <c r="C42" s="71" t="s">
        <v>187</v>
      </c>
      <c r="D42" s="71" t="s">
        <v>224</v>
      </c>
      <c r="E42" s="71" t="s">
        <v>52</v>
      </c>
      <c r="F42" s="71" t="s">
        <v>298</v>
      </c>
      <c r="G42" s="88">
        <v>46274.308321759301</v>
      </c>
      <c r="H42" s="89">
        <v>46274</v>
      </c>
      <c r="I42" s="71" t="s">
        <v>311</v>
      </c>
      <c r="J42" s="71">
        <v>-6.9999999999999796</v>
      </c>
      <c r="K42" s="71" t="s">
        <v>302</v>
      </c>
      <c r="L42" s="71">
        <f t="shared" si="0"/>
        <v>9</v>
      </c>
      <c r="M42" s="71" t="str">
        <f>IFERROR(INDEX(KALENDER!$D$3:$D$132,MATCH(H42,KALENDER!$A$3:$A$132,0)),"Di luar periode")</f>
        <v>Hari Kerja</v>
      </c>
      <c r="N42" s="71">
        <f t="shared" si="1"/>
        <v>0</v>
      </c>
      <c r="O42" s="71">
        <f t="shared" si="2"/>
        <v>2</v>
      </c>
      <c r="P42" s="71">
        <f t="shared" si="3"/>
        <v>0</v>
      </c>
      <c r="Q42" s="71">
        <f t="shared" si="4"/>
        <v>0</v>
      </c>
      <c r="R42" s="71">
        <f t="shared" si="5"/>
        <v>0</v>
      </c>
      <c r="S42" s="71">
        <f t="shared" si="6"/>
        <v>0</v>
      </c>
      <c r="T42" s="71">
        <f t="shared" si="7"/>
        <v>0</v>
      </c>
      <c r="U42" s="71">
        <f>IF(AND(N42=1,V42=1),IF(COUNTIFS(AKTIVITAS!$B$2:$B$3052,B42,AKTIVITAS!$E$2:$E$3052,H42)&gt;0,1,0),0)</f>
        <v>0</v>
      </c>
      <c r="V42" s="71">
        <f>IFERROR(IF(AND(H42&gt;=INDEX(PEMAGANG!$J$3:$J$36,MATCH(B42,PEMAGANG!$C$3:$C$36,0)),H42&lt;=INDEX(PEMAGANG!$K$3:$K$36,MATCH(B42,PEMAGANG!$C$3:$C$36,0))),1,0),0)</f>
        <v>1</v>
      </c>
      <c r="W42" s="71">
        <f t="shared" si="8"/>
        <v>0</v>
      </c>
    </row>
    <row r="43" spans="1:23" x14ac:dyDescent="0.2">
      <c r="A43" s="71" t="s">
        <v>222</v>
      </c>
      <c r="B43" s="71" t="s">
        <v>223</v>
      </c>
      <c r="C43" s="71" t="s">
        <v>187</v>
      </c>
      <c r="D43" s="71" t="s">
        <v>224</v>
      </c>
      <c r="E43" s="71" t="s">
        <v>52</v>
      </c>
      <c r="F43" s="71" t="s">
        <v>300</v>
      </c>
      <c r="G43" s="88">
        <v>46274.713842592602</v>
      </c>
      <c r="H43" s="89">
        <v>46274</v>
      </c>
      <c r="I43" s="71" t="s">
        <v>324</v>
      </c>
      <c r="J43" s="71">
        <v>0</v>
      </c>
      <c r="K43" s="71" t="s">
        <v>302</v>
      </c>
      <c r="L43" s="71">
        <f t="shared" si="0"/>
        <v>9</v>
      </c>
      <c r="M43" s="71" t="str">
        <f>IFERROR(INDEX(KALENDER!$D$3:$D$132,MATCH(H43,KALENDER!$A$3:$A$132,0)),"Di luar periode")</f>
        <v>Hari Kerja</v>
      </c>
      <c r="N43" s="71">
        <f t="shared" si="1"/>
        <v>0</v>
      </c>
      <c r="O43" s="71">
        <f t="shared" si="2"/>
        <v>2</v>
      </c>
      <c r="P43" s="71">
        <f t="shared" si="3"/>
        <v>0</v>
      </c>
      <c r="Q43" s="71">
        <f t="shared" si="4"/>
        <v>0</v>
      </c>
      <c r="R43" s="71">
        <f t="shared" si="5"/>
        <v>0</v>
      </c>
      <c r="S43" s="71">
        <f t="shared" si="6"/>
        <v>0</v>
      </c>
      <c r="T43" s="71">
        <f t="shared" si="7"/>
        <v>0</v>
      </c>
      <c r="U43" s="71">
        <f>IF(AND(N43=1,V43=1),IF(COUNTIFS(AKTIVITAS!$B$2:$B$3052,B43,AKTIVITAS!$E$2:$E$3052,H43)&gt;0,1,0),0)</f>
        <v>0</v>
      </c>
      <c r="V43" s="71">
        <f>IFERROR(IF(AND(H43&gt;=INDEX(PEMAGANG!$J$3:$J$36,MATCH(B43,PEMAGANG!$C$3:$C$36,0)),H43&lt;=INDEX(PEMAGANG!$K$3:$K$36,MATCH(B43,PEMAGANG!$C$3:$C$36,0))),1,0),0)</f>
        <v>1</v>
      </c>
      <c r="W43" s="71">
        <f t="shared" si="8"/>
        <v>0</v>
      </c>
    </row>
    <row r="44" spans="1:23" x14ac:dyDescent="0.2">
      <c r="A44" s="71" t="s">
        <v>222</v>
      </c>
      <c r="B44" s="71" t="s">
        <v>223</v>
      </c>
      <c r="C44" s="71" t="s">
        <v>187</v>
      </c>
      <c r="D44" s="71" t="s">
        <v>224</v>
      </c>
      <c r="E44" s="71" t="s">
        <v>52</v>
      </c>
      <c r="F44" s="71" t="s">
        <v>298</v>
      </c>
      <c r="G44" s="88">
        <v>46275.311064814799</v>
      </c>
      <c r="H44" s="89">
        <v>46275</v>
      </c>
      <c r="I44" s="71" t="s">
        <v>309</v>
      </c>
      <c r="J44" s="71">
        <v>-33</v>
      </c>
      <c r="K44" s="71" t="s">
        <v>302</v>
      </c>
      <c r="L44" s="71">
        <f t="shared" si="0"/>
        <v>9</v>
      </c>
      <c r="M44" s="71" t="str">
        <f>IFERROR(INDEX(KALENDER!$D$3:$D$132,MATCH(H44,KALENDER!$A$3:$A$132,0)),"Di luar periode")</f>
        <v>Hari Kerja</v>
      </c>
      <c r="N44" s="71">
        <f t="shared" si="1"/>
        <v>1</v>
      </c>
      <c r="O44" s="71">
        <f t="shared" si="2"/>
        <v>1</v>
      </c>
      <c r="P44" s="71">
        <f t="shared" si="3"/>
        <v>1</v>
      </c>
      <c r="Q44" s="71">
        <f t="shared" si="4"/>
        <v>0</v>
      </c>
      <c r="R44" s="71">
        <f t="shared" si="5"/>
        <v>0</v>
      </c>
      <c r="S44" s="71">
        <f t="shared" si="6"/>
        <v>0</v>
      </c>
      <c r="T44" s="71">
        <f t="shared" si="7"/>
        <v>0</v>
      </c>
      <c r="U44" s="71">
        <f>IF(AND(N44=1,V44=1),IF(COUNTIFS(AKTIVITAS!$B$2:$B$3052,B44,AKTIVITAS!$E$2:$E$3052,H44)&gt;0,1,0),0)</f>
        <v>1</v>
      </c>
      <c r="V44" s="71">
        <f>IFERROR(IF(AND(H44&gt;=INDEX(PEMAGANG!$J$3:$J$36,MATCH(B44,PEMAGANG!$C$3:$C$36,0)),H44&lt;=INDEX(PEMAGANG!$K$3:$K$36,MATCH(B44,PEMAGANG!$C$3:$C$36,0))),1,0),0)</f>
        <v>1</v>
      </c>
      <c r="W44" s="71">
        <f t="shared" si="8"/>
        <v>1</v>
      </c>
    </row>
    <row r="45" spans="1:23" x14ac:dyDescent="0.2">
      <c r="A45" s="71" t="s">
        <v>222</v>
      </c>
      <c r="B45" s="71" t="s">
        <v>223</v>
      </c>
      <c r="C45" s="71" t="s">
        <v>187</v>
      </c>
      <c r="D45" s="71" t="s">
        <v>224</v>
      </c>
      <c r="E45" s="71" t="s">
        <v>52</v>
      </c>
      <c r="F45" s="71" t="s">
        <v>298</v>
      </c>
      <c r="G45" s="88">
        <v>46275.311064814799</v>
      </c>
      <c r="H45" s="89">
        <v>46275</v>
      </c>
      <c r="I45" s="71" t="s">
        <v>309</v>
      </c>
      <c r="J45" s="71">
        <v>-2.9999999999999898</v>
      </c>
      <c r="K45" s="71" t="s">
        <v>302</v>
      </c>
      <c r="L45" s="71">
        <f t="shared" si="0"/>
        <v>9</v>
      </c>
      <c r="M45" s="71" t="str">
        <f>IFERROR(INDEX(KALENDER!$D$3:$D$132,MATCH(H45,KALENDER!$A$3:$A$132,0)),"Di luar periode")</f>
        <v>Hari Kerja</v>
      </c>
      <c r="N45" s="71">
        <f t="shared" si="1"/>
        <v>0</v>
      </c>
      <c r="O45" s="71">
        <f t="shared" si="2"/>
        <v>2</v>
      </c>
      <c r="P45" s="71">
        <f t="shared" si="3"/>
        <v>0</v>
      </c>
      <c r="Q45" s="71">
        <f t="shared" si="4"/>
        <v>0</v>
      </c>
      <c r="R45" s="71">
        <f t="shared" si="5"/>
        <v>0</v>
      </c>
      <c r="S45" s="71">
        <f t="shared" si="6"/>
        <v>0</v>
      </c>
      <c r="T45" s="71">
        <f t="shared" si="7"/>
        <v>0</v>
      </c>
      <c r="U45" s="71">
        <f>IF(AND(N45=1,V45=1),IF(COUNTIFS(AKTIVITAS!$B$2:$B$3052,B45,AKTIVITAS!$E$2:$E$3052,H45)&gt;0,1,0),0)</f>
        <v>0</v>
      </c>
      <c r="V45" s="71">
        <f>IFERROR(IF(AND(H45&gt;=INDEX(PEMAGANG!$J$3:$J$36,MATCH(B45,PEMAGANG!$C$3:$C$36,0)),H45&lt;=INDEX(PEMAGANG!$K$3:$K$36,MATCH(B45,PEMAGANG!$C$3:$C$36,0))),1,0),0)</f>
        <v>1</v>
      </c>
      <c r="W45" s="71">
        <f t="shared" si="8"/>
        <v>0</v>
      </c>
    </row>
    <row r="46" spans="1:23" x14ac:dyDescent="0.2">
      <c r="A46" s="71" t="s">
        <v>222</v>
      </c>
      <c r="B46" s="71" t="s">
        <v>223</v>
      </c>
      <c r="C46" s="71" t="s">
        <v>187</v>
      </c>
      <c r="D46" s="71" t="s">
        <v>224</v>
      </c>
      <c r="E46" s="71" t="s">
        <v>52</v>
      </c>
      <c r="F46" s="71" t="s">
        <v>300</v>
      </c>
      <c r="G46" s="88">
        <v>46275.695243055598</v>
      </c>
      <c r="H46" s="89">
        <v>46275</v>
      </c>
      <c r="I46" s="71" t="s">
        <v>319</v>
      </c>
      <c r="J46" s="71">
        <v>0</v>
      </c>
      <c r="K46" s="71" t="s">
        <v>302</v>
      </c>
      <c r="L46" s="71">
        <f t="shared" si="0"/>
        <v>9</v>
      </c>
      <c r="M46" s="71" t="str">
        <f>IFERROR(INDEX(KALENDER!$D$3:$D$132,MATCH(H46,KALENDER!$A$3:$A$132,0)),"Di luar periode")</f>
        <v>Hari Kerja</v>
      </c>
      <c r="N46" s="71">
        <f t="shared" si="1"/>
        <v>0</v>
      </c>
      <c r="O46" s="71">
        <f t="shared" si="2"/>
        <v>2</v>
      </c>
      <c r="P46" s="71">
        <f t="shared" si="3"/>
        <v>0</v>
      </c>
      <c r="Q46" s="71">
        <f t="shared" si="4"/>
        <v>0</v>
      </c>
      <c r="R46" s="71">
        <f t="shared" si="5"/>
        <v>0</v>
      </c>
      <c r="S46" s="71">
        <f t="shared" si="6"/>
        <v>0</v>
      </c>
      <c r="T46" s="71">
        <f t="shared" si="7"/>
        <v>0</v>
      </c>
      <c r="U46" s="71">
        <f>IF(AND(N46=1,V46=1),IF(COUNTIFS(AKTIVITAS!$B$2:$B$3052,B46,AKTIVITAS!$E$2:$E$3052,H46)&gt;0,1,0),0)</f>
        <v>0</v>
      </c>
      <c r="V46" s="71">
        <f>IFERROR(IF(AND(H46&gt;=INDEX(PEMAGANG!$J$3:$J$36,MATCH(B46,PEMAGANG!$C$3:$C$36,0)),H46&lt;=INDEX(PEMAGANG!$K$3:$K$36,MATCH(B46,PEMAGANG!$C$3:$C$36,0))),1,0),0)</f>
        <v>1</v>
      </c>
      <c r="W46" s="71">
        <f t="shared" si="8"/>
        <v>0</v>
      </c>
    </row>
    <row r="47" spans="1:23" x14ac:dyDescent="0.2">
      <c r="A47" s="71" t="s">
        <v>222</v>
      </c>
      <c r="B47" s="71" t="s">
        <v>223</v>
      </c>
      <c r="C47" s="71" t="s">
        <v>187</v>
      </c>
      <c r="D47" s="71" t="s">
        <v>224</v>
      </c>
      <c r="E47" s="71" t="s">
        <v>52</v>
      </c>
      <c r="F47" s="71" t="s">
        <v>298</v>
      </c>
      <c r="G47" s="88">
        <v>46276.307650463001</v>
      </c>
      <c r="H47" s="89">
        <v>46276</v>
      </c>
      <c r="I47" s="71" t="s">
        <v>311</v>
      </c>
      <c r="J47" s="71">
        <v>-6.9999999999999796</v>
      </c>
      <c r="K47" s="71" t="s">
        <v>302</v>
      </c>
      <c r="L47" s="71">
        <f t="shared" si="0"/>
        <v>9</v>
      </c>
      <c r="M47" s="71" t="str">
        <f>IFERROR(INDEX(KALENDER!$D$3:$D$132,MATCH(H47,KALENDER!$A$3:$A$132,0)),"Di luar periode")</f>
        <v>Hari Kerja</v>
      </c>
      <c r="N47" s="71">
        <f t="shared" si="1"/>
        <v>1</v>
      </c>
      <c r="O47" s="71">
        <f t="shared" si="2"/>
        <v>1</v>
      </c>
      <c r="P47" s="71">
        <f t="shared" si="3"/>
        <v>1</v>
      </c>
      <c r="Q47" s="71">
        <f t="shared" si="4"/>
        <v>0</v>
      </c>
      <c r="R47" s="71">
        <f t="shared" si="5"/>
        <v>0</v>
      </c>
      <c r="S47" s="71">
        <f t="shared" si="6"/>
        <v>0</v>
      </c>
      <c r="T47" s="71">
        <f t="shared" si="7"/>
        <v>1</v>
      </c>
      <c r="U47" s="71">
        <f>IF(AND(N47=1,V47=1),IF(COUNTIFS(AKTIVITAS!$B$2:$B$3052,B47,AKTIVITAS!$E$2:$E$3052,H47)&gt;0,1,0),0)</f>
        <v>1</v>
      </c>
      <c r="V47" s="71">
        <f>IFERROR(IF(AND(H47&gt;=INDEX(PEMAGANG!$J$3:$J$36,MATCH(B47,PEMAGANG!$C$3:$C$36,0)),H47&lt;=INDEX(PEMAGANG!$K$3:$K$36,MATCH(B47,PEMAGANG!$C$3:$C$36,0))),1,0),0)</f>
        <v>1</v>
      </c>
      <c r="W47" s="71">
        <f t="shared" si="8"/>
        <v>1</v>
      </c>
    </row>
    <row r="48" spans="1:23" x14ac:dyDescent="0.2">
      <c r="A48" s="71" t="s">
        <v>222</v>
      </c>
      <c r="B48" s="71" t="s">
        <v>223</v>
      </c>
      <c r="C48" s="71" t="s">
        <v>187</v>
      </c>
      <c r="D48" s="71" t="s">
        <v>224</v>
      </c>
      <c r="E48" s="71" t="s">
        <v>52</v>
      </c>
      <c r="F48" s="71" t="s">
        <v>298</v>
      </c>
      <c r="G48" s="88">
        <v>46280.307962963001</v>
      </c>
      <c r="H48" s="89">
        <v>46280</v>
      </c>
      <c r="I48" s="71" t="s">
        <v>311</v>
      </c>
      <c r="J48" s="71">
        <v>-6.9999999999999796</v>
      </c>
      <c r="K48" s="71" t="s">
        <v>302</v>
      </c>
      <c r="L48" s="71">
        <f t="shared" si="0"/>
        <v>9</v>
      </c>
      <c r="M48" s="71" t="str">
        <f>IFERROR(INDEX(KALENDER!$D$3:$D$132,MATCH(H48,KALENDER!$A$3:$A$132,0)),"Di luar periode")</f>
        <v>Hari Kerja</v>
      </c>
      <c r="N48" s="71">
        <f t="shared" si="1"/>
        <v>1</v>
      </c>
      <c r="O48" s="71">
        <f t="shared" si="2"/>
        <v>1</v>
      </c>
      <c r="P48" s="71">
        <f t="shared" si="3"/>
        <v>1</v>
      </c>
      <c r="Q48" s="71">
        <f t="shared" si="4"/>
        <v>0</v>
      </c>
      <c r="R48" s="71">
        <f t="shared" si="5"/>
        <v>0</v>
      </c>
      <c r="S48" s="71">
        <f t="shared" si="6"/>
        <v>0</v>
      </c>
      <c r="T48" s="71">
        <f t="shared" si="7"/>
        <v>0</v>
      </c>
      <c r="U48" s="71">
        <f>IF(AND(N48=1,V48=1),IF(COUNTIFS(AKTIVITAS!$B$2:$B$3052,B48,AKTIVITAS!$E$2:$E$3052,H48)&gt;0,1,0),0)</f>
        <v>1</v>
      </c>
      <c r="V48" s="71">
        <f>IFERROR(IF(AND(H48&gt;=INDEX(PEMAGANG!$J$3:$J$36,MATCH(B48,PEMAGANG!$C$3:$C$36,0)),H48&lt;=INDEX(PEMAGANG!$K$3:$K$36,MATCH(B48,PEMAGANG!$C$3:$C$36,0))),1,0),0)</f>
        <v>1</v>
      </c>
      <c r="W48" s="71">
        <f t="shared" si="8"/>
        <v>1</v>
      </c>
    </row>
    <row r="49" spans="1:23" x14ac:dyDescent="0.2">
      <c r="A49" s="71" t="s">
        <v>222</v>
      </c>
      <c r="B49" s="71" t="s">
        <v>223</v>
      </c>
      <c r="C49" s="71" t="s">
        <v>187</v>
      </c>
      <c r="D49" s="71" t="s">
        <v>224</v>
      </c>
      <c r="E49" s="71" t="s">
        <v>52</v>
      </c>
      <c r="F49" s="71" t="s">
        <v>300</v>
      </c>
      <c r="G49" s="88">
        <v>46280.694074074097</v>
      </c>
      <c r="H49" s="89">
        <v>46280</v>
      </c>
      <c r="I49" s="71" t="s">
        <v>308</v>
      </c>
      <c r="J49" s="71">
        <v>0</v>
      </c>
      <c r="K49" s="71" t="s">
        <v>302</v>
      </c>
      <c r="L49" s="71">
        <f t="shared" si="0"/>
        <v>9</v>
      </c>
      <c r="M49" s="71" t="str">
        <f>IFERROR(INDEX(KALENDER!$D$3:$D$132,MATCH(H49,KALENDER!$A$3:$A$132,0)),"Di luar periode")</f>
        <v>Hari Kerja</v>
      </c>
      <c r="N49" s="71">
        <f t="shared" si="1"/>
        <v>0</v>
      </c>
      <c r="O49" s="71">
        <f t="shared" si="2"/>
        <v>1</v>
      </c>
      <c r="P49" s="71">
        <f t="shared" si="3"/>
        <v>0</v>
      </c>
      <c r="Q49" s="71">
        <f t="shared" si="4"/>
        <v>0</v>
      </c>
      <c r="R49" s="71">
        <f t="shared" si="5"/>
        <v>0</v>
      </c>
      <c r="S49" s="71">
        <f t="shared" si="6"/>
        <v>0</v>
      </c>
      <c r="T49" s="71">
        <f t="shared" si="7"/>
        <v>0</v>
      </c>
      <c r="U49" s="71">
        <f>IF(AND(N49=1,V49=1),IF(COUNTIFS(AKTIVITAS!$B$2:$B$3052,B49,AKTIVITAS!$E$2:$E$3052,H49)&gt;0,1,0),0)</f>
        <v>0</v>
      </c>
      <c r="V49" s="71">
        <f>IFERROR(IF(AND(H49&gt;=INDEX(PEMAGANG!$J$3:$J$36,MATCH(B49,PEMAGANG!$C$3:$C$36,0)),H49&lt;=INDEX(PEMAGANG!$K$3:$K$36,MATCH(B49,PEMAGANG!$C$3:$C$36,0))),1,0),0)</f>
        <v>1</v>
      </c>
      <c r="W49" s="71">
        <f t="shared" si="8"/>
        <v>0</v>
      </c>
    </row>
    <row r="50" spans="1:23" x14ac:dyDescent="0.2">
      <c r="A50" s="71" t="s">
        <v>222</v>
      </c>
      <c r="B50" s="71" t="s">
        <v>223</v>
      </c>
      <c r="C50" s="71" t="s">
        <v>187</v>
      </c>
      <c r="D50" s="71" t="s">
        <v>224</v>
      </c>
      <c r="E50" s="71" t="s">
        <v>52</v>
      </c>
      <c r="F50" s="71" t="s">
        <v>298</v>
      </c>
      <c r="G50" s="88">
        <v>46281.308773148201</v>
      </c>
      <c r="H50" s="89">
        <v>46281</v>
      </c>
      <c r="I50" s="71" t="s">
        <v>303</v>
      </c>
      <c r="J50" s="71">
        <v>-5.9999999999999796</v>
      </c>
      <c r="K50" s="71" t="s">
        <v>302</v>
      </c>
      <c r="L50" s="71">
        <f t="shared" si="0"/>
        <v>9</v>
      </c>
      <c r="M50" s="71" t="str">
        <f>IFERROR(INDEX(KALENDER!$D$3:$D$132,MATCH(H50,KALENDER!$A$3:$A$132,0)),"Di luar periode")</f>
        <v>Hari Kerja</v>
      </c>
      <c r="N50" s="71">
        <f t="shared" si="1"/>
        <v>1</v>
      </c>
      <c r="O50" s="71">
        <f t="shared" si="2"/>
        <v>1</v>
      </c>
      <c r="P50" s="71">
        <f t="shared" si="3"/>
        <v>1</v>
      </c>
      <c r="Q50" s="71">
        <f t="shared" si="4"/>
        <v>0</v>
      </c>
      <c r="R50" s="71">
        <f t="shared" si="5"/>
        <v>0</v>
      </c>
      <c r="S50" s="71">
        <f t="shared" si="6"/>
        <v>0</v>
      </c>
      <c r="T50" s="71">
        <f t="shared" si="7"/>
        <v>0</v>
      </c>
      <c r="U50" s="71">
        <f>IF(AND(N50=1,V50=1),IF(COUNTIFS(AKTIVITAS!$B$2:$B$3052,B50,AKTIVITAS!$E$2:$E$3052,H50)&gt;0,1,0),0)</f>
        <v>1</v>
      </c>
      <c r="V50" s="71">
        <f>IFERROR(IF(AND(H50&gt;=INDEX(PEMAGANG!$J$3:$J$36,MATCH(B50,PEMAGANG!$C$3:$C$36,0)),H50&lt;=INDEX(PEMAGANG!$K$3:$K$36,MATCH(B50,PEMAGANG!$C$3:$C$36,0))),1,0),0)</f>
        <v>1</v>
      </c>
      <c r="W50" s="71">
        <f t="shared" si="8"/>
        <v>1</v>
      </c>
    </row>
    <row r="51" spans="1:23" x14ac:dyDescent="0.2">
      <c r="A51" s="71" t="s">
        <v>222</v>
      </c>
      <c r="B51" s="71" t="s">
        <v>223</v>
      </c>
      <c r="C51" s="71" t="s">
        <v>187</v>
      </c>
      <c r="D51" s="71" t="s">
        <v>224</v>
      </c>
      <c r="E51" s="71" t="s">
        <v>52</v>
      </c>
      <c r="F51" s="71" t="s">
        <v>300</v>
      </c>
      <c r="G51" s="88">
        <v>46281.702777777798</v>
      </c>
      <c r="H51" s="89">
        <v>46281</v>
      </c>
      <c r="I51" s="71" t="s">
        <v>325</v>
      </c>
      <c r="J51" s="71">
        <v>0</v>
      </c>
      <c r="K51" s="71" t="s">
        <v>302</v>
      </c>
      <c r="L51" s="71">
        <f t="shared" si="0"/>
        <v>9</v>
      </c>
      <c r="M51" s="71" t="str">
        <f>IFERROR(INDEX(KALENDER!$D$3:$D$132,MATCH(H51,KALENDER!$A$3:$A$132,0)),"Di luar periode")</f>
        <v>Hari Kerja</v>
      </c>
      <c r="N51" s="71">
        <f t="shared" si="1"/>
        <v>0</v>
      </c>
      <c r="O51" s="71">
        <f t="shared" si="2"/>
        <v>1</v>
      </c>
      <c r="P51" s="71">
        <f t="shared" si="3"/>
        <v>0</v>
      </c>
      <c r="Q51" s="71">
        <f t="shared" si="4"/>
        <v>0</v>
      </c>
      <c r="R51" s="71">
        <f t="shared" si="5"/>
        <v>0</v>
      </c>
      <c r="S51" s="71">
        <f t="shared" si="6"/>
        <v>0</v>
      </c>
      <c r="T51" s="71">
        <f t="shared" si="7"/>
        <v>0</v>
      </c>
      <c r="U51" s="71">
        <f>IF(AND(N51=1,V51=1),IF(COUNTIFS(AKTIVITAS!$B$2:$B$3052,B51,AKTIVITAS!$E$2:$E$3052,H51)&gt;0,1,0),0)</f>
        <v>0</v>
      </c>
      <c r="V51" s="71">
        <f>IFERROR(IF(AND(H51&gt;=INDEX(PEMAGANG!$J$3:$J$36,MATCH(B51,PEMAGANG!$C$3:$C$36,0)),H51&lt;=INDEX(PEMAGANG!$K$3:$K$36,MATCH(B51,PEMAGANG!$C$3:$C$36,0))),1,0),0)</f>
        <v>1</v>
      </c>
      <c r="W51" s="71">
        <f t="shared" si="8"/>
        <v>0</v>
      </c>
    </row>
    <row r="52" spans="1:23" x14ac:dyDescent="0.2">
      <c r="A52" s="71" t="s">
        <v>222</v>
      </c>
      <c r="B52" s="71" t="s">
        <v>223</v>
      </c>
      <c r="C52" s="71" t="s">
        <v>187</v>
      </c>
      <c r="D52" s="71" t="s">
        <v>224</v>
      </c>
      <c r="E52" s="71" t="s">
        <v>52</v>
      </c>
      <c r="F52" s="71" t="s">
        <v>298</v>
      </c>
      <c r="G52" s="88">
        <v>46282.309780092597</v>
      </c>
      <c r="H52" s="89">
        <v>46282</v>
      </c>
      <c r="I52" s="71" t="s">
        <v>315</v>
      </c>
      <c r="J52" s="71">
        <v>-3.9999999999999898</v>
      </c>
      <c r="K52" s="71" t="s">
        <v>302</v>
      </c>
      <c r="L52" s="71">
        <f t="shared" si="0"/>
        <v>9</v>
      </c>
      <c r="M52" s="71" t="str">
        <f>IFERROR(INDEX(KALENDER!$D$3:$D$132,MATCH(H52,KALENDER!$A$3:$A$132,0)),"Di luar periode")</f>
        <v>Hari Kerja</v>
      </c>
      <c r="N52" s="71">
        <f t="shared" si="1"/>
        <v>1</v>
      </c>
      <c r="O52" s="71">
        <f t="shared" si="2"/>
        <v>1</v>
      </c>
      <c r="P52" s="71">
        <f t="shared" si="3"/>
        <v>1</v>
      </c>
      <c r="Q52" s="71">
        <f t="shared" si="4"/>
        <v>0</v>
      </c>
      <c r="R52" s="71">
        <f t="shared" si="5"/>
        <v>0</v>
      </c>
      <c r="S52" s="71">
        <f t="shared" si="6"/>
        <v>0</v>
      </c>
      <c r="T52" s="71">
        <f t="shared" si="7"/>
        <v>0</v>
      </c>
      <c r="U52" s="71">
        <f>IF(AND(N52=1,V52=1),IF(COUNTIFS(AKTIVITAS!$B$2:$B$3052,B52,AKTIVITAS!$E$2:$E$3052,H52)&gt;0,1,0),0)</f>
        <v>1</v>
      </c>
      <c r="V52" s="71">
        <f>IFERROR(IF(AND(H52&gt;=INDEX(PEMAGANG!$J$3:$J$36,MATCH(B52,PEMAGANG!$C$3:$C$36,0)),H52&lt;=INDEX(PEMAGANG!$K$3:$K$36,MATCH(B52,PEMAGANG!$C$3:$C$36,0))),1,0),0)</f>
        <v>1</v>
      </c>
      <c r="W52" s="71">
        <f t="shared" si="8"/>
        <v>1</v>
      </c>
    </row>
    <row r="53" spans="1:23" x14ac:dyDescent="0.2">
      <c r="A53" s="71" t="s">
        <v>222</v>
      </c>
      <c r="B53" s="71" t="s">
        <v>223</v>
      </c>
      <c r="C53" s="71" t="s">
        <v>187</v>
      </c>
      <c r="D53" s="71" t="s">
        <v>224</v>
      </c>
      <c r="E53" s="71" t="s">
        <v>52</v>
      </c>
      <c r="F53" s="71" t="s">
        <v>300</v>
      </c>
      <c r="G53" s="88">
        <v>46282.690706018497</v>
      </c>
      <c r="H53" s="89">
        <v>46282</v>
      </c>
      <c r="I53" s="71" t="s">
        <v>314</v>
      </c>
      <c r="J53" s="71">
        <v>0</v>
      </c>
      <c r="K53" s="71" t="s">
        <v>302</v>
      </c>
      <c r="L53" s="71">
        <f t="shared" si="0"/>
        <v>9</v>
      </c>
      <c r="M53" s="71" t="str">
        <f>IFERROR(INDEX(KALENDER!$D$3:$D$132,MATCH(H53,KALENDER!$A$3:$A$132,0)),"Di luar periode")</f>
        <v>Hari Kerja</v>
      </c>
      <c r="N53" s="71">
        <f t="shared" si="1"/>
        <v>0</v>
      </c>
      <c r="O53" s="71">
        <f t="shared" si="2"/>
        <v>1</v>
      </c>
      <c r="P53" s="71">
        <f t="shared" si="3"/>
        <v>0</v>
      </c>
      <c r="Q53" s="71">
        <f t="shared" si="4"/>
        <v>0</v>
      </c>
      <c r="R53" s="71">
        <f t="shared" si="5"/>
        <v>0</v>
      </c>
      <c r="S53" s="71">
        <f t="shared" si="6"/>
        <v>0</v>
      </c>
      <c r="T53" s="71">
        <f t="shared" si="7"/>
        <v>0</v>
      </c>
      <c r="U53" s="71">
        <f>IF(AND(N53=1,V53=1),IF(COUNTIFS(AKTIVITAS!$B$2:$B$3052,B53,AKTIVITAS!$E$2:$E$3052,H53)&gt;0,1,0),0)</f>
        <v>0</v>
      </c>
      <c r="V53" s="71">
        <f>IFERROR(IF(AND(H53&gt;=INDEX(PEMAGANG!$J$3:$J$36,MATCH(B53,PEMAGANG!$C$3:$C$36,0)),H53&lt;=INDEX(PEMAGANG!$K$3:$K$36,MATCH(B53,PEMAGANG!$C$3:$C$36,0))),1,0),0)</f>
        <v>1</v>
      </c>
      <c r="W53" s="71">
        <f t="shared" si="8"/>
        <v>0</v>
      </c>
    </row>
    <row r="54" spans="1:23" x14ac:dyDescent="0.2">
      <c r="A54" s="71" t="s">
        <v>222</v>
      </c>
      <c r="B54" s="71" t="s">
        <v>223</v>
      </c>
      <c r="C54" s="71" t="s">
        <v>187</v>
      </c>
      <c r="D54" s="71" t="s">
        <v>224</v>
      </c>
      <c r="E54" s="71" t="s">
        <v>52</v>
      </c>
      <c r="F54" s="71" t="s">
        <v>298</v>
      </c>
      <c r="G54" s="88">
        <v>46283.305254629602</v>
      </c>
      <c r="H54" s="89">
        <v>46283</v>
      </c>
      <c r="I54" s="71" t="s">
        <v>321</v>
      </c>
      <c r="J54" s="71">
        <v>-11</v>
      </c>
      <c r="K54" s="71" t="s">
        <v>302</v>
      </c>
      <c r="L54" s="71">
        <f t="shared" si="0"/>
        <v>9</v>
      </c>
      <c r="M54" s="71" t="str">
        <f>IFERROR(INDEX(KALENDER!$D$3:$D$132,MATCH(H54,KALENDER!$A$3:$A$132,0)),"Di luar periode")</f>
        <v>Hari Kerja</v>
      </c>
      <c r="N54" s="71">
        <f t="shared" si="1"/>
        <v>1</v>
      </c>
      <c r="O54" s="71">
        <f t="shared" si="2"/>
        <v>1</v>
      </c>
      <c r="P54" s="71">
        <f t="shared" si="3"/>
        <v>1</v>
      </c>
      <c r="Q54" s="71">
        <f t="shared" si="4"/>
        <v>0</v>
      </c>
      <c r="R54" s="71">
        <f t="shared" si="5"/>
        <v>0</v>
      </c>
      <c r="S54" s="71">
        <f t="shared" si="6"/>
        <v>0</v>
      </c>
      <c r="T54" s="71">
        <f t="shared" si="7"/>
        <v>1</v>
      </c>
      <c r="U54" s="71">
        <f>IF(AND(N54=1,V54=1),IF(COUNTIFS(AKTIVITAS!$B$2:$B$3052,B54,AKTIVITAS!$E$2:$E$3052,H54)&gt;0,1,0),0)</f>
        <v>1</v>
      </c>
      <c r="V54" s="71">
        <f>IFERROR(IF(AND(H54&gt;=INDEX(PEMAGANG!$J$3:$J$36,MATCH(B54,PEMAGANG!$C$3:$C$36,0)),H54&lt;=INDEX(PEMAGANG!$K$3:$K$36,MATCH(B54,PEMAGANG!$C$3:$C$36,0))),1,0),0)</f>
        <v>1</v>
      </c>
      <c r="W54" s="71">
        <f t="shared" si="8"/>
        <v>1</v>
      </c>
    </row>
    <row r="55" spans="1:23" x14ac:dyDescent="0.2">
      <c r="A55" s="71" t="s">
        <v>222</v>
      </c>
      <c r="B55" s="71" t="s">
        <v>223</v>
      </c>
      <c r="C55" s="71" t="s">
        <v>187</v>
      </c>
      <c r="D55" s="71" t="s">
        <v>224</v>
      </c>
      <c r="E55" s="71" t="s">
        <v>52</v>
      </c>
      <c r="F55" s="71" t="s">
        <v>298</v>
      </c>
      <c r="G55" s="88">
        <v>46283.305370370399</v>
      </c>
      <c r="H55" s="89">
        <v>46283</v>
      </c>
      <c r="I55" s="71" t="s">
        <v>321</v>
      </c>
      <c r="J55" s="71">
        <v>-11</v>
      </c>
      <c r="K55" s="71" t="s">
        <v>302</v>
      </c>
      <c r="L55" s="71">
        <f t="shared" si="0"/>
        <v>9</v>
      </c>
      <c r="M55" s="71" t="str">
        <f>IFERROR(INDEX(KALENDER!$D$3:$D$132,MATCH(H55,KALENDER!$A$3:$A$132,0)),"Di luar periode")</f>
        <v>Hari Kerja</v>
      </c>
      <c r="N55" s="71">
        <f t="shared" si="1"/>
        <v>0</v>
      </c>
      <c r="O55" s="71">
        <f t="shared" si="2"/>
        <v>2</v>
      </c>
      <c r="P55" s="71">
        <f t="shared" si="3"/>
        <v>0</v>
      </c>
      <c r="Q55" s="71">
        <f t="shared" si="4"/>
        <v>0</v>
      </c>
      <c r="R55" s="71">
        <f t="shared" si="5"/>
        <v>0</v>
      </c>
      <c r="S55" s="71">
        <f t="shared" si="6"/>
        <v>0</v>
      </c>
      <c r="T55" s="71">
        <f t="shared" si="7"/>
        <v>0</v>
      </c>
      <c r="U55" s="71">
        <f>IF(AND(N55=1,V55=1),IF(COUNTIFS(AKTIVITAS!$B$2:$B$3052,B55,AKTIVITAS!$E$2:$E$3052,H55)&gt;0,1,0),0)</f>
        <v>0</v>
      </c>
      <c r="V55" s="71">
        <f>IFERROR(IF(AND(H55&gt;=INDEX(PEMAGANG!$J$3:$J$36,MATCH(B55,PEMAGANG!$C$3:$C$36,0)),H55&lt;=INDEX(PEMAGANG!$K$3:$K$36,MATCH(B55,PEMAGANG!$C$3:$C$36,0))),1,0),0)</f>
        <v>1</v>
      </c>
      <c r="W55" s="71">
        <f t="shared" si="8"/>
        <v>0</v>
      </c>
    </row>
    <row r="56" spans="1:23" x14ac:dyDescent="0.2">
      <c r="A56" s="71" t="s">
        <v>222</v>
      </c>
      <c r="B56" s="71" t="s">
        <v>223</v>
      </c>
      <c r="C56" s="71" t="s">
        <v>187</v>
      </c>
      <c r="D56" s="71" t="s">
        <v>224</v>
      </c>
      <c r="E56" s="71" t="s">
        <v>52</v>
      </c>
      <c r="F56" s="71" t="s">
        <v>298</v>
      </c>
      <c r="G56" s="88">
        <v>46283.305474537003</v>
      </c>
      <c r="H56" s="89">
        <v>46283</v>
      </c>
      <c r="I56" s="71" t="s">
        <v>321</v>
      </c>
      <c r="J56" s="71">
        <v>-11</v>
      </c>
      <c r="K56" s="71" t="s">
        <v>302</v>
      </c>
      <c r="L56" s="71">
        <f t="shared" si="0"/>
        <v>9</v>
      </c>
      <c r="M56" s="71" t="str">
        <f>IFERROR(INDEX(KALENDER!$D$3:$D$132,MATCH(H56,KALENDER!$A$3:$A$132,0)),"Di luar periode")</f>
        <v>Hari Kerja</v>
      </c>
      <c r="N56" s="71">
        <f t="shared" si="1"/>
        <v>0</v>
      </c>
      <c r="O56" s="71">
        <f t="shared" si="2"/>
        <v>3</v>
      </c>
      <c r="P56" s="71">
        <f t="shared" si="3"/>
        <v>0</v>
      </c>
      <c r="Q56" s="71">
        <f t="shared" si="4"/>
        <v>0</v>
      </c>
      <c r="R56" s="71">
        <f t="shared" si="5"/>
        <v>0</v>
      </c>
      <c r="S56" s="71">
        <f t="shared" si="6"/>
        <v>0</v>
      </c>
      <c r="T56" s="71">
        <f t="shared" si="7"/>
        <v>0</v>
      </c>
      <c r="U56" s="71">
        <f>IF(AND(N56=1,V56=1),IF(COUNTIFS(AKTIVITAS!$B$2:$B$3052,B56,AKTIVITAS!$E$2:$E$3052,H56)&gt;0,1,0),0)</f>
        <v>0</v>
      </c>
      <c r="V56" s="71">
        <f>IFERROR(IF(AND(H56&gt;=INDEX(PEMAGANG!$J$3:$J$36,MATCH(B56,PEMAGANG!$C$3:$C$36,0)),H56&lt;=INDEX(PEMAGANG!$K$3:$K$36,MATCH(B56,PEMAGANG!$C$3:$C$36,0))),1,0),0)</f>
        <v>1</v>
      </c>
      <c r="W56" s="71">
        <f t="shared" si="8"/>
        <v>0</v>
      </c>
    </row>
    <row r="57" spans="1:23" x14ac:dyDescent="0.2">
      <c r="A57" s="71" t="s">
        <v>222</v>
      </c>
      <c r="B57" s="71" t="s">
        <v>223</v>
      </c>
      <c r="C57" s="71" t="s">
        <v>187</v>
      </c>
      <c r="D57" s="71" t="s">
        <v>224</v>
      </c>
      <c r="E57" s="71" t="s">
        <v>52</v>
      </c>
      <c r="F57" s="71" t="s">
        <v>298</v>
      </c>
      <c r="G57" s="88">
        <v>46286.3042824074</v>
      </c>
      <c r="H57" s="89">
        <v>46286</v>
      </c>
      <c r="I57" s="71" t="s">
        <v>326</v>
      </c>
      <c r="J57" s="71">
        <v>-12</v>
      </c>
      <c r="K57" s="71" t="s">
        <v>302</v>
      </c>
      <c r="L57" s="71">
        <f t="shared" si="0"/>
        <v>9</v>
      </c>
      <c r="M57" s="71" t="str">
        <f>IFERROR(INDEX(KALENDER!$D$3:$D$132,MATCH(H57,KALENDER!$A$3:$A$132,0)),"Di luar periode")</f>
        <v>Hari Kerja</v>
      </c>
      <c r="N57" s="71">
        <f t="shared" si="1"/>
        <v>1</v>
      </c>
      <c r="O57" s="71">
        <f t="shared" si="2"/>
        <v>1</v>
      </c>
      <c r="P57" s="71">
        <f t="shared" si="3"/>
        <v>1</v>
      </c>
      <c r="Q57" s="71">
        <f t="shared" si="4"/>
        <v>0</v>
      </c>
      <c r="R57" s="71">
        <f t="shared" si="5"/>
        <v>0</v>
      </c>
      <c r="S57" s="71">
        <f t="shared" si="6"/>
        <v>0</v>
      </c>
      <c r="T57" s="71">
        <f t="shared" si="7"/>
        <v>0</v>
      </c>
      <c r="U57" s="71">
        <f>IF(AND(N57=1,V57=1),IF(COUNTIFS(AKTIVITAS!$B$2:$B$3052,B57,AKTIVITAS!$E$2:$E$3052,H57)&gt;0,1,0),0)</f>
        <v>1</v>
      </c>
      <c r="V57" s="71">
        <f>IFERROR(IF(AND(H57&gt;=INDEX(PEMAGANG!$J$3:$J$36,MATCH(B57,PEMAGANG!$C$3:$C$36,0)),H57&lt;=INDEX(PEMAGANG!$K$3:$K$36,MATCH(B57,PEMAGANG!$C$3:$C$36,0))),1,0),0)</f>
        <v>1</v>
      </c>
      <c r="W57" s="71">
        <f t="shared" si="8"/>
        <v>1</v>
      </c>
    </row>
    <row r="58" spans="1:23" x14ac:dyDescent="0.2">
      <c r="A58" s="71" t="s">
        <v>222</v>
      </c>
      <c r="B58" s="71" t="s">
        <v>223</v>
      </c>
      <c r="C58" s="71" t="s">
        <v>187</v>
      </c>
      <c r="D58" s="71" t="s">
        <v>224</v>
      </c>
      <c r="E58" s="71" t="s">
        <v>52</v>
      </c>
      <c r="F58" s="71" t="s">
        <v>300</v>
      </c>
      <c r="G58" s="88">
        <v>46286.691238425898</v>
      </c>
      <c r="H58" s="89">
        <v>46286</v>
      </c>
      <c r="I58" s="71" t="s">
        <v>310</v>
      </c>
      <c r="J58" s="71">
        <v>0</v>
      </c>
      <c r="K58" s="71" t="s">
        <v>302</v>
      </c>
      <c r="L58" s="71">
        <f t="shared" si="0"/>
        <v>9</v>
      </c>
      <c r="M58" s="71" t="str">
        <f>IFERROR(INDEX(KALENDER!$D$3:$D$132,MATCH(H58,KALENDER!$A$3:$A$132,0)),"Di luar periode")</f>
        <v>Hari Kerja</v>
      </c>
      <c r="N58" s="71">
        <f t="shared" si="1"/>
        <v>0</v>
      </c>
      <c r="O58" s="71">
        <f t="shared" si="2"/>
        <v>1</v>
      </c>
      <c r="P58" s="71">
        <f t="shared" si="3"/>
        <v>0</v>
      </c>
      <c r="Q58" s="71">
        <f t="shared" si="4"/>
        <v>0</v>
      </c>
      <c r="R58" s="71">
        <f t="shared" si="5"/>
        <v>0</v>
      </c>
      <c r="S58" s="71">
        <f t="shared" si="6"/>
        <v>0</v>
      </c>
      <c r="T58" s="71">
        <f t="shared" si="7"/>
        <v>0</v>
      </c>
      <c r="U58" s="71">
        <f>IF(AND(N58=1,V58=1),IF(COUNTIFS(AKTIVITAS!$B$2:$B$3052,B58,AKTIVITAS!$E$2:$E$3052,H58)&gt;0,1,0),0)</f>
        <v>0</v>
      </c>
      <c r="V58" s="71">
        <f>IFERROR(IF(AND(H58&gt;=INDEX(PEMAGANG!$J$3:$J$36,MATCH(B58,PEMAGANG!$C$3:$C$36,0)),H58&lt;=INDEX(PEMAGANG!$K$3:$K$36,MATCH(B58,PEMAGANG!$C$3:$C$36,0))),1,0),0)</f>
        <v>1</v>
      </c>
      <c r="W58" s="71">
        <f t="shared" si="8"/>
        <v>0</v>
      </c>
    </row>
    <row r="59" spans="1:23" x14ac:dyDescent="0.2">
      <c r="A59" s="71" t="s">
        <v>222</v>
      </c>
      <c r="B59" s="71" t="s">
        <v>223</v>
      </c>
      <c r="C59" s="71" t="s">
        <v>187</v>
      </c>
      <c r="D59" s="71" t="s">
        <v>224</v>
      </c>
      <c r="E59" s="71" t="s">
        <v>52</v>
      </c>
      <c r="F59" s="71" t="s">
        <v>298</v>
      </c>
      <c r="G59" s="88">
        <v>46287.303032407399</v>
      </c>
      <c r="H59" s="89">
        <v>46287</v>
      </c>
      <c r="I59" s="71" t="s">
        <v>327</v>
      </c>
      <c r="J59" s="71">
        <v>-14</v>
      </c>
      <c r="K59" s="71" t="s">
        <v>302</v>
      </c>
      <c r="L59" s="71">
        <f t="shared" si="0"/>
        <v>9</v>
      </c>
      <c r="M59" s="71" t="str">
        <f>IFERROR(INDEX(KALENDER!$D$3:$D$132,MATCH(H59,KALENDER!$A$3:$A$132,0)),"Di luar periode")</f>
        <v>Hari Kerja</v>
      </c>
      <c r="N59" s="71">
        <f t="shared" si="1"/>
        <v>1</v>
      </c>
      <c r="O59" s="71">
        <f t="shared" si="2"/>
        <v>1</v>
      </c>
      <c r="P59" s="71">
        <f t="shared" si="3"/>
        <v>1</v>
      </c>
      <c r="Q59" s="71">
        <f t="shared" si="4"/>
        <v>0</v>
      </c>
      <c r="R59" s="71">
        <f t="shared" si="5"/>
        <v>0</v>
      </c>
      <c r="S59" s="71">
        <f t="shared" si="6"/>
        <v>0</v>
      </c>
      <c r="T59" s="71">
        <f t="shared" si="7"/>
        <v>0</v>
      </c>
      <c r="U59" s="71">
        <f>IF(AND(N59=1,V59=1),IF(COUNTIFS(AKTIVITAS!$B$2:$B$3052,B59,AKTIVITAS!$E$2:$E$3052,H59)&gt;0,1,0),0)</f>
        <v>1</v>
      </c>
      <c r="V59" s="71">
        <f>IFERROR(IF(AND(H59&gt;=INDEX(PEMAGANG!$J$3:$J$36,MATCH(B59,PEMAGANG!$C$3:$C$36,0)),H59&lt;=INDEX(PEMAGANG!$K$3:$K$36,MATCH(B59,PEMAGANG!$C$3:$C$36,0))),1,0),0)</f>
        <v>1</v>
      </c>
      <c r="W59" s="71">
        <f t="shared" si="8"/>
        <v>1</v>
      </c>
    </row>
    <row r="60" spans="1:23" x14ac:dyDescent="0.2">
      <c r="A60" s="71" t="s">
        <v>222</v>
      </c>
      <c r="B60" s="71" t="s">
        <v>223</v>
      </c>
      <c r="C60" s="71" t="s">
        <v>187</v>
      </c>
      <c r="D60" s="71" t="s">
        <v>224</v>
      </c>
      <c r="E60" s="71" t="s">
        <v>52</v>
      </c>
      <c r="F60" s="71" t="s">
        <v>300</v>
      </c>
      <c r="G60" s="88">
        <v>46287.693437499998</v>
      </c>
      <c r="H60" s="89">
        <v>46287</v>
      </c>
      <c r="I60" s="71" t="s">
        <v>317</v>
      </c>
      <c r="J60" s="71">
        <v>0</v>
      </c>
      <c r="K60" s="71" t="s">
        <v>302</v>
      </c>
      <c r="L60" s="71">
        <f t="shared" si="0"/>
        <v>9</v>
      </c>
      <c r="M60" s="71" t="str">
        <f>IFERROR(INDEX(KALENDER!$D$3:$D$132,MATCH(H60,KALENDER!$A$3:$A$132,0)),"Di luar periode")</f>
        <v>Hari Kerja</v>
      </c>
      <c r="N60" s="71">
        <f t="shared" si="1"/>
        <v>0</v>
      </c>
      <c r="O60" s="71">
        <f t="shared" si="2"/>
        <v>1</v>
      </c>
      <c r="P60" s="71">
        <f t="shared" si="3"/>
        <v>0</v>
      </c>
      <c r="Q60" s="71">
        <f t="shared" si="4"/>
        <v>0</v>
      </c>
      <c r="R60" s="71">
        <f t="shared" si="5"/>
        <v>0</v>
      </c>
      <c r="S60" s="71">
        <f t="shared" si="6"/>
        <v>0</v>
      </c>
      <c r="T60" s="71">
        <f t="shared" si="7"/>
        <v>0</v>
      </c>
      <c r="U60" s="71">
        <f>IF(AND(N60=1,V60=1),IF(COUNTIFS(AKTIVITAS!$B$2:$B$3052,B60,AKTIVITAS!$E$2:$E$3052,H60)&gt;0,1,0),0)</f>
        <v>0</v>
      </c>
      <c r="V60" s="71">
        <f>IFERROR(IF(AND(H60&gt;=INDEX(PEMAGANG!$J$3:$J$36,MATCH(B60,PEMAGANG!$C$3:$C$36,0)),H60&lt;=INDEX(PEMAGANG!$K$3:$K$36,MATCH(B60,PEMAGANG!$C$3:$C$36,0))),1,0),0)</f>
        <v>1</v>
      </c>
      <c r="W60" s="71">
        <f t="shared" si="8"/>
        <v>0</v>
      </c>
    </row>
    <row r="61" spans="1:23" x14ac:dyDescent="0.2">
      <c r="A61" s="71" t="s">
        <v>222</v>
      </c>
      <c r="B61" s="71" t="s">
        <v>223</v>
      </c>
      <c r="C61" s="71" t="s">
        <v>187</v>
      </c>
      <c r="D61" s="71" t="s">
        <v>224</v>
      </c>
      <c r="E61" s="71" t="s">
        <v>52</v>
      </c>
      <c r="F61" s="71" t="s">
        <v>298</v>
      </c>
      <c r="G61" s="88">
        <v>46288.306793981501</v>
      </c>
      <c r="H61" s="89">
        <v>46288</v>
      </c>
      <c r="I61" s="71" t="s">
        <v>305</v>
      </c>
      <c r="J61" s="71">
        <v>-9.0000000000000497</v>
      </c>
      <c r="K61" s="71" t="s">
        <v>302</v>
      </c>
      <c r="L61" s="71">
        <f t="shared" si="0"/>
        <v>9</v>
      </c>
      <c r="M61" s="71" t="str">
        <f>IFERROR(INDEX(KALENDER!$D$3:$D$132,MATCH(H61,KALENDER!$A$3:$A$132,0)),"Di luar periode")</f>
        <v>Hari Kerja</v>
      </c>
      <c r="N61" s="71">
        <f t="shared" si="1"/>
        <v>1</v>
      </c>
      <c r="O61" s="71">
        <f t="shared" si="2"/>
        <v>1</v>
      </c>
      <c r="P61" s="71">
        <f t="shared" si="3"/>
        <v>1</v>
      </c>
      <c r="Q61" s="71">
        <f t="shared" si="4"/>
        <v>0</v>
      </c>
      <c r="R61" s="71">
        <f t="shared" si="5"/>
        <v>0</v>
      </c>
      <c r="S61" s="71">
        <f t="shared" si="6"/>
        <v>0</v>
      </c>
      <c r="T61" s="71">
        <f t="shared" si="7"/>
        <v>0</v>
      </c>
      <c r="U61" s="71">
        <f>IF(AND(N61=1,V61=1),IF(COUNTIFS(AKTIVITAS!$B$2:$B$3052,B61,AKTIVITAS!$E$2:$E$3052,H61)&gt;0,1,0),0)</f>
        <v>1</v>
      </c>
      <c r="V61" s="71">
        <f>IFERROR(IF(AND(H61&gt;=INDEX(PEMAGANG!$J$3:$J$36,MATCH(B61,PEMAGANG!$C$3:$C$36,0)),H61&lt;=INDEX(PEMAGANG!$K$3:$K$36,MATCH(B61,PEMAGANG!$C$3:$C$36,0))),1,0),0)</f>
        <v>1</v>
      </c>
      <c r="W61" s="71">
        <f t="shared" si="8"/>
        <v>1</v>
      </c>
    </row>
    <row r="62" spans="1:23" x14ac:dyDescent="0.2">
      <c r="A62" s="71" t="s">
        <v>222</v>
      </c>
      <c r="B62" s="71" t="s">
        <v>223</v>
      </c>
      <c r="C62" s="71" t="s">
        <v>187</v>
      </c>
      <c r="D62" s="71" t="s">
        <v>224</v>
      </c>
      <c r="E62" s="71" t="s">
        <v>52</v>
      </c>
      <c r="F62" s="71" t="s">
        <v>300</v>
      </c>
      <c r="G62" s="88">
        <v>46288.692395833299</v>
      </c>
      <c r="H62" s="89">
        <v>46288</v>
      </c>
      <c r="I62" s="71" t="s">
        <v>328</v>
      </c>
      <c r="J62" s="71">
        <v>0</v>
      </c>
      <c r="K62" s="71" t="s">
        <v>302</v>
      </c>
      <c r="L62" s="71">
        <f t="shared" si="0"/>
        <v>9</v>
      </c>
      <c r="M62" s="71" t="str">
        <f>IFERROR(INDEX(KALENDER!$D$3:$D$132,MATCH(H62,KALENDER!$A$3:$A$132,0)),"Di luar periode")</f>
        <v>Hari Kerja</v>
      </c>
      <c r="N62" s="71">
        <f t="shared" si="1"/>
        <v>0</v>
      </c>
      <c r="O62" s="71">
        <f t="shared" si="2"/>
        <v>1</v>
      </c>
      <c r="P62" s="71">
        <f t="shared" si="3"/>
        <v>0</v>
      </c>
      <c r="Q62" s="71">
        <f t="shared" si="4"/>
        <v>0</v>
      </c>
      <c r="R62" s="71">
        <f t="shared" si="5"/>
        <v>0</v>
      </c>
      <c r="S62" s="71">
        <f t="shared" si="6"/>
        <v>0</v>
      </c>
      <c r="T62" s="71">
        <f t="shared" si="7"/>
        <v>0</v>
      </c>
      <c r="U62" s="71">
        <f>IF(AND(N62=1,V62=1),IF(COUNTIFS(AKTIVITAS!$B$2:$B$3052,B62,AKTIVITAS!$E$2:$E$3052,H62)&gt;0,1,0),0)</f>
        <v>0</v>
      </c>
      <c r="V62" s="71">
        <f>IFERROR(IF(AND(H62&gt;=INDEX(PEMAGANG!$J$3:$J$36,MATCH(B62,PEMAGANG!$C$3:$C$36,0)),H62&lt;=INDEX(PEMAGANG!$K$3:$K$36,MATCH(B62,PEMAGANG!$C$3:$C$36,0))),1,0),0)</f>
        <v>1</v>
      </c>
      <c r="W62" s="71">
        <f t="shared" si="8"/>
        <v>0</v>
      </c>
    </row>
    <row r="63" spans="1:23" x14ac:dyDescent="0.2">
      <c r="A63" s="71" t="s">
        <v>222</v>
      </c>
      <c r="B63" s="71" t="s">
        <v>223</v>
      </c>
      <c r="C63" s="71" t="s">
        <v>187</v>
      </c>
      <c r="D63" s="71" t="s">
        <v>224</v>
      </c>
      <c r="E63" s="71" t="s">
        <v>52</v>
      </c>
      <c r="F63" s="71" t="s">
        <v>298</v>
      </c>
      <c r="G63" s="88">
        <v>46289.305775462999</v>
      </c>
      <c r="H63" s="89">
        <v>46289</v>
      </c>
      <c r="I63" s="71" t="s">
        <v>329</v>
      </c>
      <c r="J63" s="71">
        <v>-10</v>
      </c>
      <c r="K63" s="71" t="s">
        <v>302</v>
      </c>
      <c r="L63" s="71">
        <f t="shared" si="0"/>
        <v>9</v>
      </c>
      <c r="M63" s="71" t="str">
        <f>IFERROR(INDEX(KALENDER!$D$3:$D$132,MATCH(H63,KALENDER!$A$3:$A$132,0)),"Di luar periode")</f>
        <v>Hari Kerja</v>
      </c>
      <c r="N63" s="71">
        <f t="shared" si="1"/>
        <v>1</v>
      </c>
      <c r="O63" s="71">
        <f t="shared" si="2"/>
        <v>1</v>
      </c>
      <c r="P63" s="71">
        <f t="shared" si="3"/>
        <v>1</v>
      </c>
      <c r="Q63" s="71">
        <f t="shared" si="4"/>
        <v>0</v>
      </c>
      <c r="R63" s="71">
        <f t="shared" si="5"/>
        <v>0</v>
      </c>
      <c r="S63" s="71">
        <f t="shared" si="6"/>
        <v>0</v>
      </c>
      <c r="T63" s="71">
        <f t="shared" si="7"/>
        <v>0</v>
      </c>
      <c r="U63" s="71">
        <f>IF(AND(N63=1,V63=1),IF(COUNTIFS(AKTIVITAS!$B$2:$B$3052,B63,AKTIVITAS!$E$2:$E$3052,H63)&gt;0,1,0),0)</f>
        <v>1</v>
      </c>
      <c r="V63" s="71">
        <f>IFERROR(IF(AND(H63&gt;=INDEX(PEMAGANG!$J$3:$J$36,MATCH(B63,PEMAGANG!$C$3:$C$36,0)),H63&lt;=INDEX(PEMAGANG!$K$3:$K$36,MATCH(B63,PEMAGANG!$C$3:$C$36,0))),1,0),0)</f>
        <v>1</v>
      </c>
      <c r="W63" s="71">
        <f t="shared" si="8"/>
        <v>1</v>
      </c>
    </row>
    <row r="64" spans="1:23" x14ac:dyDescent="0.2">
      <c r="A64" s="71" t="s">
        <v>222</v>
      </c>
      <c r="B64" s="71" t="s">
        <v>223</v>
      </c>
      <c r="C64" s="71" t="s">
        <v>187</v>
      </c>
      <c r="D64" s="71" t="s">
        <v>224</v>
      </c>
      <c r="E64" s="71" t="s">
        <v>52</v>
      </c>
      <c r="F64" s="71" t="s">
        <v>300</v>
      </c>
      <c r="G64" s="88">
        <v>46289.687743055598</v>
      </c>
      <c r="H64" s="89">
        <v>46289</v>
      </c>
      <c r="I64" s="71" t="s">
        <v>330</v>
      </c>
      <c r="J64" s="71">
        <v>0</v>
      </c>
      <c r="K64" s="71" t="s">
        <v>302</v>
      </c>
      <c r="L64" s="71">
        <f t="shared" si="0"/>
        <v>9</v>
      </c>
      <c r="M64" s="71" t="str">
        <f>IFERROR(INDEX(KALENDER!$D$3:$D$132,MATCH(H64,KALENDER!$A$3:$A$132,0)),"Di luar periode")</f>
        <v>Hari Kerja</v>
      </c>
      <c r="N64" s="71">
        <f t="shared" si="1"/>
        <v>0</v>
      </c>
      <c r="O64" s="71">
        <f t="shared" si="2"/>
        <v>1</v>
      </c>
      <c r="P64" s="71">
        <f t="shared" si="3"/>
        <v>0</v>
      </c>
      <c r="Q64" s="71">
        <f t="shared" si="4"/>
        <v>0</v>
      </c>
      <c r="R64" s="71">
        <f t="shared" si="5"/>
        <v>0</v>
      </c>
      <c r="S64" s="71">
        <f t="shared" si="6"/>
        <v>0</v>
      </c>
      <c r="T64" s="71">
        <f t="shared" si="7"/>
        <v>0</v>
      </c>
      <c r="U64" s="71">
        <f>IF(AND(N64=1,V64=1),IF(COUNTIFS(AKTIVITAS!$B$2:$B$3052,B64,AKTIVITAS!$E$2:$E$3052,H64)&gt;0,1,0),0)</f>
        <v>0</v>
      </c>
      <c r="V64" s="71">
        <f>IFERROR(IF(AND(H64&gt;=INDEX(PEMAGANG!$J$3:$J$36,MATCH(B64,PEMAGANG!$C$3:$C$36,0)),H64&lt;=INDEX(PEMAGANG!$K$3:$K$36,MATCH(B64,PEMAGANG!$C$3:$C$36,0))),1,0),0)</f>
        <v>1</v>
      </c>
      <c r="W64" s="71">
        <f t="shared" si="8"/>
        <v>0</v>
      </c>
    </row>
    <row r="65" spans="1:23" x14ac:dyDescent="0.2">
      <c r="A65" s="71" t="s">
        <v>222</v>
      </c>
      <c r="B65" s="71" t="s">
        <v>223</v>
      </c>
      <c r="C65" s="71" t="s">
        <v>187</v>
      </c>
      <c r="D65" s="71" t="s">
        <v>224</v>
      </c>
      <c r="E65" s="71" t="s">
        <v>52</v>
      </c>
      <c r="F65" s="71" t="s">
        <v>298</v>
      </c>
      <c r="G65" s="88">
        <v>46290.303865740701</v>
      </c>
      <c r="H65" s="89">
        <v>46290</v>
      </c>
      <c r="I65" s="71" t="s">
        <v>331</v>
      </c>
      <c r="J65" s="71">
        <v>-13</v>
      </c>
      <c r="K65" s="71" t="s">
        <v>302</v>
      </c>
      <c r="L65" s="71">
        <f t="shared" si="0"/>
        <v>9</v>
      </c>
      <c r="M65" s="71" t="str">
        <f>IFERROR(INDEX(KALENDER!$D$3:$D$132,MATCH(H65,KALENDER!$A$3:$A$132,0)),"Di luar periode")</f>
        <v>Hari Kerja</v>
      </c>
      <c r="N65" s="71">
        <f t="shared" si="1"/>
        <v>1</v>
      </c>
      <c r="O65" s="71">
        <f t="shared" si="2"/>
        <v>1</v>
      </c>
      <c r="P65" s="71">
        <f t="shared" si="3"/>
        <v>1</v>
      </c>
      <c r="Q65" s="71">
        <f t="shared" si="4"/>
        <v>0</v>
      </c>
      <c r="R65" s="71">
        <f t="shared" si="5"/>
        <v>0</v>
      </c>
      <c r="S65" s="71">
        <f t="shared" si="6"/>
        <v>0</v>
      </c>
      <c r="T65" s="71">
        <f t="shared" si="7"/>
        <v>0</v>
      </c>
      <c r="U65" s="71">
        <f>IF(AND(N65=1,V65=1),IF(COUNTIFS(AKTIVITAS!$B$2:$B$3052,B65,AKTIVITAS!$E$2:$E$3052,H65)&gt;0,1,0),0)</f>
        <v>1</v>
      </c>
      <c r="V65" s="71">
        <f>IFERROR(IF(AND(H65&gt;=INDEX(PEMAGANG!$J$3:$J$36,MATCH(B65,PEMAGANG!$C$3:$C$36,0)),H65&lt;=INDEX(PEMAGANG!$K$3:$K$36,MATCH(B65,PEMAGANG!$C$3:$C$36,0))),1,0),0)</f>
        <v>1</v>
      </c>
      <c r="W65" s="71">
        <f t="shared" si="8"/>
        <v>1</v>
      </c>
    </row>
    <row r="66" spans="1:23" x14ac:dyDescent="0.2">
      <c r="A66" s="71" t="s">
        <v>222</v>
      </c>
      <c r="B66" s="71" t="s">
        <v>223</v>
      </c>
      <c r="C66" s="71" t="s">
        <v>187</v>
      </c>
      <c r="D66" s="71" t="s">
        <v>224</v>
      </c>
      <c r="E66" s="71" t="s">
        <v>52</v>
      </c>
      <c r="F66" s="71" t="s">
        <v>300</v>
      </c>
      <c r="G66" s="88">
        <v>46290.692719907398</v>
      </c>
      <c r="H66" s="89">
        <v>46290</v>
      </c>
      <c r="I66" s="71" t="s">
        <v>328</v>
      </c>
      <c r="J66" s="71">
        <v>0</v>
      </c>
      <c r="K66" s="71" t="s">
        <v>302</v>
      </c>
      <c r="L66" s="71">
        <f t="shared" ref="L66:L129" si="9">MONTH(H66)</f>
        <v>9</v>
      </c>
      <c r="M66" s="71" t="str">
        <f>IFERROR(INDEX(KALENDER!$D$3:$D$132,MATCH(H66,KALENDER!$A$3:$A$132,0)),"Di luar periode")</f>
        <v>Hari Kerja</v>
      </c>
      <c r="N66" s="71">
        <f t="shared" ref="N66:N129" si="10">IF(AND(B66=B65,H66=H65),0,1)</f>
        <v>0</v>
      </c>
      <c r="O66" s="71">
        <f t="shared" ref="O66:O129" si="11">IF(N66=1,0,O65)+IF(F66="MASUK",1,0)</f>
        <v>1</v>
      </c>
      <c r="P66" s="71">
        <f t="shared" ref="P66:P129" si="12">IF(AND(N66=1,M66="Hari Kerja",V66=1),1,0)</f>
        <v>0</v>
      </c>
      <c r="Q66" s="71">
        <f t="shared" ref="Q66:Q129" si="13">IF(AND(N66=1,OR(M66&lt;&gt;"Hari Kerja",V66=0)),1,0)</f>
        <v>0</v>
      </c>
      <c r="R66" s="71">
        <f t="shared" ref="R66:R129" si="14">IF(AND(F66="MASUK",O66=1,N(J66)&gt;0,V66=1),1,0)</f>
        <v>0</v>
      </c>
      <c r="S66" s="71">
        <f t="shared" ref="S66:S129" si="15">R66*N(J66)</f>
        <v>0</v>
      </c>
      <c r="T66" s="71">
        <f t="shared" ref="T66:T129" si="16">IF(AND(N66=1,V66=1),IF(AND(COUNTIFS($B$2:$B$4094,B66,$H$2:$H$4094,H66,$F$2:$F$4094,"MASUK")&gt;0,COUNTIFS($B$2:$B$4094,B66,$H$2:$H$4094,H66,$F$2:$F$4094,"PULANG")=0),1,0),0)</f>
        <v>0</v>
      </c>
      <c r="U66" s="71">
        <f>IF(AND(N66=1,V66=1),IF(COUNTIFS(AKTIVITAS!$B$2:$B$3052,B66,AKTIVITAS!$E$2:$E$3052,H66)&gt;0,1,0),0)</f>
        <v>0</v>
      </c>
      <c r="V66" s="71">
        <f>IFERROR(IF(AND(H66&gt;=INDEX(PEMAGANG!$J$3:$J$36,MATCH(B66,PEMAGANG!$C$3:$C$36,0)),H66&lt;=INDEX(PEMAGANG!$K$3:$K$36,MATCH(B66,PEMAGANG!$C$3:$C$36,0))),1,0),0)</f>
        <v>1</v>
      </c>
      <c r="W66" s="71">
        <f t="shared" ref="W66:W129" si="17">N66*V66</f>
        <v>0</v>
      </c>
    </row>
    <row r="67" spans="1:23" x14ac:dyDescent="0.2">
      <c r="A67" s="71" t="s">
        <v>222</v>
      </c>
      <c r="B67" s="71" t="s">
        <v>223</v>
      </c>
      <c r="C67" s="71" t="s">
        <v>187</v>
      </c>
      <c r="D67" s="71" t="s">
        <v>224</v>
      </c>
      <c r="E67" s="71" t="s">
        <v>52</v>
      </c>
      <c r="F67" s="71" t="s">
        <v>298</v>
      </c>
      <c r="G67" s="88">
        <v>46293.2715509259</v>
      </c>
      <c r="H67" s="89">
        <v>46293</v>
      </c>
      <c r="I67" s="71" t="s">
        <v>332</v>
      </c>
      <c r="J67" s="71">
        <v>-59</v>
      </c>
      <c r="K67" s="71" t="s">
        <v>302</v>
      </c>
      <c r="L67" s="71">
        <f t="shared" si="9"/>
        <v>9</v>
      </c>
      <c r="M67" s="71" t="str">
        <f>IFERROR(INDEX(KALENDER!$D$3:$D$132,MATCH(H67,KALENDER!$A$3:$A$132,0)),"Di luar periode")</f>
        <v>Hari Kerja</v>
      </c>
      <c r="N67" s="71">
        <f t="shared" si="10"/>
        <v>1</v>
      </c>
      <c r="O67" s="71">
        <f t="shared" si="11"/>
        <v>1</v>
      </c>
      <c r="P67" s="71">
        <f t="shared" si="12"/>
        <v>1</v>
      </c>
      <c r="Q67" s="71">
        <f t="shared" si="13"/>
        <v>0</v>
      </c>
      <c r="R67" s="71">
        <f t="shared" si="14"/>
        <v>0</v>
      </c>
      <c r="S67" s="71">
        <f t="shared" si="15"/>
        <v>0</v>
      </c>
      <c r="T67" s="71">
        <f t="shared" si="16"/>
        <v>0</v>
      </c>
      <c r="U67" s="71">
        <f>IF(AND(N67=1,V67=1),IF(COUNTIFS(AKTIVITAS!$B$2:$B$3052,B67,AKTIVITAS!$E$2:$E$3052,H67)&gt;0,1,0),0)</f>
        <v>1</v>
      </c>
      <c r="V67" s="71">
        <f>IFERROR(IF(AND(H67&gt;=INDEX(PEMAGANG!$J$3:$J$36,MATCH(B67,PEMAGANG!$C$3:$C$36,0)),H67&lt;=INDEX(PEMAGANG!$K$3:$K$36,MATCH(B67,PEMAGANG!$C$3:$C$36,0))),1,0),0)</f>
        <v>1</v>
      </c>
      <c r="W67" s="71">
        <f t="shared" si="17"/>
        <v>1</v>
      </c>
    </row>
    <row r="68" spans="1:23" x14ac:dyDescent="0.2">
      <c r="A68" s="71" t="s">
        <v>222</v>
      </c>
      <c r="B68" s="71" t="s">
        <v>223</v>
      </c>
      <c r="C68" s="71" t="s">
        <v>187</v>
      </c>
      <c r="D68" s="71" t="s">
        <v>224</v>
      </c>
      <c r="E68" s="71" t="s">
        <v>52</v>
      </c>
      <c r="F68" s="71" t="s">
        <v>300</v>
      </c>
      <c r="G68" s="88">
        <v>46293.709467592598</v>
      </c>
      <c r="H68" s="89">
        <v>46293</v>
      </c>
      <c r="I68" s="71" t="s">
        <v>333</v>
      </c>
      <c r="J68" s="71">
        <v>0</v>
      </c>
      <c r="K68" s="71" t="s">
        <v>302</v>
      </c>
      <c r="L68" s="71">
        <f t="shared" si="9"/>
        <v>9</v>
      </c>
      <c r="M68" s="71" t="str">
        <f>IFERROR(INDEX(KALENDER!$D$3:$D$132,MATCH(H68,KALENDER!$A$3:$A$132,0)),"Di luar periode")</f>
        <v>Hari Kerja</v>
      </c>
      <c r="N68" s="71">
        <f t="shared" si="10"/>
        <v>0</v>
      </c>
      <c r="O68" s="71">
        <f t="shared" si="11"/>
        <v>1</v>
      </c>
      <c r="P68" s="71">
        <f t="shared" si="12"/>
        <v>0</v>
      </c>
      <c r="Q68" s="71">
        <f t="shared" si="13"/>
        <v>0</v>
      </c>
      <c r="R68" s="71">
        <f t="shared" si="14"/>
        <v>0</v>
      </c>
      <c r="S68" s="71">
        <f t="shared" si="15"/>
        <v>0</v>
      </c>
      <c r="T68" s="71">
        <f t="shared" si="16"/>
        <v>0</v>
      </c>
      <c r="U68" s="71">
        <f>IF(AND(N68=1,V68=1),IF(COUNTIFS(AKTIVITAS!$B$2:$B$3052,B68,AKTIVITAS!$E$2:$E$3052,H68)&gt;0,1,0),0)</f>
        <v>0</v>
      </c>
      <c r="V68" s="71">
        <f>IFERROR(IF(AND(H68&gt;=INDEX(PEMAGANG!$J$3:$J$36,MATCH(B68,PEMAGANG!$C$3:$C$36,0)),H68&lt;=INDEX(PEMAGANG!$K$3:$K$36,MATCH(B68,PEMAGANG!$C$3:$C$36,0))),1,0),0)</f>
        <v>1</v>
      </c>
      <c r="W68" s="71">
        <f t="shared" si="17"/>
        <v>0</v>
      </c>
    </row>
    <row r="69" spans="1:23" x14ac:dyDescent="0.2">
      <c r="A69" s="71" t="s">
        <v>266</v>
      </c>
      <c r="B69" s="71" t="s">
        <v>267</v>
      </c>
      <c r="C69" s="71" t="s">
        <v>187</v>
      </c>
      <c r="D69" s="71" t="s">
        <v>268</v>
      </c>
      <c r="E69" s="71" t="s">
        <v>51</v>
      </c>
      <c r="F69" s="71" t="s">
        <v>300</v>
      </c>
      <c r="G69" s="88">
        <v>46280.701469907399</v>
      </c>
      <c r="H69" s="89">
        <v>46280</v>
      </c>
      <c r="I69" s="71" t="s">
        <v>334</v>
      </c>
      <c r="J69" s="71">
        <v>0</v>
      </c>
      <c r="K69" s="71" t="s">
        <v>302</v>
      </c>
      <c r="L69" s="71">
        <f t="shared" si="9"/>
        <v>9</v>
      </c>
      <c r="M69" s="71" t="str">
        <f>IFERROR(INDEX(KALENDER!$D$3:$D$132,MATCH(H69,KALENDER!$A$3:$A$132,0)),"Di luar periode")</f>
        <v>Hari Kerja</v>
      </c>
      <c r="N69" s="71">
        <f t="shared" si="10"/>
        <v>1</v>
      </c>
      <c r="O69" s="71">
        <f t="shared" si="11"/>
        <v>0</v>
      </c>
      <c r="P69" s="71">
        <f t="shared" si="12"/>
        <v>1</v>
      </c>
      <c r="Q69" s="71">
        <f t="shared" si="13"/>
        <v>0</v>
      </c>
      <c r="R69" s="71">
        <f t="shared" si="14"/>
        <v>0</v>
      </c>
      <c r="S69" s="71">
        <f t="shared" si="15"/>
        <v>0</v>
      </c>
      <c r="T69" s="71">
        <f t="shared" si="16"/>
        <v>0</v>
      </c>
      <c r="U69" s="71">
        <f>IF(AND(N69=1,V69=1),IF(COUNTIFS(AKTIVITAS!$B$2:$B$3052,B69,AKTIVITAS!$E$2:$E$3052,H69)&gt;0,1,0),0)</f>
        <v>0</v>
      </c>
      <c r="V69" s="71">
        <f>IFERROR(IF(AND(H69&gt;=INDEX(PEMAGANG!$J$3:$J$36,MATCH(B69,PEMAGANG!$C$3:$C$36,0)),H69&lt;=INDEX(PEMAGANG!$K$3:$K$36,MATCH(B69,PEMAGANG!$C$3:$C$36,0))),1,0),0)</f>
        <v>1</v>
      </c>
      <c r="W69" s="71">
        <f t="shared" si="17"/>
        <v>1</v>
      </c>
    </row>
    <row r="70" spans="1:23" x14ac:dyDescent="0.2">
      <c r="A70" s="71" t="s">
        <v>266</v>
      </c>
      <c r="B70" s="71" t="s">
        <v>267</v>
      </c>
      <c r="C70" s="71" t="s">
        <v>187</v>
      </c>
      <c r="D70" s="71" t="s">
        <v>268</v>
      </c>
      <c r="E70" s="71" t="s">
        <v>51</v>
      </c>
      <c r="F70" s="71" t="s">
        <v>298</v>
      </c>
      <c r="G70" s="88">
        <v>46286.303310185198</v>
      </c>
      <c r="H70" s="89">
        <v>46286</v>
      </c>
      <c r="I70" s="71" t="s">
        <v>327</v>
      </c>
      <c r="J70" s="71">
        <v>-14</v>
      </c>
      <c r="K70" s="71" t="s">
        <v>302</v>
      </c>
      <c r="L70" s="71">
        <f t="shared" si="9"/>
        <v>9</v>
      </c>
      <c r="M70" s="71" t="str">
        <f>IFERROR(INDEX(KALENDER!$D$3:$D$132,MATCH(H70,KALENDER!$A$3:$A$132,0)),"Di luar periode")</f>
        <v>Hari Kerja</v>
      </c>
      <c r="N70" s="71">
        <f t="shared" si="10"/>
        <v>1</v>
      </c>
      <c r="O70" s="71">
        <f t="shared" si="11"/>
        <v>1</v>
      </c>
      <c r="P70" s="71">
        <f t="shared" si="12"/>
        <v>1</v>
      </c>
      <c r="Q70" s="71">
        <f t="shared" si="13"/>
        <v>0</v>
      </c>
      <c r="R70" s="71">
        <f t="shared" si="14"/>
        <v>0</v>
      </c>
      <c r="S70" s="71">
        <f t="shared" si="15"/>
        <v>0</v>
      </c>
      <c r="T70" s="71">
        <f t="shared" si="16"/>
        <v>0</v>
      </c>
      <c r="U70" s="71">
        <f>IF(AND(N70=1,V70=1),IF(COUNTIFS(AKTIVITAS!$B$2:$B$3052,B70,AKTIVITAS!$E$2:$E$3052,H70)&gt;0,1,0),0)</f>
        <v>1</v>
      </c>
      <c r="V70" s="71">
        <f>IFERROR(IF(AND(H70&gt;=INDEX(PEMAGANG!$J$3:$J$36,MATCH(B70,PEMAGANG!$C$3:$C$36,0)),H70&lt;=INDEX(PEMAGANG!$K$3:$K$36,MATCH(B70,PEMAGANG!$C$3:$C$36,0))),1,0),0)</f>
        <v>1</v>
      </c>
      <c r="W70" s="71">
        <f t="shared" si="17"/>
        <v>1</v>
      </c>
    </row>
    <row r="71" spans="1:23" x14ac:dyDescent="0.2">
      <c r="A71" s="71" t="s">
        <v>266</v>
      </c>
      <c r="B71" s="71" t="s">
        <v>267</v>
      </c>
      <c r="C71" s="71" t="s">
        <v>187</v>
      </c>
      <c r="D71" s="71" t="s">
        <v>268</v>
      </c>
      <c r="E71" s="71" t="s">
        <v>51</v>
      </c>
      <c r="F71" s="71" t="s">
        <v>298</v>
      </c>
      <c r="G71" s="88">
        <v>46286.303437499999</v>
      </c>
      <c r="H71" s="89">
        <v>46286</v>
      </c>
      <c r="I71" s="71" t="s">
        <v>327</v>
      </c>
      <c r="J71" s="71">
        <v>-14</v>
      </c>
      <c r="K71" s="71" t="s">
        <v>302</v>
      </c>
      <c r="L71" s="71">
        <f t="shared" si="9"/>
        <v>9</v>
      </c>
      <c r="M71" s="71" t="str">
        <f>IFERROR(INDEX(KALENDER!$D$3:$D$132,MATCH(H71,KALENDER!$A$3:$A$132,0)),"Di luar periode")</f>
        <v>Hari Kerja</v>
      </c>
      <c r="N71" s="71">
        <f t="shared" si="10"/>
        <v>0</v>
      </c>
      <c r="O71" s="71">
        <f t="shared" si="11"/>
        <v>2</v>
      </c>
      <c r="P71" s="71">
        <f t="shared" si="12"/>
        <v>0</v>
      </c>
      <c r="Q71" s="71">
        <f t="shared" si="13"/>
        <v>0</v>
      </c>
      <c r="R71" s="71">
        <f t="shared" si="14"/>
        <v>0</v>
      </c>
      <c r="S71" s="71">
        <f t="shared" si="15"/>
        <v>0</v>
      </c>
      <c r="T71" s="71">
        <f t="shared" si="16"/>
        <v>0</v>
      </c>
      <c r="U71" s="71">
        <f>IF(AND(N71=1,V71=1),IF(COUNTIFS(AKTIVITAS!$B$2:$B$3052,B71,AKTIVITAS!$E$2:$E$3052,H71)&gt;0,1,0),0)</f>
        <v>0</v>
      </c>
      <c r="V71" s="71">
        <f>IFERROR(IF(AND(H71&gt;=INDEX(PEMAGANG!$J$3:$J$36,MATCH(B71,PEMAGANG!$C$3:$C$36,0)),H71&lt;=INDEX(PEMAGANG!$K$3:$K$36,MATCH(B71,PEMAGANG!$C$3:$C$36,0))),1,0),0)</f>
        <v>1</v>
      </c>
      <c r="W71" s="71">
        <f t="shared" si="17"/>
        <v>0</v>
      </c>
    </row>
    <row r="72" spans="1:23" x14ac:dyDescent="0.2">
      <c r="A72" s="71" t="s">
        <v>266</v>
      </c>
      <c r="B72" s="71" t="s">
        <v>267</v>
      </c>
      <c r="C72" s="71" t="s">
        <v>187</v>
      </c>
      <c r="D72" s="71" t="s">
        <v>268</v>
      </c>
      <c r="E72" s="71" t="s">
        <v>51</v>
      </c>
      <c r="F72" s="71" t="s">
        <v>300</v>
      </c>
      <c r="G72" s="88">
        <v>46286.692546296297</v>
      </c>
      <c r="H72" s="89">
        <v>46286</v>
      </c>
      <c r="I72" s="71" t="s">
        <v>328</v>
      </c>
      <c r="J72" s="71">
        <v>0</v>
      </c>
      <c r="K72" s="71" t="s">
        <v>302</v>
      </c>
      <c r="L72" s="71">
        <f t="shared" si="9"/>
        <v>9</v>
      </c>
      <c r="M72" s="71" t="str">
        <f>IFERROR(INDEX(KALENDER!$D$3:$D$132,MATCH(H72,KALENDER!$A$3:$A$132,0)),"Di luar periode")</f>
        <v>Hari Kerja</v>
      </c>
      <c r="N72" s="71">
        <f t="shared" si="10"/>
        <v>0</v>
      </c>
      <c r="O72" s="71">
        <f t="shared" si="11"/>
        <v>2</v>
      </c>
      <c r="P72" s="71">
        <f t="shared" si="12"/>
        <v>0</v>
      </c>
      <c r="Q72" s="71">
        <f t="shared" si="13"/>
        <v>0</v>
      </c>
      <c r="R72" s="71">
        <f t="shared" si="14"/>
        <v>0</v>
      </c>
      <c r="S72" s="71">
        <f t="shared" si="15"/>
        <v>0</v>
      </c>
      <c r="T72" s="71">
        <f t="shared" si="16"/>
        <v>0</v>
      </c>
      <c r="U72" s="71">
        <f>IF(AND(N72=1,V72=1),IF(COUNTIFS(AKTIVITAS!$B$2:$B$3052,B72,AKTIVITAS!$E$2:$E$3052,H72)&gt;0,1,0),0)</f>
        <v>0</v>
      </c>
      <c r="V72" s="71">
        <f>IFERROR(IF(AND(H72&gt;=INDEX(PEMAGANG!$J$3:$J$36,MATCH(B72,PEMAGANG!$C$3:$C$36,0)),H72&lt;=INDEX(PEMAGANG!$K$3:$K$36,MATCH(B72,PEMAGANG!$C$3:$C$36,0))),1,0),0)</f>
        <v>1</v>
      </c>
      <c r="W72" s="71">
        <f t="shared" si="17"/>
        <v>0</v>
      </c>
    </row>
    <row r="73" spans="1:23" x14ac:dyDescent="0.2">
      <c r="A73" s="71" t="s">
        <v>266</v>
      </c>
      <c r="B73" s="71" t="s">
        <v>267</v>
      </c>
      <c r="C73" s="71" t="s">
        <v>187</v>
      </c>
      <c r="D73" s="71" t="s">
        <v>268</v>
      </c>
      <c r="E73" s="71" t="s">
        <v>51</v>
      </c>
      <c r="F73" s="71" t="s">
        <v>298</v>
      </c>
      <c r="G73" s="88">
        <v>46287.312696759298</v>
      </c>
      <c r="H73" s="89">
        <v>46287</v>
      </c>
      <c r="I73" s="71" t="s">
        <v>335</v>
      </c>
      <c r="J73" s="71">
        <v>0</v>
      </c>
      <c r="K73" s="71" t="s">
        <v>302</v>
      </c>
      <c r="L73" s="71">
        <f t="shared" si="9"/>
        <v>9</v>
      </c>
      <c r="M73" s="71" t="str">
        <f>IFERROR(INDEX(KALENDER!$D$3:$D$132,MATCH(H73,KALENDER!$A$3:$A$132,0)),"Di luar periode")</f>
        <v>Hari Kerja</v>
      </c>
      <c r="N73" s="71">
        <f t="shared" si="10"/>
        <v>1</v>
      </c>
      <c r="O73" s="71">
        <f t="shared" si="11"/>
        <v>1</v>
      </c>
      <c r="P73" s="71">
        <f t="shared" si="12"/>
        <v>1</v>
      </c>
      <c r="Q73" s="71">
        <f t="shared" si="13"/>
        <v>0</v>
      </c>
      <c r="R73" s="71">
        <f t="shared" si="14"/>
        <v>0</v>
      </c>
      <c r="S73" s="71">
        <f t="shared" si="15"/>
        <v>0</v>
      </c>
      <c r="T73" s="71">
        <f t="shared" si="16"/>
        <v>1</v>
      </c>
      <c r="U73" s="71">
        <f>IF(AND(N73=1,V73=1),IF(COUNTIFS(AKTIVITAS!$B$2:$B$3052,B73,AKTIVITAS!$E$2:$E$3052,H73)&gt;0,1,0),0)</f>
        <v>0</v>
      </c>
      <c r="V73" s="71">
        <f>IFERROR(IF(AND(H73&gt;=INDEX(PEMAGANG!$J$3:$J$36,MATCH(B73,PEMAGANG!$C$3:$C$36,0)),H73&lt;=INDEX(PEMAGANG!$K$3:$K$36,MATCH(B73,PEMAGANG!$C$3:$C$36,0))),1,0),0)</f>
        <v>1</v>
      </c>
      <c r="W73" s="71">
        <f t="shared" si="17"/>
        <v>1</v>
      </c>
    </row>
    <row r="74" spans="1:23" x14ac:dyDescent="0.2">
      <c r="A74" s="71" t="s">
        <v>266</v>
      </c>
      <c r="B74" s="71" t="s">
        <v>267</v>
      </c>
      <c r="C74" s="71" t="s">
        <v>187</v>
      </c>
      <c r="D74" s="71" t="s">
        <v>268</v>
      </c>
      <c r="E74" s="71" t="s">
        <v>51</v>
      </c>
      <c r="F74" s="71" t="s">
        <v>298</v>
      </c>
      <c r="G74" s="88">
        <v>46288.3070717593</v>
      </c>
      <c r="H74" s="89">
        <v>46288</v>
      </c>
      <c r="I74" s="71" t="s">
        <v>313</v>
      </c>
      <c r="J74" s="71">
        <v>-8.0000000000000497</v>
      </c>
      <c r="K74" s="71" t="s">
        <v>302</v>
      </c>
      <c r="L74" s="71">
        <f t="shared" si="9"/>
        <v>9</v>
      </c>
      <c r="M74" s="71" t="str">
        <f>IFERROR(INDEX(KALENDER!$D$3:$D$132,MATCH(H74,KALENDER!$A$3:$A$132,0)),"Di luar periode")</f>
        <v>Hari Kerja</v>
      </c>
      <c r="N74" s="71">
        <f t="shared" si="10"/>
        <v>1</v>
      </c>
      <c r="O74" s="71">
        <f t="shared" si="11"/>
        <v>1</v>
      </c>
      <c r="P74" s="71">
        <f t="shared" si="12"/>
        <v>1</v>
      </c>
      <c r="Q74" s="71">
        <f t="shared" si="13"/>
        <v>0</v>
      </c>
      <c r="R74" s="71">
        <f t="shared" si="14"/>
        <v>0</v>
      </c>
      <c r="S74" s="71">
        <f t="shared" si="15"/>
        <v>0</v>
      </c>
      <c r="T74" s="71">
        <f t="shared" si="16"/>
        <v>0</v>
      </c>
      <c r="U74" s="71">
        <f>IF(AND(N74=1,V74=1),IF(COUNTIFS(AKTIVITAS!$B$2:$B$3052,B74,AKTIVITAS!$E$2:$E$3052,H74)&gt;0,1,0),0)</f>
        <v>1</v>
      </c>
      <c r="V74" s="71">
        <f>IFERROR(IF(AND(H74&gt;=INDEX(PEMAGANG!$J$3:$J$36,MATCH(B74,PEMAGANG!$C$3:$C$36,0)),H74&lt;=INDEX(PEMAGANG!$K$3:$K$36,MATCH(B74,PEMAGANG!$C$3:$C$36,0))),1,0),0)</f>
        <v>1</v>
      </c>
      <c r="W74" s="71">
        <f t="shared" si="17"/>
        <v>1</v>
      </c>
    </row>
    <row r="75" spans="1:23" x14ac:dyDescent="0.2">
      <c r="A75" s="71" t="s">
        <v>266</v>
      </c>
      <c r="B75" s="71" t="s">
        <v>267</v>
      </c>
      <c r="C75" s="71" t="s">
        <v>187</v>
      </c>
      <c r="D75" s="71" t="s">
        <v>268</v>
      </c>
      <c r="E75" s="71" t="s">
        <v>51</v>
      </c>
      <c r="F75" s="71" t="s">
        <v>300</v>
      </c>
      <c r="G75" s="88">
        <v>46288.6887615741</v>
      </c>
      <c r="H75" s="89">
        <v>46288</v>
      </c>
      <c r="I75" s="71" t="s">
        <v>336</v>
      </c>
      <c r="J75" s="71">
        <v>0</v>
      </c>
      <c r="K75" s="71" t="s">
        <v>302</v>
      </c>
      <c r="L75" s="71">
        <f t="shared" si="9"/>
        <v>9</v>
      </c>
      <c r="M75" s="71" t="str">
        <f>IFERROR(INDEX(KALENDER!$D$3:$D$132,MATCH(H75,KALENDER!$A$3:$A$132,0)),"Di luar periode")</f>
        <v>Hari Kerja</v>
      </c>
      <c r="N75" s="71">
        <f t="shared" si="10"/>
        <v>0</v>
      </c>
      <c r="O75" s="71">
        <f t="shared" si="11"/>
        <v>1</v>
      </c>
      <c r="P75" s="71">
        <f t="shared" si="12"/>
        <v>0</v>
      </c>
      <c r="Q75" s="71">
        <f t="shared" si="13"/>
        <v>0</v>
      </c>
      <c r="R75" s="71">
        <f t="shared" si="14"/>
        <v>0</v>
      </c>
      <c r="S75" s="71">
        <f t="shared" si="15"/>
        <v>0</v>
      </c>
      <c r="T75" s="71">
        <f t="shared" si="16"/>
        <v>0</v>
      </c>
      <c r="U75" s="71">
        <f>IF(AND(N75=1,V75=1),IF(COUNTIFS(AKTIVITAS!$B$2:$B$3052,B75,AKTIVITAS!$E$2:$E$3052,H75)&gt;0,1,0),0)</f>
        <v>0</v>
      </c>
      <c r="V75" s="71">
        <f>IFERROR(IF(AND(H75&gt;=INDEX(PEMAGANG!$J$3:$J$36,MATCH(B75,PEMAGANG!$C$3:$C$36,0)),H75&lt;=INDEX(PEMAGANG!$K$3:$K$36,MATCH(B75,PEMAGANG!$C$3:$C$36,0))),1,0),0)</f>
        <v>1</v>
      </c>
      <c r="W75" s="71">
        <f t="shared" si="17"/>
        <v>0</v>
      </c>
    </row>
    <row r="76" spans="1:23" x14ac:dyDescent="0.2">
      <c r="A76" s="71" t="s">
        <v>266</v>
      </c>
      <c r="B76" s="71" t="s">
        <v>267</v>
      </c>
      <c r="C76" s="71" t="s">
        <v>187</v>
      </c>
      <c r="D76" s="71" t="s">
        <v>268</v>
      </c>
      <c r="E76" s="71" t="s">
        <v>51</v>
      </c>
      <c r="F76" s="71" t="s">
        <v>298</v>
      </c>
      <c r="G76" s="88">
        <v>46289.305972222202</v>
      </c>
      <c r="H76" s="89">
        <v>46289</v>
      </c>
      <c r="I76" s="71" t="s">
        <v>329</v>
      </c>
      <c r="J76" s="71">
        <v>-10</v>
      </c>
      <c r="K76" s="71" t="s">
        <v>302</v>
      </c>
      <c r="L76" s="71">
        <f t="shared" si="9"/>
        <v>9</v>
      </c>
      <c r="M76" s="71" t="str">
        <f>IFERROR(INDEX(KALENDER!$D$3:$D$132,MATCH(H76,KALENDER!$A$3:$A$132,0)),"Di luar periode")</f>
        <v>Hari Kerja</v>
      </c>
      <c r="N76" s="71">
        <f t="shared" si="10"/>
        <v>1</v>
      </c>
      <c r="O76" s="71">
        <f t="shared" si="11"/>
        <v>1</v>
      </c>
      <c r="P76" s="71">
        <f t="shared" si="12"/>
        <v>1</v>
      </c>
      <c r="Q76" s="71">
        <f t="shared" si="13"/>
        <v>0</v>
      </c>
      <c r="R76" s="71">
        <f t="shared" si="14"/>
        <v>0</v>
      </c>
      <c r="S76" s="71">
        <f t="shared" si="15"/>
        <v>0</v>
      </c>
      <c r="T76" s="71">
        <f t="shared" si="16"/>
        <v>0</v>
      </c>
      <c r="U76" s="71">
        <f>IF(AND(N76=1,V76=1),IF(COUNTIFS(AKTIVITAS!$B$2:$B$3052,B76,AKTIVITAS!$E$2:$E$3052,H76)&gt;0,1,0),0)</f>
        <v>1</v>
      </c>
      <c r="V76" s="71">
        <f>IFERROR(IF(AND(H76&gt;=INDEX(PEMAGANG!$J$3:$J$36,MATCH(B76,PEMAGANG!$C$3:$C$36,0)),H76&lt;=INDEX(PEMAGANG!$K$3:$K$36,MATCH(B76,PEMAGANG!$C$3:$C$36,0))),1,0),0)</f>
        <v>1</v>
      </c>
      <c r="W76" s="71">
        <f t="shared" si="17"/>
        <v>1</v>
      </c>
    </row>
    <row r="77" spans="1:23" x14ac:dyDescent="0.2">
      <c r="A77" s="71" t="s">
        <v>266</v>
      </c>
      <c r="B77" s="71" t="s">
        <v>267</v>
      </c>
      <c r="C77" s="71" t="s">
        <v>187</v>
      </c>
      <c r="D77" s="71" t="s">
        <v>268</v>
      </c>
      <c r="E77" s="71" t="s">
        <v>51</v>
      </c>
      <c r="F77" s="71" t="s">
        <v>300</v>
      </c>
      <c r="G77" s="88">
        <v>46289.699560185203</v>
      </c>
      <c r="H77" s="89">
        <v>46289</v>
      </c>
      <c r="I77" s="71" t="s">
        <v>337</v>
      </c>
      <c r="J77" s="71">
        <v>0</v>
      </c>
      <c r="K77" s="71" t="s">
        <v>302</v>
      </c>
      <c r="L77" s="71">
        <f t="shared" si="9"/>
        <v>9</v>
      </c>
      <c r="M77" s="71" t="str">
        <f>IFERROR(INDEX(KALENDER!$D$3:$D$132,MATCH(H77,KALENDER!$A$3:$A$132,0)),"Di luar periode")</f>
        <v>Hari Kerja</v>
      </c>
      <c r="N77" s="71">
        <f t="shared" si="10"/>
        <v>0</v>
      </c>
      <c r="O77" s="71">
        <f t="shared" si="11"/>
        <v>1</v>
      </c>
      <c r="P77" s="71">
        <f t="shared" si="12"/>
        <v>0</v>
      </c>
      <c r="Q77" s="71">
        <f t="shared" si="13"/>
        <v>0</v>
      </c>
      <c r="R77" s="71">
        <f t="shared" si="14"/>
        <v>0</v>
      </c>
      <c r="S77" s="71">
        <f t="shared" si="15"/>
        <v>0</v>
      </c>
      <c r="T77" s="71">
        <f t="shared" si="16"/>
        <v>0</v>
      </c>
      <c r="U77" s="71">
        <f>IF(AND(N77=1,V77=1),IF(COUNTIFS(AKTIVITAS!$B$2:$B$3052,B77,AKTIVITAS!$E$2:$E$3052,H77)&gt;0,1,0),0)</f>
        <v>0</v>
      </c>
      <c r="V77" s="71">
        <f>IFERROR(IF(AND(H77&gt;=INDEX(PEMAGANG!$J$3:$J$36,MATCH(B77,PEMAGANG!$C$3:$C$36,0)),H77&lt;=INDEX(PEMAGANG!$K$3:$K$36,MATCH(B77,PEMAGANG!$C$3:$C$36,0))),1,0),0)</f>
        <v>1</v>
      </c>
      <c r="W77" s="71">
        <f t="shared" si="17"/>
        <v>0</v>
      </c>
    </row>
    <row r="78" spans="1:23" x14ac:dyDescent="0.2">
      <c r="A78" s="71" t="s">
        <v>266</v>
      </c>
      <c r="B78" s="71" t="s">
        <v>267</v>
      </c>
      <c r="C78" s="71" t="s">
        <v>187</v>
      </c>
      <c r="D78" s="71" t="s">
        <v>268</v>
      </c>
      <c r="E78" s="71" t="s">
        <v>51</v>
      </c>
      <c r="F78" s="71" t="s">
        <v>298</v>
      </c>
      <c r="G78" s="88">
        <v>46290.314143518503</v>
      </c>
      <c r="H78" s="89">
        <v>46290</v>
      </c>
      <c r="I78" s="71" t="s">
        <v>338</v>
      </c>
      <c r="J78" s="71">
        <v>1.99999999999999</v>
      </c>
      <c r="K78" s="71" t="s">
        <v>293</v>
      </c>
      <c r="L78" s="71">
        <f t="shared" si="9"/>
        <v>9</v>
      </c>
      <c r="M78" s="71" t="str">
        <f>IFERROR(INDEX(KALENDER!$D$3:$D$132,MATCH(H78,KALENDER!$A$3:$A$132,0)),"Di luar periode")</f>
        <v>Hari Kerja</v>
      </c>
      <c r="N78" s="71">
        <f t="shared" si="10"/>
        <v>1</v>
      </c>
      <c r="O78" s="71">
        <f t="shared" si="11"/>
        <v>1</v>
      </c>
      <c r="P78" s="71">
        <f t="shared" si="12"/>
        <v>1</v>
      </c>
      <c r="Q78" s="71">
        <f t="shared" si="13"/>
        <v>0</v>
      </c>
      <c r="R78" s="71">
        <f t="shared" si="14"/>
        <v>1</v>
      </c>
      <c r="S78" s="71">
        <f t="shared" si="15"/>
        <v>1.99999999999999</v>
      </c>
      <c r="T78" s="71">
        <f t="shared" si="16"/>
        <v>0</v>
      </c>
      <c r="U78" s="71">
        <f>IF(AND(N78=1,V78=1),IF(COUNTIFS(AKTIVITAS!$B$2:$B$3052,B78,AKTIVITAS!$E$2:$E$3052,H78)&gt;0,1,0),0)</f>
        <v>1</v>
      </c>
      <c r="V78" s="71">
        <f>IFERROR(IF(AND(H78&gt;=INDEX(PEMAGANG!$J$3:$J$36,MATCH(B78,PEMAGANG!$C$3:$C$36,0)),H78&lt;=INDEX(PEMAGANG!$K$3:$K$36,MATCH(B78,PEMAGANG!$C$3:$C$36,0))),1,0),0)</f>
        <v>1</v>
      </c>
      <c r="W78" s="71">
        <f t="shared" si="17"/>
        <v>1</v>
      </c>
    </row>
    <row r="79" spans="1:23" x14ac:dyDescent="0.2">
      <c r="A79" s="71" t="s">
        <v>266</v>
      </c>
      <c r="B79" s="71" t="s">
        <v>267</v>
      </c>
      <c r="C79" s="71" t="s">
        <v>187</v>
      </c>
      <c r="D79" s="71" t="s">
        <v>268</v>
      </c>
      <c r="E79" s="71" t="s">
        <v>51</v>
      </c>
      <c r="F79" s="71" t="s">
        <v>300</v>
      </c>
      <c r="G79" s="88">
        <v>46290.690474536997</v>
      </c>
      <c r="H79" s="89">
        <v>46290</v>
      </c>
      <c r="I79" s="71" t="s">
        <v>314</v>
      </c>
      <c r="J79" s="71">
        <v>0</v>
      </c>
      <c r="K79" s="71" t="s">
        <v>302</v>
      </c>
      <c r="L79" s="71">
        <f t="shared" si="9"/>
        <v>9</v>
      </c>
      <c r="M79" s="71" t="str">
        <f>IFERROR(INDEX(KALENDER!$D$3:$D$132,MATCH(H79,KALENDER!$A$3:$A$132,0)),"Di luar periode")</f>
        <v>Hari Kerja</v>
      </c>
      <c r="N79" s="71">
        <f t="shared" si="10"/>
        <v>0</v>
      </c>
      <c r="O79" s="71">
        <f t="shared" si="11"/>
        <v>1</v>
      </c>
      <c r="P79" s="71">
        <f t="shared" si="12"/>
        <v>0</v>
      </c>
      <c r="Q79" s="71">
        <f t="shared" si="13"/>
        <v>0</v>
      </c>
      <c r="R79" s="71">
        <f t="shared" si="14"/>
        <v>0</v>
      </c>
      <c r="S79" s="71">
        <f t="shared" si="15"/>
        <v>0</v>
      </c>
      <c r="T79" s="71">
        <f t="shared" si="16"/>
        <v>0</v>
      </c>
      <c r="U79" s="71">
        <f>IF(AND(N79=1,V79=1),IF(COUNTIFS(AKTIVITAS!$B$2:$B$3052,B79,AKTIVITAS!$E$2:$E$3052,H79)&gt;0,1,0),0)</f>
        <v>0</v>
      </c>
      <c r="V79" s="71">
        <f>IFERROR(IF(AND(H79&gt;=INDEX(PEMAGANG!$J$3:$J$36,MATCH(B79,PEMAGANG!$C$3:$C$36,0)),H79&lt;=INDEX(PEMAGANG!$K$3:$K$36,MATCH(B79,PEMAGANG!$C$3:$C$36,0))),1,0),0)</f>
        <v>1</v>
      </c>
      <c r="W79" s="71">
        <f t="shared" si="17"/>
        <v>0</v>
      </c>
    </row>
    <row r="80" spans="1:23" x14ac:dyDescent="0.2">
      <c r="A80" s="71" t="s">
        <v>266</v>
      </c>
      <c r="B80" s="71" t="s">
        <v>267</v>
      </c>
      <c r="C80" s="71" t="s">
        <v>187</v>
      </c>
      <c r="D80" s="71" t="s">
        <v>268</v>
      </c>
      <c r="E80" s="71" t="s">
        <v>51</v>
      </c>
      <c r="F80" s="71" t="s">
        <v>298</v>
      </c>
      <c r="G80" s="88">
        <v>46293.316053240698</v>
      </c>
      <c r="H80" s="89">
        <v>46293</v>
      </c>
      <c r="I80" s="71" t="s">
        <v>339</v>
      </c>
      <c r="J80" s="71">
        <v>4.9999999999999796</v>
      </c>
      <c r="K80" s="71" t="s">
        <v>293</v>
      </c>
      <c r="L80" s="71">
        <f t="shared" si="9"/>
        <v>9</v>
      </c>
      <c r="M80" s="71" t="str">
        <f>IFERROR(INDEX(KALENDER!$D$3:$D$132,MATCH(H80,KALENDER!$A$3:$A$132,0)),"Di luar periode")</f>
        <v>Hari Kerja</v>
      </c>
      <c r="N80" s="71">
        <f t="shared" si="10"/>
        <v>1</v>
      </c>
      <c r="O80" s="71">
        <f t="shared" si="11"/>
        <v>1</v>
      </c>
      <c r="P80" s="71">
        <f t="shared" si="12"/>
        <v>1</v>
      </c>
      <c r="Q80" s="71">
        <f t="shared" si="13"/>
        <v>0</v>
      </c>
      <c r="R80" s="71">
        <f t="shared" si="14"/>
        <v>1</v>
      </c>
      <c r="S80" s="71">
        <f t="shared" si="15"/>
        <v>4.9999999999999796</v>
      </c>
      <c r="T80" s="71">
        <f t="shared" si="16"/>
        <v>1</v>
      </c>
      <c r="U80" s="71">
        <f>IF(AND(N80=1,V80=1),IF(COUNTIFS(AKTIVITAS!$B$2:$B$3052,B80,AKTIVITAS!$E$2:$E$3052,H80)&gt;0,1,0),0)</f>
        <v>1</v>
      </c>
      <c r="V80" s="71">
        <f>IFERROR(IF(AND(H80&gt;=INDEX(PEMAGANG!$J$3:$J$36,MATCH(B80,PEMAGANG!$C$3:$C$36,0)),H80&lt;=INDEX(PEMAGANG!$K$3:$K$36,MATCH(B80,PEMAGANG!$C$3:$C$36,0))),1,0),0)</f>
        <v>1</v>
      </c>
      <c r="W80" s="71">
        <f t="shared" si="17"/>
        <v>1</v>
      </c>
    </row>
    <row r="81" spans="1:23" x14ac:dyDescent="0.2">
      <c r="A81" s="71" t="s">
        <v>266</v>
      </c>
      <c r="B81" s="71" t="s">
        <v>267</v>
      </c>
      <c r="C81" s="71" t="s">
        <v>187</v>
      </c>
      <c r="D81" s="71" t="s">
        <v>268</v>
      </c>
      <c r="E81" s="71" t="s">
        <v>51</v>
      </c>
      <c r="F81" s="71" t="s">
        <v>298</v>
      </c>
      <c r="G81" s="88">
        <v>46294.310555555603</v>
      </c>
      <c r="H81" s="89">
        <v>46294</v>
      </c>
      <c r="I81" s="71" t="s">
        <v>309</v>
      </c>
      <c r="J81" s="71">
        <v>-2.9999999999999898</v>
      </c>
      <c r="K81" s="71" t="s">
        <v>302</v>
      </c>
      <c r="L81" s="71">
        <f t="shared" si="9"/>
        <v>9</v>
      </c>
      <c r="M81" s="71" t="str">
        <f>IFERROR(INDEX(KALENDER!$D$3:$D$132,MATCH(H81,KALENDER!$A$3:$A$132,0)),"Di luar periode")</f>
        <v>Hari Kerja</v>
      </c>
      <c r="N81" s="71">
        <f t="shared" si="10"/>
        <v>1</v>
      </c>
      <c r="O81" s="71">
        <f t="shared" si="11"/>
        <v>1</v>
      </c>
      <c r="P81" s="71">
        <f t="shared" si="12"/>
        <v>1</v>
      </c>
      <c r="Q81" s="71">
        <f t="shared" si="13"/>
        <v>0</v>
      </c>
      <c r="R81" s="71">
        <f t="shared" si="14"/>
        <v>0</v>
      </c>
      <c r="S81" s="71">
        <f t="shared" si="15"/>
        <v>0</v>
      </c>
      <c r="T81" s="71">
        <f t="shared" si="16"/>
        <v>1</v>
      </c>
      <c r="U81" s="71">
        <f>IF(AND(N81=1,V81=1),IF(COUNTIFS(AKTIVITAS!$B$2:$B$3052,B81,AKTIVITAS!$E$2:$E$3052,H81)&gt;0,1,0),0)</f>
        <v>1</v>
      </c>
      <c r="V81" s="71">
        <f>IFERROR(IF(AND(H81&gt;=INDEX(PEMAGANG!$J$3:$J$36,MATCH(B81,PEMAGANG!$C$3:$C$36,0)),H81&lt;=INDEX(PEMAGANG!$K$3:$K$36,MATCH(B81,PEMAGANG!$C$3:$C$36,0))),1,0),0)</f>
        <v>1</v>
      </c>
      <c r="W81" s="71">
        <f t="shared" si="17"/>
        <v>1</v>
      </c>
    </row>
    <row r="82" spans="1:23" x14ac:dyDescent="0.2">
      <c r="A82" s="71" t="s">
        <v>266</v>
      </c>
      <c r="B82" s="71" t="s">
        <v>267</v>
      </c>
      <c r="C82" s="71" t="s">
        <v>187</v>
      </c>
      <c r="D82" s="71" t="s">
        <v>268</v>
      </c>
      <c r="E82" s="71" t="s">
        <v>51</v>
      </c>
      <c r="F82" s="71" t="s">
        <v>298</v>
      </c>
      <c r="G82" s="88">
        <v>46295.307800925897</v>
      </c>
      <c r="H82" s="89">
        <v>46295</v>
      </c>
      <c r="I82" s="71" t="s">
        <v>311</v>
      </c>
      <c r="J82" s="71">
        <v>-6.9999999999999796</v>
      </c>
      <c r="K82" s="71" t="s">
        <v>302</v>
      </c>
      <c r="L82" s="71">
        <f t="shared" si="9"/>
        <v>9</v>
      </c>
      <c r="M82" s="71" t="str">
        <f>IFERROR(INDEX(KALENDER!$D$3:$D$132,MATCH(H82,KALENDER!$A$3:$A$132,0)),"Di luar periode")</f>
        <v>Hari Kerja</v>
      </c>
      <c r="N82" s="71">
        <f t="shared" si="10"/>
        <v>1</v>
      </c>
      <c r="O82" s="71">
        <f t="shared" si="11"/>
        <v>1</v>
      </c>
      <c r="P82" s="71">
        <f t="shared" si="12"/>
        <v>1</v>
      </c>
      <c r="Q82" s="71">
        <f t="shared" si="13"/>
        <v>0</v>
      </c>
      <c r="R82" s="71">
        <f t="shared" si="14"/>
        <v>0</v>
      </c>
      <c r="S82" s="71">
        <f t="shared" si="15"/>
        <v>0</v>
      </c>
      <c r="T82" s="71">
        <f t="shared" si="16"/>
        <v>0</v>
      </c>
      <c r="U82" s="71">
        <f>IF(AND(N82=1,V82=1),IF(COUNTIFS(AKTIVITAS!$B$2:$B$3052,B82,AKTIVITAS!$E$2:$E$3052,H82)&gt;0,1,0),0)</f>
        <v>1</v>
      </c>
      <c r="V82" s="71">
        <f>IFERROR(IF(AND(H82&gt;=INDEX(PEMAGANG!$J$3:$J$36,MATCH(B82,PEMAGANG!$C$3:$C$36,0)),H82&lt;=INDEX(PEMAGANG!$K$3:$K$36,MATCH(B82,PEMAGANG!$C$3:$C$36,0))),1,0),0)</f>
        <v>1</v>
      </c>
      <c r="W82" s="71">
        <f t="shared" si="17"/>
        <v>1</v>
      </c>
    </row>
    <row r="83" spans="1:23" x14ac:dyDescent="0.2">
      <c r="A83" s="71" t="s">
        <v>266</v>
      </c>
      <c r="B83" s="71" t="s">
        <v>267</v>
      </c>
      <c r="C83" s="71" t="s">
        <v>187</v>
      </c>
      <c r="D83" s="71" t="s">
        <v>268</v>
      </c>
      <c r="E83" s="71" t="s">
        <v>51</v>
      </c>
      <c r="F83" s="71" t="s">
        <v>300</v>
      </c>
      <c r="G83" s="88">
        <v>46295.688750000001</v>
      </c>
      <c r="H83" s="89">
        <v>46295</v>
      </c>
      <c r="I83" s="71" t="s">
        <v>336</v>
      </c>
      <c r="J83" s="71">
        <v>0</v>
      </c>
      <c r="K83" s="71" t="s">
        <v>302</v>
      </c>
      <c r="L83" s="71">
        <f t="shared" si="9"/>
        <v>9</v>
      </c>
      <c r="M83" s="71" t="str">
        <f>IFERROR(INDEX(KALENDER!$D$3:$D$132,MATCH(H83,KALENDER!$A$3:$A$132,0)),"Di luar periode")</f>
        <v>Hari Kerja</v>
      </c>
      <c r="N83" s="71">
        <f t="shared" si="10"/>
        <v>0</v>
      </c>
      <c r="O83" s="71">
        <f t="shared" si="11"/>
        <v>1</v>
      </c>
      <c r="P83" s="71">
        <f t="shared" si="12"/>
        <v>0</v>
      </c>
      <c r="Q83" s="71">
        <f t="shared" si="13"/>
        <v>0</v>
      </c>
      <c r="R83" s="71">
        <f t="shared" si="14"/>
        <v>0</v>
      </c>
      <c r="S83" s="71">
        <f t="shared" si="15"/>
        <v>0</v>
      </c>
      <c r="T83" s="71">
        <f t="shared" si="16"/>
        <v>0</v>
      </c>
      <c r="U83" s="71">
        <f>IF(AND(N83=1,V83=1),IF(COUNTIFS(AKTIVITAS!$B$2:$B$3052,B83,AKTIVITAS!$E$2:$E$3052,H83)&gt;0,1,0),0)</f>
        <v>0</v>
      </c>
      <c r="V83" s="71">
        <f>IFERROR(IF(AND(H83&gt;=INDEX(PEMAGANG!$J$3:$J$36,MATCH(B83,PEMAGANG!$C$3:$C$36,0)),H83&lt;=INDEX(PEMAGANG!$K$3:$K$36,MATCH(B83,PEMAGANG!$C$3:$C$36,0))),1,0),0)</f>
        <v>1</v>
      </c>
      <c r="W83" s="71">
        <f t="shared" si="17"/>
        <v>0</v>
      </c>
    </row>
    <row r="84" spans="1:23" x14ac:dyDescent="0.2">
      <c r="A84" s="71" t="s">
        <v>269</v>
      </c>
      <c r="B84" s="71" t="s">
        <v>270</v>
      </c>
      <c r="C84" s="71" t="s">
        <v>187</v>
      </c>
      <c r="D84" s="71" t="s">
        <v>271</v>
      </c>
      <c r="E84" s="71" t="s">
        <v>340</v>
      </c>
      <c r="F84" s="71" t="s">
        <v>298</v>
      </c>
      <c r="G84" s="88">
        <v>46287.544467592597</v>
      </c>
      <c r="H84" s="89">
        <v>46287</v>
      </c>
      <c r="I84" s="71" t="s">
        <v>341</v>
      </c>
      <c r="J84" s="71">
        <v>334</v>
      </c>
      <c r="K84" s="71" t="s">
        <v>293</v>
      </c>
      <c r="L84" s="71">
        <f t="shared" si="9"/>
        <v>9</v>
      </c>
      <c r="M84" s="71" t="str">
        <f>IFERROR(INDEX(KALENDER!$D$3:$D$132,MATCH(H84,KALENDER!$A$3:$A$132,0)),"Di luar periode")</f>
        <v>Hari Kerja</v>
      </c>
      <c r="N84" s="71">
        <f t="shared" si="10"/>
        <v>1</v>
      </c>
      <c r="O84" s="71">
        <f t="shared" si="11"/>
        <v>1</v>
      </c>
      <c r="P84" s="71">
        <f t="shared" si="12"/>
        <v>1</v>
      </c>
      <c r="Q84" s="71">
        <f t="shared" si="13"/>
        <v>0</v>
      </c>
      <c r="R84" s="71">
        <f t="shared" si="14"/>
        <v>1</v>
      </c>
      <c r="S84" s="71">
        <f t="shared" si="15"/>
        <v>334</v>
      </c>
      <c r="T84" s="71">
        <f t="shared" si="16"/>
        <v>0</v>
      </c>
      <c r="U84" s="71">
        <f>IF(AND(N84=1,V84=1),IF(COUNTIFS(AKTIVITAS!$B$2:$B$3052,B84,AKTIVITAS!$E$2:$E$3052,H84)&gt;0,1,0),0)</f>
        <v>1</v>
      </c>
      <c r="V84" s="71">
        <f>IFERROR(IF(AND(H84&gt;=INDEX(PEMAGANG!$J$3:$J$36,MATCH(B84,PEMAGANG!$C$3:$C$36,0)),H84&lt;=INDEX(PEMAGANG!$K$3:$K$36,MATCH(B84,PEMAGANG!$C$3:$C$36,0))),1,0),0)</f>
        <v>1</v>
      </c>
      <c r="W84" s="71">
        <f t="shared" si="17"/>
        <v>1</v>
      </c>
    </row>
    <row r="85" spans="1:23" x14ac:dyDescent="0.2">
      <c r="A85" s="71" t="s">
        <v>269</v>
      </c>
      <c r="B85" s="71" t="s">
        <v>270</v>
      </c>
      <c r="C85" s="71" t="s">
        <v>187</v>
      </c>
      <c r="D85" s="71" t="s">
        <v>271</v>
      </c>
      <c r="E85" s="71" t="s">
        <v>340</v>
      </c>
      <c r="F85" s="71" t="s">
        <v>300</v>
      </c>
      <c r="G85" s="88">
        <v>46287.700902777797</v>
      </c>
      <c r="H85" s="89">
        <v>46287</v>
      </c>
      <c r="I85" s="71" t="s">
        <v>342</v>
      </c>
      <c r="J85" s="71">
        <v>0</v>
      </c>
      <c r="K85" s="71" t="s">
        <v>302</v>
      </c>
      <c r="L85" s="71">
        <f t="shared" si="9"/>
        <v>9</v>
      </c>
      <c r="M85" s="71" t="str">
        <f>IFERROR(INDEX(KALENDER!$D$3:$D$132,MATCH(H85,KALENDER!$A$3:$A$132,0)),"Di luar periode")</f>
        <v>Hari Kerja</v>
      </c>
      <c r="N85" s="71">
        <f t="shared" si="10"/>
        <v>0</v>
      </c>
      <c r="O85" s="71">
        <f t="shared" si="11"/>
        <v>1</v>
      </c>
      <c r="P85" s="71">
        <f t="shared" si="12"/>
        <v>0</v>
      </c>
      <c r="Q85" s="71">
        <f t="shared" si="13"/>
        <v>0</v>
      </c>
      <c r="R85" s="71">
        <f t="shared" si="14"/>
        <v>0</v>
      </c>
      <c r="S85" s="71">
        <f t="shared" si="15"/>
        <v>0</v>
      </c>
      <c r="T85" s="71">
        <f t="shared" si="16"/>
        <v>0</v>
      </c>
      <c r="U85" s="71">
        <f>IF(AND(N85=1,V85=1),IF(COUNTIFS(AKTIVITAS!$B$2:$B$3052,B85,AKTIVITAS!$E$2:$E$3052,H85)&gt;0,1,0),0)</f>
        <v>0</v>
      </c>
      <c r="V85" s="71">
        <f>IFERROR(IF(AND(H85&gt;=INDEX(PEMAGANG!$J$3:$J$36,MATCH(B85,PEMAGANG!$C$3:$C$36,0)),H85&lt;=INDEX(PEMAGANG!$K$3:$K$36,MATCH(B85,PEMAGANG!$C$3:$C$36,0))),1,0),0)</f>
        <v>1</v>
      </c>
      <c r="W85" s="71">
        <f t="shared" si="17"/>
        <v>0</v>
      </c>
    </row>
    <row r="86" spans="1:23" x14ac:dyDescent="0.2">
      <c r="A86" s="71" t="s">
        <v>269</v>
      </c>
      <c r="B86" s="71" t="s">
        <v>270</v>
      </c>
      <c r="C86" s="71" t="s">
        <v>187</v>
      </c>
      <c r="D86" s="71" t="s">
        <v>271</v>
      </c>
      <c r="E86" s="71" t="s">
        <v>340</v>
      </c>
      <c r="F86" s="71" t="s">
        <v>298</v>
      </c>
      <c r="G86" s="88">
        <v>46288.306192129603</v>
      </c>
      <c r="H86" s="89">
        <v>46288</v>
      </c>
      <c r="I86" s="71" t="s">
        <v>329</v>
      </c>
      <c r="J86" s="71">
        <v>-10</v>
      </c>
      <c r="K86" s="71" t="s">
        <v>302</v>
      </c>
      <c r="L86" s="71">
        <f t="shared" si="9"/>
        <v>9</v>
      </c>
      <c r="M86" s="71" t="str">
        <f>IFERROR(INDEX(KALENDER!$D$3:$D$132,MATCH(H86,KALENDER!$A$3:$A$132,0)),"Di luar periode")</f>
        <v>Hari Kerja</v>
      </c>
      <c r="N86" s="71">
        <f t="shared" si="10"/>
        <v>1</v>
      </c>
      <c r="O86" s="71">
        <f t="shared" si="11"/>
        <v>1</v>
      </c>
      <c r="P86" s="71">
        <f t="shared" si="12"/>
        <v>1</v>
      </c>
      <c r="Q86" s="71">
        <f t="shared" si="13"/>
        <v>0</v>
      </c>
      <c r="R86" s="71">
        <f t="shared" si="14"/>
        <v>0</v>
      </c>
      <c r="S86" s="71">
        <f t="shared" si="15"/>
        <v>0</v>
      </c>
      <c r="T86" s="71">
        <f t="shared" si="16"/>
        <v>0</v>
      </c>
      <c r="U86" s="71">
        <f>IF(AND(N86=1,V86=1),IF(COUNTIFS(AKTIVITAS!$B$2:$B$3052,B86,AKTIVITAS!$E$2:$E$3052,H86)&gt;0,1,0),0)</f>
        <v>1</v>
      </c>
      <c r="V86" s="71">
        <f>IFERROR(IF(AND(H86&gt;=INDEX(PEMAGANG!$J$3:$J$36,MATCH(B86,PEMAGANG!$C$3:$C$36,0)),H86&lt;=INDEX(PEMAGANG!$K$3:$K$36,MATCH(B86,PEMAGANG!$C$3:$C$36,0))),1,0),0)</f>
        <v>1</v>
      </c>
      <c r="W86" s="71">
        <f t="shared" si="17"/>
        <v>1</v>
      </c>
    </row>
    <row r="87" spans="1:23" x14ac:dyDescent="0.2">
      <c r="A87" s="71" t="s">
        <v>269</v>
      </c>
      <c r="B87" s="71" t="s">
        <v>270</v>
      </c>
      <c r="C87" s="71" t="s">
        <v>187</v>
      </c>
      <c r="D87" s="71" t="s">
        <v>271</v>
      </c>
      <c r="E87" s="71" t="s">
        <v>340</v>
      </c>
      <c r="F87" s="71" t="s">
        <v>300</v>
      </c>
      <c r="G87" s="88">
        <v>46288.695150462998</v>
      </c>
      <c r="H87" s="89">
        <v>46288</v>
      </c>
      <c r="I87" s="71" t="s">
        <v>319</v>
      </c>
      <c r="J87" s="71">
        <v>0</v>
      </c>
      <c r="K87" s="71" t="s">
        <v>302</v>
      </c>
      <c r="L87" s="71">
        <f t="shared" si="9"/>
        <v>9</v>
      </c>
      <c r="M87" s="71" t="str">
        <f>IFERROR(INDEX(KALENDER!$D$3:$D$132,MATCH(H87,KALENDER!$A$3:$A$132,0)),"Di luar periode")</f>
        <v>Hari Kerja</v>
      </c>
      <c r="N87" s="71">
        <f t="shared" si="10"/>
        <v>0</v>
      </c>
      <c r="O87" s="71">
        <f t="shared" si="11"/>
        <v>1</v>
      </c>
      <c r="P87" s="71">
        <f t="shared" si="12"/>
        <v>0</v>
      </c>
      <c r="Q87" s="71">
        <f t="shared" si="13"/>
        <v>0</v>
      </c>
      <c r="R87" s="71">
        <f t="shared" si="14"/>
        <v>0</v>
      </c>
      <c r="S87" s="71">
        <f t="shared" si="15"/>
        <v>0</v>
      </c>
      <c r="T87" s="71">
        <f t="shared" si="16"/>
        <v>0</v>
      </c>
      <c r="U87" s="71">
        <f>IF(AND(N87=1,V87=1),IF(COUNTIFS(AKTIVITAS!$B$2:$B$3052,B87,AKTIVITAS!$E$2:$E$3052,H87)&gt;0,1,0),0)</f>
        <v>0</v>
      </c>
      <c r="V87" s="71">
        <f>IFERROR(IF(AND(H87&gt;=INDEX(PEMAGANG!$J$3:$J$36,MATCH(B87,PEMAGANG!$C$3:$C$36,0)),H87&lt;=INDEX(PEMAGANG!$K$3:$K$36,MATCH(B87,PEMAGANG!$C$3:$C$36,0))),1,0),0)</f>
        <v>1</v>
      </c>
      <c r="W87" s="71">
        <f t="shared" si="17"/>
        <v>0</v>
      </c>
    </row>
    <row r="88" spans="1:23" x14ac:dyDescent="0.2">
      <c r="A88" s="71" t="s">
        <v>269</v>
      </c>
      <c r="B88" s="71" t="s">
        <v>270</v>
      </c>
      <c r="C88" s="71" t="s">
        <v>187</v>
      </c>
      <c r="D88" s="71" t="s">
        <v>271</v>
      </c>
      <c r="E88" s="71" t="s">
        <v>340</v>
      </c>
      <c r="F88" s="71" t="s">
        <v>298</v>
      </c>
      <c r="G88" s="88">
        <v>46289.303541666697</v>
      </c>
      <c r="H88" s="89">
        <v>46289</v>
      </c>
      <c r="I88" s="71" t="s">
        <v>331</v>
      </c>
      <c r="J88" s="71">
        <v>-13</v>
      </c>
      <c r="K88" s="71" t="s">
        <v>302</v>
      </c>
      <c r="L88" s="71">
        <f t="shared" si="9"/>
        <v>9</v>
      </c>
      <c r="M88" s="71" t="str">
        <f>IFERROR(INDEX(KALENDER!$D$3:$D$132,MATCH(H88,KALENDER!$A$3:$A$132,0)),"Di luar periode")</f>
        <v>Hari Kerja</v>
      </c>
      <c r="N88" s="71">
        <f t="shared" si="10"/>
        <v>1</v>
      </c>
      <c r="O88" s="71">
        <f t="shared" si="11"/>
        <v>1</v>
      </c>
      <c r="P88" s="71">
        <f t="shared" si="12"/>
        <v>1</v>
      </c>
      <c r="Q88" s="71">
        <f t="shared" si="13"/>
        <v>0</v>
      </c>
      <c r="R88" s="71">
        <f t="shared" si="14"/>
        <v>0</v>
      </c>
      <c r="S88" s="71">
        <f t="shared" si="15"/>
        <v>0</v>
      </c>
      <c r="T88" s="71">
        <f t="shared" si="16"/>
        <v>0</v>
      </c>
      <c r="U88" s="71">
        <f>IF(AND(N88=1,V88=1),IF(COUNTIFS(AKTIVITAS!$B$2:$B$3052,B88,AKTIVITAS!$E$2:$E$3052,H88)&gt;0,1,0),0)</f>
        <v>1</v>
      </c>
      <c r="V88" s="71">
        <f>IFERROR(IF(AND(H88&gt;=INDEX(PEMAGANG!$J$3:$J$36,MATCH(B88,PEMAGANG!$C$3:$C$36,0)),H88&lt;=INDEX(PEMAGANG!$K$3:$K$36,MATCH(B88,PEMAGANG!$C$3:$C$36,0))),1,0),0)</f>
        <v>1</v>
      </c>
      <c r="W88" s="71">
        <f t="shared" si="17"/>
        <v>1</v>
      </c>
    </row>
    <row r="89" spans="1:23" x14ac:dyDescent="0.2">
      <c r="A89" s="71" t="s">
        <v>269</v>
      </c>
      <c r="B89" s="71" t="s">
        <v>270</v>
      </c>
      <c r="C89" s="71" t="s">
        <v>187</v>
      </c>
      <c r="D89" s="71" t="s">
        <v>271</v>
      </c>
      <c r="E89" s="71" t="s">
        <v>340</v>
      </c>
      <c r="F89" s="71" t="s">
        <v>300</v>
      </c>
      <c r="G89" s="88">
        <v>46289.694479166697</v>
      </c>
      <c r="H89" s="89">
        <v>46289</v>
      </c>
      <c r="I89" s="71" t="s">
        <v>343</v>
      </c>
      <c r="J89" s="71">
        <v>0</v>
      </c>
      <c r="K89" s="71" t="s">
        <v>302</v>
      </c>
      <c r="L89" s="71">
        <f t="shared" si="9"/>
        <v>9</v>
      </c>
      <c r="M89" s="71" t="str">
        <f>IFERROR(INDEX(KALENDER!$D$3:$D$132,MATCH(H89,KALENDER!$A$3:$A$132,0)),"Di luar periode")</f>
        <v>Hari Kerja</v>
      </c>
      <c r="N89" s="71">
        <f t="shared" si="10"/>
        <v>0</v>
      </c>
      <c r="O89" s="71">
        <f t="shared" si="11"/>
        <v>1</v>
      </c>
      <c r="P89" s="71">
        <f t="shared" si="12"/>
        <v>0</v>
      </c>
      <c r="Q89" s="71">
        <f t="shared" si="13"/>
        <v>0</v>
      </c>
      <c r="R89" s="71">
        <f t="shared" si="14"/>
        <v>0</v>
      </c>
      <c r="S89" s="71">
        <f t="shared" si="15"/>
        <v>0</v>
      </c>
      <c r="T89" s="71">
        <f t="shared" si="16"/>
        <v>0</v>
      </c>
      <c r="U89" s="71">
        <f>IF(AND(N89=1,V89=1),IF(COUNTIFS(AKTIVITAS!$B$2:$B$3052,B89,AKTIVITAS!$E$2:$E$3052,H89)&gt;0,1,0),0)</f>
        <v>0</v>
      </c>
      <c r="V89" s="71">
        <f>IFERROR(IF(AND(H89&gt;=INDEX(PEMAGANG!$J$3:$J$36,MATCH(B89,PEMAGANG!$C$3:$C$36,0)),H89&lt;=INDEX(PEMAGANG!$K$3:$K$36,MATCH(B89,PEMAGANG!$C$3:$C$36,0))),1,0),0)</f>
        <v>1</v>
      </c>
      <c r="W89" s="71">
        <f t="shared" si="17"/>
        <v>0</v>
      </c>
    </row>
    <row r="90" spans="1:23" x14ac:dyDescent="0.2">
      <c r="A90" s="71" t="s">
        <v>269</v>
      </c>
      <c r="B90" s="71" t="s">
        <v>270</v>
      </c>
      <c r="C90" s="71" t="s">
        <v>187</v>
      </c>
      <c r="D90" s="71" t="s">
        <v>271</v>
      </c>
      <c r="E90" s="71" t="s">
        <v>340</v>
      </c>
      <c r="F90" s="71" t="s">
        <v>298</v>
      </c>
      <c r="G90" s="88">
        <v>46293.303680555597</v>
      </c>
      <c r="H90" s="89">
        <v>46293</v>
      </c>
      <c r="I90" s="71" t="s">
        <v>331</v>
      </c>
      <c r="J90" s="71">
        <v>-13</v>
      </c>
      <c r="K90" s="71" t="s">
        <v>302</v>
      </c>
      <c r="L90" s="71">
        <f t="shared" si="9"/>
        <v>9</v>
      </c>
      <c r="M90" s="71" t="str">
        <f>IFERROR(INDEX(KALENDER!$D$3:$D$132,MATCH(H90,KALENDER!$A$3:$A$132,0)),"Di luar periode")</f>
        <v>Hari Kerja</v>
      </c>
      <c r="N90" s="71">
        <f t="shared" si="10"/>
        <v>1</v>
      </c>
      <c r="O90" s="71">
        <f t="shared" si="11"/>
        <v>1</v>
      </c>
      <c r="P90" s="71">
        <f t="shared" si="12"/>
        <v>1</v>
      </c>
      <c r="Q90" s="71">
        <f t="shared" si="13"/>
        <v>0</v>
      </c>
      <c r="R90" s="71">
        <f t="shared" si="14"/>
        <v>0</v>
      </c>
      <c r="S90" s="71">
        <f t="shared" si="15"/>
        <v>0</v>
      </c>
      <c r="T90" s="71">
        <f t="shared" si="16"/>
        <v>0</v>
      </c>
      <c r="U90" s="71">
        <f>IF(AND(N90=1,V90=1),IF(COUNTIFS(AKTIVITAS!$B$2:$B$3052,B90,AKTIVITAS!$E$2:$E$3052,H90)&gt;0,1,0),0)</f>
        <v>1</v>
      </c>
      <c r="V90" s="71">
        <f>IFERROR(IF(AND(H90&gt;=INDEX(PEMAGANG!$J$3:$J$36,MATCH(B90,PEMAGANG!$C$3:$C$36,0)),H90&lt;=INDEX(PEMAGANG!$K$3:$K$36,MATCH(B90,PEMAGANG!$C$3:$C$36,0))),1,0),0)</f>
        <v>1</v>
      </c>
      <c r="W90" s="71">
        <f t="shared" si="17"/>
        <v>1</v>
      </c>
    </row>
    <row r="91" spans="1:23" x14ac:dyDescent="0.2">
      <c r="A91" s="71" t="s">
        <v>269</v>
      </c>
      <c r="B91" s="71" t="s">
        <v>270</v>
      </c>
      <c r="C91" s="71" t="s">
        <v>187</v>
      </c>
      <c r="D91" s="71" t="s">
        <v>271</v>
      </c>
      <c r="E91" s="71" t="s">
        <v>340</v>
      </c>
      <c r="F91" s="71" t="s">
        <v>300</v>
      </c>
      <c r="G91" s="88">
        <v>46293.695428240702</v>
      </c>
      <c r="H91" s="89">
        <v>46293</v>
      </c>
      <c r="I91" s="71" t="s">
        <v>319</v>
      </c>
      <c r="J91" s="71">
        <v>0</v>
      </c>
      <c r="K91" s="71" t="s">
        <v>302</v>
      </c>
      <c r="L91" s="71">
        <f t="shared" si="9"/>
        <v>9</v>
      </c>
      <c r="M91" s="71" t="str">
        <f>IFERROR(INDEX(KALENDER!$D$3:$D$132,MATCH(H91,KALENDER!$A$3:$A$132,0)),"Di luar periode")</f>
        <v>Hari Kerja</v>
      </c>
      <c r="N91" s="71">
        <f t="shared" si="10"/>
        <v>0</v>
      </c>
      <c r="O91" s="71">
        <f t="shared" si="11"/>
        <v>1</v>
      </c>
      <c r="P91" s="71">
        <f t="shared" si="12"/>
        <v>0</v>
      </c>
      <c r="Q91" s="71">
        <f t="shared" si="13"/>
        <v>0</v>
      </c>
      <c r="R91" s="71">
        <f t="shared" si="14"/>
        <v>0</v>
      </c>
      <c r="S91" s="71">
        <f t="shared" si="15"/>
        <v>0</v>
      </c>
      <c r="T91" s="71">
        <f t="shared" si="16"/>
        <v>0</v>
      </c>
      <c r="U91" s="71">
        <f>IF(AND(N91=1,V91=1),IF(COUNTIFS(AKTIVITAS!$B$2:$B$3052,B91,AKTIVITAS!$E$2:$E$3052,H91)&gt;0,1,0),0)</f>
        <v>0</v>
      </c>
      <c r="V91" s="71">
        <f>IFERROR(IF(AND(H91&gt;=INDEX(PEMAGANG!$J$3:$J$36,MATCH(B91,PEMAGANG!$C$3:$C$36,0)),H91&lt;=INDEX(PEMAGANG!$K$3:$K$36,MATCH(B91,PEMAGANG!$C$3:$C$36,0))),1,0),0)</f>
        <v>1</v>
      </c>
      <c r="W91" s="71">
        <f t="shared" si="17"/>
        <v>0</v>
      </c>
    </row>
    <row r="92" spans="1:23" x14ac:dyDescent="0.2">
      <c r="A92" s="71" t="s">
        <v>269</v>
      </c>
      <c r="B92" s="71" t="s">
        <v>270</v>
      </c>
      <c r="C92" s="71" t="s">
        <v>187</v>
      </c>
      <c r="D92" s="71" t="s">
        <v>271</v>
      </c>
      <c r="E92" s="71" t="s">
        <v>340</v>
      </c>
      <c r="F92" s="71" t="s">
        <v>298</v>
      </c>
      <c r="G92" s="88">
        <v>46294.306793981501</v>
      </c>
      <c r="H92" s="89">
        <v>46294</v>
      </c>
      <c r="I92" s="71" t="s">
        <v>305</v>
      </c>
      <c r="J92" s="71">
        <v>-9.0000000000000497</v>
      </c>
      <c r="K92" s="71" t="s">
        <v>302</v>
      </c>
      <c r="L92" s="71">
        <f t="shared" si="9"/>
        <v>9</v>
      </c>
      <c r="M92" s="71" t="str">
        <f>IFERROR(INDEX(KALENDER!$D$3:$D$132,MATCH(H92,KALENDER!$A$3:$A$132,0)),"Di luar periode")</f>
        <v>Hari Kerja</v>
      </c>
      <c r="N92" s="71">
        <f t="shared" si="10"/>
        <v>1</v>
      </c>
      <c r="O92" s="71">
        <f t="shared" si="11"/>
        <v>1</v>
      </c>
      <c r="P92" s="71">
        <f t="shared" si="12"/>
        <v>1</v>
      </c>
      <c r="Q92" s="71">
        <f t="shared" si="13"/>
        <v>0</v>
      </c>
      <c r="R92" s="71">
        <f t="shared" si="14"/>
        <v>0</v>
      </c>
      <c r="S92" s="71">
        <f t="shared" si="15"/>
        <v>0</v>
      </c>
      <c r="T92" s="71">
        <f t="shared" si="16"/>
        <v>0</v>
      </c>
      <c r="U92" s="71">
        <f>IF(AND(N92=1,V92=1),IF(COUNTIFS(AKTIVITAS!$B$2:$B$3052,B92,AKTIVITAS!$E$2:$E$3052,H92)&gt;0,1,0),0)</f>
        <v>1</v>
      </c>
      <c r="V92" s="71">
        <f>IFERROR(IF(AND(H92&gt;=INDEX(PEMAGANG!$J$3:$J$36,MATCH(B92,PEMAGANG!$C$3:$C$36,0)),H92&lt;=INDEX(PEMAGANG!$K$3:$K$36,MATCH(B92,PEMAGANG!$C$3:$C$36,0))),1,0),0)</f>
        <v>1</v>
      </c>
      <c r="W92" s="71">
        <f t="shared" si="17"/>
        <v>1</v>
      </c>
    </row>
    <row r="93" spans="1:23" x14ac:dyDescent="0.2">
      <c r="A93" s="71" t="s">
        <v>269</v>
      </c>
      <c r="B93" s="71" t="s">
        <v>270</v>
      </c>
      <c r="C93" s="71" t="s">
        <v>187</v>
      </c>
      <c r="D93" s="71" t="s">
        <v>271</v>
      </c>
      <c r="E93" s="71" t="s">
        <v>340</v>
      </c>
      <c r="F93" s="71" t="s">
        <v>300</v>
      </c>
      <c r="G93" s="88">
        <v>46294.694675925901</v>
      </c>
      <c r="H93" s="89">
        <v>46294</v>
      </c>
      <c r="I93" s="71" t="s">
        <v>343</v>
      </c>
      <c r="J93" s="71">
        <v>0</v>
      </c>
      <c r="K93" s="71" t="s">
        <v>302</v>
      </c>
      <c r="L93" s="71">
        <f t="shared" si="9"/>
        <v>9</v>
      </c>
      <c r="M93" s="71" t="str">
        <f>IFERROR(INDEX(KALENDER!$D$3:$D$132,MATCH(H93,KALENDER!$A$3:$A$132,0)),"Di luar periode")</f>
        <v>Hari Kerja</v>
      </c>
      <c r="N93" s="71">
        <f t="shared" si="10"/>
        <v>0</v>
      </c>
      <c r="O93" s="71">
        <f t="shared" si="11"/>
        <v>1</v>
      </c>
      <c r="P93" s="71">
        <f t="shared" si="12"/>
        <v>0</v>
      </c>
      <c r="Q93" s="71">
        <f t="shared" si="13"/>
        <v>0</v>
      </c>
      <c r="R93" s="71">
        <f t="shared" si="14"/>
        <v>0</v>
      </c>
      <c r="S93" s="71">
        <f t="shared" si="15"/>
        <v>0</v>
      </c>
      <c r="T93" s="71">
        <f t="shared" si="16"/>
        <v>0</v>
      </c>
      <c r="U93" s="71">
        <f>IF(AND(N93=1,V93=1),IF(COUNTIFS(AKTIVITAS!$B$2:$B$3052,B93,AKTIVITAS!$E$2:$E$3052,H93)&gt;0,1,0),0)</f>
        <v>0</v>
      </c>
      <c r="V93" s="71">
        <f>IFERROR(IF(AND(H93&gt;=INDEX(PEMAGANG!$J$3:$J$36,MATCH(B93,PEMAGANG!$C$3:$C$36,0)),H93&lt;=INDEX(PEMAGANG!$K$3:$K$36,MATCH(B93,PEMAGANG!$C$3:$C$36,0))),1,0),0)</f>
        <v>1</v>
      </c>
      <c r="W93" s="71">
        <f t="shared" si="17"/>
        <v>0</v>
      </c>
    </row>
    <row r="94" spans="1:23" x14ac:dyDescent="0.2">
      <c r="A94" s="71" t="s">
        <v>269</v>
      </c>
      <c r="B94" s="71" t="s">
        <v>270</v>
      </c>
      <c r="C94" s="71" t="s">
        <v>187</v>
      </c>
      <c r="D94" s="71" t="s">
        <v>271</v>
      </c>
      <c r="E94" s="71" t="s">
        <v>340</v>
      </c>
      <c r="F94" s="71" t="s">
        <v>298</v>
      </c>
      <c r="G94" s="88">
        <v>46295.306851851899</v>
      </c>
      <c r="H94" s="89">
        <v>46295</v>
      </c>
      <c r="I94" s="71" t="s">
        <v>305</v>
      </c>
      <c r="J94" s="71">
        <v>-9.0000000000000497</v>
      </c>
      <c r="K94" s="71" t="s">
        <v>302</v>
      </c>
      <c r="L94" s="71">
        <f t="shared" si="9"/>
        <v>9</v>
      </c>
      <c r="M94" s="71" t="str">
        <f>IFERROR(INDEX(KALENDER!$D$3:$D$132,MATCH(H94,KALENDER!$A$3:$A$132,0)),"Di luar periode")</f>
        <v>Hari Kerja</v>
      </c>
      <c r="N94" s="71">
        <f t="shared" si="10"/>
        <v>1</v>
      </c>
      <c r="O94" s="71">
        <f t="shared" si="11"/>
        <v>1</v>
      </c>
      <c r="P94" s="71">
        <f t="shared" si="12"/>
        <v>1</v>
      </c>
      <c r="Q94" s="71">
        <f t="shared" si="13"/>
        <v>0</v>
      </c>
      <c r="R94" s="71">
        <f t="shared" si="14"/>
        <v>0</v>
      </c>
      <c r="S94" s="71">
        <f t="shared" si="15"/>
        <v>0</v>
      </c>
      <c r="T94" s="71">
        <f t="shared" si="16"/>
        <v>0</v>
      </c>
      <c r="U94" s="71">
        <f>IF(AND(N94=1,V94=1),IF(COUNTIFS(AKTIVITAS!$B$2:$B$3052,B94,AKTIVITAS!$E$2:$E$3052,H94)&gt;0,1,0),0)</f>
        <v>1</v>
      </c>
      <c r="V94" s="71">
        <f>IFERROR(IF(AND(H94&gt;=INDEX(PEMAGANG!$J$3:$J$36,MATCH(B94,PEMAGANG!$C$3:$C$36,0)),H94&lt;=INDEX(PEMAGANG!$K$3:$K$36,MATCH(B94,PEMAGANG!$C$3:$C$36,0))),1,0),0)</f>
        <v>1</v>
      </c>
      <c r="W94" s="71">
        <f t="shared" si="17"/>
        <v>1</v>
      </c>
    </row>
    <row r="95" spans="1:23" x14ac:dyDescent="0.2">
      <c r="A95" s="71" t="s">
        <v>269</v>
      </c>
      <c r="B95" s="71" t="s">
        <v>270</v>
      </c>
      <c r="C95" s="71" t="s">
        <v>187</v>
      </c>
      <c r="D95" s="71" t="s">
        <v>271</v>
      </c>
      <c r="E95" s="71" t="s">
        <v>340</v>
      </c>
      <c r="F95" s="71" t="s">
        <v>300</v>
      </c>
      <c r="G95" s="88">
        <v>46295.691863425898</v>
      </c>
      <c r="H95" s="89">
        <v>46295</v>
      </c>
      <c r="I95" s="71" t="s">
        <v>344</v>
      </c>
      <c r="J95" s="71">
        <v>0</v>
      </c>
      <c r="K95" s="71" t="s">
        <v>302</v>
      </c>
      <c r="L95" s="71">
        <f t="shared" si="9"/>
        <v>9</v>
      </c>
      <c r="M95" s="71" t="str">
        <f>IFERROR(INDEX(KALENDER!$D$3:$D$132,MATCH(H95,KALENDER!$A$3:$A$132,0)),"Di luar periode")</f>
        <v>Hari Kerja</v>
      </c>
      <c r="N95" s="71">
        <f t="shared" si="10"/>
        <v>0</v>
      </c>
      <c r="O95" s="71">
        <f t="shared" si="11"/>
        <v>1</v>
      </c>
      <c r="P95" s="71">
        <f t="shared" si="12"/>
        <v>0</v>
      </c>
      <c r="Q95" s="71">
        <f t="shared" si="13"/>
        <v>0</v>
      </c>
      <c r="R95" s="71">
        <f t="shared" si="14"/>
        <v>0</v>
      </c>
      <c r="S95" s="71">
        <f t="shared" si="15"/>
        <v>0</v>
      </c>
      <c r="T95" s="71">
        <f t="shared" si="16"/>
        <v>0</v>
      </c>
      <c r="U95" s="71">
        <f>IF(AND(N95=1,V95=1),IF(COUNTIFS(AKTIVITAS!$B$2:$B$3052,B95,AKTIVITAS!$E$2:$E$3052,H95)&gt;0,1,0),0)</f>
        <v>0</v>
      </c>
      <c r="V95" s="71">
        <f>IFERROR(IF(AND(H95&gt;=INDEX(PEMAGANG!$J$3:$J$36,MATCH(B95,PEMAGANG!$C$3:$C$36,0)),H95&lt;=INDEX(PEMAGANG!$K$3:$K$36,MATCH(B95,PEMAGANG!$C$3:$C$36,0))),1,0),0)</f>
        <v>1</v>
      </c>
      <c r="W95" s="71">
        <f t="shared" si="17"/>
        <v>0</v>
      </c>
    </row>
    <row r="96" spans="1:23" x14ac:dyDescent="0.2">
      <c r="A96" s="71" t="s">
        <v>249</v>
      </c>
      <c r="B96" s="71" t="s">
        <v>250</v>
      </c>
      <c r="C96" s="71" t="s">
        <v>187</v>
      </c>
      <c r="D96" s="71" t="s">
        <v>220</v>
      </c>
      <c r="E96" s="71" t="s">
        <v>345</v>
      </c>
      <c r="F96" s="71" t="s">
        <v>298</v>
      </c>
      <c r="G96" s="88">
        <v>46175.309571759302</v>
      </c>
      <c r="H96" s="89">
        <v>46175</v>
      </c>
      <c r="I96" s="71" t="s">
        <v>307</v>
      </c>
      <c r="J96" s="71">
        <v>-4.9999999999999796</v>
      </c>
      <c r="K96" s="71" t="s">
        <v>302</v>
      </c>
      <c r="L96" s="71">
        <f t="shared" si="9"/>
        <v>6</v>
      </c>
      <c r="M96" s="71" t="str">
        <f>IFERROR(INDEX(KALENDER!$D$3:$D$132,MATCH(H96,KALENDER!$A$3:$A$132,0)),"Di luar periode")</f>
        <v>Hari Kerja</v>
      </c>
      <c r="N96" s="71">
        <f t="shared" si="10"/>
        <v>1</v>
      </c>
      <c r="O96" s="71">
        <f t="shared" si="11"/>
        <v>1</v>
      </c>
      <c r="P96" s="71">
        <f t="shared" si="12"/>
        <v>1</v>
      </c>
      <c r="Q96" s="71">
        <f t="shared" si="13"/>
        <v>0</v>
      </c>
      <c r="R96" s="71">
        <f t="shared" si="14"/>
        <v>0</v>
      </c>
      <c r="S96" s="71">
        <f t="shared" si="15"/>
        <v>0</v>
      </c>
      <c r="T96" s="71">
        <f t="shared" si="16"/>
        <v>0</v>
      </c>
      <c r="U96" s="71">
        <f>IF(AND(N96=1,V96=1),IF(COUNTIFS(AKTIVITAS!$B$2:$B$3052,B96,AKTIVITAS!$E$2:$E$3052,H96)&gt;0,1,0),0)</f>
        <v>1</v>
      </c>
      <c r="V96" s="71">
        <f>IFERROR(IF(AND(H96&gt;=INDEX(PEMAGANG!$J$3:$J$36,MATCH(B96,PEMAGANG!$C$3:$C$36,0)),H96&lt;=INDEX(PEMAGANG!$K$3:$K$36,MATCH(B96,PEMAGANG!$C$3:$C$36,0))),1,0),0)</f>
        <v>1</v>
      </c>
      <c r="W96" s="71">
        <f t="shared" si="17"/>
        <v>1</v>
      </c>
    </row>
    <row r="97" spans="1:23" x14ac:dyDescent="0.2">
      <c r="A97" s="71" t="s">
        <v>249</v>
      </c>
      <c r="B97" s="71" t="s">
        <v>250</v>
      </c>
      <c r="C97" s="71" t="s">
        <v>187</v>
      </c>
      <c r="D97" s="71" t="s">
        <v>220</v>
      </c>
      <c r="E97" s="71" t="s">
        <v>345</v>
      </c>
      <c r="F97" s="71" t="s">
        <v>300</v>
      </c>
      <c r="G97" s="88">
        <v>46175.694479166697</v>
      </c>
      <c r="H97" s="89">
        <v>46175</v>
      </c>
      <c r="I97" s="71" t="s">
        <v>343</v>
      </c>
      <c r="J97" s="71">
        <v>0</v>
      </c>
      <c r="K97" s="71" t="s">
        <v>302</v>
      </c>
      <c r="L97" s="71">
        <f t="shared" si="9"/>
        <v>6</v>
      </c>
      <c r="M97" s="71" t="str">
        <f>IFERROR(INDEX(KALENDER!$D$3:$D$132,MATCH(H97,KALENDER!$A$3:$A$132,0)),"Di luar periode")</f>
        <v>Hari Kerja</v>
      </c>
      <c r="N97" s="71">
        <f t="shared" si="10"/>
        <v>0</v>
      </c>
      <c r="O97" s="71">
        <f t="shared" si="11"/>
        <v>1</v>
      </c>
      <c r="P97" s="71">
        <f t="shared" si="12"/>
        <v>0</v>
      </c>
      <c r="Q97" s="71">
        <f t="shared" si="13"/>
        <v>0</v>
      </c>
      <c r="R97" s="71">
        <f t="shared" si="14"/>
        <v>0</v>
      </c>
      <c r="S97" s="71">
        <f t="shared" si="15"/>
        <v>0</v>
      </c>
      <c r="T97" s="71">
        <f t="shared" si="16"/>
        <v>0</v>
      </c>
      <c r="U97" s="71">
        <f>IF(AND(N97=1,V97=1),IF(COUNTIFS(AKTIVITAS!$B$2:$B$3052,B97,AKTIVITAS!$E$2:$E$3052,H97)&gt;0,1,0),0)</f>
        <v>0</v>
      </c>
      <c r="V97" s="71">
        <f>IFERROR(IF(AND(H97&gt;=INDEX(PEMAGANG!$J$3:$J$36,MATCH(B97,PEMAGANG!$C$3:$C$36,0)),H97&lt;=INDEX(PEMAGANG!$K$3:$K$36,MATCH(B97,PEMAGANG!$C$3:$C$36,0))),1,0),0)</f>
        <v>1</v>
      </c>
      <c r="W97" s="71">
        <f t="shared" si="17"/>
        <v>0</v>
      </c>
    </row>
    <row r="98" spans="1:23" x14ac:dyDescent="0.2">
      <c r="A98" s="71" t="s">
        <v>249</v>
      </c>
      <c r="B98" s="71" t="s">
        <v>250</v>
      </c>
      <c r="C98" s="71" t="s">
        <v>187</v>
      </c>
      <c r="D98" s="71" t="s">
        <v>220</v>
      </c>
      <c r="E98" s="71" t="s">
        <v>345</v>
      </c>
      <c r="F98" s="71" t="s">
        <v>298</v>
      </c>
      <c r="G98" s="88">
        <v>46176.3105208333</v>
      </c>
      <c r="H98" s="89">
        <v>46176</v>
      </c>
      <c r="I98" s="71" t="s">
        <v>309</v>
      </c>
      <c r="J98" s="71">
        <v>-2.9999999999999898</v>
      </c>
      <c r="K98" s="71" t="s">
        <v>302</v>
      </c>
      <c r="L98" s="71">
        <f t="shared" si="9"/>
        <v>6</v>
      </c>
      <c r="M98" s="71" t="str">
        <f>IFERROR(INDEX(KALENDER!$D$3:$D$132,MATCH(H98,KALENDER!$A$3:$A$132,0)),"Di luar periode")</f>
        <v>WFH</v>
      </c>
      <c r="N98" s="71">
        <f t="shared" si="10"/>
        <v>1</v>
      </c>
      <c r="O98" s="71">
        <f t="shared" si="11"/>
        <v>1</v>
      </c>
      <c r="P98" s="71">
        <f t="shared" si="12"/>
        <v>0</v>
      </c>
      <c r="Q98" s="71">
        <f t="shared" si="13"/>
        <v>1</v>
      </c>
      <c r="R98" s="71">
        <f t="shared" si="14"/>
        <v>0</v>
      </c>
      <c r="S98" s="71">
        <f t="shared" si="15"/>
        <v>0</v>
      </c>
      <c r="T98" s="71">
        <f t="shared" si="16"/>
        <v>0</v>
      </c>
      <c r="U98" s="71">
        <f>IF(AND(N98=1,V98=1),IF(COUNTIFS(AKTIVITAS!$B$2:$B$3052,B98,AKTIVITAS!$E$2:$E$3052,H98)&gt;0,1,0),0)</f>
        <v>1</v>
      </c>
      <c r="V98" s="71">
        <f>IFERROR(IF(AND(H98&gt;=INDEX(PEMAGANG!$J$3:$J$36,MATCH(B98,PEMAGANG!$C$3:$C$36,0)),H98&lt;=INDEX(PEMAGANG!$K$3:$K$36,MATCH(B98,PEMAGANG!$C$3:$C$36,0))),1,0),0)</f>
        <v>1</v>
      </c>
      <c r="W98" s="71">
        <f t="shared" si="17"/>
        <v>1</v>
      </c>
    </row>
    <row r="99" spans="1:23" x14ac:dyDescent="0.2">
      <c r="A99" s="71" t="s">
        <v>249</v>
      </c>
      <c r="B99" s="71" t="s">
        <v>250</v>
      </c>
      <c r="C99" s="71" t="s">
        <v>187</v>
      </c>
      <c r="D99" s="71" t="s">
        <v>220</v>
      </c>
      <c r="E99" s="71" t="s">
        <v>345</v>
      </c>
      <c r="F99" s="71" t="s">
        <v>300</v>
      </c>
      <c r="G99" s="88">
        <v>46176.695138888899</v>
      </c>
      <c r="H99" s="89">
        <v>46176</v>
      </c>
      <c r="I99" s="71" t="s">
        <v>319</v>
      </c>
      <c r="J99" s="71">
        <v>0</v>
      </c>
      <c r="K99" s="71" t="s">
        <v>302</v>
      </c>
      <c r="L99" s="71">
        <f t="shared" si="9"/>
        <v>6</v>
      </c>
      <c r="M99" s="71" t="str">
        <f>IFERROR(INDEX(KALENDER!$D$3:$D$132,MATCH(H99,KALENDER!$A$3:$A$132,0)),"Di luar periode")</f>
        <v>WFH</v>
      </c>
      <c r="N99" s="71">
        <f t="shared" si="10"/>
        <v>0</v>
      </c>
      <c r="O99" s="71">
        <f t="shared" si="11"/>
        <v>1</v>
      </c>
      <c r="P99" s="71">
        <f t="shared" si="12"/>
        <v>0</v>
      </c>
      <c r="Q99" s="71">
        <f t="shared" si="13"/>
        <v>0</v>
      </c>
      <c r="R99" s="71">
        <f t="shared" si="14"/>
        <v>0</v>
      </c>
      <c r="S99" s="71">
        <f t="shared" si="15"/>
        <v>0</v>
      </c>
      <c r="T99" s="71">
        <f t="shared" si="16"/>
        <v>0</v>
      </c>
      <c r="U99" s="71">
        <f>IF(AND(N99=1,V99=1),IF(COUNTIFS(AKTIVITAS!$B$2:$B$3052,B99,AKTIVITAS!$E$2:$E$3052,H99)&gt;0,1,0),0)</f>
        <v>0</v>
      </c>
      <c r="V99" s="71">
        <f>IFERROR(IF(AND(H99&gt;=INDEX(PEMAGANG!$J$3:$J$36,MATCH(B99,PEMAGANG!$C$3:$C$36,0)),H99&lt;=INDEX(PEMAGANG!$K$3:$K$36,MATCH(B99,PEMAGANG!$C$3:$C$36,0))),1,0),0)</f>
        <v>1</v>
      </c>
      <c r="W99" s="71">
        <f t="shared" si="17"/>
        <v>0</v>
      </c>
    </row>
    <row r="100" spans="1:23" x14ac:dyDescent="0.2">
      <c r="A100" s="71" t="s">
        <v>249</v>
      </c>
      <c r="B100" s="71" t="s">
        <v>250</v>
      </c>
      <c r="C100" s="71" t="s">
        <v>187</v>
      </c>
      <c r="D100" s="71" t="s">
        <v>220</v>
      </c>
      <c r="E100" s="71" t="s">
        <v>345</v>
      </c>
      <c r="F100" s="71" t="s">
        <v>298</v>
      </c>
      <c r="G100" s="88">
        <v>46177.309722222199</v>
      </c>
      <c r="H100" s="89">
        <v>46177</v>
      </c>
      <c r="I100" s="71" t="s">
        <v>315</v>
      </c>
      <c r="J100" s="71">
        <v>-3.9999999999999898</v>
      </c>
      <c r="K100" s="71" t="s">
        <v>302</v>
      </c>
      <c r="L100" s="71">
        <f t="shared" si="9"/>
        <v>6</v>
      </c>
      <c r="M100" s="71" t="str">
        <f>IFERROR(INDEX(KALENDER!$D$3:$D$132,MATCH(H100,KALENDER!$A$3:$A$132,0)),"Di luar periode")</f>
        <v>Hari Kerja</v>
      </c>
      <c r="N100" s="71">
        <f t="shared" si="10"/>
        <v>1</v>
      </c>
      <c r="O100" s="71">
        <f t="shared" si="11"/>
        <v>1</v>
      </c>
      <c r="P100" s="71">
        <f t="shared" si="12"/>
        <v>1</v>
      </c>
      <c r="Q100" s="71">
        <f t="shared" si="13"/>
        <v>0</v>
      </c>
      <c r="R100" s="71">
        <f t="shared" si="14"/>
        <v>0</v>
      </c>
      <c r="S100" s="71">
        <f t="shared" si="15"/>
        <v>0</v>
      </c>
      <c r="T100" s="71">
        <f t="shared" si="16"/>
        <v>0</v>
      </c>
      <c r="U100" s="71">
        <f>IF(AND(N100=1,V100=1),IF(COUNTIFS(AKTIVITAS!$B$2:$B$3052,B100,AKTIVITAS!$E$2:$E$3052,H100)&gt;0,1,0),0)</f>
        <v>1</v>
      </c>
      <c r="V100" s="71">
        <f>IFERROR(IF(AND(H100&gt;=INDEX(PEMAGANG!$J$3:$J$36,MATCH(B100,PEMAGANG!$C$3:$C$36,0)),H100&lt;=INDEX(PEMAGANG!$K$3:$K$36,MATCH(B100,PEMAGANG!$C$3:$C$36,0))),1,0),0)</f>
        <v>1</v>
      </c>
      <c r="W100" s="71">
        <f t="shared" si="17"/>
        <v>1</v>
      </c>
    </row>
    <row r="101" spans="1:23" x14ac:dyDescent="0.2">
      <c r="A101" s="71" t="s">
        <v>249</v>
      </c>
      <c r="B101" s="71" t="s">
        <v>250</v>
      </c>
      <c r="C101" s="71" t="s">
        <v>187</v>
      </c>
      <c r="D101" s="71" t="s">
        <v>220</v>
      </c>
      <c r="E101" s="71" t="s">
        <v>345</v>
      </c>
      <c r="F101" s="71" t="s">
        <v>300</v>
      </c>
      <c r="G101" s="88">
        <v>46177.694328703699</v>
      </c>
      <c r="H101" s="89">
        <v>46177</v>
      </c>
      <c r="I101" s="71" t="s">
        <v>308</v>
      </c>
      <c r="J101" s="71">
        <v>0</v>
      </c>
      <c r="K101" s="71" t="s">
        <v>302</v>
      </c>
      <c r="L101" s="71">
        <f t="shared" si="9"/>
        <v>6</v>
      </c>
      <c r="M101" s="71" t="str">
        <f>IFERROR(INDEX(KALENDER!$D$3:$D$132,MATCH(H101,KALENDER!$A$3:$A$132,0)),"Di luar periode")</f>
        <v>Hari Kerja</v>
      </c>
      <c r="N101" s="71">
        <f t="shared" si="10"/>
        <v>0</v>
      </c>
      <c r="O101" s="71">
        <f t="shared" si="11"/>
        <v>1</v>
      </c>
      <c r="P101" s="71">
        <f t="shared" si="12"/>
        <v>0</v>
      </c>
      <c r="Q101" s="71">
        <f t="shared" si="13"/>
        <v>0</v>
      </c>
      <c r="R101" s="71">
        <f t="shared" si="14"/>
        <v>0</v>
      </c>
      <c r="S101" s="71">
        <f t="shared" si="15"/>
        <v>0</v>
      </c>
      <c r="T101" s="71">
        <f t="shared" si="16"/>
        <v>0</v>
      </c>
      <c r="U101" s="71">
        <f>IF(AND(N101=1,V101=1),IF(COUNTIFS(AKTIVITAS!$B$2:$B$3052,B101,AKTIVITAS!$E$2:$E$3052,H101)&gt;0,1,0),0)</f>
        <v>0</v>
      </c>
      <c r="V101" s="71">
        <f>IFERROR(IF(AND(H101&gt;=INDEX(PEMAGANG!$J$3:$J$36,MATCH(B101,PEMAGANG!$C$3:$C$36,0)),H101&lt;=INDEX(PEMAGANG!$K$3:$K$36,MATCH(B101,PEMAGANG!$C$3:$C$36,0))),1,0),0)</f>
        <v>1</v>
      </c>
      <c r="W101" s="71">
        <f t="shared" si="17"/>
        <v>0</v>
      </c>
    </row>
    <row r="102" spans="1:23" x14ac:dyDescent="0.2">
      <c r="A102" s="71" t="s">
        <v>249</v>
      </c>
      <c r="B102" s="71" t="s">
        <v>250</v>
      </c>
      <c r="C102" s="71" t="s">
        <v>187</v>
      </c>
      <c r="D102" s="71" t="s">
        <v>220</v>
      </c>
      <c r="E102" s="71" t="s">
        <v>345</v>
      </c>
      <c r="F102" s="71" t="s">
        <v>298</v>
      </c>
      <c r="G102" s="88">
        <v>46178.310092592597</v>
      </c>
      <c r="H102" s="89">
        <v>46178</v>
      </c>
      <c r="I102" s="71" t="s">
        <v>315</v>
      </c>
      <c r="J102" s="71">
        <v>-3.9999999999999898</v>
      </c>
      <c r="K102" s="71" t="s">
        <v>302</v>
      </c>
      <c r="L102" s="71">
        <f t="shared" si="9"/>
        <v>6</v>
      </c>
      <c r="M102" s="71" t="str">
        <f>IFERROR(INDEX(KALENDER!$D$3:$D$132,MATCH(H102,KALENDER!$A$3:$A$132,0)),"Di luar periode")</f>
        <v>Hari Kerja</v>
      </c>
      <c r="N102" s="71">
        <f t="shared" si="10"/>
        <v>1</v>
      </c>
      <c r="O102" s="71">
        <f t="shared" si="11"/>
        <v>1</v>
      </c>
      <c r="P102" s="71">
        <f t="shared" si="12"/>
        <v>1</v>
      </c>
      <c r="Q102" s="71">
        <f t="shared" si="13"/>
        <v>0</v>
      </c>
      <c r="R102" s="71">
        <f t="shared" si="14"/>
        <v>0</v>
      </c>
      <c r="S102" s="71">
        <f t="shared" si="15"/>
        <v>0</v>
      </c>
      <c r="T102" s="71">
        <f t="shared" si="16"/>
        <v>0</v>
      </c>
      <c r="U102" s="71">
        <f>IF(AND(N102=1,V102=1),IF(COUNTIFS(AKTIVITAS!$B$2:$B$3052,B102,AKTIVITAS!$E$2:$E$3052,H102)&gt;0,1,0),0)</f>
        <v>1</v>
      </c>
      <c r="V102" s="71">
        <f>IFERROR(IF(AND(H102&gt;=INDEX(PEMAGANG!$J$3:$J$36,MATCH(B102,PEMAGANG!$C$3:$C$36,0)),H102&lt;=INDEX(PEMAGANG!$K$3:$K$36,MATCH(B102,PEMAGANG!$C$3:$C$36,0))),1,0),0)</f>
        <v>1</v>
      </c>
      <c r="W102" s="71">
        <f t="shared" si="17"/>
        <v>1</v>
      </c>
    </row>
    <row r="103" spans="1:23" x14ac:dyDescent="0.2">
      <c r="A103" s="71" t="s">
        <v>249</v>
      </c>
      <c r="B103" s="71" t="s">
        <v>250</v>
      </c>
      <c r="C103" s="71" t="s">
        <v>187</v>
      </c>
      <c r="D103" s="71" t="s">
        <v>220</v>
      </c>
      <c r="E103" s="71" t="s">
        <v>345</v>
      </c>
      <c r="F103" s="71" t="s">
        <v>300</v>
      </c>
      <c r="G103" s="88">
        <v>46178.700486111098</v>
      </c>
      <c r="H103" s="89">
        <v>46178</v>
      </c>
      <c r="I103" s="71" t="s">
        <v>346</v>
      </c>
      <c r="J103" s="71">
        <v>0</v>
      </c>
      <c r="K103" s="71" t="s">
        <v>302</v>
      </c>
      <c r="L103" s="71">
        <f t="shared" si="9"/>
        <v>6</v>
      </c>
      <c r="M103" s="71" t="str">
        <f>IFERROR(INDEX(KALENDER!$D$3:$D$132,MATCH(H103,KALENDER!$A$3:$A$132,0)),"Di luar periode")</f>
        <v>Hari Kerja</v>
      </c>
      <c r="N103" s="71">
        <f t="shared" si="10"/>
        <v>0</v>
      </c>
      <c r="O103" s="71">
        <f t="shared" si="11"/>
        <v>1</v>
      </c>
      <c r="P103" s="71">
        <f t="shared" si="12"/>
        <v>0</v>
      </c>
      <c r="Q103" s="71">
        <f t="shared" si="13"/>
        <v>0</v>
      </c>
      <c r="R103" s="71">
        <f t="shared" si="14"/>
        <v>0</v>
      </c>
      <c r="S103" s="71">
        <f t="shared" si="15"/>
        <v>0</v>
      </c>
      <c r="T103" s="71">
        <f t="shared" si="16"/>
        <v>0</v>
      </c>
      <c r="U103" s="71">
        <f>IF(AND(N103=1,V103=1),IF(COUNTIFS(AKTIVITAS!$B$2:$B$3052,B103,AKTIVITAS!$E$2:$E$3052,H103)&gt;0,1,0),0)</f>
        <v>0</v>
      </c>
      <c r="V103" s="71">
        <f>IFERROR(IF(AND(H103&gt;=INDEX(PEMAGANG!$J$3:$J$36,MATCH(B103,PEMAGANG!$C$3:$C$36,0)),H103&lt;=INDEX(PEMAGANG!$K$3:$K$36,MATCH(B103,PEMAGANG!$C$3:$C$36,0))),1,0),0)</f>
        <v>1</v>
      </c>
      <c r="W103" s="71">
        <f t="shared" si="17"/>
        <v>0</v>
      </c>
    </row>
    <row r="104" spans="1:23" x14ac:dyDescent="0.2">
      <c r="A104" s="71" t="s">
        <v>249</v>
      </c>
      <c r="B104" s="71" t="s">
        <v>250</v>
      </c>
      <c r="C104" s="71" t="s">
        <v>187</v>
      </c>
      <c r="D104" s="71" t="s">
        <v>220</v>
      </c>
      <c r="E104" s="71" t="s">
        <v>345</v>
      </c>
      <c r="F104" s="71" t="s">
        <v>298</v>
      </c>
      <c r="G104" s="88">
        <v>46181.3101157407</v>
      </c>
      <c r="H104" s="89">
        <v>46181</v>
      </c>
      <c r="I104" s="71" t="s">
        <v>315</v>
      </c>
      <c r="J104" s="71">
        <v>-3.9999999999999898</v>
      </c>
      <c r="K104" s="71" t="s">
        <v>302</v>
      </c>
      <c r="L104" s="71">
        <f t="shared" si="9"/>
        <v>6</v>
      </c>
      <c r="M104" s="71" t="str">
        <f>IFERROR(INDEX(KALENDER!$D$3:$D$132,MATCH(H104,KALENDER!$A$3:$A$132,0)),"Di luar periode")</f>
        <v>Hari Kerja</v>
      </c>
      <c r="N104" s="71">
        <f t="shared" si="10"/>
        <v>1</v>
      </c>
      <c r="O104" s="71">
        <f t="shared" si="11"/>
        <v>1</v>
      </c>
      <c r="P104" s="71">
        <f t="shared" si="12"/>
        <v>1</v>
      </c>
      <c r="Q104" s="71">
        <f t="shared" si="13"/>
        <v>0</v>
      </c>
      <c r="R104" s="71">
        <f t="shared" si="14"/>
        <v>0</v>
      </c>
      <c r="S104" s="71">
        <f t="shared" si="15"/>
        <v>0</v>
      </c>
      <c r="T104" s="71">
        <f t="shared" si="16"/>
        <v>0</v>
      </c>
      <c r="U104" s="71">
        <f>IF(AND(N104=1,V104=1),IF(COUNTIFS(AKTIVITAS!$B$2:$B$3052,B104,AKTIVITAS!$E$2:$E$3052,H104)&gt;0,1,0),0)</f>
        <v>1</v>
      </c>
      <c r="V104" s="71">
        <f>IFERROR(IF(AND(H104&gt;=INDEX(PEMAGANG!$J$3:$J$36,MATCH(B104,PEMAGANG!$C$3:$C$36,0)),H104&lt;=INDEX(PEMAGANG!$K$3:$K$36,MATCH(B104,PEMAGANG!$C$3:$C$36,0))),1,0),0)</f>
        <v>1</v>
      </c>
      <c r="W104" s="71">
        <f t="shared" si="17"/>
        <v>1</v>
      </c>
    </row>
    <row r="105" spans="1:23" x14ac:dyDescent="0.2">
      <c r="A105" s="71" t="s">
        <v>249</v>
      </c>
      <c r="B105" s="71" t="s">
        <v>250</v>
      </c>
      <c r="C105" s="71" t="s">
        <v>187</v>
      </c>
      <c r="D105" s="71" t="s">
        <v>220</v>
      </c>
      <c r="E105" s="71" t="s">
        <v>345</v>
      </c>
      <c r="F105" s="71" t="s">
        <v>300</v>
      </c>
      <c r="G105" s="88">
        <v>46181.691354166702</v>
      </c>
      <c r="H105" s="89">
        <v>46181</v>
      </c>
      <c r="I105" s="71" t="s">
        <v>310</v>
      </c>
      <c r="J105" s="71">
        <v>0</v>
      </c>
      <c r="K105" s="71" t="s">
        <v>302</v>
      </c>
      <c r="L105" s="71">
        <f t="shared" si="9"/>
        <v>6</v>
      </c>
      <c r="M105" s="71" t="str">
        <f>IFERROR(INDEX(KALENDER!$D$3:$D$132,MATCH(H105,KALENDER!$A$3:$A$132,0)),"Di luar periode")</f>
        <v>Hari Kerja</v>
      </c>
      <c r="N105" s="71">
        <f t="shared" si="10"/>
        <v>0</v>
      </c>
      <c r="O105" s="71">
        <f t="shared" si="11"/>
        <v>1</v>
      </c>
      <c r="P105" s="71">
        <f t="shared" si="12"/>
        <v>0</v>
      </c>
      <c r="Q105" s="71">
        <f t="shared" si="13"/>
        <v>0</v>
      </c>
      <c r="R105" s="71">
        <f t="shared" si="14"/>
        <v>0</v>
      </c>
      <c r="S105" s="71">
        <f t="shared" si="15"/>
        <v>0</v>
      </c>
      <c r="T105" s="71">
        <f t="shared" si="16"/>
        <v>0</v>
      </c>
      <c r="U105" s="71">
        <f>IF(AND(N105=1,V105=1),IF(COUNTIFS(AKTIVITAS!$B$2:$B$3052,B105,AKTIVITAS!$E$2:$E$3052,H105)&gt;0,1,0),0)</f>
        <v>0</v>
      </c>
      <c r="V105" s="71">
        <f>IFERROR(IF(AND(H105&gt;=INDEX(PEMAGANG!$J$3:$J$36,MATCH(B105,PEMAGANG!$C$3:$C$36,0)),H105&lt;=INDEX(PEMAGANG!$K$3:$K$36,MATCH(B105,PEMAGANG!$C$3:$C$36,0))),1,0),0)</f>
        <v>1</v>
      </c>
      <c r="W105" s="71">
        <f t="shared" si="17"/>
        <v>0</v>
      </c>
    </row>
    <row r="106" spans="1:23" x14ac:dyDescent="0.2">
      <c r="A106" s="71" t="s">
        <v>249</v>
      </c>
      <c r="B106" s="71" t="s">
        <v>250</v>
      </c>
      <c r="C106" s="71" t="s">
        <v>187</v>
      </c>
      <c r="D106" s="71" t="s">
        <v>220</v>
      </c>
      <c r="E106" s="71" t="s">
        <v>345</v>
      </c>
      <c r="F106" s="71" t="s">
        <v>298</v>
      </c>
      <c r="G106" s="88">
        <v>46182.309745370403</v>
      </c>
      <c r="H106" s="89">
        <v>46182</v>
      </c>
      <c r="I106" s="71" t="s">
        <v>315</v>
      </c>
      <c r="J106" s="71">
        <v>-3.9999999999999898</v>
      </c>
      <c r="K106" s="71" t="s">
        <v>302</v>
      </c>
      <c r="L106" s="71">
        <f t="shared" si="9"/>
        <v>6</v>
      </c>
      <c r="M106" s="71" t="str">
        <f>IFERROR(INDEX(KALENDER!$D$3:$D$132,MATCH(H106,KALENDER!$A$3:$A$132,0)),"Di luar periode")</f>
        <v>Hari Kerja</v>
      </c>
      <c r="N106" s="71">
        <f t="shared" si="10"/>
        <v>1</v>
      </c>
      <c r="O106" s="71">
        <f t="shared" si="11"/>
        <v>1</v>
      </c>
      <c r="P106" s="71">
        <f t="shared" si="12"/>
        <v>1</v>
      </c>
      <c r="Q106" s="71">
        <f t="shared" si="13"/>
        <v>0</v>
      </c>
      <c r="R106" s="71">
        <f t="shared" si="14"/>
        <v>0</v>
      </c>
      <c r="S106" s="71">
        <f t="shared" si="15"/>
        <v>0</v>
      </c>
      <c r="T106" s="71">
        <f t="shared" si="16"/>
        <v>0</v>
      </c>
      <c r="U106" s="71">
        <f>IF(AND(N106=1,V106=1),IF(COUNTIFS(AKTIVITAS!$B$2:$B$3052,B106,AKTIVITAS!$E$2:$E$3052,H106)&gt;0,1,0),0)</f>
        <v>1</v>
      </c>
      <c r="V106" s="71">
        <f>IFERROR(IF(AND(H106&gt;=INDEX(PEMAGANG!$J$3:$J$36,MATCH(B106,PEMAGANG!$C$3:$C$36,0)),H106&lt;=INDEX(PEMAGANG!$K$3:$K$36,MATCH(B106,PEMAGANG!$C$3:$C$36,0))),1,0),0)</f>
        <v>1</v>
      </c>
      <c r="W106" s="71">
        <f t="shared" si="17"/>
        <v>1</v>
      </c>
    </row>
    <row r="107" spans="1:23" x14ac:dyDescent="0.2">
      <c r="A107" s="71" t="s">
        <v>249</v>
      </c>
      <c r="B107" s="71" t="s">
        <v>250</v>
      </c>
      <c r="C107" s="71" t="s">
        <v>187</v>
      </c>
      <c r="D107" s="71" t="s">
        <v>220</v>
      </c>
      <c r="E107" s="71" t="s">
        <v>345</v>
      </c>
      <c r="F107" s="71" t="s">
        <v>300</v>
      </c>
      <c r="G107" s="88">
        <v>46182.693460648101</v>
      </c>
      <c r="H107" s="89">
        <v>46182</v>
      </c>
      <c r="I107" s="71" t="s">
        <v>317</v>
      </c>
      <c r="J107" s="71">
        <v>0</v>
      </c>
      <c r="K107" s="71" t="s">
        <v>302</v>
      </c>
      <c r="L107" s="71">
        <f t="shared" si="9"/>
        <v>6</v>
      </c>
      <c r="M107" s="71" t="str">
        <f>IFERROR(INDEX(KALENDER!$D$3:$D$132,MATCH(H107,KALENDER!$A$3:$A$132,0)),"Di luar periode")</f>
        <v>Hari Kerja</v>
      </c>
      <c r="N107" s="71">
        <f t="shared" si="10"/>
        <v>0</v>
      </c>
      <c r="O107" s="71">
        <f t="shared" si="11"/>
        <v>1</v>
      </c>
      <c r="P107" s="71">
        <f t="shared" si="12"/>
        <v>0</v>
      </c>
      <c r="Q107" s="71">
        <f t="shared" si="13"/>
        <v>0</v>
      </c>
      <c r="R107" s="71">
        <f t="shared" si="14"/>
        <v>0</v>
      </c>
      <c r="S107" s="71">
        <f t="shared" si="15"/>
        <v>0</v>
      </c>
      <c r="T107" s="71">
        <f t="shared" si="16"/>
        <v>0</v>
      </c>
      <c r="U107" s="71">
        <f>IF(AND(N107=1,V107=1),IF(COUNTIFS(AKTIVITAS!$B$2:$B$3052,B107,AKTIVITAS!$E$2:$E$3052,H107)&gt;0,1,0),0)</f>
        <v>0</v>
      </c>
      <c r="V107" s="71">
        <f>IFERROR(IF(AND(H107&gt;=INDEX(PEMAGANG!$J$3:$J$36,MATCH(B107,PEMAGANG!$C$3:$C$36,0)),H107&lt;=INDEX(PEMAGANG!$K$3:$K$36,MATCH(B107,PEMAGANG!$C$3:$C$36,0))),1,0),0)</f>
        <v>1</v>
      </c>
      <c r="W107" s="71">
        <f t="shared" si="17"/>
        <v>0</v>
      </c>
    </row>
    <row r="108" spans="1:23" x14ac:dyDescent="0.2">
      <c r="A108" s="71" t="s">
        <v>249</v>
      </c>
      <c r="B108" s="71" t="s">
        <v>250</v>
      </c>
      <c r="C108" s="71" t="s">
        <v>187</v>
      </c>
      <c r="D108" s="71" t="s">
        <v>220</v>
      </c>
      <c r="E108" s="71" t="s">
        <v>345</v>
      </c>
      <c r="F108" s="71" t="s">
        <v>298</v>
      </c>
      <c r="G108" s="88">
        <v>46183.310798611099</v>
      </c>
      <c r="H108" s="89">
        <v>46183</v>
      </c>
      <c r="I108" s="71" t="s">
        <v>309</v>
      </c>
      <c r="J108" s="71">
        <v>-2.9999999999999898</v>
      </c>
      <c r="K108" s="71" t="s">
        <v>302</v>
      </c>
      <c r="L108" s="71">
        <f t="shared" si="9"/>
        <v>6</v>
      </c>
      <c r="M108" s="71" t="str">
        <f>IFERROR(INDEX(KALENDER!$D$3:$D$132,MATCH(H108,KALENDER!$A$3:$A$132,0)),"Di luar periode")</f>
        <v>WFH</v>
      </c>
      <c r="N108" s="71">
        <f t="shared" si="10"/>
        <v>1</v>
      </c>
      <c r="O108" s="71">
        <f t="shared" si="11"/>
        <v>1</v>
      </c>
      <c r="P108" s="71">
        <f t="shared" si="12"/>
        <v>0</v>
      </c>
      <c r="Q108" s="71">
        <f t="shared" si="13"/>
        <v>1</v>
      </c>
      <c r="R108" s="71">
        <f t="shared" si="14"/>
        <v>0</v>
      </c>
      <c r="S108" s="71">
        <f t="shared" si="15"/>
        <v>0</v>
      </c>
      <c r="T108" s="71">
        <f t="shared" si="16"/>
        <v>0</v>
      </c>
      <c r="U108" s="71">
        <f>IF(AND(N108=1,V108=1),IF(COUNTIFS(AKTIVITAS!$B$2:$B$3052,B108,AKTIVITAS!$E$2:$E$3052,H108)&gt;0,1,0),0)</f>
        <v>1</v>
      </c>
      <c r="V108" s="71">
        <f>IFERROR(IF(AND(H108&gt;=INDEX(PEMAGANG!$J$3:$J$36,MATCH(B108,PEMAGANG!$C$3:$C$36,0)),H108&lt;=INDEX(PEMAGANG!$K$3:$K$36,MATCH(B108,PEMAGANG!$C$3:$C$36,0))),1,0),0)</f>
        <v>1</v>
      </c>
      <c r="W108" s="71">
        <f t="shared" si="17"/>
        <v>1</v>
      </c>
    </row>
    <row r="109" spans="1:23" x14ac:dyDescent="0.2">
      <c r="A109" s="71" t="s">
        <v>249</v>
      </c>
      <c r="B109" s="71" t="s">
        <v>250</v>
      </c>
      <c r="C109" s="71" t="s">
        <v>187</v>
      </c>
      <c r="D109" s="71" t="s">
        <v>220</v>
      </c>
      <c r="E109" s="71" t="s">
        <v>345</v>
      </c>
      <c r="F109" s="71" t="s">
        <v>300</v>
      </c>
      <c r="G109" s="88">
        <v>46183.691180555601</v>
      </c>
      <c r="H109" s="89">
        <v>46183</v>
      </c>
      <c r="I109" s="71" t="s">
        <v>310</v>
      </c>
      <c r="J109" s="71">
        <v>0</v>
      </c>
      <c r="K109" s="71" t="s">
        <v>302</v>
      </c>
      <c r="L109" s="71">
        <f t="shared" si="9"/>
        <v>6</v>
      </c>
      <c r="M109" s="71" t="str">
        <f>IFERROR(INDEX(KALENDER!$D$3:$D$132,MATCH(H109,KALENDER!$A$3:$A$132,0)),"Di luar periode")</f>
        <v>WFH</v>
      </c>
      <c r="N109" s="71">
        <f t="shared" si="10"/>
        <v>0</v>
      </c>
      <c r="O109" s="71">
        <f t="shared" si="11"/>
        <v>1</v>
      </c>
      <c r="P109" s="71">
        <f t="shared" si="12"/>
        <v>0</v>
      </c>
      <c r="Q109" s="71">
        <f t="shared" si="13"/>
        <v>0</v>
      </c>
      <c r="R109" s="71">
        <f t="shared" si="14"/>
        <v>0</v>
      </c>
      <c r="S109" s="71">
        <f t="shared" si="15"/>
        <v>0</v>
      </c>
      <c r="T109" s="71">
        <f t="shared" si="16"/>
        <v>0</v>
      </c>
      <c r="U109" s="71">
        <f>IF(AND(N109=1,V109=1),IF(COUNTIFS(AKTIVITAS!$B$2:$B$3052,B109,AKTIVITAS!$E$2:$E$3052,H109)&gt;0,1,0),0)</f>
        <v>0</v>
      </c>
      <c r="V109" s="71">
        <f>IFERROR(IF(AND(H109&gt;=INDEX(PEMAGANG!$J$3:$J$36,MATCH(B109,PEMAGANG!$C$3:$C$36,0)),H109&lt;=INDEX(PEMAGANG!$K$3:$K$36,MATCH(B109,PEMAGANG!$C$3:$C$36,0))),1,0),0)</f>
        <v>1</v>
      </c>
      <c r="W109" s="71">
        <f t="shared" si="17"/>
        <v>0</v>
      </c>
    </row>
    <row r="110" spans="1:23" x14ac:dyDescent="0.2">
      <c r="A110" s="71" t="s">
        <v>249</v>
      </c>
      <c r="B110" s="71" t="s">
        <v>250</v>
      </c>
      <c r="C110" s="71" t="s">
        <v>187</v>
      </c>
      <c r="D110" s="71" t="s">
        <v>220</v>
      </c>
      <c r="E110" s="71" t="s">
        <v>345</v>
      </c>
      <c r="F110" s="71" t="s">
        <v>298</v>
      </c>
      <c r="G110" s="88">
        <v>46184.309606481504</v>
      </c>
      <c r="H110" s="89">
        <v>46184</v>
      </c>
      <c r="I110" s="71" t="s">
        <v>307</v>
      </c>
      <c r="J110" s="71">
        <v>-4.9999999999999796</v>
      </c>
      <c r="K110" s="71" t="s">
        <v>302</v>
      </c>
      <c r="L110" s="71">
        <f t="shared" si="9"/>
        <v>6</v>
      </c>
      <c r="M110" s="71" t="str">
        <f>IFERROR(INDEX(KALENDER!$D$3:$D$132,MATCH(H110,KALENDER!$A$3:$A$132,0)),"Di luar periode")</f>
        <v>Hari Kerja</v>
      </c>
      <c r="N110" s="71">
        <f t="shared" si="10"/>
        <v>1</v>
      </c>
      <c r="O110" s="71">
        <f t="shared" si="11"/>
        <v>1</v>
      </c>
      <c r="P110" s="71">
        <f t="shared" si="12"/>
        <v>1</v>
      </c>
      <c r="Q110" s="71">
        <f t="shared" si="13"/>
        <v>0</v>
      </c>
      <c r="R110" s="71">
        <f t="shared" si="14"/>
        <v>0</v>
      </c>
      <c r="S110" s="71">
        <f t="shared" si="15"/>
        <v>0</v>
      </c>
      <c r="T110" s="71">
        <f t="shared" si="16"/>
        <v>0</v>
      </c>
      <c r="U110" s="71">
        <f>IF(AND(N110=1,V110=1),IF(COUNTIFS(AKTIVITAS!$B$2:$B$3052,B110,AKTIVITAS!$E$2:$E$3052,H110)&gt;0,1,0),0)</f>
        <v>1</v>
      </c>
      <c r="V110" s="71">
        <f>IFERROR(IF(AND(H110&gt;=INDEX(PEMAGANG!$J$3:$J$36,MATCH(B110,PEMAGANG!$C$3:$C$36,0)),H110&lt;=INDEX(PEMAGANG!$K$3:$K$36,MATCH(B110,PEMAGANG!$C$3:$C$36,0))),1,0),0)</f>
        <v>1</v>
      </c>
      <c r="W110" s="71">
        <f t="shared" si="17"/>
        <v>1</v>
      </c>
    </row>
    <row r="111" spans="1:23" x14ac:dyDescent="0.2">
      <c r="A111" s="71" t="s">
        <v>249</v>
      </c>
      <c r="B111" s="71" t="s">
        <v>250</v>
      </c>
      <c r="C111" s="71" t="s">
        <v>187</v>
      </c>
      <c r="D111" s="71" t="s">
        <v>220</v>
      </c>
      <c r="E111" s="71" t="s">
        <v>345</v>
      </c>
      <c r="F111" s="71" t="s">
        <v>300</v>
      </c>
      <c r="G111" s="88">
        <v>46184.691736111097</v>
      </c>
      <c r="H111" s="89">
        <v>46184</v>
      </c>
      <c r="I111" s="71" t="s">
        <v>344</v>
      </c>
      <c r="J111" s="71">
        <v>0</v>
      </c>
      <c r="K111" s="71" t="s">
        <v>302</v>
      </c>
      <c r="L111" s="71">
        <f t="shared" si="9"/>
        <v>6</v>
      </c>
      <c r="M111" s="71" t="str">
        <f>IFERROR(INDEX(KALENDER!$D$3:$D$132,MATCH(H111,KALENDER!$A$3:$A$132,0)),"Di luar periode")</f>
        <v>Hari Kerja</v>
      </c>
      <c r="N111" s="71">
        <f t="shared" si="10"/>
        <v>0</v>
      </c>
      <c r="O111" s="71">
        <f t="shared" si="11"/>
        <v>1</v>
      </c>
      <c r="P111" s="71">
        <f t="shared" si="12"/>
        <v>0</v>
      </c>
      <c r="Q111" s="71">
        <f t="shared" si="13"/>
        <v>0</v>
      </c>
      <c r="R111" s="71">
        <f t="shared" si="14"/>
        <v>0</v>
      </c>
      <c r="S111" s="71">
        <f t="shared" si="15"/>
        <v>0</v>
      </c>
      <c r="T111" s="71">
        <f t="shared" si="16"/>
        <v>0</v>
      </c>
      <c r="U111" s="71">
        <f>IF(AND(N111=1,V111=1),IF(COUNTIFS(AKTIVITAS!$B$2:$B$3052,B111,AKTIVITAS!$E$2:$E$3052,H111)&gt;0,1,0),0)</f>
        <v>0</v>
      </c>
      <c r="V111" s="71">
        <f>IFERROR(IF(AND(H111&gt;=INDEX(PEMAGANG!$J$3:$J$36,MATCH(B111,PEMAGANG!$C$3:$C$36,0)),H111&lt;=INDEX(PEMAGANG!$K$3:$K$36,MATCH(B111,PEMAGANG!$C$3:$C$36,0))),1,0),0)</f>
        <v>1</v>
      </c>
      <c r="W111" s="71">
        <f t="shared" si="17"/>
        <v>0</v>
      </c>
    </row>
    <row r="112" spans="1:23" x14ac:dyDescent="0.2">
      <c r="A112" s="71" t="s">
        <v>249</v>
      </c>
      <c r="B112" s="71" t="s">
        <v>250</v>
      </c>
      <c r="C112" s="71" t="s">
        <v>187</v>
      </c>
      <c r="D112" s="71" t="s">
        <v>220</v>
      </c>
      <c r="E112" s="71" t="s">
        <v>345</v>
      </c>
      <c r="F112" s="71" t="s">
        <v>298</v>
      </c>
      <c r="G112" s="88">
        <v>46185.310370370396</v>
      </c>
      <c r="H112" s="89">
        <v>46185</v>
      </c>
      <c r="I112" s="71" t="s">
        <v>315</v>
      </c>
      <c r="J112" s="71">
        <v>-3.9999999999999898</v>
      </c>
      <c r="K112" s="71" t="s">
        <v>302</v>
      </c>
      <c r="L112" s="71">
        <f t="shared" si="9"/>
        <v>6</v>
      </c>
      <c r="M112" s="71" t="str">
        <f>IFERROR(INDEX(KALENDER!$D$3:$D$132,MATCH(H112,KALENDER!$A$3:$A$132,0)),"Di luar periode")</f>
        <v>Hari Kerja</v>
      </c>
      <c r="N112" s="71">
        <f t="shared" si="10"/>
        <v>1</v>
      </c>
      <c r="O112" s="71">
        <f t="shared" si="11"/>
        <v>1</v>
      </c>
      <c r="P112" s="71">
        <f t="shared" si="12"/>
        <v>1</v>
      </c>
      <c r="Q112" s="71">
        <f t="shared" si="13"/>
        <v>0</v>
      </c>
      <c r="R112" s="71">
        <f t="shared" si="14"/>
        <v>0</v>
      </c>
      <c r="S112" s="71">
        <f t="shared" si="15"/>
        <v>0</v>
      </c>
      <c r="T112" s="71">
        <f t="shared" si="16"/>
        <v>0</v>
      </c>
      <c r="U112" s="71">
        <f>IF(AND(N112=1,V112=1),IF(COUNTIFS(AKTIVITAS!$B$2:$B$3052,B112,AKTIVITAS!$E$2:$E$3052,H112)&gt;0,1,0),0)</f>
        <v>1</v>
      </c>
      <c r="V112" s="71">
        <f>IFERROR(IF(AND(H112&gt;=INDEX(PEMAGANG!$J$3:$J$36,MATCH(B112,PEMAGANG!$C$3:$C$36,0)),H112&lt;=INDEX(PEMAGANG!$K$3:$K$36,MATCH(B112,PEMAGANG!$C$3:$C$36,0))),1,0),0)</f>
        <v>1</v>
      </c>
      <c r="W112" s="71">
        <f t="shared" si="17"/>
        <v>1</v>
      </c>
    </row>
    <row r="113" spans="1:23" x14ac:dyDescent="0.2">
      <c r="A113" s="71" t="s">
        <v>249</v>
      </c>
      <c r="B113" s="71" t="s">
        <v>250</v>
      </c>
      <c r="C113" s="71" t="s">
        <v>187</v>
      </c>
      <c r="D113" s="71" t="s">
        <v>220</v>
      </c>
      <c r="E113" s="71" t="s">
        <v>345</v>
      </c>
      <c r="F113" s="71" t="s">
        <v>300</v>
      </c>
      <c r="G113" s="88">
        <v>46185.690694444398</v>
      </c>
      <c r="H113" s="89">
        <v>46185</v>
      </c>
      <c r="I113" s="71" t="s">
        <v>314</v>
      </c>
      <c r="J113" s="71">
        <v>0</v>
      </c>
      <c r="K113" s="71" t="s">
        <v>302</v>
      </c>
      <c r="L113" s="71">
        <f t="shared" si="9"/>
        <v>6</v>
      </c>
      <c r="M113" s="71" t="str">
        <f>IFERROR(INDEX(KALENDER!$D$3:$D$132,MATCH(H113,KALENDER!$A$3:$A$132,0)),"Di luar periode")</f>
        <v>Hari Kerja</v>
      </c>
      <c r="N113" s="71">
        <f t="shared" si="10"/>
        <v>0</v>
      </c>
      <c r="O113" s="71">
        <f t="shared" si="11"/>
        <v>1</v>
      </c>
      <c r="P113" s="71">
        <f t="shared" si="12"/>
        <v>0</v>
      </c>
      <c r="Q113" s="71">
        <f t="shared" si="13"/>
        <v>0</v>
      </c>
      <c r="R113" s="71">
        <f t="shared" si="14"/>
        <v>0</v>
      </c>
      <c r="S113" s="71">
        <f t="shared" si="15"/>
        <v>0</v>
      </c>
      <c r="T113" s="71">
        <f t="shared" si="16"/>
        <v>0</v>
      </c>
      <c r="U113" s="71">
        <f>IF(AND(N113=1,V113=1),IF(COUNTIFS(AKTIVITAS!$B$2:$B$3052,B113,AKTIVITAS!$E$2:$E$3052,H113)&gt;0,1,0),0)</f>
        <v>0</v>
      </c>
      <c r="V113" s="71">
        <f>IFERROR(IF(AND(H113&gt;=INDEX(PEMAGANG!$J$3:$J$36,MATCH(B113,PEMAGANG!$C$3:$C$36,0)),H113&lt;=INDEX(PEMAGANG!$K$3:$K$36,MATCH(B113,PEMAGANG!$C$3:$C$36,0))),1,0),0)</f>
        <v>1</v>
      </c>
      <c r="W113" s="71">
        <f t="shared" si="17"/>
        <v>0</v>
      </c>
    </row>
    <row r="114" spans="1:23" x14ac:dyDescent="0.2">
      <c r="A114" s="71" t="s">
        <v>249</v>
      </c>
      <c r="B114" s="71" t="s">
        <v>250</v>
      </c>
      <c r="C114" s="71" t="s">
        <v>187</v>
      </c>
      <c r="D114" s="71" t="s">
        <v>220</v>
      </c>
      <c r="E114" s="71" t="s">
        <v>345</v>
      </c>
      <c r="F114" s="71" t="s">
        <v>298</v>
      </c>
      <c r="G114" s="88">
        <v>46188.309965277796</v>
      </c>
      <c r="H114" s="89">
        <v>46188</v>
      </c>
      <c r="I114" s="71" t="s">
        <v>315</v>
      </c>
      <c r="J114" s="71">
        <v>-3.9999999999999898</v>
      </c>
      <c r="K114" s="71" t="s">
        <v>302</v>
      </c>
      <c r="L114" s="71">
        <f t="shared" si="9"/>
        <v>6</v>
      </c>
      <c r="M114" s="71" t="str">
        <f>IFERROR(INDEX(KALENDER!$D$3:$D$132,MATCH(H114,KALENDER!$A$3:$A$132,0)),"Di luar periode")</f>
        <v>Hari Kerja</v>
      </c>
      <c r="N114" s="71">
        <f t="shared" si="10"/>
        <v>1</v>
      </c>
      <c r="O114" s="71">
        <f t="shared" si="11"/>
        <v>1</v>
      </c>
      <c r="P114" s="71">
        <f t="shared" si="12"/>
        <v>1</v>
      </c>
      <c r="Q114" s="71">
        <f t="shared" si="13"/>
        <v>0</v>
      </c>
      <c r="R114" s="71">
        <f t="shared" si="14"/>
        <v>0</v>
      </c>
      <c r="S114" s="71">
        <f t="shared" si="15"/>
        <v>0</v>
      </c>
      <c r="T114" s="71">
        <f t="shared" si="16"/>
        <v>0</v>
      </c>
      <c r="U114" s="71">
        <f>IF(AND(N114=1,V114=1),IF(COUNTIFS(AKTIVITAS!$B$2:$B$3052,B114,AKTIVITAS!$E$2:$E$3052,H114)&gt;0,1,0),0)</f>
        <v>1</v>
      </c>
      <c r="V114" s="71">
        <f>IFERROR(IF(AND(H114&gt;=INDEX(PEMAGANG!$J$3:$J$36,MATCH(B114,PEMAGANG!$C$3:$C$36,0)),H114&lt;=INDEX(PEMAGANG!$K$3:$K$36,MATCH(B114,PEMAGANG!$C$3:$C$36,0))),1,0),0)</f>
        <v>1</v>
      </c>
      <c r="W114" s="71">
        <f t="shared" si="17"/>
        <v>1</v>
      </c>
    </row>
    <row r="115" spans="1:23" x14ac:dyDescent="0.2">
      <c r="A115" s="71" t="s">
        <v>249</v>
      </c>
      <c r="B115" s="71" t="s">
        <v>250</v>
      </c>
      <c r="C115" s="71" t="s">
        <v>187</v>
      </c>
      <c r="D115" s="71" t="s">
        <v>220</v>
      </c>
      <c r="E115" s="71" t="s">
        <v>345</v>
      </c>
      <c r="F115" s="71" t="s">
        <v>300</v>
      </c>
      <c r="G115" s="88">
        <v>46188.691446759301</v>
      </c>
      <c r="H115" s="89">
        <v>46188</v>
      </c>
      <c r="I115" s="71" t="s">
        <v>310</v>
      </c>
      <c r="J115" s="71">
        <v>0</v>
      </c>
      <c r="K115" s="71" t="s">
        <v>302</v>
      </c>
      <c r="L115" s="71">
        <f t="shared" si="9"/>
        <v>6</v>
      </c>
      <c r="M115" s="71" t="str">
        <f>IFERROR(INDEX(KALENDER!$D$3:$D$132,MATCH(H115,KALENDER!$A$3:$A$132,0)),"Di luar periode")</f>
        <v>Hari Kerja</v>
      </c>
      <c r="N115" s="71">
        <f t="shared" si="10"/>
        <v>0</v>
      </c>
      <c r="O115" s="71">
        <f t="shared" si="11"/>
        <v>1</v>
      </c>
      <c r="P115" s="71">
        <f t="shared" si="12"/>
        <v>0</v>
      </c>
      <c r="Q115" s="71">
        <f t="shared" si="13"/>
        <v>0</v>
      </c>
      <c r="R115" s="71">
        <f t="shared" si="14"/>
        <v>0</v>
      </c>
      <c r="S115" s="71">
        <f t="shared" si="15"/>
        <v>0</v>
      </c>
      <c r="T115" s="71">
        <f t="shared" si="16"/>
        <v>0</v>
      </c>
      <c r="U115" s="71">
        <f>IF(AND(N115=1,V115=1),IF(COUNTIFS(AKTIVITAS!$B$2:$B$3052,B115,AKTIVITAS!$E$2:$E$3052,H115)&gt;0,1,0),0)</f>
        <v>0</v>
      </c>
      <c r="V115" s="71">
        <f>IFERROR(IF(AND(H115&gt;=INDEX(PEMAGANG!$J$3:$J$36,MATCH(B115,PEMAGANG!$C$3:$C$36,0)),H115&lt;=INDEX(PEMAGANG!$K$3:$K$36,MATCH(B115,PEMAGANG!$C$3:$C$36,0))),1,0),0)</f>
        <v>1</v>
      </c>
      <c r="W115" s="71">
        <f t="shared" si="17"/>
        <v>0</v>
      </c>
    </row>
    <row r="116" spans="1:23" x14ac:dyDescent="0.2">
      <c r="A116" s="71" t="s">
        <v>249</v>
      </c>
      <c r="B116" s="71" t="s">
        <v>250</v>
      </c>
      <c r="C116" s="71" t="s">
        <v>187</v>
      </c>
      <c r="D116" s="71" t="s">
        <v>220</v>
      </c>
      <c r="E116" s="71" t="s">
        <v>345</v>
      </c>
      <c r="F116" s="71" t="s">
        <v>298</v>
      </c>
      <c r="G116" s="88">
        <v>46190.305659722202</v>
      </c>
      <c r="H116" s="89">
        <v>46190</v>
      </c>
      <c r="I116" s="71" t="s">
        <v>329</v>
      </c>
      <c r="J116" s="71">
        <v>-10</v>
      </c>
      <c r="K116" s="71" t="s">
        <v>302</v>
      </c>
      <c r="L116" s="71">
        <f t="shared" si="9"/>
        <v>6</v>
      </c>
      <c r="M116" s="71" t="str">
        <f>IFERROR(INDEX(KALENDER!$D$3:$D$132,MATCH(H116,KALENDER!$A$3:$A$132,0)),"Di luar periode")</f>
        <v>WFH</v>
      </c>
      <c r="N116" s="71">
        <f t="shared" si="10"/>
        <v>1</v>
      </c>
      <c r="O116" s="71">
        <f t="shared" si="11"/>
        <v>1</v>
      </c>
      <c r="P116" s="71">
        <f t="shared" si="12"/>
        <v>0</v>
      </c>
      <c r="Q116" s="71">
        <f t="shared" si="13"/>
        <v>1</v>
      </c>
      <c r="R116" s="71">
        <f t="shared" si="14"/>
        <v>0</v>
      </c>
      <c r="S116" s="71">
        <f t="shared" si="15"/>
        <v>0</v>
      </c>
      <c r="T116" s="71">
        <f t="shared" si="16"/>
        <v>0</v>
      </c>
      <c r="U116" s="71">
        <f>IF(AND(N116=1,V116=1),IF(COUNTIFS(AKTIVITAS!$B$2:$B$3052,B116,AKTIVITAS!$E$2:$E$3052,H116)&gt;0,1,0),0)</f>
        <v>1</v>
      </c>
      <c r="V116" s="71">
        <f>IFERROR(IF(AND(H116&gt;=INDEX(PEMAGANG!$J$3:$J$36,MATCH(B116,PEMAGANG!$C$3:$C$36,0)),H116&lt;=INDEX(PEMAGANG!$K$3:$K$36,MATCH(B116,PEMAGANG!$C$3:$C$36,0))),1,0),0)</f>
        <v>1</v>
      </c>
      <c r="W116" s="71">
        <f t="shared" si="17"/>
        <v>1</v>
      </c>
    </row>
    <row r="117" spans="1:23" x14ac:dyDescent="0.2">
      <c r="A117" s="71" t="s">
        <v>249</v>
      </c>
      <c r="B117" s="71" t="s">
        <v>250</v>
      </c>
      <c r="C117" s="71" t="s">
        <v>187</v>
      </c>
      <c r="D117" s="71" t="s">
        <v>220</v>
      </c>
      <c r="E117" s="71" t="s">
        <v>345</v>
      </c>
      <c r="F117" s="71" t="s">
        <v>300</v>
      </c>
      <c r="G117" s="88">
        <v>46190.696990740696</v>
      </c>
      <c r="H117" s="89">
        <v>46190</v>
      </c>
      <c r="I117" s="71" t="s">
        <v>347</v>
      </c>
      <c r="J117" s="71">
        <v>0</v>
      </c>
      <c r="K117" s="71" t="s">
        <v>302</v>
      </c>
      <c r="L117" s="71">
        <f t="shared" si="9"/>
        <v>6</v>
      </c>
      <c r="M117" s="71" t="str">
        <f>IFERROR(INDEX(KALENDER!$D$3:$D$132,MATCH(H117,KALENDER!$A$3:$A$132,0)),"Di luar periode")</f>
        <v>WFH</v>
      </c>
      <c r="N117" s="71">
        <f t="shared" si="10"/>
        <v>0</v>
      </c>
      <c r="O117" s="71">
        <f t="shared" si="11"/>
        <v>1</v>
      </c>
      <c r="P117" s="71">
        <f t="shared" si="12"/>
        <v>0</v>
      </c>
      <c r="Q117" s="71">
        <f t="shared" si="13"/>
        <v>0</v>
      </c>
      <c r="R117" s="71">
        <f t="shared" si="14"/>
        <v>0</v>
      </c>
      <c r="S117" s="71">
        <f t="shared" si="15"/>
        <v>0</v>
      </c>
      <c r="T117" s="71">
        <f t="shared" si="16"/>
        <v>0</v>
      </c>
      <c r="U117" s="71">
        <f>IF(AND(N117=1,V117=1),IF(COUNTIFS(AKTIVITAS!$B$2:$B$3052,B117,AKTIVITAS!$E$2:$E$3052,H117)&gt;0,1,0),0)</f>
        <v>0</v>
      </c>
      <c r="V117" s="71">
        <f>IFERROR(IF(AND(H117&gt;=INDEX(PEMAGANG!$J$3:$J$36,MATCH(B117,PEMAGANG!$C$3:$C$36,0)),H117&lt;=INDEX(PEMAGANG!$K$3:$K$36,MATCH(B117,PEMAGANG!$C$3:$C$36,0))),1,0),0)</f>
        <v>1</v>
      </c>
      <c r="W117" s="71">
        <f t="shared" si="17"/>
        <v>0</v>
      </c>
    </row>
    <row r="118" spans="1:23" x14ac:dyDescent="0.2">
      <c r="A118" s="71" t="s">
        <v>249</v>
      </c>
      <c r="B118" s="71" t="s">
        <v>250</v>
      </c>
      <c r="C118" s="71" t="s">
        <v>187</v>
      </c>
      <c r="D118" s="71" t="s">
        <v>220</v>
      </c>
      <c r="E118" s="71" t="s">
        <v>345</v>
      </c>
      <c r="F118" s="71" t="s">
        <v>298</v>
      </c>
      <c r="G118" s="88">
        <v>46191.308460648201</v>
      </c>
      <c r="H118" s="89">
        <v>46191</v>
      </c>
      <c r="I118" s="71" t="s">
        <v>303</v>
      </c>
      <c r="J118" s="71">
        <v>-5.9999999999999796</v>
      </c>
      <c r="K118" s="71" t="s">
        <v>302</v>
      </c>
      <c r="L118" s="71">
        <f t="shared" si="9"/>
        <v>6</v>
      </c>
      <c r="M118" s="71" t="str">
        <f>IFERROR(INDEX(KALENDER!$D$3:$D$132,MATCH(H118,KALENDER!$A$3:$A$132,0)),"Di luar periode")</f>
        <v>Hari Kerja</v>
      </c>
      <c r="N118" s="71">
        <f t="shared" si="10"/>
        <v>1</v>
      </c>
      <c r="O118" s="71">
        <f t="shared" si="11"/>
        <v>1</v>
      </c>
      <c r="P118" s="71">
        <f t="shared" si="12"/>
        <v>1</v>
      </c>
      <c r="Q118" s="71">
        <f t="shared" si="13"/>
        <v>0</v>
      </c>
      <c r="R118" s="71">
        <f t="shared" si="14"/>
        <v>0</v>
      </c>
      <c r="S118" s="71">
        <f t="shared" si="15"/>
        <v>0</v>
      </c>
      <c r="T118" s="71">
        <f t="shared" si="16"/>
        <v>0</v>
      </c>
      <c r="U118" s="71">
        <f>IF(AND(N118=1,V118=1),IF(COUNTIFS(AKTIVITAS!$B$2:$B$3052,B118,AKTIVITAS!$E$2:$E$3052,H118)&gt;0,1,0),0)</f>
        <v>1</v>
      </c>
      <c r="V118" s="71">
        <f>IFERROR(IF(AND(H118&gt;=INDEX(PEMAGANG!$J$3:$J$36,MATCH(B118,PEMAGANG!$C$3:$C$36,0)),H118&lt;=INDEX(PEMAGANG!$K$3:$K$36,MATCH(B118,PEMAGANG!$C$3:$C$36,0))),1,0),0)</f>
        <v>1</v>
      </c>
      <c r="W118" s="71">
        <f t="shared" si="17"/>
        <v>1</v>
      </c>
    </row>
    <row r="119" spans="1:23" x14ac:dyDescent="0.2">
      <c r="A119" s="71" t="s">
        <v>249</v>
      </c>
      <c r="B119" s="71" t="s">
        <v>250</v>
      </c>
      <c r="C119" s="71" t="s">
        <v>187</v>
      </c>
      <c r="D119" s="71" t="s">
        <v>220</v>
      </c>
      <c r="E119" s="71" t="s">
        <v>345</v>
      </c>
      <c r="F119" s="71" t="s">
        <v>300</v>
      </c>
      <c r="G119" s="88">
        <v>46191.6958564815</v>
      </c>
      <c r="H119" s="89">
        <v>46191</v>
      </c>
      <c r="I119" s="71" t="s">
        <v>320</v>
      </c>
      <c r="J119" s="71">
        <v>0</v>
      </c>
      <c r="K119" s="71" t="s">
        <v>302</v>
      </c>
      <c r="L119" s="71">
        <f t="shared" si="9"/>
        <v>6</v>
      </c>
      <c r="M119" s="71" t="str">
        <f>IFERROR(INDEX(KALENDER!$D$3:$D$132,MATCH(H119,KALENDER!$A$3:$A$132,0)),"Di luar periode")</f>
        <v>Hari Kerja</v>
      </c>
      <c r="N119" s="71">
        <f t="shared" si="10"/>
        <v>0</v>
      </c>
      <c r="O119" s="71">
        <f t="shared" si="11"/>
        <v>1</v>
      </c>
      <c r="P119" s="71">
        <f t="shared" si="12"/>
        <v>0</v>
      </c>
      <c r="Q119" s="71">
        <f t="shared" si="13"/>
        <v>0</v>
      </c>
      <c r="R119" s="71">
        <f t="shared" si="14"/>
        <v>0</v>
      </c>
      <c r="S119" s="71">
        <f t="shared" si="15"/>
        <v>0</v>
      </c>
      <c r="T119" s="71">
        <f t="shared" si="16"/>
        <v>0</v>
      </c>
      <c r="U119" s="71">
        <f>IF(AND(N119=1,V119=1),IF(COUNTIFS(AKTIVITAS!$B$2:$B$3052,B119,AKTIVITAS!$E$2:$E$3052,H119)&gt;0,1,0),0)</f>
        <v>0</v>
      </c>
      <c r="V119" s="71">
        <f>IFERROR(IF(AND(H119&gt;=INDEX(PEMAGANG!$J$3:$J$36,MATCH(B119,PEMAGANG!$C$3:$C$36,0)),H119&lt;=INDEX(PEMAGANG!$K$3:$K$36,MATCH(B119,PEMAGANG!$C$3:$C$36,0))),1,0),0)</f>
        <v>1</v>
      </c>
      <c r="W119" s="71">
        <f t="shared" si="17"/>
        <v>0</v>
      </c>
    </row>
    <row r="120" spans="1:23" x14ac:dyDescent="0.2">
      <c r="A120" s="71" t="s">
        <v>249</v>
      </c>
      <c r="B120" s="71" t="s">
        <v>250</v>
      </c>
      <c r="C120" s="71" t="s">
        <v>187</v>
      </c>
      <c r="D120" s="71" t="s">
        <v>220</v>
      </c>
      <c r="E120" s="71" t="s">
        <v>345</v>
      </c>
      <c r="F120" s="71" t="s">
        <v>298</v>
      </c>
      <c r="G120" s="88">
        <v>46192.309502314798</v>
      </c>
      <c r="H120" s="89">
        <v>46192</v>
      </c>
      <c r="I120" s="71" t="s">
        <v>307</v>
      </c>
      <c r="J120" s="71">
        <v>-4.9999999999999796</v>
      </c>
      <c r="K120" s="71" t="s">
        <v>302</v>
      </c>
      <c r="L120" s="71">
        <f t="shared" si="9"/>
        <v>6</v>
      </c>
      <c r="M120" s="71" t="str">
        <f>IFERROR(INDEX(KALENDER!$D$3:$D$132,MATCH(H120,KALENDER!$A$3:$A$132,0)),"Di luar periode")</f>
        <v>Hari Kerja</v>
      </c>
      <c r="N120" s="71">
        <f t="shared" si="10"/>
        <v>1</v>
      </c>
      <c r="O120" s="71">
        <f t="shared" si="11"/>
        <v>1</v>
      </c>
      <c r="P120" s="71">
        <f t="shared" si="12"/>
        <v>1</v>
      </c>
      <c r="Q120" s="71">
        <f t="shared" si="13"/>
        <v>0</v>
      </c>
      <c r="R120" s="71">
        <f t="shared" si="14"/>
        <v>0</v>
      </c>
      <c r="S120" s="71">
        <f t="shared" si="15"/>
        <v>0</v>
      </c>
      <c r="T120" s="71">
        <f t="shared" si="16"/>
        <v>0</v>
      </c>
      <c r="U120" s="71">
        <f>IF(AND(N120=1,V120=1),IF(COUNTIFS(AKTIVITAS!$B$2:$B$3052,B120,AKTIVITAS!$E$2:$E$3052,H120)&gt;0,1,0),0)</f>
        <v>1</v>
      </c>
      <c r="V120" s="71">
        <f>IFERROR(IF(AND(H120&gt;=INDEX(PEMAGANG!$J$3:$J$36,MATCH(B120,PEMAGANG!$C$3:$C$36,0)),H120&lt;=INDEX(PEMAGANG!$K$3:$K$36,MATCH(B120,PEMAGANG!$C$3:$C$36,0))),1,0),0)</f>
        <v>1</v>
      </c>
      <c r="W120" s="71">
        <f t="shared" si="17"/>
        <v>1</v>
      </c>
    </row>
    <row r="121" spans="1:23" x14ac:dyDescent="0.2">
      <c r="A121" s="71" t="s">
        <v>249</v>
      </c>
      <c r="B121" s="71" t="s">
        <v>250</v>
      </c>
      <c r="C121" s="71" t="s">
        <v>187</v>
      </c>
      <c r="D121" s="71" t="s">
        <v>220</v>
      </c>
      <c r="E121" s="71" t="s">
        <v>345</v>
      </c>
      <c r="F121" s="71" t="s">
        <v>300</v>
      </c>
      <c r="G121" s="88">
        <v>46192.693854166697</v>
      </c>
      <c r="H121" s="89">
        <v>46192</v>
      </c>
      <c r="I121" s="71" t="s">
        <v>308</v>
      </c>
      <c r="J121" s="71">
        <v>0</v>
      </c>
      <c r="K121" s="71" t="s">
        <v>302</v>
      </c>
      <c r="L121" s="71">
        <f t="shared" si="9"/>
        <v>6</v>
      </c>
      <c r="M121" s="71" t="str">
        <f>IFERROR(INDEX(KALENDER!$D$3:$D$132,MATCH(H121,KALENDER!$A$3:$A$132,0)),"Di luar periode")</f>
        <v>Hari Kerja</v>
      </c>
      <c r="N121" s="71">
        <f t="shared" si="10"/>
        <v>0</v>
      </c>
      <c r="O121" s="71">
        <f t="shared" si="11"/>
        <v>1</v>
      </c>
      <c r="P121" s="71">
        <f t="shared" si="12"/>
        <v>0</v>
      </c>
      <c r="Q121" s="71">
        <f t="shared" si="13"/>
        <v>0</v>
      </c>
      <c r="R121" s="71">
        <f t="shared" si="14"/>
        <v>0</v>
      </c>
      <c r="S121" s="71">
        <f t="shared" si="15"/>
        <v>0</v>
      </c>
      <c r="T121" s="71">
        <f t="shared" si="16"/>
        <v>0</v>
      </c>
      <c r="U121" s="71">
        <f>IF(AND(N121=1,V121=1),IF(COUNTIFS(AKTIVITAS!$B$2:$B$3052,B121,AKTIVITAS!$E$2:$E$3052,H121)&gt;0,1,0),0)</f>
        <v>0</v>
      </c>
      <c r="V121" s="71">
        <f>IFERROR(IF(AND(H121&gt;=INDEX(PEMAGANG!$J$3:$J$36,MATCH(B121,PEMAGANG!$C$3:$C$36,0)),H121&lt;=INDEX(PEMAGANG!$K$3:$K$36,MATCH(B121,PEMAGANG!$C$3:$C$36,0))),1,0),0)</f>
        <v>1</v>
      </c>
      <c r="W121" s="71">
        <f t="shared" si="17"/>
        <v>0</v>
      </c>
    </row>
    <row r="122" spans="1:23" x14ac:dyDescent="0.2">
      <c r="A122" s="71" t="s">
        <v>249</v>
      </c>
      <c r="B122" s="71" t="s">
        <v>250</v>
      </c>
      <c r="C122" s="71" t="s">
        <v>187</v>
      </c>
      <c r="D122" s="71" t="s">
        <v>220</v>
      </c>
      <c r="E122" s="71" t="s">
        <v>345</v>
      </c>
      <c r="F122" s="71" t="s">
        <v>298</v>
      </c>
      <c r="G122" s="88">
        <v>46195.309155092596</v>
      </c>
      <c r="H122" s="89">
        <v>46195</v>
      </c>
      <c r="I122" s="71" t="s">
        <v>307</v>
      </c>
      <c r="J122" s="71">
        <v>-4.9999999999999796</v>
      </c>
      <c r="K122" s="71" t="s">
        <v>302</v>
      </c>
      <c r="L122" s="71">
        <f t="shared" si="9"/>
        <v>6</v>
      </c>
      <c r="M122" s="71" t="str">
        <f>IFERROR(INDEX(KALENDER!$D$3:$D$132,MATCH(H122,KALENDER!$A$3:$A$132,0)),"Di luar periode")</f>
        <v>Hari Kerja</v>
      </c>
      <c r="N122" s="71">
        <f t="shared" si="10"/>
        <v>1</v>
      </c>
      <c r="O122" s="71">
        <f t="shared" si="11"/>
        <v>1</v>
      </c>
      <c r="P122" s="71">
        <f t="shared" si="12"/>
        <v>1</v>
      </c>
      <c r="Q122" s="71">
        <f t="shared" si="13"/>
        <v>0</v>
      </c>
      <c r="R122" s="71">
        <f t="shared" si="14"/>
        <v>0</v>
      </c>
      <c r="S122" s="71">
        <f t="shared" si="15"/>
        <v>0</v>
      </c>
      <c r="T122" s="71">
        <f t="shared" si="16"/>
        <v>0</v>
      </c>
      <c r="U122" s="71">
        <f>IF(AND(N122=1,V122=1),IF(COUNTIFS(AKTIVITAS!$B$2:$B$3052,B122,AKTIVITAS!$E$2:$E$3052,H122)&gt;0,1,0),0)</f>
        <v>1</v>
      </c>
      <c r="V122" s="71">
        <f>IFERROR(IF(AND(H122&gt;=INDEX(PEMAGANG!$J$3:$J$36,MATCH(B122,PEMAGANG!$C$3:$C$36,0)),H122&lt;=INDEX(PEMAGANG!$K$3:$K$36,MATCH(B122,PEMAGANG!$C$3:$C$36,0))),1,0),0)</f>
        <v>1</v>
      </c>
      <c r="W122" s="71">
        <f t="shared" si="17"/>
        <v>1</v>
      </c>
    </row>
    <row r="123" spans="1:23" x14ac:dyDescent="0.2">
      <c r="A123" s="71" t="s">
        <v>249</v>
      </c>
      <c r="B123" s="71" t="s">
        <v>250</v>
      </c>
      <c r="C123" s="71" t="s">
        <v>187</v>
      </c>
      <c r="D123" s="71" t="s">
        <v>220</v>
      </c>
      <c r="E123" s="71" t="s">
        <v>345</v>
      </c>
      <c r="F123" s="71" t="s">
        <v>300</v>
      </c>
      <c r="G123" s="88">
        <v>46195.695625</v>
      </c>
      <c r="H123" s="89">
        <v>46195</v>
      </c>
      <c r="I123" s="71" t="s">
        <v>319</v>
      </c>
      <c r="J123" s="71">
        <v>0</v>
      </c>
      <c r="K123" s="71" t="s">
        <v>302</v>
      </c>
      <c r="L123" s="71">
        <f t="shared" si="9"/>
        <v>6</v>
      </c>
      <c r="M123" s="71" t="str">
        <f>IFERROR(INDEX(KALENDER!$D$3:$D$132,MATCH(H123,KALENDER!$A$3:$A$132,0)),"Di luar periode")</f>
        <v>Hari Kerja</v>
      </c>
      <c r="N123" s="71">
        <f t="shared" si="10"/>
        <v>0</v>
      </c>
      <c r="O123" s="71">
        <f t="shared" si="11"/>
        <v>1</v>
      </c>
      <c r="P123" s="71">
        <f t="shared" si="12"/>
        <v>0</v>
      </c>
      <c r="Q123" s="71">
        <f t="shared" si="13"/>
        <v>0</v>
      </c>
      <c r="R123" s="71">
        <f t="shared" si="14"/>
        <v>0</v>
      </c>
      <c r="S123" s="71">
        <f t="shared" si="15"/>
        <v>0</v>
      </c>
      <c r="T123" s="71">
        <f t="shared" si="16"/>
        <v>0</v>
      </c>
      <c r="U123" s="71">
        <f>IF(AND(N123=1,V123=1),IF(COUNTIFS(AKTIVITAS!$B$2:$B$3052,B123,AKTIVITAS!$E$2:$E$3052,H123)&gt;0,1,0),0)</f>
        <v>0</v>
      </c>
      <c r="V123" s="71">
        <f>IFERROR(IF(AND(H123&gt;=INDEX(PEMAGANG!$J$3:$J$36,MATCH(B123,PEMAGANG!$C$3:$C$36,0)),H123&lt;=INDEX(PEMAGANG!$K$3:$K$36,MATCH(B123,PEMAGANG!$C$3:$C$36,0))),1,0),0)</f>
        <v>1</v>
      </c>
      <c r="W123" s="71">
        <f t="shared" si="17"/>
        <v>0</v>
      </c>
    </row>
    <row r="124" spans="1:23" x14ac:dyDescent="0.2">
      <c r="A124" s="71" t="s">
        <v>249</v>
      </c>
      <c r="B124" s="71" t="s">
        <v>250</v>
      </c>
      <c r="C124" s="71" t="s">
        <v>187</v>
      </c>
      <c r="D124" s="71" t="s">
        <v>220</v>
      </c>
      <c r="E124" s="71" t="s">
        <v>345</v>
      </c>
      <c r="F124" s="71" t="s">
        <v>298</v>
      </c>
      <c r="G124" s="88">
        <v>46196.309513888897</v>
      </c>
      <c r="H124" s="89">
        <v>46196</v>
      </c>
      <c r="I124" s="71" t="s">
        <v>307</v>
      </c>
      <c r="J124" s="71">
        <v>-4.9999999999999796</v>
      </c>
      <c r="K124" s="71" t="s">
        <v>302</v>
      </c>
      <c r="L124" s="71">
        <f t="shared" si="9"/>
        <v>6</v>
      </c>
      <c r="M124" s="71" t="str">
        <f>IFERROR(INDEX(KALENDER!$D$3:$D$132,MATCH(H124,KALENDER!$A$3:$A$132,0)),"Di luar periode")</f>
        <v>Hari Kerja</v>
      </c>
      <c r="N124" s="71">
        <f t="shared" si="10"/>
        <v>1</v>
      </c>
      <c r="O124" s="71">
        <f t="shared" si="11"/>
        <v>1</v>
      </c>
      <c r="P124" s="71">
        <f t="shared" si="12"/>
        <v>1</v>
      </c>
      <c r="Q124" s="71">
        <f t="shared" si="13"/>
        <v>0</v>
      </c>
      <c r="R124" s="71">
        <f t="shared" si="14"/>
        <v>0</v>
      </c>
      <c r="S124" s="71">
        <f t="shared" si="15"/>
        <v>0</v>
      </c>
      <c r="T124" s="71">
        <f t="shared" si="16"/>
        <v>0</v>
      </c>
      <c r="U124" s="71">
        <f>IF(AND(N124=1,V124=1),IF(COUNTIFS(AKTIVITAS!$B$2:$B$3052,B124,AKTIVITAS!$E$2:$E$3052,H124)&gt;0,1,0),0)</f>
        <v>1</v>
      </c>
      <c r="V124" s="71">
        <f>IFERROR(IF(AND(H124&gt;=INDEX(PEMAGANG!$J$3:$J$36,MATCH(B124,PEMAGANG!$C$3:$C$36,0)),H124&lt;=INDEX(PEMAGANG!$K$3:$K$36,MATCH(B124,PEMAGANG!$C$3:$C$36,0))),1,0),0)</f>
        <v>1</v>
      </c>
      <c r="W124" s="71">
        <f t="shared" si="17"/>
        <v>1</v>
      </c>
    </row>
    <row r="125" spans="1:23" x14ac:dyDescent="0.2">
      <c r="A125" s="71" t="s">
        <v>249</v>
      </c>
      <c r="B125" s="71" t="s">
        <v>250</v>
      </c>
      <c r="C125" s="71" t="s">
        <v>187</v>
      </c>
      <c r="D125" s="71" t="s">
        <v>220</v>
      </c>
      <c r="E125" s="71" t="s">
        <v>345</v>
      </c>
      <c r="F125" s="71" t="s">
        <v>300</v>
      </c>
      <c r="G125" s="88">
        <v>46196.694131944401</v>
      </c>
      <c r="H125" s="89">
        <v>46196</v>
      </c>
      <c r="I125" s="71" t="s">
        <v>308</v>
      </c>
      <c r="J125" s="71">
        <v>0</v>
      </c>
      <c r="K125" s="71" t="s">
        <v>302</v>
      </c>
      <c r="L125" s="71">
        <f t="shared" si="9"/>
        <v>6</v>
      </c>
      <c r="M125" s="71" t="str">
        <f>IFERROR(INDEX(KALENDER!$D$3:$D$132,MATCH(H125,KALENDER!$A$3:$A$132,0)),"Di luar periode")</f>
        <v>Hari Kerja</v>
      </c>
      <c r="N125" s="71">
        <f t="shared" si="10"/>
        <v>0</v>
      </c>
      <c r="O125" s="71">
        <f t="shared" si="11"/>
        <v>1</v>
      </c>
      <c r="P125" s="71">
        <f t="shared" si="12"/>
        <v>0</v>
      </c>
      <c r="Q125" s="71">
        <f t="shared" si="13"/>
        <v>0</v>
      </c>
      <c r="R125" s="71">
        <f t="shared" si="14"/>
        <v>0</v>
      </c>
      <c r="S125" s="71">
        <f t="shared" si="15"/>
        <v>0</v>
      </c>
      <c r="T125" s="71">
        <f t="shared" si="16"/>
        <v>0</v>
      </c>
      <c r="U125" s="71">
        <f>IF(AND(N125=1,V125=1),IF(COUNTIFS(AKTIVITAS!$B$2:$B$3052,B125,AKTIVITAS!$E$2:$E$3052,H125)&gt;0,1,0),0)</f>
        <v>0</v>
      </c>
      <c r="V125" s="71">
        <f>IFERROR(IF(AND(H125&gt;=INDEX(PEMAGANG!$J$3:$J$36,MATCH(B125,PEMAGANG!$C$3:$C$36,0)),H125&lt;=INDEX(PEMAGANG!$K$3:$K$36,MATCH(B125,PEMAGANG!$C$3:$C$36,0))),1,0),0)</f>
        <v>1</v>
      </c>
      <c r="W125" s="71">
        <f t="shared" si="17"/>
        <v>0</v>
      </c>
    </row>
    <row r="126" spans="1:23" x14ac:dyDescent="0.2">
      <c r="A126" s="71" t="s">
        <v>249</v>
      </c>
      <c r="B126" s="71" t="s">
        <v>250</v>
      </c>
      <c r="C126" s="71" t="s">
        <v>187</v>
      </c>
      <c r="D126" s="71" t="s">
        <v>220</v>
      </c>
      <c r="E126" s="71" t="s">
        <v>345</v>
      </c>
      <c r="F126" s="71" t="s">
        <v>298</v>
      </c>
      <c r="G126" s="88">
        <v>46197.309513888897</v>
      </c>
      <c r="H126" s="89">
        <v>46197</v>
      </c>
      <c r="I126" s="71" t="s">
        <v>307</v>
      </c>
      <c r="J126" s="71">
        <v>-4.9999999999999796</v>
      </c>
      <c r="K126" s="71" t="s">
        <v>302</v>
      </c>
      <c r="L126" s="71">
        <f t="shared" si="9"/>
        <v>6</v>
      </c>
      <c r="M126" s="71" t="str">
        <f>IFERROR(INDEX(KALENDER!$D$3:$D$132,MATCH(H126,KALENDER!$A$3:$A$132,0)),"Di luar periode")</f>
        <v>WFH</v>
      </c>
      <c r="N126" s="71">
        <f t="shared" si="10"/>
        <v>1</v>
      </c>
      <c r="O126" s="71">
        <f t="shared" si="11"/>
        <v>1</v>
      </c>
      <c r="P126" s="71">
        <f t="shared" si="12"/>
        <v>0</v>
      </c>
      <c r="Q126" s="71">
        <f t="shared" si="13"/>
        <v>1</v>
      </c>
      <c r="R126" s="71">
        <f t="shared" si="14"/>
        <v>0</v>
      </c>
      <c r="S126" s="71">
        <f t="shared" si="15"/>
        <v>0</v>
      </c>
      <c r="T126" s="71">
        <f t="shared" si="16"/>
        <v>0</v>
      </c>
      <c r="U126" s="71">
        <f>IF(AND(N126=1,V126=1),IF(COUNTIFS(AKTIVITAS!$B$2:$B$3052,B126,AKTIVITAS!$E$2:$E$3052,H126)&gt;0,1,0),0)</f>
        <v>1</v>
      </c>
      <c r="V126" s="71">
        <f>IFERROR(IF(AND(H126&gt;=INDEX(PEMAGANG!$J$3:$J$36,MATCH(B126,PEMAGANG!$C$3:$C$36,0)),H126&lt;=INDEX(PEMAGANG!$K$3:$K$36,MATCH(B126,PEMAGANG!$C$3:$C$36,0))),1,0),0)</f>
        <v>1</v>
      </c>
      <c r="W126" s="71">
        <f t="shared" si="17"/>
        <v>1</v>
      </c>
    </row>
    <row r="127" spans="1:23" x14ac:dyDescent="0.2">
      <c r="A127" s="71" t="s">
        <v>249</v>
      </c>
      <c r="B127" s="71" t="s">
        <v>250</v>
      </c>
      <c r="C127" s="71" t="s">
        <v>187</v>
      </c>
      <c r="D127" s="71" t="s">
        <v>220</v>
      </c>
      <c r="E127" s="71" t="s">
        <v>345</v>
      </c>
      <c r="F127" s="71" t="s">
        <v>300</v>
      </c>
      <c r="G127" s="88">
        <v>46197.697708333297</v>
      </c>
      <c r="H127" s="89">
        <v>46197</v>
      </c>
      <c r="I127" s="71" t="s">
        <v>312</v>
      </c>
      <c r="J127" s="71">
        <v>0</v>
      </c>
      <c r="K127" s="71" t="s">
        <v>302</v>
      </c>
      <c r="L127" s="71">
        <f t="shared" si="9"/>
        <v>6</v>
      </c>
      <c r="M127" s="71" t="str">
        <f>IFERROR(INDEX(KALENDER!$D$3:$D$132,MATCH(H127,KALENDER!$A$3:$A$132,0)),"Di luar periode")</f>
        <v>WFH</v>
      </c>
      <c r="N127" s="71">
        <f t="shared" si="10"/>
        <v>0</v>
      </c>
      <c r="O127" s="71">
        <f t="shared" si="11"/>
        <v>1</v>
      </c>
      <c r="P127" s="71">
        <f t="shared" si="12"/>
        <v>0</v>
      </c>
      <c r="Q127" s="71">
        <f t="shared" si="13"/>
        <v>0</v>
      </c>
      <c r="R127" s="71">
        <f t="shared" si="14"/>
        <v>0</v>
      </c>
      <c r="S127" s="71">
        <f t="shared" si="15"/>
        <v>0</v>
      </c>
      <c r="T127" s="71">
        <f t="shared" si="16"/>
        <v>0</v>
      </c>
      <c r="U127" s="71">
        <f>IF(AND(N127=1,V127=1),IF(COUNTIFS(AKTIVITAS!$B$2:$B$3052,B127,AKTIVITAS!$E$2:$E$3052,H127)&gt;0,1,0),0)</f>
        <v>0</v>
      </c>
      <c r="V127" s="71">
        <f>IFERROR(IF(AND(H127&gt;=INDEX(PEMAGANG!$J$3:$J$36,MATCH(B127,PEMAGANG!$C$3:$C$36,0)),H127&lt;=INDEX(PEMAGANG!$K$3:$K$36,MATCH(B127,PEMAGANG!$C$3:$C$36,0))),1,0),0)</f>
        <v>1</v>
      </c>
      <c r="W127" s="71">
        <f t="shared" si="17"/>
        <v>0</v>
      </c>
    </row>
    <row r="128" spans="1:23" x14ac:dyDescent="0.2">
      <c r="A128" s="71" t="s">
        <v>249</v>
      </c>
      <c r="B128" s="71" t="s">
        <v>250</v>
      </c>
      <c r="C128" s="71" t="s">
        <v>187</v>
      </c>
      <c r="D128" s="71" t="s">
        <v>220</v>
      </c>
      <c r="E128" s="71" t="s">
        <v>345</v>
      </c>
      <c r="F128" s="71" t="s">
        <v>298</v>
      </c>
      <c r="G128" s="88">
        <v>46198.3109259259</v>
      </c>
      <c r="H128" s="89">
        <v>46198</v>
      </c>
      <c r="I128" s="71" t="s">
        <v>309</v>
      </c>
      <c r="J128" s="71">
        <v>-2.9999999999999898</v>
      </c>
      <c r="K128" s="71" t="s">
        <v>302</v>
      </c>
      <c r="L128" s="71">
        <f t="shared" si="9"/>
        <v>6</v>
      </c>
      <c r="M128" s="71" t="str">
        <f>IFERROR(INDEX(KALENDER!$D$3:$D$132,MATCH(H128,KALENDER!$A$3:$A$132,0)),"Di luar periode")</f>
        <v>Hari Kerja</v>
      </c>
      <c r="N128" s="71">
        <f t="shared" si="10"/>
        <v>1</v>
      </c>
      <c r="O128" s="71">
        <f t="shared" si="11"/>
        <v>1</v>
      </c>
      <c r="P128" s="71">
        <f t="shared" si="12"/>
        <v>1</v>
      </c>
      <c r="Q128" s="71">
        <f t="shared" si="13"/>
        <v>0</v>
      </c>
      <c r="R128" s="71">
        <f t="shared" si="14"/>
        <v>0</v>
      </c>
      <c r="S128" s="71">
        <f t="shared" si="15"/>
        <v>0</v>
      </c>
      <c r="T128" s="71">
        <f t="shared" si="16"/>
        <v>0</v>
      </c>
      <c r="U128" s="71">
        <f>IF(AND(N128=1,V128=1),IF(COUNTIFS(AKTIVITAS!$B$2:$B$3052,B128,AKTIVITAS!$E$2:$E$3052,H128)&gt;0,1,0),0)</f>
        <v>1</v>
      </c>
      <c r="V128" s="71">
        <f>IFERROR(IF(AND(H128&gt;=INDEX(PEMAGANG!$J$3:$J$36,MATCH(B128,PEMAGANG!$C$3:$C$36,0)),H128&lt;=INDEX(PEMAGANG!$K$3:$K$36,MATCH(B128,PEMAGANG!$C$3:$C$36,0))),1,0),0)</f>
        <v>1</v>
      </c>
      <c r="W128" s="71">
        <f t="shared" si="17"/>
        <v>1</v>
      </c>
    </row>
    <row r="129" spans="1:23" x14ac:dyDescent="0.2">
      <c r="A129" s="71" t="s">
        <v>249</v>
      </c>
      <c r="B129" s="71" t="s">
        <v>250</v>
      </c>
      <c r="C129" s="71" t="s">
        <v>187</v>
      </c>
      <c r="D129" s="71" t="s">
        <v>220</v>
      </c>
      <c r="E129" s="71" t="s">
        <v>345</v>
      </c>
      <c r="F129" s="71" t="s">
        <v>300</v>
      </c>
      <c r="G129" s="88">
        <v>46198.691145833298</v>
      </c>
      <c r="H129" s="89">
        <v>46198</v>
      </c>
      <c r="I129" s="71" t="s">
        <v>310</v>
      </c>
      <c r="J129" s="71">
        <v>0</v>
      </c>
      <c r="K129" s="71" t="s">
        <v>302</v>
      </c>
      <c r="L129" s="71">
        <f t="shared" si="9"/>
        <v>6</v>
      </c>
      <c r="M129" s="71" t="str">
        <f>IFERROR(INDEX(KALENDER!$D$3:$D$132,MATCH(H129,KALENDER!$A$3:$A$132,0)),"Di luar periode")</f>
        <v>Hari Kerja</v>
      </c>
      <c r="N129" s="71">
        <f t="shared" si="10"/>
        <v>0</v>
      </c>
      <c r="O129" s="71">
        <f t="shared" si="11"/>
        <v>1</v>
      </c>
      <c r="P129" s="71">
        <f t="shared" si="12"/>
        <v>0</v>
      </c>
      <c r="Q129" s="71">
        <f t="shared" si="13"/>
        <v>0</v>
      </c>
      <c r="R129" s="71">
        <f t="shared" si="14"/>
        <v>0</v>
      </c>
      <c r="S129" s="71">
        <f t="shared" si="15"/>
        <v>0</v>
      </c>
      <c r="T129" s="71">
        <f t="shared" si="16"/>
        <v>0</v>
      </c>
      <c r="U129" s="71">
        <f>IF(AND(N129=1,V129=1),IF(COUNTIFS(AKTIVITAS!$B$2:$B$3052,B129,AKTIVITAS!$E$2:$E$3052,H129)&gt;0,1,0),0)</f>
        <v>0</v>
      </c>
      <c r="V129" s="71">
        <f>IFERROR(IF(AND(H129&gt;=INDEX(PEMAGANG!$J$3:$J$36,MATCH(B129,PEMAGANG!$C$3:$C$36,0)),H129&lt;=INDEX(PEMAGANG!$K$3:$K$36,MATCH(B129,PEMAGANG!$C$3:$C$36,0))),1,0),0)</f>
        <v>1</v>
      </c>
      <c r="W129" s="71">
        <f t="shared" si="17"/>
        <v>0</v>
      </c>
    </row>
    <row r="130" spans="1:23" x14ac:dyDescent="0.2">
      <c r="A130" s="71" t="s">
        <v>249</v>
      </c>
      <c r="B130" s="71" t="s">
        <v>250</v>
      </c>
      <c r="C130" s="71" t="s">
        <v>187</v>
      </c>
      <c r="D130" s="71" t="s">
        <v>220</v>
      </c>
      <c r="E130" s="71" t="s">
        <v>345</v>
      </c>
      <c r="F130" s="71" t="s">
        <v>298</v>
      </c>
      <c r="G130" s="88">
        <v>46199.287870370397</v>
      </c>
      <c r="H130" s="89">
        <v>46199</v>
      </c>
      <c r="I130" s="71" t="s">
        <v>348</v>
      </c>
      <c r="J130" s="71">
        <v>-36</v>
      </c>
      <c r="K130" s="71" t="s">
        <v>302</v>
      </c>
      <c r="L130" s="71">
        <f t="shared" ref="L130:L193" si="18">MONTH(H130)</f>
        <v>6</v>
      </c>
      <c r="M130" s="71" t="str">
        <f>IFERROR(INDEX(KALENDER!$D$3:$D$132,MATCH(H130,KALENDER!$A$3:$A$132,0)),"Di luar periode")</f>
        <v>Hari Kerja</v>
      </c>
      <c r="N130" s="71">
        <f t="shared" ref="N130:N193" si="19">IF(AND(B130=B129,H130=H129),0,1)</f>
        <v>1</v>
      </c>
      <c r="O130" s="71">
        <f t="shared" ref="O130:O193" si="20">IF(N130=1,0,O129)+IF(F130="MASUK",1,0)</f>
        <v>1</v>
      </c>
      <c r="P130" s="71">
        <f t="shared" ref="P130:P193" si="21">IF(AND(N130=1,M130="Hari Kerja",V130=1),1,0)</f>
        <v>1</v>
      </c>
      <c r="Q130" s="71">
        <f t="shared" ref="Q130:Q193" si="22">IF(AND(N130=1,OR(M130&lt;&gt;"Hari Kerja",V130=0)),1,0)</f>
        <v>0</v>
      </c>
      <c r="R130" s="71">
        <f t="shared" ref="R130:R193" si="23">IF(AND(F130="MASUK",O130=1,N(J130)&gt;0,V130=1),1,0)</f>
        <v>0</v>
      </c>
      <c r="S130" s="71">
        <f t="shared" ref="S130:S193" si="24">R130*N(J130)</f>
        <v>0</v>
      </c>
      <c r="T130" s="71">
        <f t="shared" ref="T130:T193" si="25">IF(AND(N130=1,V130=1),IF(AND(COUNTIFS($B$2:$B$4094,B130,$H$2:$H$4094,H130,$F$2:$F$4094,"MASUK")&gt;0,COUNTIFS($B$2:$B$4094,B130,$H$2:$H$4094,H130,$F$2:$F$4094,"PULANG")=0),1,0),0)</f>
        <v>0</v>
      </c>
      <c r="U130" s="71">
        <f>IF(AND(N130=1,V130=1),IF(COUNTIFS(AKTIVITAS!$B$2:$B$3052,B130,AKTIVITAS!$E$2:$E$3052,H130)&gt;0,1,0),0)</f>
        <v>1</v>
      </c>
      <c r="V130" s="71">
        <f>IFERROR(IF(AND(H130&gt;=INDEX(PEMAGANG!$J$3:$J$36,MATCH(B130,PEMAGANG!$C$3:$C$36,0)),H130&lt;=INDEX(PEMAGANG!$K$3:$K$36,MATCH(B130,PEMAGANG!$C$3:$C$36,0))),1,0),0)</f>
        <v>1</v>
      </c>
      <c r="W130" s="71">
        <f t="shared" ref="W130:W193" si="26">N130*V130</f>
        <v>1</v>
      </c>
    </row>
    <row r="131" spans="1:23" x14ac:dyDescent="0.2">
      <c r="A131" s="71" t="s">
        <v>249</v>
      </c>
      <c r="B131" s="71" t="s">
        <v>250</v>
      </c>
      <c r="C131" s="71" t="s">
        <v>187</v>
      </c>
      <c r="D131" s="71" t="s">
        <v>220</v>
      </c>
      <c r="E131" s="71" t="s">
        <v>345</v>
      </c>
      <c r="F131" s="71" t="s">
        <v>300</v>
      </c>
      <c r="G131" s="88">
        <v>46199.693483796298</v>
      </c>
      <c r="H131" s="89">
        <v>46199</v>
      </c>
      <c r="I131" s="71" t="s">
        <v>317</v>
      </c>
      <c r="J131" s="71">
        <v>0</v>
      </c>
      <c r="K131" s="71" t="s">
        <v>302</v>
      </c>
      <c r="L131" s="71">
        <f t="shared" si="18"/>
        <v>6</v>
      </c>
      <c r="M131" s="71" t="str">
        <f>IFERROR(INDEX(KALENDER!$D$3:$D$132,MATCH(H131,KALENDER!$A$3:$A$132,0)),"Di luar periode")</f>
        <v>Hari Kerja</v>
      </c>
      <c r="N131" s="71">
        <f t="shared" si="19"/>
        <v>0</v>
      </c>
      <c r="O131" s="71">
        <f t="shared" si="20"/>
        <v>1</v>
      </c>
      <c r="P131" s="71">
        <f t="shared" si="21"/>
        <v>0</v>
      </c>
      <c r="Q131" s="71">
        <f t="shared" si="22"/>
        <v>0</v>
      </c>
      <c r="R131" s="71">
        <f t="shared" si="23"/>
        <v>0</v>
      </c>
      <c r="S131" s="71">
        <f t="shared" si="24"/>
        <v>0</v>
      </c>
      <c r="T131" s="71">
        <f t="shared" si="25"/>
        <v>0</v>
      </c>
      <c r="U131" s="71">
        <f>IF(AND(N131=1,V131=1),IF(COUNTIFS(AKTIVITAS!$B$2:$B$3052,B131,AKTIVITAS!$E$2:$E$3052,H131)&gt;0,1,0),0)</f>
        <v>0</v>
      </c>
      <c r="V131" s="71">
        <f>IFERROR(IF(AND(H131&gt;=INDEX(PEMAGANG!$J$3:$J$36,MATCH(B131,PEMAGANG!$C$3:$C$36,0)),H131&lt;=INDEX(PEMAGANG!$K$3:$K$36,MATCH(B131,PEMAGANG!$C$3:$C$36,0))),1,0),0)</f>
        <v>1</v>
      </c>
      <c r="W131" s="71">
        <f t="shared" si="26"/>
        <v>0</v>
      </c>
    </row>
    <row r="132" spans="1:23" x14ac:dyDescent="0.2">
      <c r="A132" s="71" t="s">
        <v>249</v>
      </c>
      <c r="B132" s="71" t="s">
        <v>250</v>
      </c>
      <c r="C132" s="71" t="s">
        <v>187</v>
      </c>
      <c r="D132" s="71" t="s">
        <v>220</v>
      </c>
      <c r="E132" s="71" t="s">
        <v>345</v>
      </c>
      <c r="F132" s="71" t="s">
        <v>298</v>
      </c>
      <c r="G132" s="88">
        <v>46202.308530092603</v>
      </c>
      <c r="H132" s="89">
        <v>46202</v>
      </c>
      <c r="I132" s="71" t="s">
        <v>303</v>
      </c>
      <c r="J132" s="71">
        <v>-5.9999999999999796</v>
      </c>
      <c r="K132" s="71" t="s">
        <v>302</v>
      </c>
      <c r="L132" s="71">
        <f t="shared" si="18"/>
        <v>6</v>
      </c>
      <c r="M132" s="71" t="str">
        <f>IFERROR(INDEX(KALENDER!$D$3:$D$132,MATCH(H132,KALENDER!$A$3:$A$132,0)),"Di luar periode")</f>
        <v>Hari Kerja</v>
      </c>
      <c r="N132" s="71">
        <f t="shared" si="19"/>
        <v>1</v>
      </c>
      <c r="O132" s="71">
        <f t="shared" si="20"/>
        <v>1</v>
      </c>
      <c r="P132" s="71">
        <f t="shared" si="21"/>
        <v>1</v>
      </c>
      <c r="Q132" s="71">
        <f t="shared" si="22"/>
        <v>0</v>
      </c>
      <c r="R132" s="71">
        <f t="shared" si="23"/>
        <v>0</v>
      </c>
      <c r="S132" s="71">
        <f t="shared" si="24"/>
        <v>0</v>
      </c>
      <c r="T132" s="71">
        <f t="shared" si="25"/>
        <v>0</v>
      </c>
      <c r="U132" s="71">
        <f>IF(AND(N132=1,V132=1),IF(COUNTIFS(AKTIVITAS!$B$2:$B$3052,B132,AKTIVITAS!$E$2:$E$3052,H132)&gt;0,1,0),0)</f>
        <v>1</v>
      </c>
      <c r="V132" s="71">
        <f>IFERROR(IF(AND(H132&gt;=INDEX(PEMAGANG!$J$3:$J$36,MATCH(B132,PEMAGANG!$C$3:$C$36,0)),H132&lt;=INDEX(PEMAGANG!$K$3:$K$36,MATCH(B132,PEMAGANG!$C$3:$C$36,0))),1,0),0)</f>
        <v>1</v>
      </c>
      <c r="W132" s="71">
        <f t="shared" si="26"/>
        <v>1</v>
      </c>
    </row>
    <row r="133" spans="1:23" x14ac:dyDescent="0.2">
      <c r="A133" s="71" t="s">
        <v>249</v>
      </c>
      <c r="B133" s="71" t="s">
        <v>250</v>
      </c>
      <c r="C133" s="71" t="s">
        <v>187</v>
      </c>
      <c r="D133" s="71" t="s">
        <v>220</v>
      </c>
      <c r="E133" s="71" t="s">
        <v>345</v>
      </c>
      <c r="F133" s="71" t="s">
        <v>300</v>
      </c>
      <c r="G133" s="88">
        <v>46202.689756944397</v>
      </c>
      <c r="H133" s="89">
        <v>46202</v>
      </c>
      <c r="I133" s="71" t="s">
        <v>316</v>
      </c>
      <c r="J133" s="71">
        <v>0</v>
      </c>
      <c r="K133" s="71" t="s">
        <v>302</v>
      </c>
      <c r="L133" s="71">
        <f t="shared" si="18"/>
        <v>6</v>
      </c>
      <c r="M133" s="71" t="str">
        <f>IFERROR(INDEX(KALENDER!$D$3:$D$132,MATCH(H133,KALENDER!$A$3:$A$132,0)),"Di luar periode")</f>
        <v>Hari Kerja</v>
      </c>
      <c r="N133" s="71">
        <f t="shared" si="19"/>
        <v>0</v>
      </c>
      <c r="O133" s="71">
        <f t="shared" si="20"/>
        <v>1</v>
      </c>
      <c r="P133" s="71">
        <f t="shared" si="21"/>
        <v>0</v>
      </c>
      <c r="Q133" s="71">
        <f t="shared" si="22"/>
        <v>0</v>
      </c>
      <c r="R133" s="71">
        <f t="shared" si="23"/>
        <v>0</v>
      </c>
      <c r="S133" s="71">
        <f t="shared" si="24"/>
        <v>0</v>
      </c>
      <c r="T133" s="71">
        <f t="shared" si="25"/>
        <v>0</v>
      </c>
      <c r="U133" s="71">
        <f>IF(AND(N133=1,V133=1),IF(COUNTIFS(AKTIVITAS!$B$2:$B$3052,B133,AKTIVITAS!$E$2:$E$3052,H133)&gt;0,1,0),0)</f>
        <v>0</v>
      </c>
      <c r="V133" s="71">
        <f>IFERROR(IF(AND(H133&gt;=INDEX(PEMAGANG!$J$3:$J$36,MATCH(B133,PEMAGANG!$C$3:$C$36,0)),H133&lt;=INDEX(PEMAGANG!$K$3:$K$36,MATCH(B133,PEMAGANG!$C$3:$C$36,0))),1,0),0)</f>
        <v>1</v>
      </c>
      <c r="W133" s="71">
        <f t="shared" si="26"/>
        <v>0</v>
      </c>
    </row>
    <row r="134" spans="1:23" x14ac:dyDescent="0.2">
      <c r="A134" s="71" t="s">
        <v>249</v>
      </c>
      <c r="B134" s="71" t="s">
        <v>250</v>
      </c>
      <c r="C134" s="71" t="s">
        <v>187</v>
      </c>
      <c r="D134" s="71" t="s">
        <v>220</v>
      </c>
      <c r="E134" s="71" t="s">
        <v>345</v>
      </c>
      <c r="F134" s="71" t="s">
        <v>298</v>
      </c>
      <c r="G134" s="88">
        <v>46203.308530092603</v>
      </c>
      <c r="H134" s="89">
        <v>46203</v>
      </c>
      <c r="I134" s="71" t="s">
        <v>303</v>
      </c>
      <c r="J134" s="71">
        <v>-5.9999999999999796</v>
      </c>
      <c r="K134" s="71" t="s">
        <v>302</v>
      </c>
      <c r="L134" s="71">
        <f t="shared" si="18"/>
        <v>6</v>
      </c>
      <c r="M134" s="71" t="str">
        <f>IFERROR(INDEX(KALENDER!$D$3:$D$132,MATCH(H134,KALENDER!$A$3:$A$132,0)),"Di luar periode")</f>
        <v>Hari Kerja</v>
      </c>
      <c r="N134" s="71">
        <f t="shared" si="19"/>
        <v>1</v>
      </c>
      <c r="O134" s="71">
        <f t="shared" si="20"/>
        <v>1</v>
      </c>
      <c r="P134" s="71">
        <f t="shared" si="21"/>
        <v>1</v>
      </c>
      <c r="Q134" s="71">
        <f t="shared" si="22"/>
        <v>0</v>
      </c>
      <c r="R134" s="71">
        <f t="shared" si="23"/>
        <v>0</v>
      </c>
      <c r="S134" s="71">
        <f t="shared" si="24"/>
        <v>0</v>
      </c>
      <c r="T134" s="71">
        <f t="shared" si="25"/>
        <v>1</v>
      </c>
      <c r="U134" s="71">
        <f>IF(AND(N134=1,V134=1),IF(COUNTIFS(AKTIVITAS!$B$2:$B$3052,B134,AKTIVITAS!$E$2:$E$3052,H134)&gt;0,1,0),0)</f>
        <v>0</v>
      </c>
      <c r="V134" s="71">
        <f>IFERROR(IF(AND(H134&gt;=INDEX(PEMAGANG!$J$3:$J$36,MATCH(B134,PEMAGANG!$C$3:$C$36,0)),H134&lt;=INDEX(PEMAGANG!$K$3:$K$36,MATCH(B134,PEMAGANG!$C$3:$C$36,0))),1,0),0)</f>
        <v>1</v>
      </c>
      <c r="W134" s="71">
        <f t="shared" si="26"/>
        <v>1</v>
      </c>
    </row>
    <row r="135" spans="1:23" x14ac:dyDescent="0.2">
      <c r="A135" s="71" t="s">
        <v>249</v>
      </c>
      <c r="B135" s="71" t="s">
        <v>250</v>
      </c>
      <c r="C135" s="71" t="s">
        <v>187</v>
      </c>
      <c r="D135" s="71" t="s">
        <v>220</v>
      </c>
      <c r="E135" s="71" t="s">
        <v>345</v>
      </c>
      <c r="F135" s="71" t="s">
        <v>298</v>
      </c>
      <c r="G135" s="88">
        <v>46204.2961111111</v>
      </c>
      <c r="H135" s="89">
        <v>46204</v>
      </c>
      <c r="I135" s="71" t="s">
        <v>349</v>
      </c>
      <c r="J135" s="71">
        <v>-24</v>
      </c>
      <c r="K135" s="71" t="s">
        <v>302</v>
      </c>
      <c r="L135" s="71">
        <f t="shared" si="18"/>
        <v>7</v>
      </c>
      <c r="M135" s="71" t="str">
        <f>IFERROR(INDEX(KALENDER!$D$3:$D$132,MATCH(H135,KALENDER!$A$3:$A$132,0)),"Di luar periode")</f>
        <v>WFH</v>
      </c>
      <c r="N135" s="71">
        <f t="shared" si="19"/>
        <v>1</v>
      </c>
      <c r="O135" s="71">
        <f t="shared" si="20"/>
        <v>1</v>
      </c>
      <c r="P135" s="71">
        <f t="shared" si="21"/>
        <v>0</v>
      </c>
      <c r="Q135" s="71">
        <f t="shared" si="22"/>
        <v>1</v>
      </c>
      <c r="R135" s="71">
        <f t="shared" si="23"/>
        <v>0</v>
      </c>
      <c r="S135" s="71">
        <f t="shared" si="24"/>
        <v>0</v>
      </c>
      <c r="T135" s="71">
        <f t="shared" si="25"/>
        <v>0</v>
      </c>
      <c r="U135" s="71">
        <f>IF(AND(N135=1,V135=1),IF(COUNTIFS(AKTIVITAS!$B$2:$B$3052,B135,AKTIVITAS!$E$2:$E$3052,H135)&gt;0,1,0),0)</f>
        <v>1</v>
      </c>
      <c r="V135" s="71">
        <f>IFERROR(IF(AND(H135&gt;=INDEX(PEMAGANG!$J$3:$J$36,MATCH(B135,PEMAGANG!$C$3:$C$36,0)),H135&lt;=INDEX(PEMAGANG!$K$3:$K$36,MATCH(B135,PEMAGANG!$C$3:$C$36,0))),1,0),0)</f>
        <v>1</v>
      </c>
      <c r="W135" s="71">
        <f t="shared" si="26"/>
        <v>1</v>
      </c>
    </row>
    <row r="136" spans="1:23" x14ac:dyDescent="0.2">
      <c r="A136" s="71" t="s">
        <v>249</v>
      </c>
      <c r="B136" s="71" t="s">
        <v>250</v>
      </c>
      <c r="C136" s="71" t="s">
        <v>187</v>
      </c>
      <c r="D136" s="71" t="s">
        <v>220</v>
      </c>
      <c r="E136" s="71" t="s">
        <v>345</v>
      </c>
      <c r="F136" s="71" t="s">
        <v>300</v>
      </c>
      <c r="G136" s="88">
        <v>46204.692326388897</v>
      </c>
      <c r="H136" s="89">
        <v>46204</v>
      </c>
      <c r="I136" s="71" t="s">
        <v>344</v>
      </c>
      <c r="J136" s="71">
        <v>0</v>
      </c>
      <c r="K136" s="71" t="s">
        <v>302</v>
      </c>
      <c r="L136" s="71">
        <f t="shared" si="18"/>
        <v>7</v>
      </c>
      <c r="M136" s="71" t="str">
        <f>IFERROR(INDEX(KALENDER!$D$3:$D$132,MATCH(H136,KALENDER!$A$3:$A$132,0)),"Di luar periode")</f>
        <v>WFH</v>
      </c>
      <c r="N136" s="71">
        <f t="shared" si="19"/>
        <v>0</v>
      </c>
      <c r="O136" s="71">
        <f t="shared" si="20"/>
        <v>1</v>
      </c>
      <c r="P136" s="71">
        <f t="shared" si="21"/>
        <v>0</v>
      </c>
      <c r="Q136" s="71">
        <f t="shared" si="22"/>
        <v>0</v>
      </c>
      <c r="R136" s="71">
        <f t="shared" si="23"/>
        <v>0</v>
      </c>
      <c r="S136" s="71">
        <f t="shared" si="24"/>
        <v>0</v>
      </c>
      <c r="T136" s="71">
        <f t="shared" si="25"/>
        <v>0</v>
      </c>
      <c r="U136" s="71">
        <f>IF(AND(N136=1,V136=1),IF(COUNTIFS(AKTIVITAS!$B$2:$B$3052,B136,AKTIVITAS!$E$2:$E$3052,H136)&gt;0,1,0),0)</f>
        <v>0</v>
      </c>
      <c r="V136" s="71">
        <f>IFERROR(IF(AND(H136&gt;=INDEX(PEMAGANG!$J$3:$J$36,MATCH(B136,PEMAGANG!$C$3:$C$36,0)),H136&lt;=INDEX(PEMAGANG!$K$3:$K$36,MATCH(B136,PEMAGANG!$C$3:$C$36,0))),1,0),0)</f>
        <v>1</v>
      </c>
      <c r="W136" s="71">
        <f t="shared" si="26"/>
        <v>0</v>
      </c>
    </row>
    <row r="137" spans="1:23" x14ac:dyDescent="0.2">
      <c r="A137" s="71" t="s">
        <v>249</v>
      </c>
      <c r="B137" s="71" t="s">
        <v>250</v>
      </c>
      <c r="C137" s="71" t="s">
        <v>187</v>
      </c>
      <c r="D137" s="71" t="s">
        <v>220</v>
      </c>
      <c r="E137" s="71" t="s">
        <v>345</v>
      </c>
      <c r="F137" s="71" t="s">
        <v>298</v>
      </c>
      <c r="G137" s="88">
        <v>46205.309212963002</v>
      </c>
      <c r="H137" s="89">
        <v>46205</v>
      </c>
      <c r="I137" s="71" t="s">
        <v>307</v>
      </c>
      <c r="J137" s="71">
        <v>-4.9999999999999796</v>
      </c>
      <c r="K137" s="71" t="s">
        <v>302</v>
      </c>
      <c r="L137" s="71">
        <f t="shared" si="18"/>
        <v>7</v>
      </c>
      <c r="M137" s="71" t="str">
        <f>IFERROR(INDEX(KALENDER!$D$3:$D$132,MATCH(H137,KALENDER!$A$3:$A$132,0)),"Di luar periode")</f>
        <v>Hari Kerja</v>
      </c>
      <c r="N137" s="71">
        <f t="shared" si="19"/>
        <v>1</v>
      </c>
      <c r="O137" s="71">
        <f t="shared" si="20"/>
        <v>1</v>
      </c>
      <c r="P137" s="71">
        <f t="shared" si="21"/>
        <v>1</v>
      </c>
      <c r="Q137" s="71">
        <f t="shared" si="22"/>
        <v>0</v>
      </c>
      <c r="R137" s="71">
        <f t="shared" si="23"/>
        <v>0</v>
      </c>
      <c r="S137" s="71">
        <f t="shared" si="24"/>
        <v>0</v>
      </c>
      <c r="T137" s="71">
        <f t="shared" si="25"/>
        <v>0</v>
      </c>
      <c r="U137" s="71">
        <f>IF(AND(N137=1,V137=1),IF(COUNTIFS(AKTIVITAS!$B$2:$B$3052,B137,AKTIVITAS!$E$2:$E$3052,H137)&gt;0,1,0),0)</f>
        <v>1</v>
      </c>
      <c r="V137" s="71">
        <f>IFERROR(IF(AND(H137&gt;=INDEX(PEMAGANG!$J$3:$J$36,MATCH(B137,PEMAGANG!$C$3:$C$36,0)),H137&lt;=INDEX(PEMAGANG!$K$3:$K$36,MATCH(B137,PEMAGANG!$C$3:$C$36,0))),1,0),0)</f>
        <v>1</v>
      </c>
      <c r="W137" s="71">
        <f t="shared" si="26"/>
        <v>1</v>
      </c>
    </row>
    <row r="138" spans="1:23" x14ac:dyDescent="0.2">
      <c r="A138" s="71" t="s">
        <v>249</v>
      </c>
      <c r="B138" s="71" t="s">
        <v>250</v>
      </c>
      <c r="C138" s="71" t="s">
        <v>187</v>
      </c>
      <c r="D138" s="71" t="s">
        <v>220</v>
      </c>
      <c r="E138" s="71" t="s">
        <v>345</v>
      </c>
      <c r="F138" s="71" t="s">
        <v>300</v>
      </c>
      <c r="G138" s="88">
        <v>46205.692060185203</v>
      </c>
      <c r="H138" s="89">
        <v>46205</v>
      </c>
      <c r="I138" s="71" t="s">
        <v>344</v>
      </c>
      <c r="J138" s="71">
        <v>0</v>
      </c>
      <c r="K138" s="71" t="s">
        <v>302</v>
      </c>
      <c r="L138" s="71">
        <f t="shared" si="18"/>
        <v>7</v>
      </c>
      <c r="M138" s="71" t="str">
        <f>IFERROR(INDEX(KALENDER!$D$3:$D$132,MATCH(H138,KALENDER!$A$3:$A$132,0)),"Di luar periode")</f>
        <v>Hari Kerja</v>
      </c>
      <c r="N138" s="71">
        <f t="shared" si="19"/>
        <v>0</v>
      </c>
      <c r="O138" s="71">
        <f t="shared" si="20"/>
        <v>1</v>
      </c>
      <c r="P138" s="71">
        <f t="shared" si="21"/>
        <v>0</v>
      </c>
      <c r="Q138" s="71">
        <f t="shared" si="22"/>
        <v>0</v>
      </c>
      <c r="R138" s="71">
        <f t="shared" si="23"/>
        <v>0</v>
      </c>
      <c r="S138" s="71">
        <f t="shared" si="24"/>
        <v>0</v>
      </c>
      <c r="T138" s="71">
        <f t="shared" si="25"/>
        <v>0</v>
      </c>
      <c r="U138" s="71">
        <f>IF(AND(N138=1,V138=1),IF(COUNTIFS(AKTIVITAS!$B$2:$B$3052,B138,AKTIVITAS!$E$2:$E$3052,H138)&gt;0,1,0),0)</f>
        <v>0</v>
      </c>
      <c r="V138" s="71">
        <f>IFERROR(IF(AND(H138&gt;=INDEX(PEMAGANG!$J$3:$J$36,MATCH(B138,PEMAGANG!$C$3:$C$36,0)),H138&lt;=INDEX(PEMAGANG!$K$3:$K$36,MATCH(B138,PEMAGANG!$C$3:$C$36,0))),1,0),0)</f>
        <v>1</v>
      </c>
      <c r="W138" s="71">
        <f t="shared" si="26"/>
        <v>0</v>
      </c>
    </row>
    <row r="139" spans="1:23" x14ac:dyDescent="0.2">
      <c r="A139" s="71" t="s">
        <v>249</v>
      </c>
      <c r="B139" s="71" t="s">
        <v>250</v>
      </c>
      <c r="C139" s="71" t="s">
        <v>187</v>
      </c>
      <c r="D139" s="71" t="s">
        <v>220</v>
      </c>
      <c r="E139" s="71" t="s">
        <v>345</v>
      </c>
      <c r="F139" s="71" t="s">
        <v>298</v>
      </c>
      <c r="G139" s="88">
        <v>46206.308402777802</v>
      </c>
      <c r="H139" s="89">
        <v>46206</v>
      </c>
      <c r="I139" s="71" t="s">
        <v>303</v>
      </c>
      <c r="J139" s="71">
        <v>-5.9999999999999796</v>
      </c>
      <c r="K139" s="71" t="s">
        <v>302</v>
      </c>
      <c r="L139" s="71">
        <f t="shared" si="18"/>
        <v>7</v>
      </c>
      <c r="M139" s="71" t="str">
        <f>IFERROR(INDEX(KALENDER!$D$3:$D$132,MATCH(H139,KALENDER!$A$3:$A$132,0)),"Di luar periode")</f>
        <v>Hari Kerja</v>
      </c>
      <c r="N139" s="71">
        <f t="shared" si="19"/>
        <v>1</v>
      </c>
      <c r="O139" s="71">
        <f t="shared" si="20"/>
        <v>1</v>
      </c>
      <c r="P139" s="71">
        <f t="shared" si="21"/>
        <v>1</v>
      </c>
      <c r="Q139" s="71">
        <f t="shared" si="22"/>
        <v>0</v>
      </c>
      <c r="R139" s="71">
        <f t="shared" si="23"/>
        <v>0</v>
      </c>
      <c r="S139" s="71">
        <f t="shared" si="24"/>
        <v>0</v>
      </c>
      <c r="T139" s="71">
        <f t="shared" si="25"/>
        <v>0</v>
      </c>
      <c r="U139" s="71">
        <f>IF(AND(N139=1,V139=1),IF(COUNTIFS(AKTIVITAS!$B$2:$B$3052,B139,AKTIVITAS!$E$2:$E$3052,H139)&gt;0,1,0),0)</f>
        <v>1</v>
      </c>
      <c r="V139" s="71">
        <f>IFERROR(IF(AND(H139&gt;=INDEX(PEMAGANG!$J$3:$J$36,MATCH(B139,PEMAGANG!$C$3:$C$36,0)),H139&lt;=INDEX(PEMAGANG!$K$3:$K$36,MATCH(B139,PEMAGANG!$C$3:$C$36,0))),1,0),0)</f>
        <v>1</v>
      </c>
      <c r="W139" s="71">
        <f t="shared" si="26"/>
        <v>1</v>
      </c>
    </row>
    <row r="140" spans="1:23" x14ac:dyDescent="0.2">
      <c r="A140" s="71" t="s">
        <v>249</v>
      </c>
      <c r="B140" s="71" t="s">
        <v>250</v>
      </c>
      <c r="C140" s="71" t="s">
        <v>187</v>
      </c>
      <c r="D140" s="71" t="s">
        <v>220</v>
      </c>
      <c r="E140" s="71" t="s">
        <v>345</v>
      </c>
      <c r="F140" s="71" t="s">
        <v>300</v>
      </c>
      <c r="G140" s="88">
        <v>46206.693344907399</v>
      </c>
      <c r="H140" s="89">
        <v>46206</v>
      </c>
      <c r="I140" s="71" t="s">
        <v>317</v>
      </c>
      <c r="J140" s="71">
        <v>0</v>
      </c>
      <c r="K140" s="71" t="s">
        <v>302</v>
      </c>
      <c r="L140" s="71">
        <f t="shared" si="18"/>
        <v>7</v>
      </c>
      <c r="M140" s="71" t="str">
        <f>IFERROR(INDEX(KALENDER!$D$3:$D$132,MATCH(H140,KALENDER!$A$3:$A$132,0)),"Di luar periode")</f>
        <v>Hari Kerja</v>
      </c>
      <c r="N140" s="71">
        <f t="shared" si="19"/>
        <v>0</v>
      </c>
      <c r="O140" s="71">
        <f t="shared" si="20"/>
        <v>1</v>
      </c>
      <c r="P140" s="71">
        <f t="shared" si="21"/>
        <v>0</v>
      </c>
      <c r="Q140" s="71">
        <f t="shared" si="22"/>
        <v>0</v>
      </c>
      <c r="R140" s="71">
        <f t="shared" si="23"/>
        <v>0</v>
      </c>
      <c r="S140" s="71">
        <f t="shared" si="24"/>
        <v>0</v>
      </c>
      <c r="T140" s="71">
        <f t="shared" si="25"/>
        <v>0</v>
      </c>
      <c r="U140" s="71">
        <f>IF(AND(N140=1,V140=1),IF(COUNTIFS(AKTIVITAS!$B$2:$B$3052,B140,AKTIVITAS!$E$2:$E$3052,H140)&gt;0,1,0),0)</f>
        <v>0</v>
      </c>
      <c r="V140" s="71">
        <f>IFERROR(IF(AND(H140&gt;=INDEX(PEMAGANG!$J$3:$J$36,MATCH(B140,PEMAGANG!$C$3:$C$36,0)),H140&lt;=INDEX(PEMAGANG!$K$3:$K$36,MATCH(B140,PEMAGANG!$C$3:$C$36,0))),1,0),0)</f>
        <v>1</v>
      </c>
      <c r="W140" s="71">
        <f t="shared" si="26"/>
        <v>0</v>
      </c>
    </row>
    <row r="141" spans="1:23" x14ac:dyDescent="0.2">
      <c r="A141" s="71" t="s">
        <v>249</v>
      </c>
      <c r="B141" s="71" t="s">
        <v>250</v>
      </c>
      <c r="C141" s="71" t="s">
        <v>187</v>
      </c>
      <c r="D141" s="71" t="s">
        <v>220</v>
      </c>
      <c r="E141" s="71" t="s">
        <v>345</v>
      </c>
      <c r="F141" s="71" t="s">
        <v>298</v>
      </c>
      <c r="G141" s="88">
        <v>46209.308657407397</v>
      </c>
      <c r="H141" s="89">
        <v>46209</v>
      </c>
      <c r="I141" s="71" t="s">
        <v>303</v>
      </c>
      <c r="J141" s="71">
        <v>-5.9999999999999796</v>
      </c>
      <c r="K141" s="71" t="s">
        <v>302</v>
      </c>
      <c r="L141" s="71">
        <f t="shared" si="18"/>
        <v>7</v>
      </c>
      <c r="M141" s="71" t="str">
        <f>IFERROR(INDEX(KALENDER!$D$3:$D$132,MATCH(H141,KALENDER!$A$3:$A$132,0)),"Di luar periode")</f>
        <v>Hari Kerja</v>
      </c>
      <c r="N141" s="71">
        <f t="shared" si="19"/>
        <v>1</v>
      </c>
      <c r="O141" s="71">
        <f t="shared" si="20"/>
        <v>1</v>
      </c>
      <c r="P141" s="71">
        <f t="shared" si="21"/>
        <v>1</v>
      </c>
      <c r="Q141" s="71">
        <f t="shared" si="22"/>
        <v>0</v>
      </c>
      <c r="R141" s="71">
        <f t="shared" si="23"/>
        <v>0</v>
      </c>
      <c r="S141" s="71">
        <f t="shared" si="24"/>
        <v>0</v>
      </c>
      <c r="T141" s="71">
        <f t="shared" si="25"/>
        <v>0</v>
      </c>
      <c r="U141" s="71">
        <f>IF(AND(N141=1,V141=1),IF(COUNTIFS(AKTIVITAS!$B$2:$B$3052,B141,AKTIVITAS!$E$2:$E$3052,H141)&gt;0,1,0),0)</f>
        <v>1</v>
      </c>
      <c r="V141" s="71">
        <f>IFERROR(IF(AND(H141&gt;=INDEX(PEMAGANG!$J$3:$J$36,MATCH(B141,PEMAGANG!$C$3:$C$36,0)),H141&lt;=INDEX(PEMAGANG!$K$3:$K$36,MATCH(B141,PEMAGANG!$C$3:$C$36,0))),1,0),0)</f>
        <v>1</v>
      </c>
      <c r="W141" s="71">
        <f t="shared" si="26"/>
        <v>1</v>
      </c>
    </row>
    <row r="142" spans="1:23" x14ac:dyDescent="0.2">
      <c r="A142" s="71" t="s">
        <v>249</v>
      </c>
      <c r="B142" s="71" t="s">
        <v>250</v>
      </c>
      <c r="C142" s="71" t="s">
        <v>187</v>
      </c>
      <c r="D142" s="71" t="s">
        <v>220</v>
      </c>
      <c r="E142" s="71" t="s">
        <v>345</v>
      </c>
      <c r="F142" s="71" t="s">
        <v>300</v>
      </c>
      <c r="G142" s="88">
        <v>46209.690902777802</v>
      </c>
      <c r="H142" s="89">
        <v>46209</v>
      </c>
      <c r="I142" s="71" t="s">
        <v>314</v>
      </c>
      <c r="J142" s="71">
        <v>0</v>
      </c>
      <c r="K142" s="71" t="s">
        <v>302</v>
      </c>
      <c r="L142" s="71">
        <f t="shared" si="18"/>
        <v>7</v>
      </c>
      <c r="M142" s="71" t="str">
        <f>IFERROR(INDEX(KALENDER!$D$3:$D$132,MATCH(H142,KALENDER!$A$3:$A$132,0)),"Di luar periode")</f>
        <v>Hari Kerja</v>
      </c>
      <c r="N142" s="71">
        <f t="shared" si="19"/>
        <v>0</v>
      </c>
      <c r="O142" s="71">
        <f t="shared" si="20"/>
        <v>1</v>
      </c>
      <c r="P142" s="71">
        <f t="shared" si="21"/>
        <v>0</v>
      </c>
      <c r="Q142" s="71">
        <f t="shared" si="22"/>
        <v>0</v>
      </c>
      <c r="R142" s="71">
        <f t="shared" si="23"/>
        <v>0</v>
      </c>
      <c r="S142" s="71">
        <f t="shared" si="24"/>
        <v>0</v>
      </c>
      <c r="T142" s="71">
        <f t="shared" si="25"/>
        <v>0</v>
      </c>
      <c r="U142" s="71">
        <f>IF(AND(N142=1,V142=1),IF(COUNTIFS(AKTIVITAS!$B$2:$B$3052,B142,AKTIVITAS!$E$2:$E$3052,H142)&gt;0,1,0),0)</f>
        <v>0</v>
      </c>
      <c r="V142" s="71">
        <f>IFERROR(IF(AND(H142&gt;=INDEX(PEMAGANG!$J$3:$J$36,MATCH(B142,PEMAGANG!$C$3:$C$36,0)),H142&lt;=INDEX(PEMAGANG!$K$3:$K$36,MATCH(B142,PEMAGANG!$C$3:$C$36,0))),1,0),0)</f>
        <v>1</v>
      </c>
      <c r="W142" s="71">
        <f t="shared" si="26"/>
        <v>0</v>
      </c>
    </row>
    <row r="143" spans="1:23" x14ac:dyDescent="0.2">
      <c r="A143" s="71" t="s">
        <v>249</v>
      </c>
      <c r="B143" s="71" t="s">
        <v>250</v>
      </c>
      <c r="C143" s="71" t="s">
        <v>187</v>
      </c>
      <c r="D143" s="71" t="s">
        <v>220</v>
      </c>
      <c r="E143" s="71" t="s">
        <v>345</v>
      </c>
      <c r="F143" s="71" t="s">
        <v>298</v>
      </c>
      <c r="G143" s="88">
        <v>46210.308935185203</v>
      </c>
      <c r="H143" s="89">
        <v>46210</v>
      </c>
      <c r="I143" s="71" t="s">
        <v>303</v>
      </c>
      <c r="J143" s="71">
        <v>-5.9999999999999796</v>
      </c>
      <c r="K143" s="71" t="s">
        <v>302</v>
      </c>
      <c r="L143" s="71">
        <f t="shared" si="18"/>
        <v>7</v>
      </c>
      <c r="M143" s="71" t="str">
        <f>IFERROR(INDEX(KALENDER!$D$3:$D$132,MATCH(H143,KALENDER!$A$3:$A$132,0)),"Di luar periode")</f>
        <v>Hari Kerja</v>
      </c>
      <c r="N143" s="71">
        <f t="shared" si="19"/>
        <v>1</v>
      </c>
      <c r="O143" s="71">
        <f t="shared" si="20"/>
        <v>1</v>
      </c>
      <c r="P143" s="71">
        <f t="shared" si="21"/>
        <v>1</v>
      </c>
      <c r="Q143" s="71">
        <f t="shared" si="22"/>
        <v>0</v>
      </c>
      <c r="R143" s="71">
        <f t="shared" si="23"/>
        <v>0</v>
      </c>
      <c r="S143" s="71">
        <f t="shared" si="24"/>
        <v>0</v>
      </c>
      <c r="T143" s="71">
        <f t="shared" si="25"/>
        <v>0</v>
      </c>
      <c r="U143" s="71">
        <f>IF(AND(N143=1,V143=1),IF(COUNTIFS(AKTIVITAS!$B$2:$B$3052,B143,AKTIVITAS!$E$2:$E$3052,H143)&gt;0,1,0),0)</f>
        <v>1</v>
      </c>
      <c r="V143" s="71">
        <f>IFERROR(IF(AND(H143&gt;=INDEX(PEMAGANG!$J$3:$J$36,MATCH(B143,PEMAGANG!$C$3:$C$36,0)),H143&lt;=INDEX(PEMAGANG!$K$3:$K$36,MATCH(B143,PEMAGANG!$C$3:$C$36,0))),1,0),0)</f>
        <v>1</v>
      </c>
      <c r="W143" s="71">
        <f t="shared" si="26"/>
        <v>1</v>
      </c>
    </row>
    <row r="144" spans="1:23" x14ac:dyDescent="0.2">
      <c r="A144" s="71" t="s">
        <v>249</v>
      </c>
      <c r="B144" s="71" t="s">
        <v>250</v>
      </c>
      <c r="C144" s="71" t="s">
        <v>187</v>
      </c>
      <c r="D144" s="71" t="s">
        <v>220</v>
      </c>
      <c r="E144" s="71" t="s">
        <v>345</v>
      </c>
      <c r="F144" s="71" t="s">
        <v>300</v>
      </c>
      <c r="G144" s="88">
        <v>46210.689317129603</v>
      </c>
      <c r="H144" s="89">
        <v>46210</v>
      </c>
      <c r="I144" s="71" t="s">
        <v>306</v>
      </c>
      <c r="J144" s="71">
        <v>0</v>
      </c>
      <c r="K144" s="71" t="s">
        <v>302</v>
      </c>
      <c r="L144" s="71">
        <f t="shared" si="18"/>
        <v>7</v>
      </c>
      <c r="M144" s="71" t="str">
        <f>IFERROR(INDEX(KALENDER!$D$3:$D$132,MATCH(H144,KALENDER!$A$3:$A$132,0)),"Di luar periode")</f>
        <v>Hari Kerja</v>
      </c>
      <c r="N144" s="71">
        <f t="shared" si="19"/>
        <v>0</v>
      </c>
      <c r="O144" s="71">
        <f t="shared" si="20"/>
        <v>1</v>
      </c>
      <c r="P144" s="71">
        <f t="shared" si="21"/>
        <v>0</v>
      </c>
      <c r="Q144" s="71">
        <f t="shared" si="22"/>
        <v>0</v>
      </c>
      <c r="R144" s="71">
        <f t="shared" si="23"/>
        <v>0</v>
      </c>
      <c r="S144" s="71">
        <f t="shared" si="24"/>
        <v>0</v>
      </c>
      <c r="T144" s="71">
        <f t="shared" si="25"/>
        <v>0</v>
      </c>
      <c r="U144" s="71">
        <f>IF(AND(N144=1,V144=1),IF(COUNTIFS(AKTIVITAS!$B$2:$B$3052,B144,AKTIVITAS!$E$2:$E$3052,H144)&gt;0,1,0),0)</f>
        <v>0</v>
      </c>
      <c r="V144" s="71">
        <f>IFERROR(IF(AND(H144&gt;=INDEX(PEMAGANG!$J$3:$J$36,MATCH(B144,PEMAGANG!$C$3:$C$36,0)),H144&lt;=INDEX(PEMAGANG!$K$3:$K$36,MATCH(B144,PEMAGANG!$C$3:$C$36,0))),1,0),0)</f>
        <v>1</v>
      </c>
      <c r="W144" s="71">
        <f t="shared" si="26"/>
        <v>0</v>
      </c>
    </row>
    <row r="145" spans="1:23" x14ac:dyDescent="0.2">
      <c r="A145" s="71" t="s">
        <v>249</v>
      </c>
      <c r="B145" s="71" t="s">
        <v>250</v>
      </c>
      <c r="C145" s="71" t="s">
        <v>187</v>
      </c>
      <c r="D145" s="71" t="s">
        <v>220</v>
      </c>
      <c r="E145" s="71" t="s">
        <v>345</v>
      </c>
      <c r="F145" s="71" t="s">
        <v>298</v>
      </c>
      <c r="G145" s="88">
        <v>46211.308946759302</v>
      </c>
      <c r="H145" s="89">
        <v>46211</v>
      </c>
      <c r="I145" s="71" t="s">
        <v>303</v>
      </c>
      <c r="J145" s="71">
        <v>-5.9999999999999796</v>
      </c>
      <c r="K145" s="71" t="s">
        <v>302</v>
      </c>
      <c r="L145" s="71">
        <f t="shared" si="18"/>
        <v>7</v>
      </c>
      <c r="M145" s="71" t="str">
        <f>IFERROR(INDEX(KALENDER!$D$3:$D$132,MATCH(H145,KALENDER!$A$3:$A$132,0)),"Di luar periode")</f>
        <v>WFH</v>
      </c>
      <c r="N145" s="71">
        <f t="shared" si="19"/>
        <v>1</v>
      </c>
      <c r="O145" s="71">
        <f t="shared" si="20"/>
        <v>1</v>
      </c>
      <c r="P145" s="71">
        <f t="shared" si="21"/>
        <v>0</v>
      </c>
      <c r="Q145" s="71">
        <f t="shared" si="22"/>
        <v>1</v>
      </c>
      <c r="R145" s="71">
        <f t="shared" si="23"/>
        <v>0</v>
      </c>
      <c r="S145" s="71">
        <f t="shared" si="24"/>
        <v>0</v>
      </c>
      <c r="T145" s="71">
        <f t="shared" si="25"/>
        <v>0</v>
      </c>
      <c r="U145" s="71">
        <f>IF(AND(N145=1,V145=1),IF(COUNTIFS(AKTIVITAS!$B$2:$B$3052,B145,AKTIVITAS!$E$2:$E$3052,H145)&gt;0,1,0),0)</f>
        <v>1</v>
      </c>
      <c r="V145" s="71">
        <f>IFERROR(IF(AND(H145&gt;=INDEX(PEMAGANG!$J$3:$J$36,MATCH(B145,PEMAGANG!$C$3:$C$36,0)),H145&lt;=INDEX(PEMAGANG!$K$3:$K$36,MATCH(B145,PEMAGANG!$C$3:$C$36,0))),1,0),0)</f>
        <v>1</v>
      </c>
      <c r="W145" s="71">
        <f t="shared" si="26"/>
        <v>1</v>
      </c>
    </row>
    <row r="146" spans="1:23" x14ac:dyDescent="0.2">
      <c r="A146" s="71" t="s">
        <v>249</v>
      </c>
      <c r="B146" s="71" t="s">
        <v>250</v>
      </c>
      <c r="C146" s="71" t="s">
        <v>187</v>
      </c>
      <c r="D146" s="71" t="s">
        <v>220</v>
      </c>
      <c r="E146" s="71" t="s">
        <v>345</v>
      </c>
      <c r="F146" s="71" t="s">
        <v>300</v>
      </c>
      <c r="G146" s="88">
        <v>46211.692361111098</v>
      </c>
      <c r="H146" s="89">
        <v>46211</v>
      </c>
      <c r="I146" s="71" t="s">
        <v>328</v>
      </c>
      <c r="J146" s="71">
        <v>0</v>
      </c>
      <c r="K146" s="71" t="s">
        <v>302</v>
      </c>
      <c r="L146" s="71">
        <f t="shared" si="18"/>
        <v>7</v>
      </c>
      <c r="M146" s="71" t="str">
        <f>IFERROR(INDEX(KALENDER!$D$3:$D$132,MATCH(H146,KALENDER!$A$3:$A$132,0)),"Di luar periode")</f>
        <v>WFH</v>
      </c>
      <c r="N146" s="71">
        <f t="shared" si="19"/>
        <v>0</v>
      </c>
      <c r="O146" s="71">
        <f t="shared" si="20"/>
        <v>1</v>
      </c>
      <c r="P146" s="71">
        <f t="shared" si="21"/>
        <v>0</v>
      </c>
      <c r="Q146" s="71">
        <f t="shared" si="22"/>
        <v>0</v>
      </c>
      <c r="R146" s="71">
        <f t="shared" si="23"/>
        <v>0</v>
      </c>
      <c r="S146" s="71">
        <f t="shared" si="24"/>
        <v>0</v>
      </c>
      <c r="T146" s="71">
        <f t="shared" si="25"/>
        <v>0</v>
      </c>
      <c r="U146" s="71">
        <f>IF(AND(N146=1,V146=1),IF(COUNTIFS(AKTIVITAS!$B$2:$B$3052,B146,AKTIVITAS!$E$2:$E$3052,H146)&gt;0,1,0),0)</f>
        <v>0</v>
      </c>
      <c r="V146" s="71">
        <f>IFERROR(IF(AND(H146&gt;=INDEX(PEMAGANG!$J$3:$J$36,MATCH(B146,PEMAGANG!$C$3:$C$36,0)),H146&lt;=INDEX(PEMAGANG!$K$3:$K$36,MATCH(B146,PEMAGANG!$C$3:$C$36,0))),1,0),0)</f>
        <v>1</v>
      </c>
      <c r="W146" s="71">
        <f t="shared" si="26"/>
        <v>0</v>
      </c>
    </row>
    <row r="147" spans="1:23" x14ac:dyDescent="0.2">
      <c r="A147" s="71" t="s">
        <v>249</v>
      </c>
      <c r="B147" s="71" t="s">
        <v>250</v>
      </c>
      <c r="C147" s="71" t="s">
        <v>187</v>
      </c>
      <c r="D147" s="71" t="s">
        <v>220</v>
      </c>
      <c r="E147" s="71" t="s">
        <v>345</v>
      </c>
      <c r="F147" s="71" t="s">
        <v>298</v>
      </c>
      <c r="G147" s="88">
        <v>46212.309178240699</v>
      </c>
      <c r="H147" s="89">
        <v>46212</v>
      </c>
      <c r="I147" s="71" t="s">
        <v>307</v>
      </c>
      <c r="J147" s="71">
        <v>-4.9999999999999796</v>
      </c>
      <c r="K147" s="71" t="s">
        <v>302</v>
      </c>
      <c r="L147" s="71">
        <f t="shared" si="18"/>
        <v>7</v>
      </c>
      <c r="M147" s="71" t="str">
        <f>IFERROR(INDEX(KALENDER!$D$3:$D$132,MATCH(H147,KALENDER!$A$3:$A$132,0)),"Di luar periode")</f>
        <v>Hari Kerja</v>
      </c>
      <c r="N147" s="71">
        <f t="shared" si="19"/>
        <v>1</v>
      </c>
      <c r="O147" s="71">
        <f t="shared" si="20"/>
        <v>1</v>
      </c>
      <c r="P147" s="71">
        <f t="shared" si="21"/>
        <v>1</v>
      </c>
      <c r="Q147" s="71">
        <f t="shared" si="22"/>
        <v>0</v>
      </c>
      <c r="R147" s="71">
        <f t="shared" si="23"/>
        <v>0</v>
      </c>
      <c r="S147" s="71">
        <f t="shared" si="24"/>
        <v>0</v>
      </c>
      <c r="T147" s="71">
        <f t="shared" si="25"/>
        <v>0</v>
      </c>
      <c r="U147" s="71">
        <f>IF(AND(N147=1,V147=1),IF(COUNTIFS(AKTIVITAS!$B$2:$B$3052,B147,AKTIVITAS!$E$2:$E$3052,H147)&gt;0,1,0),0)</f>
        <v>1</v>
      </c>
      <c r="V147" s="71">
        <f>IFERROR(IF(AND(H147&gt;=INDEX(PEMAGANG!$J$3:$J$36,MATCH(B147,PEMAGANG!$C$3:$C$36,0)),H147&lt;=INDEX(PEMAGANG!$K$3:$K$36,MATCH(B147,PEMAGANG!$C$3:$C$36,0))),1,0),0)</f>
        <v>1</v>
      </c>
      <c r="W147" s="71">
        <f t="shared" si="26"/>
        <v>1</v>
      </c>
    </row>
    <row r="148" spans="1:23" x14ac:dyDescent="0.2">
      <c r="A148" s="71" t="s">
        <v>249</v>
      </c>
      <c r="B148" s="71" t="s">
        <v>250</v>
      </c>
      <c r="C148" s="71" t="s">
        <v>187</v>
      </c>
      <c r="D148" s="71" t="s">
        <v>220</v>
      </c>
      <c r="E148" s="71" t="s">
        <v>345</v>
      </c>
      <c r="F148" s="71" t="s">
        <v>300</v>
      </c>
      <c r="G148" s="88">
        <v>46212.692037036999</v>
      </c>
      <c r="H148" s="89">
        <v>46212</v>
      </c>
      <c r="I148" s="71" t="s">
        <v>344</v>
      </c>
      <c r="J148" s="71">
        <v>0</v>
      </c>
      <c r="K148" s="71" t="s">
        <v>302</v>
      </c>
      <c r="L148" s="71">
        <f t="shared" si="18"/>
        <v>7</v>
      </c>
      <c r="M148" s="71" t="str">
        <f>IFERROR(INDEX(KALENDER!$D$3:$D$132,MATCH(H148,KALENDER!$A$3:$A$132,0)),"Di luar periode")</f>
        <v>Hari Kerja</v>
      </c>
      <c r="N148" s="71">
        <f t="shared" si="19"/>
        <v>0</v>
      </c>
      <c r="O148" s="71">
        <f t="shared" si="20"/>
        <v>1</v>
      </c>
      <c r="P148" s="71">
        <f t="shared" si="21"/>
        <v>0</v>
      </c>
      <c r="Q148" s="71">
        <f t="shared" si="22"/>
        <v>0</v>
      </c>
      <c r="R148" s="71">
        <f t="shared" si="23"/>
        <v>0</v>
      </c>
      <c r="S148" s="71">
        <f t="shared" si="24"/>
        <v>0</v>
      </c>
      <c r="T148" s="71">
        <f t="shared" si="25"/>
        <v>0</v>
      </c>
      <c r="U148" s="71">
        <f>IF(AND(N148=1,V148=1),IF(COUNTIFS(AKTIVITAS!$B$2:$B$3052,B148,AKTIVITAS!$E$2:$E$3052,H148)&gt;0,1,0),0)</f>
        <v>0</v>
      </c>
      <c r="V148" s="71">
        <f>IFERROR(IF(AND(H148&gt;=INDEX(PEMAGANG!$J$3:$J$36,MATCH(B148,PEMAGANG!$C$3:$C$36,0)),H148&lt;=INDEX(PEMAGANG!$K$3:$K$36,MATCH(B148,PEMAGANG!$C$3:$C$36,0))),1,0),0)</f>
        <v>1</v>
      </c>
      <c r="W148" s="71">
        <f t="shared" si="26"/>
        <v>0</v>
      </c>
    </row>
    <row r="149" spans="1:23" x14ac:dyDescent="0.2">
      <c r="A149" s="71" t="s">
        <v>249</v>
      </c>
      <c r="B149" s="71" t="s">
        <v>250</v>
      </c>
      <c r="C149" s="71" t="s">
        <v>187</v>
      </c>
      <c r="D149" s="71" t="s">
        <v>220</v>
      </c>
      <c r="E149" s="71" t="s">
        <v>345</v>
      </c>
      <c r="F149" s="71" t="s">
        <v>298</v>
      </c>
      <c r="G149" s="88">
        <v>46213.310277777797</v>
      </c>
      <c r="H149" s="89">
        <v>46213</v>
      </c>
      <c r="I149" s="71" t="s">
        <v>315</v>
      </c>
      <c r="J149" s="71">
        <v>-3.9999999999999898</v>
      </c>
      <c r="K149" s="71" t="s">
        <v>302</v>
      </c>
      <c r="L149" s="71">
        <f t="shared" si="18"/>
        <v>7</v>
      </c>
      <c r="M149" s="71" t="str">
        <f>IFERROR(INDEX(KALENDER!$D$3:$D$132,MATCH(H149,KALENDER!$A$3:$A$132,0)),"Di luar periode")</f>
        <v>Hari Kerja</v>
      </c>
      <c r="N149" s="71">
        <f t="shared" si="19"/>
        <v>1</v>
      </c>
      <c r="O149" s="71">
        <f t="shared" si="20"/>
        <v>1</v>
      </c>
      <c r="P149" s="71">
        <f t="shared" si="21"/>
        <v>1</v>
      </c>
      <c r="Q149" s="71">
        <f t="shared" si="22"/>
        <v>0</v>
      </c>
      <c r="R149" s="71">
        <f t="shared" si="23"/>
        <v>0</v>
      </c>
      <c r="S149" s="71">
        <f t="shared" si="24"/>
        <v>0</v>
      </c>
      <c r="T149" s="71">
        <f t="shared" si="25"/>
        <v>0</v>
      </c>
      <c r="U149" s="71">
        <f>IF(AND(N149=1,V149=1),IF(COUNTIFS(AKTIVITAS!$B$2:$B$3052,B149,AKTIVITAS!$E$2:$E$3052,H149)&gt;0,1,0),0)</f>
        <v>1</v>
      </c>
      <c r="V149" s="71">
        <f>IFERROR(IF(AND(H149&gt;=INDEX(PEMAGANG!$J$3:$J$36,MATCH(B149,PEMAGANG!$C$3:$C$36,0)),H149&lt;=INDEX(PEMAGANG!$K$3:$K$36,MATCH(B149,PEMAGANG!$C$3:$C$36,0))),1,0),0)</f>
        <v>1</v>
      </c>
      <c r="W149" s="71">
        <f t="shared" si="26"/>
        <v>1</v>
      </c>
    </row>
    <row r="150" spans="1:23" x14ac:dyDescent="0.2">
      <c r="A150" s="71" t="s">
        <v>249</v>
      </c>
      <c r="B150" s="71" t="s">
        <v>250</v>
      </c>
      <c r="C150" s="71" t="s">
        <v>187</v>
      </c>
      <c r="D150" s="71" t="s">
        <v>220</v>
      </c>
      <c r="E150" s="71" t="s">
        <v>345</v>
      </c>
      <c r="F150" s="71" t="s">
        <v>300</v>
      </c>
      <c r="G150" s="88">
        <v>46213.6980555556</v>
      </c>
      <c r="H150" s="89">
        <v>46213</v>
      </c>
      <c r="I150" s="71" t="s">
        <v>318</v>
      </c>
      <c r="J150" s="71">
        <v>0</v>
      </c>
      <c r="K150" s="71" t="s">
        <v>302</v>
      </c>
      <c r="L150" s="71">
        <f t="shared" si="18"/>
        <v>7</v>
      </c>
      <c r="M150" s="71" t="str">
        <f>IFERROR(INDEX(KALENDER!$D$3:$D$132,MATCH(H150,KALENDER!$A$3:$A$132,0)),"Di luar periode")</f>
        <v>Hari Kerja</v>
      </c>
      <c r="N150" s="71">
        <f t="shared" si="19"/>
        <v>0</v>
      </c>
      <c r="O150" s="71">
        <f t="shared" si="20"/>
        <v>1</v>
      </c>
      <c r="P150" s="71">
        <f t="shared" si="21"/>
        <v>0</v>
      </c>
      <c r="Q150" s="71">
        <f t="shared" si="22"/>
        <v>0</v>
      </c>
      <c r="R150" s="71">
        <f t="shared" si="23"/>
        <v>0</v>
      </c>
      <c r="S150" s="71">
        <f t="shared" si="24"/>
        <v>0</v>
      </c>
      <c r="T150" s="71">
        <f t="shared" si="25"/>
        <v>0</v>
      </c>
      <c r="U150" s="71">
        <f>IF(AND(N150=1,V150=1),IF(COUNTIFS(AKTIVITAS!$B$2:$B$3052,B150,AKTIVITAS!$E$2:$E$3052,H150)&gt;0,1,0),0)</f>
        <v>0</v>
      </c>
      <c r="V150" s="71">
        <f>IFERROR(IF(AND(H150&gt;=INDEX(PEMAGANG!$J$3:$J$36,MATCH(B150,PEMAGANG!$C$3:$C$36,0)),H150&lt;=INDEX(PEMAGANG!$K$3:$K$36,MATCH(B150,PEMAGANG!$C$3:$C$36,0))),1,0),0)</f>
        <v>1</v>
      </c>
      <c r="W150" s="71">
        <f t="shared" si="26"/>
        <v>0</v>
      </c>
    </row>
    <row r="151" spans="1:23" x14ac:dyDescent="0.2">
      <c r="A151" s="71" t="s">
        <v>249</v>
      </c>
      <c r="B151" s="71" t="s">
        <v>250</v>
      </c>
      <c r="C151" s="71" t="s">
        <v>187</v>
      </c>
      <c r="D151" s="71" t="s">
        <v>220</v>
      </c>
      <c r="E151" s="71" t="s">
        <v>345</v>
      </c>
      <c r="F151" s="71" t="s">
        <v>298</v>
      </c>
      <c r="G151" s="88">
        <v>46216.310729166697</v>
      </c>
      <c r="H151" s="89">
        <v>46216</v>
      </c>
      <c r="I151" s="71" t="s">
        <v>309</v>
      </c>
      <c r="J151" s="71">
        <v>-2.9999999999999898</v>
      </c>
      <c r="K151" s="71" t="s">
        <v>302</v>
      </c>
      <c r="L151" s="71">
        <f t="shared" si="18"/>
        <v>7</v>
      </c>
      <c r="M151" s="71" t="str">
        <f>IFERROR(INDEX(KALENDER!$D$3:$D$132,MATCH(H151,KALENDER!$A$3:$A$132,0)),"Di luar periode")</f>
        <v>Hari Kerja</v>
      </c>
      <c r="N151" s="71">
        <f t="shared" si="19"/>
        <v>1</v>
      </c>
      <c r="O151" s="71">
        <f t="shared" si="20"/>
        <v>1</v>
      </c>
      <c r="P151" s="71">
        <f t="shared" si="21"/>
        <v>1</v>
      </c>
      <c r="Q151" s="71">
        <f t="shared" si="22"/>
        <v>0</v>
      </c>
      <c r="R151" s="71">
        <f t="shared" si="23"/>
        <v>0</v>
      </c>
      <c r="S151" s="71">
        <f t="shared" si="24"/>
        <v>0</v>
      </c>
      <c r="T151" s="71">
        <f t="shared" si="25"/>
        <v>0</v>
      </c>
      <c r="U151" s="71">
        <f>IF(AND(N151=1,V151=1),IF(COUNTIFS(AKTIVITAS!$B$2:$B$3052,B151,AKTIVITAS!$E$2:$E$3052,H151)&gt;0,1,0),0)</f>
        <v>1</v>
      </c>
      <c r="V151" s="71">
        <f>IFERROR(IF(AND(H151&gt;=INDEX(PEMAGANG!$J$3:$J$36,MATCH(B151,PEMAGANG!$C$3:$C$36,0)),H151&lt;=INDEX(PEMAGANG!$K$3:$K$36,MATCH(B151,PEMAGANG!$C$3:$C$36,0))),1,0),0)</f>
        <v>1</v>
      </c>
      <c r="W151" s="71">
        <f t="shared" si="26"/>
        <v>1</v>
      </c>
    </row>
    <row r="152" spans="1:23" x14ac:dyDescent="0.2">
      <c r="A152" s="71" t="s">
        <v>249</v>
      </c>
      <c r="B152" s="71" t="s">
        <v>250</v>
      </c>
      <c r="C152" s="71" t="s">
        <v>187</v>
      </c>
      <c r="D152" s="71" t="s">
        <v>220</v>
      </c>
      <c r="E152" s="71" t="s">
        <v>345</v>
      </c>
      <c r="F152" s="71" t="s">
        <v>300</v>
      </c>
      <c r="G152" s="88">
        <v>46216.6954050926</v>
      </c>
      <c r="H152" s="89">
        <v>46216</v>
      </c>
      <c r="I152" s="71" t="s">
        <v>319</v>
      </c>
      <c r="J152" s="71">
        <v>0</v>
      </c>
      <c r="K152" s="71" t="s">
        <v>302</v>
      </c>
      <c r="L152" s="71">
        <f t="shared" si="18"/>
        <v>7</v>
      </c>
      <c r="M152" s="71" t="str">
        <f>IFERROR(INDEX(KALENDER!$D$3:$D$132,MATCH(H152,KALENDER!$A$3:$A$132,0)),"Di luar periode")</f>
        <v>Hari Kerja</v>
      </c>
      <c r="N152" s="71">
        <f t="shared" si="19"/>
        <v>0</v>
      </c>
      <c r="O152" s="71">
        <f t="shared" si="20"/>
        <v>1</v>
      </c>
      <c r="P152" s="71">
        <f t="shared" si="21"/>
        <v>0</v>
      </c>
      <c r="Q152" s="71">
        <f t="shared" si="22"/>
        <v>0</v>
      </c>
      <c r="R152" s="71">
        <f t="shared" si="23"/>
        <v>0</v>
      </c>
      <c r="S152" s="71">
        <f t="shared" si="24"/>
        <v>0</v>
      </c>
      <c r="T152" s="71">
        <f t="shared" si="25"/>
        <v>0</v>
      </c>
      <c r="U152" s="71">
        <f>IF(AND(N152=1,V152=1),IF(COUNTIFS(AKTIVITAS!$B$2:$B$3052,B152,AKTIVITAS!$E$2:$E$3052,H152)&gt;0,1,0),0)</f>
        <v>0</v>
      </c>
      <c r="V152" s="71">
        <f>IFERROR(IF(AND(H152&gt;=INDEX(PEMAGANG!$J$3:$J$36,MATCH(B152,PEMAGANG!$C$3:$C$36,0)),H152&lt;=INDEX(PEMAGANG!$K$3:$K$36,MATCH(B152,PEMAGANG!$C$3:$C$36,0))),1,0),0)</f>
        <v>1</v>
      </c>
      <c r="W152" s="71">
        <f t="shared" si="26"/>
        <v>0</v>
      </c>
    </row>
    <row r="153" spans="1:23" x14ac:dyDescent="0.2">
      <c r="A153" s="71" t="s">
        <v>249</v>
      </c>
      <c r="B153" s="71" t="s">
        <v>250</v>
      </c>
      <c r="C153" s="71" t="s">
        <v>187</v>
      </c>
      <c r="D153" s="71" t="s">
        <v>220</v>
      </c>
      <c r="E153" s="71" t="s">
        <v>345</v>
      </c>
      <c r="F153" s="71" t="s">
        <v>298</v>
      </c>
      <c r="G153" s="88">
        <v>46217.309236111098</v>
      </c>
      <c r="H153" s="89">
        <v>46217</v>
      </c>
      <c r="I153" s="71" t="s">
        <v>307</v>
      </c>
      <c r="J153" s="71">
        <v>-4.9999999999999796</v>
      </c>
      <c r="K153" s="71" t="s">
        <v>302</v>
      </c>
      <c r="L153" s="71">
        <f t="shared" si="18"/>
        <v>7</v>
      </c>
      <c r="M153" s="71" t="str">
        <f>IFERROR(INDEX(KALENDER!$D$3:$D$132,MATCH(H153,KALENDER!$A$3:$A$132,0)),"Di luar periode")</f>
        <v>Hari Kerja</v>
      </c>
      <c r="N153" s="71">
        <f t="shared" si="19"/>
        <v>1</v>
      </c>
      <c r="O153" s="71">
        <f t="shared" si="20"/>
        <v>1</v>
      </c>
      <c r="P153" s="71">
        <f t="shared" si="21"/>
        <v>1</v>
      </c>
      <c r="Q153" s="71">
        <f t="shared" si="22"/>
        <v>0</v>
      </c>
      <c r="R153" s="71">
        <f t="shared" si="23"/>
        <v>0</v>
      </c>
      <c r="S153" s="71">
        <f t="shared" si="24"/>
        <v>0</v>
      </c>
      <c r="T153" s="71">
        <f t="shared" si="25"/>
        <v>0</v>
      </c>
      <c r="U153" s="71">
        <f>IF(AND(N153=1,V153=1),IF(COUNTIFS(AKTIVITAS!$B$2:$B$3052,B153,AKTIVITAS!$E$2:$E$3052,H153)&gt;0,1,0),0)</f>
        <v>1</v>
      </c>
      <c r="V153" s="71">
        <f>IFERROR(IF(AND(H153&gt;=INDEX(PEMAGANG!$J$3:$J$36,MATCH(B153,PEMAGANG!$C$3:$C$36,0)),H153&lt;=INDEX(PEMAGANG!$K$3:$K$36,MATCH(B153,PEMAGANG!$C$3:$C$36,0))),1,0),0)</f>
        <v>1</v>
      </c>
      <c r="W153" s="71">
        <f t="shared" si="26"/>
        <v>1</v>
      </c>
    </row>
    <row r="154" spans="1:23" x14ac:dyDescent="0.2">
      <c r="A154" s="71" t="s">
        <v>249</v>
      </c>
      <c r="B154" s="71" t="s">
        <v>250</v>
      </c>
      <c r="C154" s="71" t="s">
        <v>187</v>
      </c>
      <c r="D154" s="71" t="s">
        <v>220</v>
      </c>
      <c r="E154" s="71" t="s">
        <v>345</v>
      </c>
      <c r="F154" s="71" t="s">
        <v>300</v>
      </c>
      <c r="G154" s="88">
        <v>46217.690937500003</v>
      </c>
      <c r="H154" s="89">
        <v>46217</v>
      </c>
      <c r="I154" s="71" t="s">
        <v>314</v>
      </c>
      <c r="J154" s="71">
        <v>0</v>
      </c>
      <c r="K154" s="71" t="s">
        <v>302</v>
      </c>
      <c r="L154" s="71">
        <f t="shared" si="18"/>
        <v>7</v>
      </c>
      <c r="M154" s="71" t="str">
        <f>IFERROR(INDEX(KALENDER!$D$3:$D$132,MATCH(H154,KALENDER!$A$3:$A$132,0)),"Di luar periode")</f>
        <v>Hari Kerja</v>
      </c>
      <c r="N154" s="71">
        <f t="shared" si="19"/>
        <v>0</v>
      </c>
      <c r="O154" s="71">
        <f t="shared" si="20"/>
        <v>1</v>
      </c>
      <c r="P154" s="71">
        <f t="shared" si="21"/>
        <v>0</v>
      </c>
      <c r="Q154" s="71">
        <f t="shared" si="22"/>
        <v>0</v>
      </c>
      <c r="R154" s="71">
        <f t="shared" si="23"/>
        <v>0</v>
      </c>
      <c r="S154" s="71">
        <f t="shared" si="24"/>
        <v>0</v>
      </c>
      <c r="T154" s="71">
        <f t="shared" si="25"/>
        <v>0</v>
      </c>
      <c r="U154" s="71">
        <f>IF(AND(N154=1,V154=1),IF(COUNTIFS(AKTIVITAS!$B$2:$B$3052,B154,AKTIVITAS!$E$2:$E$3052,H154)&gt;0,1,0),0)</f>
        <v>0</v>
      </c>
      <c r="V154" s="71">
        <f>IFERROR(IF(AND(H154&gt;=INDEX(PEMAGANG!$J$3:$J$36,MATCH(B154,PEMAGANG!$C$3:$C$36,0)),H154&lt;=INDEX(PEMAGANG!$K$3:$K$36,MATCH(B154,PEMAGANG!$C$3:$C$36,0))),1,0),0)</f>
        <v>1</v>
      </c>
      <c r="W154" s="71">
        <f t="shared" si="26"/>
        <v>0</v>
      </c>
    </row>
    <row r="155" spans="1:23" x14ac:dyDescent="0.2">
      <c r="A155" s="71" t="s">
        <v>249</v>
      </c>
      <c r="B155" s="71" t="s">
        <v>250</v>
      </c>
      <c r="C155" s="71" t="s">
        <v>187</v>
      </c>
      <c r="D155" s="71" t="s">
        <v>220</v>
      </c>
      <c r="E155" s="71" t="s">
        <v>345</v>
      </c>
      <c r="F155" s="71" t="s">
        <v>298</v>
      </c>
      <c r="G155" s="88">
        <v>46218.311099537001</v>
      </c>
      <c r="H155" s="89">
        <v>46218</v>
      </c>
      <c r="I155" s="71" t="s">
        <v>309</v>
      </c>
      <c r="J155" s="71">
        <v>-2.9999999999999898</v>
      </c>
      <c r="K155" s="71" t="s">
        <v>302</v>
      </c>
      <c r="L155" s="71">
        <f t="shared" si="18"/>
        <v>7</v>
      </c>
      <c r="M155" s="71" t="str">
        <f>IFERROR(INDEX(KALENDER!$D$3:$D$132,MATCH(H155,KALENDER!$A$3:$A$132,0)),"Di luar periode")</f>
        <v>WFH</v>
      </c>
      <c r="N155" s="71">
        <f t="shared" si="19"/>
        <v>1</v>
      </c>
      <c r="O155" s="71">
        <f t="shared" si="20"/>
        <v>1</v>
      </c>
      <c r="P155" s="71">
        <f t="shared" si="21"/>
        <v>0</v>
      </c>
      <c r="Q155" s="71">
        <f t="shared" si="22"/>
        <v>1</v>
      </c>
      <c r="R155" s="71">
        <f t="shared" si="23"/>
        <v>0</v>
      </c>
      <c r="S155" s="71">
        <f t="shared" si="24"/>
        <v>0</v>
      </c>
      <c r="T155" s="71">
        <f t="shared" si="25"/>
        <v>0</v>
      </c>
      <c r="U155" s="71">
        <f>IF(AND(N155=1,V155=1),IF(COUNTIFS(AKTIVITAS!$B$2:$B$3052,B155,AKTIVITAS!$E$2:$E$3052,H155)&gt;0,1,0),0)</f>
        <v>1</v>
      </c>
      <c r="V155" s="71">
        <f>IFERROR(IF(AND(H155&gt;=INDEX(PEMAGANG!$J$3:$J$36,MATCH(B155,PEMAGANG!$C$3:$C$36,0)),H155&lt;=INDEX(PEMAGANG!$K$3:$K$36,MATCH(B155,PEMAGANG!$C$3:$C$36,0))),1,0),0)</f>
        <v>1</v>
      </c>
      <c r="W155" s="71">
        <f t="shared" si="26"/>
        <v>1</v>
      </c>
    </row>
    <row r="156" spans="1:23" x14ac:dyDescent="0.2">
      <c r="A156" s="71" t="s">
        <v>249</v>
      </c>
      <c r="B156" s="71" t="s">
        <v>250</v>
      </c>
      <c r="C156" s="71" t="s">
        <v>187</v>
      </c>
      <c r="D156" s="71" t="s">
        <v>220</v>
      </c>
      <c r="E156" s="71" t="s">
        <v>345</v>
      </c>
      <c r="F156" s="71" t="s">
        <v>300</v>
      </c>
      <c r="G156" s="88">
        <v>46218.693287037</v>
      </c>
      <c r="H156" s="89">
        <v>46218</v>
      </c>
      <c r="I156" s="71" t="s">
        <v>317</v>
      </c>
      <c r="J156" s="71">
        <v>0</v>
      </c>
      <c r="K156" s="71" t="s">
        <v>302</v>
      </c>
      <c r="L156" s="71">
        <f t="shared" si="18"/>
        <v>7</v>
      </c>
      <c r="M156" s="71" t="str">
        <f>IFERROR(INDEX(KALENDER!$D$3:$D$132,MATCH(H156,KALENDER!$A$3:$A$132,0)),"Di luar periode")</f>
        <v>WFH</v>
      </c>
      <c r="N156" s="71">
        <f t="shared" si="19"/>
        <v>0</v>
      </c>
      <c r="O156" s="71">
        <f t="shared" si="20"/>
        <v>1</v>
      </c>
      <c r="P156" s="71">
        <f t="shared" si="21"/>
        <v>0</v>
      </c>
      <c r="Q156" s="71">
        <f t="shared" si="22"/>
        <v>0</v>
      </c>
      <c r="R156" s="71">
        <f t="shared" si="23"/>
        <v>0</v>
      </c>
      <c r="S156" s="71">
        <f t="shared" si="24"/>
        <v>0</v>
      </c>
      <c r="T156" s="71">
        <f t="shared" si="25"/>
        <v>0</v>
      </c>
      <c r="U156" s="71">
        <f>IF(AND(N156=1,V156=1),IF(COUNTIFS(AKTIVITAS!$B$2:$B$3052,B156,AKTIVITAS!$E$2:$E$3052,H156)&gt;0,1,0),0)</f>
        <v>0</v>
      </c>
      <c r="V156" s="71">
        <f>IFERROR(IF(AND(H156&gt;=INDEX(PEMAGANG!$J$3:$J$36,MATCH(B156,PEMAGANG!$C$3:$C$36,0)),H156&lt;=INDEX(PEMAGANG!$K$3:$K$36,MATCH(B156,PEMAGANG!$C$3:$C$36,0))),1,0),0)</f>
        <v>1</v>
      </c>
      <c r="W156" s="71">
        <f t="shared" si="26"/>
        <v>0</v>
      </c>
    </row>
    <row r="157" spans="1:23" x14ac:dyDescent="0.2">
      <c r="A157" s="71" t="s">
        <v>249</v>
      </c>
      <c r="B157" s="71" t="s">
        <v>250</v>
      </c>
      <c r="C157" s="71" t="s">
        <v>187</v>
      </c>
      <c r="D157" s="71" t="s">
        <v>220</v>
      </c>
      <c r="E157" s="71" t="s">
        <v>345</v>
      </c>
      <c r="F157" s="71" t="s">
        <v>298</v>
      </c>
      <c r="G157" s="88">
        <v>46219.309224536999</v>
      </c>
      <c r="H157" s="89">
        <v>46219</v>
      </c>
      <c r="I157" s="71" t="s">
        <v>307</v>
      </c>
      <c r="J157" s="71">
        <v>-4.9999999999999796</v>
      </c>
      <c r="K157" s="71" t="s">
        <v>302</v>
      </c>
      <c r="L157" s="71">
        <f t="shared" si="18"/>
        <v>7</v>
      </c>
      <c r="M157" s="71" t="str">
        <f>IFERROR(INDEX(KALENDER!$D$3:$D$132,MATCH(H157,KALENDER!$A$3:$A$132,0)),"Di luar periode")</f>
        <v>Hari Kerja</v>
      </c>
      <c r="N157" s="71">
        <f t="shared" si="19"/>
        <v>1</v>
      </c>
      <c r="O157" s="71">
        <f t="shared" si="20"/>
        <v>1</v>
      </c>
      <c r="P157" s="71">
        <f t="shared" si="21"/>
        <v>1</v>
      </c>
      <c r="Q157" s="71">
        <f t="shared" si="22"/>
        <v>0</v>
      </c>
      <c r="R157" s="71">
        <f t="shared" si="23"/>
        <v>0</v>
      </c>
      <c r="S157" s="71">
        <f t="shared" si="24"/>
        <v>0</v>
      </c>
      <c r="T157" s="71">
        <f t="shared" si="25"/>
        <v>0</v>
      </c>
      <c r="U157" s="71">
        <f>IF(AND(N157=1,V157=1),IF(COUNTIFS(AKTIVITAS!$B$2:$B$3052,B157,AKTIVITAS!$E$2:$E$3052,H157)&gt;0,1,0),0)</f>
        <v>1</v>
      </c>
      <c r="V157" s="71">
        <f>IFERROR(IF(AND(H157&gt;=INDEX(PEMAGANG!$J$3:$J$36,MATCH(B157,PEMAGANG!$C$3:$C$36,0)),H157&lt;=INDEX(PEMAGANG!$K$3:$K$36,MATCH(B157,PEMAGANG!$C$3:$C$36,0))),1,0),0)</f>
        <v>1</v>
      </c>
      <c r="W157" s="71">
        <f t="shared" si="26"/>
        <v>1</v>
      </c>
    </row>
    <row r="158" spans="1:23" x14ac:dyDescent="0.2">
      <c r="A158" s="71" t="s">
        <v>249</v>
      </c>
      <c r="B158" s="71" t="s">
        <v>250</v>
      </c>
      <c r="C158" s="71" t="s">
        <v>187</v>
      </c>
      <c r="D158" s="71" t="s">
        <v>220</v>
      </c>
      <c r="E158" s="71" t="s">
        <v>345</v>
      </c>
      <c r="F158" s="71" t="s">
        <v>300</v>
      </c>
      <c r="G158" s="88">
        <v>46219.694247685198</v>
      </c>
      <c r="H158" s="89">
        <v>46219</v>
      </c>
      <c r="I158" s="71" t="s">
        <v>308</v>
      </c>
      <c r="J158" s="71">
        <v>0</v>
      </c>
      <c r="K158" s="71" t="s">
        <v>302</v>
      </c>
      <c r="L158" s="71">
        <f t="shared" si="18"/>
        <v>7</v>
      </c>
      <c r="M158" s="71" t="str">
        <f>IFERROR(INDEX(KALENDER!$D$3:$D$132,MATCH(H158,KALENDER!$A$3:$A$132,0)),"Di luar periode")</f>
        <v>Hari Kerja</v>
      </c>
      <c r="N158" s="71">
        <f t="shared" si="19"/>
        <v>0</v>
      </c>
      <c r="O158" s="71">
        <f t="shared" si="20"/>
        <v>1</v>
      </c>
      <c r="P158" s="71">
        <f t="shared" si="21"/>
        <v>0</v>
      </c>
      <c r="Q158" s="71">
        <f t="shared" si="22"/>
        <v>0</v>
      </c>
      <c r="R158" s="71">
        <f t="shared" si="23"/>
        <v>0</v>
      </c>
      <c r="S158" s="71">
        <f t="shared" si="24"/>
        <v>0</v>
      </c>
      <c r="T158" s="71">
        <f t="shared" si="25"/>
        <v>0</v>
      </c>
      <c r="U158" s="71">
        <f>IF(AND(N158=1,V158=1),IF(COUNTIFS(AKTIVITAS!$B$2:$B$3052,B158,AKTIVITAS!$E$2:$E$3052,H158)&gt;0,1,0),0)</f>
        <v>0</v>
      </c>
      <c r="V158" s="71">
        <f>IFERROR(IF(AND(H158&gt;=INDEX(PEMAGANG!$J$3:$J$36,MATCH(B158,PEMAGANG!$C$3:$C$36,0)),H158&lt;=INDEX(PEMAGANG!$K$3:$K$36,MATCH(B158,PEMAGANG!$C$3:$C$36,0))),1,0),0)</f>
        <v>1</v>
      </c>
      <c r="W158" s="71">
        <f t="shared" si="26"/>
        <v>0</v>
      </c>
    </row>
    <row r="159" spans="1:23" x14ac:dyDescent="0.2">
      <c r="A159" s="71" t="s">
        <v>249</v>
      </c>
      <c r="B159" s="71" t="s">
        <v>250</v>
      </c>
      <c r="C159" s="71" t="s">
        <v>187</v>
      </c>
      <c r="D159" s="71" t="s">
        <v>220</v>
      </c>
      <c r="E159" s="71" t="s">
        <v>345</v>
      </c>
      <c r="F159" s="71" t="s">
        <v>298</v>
      </c>
      <c r="G159" s="88">
        <v>46220.308981481503</v>
      </c>
      <c r="H159" s="89">
        <v>46220</v>
      </c>
      <c r="I159" s="71" t="s">
        <v>303</v>
      </c>
      <c r="J159" s="71">
        <v>-5.9999999999999796</v>
      </c>
      <c r="K159" s="71" t="s">
        <v>302</v>
      </c>
      <c r="L159" s="71">
        <f t="shared" si="18"/>
        <v>7</v>
      </c>
      <c r="M159" s="71" t="str">
        <f>IFERROR(INDEX(KALENDER!$D$3:$D$132,MATCH(H159,KALENDER!$A$3:$A$132,0)),"Di luar periode")</f>
        <v>Hari Kerja</v>
      </c>
      <c r="N159" s="71">
        <f t="shared" si="19"/>
        <v>1</v>
      </c>
      <c r="O159" s="71">
        <f t="shared" si="20"/>
        <v>1</v>
      </c>
      <c r="P159" s="71">
        <f t="shared" si="21"/>
        <v>1</v>
      </c>
      <c r="Q159" s="71">
        <f t="shared" si="22"/>
        <v>0</v>
      </c>
      <c r="R159" s="71">
        <f t="shared" si="23"/>
        <v>0</v>
      </c>
      <c r="S159" s="71">
        <f t="shared" si="24"/>
        <v>0</v>
      </c>
      <c r="T159" s="71">
        <f t="shared" si="25"/>
        <v>0</v>
      </c>
      <c r="U159" s="71">
        <f>IF(AND(N159=1,V159=1),IF(COUNTIFS(AKTIVITAS!$B$2:$B$3052,B159,AKTIVITAS!$E$2:$E$3052,H159)&gt;0,1,0),0)</f>
        <v>1</v>
      </c>
      <c r="V159" s="71">
        <f>IFERROR(IF(AND(H159&gt;=INDEX(PEMAGANG!$J$3:$J$36,MATCH(B159,PEMAGANG!$C$3:$C$36,0)),H159&lt;=INDEX(PEMAGANG!$K$3:$K$36,MATCH(B159,PEMAGANG!$C$3:$C$36,0))),1,0),0)</f>
        <v>1</v>
      </c>
      <c r="W159" s="71">
        <f t="shared" si="26"/>
        <v>1</v>
      </c>
    </row>
    <row r="160" spans="1:23" x14ac:dyDescent="0.2">
      <c r="A160" s="71" t="s">
        <v>249</v>
      </c>
      <c r="B160" s="71" t="s">
        <v>250</v>
      </c>
      <c r="C160" s="71" t="s">
        <v>187</v>
      </c>
      <c r="D160" s="71" t="s">
        <v>220</v>
      </c>
      <c r="E160" s="71" t="s">
        <v>345</v>
      </c>
      <c r="F160" s="71" t="s">
        <v>300</v>
      </c>
      <c r="G160" s="88">
        <v>46220.692708333299</v>
      </c>
      <c r="H160" s="89">
        <v>46220</v>
      </c>
      <c r="I160" s="71" t="s">
        <v>328</v>
      </c>
      <c r="J160" s="71">
        <v>0</v>
      </c>
      <c r="K160" s="71" t="s">
        <v>302</v>
      </c>
      <c r="L160" s="71">
        <f t="shared" si="18"/>
        <v>7</v>
      </c>
      <c r="M160" s="71" t="str">
        <f>IFERROR(INDEX(KALENDER!$D$3:$D$132,MATCH(H160,KALENDER!$A$3:$A$132,0)),"Di luar periode")</f>
        <v>Hari Kerja</v>
      </c>
      <c r="N160" s="71">
        <f t="shared" si="19"/>
        <v>0</v>
      </c>
      <c r="O160" s="71">
        <f t="shared" si="20"/>
        <v>1</v>
      </c>
      <c r="P160" s="71">
        <f t="shared" si="21"/>
        <v>0</v>
      </c>
      <c r="Q160" s="71">
        <f t="shared" si="22"/>
        <v>0</v>
      </c>
      <c r="R160" s="71">
        <f t="shared" si="23"/>
        <v>0</v>
      </c>
      <c r="S160" s="71">
        <f t="shared" si="24"/>
        <v>0</v>
      </c>
      <c r="T160" s="71">
        <f t="shared" si="25"/>
        <v>0</v>
      </c>
      <c r="U160" s="71">
        <f>IF(AND(N160=1,V160=1),IF(COUNTIFS(AKTIVITAS!$B$2:$B$3052,B160,AKTIVITAS!$E$2:$E$3052,H160)&gt;0,1,0),0)</f>
        <v>0</v>
      </c>
      <c r="V160" s="71">
        <f>IFERROR(IF(AND(H160&gt;=INDEX(PEMAGANG!$J$3:$J$36,MATCH(B160,PEMAGANG!$C$3:$C$36,0)),H160&lt;=INDEX(PEMAGANG!$K$3:$K$36,MATCH(B160,PEMAGANG!$C$3:$C$36,0))),1,0),0)</f>
        <v>1</v>
      </c>
      <c r="W160" s="71">
        <f t="shared" si="26"/>
        <v>0</v>
      </c>
    </row>
    <row r="161" spans="1:23" x14ac:dyDescent="0.2">
      <c r="A161" s="71" t="s">
        <v>249</v>
      </c>
      <c r="B161" s="71" t="s">
        <v>250</v>
      </c>
      <c r="C161" s="71" t="s">
        <v>187</v>
      </c>
      <c r="D161" s="71" t="s">
        <v>220</v>
      </c>
      <c r="E161" s="71" t="s">
        <v>345</v>
      </c>
      <c r="F161" s="71" t="s">
        <v>298</v>
      </c>
      <c r="G161" s="88">
        <v>46223.3074305556</v>
      </c>
      <c r="H161" s="89">
        <v>46223</v>
      </c>
      <c r="I161" s="71" t="s">
        <v>313</v>
      </c>
      <c r="J161" s="71">
        <v>-8.0000000000000497</v>
      </c>
      <c r="K161" s="71" t="s">
        <v>302</v>
      </c>
      <c r="L161" s="71">
        <f t="shared" si="18"/>
        <v>7</v>
      </c>
      <c r="M161" s="71" t="str">
        <f>IFERROR(INDEX(KALENDER!$D$3:$D$132,MATCH(H161,KALENDER!$A$3:$A$132,0)),"Di luar periode")</f>
        <v>Hari Kerja</v>
      </c>
      <c r="N161" s="71">
        <f t="shared" si="19"/>
        <v>1</v>
      </c>
      <c r="O161" s="71">
        <f t="shared" si="20"/>
        <v>1</v>
      </c>
      <c r="P161" s="71">
        <f t="shared" si="21"/>
        <v>1</v>
      </c>
      <c r="Q161" s="71">
        <f t="shared" si="22"/>
        <v>0</v>
      </c>
      <c r="R161" s="71">
        <f t="shared" si="23"/>
        <v>0</v>
      </c>
      <c r="S161" s="71">
        <f t="shared" si="24"/>
        <v>0</v>
      </c>
      <c r="T161" s="71">
        <f t="shared" si="25"/>
        <v>0</v>
      </c>
      <c r="U161" s="71">
        <f>IF(AND(N161=1,V161=1),IF(COUNTIFS(AKTIVITAS!$B$2:$B$3052,B161,AKTIVITAS!$E$2:$E$3052,H161)&gt;0,1,0),0)</f>
        <v>1</v>
      </c>
      <c r="V161" s="71">
        <f>IFERROR(IF(AND(H161&gt;=INDEX(PEMAGANG!$J$3:$J$36,MATCH(B161,PEMAGANG!$C$3:$C$36,0)),H161&lt;=INDEX(PEMAGANG!$K$3:$K$36,MATCH(B161,PEMAGANG!$C$3:$C$36,0))),1,0),0)</f>
        <v>1</v>
      </c>
      <c r="W161" s="71">
        <f t="shared" si="26"/>
        <v>1</v>
      </c>
    </row>
    <row r="162" spans="1:23" x14ac:dyDescent="0.2">
      <c r="A162" s="71" t="s">
        <v>249</v>
      </c>
      <c r="B162" s="71" t="s">
        <v>250</v>
      </c>
      <c r="C162" s="71" t="s">
        <v>187</v>
      </c>
      <c r="D162" s="71" t="s">
        <v>220</v>
      </c>
      <c r="E162" s="71" t="s">
        <v>345</v>
      </c>
      <c r="F162" s="71" t="s">
        <v>300</v>
      </c>
      <c r="G162" s="88">
        <v>46223.6898842593</v>
      </c>
      <c r="H162" s="89">
        <v>46223</v>
      </c>
      <c r="I162" s="71" t="s">
        <v>316</v>
      </c>
      <c r="J162" s="71">
        <v>0</v>
      </c>
      <c r="K162" s="71" t="s">
        <v>302</v>
      </c>
      <c r="L162" s="71">
        <f t="shared" si="18"/>
        <v>7</v>
      </c>
      <c r="M162" s="71" t="str">
        <f>IFERROR(INDEX(KALENDER!$D$3:$D$132,MATCH(H162,KALENDER!$A$3:$A$132,0)),"Di luar periode")</f>
        <v>Hari Kerja</v>
      </c>
      <c r="N162" s="71">
        <f t="shared" si="19"/>
        <v>0</v>
      </c>
      <c r="O162" s="71">
        <f t="shared" si="20"/>
        <v>1</v>
      </c>
      <c r="P162" s="71">
        <f t="shared" si="21"/>
        <v>0</v>
      </c>
      <c r="Q162" s="71">
        <f t="shared" si="22"/>
        <v>0</v>
      </c>
      <c r="R162" s="71">
        <f t="shared" si="23"/>
        <v>0</v>
      </c>
      <c r="S162" s="71">
        <f t="shared" si="24"/>
        <v>0</v>
      </c>
      <c r="T162" s="71">
        <f t="shared" si="25"/>
        <v>0</v>
      </c>
      <c r="U162" s="71">
        <f>IF(AND(N162=1,V162=1),IF(COUNTIFS(AKTIVITAS!$B$2:$B$3052,B162,AKTIVITAS!$E$2:$E$3052,H162)&gt;0,1,0),0)</f>
        <v>0</v>
      </c>
      <c r="V162" s="71">
        <f>IFERROR(IF(AND(H162&gt;=INDEX(PEMAGANG!$J$3:$J$36,MATCH(B162,PEMAGANG!$C$3:$C$36,0)),H162&lt;=INDEX(PEMAGANG!$K$3:$K$36,MATCH(B162,PEMAGANG!$C$3:$C$36,0))),1,0),0)</f>
        <v>1</v>
      </c>
      <c r="W162" s="71">
        <f t="shared" si="26"/>
        <v>0</v>
      </c>
    </row>
    <row r="163" spans="1:23" x14ac:dyDescent="0.2">
      <c r="A163" s="71" t="s">
        <v>249</v>
      </c>
      <c r="B163" s="71" t="s">
        <v>250</v>
      </c>
      <c r="C163" s="71" t="s">
        <v>187</v>
      </c>
      <c r="D163" s="71" t="s">
        <v>220</v>
      </c>
      <c r="E163" s="71" t="s">
        <v>345</v>
      </c>
      <c r="F163" s="71" t="s">
        <v>298</v>
      </c>
      <c r="G163" s="88">
        <v>46224.308784722198</v>
      </c>
      <c r="H163" s="89">
        <v>46224</v>
      </c>
      <c r="I163" s="71" t="s">
        <v>303</v>
      </c>
      <c r="J163" s="71">
        <v>-5.9999999999999796</v>
      </c>
      <c r="K163" s="71" t="s">
        <v>302</v>
      </c>
      <c r="L163" s="71">
        <f t="shared" si="18"/>
        <v>7</v>
      </c>
      <c r="M163" s="71" t="str">
        <f>IFERROR(INDEX(KALENDER!$D$3:$D$132,MATCH(H163,KALENDER!$A$3:$A$132,0)),"Di luar periode")</f>
        <v>Hari Kerja</v>
      </c>
      <c r="N163" s="71">
        <f t="shared" si="19"/>
        <v>1</v>
      </c>
      <c r="O163" s="71">
        <f t="shared" si="20"/>
        <v>1</v>
      </c>
      <c r="P163" s="71">
        <f t="shared" si="21"/>
        <v>1</v>
      </c>
      <c r="Q163" s="71">
        <f t="shared" si="22"/>
        <v>0</v>
      </c>
      <c r="R163" s="71">
        <f t="shared" si="23"/>
        <v>0</v>
      </c>
      <c r="S163" s="71">
        <f t="shared" si="24"/>
        <v>0</v>
      </c>
      <c r="T163" s="71">
        <f t="shared" si="25"/>
        <v>0</v>
      </c>
      <c r="U163" s="71">
        <f>IF(AND(N163=1,V163=1),IF(COUNTIFS(AKTIVITAS!$B$2:$B$3052,B163,AKTIVITAS!$E$2:$E$3052,H163)&gt;0,1,0),0)</f>
        <v>1</v>
      </c>
      <c r="V163" s="71">
        <f>IFERROR(IF(AND(H163&gt;=INDEX(PEMAGANG!$J$3:$J$36,MATCH(B163,PEMAGANG!$C$3:$C$36,0)),H163&lt;=INDEX(PEMAGANG!$K$3:$K$36,MATCH(B163,PEMAGANG!$C$3:$C$36,0))),1,0),0)</f>
        <v>1</v>
      </c>
      <c r="W163" s="71">
        <f t="shared" si="26"/>
        <v>1</v>
      </c>
    </row>
    <row r="164" spans="1:23" x14ac:dyDescent="0.2">
      <c r="A164" s="71" t="s">
        <v>249</v>
      </c>
      <c r="B164" s="71" t="s">
        <v>250</v>
      </c>
      <c r="C164" s="71" t="s">
        <v>187</v>
      </c>
      <c r="D164" s="71" t="s">
        <v>220</v>
      </c>
      <c r="E164" s="71" t="s">
        <v>345</v>
      </c>
      <c r="F164" s="71" t="s">
        <v>300</v>
      </c>
      <c r="G164" s="88">
        <v>46224.691724536999</v>
      </c>
      <c r="H164" s="89">
        <v>46224</v>
      </c>
      <c r="I164" s="71" t="s">
        <v>344</v>
      </c>
      <c r="J164" s="71">
        <v>0</v>
      </c>
      <c r="K164" s="71" t="s">
        <v>302</v>
      </c>
      <c r="L164" s="71">
        <f t="shared" si="18"/>
        <v>7</v>
      </c>
      <c r="M164" s="71" t="str">
        <f>IFERROR(INDEX(KALENDER!$D$3:$D$132,MATCH(H164,KALENDER!$A$3:$A$132,0)),"Di luar periode")</f>
        <v>Hari Kerja</v>
      </c>
      <c r="N164" s="71">
        <f t="shared" si="19"/>
        <v>0</v>
      </c>
      <c r="O164" s="71">
        <f t="shared" si="20"/>
        <v>1</v>
      </c>
      <c r="P164" s="71">
        <f t="shared" si="21"/>
        <v>0</v>
      </c>
      <c r="Q164" s="71">
        <f t="shared" si="22"/>
        <v>0</v>
      </c>
      <c r="R164" s="71">
        <f t="shared" si="23"/>
        <v>0</v>
      </c>
      <c r="S164" s="71">
        <f t="shared" si="24"/>
        <v>0</v>
      </c>
      <c r="T164" s="71">
        <f t="shared" si="25"/>
        <v>0</v>
      </c>
      <c r="U164" s="71">
        <f>IF(AND(N164=1,V164=1),IF(COUNTIFS(AKTIVITAS!$B$2:$B$3052,B164,AKTIVITAS!$E$2:$E$3052,H164)&gt;0,1,0),0)</f>
        <v>0</v>
      </c>
      <c r="V164" s="71">
        <f>IFERROR(IF(AND(H164&gt;=INDEX(PEMAGANG!$J$3:$J$36,MATCH(B164,PEMAGANG!$C$3:$C$36,0)),H164&lt;=INDEX(PEMAGANG!$K$3:$K$36,MATCH(B164,PEMAGANG!$C$3:$C$36,0))),1,0),0)</f>
        <v>1</v>
      </c>
      <c r="W164" s="71">
        <f t="shared" si="26"/>
        <v>0</v>
      </c>
    </row>
    <row r="165" spans="1:23" x14ac:dyDescent="0.2">
      <c r="A165" s="71" t="s">
        <v>249</v>
      </c>
      <c r="B165" s="71" t="s">
        <v>250</v>
      </c>
      <c r="C165" s="71" t="s">
        <v>187</v>
      </c>
      <c r="D165" s="71" t="s">
        <v>220</v>
      </c>
      <c r="E165" s="71" t="s">
        <v>345</v>
      </c>
      <c r="F165" s="71" t="s">
        <v>298</v>
      </c>
      <c r="G165" s="88">
        <v>46225.308923611097</v>
      </c>
      <c r="H165" s="89">
        <v>46225</v>
      </c>
      <c r="I165" s="71" t="s">
        <v>303</v>
      </c>
      <c r="J165" s="71">
        <v>-5.9999999999999796</v>
      </c>
      <c r="K165" s="71" t="s">
        <v>302</v>
      </c>
      <c r="L165" s="71">
        <f t="shared" si="18"/>
        <v>7</v>
      </c>
      <c r="M165" s="71" t="str">
        <f>IFERROR(INDEX(KALENDER!$D$3:$D$132,MATCH(H165,KALENDER!$A$3:$A$132,0)),"Di luar periode")</f>
        <v>WFH</v>
      </c>
      <c r="N165" s="71">
        <f t="shared" si="19"/>
        <v>1</v>
      </c>
      <c r="O165" s="71">
        <f t="shared" si="20"/>
        <v>1</v>
      </c>
      <c r="P165" s="71">
        <f t="shared" si="21"/>
        <v>0</v>
      </c>
      <c r="Q165" s="71">
        <f t="shared" si="22"/>
        <v>1</v>
      </c>
      <c r="R165" s="71">
        <f t="shared" si="23"/>
        <v>0</v>
      </c>
      <c r="S165" s="71">
        <f t="shared" si="24"/>
        <v>0</v>
      </c>
      <c r="T165" s="71">
        <f t="shared" si="25"/>
        <v>0</v>
      </c>
      <c r="U165" s="71">
        <f>IF(AND(N165=1,V165=1),IF(COUNTIFS(AKTIVITAS!$B$2:$B$3052,B165,AKTIVITAS!$E$2:$E$3052,H165)&gt;0,1,0),0)</f>
        <v>1</v>
      </c>
      <c r="V165" s="71">
        <f>IFERROR(IF(AND(H165&gt;=INDEX(PEMAGANG!$J$3:$J$36,MATCH(B165,PEMAGANG!$C$3:$C$36,0)),H165&lt;=INDEX(PEMAGANG!$K$3:$K$36,MATCH(B165,PEMAGANG!$C$3:$C$36,0))),1,0),0)</f>
        <v>1</v>
      </c>
      <c r="W165" s="71">
        <f t="shared" si="26"/>
        <v>1</v>
      </c>
    </row>
    <row r="166" spans="1:23" x14ac:dyDescent="0.2">
      <c r="A166" s="71" t="s">
        <v>249</v>
      </c>
      <c r="B166" s="71" t="s">
        <v>250</v>
      </c>
      <c r="C166" s="71" t="s">
        <v>187</v>
      </c>
      <c r="D166" s="71" t="s">
        <v>220</v>
      </c>
      <c r="E166" s="71" t="s">
        <v>345</v>
      </c>
      <c r="F166" s="71" t="s">
        <v>300</v>
      </c>
      <c r="G166" s="88">
        <v>46225.689305555599</v>
      </c>
      <c r="H166" s="89">
        <v>46225</v>
      </c>
      <c r="I166" s="71" t="s">
        <v>306</v>
      </c>
      <c r="J166" s="71">
        <v>0</v>
      </c>
      <c r="K166" s="71" t="s">
        <v>302</v>
      </c>
      <c r="L166" s="71">
        <f t="shared" si="18"/>
        <v>7</v>
      </c>
      <c r="M166" s="71" t="str">
        <f>IFERROR(INDEX(KALENDER!$D$3:$D$132,MATCH(H166,KALENDER!$A$3:$A$132,0)),"Di luar periode")</f>
        <v>WFH</v>
      </c>
      <c r="N166" s="71">
        <f t="shared" si="19"/>
        <v>0</v>
      </c>
      <c r="O166" s="71">
        <f t="shared" si="20"/>
        <v>1</v>
      </c>
      <c r="P166" s="71">
        <f t="shared" si="21"/>
        <v>0</v>
      </c>
      <c r="Q166" s="71">
        <f t="shared" si="22"/>
        <v>0</v>
      </c>
      <c r="R166" s="71">
        <f t="shared" si="23"/>
        <v>0</v>
      </c>
      <c r="S166" s="71">
        <f t="shared" si="24"/>
        <v>0</v>
      </c>
      <c r="T166" s="71">
        <f t="shared" si="25"/>
        <v>0</v>
      </c>
      <c r="U166" s="71">
        <f>IF(AND(N166=1,V166=1),IF(COUNTIFS(AKTIVITAS!$B$2:$B$3052,B166,AKTIVITAS!$E$2:$E$3052,H166)&gt;0,1,0),0)</f>
        <v>0</v>
      </c>
      <c r="V166" s="71">
        <f>IFERROR(IF(AND(H166&gt;=INDEX(PEMAGANG!$J$3:$J$36,MATCH(B166,PEMAGANG!$C$3:$C$36,0)),H166&lt;=INDEX(PEMAGANG!$K$3:$K$36,MATCH(B166,PEMAGANG!$C$3:$C$36,0))),1,0),0)</f>
        <v>1</v>
      </c>
      <c r="W166" s="71">
        <f t="shared" si="26"/>
        <v>0</v>
      </c>
    </row>
    <row r="167" spans="1:23" x14ac:dyDescent="0.2">
      <c r="A167" s="71" t="s">
        <v>249</v>
      </c>
      <c r="B167" s="71" t="s">
        <v>250</v>
      </c>
      <c r="C167" s="71" t="s">
        <v>187</v>
      </c>
      <c r="D167" s="71" t="s">
        <v>220</v>
      </c>
      <c r="E167" s="71" t="s">
        <v>345</v>
      </c>
      <c r="F167" s="71" t="s">
        <v>298</v>
      </c>
      <c r="G167" s="88">
        <v>46226.309189814798</v>
      </c>
      <c r="H167" s="89">
        <v>46226</v>
      </c>
      <c r="I167" s="71" t="s">
        <v>307</v>
      </c>
      <c r="J167" s="71">
        <v>-4.9999999999999796</v>
      </c>
      <c r="K167" s="71" t="s">
        <v>302</v>
      </c>
      <c r="L167" s="71">
        <f t="shared" si="18"/>
        <v>7</v>
      </c>
      <c r="M167" s="71" t="str">
        <f>IFERROR(INDEX(KALENDER!$D$3:$D$132,MATCH(H167,KALENDER!$A$3:$A$132,0)),"Di luar periode")</f>
        <v>Hari Kerja</v>
      </c>
      <c r="N167" s="71">
        <f t="shared" si="19"/>
        <v>1</v>
      </c>
      <c r="O167" s="71">
        <f t="shared" si="20"/>
        <v>1</v>
      </c>
      <c r="P167" s="71">
        <f t="shared" si="21"/>
        <v>1</v>
      </c>
      <c r="Q167" s="71">
        <f t="shared" si="22"/>
        <v>0</v>
      </c>
      <c r="R167" s="71">
        <f t="shared" si="23"/>
        <v>0</v>
      </c>
      <c r="S167" s="71">
        <f t="shared" si="24"/>
        <v>0</v>
      </c>
      <c r="T167" s="71">
        <f t="shared" si="25"/>
        <v>0</v>
      </c>
      <c r="U167" s="71">
        <f>IF(AND(N167=1,V167=1),IF(COUNTIFS(AKTIVITAS!$B$2:$B$3052,B167,AKTIVITAS!$E$2:$E$3052,H167)&gt;0,1,0),0)</f>
        <v>1</v>
      </c>
      <c r="V167" s="71">
        <f>IFERROR(IF(AND(H167&gt;=INDEX(PEMAGANG!$J$3:$J$36,MATCH(B167,PEMAGANG!$C$3:$C$36,0)),H167&lt;=INDEX(PEMAGANG!$K$3:$K$36,MATCH(B167,PEMAGANG!$C$3:$C$36,0))),1,0),0)</f>
        <v>1</v>
      </c>
      <c r="W167" s="71">
        <f t="shared" si="26"/>
        <v>1</v>
      </c>
    </row>
    <row r="168" spans="1:23" x14ac:dyDescent="0.2">
      <c r="A168" s="71" t="s">
        <v>249</v>
      </c>
      <c r="B168" s="71" t="s">
        <v>250</v>
      </c>
      <c r="C168" s="71" t="s">
        <v>187</v>
      </c>
      <c r="D168" s="71" t="s">
        <v>220</v>
      </c>
      <c r="E168" s="71" t="s">
        <v>345</v>
      </c>
      <c r="F168" s="71" t="s">
        <v>300</v>
      </c>
      <c r="G168" s="88">
        <v>46226.690312500003</v>
      </c>
      <c r="H168" s="89">
        <v>46226</v>
      </c>
      <c r="I168" s="71" t="s">
        <v>314</v>
      </c>
      <c r="J168" s="71">
        <v>0</v>
      </c>
      <c r="K168" s="71" t="s">
        <v>302</v>
      </c>
      <c r="L168" s="71">
        <f t="shared" si="18"/>
        <v>7</v>
      </c>
      <c r="M168" s="71" t="str">
        <f>IFERROR(INDEX(KALENDER!$D$3:$D$132,MATCH(H168,KALENDER!$A$3:$A$132,0)),"Di luar periode")</f>
        <v>Hari Kerja</v>
      </c>
      <c r="N168" s="71">
        <f t="shared" si="19"/>
        <v>0</v>
      </c>
      <c r="O168" s="71">
        <f t="shared" si="20"/>
        <v>1</v>
      </c>
      <c r="P168" s="71">
        <f t="shared" si="21"/>
        <v>0</v>
      </c>
      <c r="Q168" s="71">
        <f t="shared" si="22"/>
        <v>0</v>
      </c>
      <c r="R168" s="71">
        <f t="shared" si="23"/>
        <v>0</v>
      </c>
      <c r="S168" s="71">
        <f t="shared" si="24"/>
        <v>0</v>
      </c>
      <c r="T168" s="71">
        <f t="shared" si="25"/>
        <v>0</v>
      </c>
      <c r="U168" s="71">
        <f>IF(AND(N168=1,V168=1),IF(COUNTIFS(AKTIVITAS!$B$2:$B$3052,B168,AKTIVITAS!$E$2:$E$3052,H168)&gt;0,1,0),0)</f>
        <v>0</v>
      </c>
      <c r="V168" s="71">
        <f>IFERROR(IF(AND(H168&gt;=INDEX(PEMAGANG!$J$3:$J$36,MATCH(B168,PEMAGANG!$C$3:$C$36,0)),H168&lt;=INDEX(PEMAGANG!$K$3:$K$36,MATCH(B168,PEMAGANG!$C$3:$C$36,0))),1,0),0)</f>
        <v>1</v>
      </c>
      <c r="W168" s="71">
        <f t="shared" si="26"/>
        <v>0</v>
      </c>
    </row>
    <row r="169" spans="1:23" x14ac:dyDescent="0.2">
      <c r="A169" s="71" t="s">
        <v>249</v>
      </c>
      <c r="B169" s="71" t="s">
        <v>250</v>
      </c>
      <c r="C169" s="71" t="s">
        <v>187</v>
      </c>
      <c r="D169" s="71" t="s">
        <v>220</v>
      </c>
      <c r="E169" s="71" t="s">
        <v>345</v>
      </c>
      <c r="F169" s="71" t="s">
        <v>298</v>
      </c>
      <c r="G169" s="88">
        <v>46227.310937499999</v>
      </c>
      <c r="H169" s="89">
        <v>46227</v>
      </c>
      <c r="I169" s="71" t="s">
        <v>309</v>
      </c>
      <c r="J169" s="71">
        <v>-2.9999999999999898</v>
      </c>
      <c r="K169" s="71" t="s">
        <v>302</v>
      </c>
      <c r="L169" s="71">
        <f t="shared" si="18"/>
        <v>7</v>
      </c>
      <c r="M169" s="71" t="str">
        <f>IFERROR(INDEX(KALENDER!$D$3:$D$132,MATCH(H169,KALENDER!$A$3:$A$132,0)),"Di luar periode")</f>
        <v>Hari Kerja</v>
      </c>
      <c r="N169" s="71">
        <f t="shared" si="19"/>
        <v>1</v>
      </c>
      <c r="O169" s="71">
        <f t="shared" si="20"/>
        <v>1</v>
      </c>
      <c r="P169" s="71">
        <f t="shared" si="21"/>
        <v>1</v>
      </c>
      <c r="Q169" s="71">
        <f t="shared" si="22"/>
        <v>0</v>
      </c>
      <c r="R169" s="71">
        <f t="shared" si="23"/>
        <v>0</v>
      </c>
      <c r="S169" s="71">
        <f t="shared" si="24"/>
        <v>0</v>
      </c>
      <c r="T169" s="71">
        <f t="shared" si="25"/>
        <v>0</v>
      </c>
      <c r="U169" s="71">
        <f>IF(AND(N169=1,V169=1),IF(COUNTIFS(AKTIVITAS!$B$2:$B$3052,B169,AKTIVITAS!$E$2:$E$3052,H169)&gt;0,1,0),0)</f>
        <v>1</v>
      </c>
      <c r="V169" s="71">
        <f>IFERROR(IF(AND(H169&gt;=INDEX(PEMAGANG!$J$3:$J$36,MATCH(B169,PEMAGANG!$C$3:$C$36,0)),H169&lt;=INDEX(PEMAGANG!$K$3:$K$36,MATCH(B169,PEMAGANG!$C$3:$C$36,0))),1,0),0)</f>
        <v>1</v>
      </c>
      <c r="W169" s="71">
        <f t="shared" si="26"/>
        <v>1</v>
      </c>
    </row>
    <row r="170" spans="1:23" x14ac:dyDescent="0.2">
      <c r="A170" s="71" t="s">
        <v>249</v>
      </c>
      <c r="B170" s="71" t="s">
        <v>250</v>
      </c>
      <c r="C170" s="71" t="s">
        <v>187</v>
      </c>
      <c r="D170" s="71" t="s">
        <v>220</v>
      </c>
      <c r="E170" s="71" t="s">
        <v>345</v>
      </c>
      <c r="F170" s="71" t="s">
        <v>300</v>
      </c>
      <c r="G170" s="88">
        <v>46227.691678240699</v>
      </c>
      <c r="H170" s="89">
        <v>46227</v>
      </c>
      <c r="I170" s="71" t="s">
        <v>344</v>
      </c>
      <c r="J170" s="71">
        <v>0</v>
      </c>
      <c r="K170" s="71" t="s">
        <v>302</v>
      </c>
      <c r="L170" s="71">
        <f t="shared" si="18"/>
        <v>7</v>
      </c>
      <c r="M170" s="71" t="str">
        <f>IFERROR(INDEX(KALENDER!$D$3:$D$132,MATCH(H170,KALENDER!$A$3:$A$132,0)),"Di luar periode")</f>
        <v>Hari Kerja</v>
      </c>
      <c r="N170" s="71">
        <f t="shared" si="19"/>
        <v>0</v>
      </c>
      <c r="O170" s="71">
        <f t="shared" si="20"/>
        <v>1</v>
      </c>
      <c r="P170" s="71">
        <f t="shared" si="21"/>
        <v>0</v>
      </c>
      <c r="Q170" s="71">
        <f t="shared" si="22"/>
        <v>0</v>
      </c>
      <c r="R170" s="71">
        <f t="shared" si="23"/>
        <v>0</v>
      </c>
      <c r="S170" s="71">
        <f t="shared" si="24"/>
        <v>0</v>
      </c>
      <c r="T170" s="71">
        <f t="shared" si="25"/>
        <v>0</v>
      </c>
      <c r="U170" s="71">
        <f>IF(AND(N170=1,V170=1),IF(COUNTIFS(AKTIVITAS!$B$2:$B$3052,B170,AKTIVITAS!$E$2:$E$3052,H170)&gt;0,1,0),0)</f>
        <v>0</v>
      </c>
      <c r="V170" s="71">
        <f>IFERROR(IF(AND(H170&gt;=INDEX(PEMAGANG!$J$3:$J$36,MATCH(B170,PEMAGANG!$C$3:$C$36,0)),H170&lt;=INDEX(PEMAGANG!$K$3:$K$36,MATCH(B170,PEMAGANG!$C$3:$C$36,0))),1,0),0)</f>
        <v>1</v>
      </c>
      <c r="W170" s="71">
        <f t="shared" si="26"/>
        <v>0</v>
      </c>
    </row>
    <row r="171" spans="1:23" x14ac:dyDescent="0.2">
      <c r="A171" s="71" t="s">
        <v>249</v>
      </c>
      <c r="B171" s="71" t="s">
        <v>250</v>
      </c>
      <c r="C171" s="71" t="s">
        <v>187</v>
      </c>
      <c r="D171" s="71" t="s">
        <v>220</v>
      </c>
      <c r="E171" s="71" t="s">
        <v>345</v>
      </c>
      <c r="F171" s="71" t="s">
        <v>298</v>
      </c>
      <c r="G171" s="88">
        <v>46231.308425925898</v>
      </c>
      <c r="H171" s="89">
        <v>46231</v>
      </c>
      <c r="I171" s="71" t="s">
        <v>303</v>
      </c>
      <c r="J171" s="71">
        <v>-5.9999999999999796</v>
      </c>
      <c r="K171" s="71" t="s">
        <v>302</v>
      </c>
      <c r="L171" s="71">
        <f t="shared" si="18"/>
        <v>7</v>
      </c>
      <c r="M171" s="71" t="str">
        <f>IFERROR(INDEX(KALENDER!$D$3:$D$132,MATCH(H171,KALENDER!$A$3:$A$132,0)),"Di luar periode")</f>
        <v>Hari Kerja</v>
      </c>
      <c r="N171" s="71">
        <f t="shared" si="19"/>
        <v>1</v>
      </c>
      <c r="O171" s="71">
        <f t="shared" si="20"/>
        <v>1</v>
      </c>
      <c r="P171" s="71">
        <f t="shared" si="21"/>
        <v>1</v>
      </c>
      <c r="Q171" s="71">
        <f t="shared" si="22"/>
        <v>0</v>
      </c>
      <c r="R171" s="71">
        <f t="shared" si="23"/>
        <v>0</v>
      </c>
      <c r="S171" s="71">
        <f t="shared" si="24"/>
        <v>0</v>
      </c>
      <c r="T171" s="71">
        <f t="shared" si="25"/>
        <v>0</v>
      </c>
      <c r="U171" s="71">
        <f>IF(AND(N171=1,V171=1),IF(COUNTIFS(AKTIVITAS!$B$2:$B$3052,B171,AKTIVITAS!$E$2:$E$3052,H171)&gt;0,1,0),0)</f>
        <v>1</v>
      </c>
      <c r="V171" s="71">
        <f>IFERROR(IF(AND(H171&gt;=INDEX(PEMAGANG!$J$3:$J$36,MATCH(B171,PEMAGANG!$C$3:$C$36,0)),H171&lt;=INDEX(PEMAGANG!$K$3:$K$36,MATCH(B171,PEMAGANG!$C$3:$C$36,0))),1,0),0)</f>
        <v>1</v>
      </c>
      <c r="W171" s="71">
        <f t="shared" si="26"/>
        <v>1</v>
      </c>
    </row>
    <row r="172" spans="1:23" x14ac:dyDescent="0.2">
      <c r="A172" s="71" t="s">
        <v>249</v>
      </c>
      <c r="B172" s="71" t="s">
        <v>250</v>
      </c>
      <c r="C172" s="71" t="s">
        <v>187</v>
      </c>
      <c r="D172" s="71" t="s">
        <v>220</v>
      </c>
      <c r="E172" s="71" t="s">
        <v>345</v>
      </c>
      <c r="F172" s="71" t="s">
        <v>300</v>
      </c>
      <c r="G172" s="88">
        <v>46231.693171296298</v>
      </c>
      <c r="H172" s="89">
        <v>46231</v>
      </c>
      <c r="I172" s="71" t="s">
        <v>317</v>
      </c>
      <c r="J172" s="71">
        <v>0</v>
      </c>
      <c r="K172" s="71" t="s">
        <v>302</v>
      </c>
      <c r="L172" s="71">
        <f t="shared" si="18"/>
        <v>7</v>
      </c>
      <c r="M172" s="71" t="str">
        <f>IFERROR(INDEX(KALENDER!$D$3:$D$132,MATCH(H172,KALENDER!$A$3:$A$132,0)),"Di luar periode")</f>
        <v>Hari Kerja</v>
      </c>
      <c r="N172" s="71">
        <f t="shared" si="19"/>
        <v>0</v>
      </c>
      <c r="O172" s="71">
        <f t="shared" si="20"/>
        <v>1</v>
      </c>
      <c r="P172" s="71">
        <f t="shared" si="21"/>
        <v>0</v>
      </c>
      <c r="Q172" s="71">
        <f t="shared" si="22"/>
        <v>0</v>
      </c>
      <c r="R172" s="71">
        <f t="shared" si="23"/>
        <v>0</v>
      </c>
      <c r="S172" s="71">
        <f t="shared" si="24"/>
        <v>0</v>
      </c>
      <c r="T172" s="71">
        <f t="shared" si="25"/>
        <v>0</v>
      </c>
      <c r="U172" s="71">
        <f>IF(AND(N172=1,V172=1),IF(COUNTIFS(AKTIVITAS!$B$2:$B$3052,B172,AKTIVITAS!$E$2:$E$3052,H172)&gt;0,1,0),0)</f>
        <v>0</v>
      </c>
      <c r="V172" s="71">
        <f>IFERROR(IF(AND(H172&gt;=INDEX(PEMAGANG!$J$3:$J$36,MATCH(B172,PEMAGANG!$C$3:$C$36,0)),H172&lt;=INDEX(PEMAGANG!$K$3:$K$36,MATCH(B172,PEMAGANG!$C$3:$C$36,0))),1,0),0)</f>
        <v>1</v>
      </c>
      <c r="W172" s="71">
        <f t="shared" si="26"/>
        <v>0</v>
      </c>
    </row>
    <row r="173" spans="1:23" x14ac:dyDescent="0.2">
      <c r="A173" s="71" t="s">
        <v>249</v>
      </c>
      <c r="B173" s="71" t="s">
        <v>250</v>
      </c>
      <c r="C173" s="71" t="s">
        <v>187</v>
      </c>
      <c r="D173" s="71" t="s">
        <v>220</v>
      </c>
      <c r="E173" s="71" t="s">
        <v>345</v>
      </c>
      <c r="F173" s="71" t="s">
        <v>298</v>
      </c>
      <c r="G173" s="88">
        <v>46234.310092592597</v>
      </c>
      <c r="H173" s="89">
        <v>46234</v>
      </c>
      <c r="I173" s="71" t="s">
        <v>315</v>
      </c>
      <c r="J173" s="71">
        <v>-3.9999999999999898</v>
      </c>
      <c r="K173" s="71" t="s">
        <v>302</v>
      </c>
      <c r="L173" s="71">
        <f t="shared" si="18"/>
        <v>7</v>
      </c>
      <c r="M173" s="71" t="str">
        <f>IFERROR(INDEX(KALENDER!$D$3:$D$132,MATCH(H173,KALENDER!$A$3:$A$132,0)),"Di luar periode")</f>
        <v>Hari Kerja</v>
      </c>
      <c r="N173" s="71">
        <f t="shared" si="19"/>
        <v>1</v>
      </c>
      <c r="O173" s="71">
        <f t="shared" si="20"/>
        <v>1</v>
      </c>
      <c r="P173" s="71">
        <f t="shared" si="21"/>
        <v>1</v>
      </c>
      <c r="Q173" s="71">
        <f t="shared" si="22"/>
        <v>0</v>
      </c>
      <c r="R173" s="71">
        <f t="shared" si="23"/>
        <v>0</v>
      </c>
      <c r="S173" s="71">
        <f t="shared" si="24"/>
        <v>0</v>
      </c>
      <c r="T173" s="71">
        <f t="shared" si="25"/>
        <v>0</v>
      </c>
      <c r="U173" s="71">
        <f>IF(AND(N173=1,V173=1),IF(COUNTIFS(AKTIVITAS!$B$2:$B$3052,B173,AKTIVITAS!$E$2:$E$3052,H173)&gt;0,1,0),0)</f>
        <v>1</v>
      </c>
      <c r="V173" s="71">
        <f>IFERROR(IF(AND(H173&gt;=INDEX(PEMAGANG!$J$3:$J$36,MATCH(B173,PEMAGANG!$C$3:$C$36,0)),H173&lt;=INDEX(PEMAGANG!$K$3:$K$36,MATCH(B173,PEMAGANG!$C$3:$C$36,0))),1,0),0)</f>
        <v>1</v>
      </c>
      <c r="W173" s="71">
        <f t="shared" si="26"/>
        <v>1</v>
      </c>
    </row>
    <row r="174" spans="1:23" x14ac:dyDescent="0.2">
      <c r="A174" s="71" t="s">
        <v>249</v>
      </c>
      <c r="B174" s="71" t="s">
        <v>250</v>
      </c>
      <c r="C174" s="71" t="s">
        <v>187</v>
      </c>
      <c r="D174" s="71" t="s">
        <v>220</v>
      </c>
      <c r="E174" s="71" t="s">
        <v>345</v>
      </c>
      <c r="F174" s="71" t="s">
        <v>300</v>
      </c>
      <c r="G174" s="88">
        <v>46234.691412036998</v>
      </c>
      <c r="H174" s="89">
        <v>46234</v>
      </c>
      <c r="I174" s="71" t="s">
        <v>310</v>
      </c>
      <c r="J174" s="71">
        <v>0</v>
      </c>
      <c r="K174" s="71" t="s">
        <v>302</v>
      </c>
      <c r="L174" s="71">
        <f t="shared" si="18"/>
        <v>7</v>
      </c>
      <c r="M174" s="71" t="str">
        <f>IFERROR(INDEX(KALENDER!$D$3:$D$132,MATCH(H174,KALENDER!$A$3:$A$132,0)),"Di luar periode")</f>
        <v>Hari Kerja</v>
      </c>
      <c r="N174" s="71">
        <f t="shared" si="19"/>
        <v>0</v>
      </c>
      <c r="O174" s="71">
        <f t="shared" si="20"/>
        <v>1</v>
      </c>
      <c r="P174" s="71">
        <f t="shared" si="21"/>
        <v>0</v>
      </c>
      <c r="Q174" s="71">
        <f t="shared" si="22"/>
        <v>0</v>
      </c>
      <c r="R174" s="71">
        <f t="shared" si="23"/>
        <v>0</v>
      </c>
      <c r="S174" s="71">
        <f t="shared" si="24"/>
        <v>0</v>
      </c>
      <c r="T174" s="71">
        <f t="shared" si="25"/>
        <v>0</v>
      </c>
      <c r="U174" s="71">
        <f>IF(AND(N174=1,V174=1),IF(COUNTIFS(AKTIVITAS!$B$2:$B$3052,B174,AKTIVITAS!$E$2:$E$3052,H174)&gt;0,1,0),0)</f>
        <v>0</v>
      </c>
      <c r="V174" s="71">
        <f>IFERROR(IF(AND(H174&gt;=INDEX(PEMAGANG!$J$3:$J$36,MATCH(B174,PEMAGANG!$C$3:$C$36,0)),H174&lt;=INDEX(PEMAGANG!$K$3:$K$36,MATCH(B174,PEMAGANG!$C$3:$C$36,0))),1,0),0)</f>
        <v>1</v>
      </c>
      <c r="W174" s="71">
        <f t="shared" si="26"/>
        <v>0</v>
      </c>
    </row>
    <row r="175" spans="1:23" x14ac:dyDescent="0.2">
      <c r="A175" s="71" t="s">
        <v>249</v>
      </c>
      <c r="B175" s="71" t="s">
        <v>250</v>
      </c>
      <c r="C175" s="71" t="s">
        <v>187</v>
      </c>
      <c r="D175" s="71" t="s">
        <v>220</v>
      </c>
      <c r="E175" s="71" t="s">
        <v>345</v>
      </c>
      <c r="F175" s="71" t="s">
        <v>298</v>
      </c>
      <c r="G175" s="88">
        <v>46237.309942129599</v>
      </c>
      <c r="H175" s="89">
        <v>46237</v>
      </c>
      <c r="I175" s="71" t="s">
        <v>315</v>
      </c>
      <c r="J175" s="71">
        <v>-3.9999999999999898</v>
      </c>
      <c r="K175" s="71" t="s">
        <v>302</v>
      </c>
      <c r="L175" s="71">
        <f t="shared" si="18"/>
        <v>8</v>
      </c>
      <c r="M175" s="71" t="str">
        <f>IFERROR(INDEX(KALENDER!$D$3:$D$132,MATCH(H175,KALENDER!$A$3:$A$132,0)),"Di luar periode")</f>
        <v>Hari Kerja</v>
      </c>
      <c r="N175" s="71">
        <f t="shared" si="19"/>
        <v>1</v>
      </c>
      <c r="O175" s="71">
        <f t="shared" si="20"/>
        <v>1</v>
      </c>
      <c r="P175" s="71">
        <f t="shared" si="21"/>
        <v>1</v>
      </c>
      <c r="Q175" s="71">
        <f t="shared" si="22"/>
        <v>0</v>
      </c>
      <c r="R175" s="71">
        <f t="shared" si="23"/>
        <v>0</v>
      </c>
      <c r="S175" s="71">
        <f t="shared" si="24"/>
        <v>0</v>
      </c>
      <c r="T175" s="71">
        <f t="shared" si="25"/>
        <v>0</v>
      </c>
      <c r="U175" s="71">
        <f>IF(AND(N175=1,V175=1),IF(COUNTIFS(AKTIVITAS!$B$2:$B$3052,B175,AKTIVITAS!$E$2:$E$3052,H175)&gt;0,1,0),0)</f>
        <v>1</v>
      </c>
      <c r="V175" s="71">
        <f>IFERROR(IF(AND(H175&gt;=INDEX(PEMAGANG!$J$3:$J$36,MATCH(B175,PEMAGANG!$C$3:$C$36,0)),H175&lt;=INDEX(PEMAGANG!$K$3:$K$36,MATCH(B175,PEMAGANG!$C$3:$C$36,0))),1,0),0)</f>
        <v>1</v>
      </c>
      <c r="W175" s="71">
        <f t="shared" si="26"/>
        <v>1</v>
      </c>
    </row>
    <row r="176" spans="1:23" x14ac:dyDescent="0.2">
      <c r="A176" s="71" t="s">
        <v>249</v>
      </c>
      <c r="B176" s="71" t="s">
        <v>250</v>
      </c>
      <c r="C176" s="71" t="s">
        <v>187</v>
      </c>
      <c r="D176" s="71" t="s">
        <v>220</v>
      </c>
      <c r="E176" s="71" t="s">
        <v>345</v>
      </c>
      <c r="F176" s="71" t="s">
        <v>300</v>
      </c>
      <c r="G176" s="88">
        <v>46237.693530092598</v>
      </c>
      <c r="H176" s="89">
        <v>46237</v>
      </c>
      <c r="I176" s="71" t="s">
        <v>317</v>
      </c>
      <c r="J176" s="71">
        <v>0</v>
      </c>
      <c r="K176" s="71" t="s">
        <v>302</v>
      </c>
      <c r="L176" s="71">
        <f t="shared" si="18"/>
        <v>8</v>
      </c>
      <c r="M176" s="71" t="str">
        <f>IFERROR(INDEX(KALENDER!$D$3:$D$132,MATCH(H176,KALENDER!$A$3:$A$132,0)),"Di luar periode")</f>
        <v>Hari Kerja</v>
      </c>
      <c r="N176" s="71">
        <f t="shared" si="19"/>
        <v>0</v>
      </c>
      <c r="O176" s="71">
        <f t="shared" si="20"/>
        <v>1</v>
      </c>
      <c r="P176" s="71">
        <f t="shared" si="21"/>
        <v>0</v>
      </c>
      <c r="Q176" s="71">
        <f t="shared" si="22"/>
        <v>0</v>
      </c>
      <c r="R176" s="71">
        <f t="shared" si="23"/>
        <v>0</v>
      </c>
      <c r="S176" s="71">
        <f t="shared" si="24"/>
        <v>0</v>
      </c>
      <c r="T176" s="71">
        <f t="shared" si="25"/>
        <v>0</v>
      </c>
      <c r="U176" s="71">
        <f>IF(AND(N176=1,V176=1),IF(COUNTIFS(AKTIVITAS!$B$2:$B$3052,B176,AKTIVITAS!$E$2:$E$3052,H176)&gt;0,1,0),0)</f>
        <v>0</v>
      </c>
      <c r="V176" s="71">
        <f>IFERROR(IF(AND(H176&gt;=INDEX(PEMAGANG!$J$3:$J$36,MATCH(B176,PEMAGANG!$C$3:$C$36,0)),H176&lt;=INDEX(PEMAGANG!$K$3:$K$36,MATCH(B176,PEMAGANG!$C$3:$C$36,0))),1,0),0)</f>
        <v>1</v>
      </c>
      <c r="W176" s="71">
        <f t="shared" si="26"/>
        <v>0</v>
      </c>
    </row>
    <row r="177" spans="1:23" x14ac:dyDescent="0.2">
      <c r="A177" s="71" t="s">
        <v>249</v>
      </c>
      <c r="B177" s="71" t="s">
        <v>250</v>
      </c>
      <c r="C177" s="71" t="s">
        <v>187</v>
      </c>
      <c r="D177" s="71" t="s">
        <v>220</v>
      </c>
      <c r="E177" s="71" t="s">
        <v>345</v>
      </c>
      <c r="F177" s="71" t="s">
        <v>298</v>
      </c>
      <c r="G177" s="88">
        <v>46238.3094444444</v>
      </c>
      <c r="H177" s="89">
        <v>46238</v>
      </c>
      <c r="I177" s="71" t="s">
        <v>307</v>
      </c>
      <c r="J177" s="71">
        <v>-4.9999999999999796</v>
      </c>
      <c r="K177" s="71" t="s">
        <v>302</v>
      </c>
      <c r="L177" s="71">
        <f t="shared" si="18"/>
        <v>8</v>
      </c>
      <c r="M177" s="71" t="str">
        <f>IFERROR(INDEX(KALENDER!$D$3:$D$132,MATCH(H177,KALENDER!$A$3:$A$132,0)),"Di luar periode")</f>
        <v>Hari Kerja</v>
      </c>
      <c r="N177" s="71">
        <f t="shared" si="19"/>
        <v>1</v>
      </c>
      <c r="O177" s="71">
        <f t="shared" si="20"/>
        <v>1</v>
      </c>
      <c r="P177" s="71">
        <f t="shared" si="21"/>
        <v>1</v>
      </c>
      <c r="Q177" s="71">
        <f t="shared" si="22"/>
        <v>0</v>
      </c>
      <c r="R177" s="71">
        <f t="shared" si="23"/>
        <v>0</v>
      </c>
      <c r="S177" s="71">
        <f t="shared" si="24"/>
        <v>0</v>
      </c>
      <c r="T177" s="71">
        <f t="shared" si="25"/>
        <v>0</v>
      </c>
      <c r="U177" s="71">
        <f>IF(AND(N177=1,V177=1),IF(COUNTIFS(AKTIVITAS!$B$2:$B$3052,B177,AKTIVITAS!$E$2:$E$3052,H177)&gt;0,1,0),0)</f>
        <v>1</v>
      </c>
      <c r="V177" s="71">
        <f>IFERROR(IF(AND(H177&gt;=INDEX(PEMAGANG!$J$3:$J$36,MATCH(B177,PEMAGANG!$C$3:$C$36,0)),H177&lt;=INDEX(PEMAGANG!$K$3:$K$36,MATCH(B177,PEMAGANG!$C$3:$C$36,0))),1,0),0)</f>
        <v>1</v>
      </c>
      <c r="W177" s="71">
        <f t="shared" si="26"/>
        <v>1</v>
      </c>
    </row>
    <row r="178" spans="1:23" x14ac:dyDescent="0.2">
      <c r="A178" s="71" t="s">
        <v>249</v>
      </c>
      <c r="B178" s="71" t="s">
        <v>250</v>
      </c>
      <c r="C178" s="71" t="s">
        <v>187</v>
      </c>
      <c r="D178" s="71" t="s">
        <v>220</v>
      </c>
      <c r="E178" s="71" t="s">
        <v>345</v>
      </c>
      <c r="F178" s="71" t="s">
        <v>300</v>
      </c>
      <c r="G178" s="88">
        <v>46238.691284722197</v>
      </c>
      <c r="H178" s="89">
        <v>46238</v>
      </c>
      <c r="I178" s="71" t="s">
        <v>310</v>
      </c>
      <c r="J178" s="71">
        <v>0</v>
      </c>
      <c r="K178" s="71" t="s">
        <v>302</v>
      </c>
      <c r="L178" s="71">
        <f t="shared" si="18"/>
        <v>8</v>
      </c>
      <c r="M178" s="71" t="str">
        <f>IFERROR(INDEX(KALENDER!$D$3:$D$132,MATCH(H178,KALENDER!$A$3:$A$132,0)),"Di luar periode")</f>
        <v>Hari Kerja</v>
      </c>
      <c r="N178" s="71">
        <f t="shared" si="19"/>
        <v>0</v>
      </c>
      <c r="O178" s="71">
        <f t="shared" si="20"/>
        <v>1</v>
      </c>
      <c r="P178" s="71">
        <f t="shared" si="21"/>
        <v>0</v>
      </c>
      <c r="Q178" s="71">
        <f t="shared" si="22"/>
        <v>0</v>
      </c>
      <c r="R178" s="71">
        <f t="shared" si="23"/>
        <v>0</v>
      </c>
      <c r="S178" s="71">
        <f t="shared" si="24"/>
        <v>0</v>
      </c>
      <c r="T178" s="71">
        <f t="shared" si="25"/>
        <v>0</v>
      </c>
      <c r="U178" s="71">
        <f>IF(AND(N178=1,V178=1),IF(COUNTIFS(AKTIVITAS!$B$2:$B$3052,B178,AKTIVITAS!$E$2:$E$3052,H178)&gt;0,1,0),0)</f>
        <v>0</v>
      </c>
      <c r="V178" s="71">
        <f>IFERROR(IF(AND(H178&gt;=INDEX(PEMAGANG!$J$3:$J$36,MATCH(B178,PEMAGANG!$C$3:$C$36,0)),H178&lt;=INDEX(PEMAGANG!$K$3:$K$36,MATCH(B178,PEMAGANG!$C$3:$C$36,0))),1,0),0)</f>
        <v>1</v>
      </c>
      <c r="W178" s="71">
        <f t="shared" si="26"/>
        <v>0</v>
      </c>
    </row>
    <row r="179" spans="1:23" x14ac:dyDescent="0.2">
      <c r="A179" s="71" t="s">
        <v>249</v>
      </c>
      <c r="B179" s="71" t="s">
        <v>250</v>
      </c>
      <c r="C179" s="71" t="s">
        <v>187</v>
      </c>
      <c r="D179" s="71" t="s">
        <v>220</v>
      </c>
      <c r="E179" s="71" t="s">
        <v>345</v>
      </c>
      <c r="F179" s="71" t="s">
        <v>298</v>
      </c>
      <c r="G179" s="88">
        <v>46239.309317129599</v>
      </c>
      <c r="H179" s="89">
        <v>46239</v>
      </c>
      <c r="I179" s="71" t="s">
        <v>307</v>
      </c>
      <c r="J179" s="71">
        <v>-4.9999999999999796</v>
      </c>
      <c r="K179" s="71" t="s">
        <v>302</v>
      </c>
      <c r="L179" s="71">
        <f t="shared" si="18"/>
        <v>8</v>
      </c>
      <c r="M179" s="71" t="str">
        <f>IFERROR(INDEX(KALENDER!$D$3:$D$132,MATCH(H179,KALENDER!$A$3:$A$132,0)),"Di luar periode")</f>
        <v>Hari Kerja</v>
      </c>
      <c r="N179" s="71">
        <f t="shared" si="19"/>
        <v>1</v>
      </c>
      <c r="O179" s="71">
        <f t="shared" si="20"/>
        <v>1</v>
      </c>
      <c r="P179" s="71">
        <f t="shared" si="21"/>
        <v>1</v>
      </c>
      <c r="Q179" s="71">
        <f t="shared" si="22"/>
        <v>0</v>
      </c>
      <c r="R179" s="71">
        <f t="shared" si="23"/>
        <v>0</v>
      </c>
      <c r="S179" s="71">
        <f t="shared" si="24"/>
        <v>0</v>
      </c>
      <c r="T179" s="71">
        <f t="shared" si="25"/>
        <v>0</v>
      </c>
      <c r="U179" s="71">
        <f>IF(AND(N179=1,V179=1),IF(COUNTIFS(AKTIVITAS!$B$2:$B$3052,B179,AKTIVITAS!$E$2:$E$3052,H179)&gt;0,1,0),0)</f>
        <v>1</v>
      </c>
      <c r="V179" s="71">
        <f>IFERROR(IF(AND(H179&gt;=INDEX(PEMAGANG!$J$3:$J$36,MATCH(B179,PEMAGANG!$C$3:$C$36,0)),H179&lt;=INDEX(PEMAGANG!$K$3:$K$36,MATCH(B179,PEMAGANG!$C$3:$C$36,0))),1,0),0)</f>
        <v>1</v>
      </c>
      <c r="W179" s="71">
        <f t="shared" si="26"/>
        <v>1</v>
      </c>
    </row>
    <row r="180" spans="1:23" x14ac:dyDescent="0.2">
      <c r="A180" s="71" t="s">
        <v>249</v>
      </c>
      <c r="B180" s="71" t="s">
        <v>250</v>
      </c>
      <c r="C180" s="71" t="s">
        <v>187</v>
      </c>
      <c r="D180" s="71" t="s">
        <v>220</v>
      </c>
      <c r="E180" s="71" t="s">
        <v>345</v>
      </c>
      <c r="F180" s="71" t="s">
        <v>300</v>
      </c>
      <c r="G180" s="88">
        <v>46239.690474536997</v>
      </c>
      <c r="H180" s="89">
        <v>46239</v>
      </c>
      <c r="I180" s="71" t="s">
        <v>314</v>
      </c>
      <c r="J180" s="71">
        <v>0</v>
      </c>
      <c r="K180" s="71" t="s">
        <v>302</v>
      </c>
      <c r="L180" s="71">
        <f t="shared" si="18"/>
        <v>8</v>
      </c>
      <c r="M180" s="71" t="str">
        <f>IFERROR(INDEX(KALENDER!$D$3:$D$132,MATCH(H180,KALENDER!$A$3:$A$132,0)),"Di luar periode")</f>
        <v>Hari Kerja</v>
      </c>
      <c r="N180" s="71">
        <f t="shared" si="19"/>
        <v>0</v>
      </c>
      <c r="O180" s="71">
        <f t="shared" si="20"/>
        <v>1</v>
      </c>
      <c r="P180" s="71">
        <f t="shared" si="21"/>
        <v>0</v>
      </c>
      <c r="Q180" s="71">
        <f t="shared" si="22"/>
        <v>0</v>
      </c>
      <c r="R180" s="71">
        <f t="shared" si="23"/>
        <v>0</v>
      </c>
      <c r="S180" s="71">
        <f t="shared" si="24"/>
        <v>0</v>
      </c>
      <c r="T180" s="71">
        <f t="shared" si="25"/>
        <v>0</v>
      </c>
      <c r="U180" s="71">
        <f>IF(AND(N180=1,V180=1),IF(COUNTIFS(AKTIVITAS!$B$2:$B$3052,B180,AKTIVITAS!$E$2:$E$3052,H180)&gt;0,1,0),0)</f>
        <v>0</v>
      </c>
      <c r="V180" s="71">
        <f>IFERROR(IF(AND(H180&gt;=INDEX(PEMAGANG!$J$3:$J$36,MATCH(B180,PEMAGANG!$C$3:$C$36,0)),H180&lt;=INDEX(PEMAGANG!$K$3:$K$36,MATCH(B180,PEMAGANG!$C$3:$C$36,0))),1,0),0)</f>
        <v>1</v>
      </c>
      <c r="W180" s="71">
        <f t="shared" si="26"/>
        <v>0</v>
      </c>
    </row>
    <row r="181" spans="1:23" x14ac:dyDescent="0.2">
      <c r="A181" s="71" t="s">
        <v>249</v>
      </c>
      <c r="B181" s="71" t="s">
        <v>250</v>
      </c>
      <c r="C181" s="71" t="s">
        <v>187</v>
      </c>
      <c r="D181" s="71" t="s">
        <v>220</v>
      </c>
      <c r="E181" s="71" t="s">
        <v>345</v>
      </c>
      <c r="F181" s="71" t="s">
        <v>298</v>
      </c>
      <c r="G181" s="88">
        <v>46240.309224536999</v>
      </c>
      <c r="H181" s="89">
        <v>46240</v>
      </c>
      <c r="I181" s="71" t="s">
        <v>307</v>
      </c>
      <c r="J181" s="71">
        <v>-4.9999999999999796</v>
      </c>
      <c r="K181" s="71" t="s">
        <v>302</v>
      </c>
      <c r="L181" s="71">
        <f t="shared" si="18"/>
        <v>8</v>
      </c>
      <c r="M181" s="71" t="str">
        <f>IFERROR(INDEX(KALENDER!$D$3:$D$132,MATCH(H181,KALENDER!$A$3:$A$132,0)),"Di luar periode")</f>
        <v>Hari Kerja</v>
      </c>
      <c r="N181" s="71">
        <f t="shared" si="19"/>
        <v>1</v>
      </c>
      <c r="O181" s="71">
        <f t="shared" si="20"/>
        <v>1</v>
      </c>
      <c r="P181" s="71">
        <f t="shared" si="21"/>
        <v>1</v>
      </c>
      <c r="Q181" s="71">
        <f t="shared" si="22"/>
        <v>0</v>
      </c>
      <c r="R181" s="71">
        <f t="shared" si="23"/>
        <v>0</v>
      </c>
      <c r="S181" s="71">
        <f t="shared" si="24"/>
        <v>0</v>
      </c>
      <c r="T181" s="71">
        <f t="shared" si="25"/>
        <v>0</v>
      </c>
      <c r="U181" s="71">
        <f>IF(AND(N181=1,V181=1),IF(COUNTIFS(AKTIVITAS!$B$2:$B$3052,B181,AKTIVITAS!$E$2:$E$3052,H181)&gt;0,1,0),0)</f>
        <v>1</v>
      </c>
      <c r="V181" s="71">
        <f>IFERROR(IF(AND(H181&gt;=INDEX(PEMAGANG!$J$3:$J$36,MATCH(B181,PEMAGANG!$C$3:$C$36,0)),H181&lt;=INDEX(PEMAGANG!$K$3:$K$36,MATCH(B181,PEMAGANG!$C$3:$C$36,0))),1,0),0)</f>
        <v>1</v>
      </c>
      <c r="W181" s="71">
        <f t="shared" si="26"/>
        <v>1</v>
      </c>
    </row>
    <row r="182" spans="1:23" x14ac:dyDescent="0.2">
      <c r="A182" s="71" t="s">
        <v>249</v>
      </c>
      <c r="B182" s="71" t="s">
        <v>250</v>
      </c>
      <c r="C182" s="71" t="s">
        <v>187</v>
      </c>
      <c r="D182" s="71" t="s">
        <v>220</v>
      </c>
      <c r="E182" s="71" t="s">
        <v>345</v>
      </c>
      <c r="F182" s="71" t="s">
        <v>300</v>
      </c>
      <c r="G182" s="88">
        <v>46240.692627314798</v>
      </c>
      <c r="H182" s="89">
        <v>46240</v>
      </c>
      <c r="I182" s="71" t="s">
        <v>328</v>
      </c>
      <c r="J182" s="71">
        <v>0</v>
      </c>
      <c r="K182" s="71" t="s">
        <v>302</v>
      </c>
      <c r="L182" s="71">
        <f t="shared" si="18"/>
        <v>8</v>
      </c>
      <c r="M182" s="71" t="str">
        <f>IFERROR(INDEX(KALENDER!$D$3:$D$132,MATCH(H182,KALENDER!$A$3:$A$132,0)),"Di luar periode")</f>
        <v>Hari Kerja</v>
      </c>
      <c r="N182" s="71">
        <f t="shared" si="19"/>
        <v>0</v>
      </c>
      <c r="O182" s="71">
        <f t="shared" si="20"/>
        <v>1</v>
      </c>
      <c r="P182" s="71">
        <f t="shared" si="21"/>
        <v>0</v>
      </c>
      <c r="Q182" s="71">
        <f t="shared" si="22"/>
        <v>0</v>
      </c>
      <c r="R182" s="71">
        <f t="shared" si="23"/>
        <v>0</v>
      </c>
      <c r="S182" s="71">
        <f t="shared" si="24"/>
        <v>0</v>
      </c>
      <c r="T182" s="71">
        <f t="shared" si="25"/>
        <v>0</v>
      </c>
      <c r="U182" s="71">
        <f>IF(AND(N182=1,V182=1),IF(COUNTIFS(AKTIVITAS!$B$2:$B$3052,B182,AKTIVITAS!$E$2:$E$3052,H182)&gt;0,1,0),0)</f>
        <v>0</v>
      </c>
      <c r="V182" s="71">
        <f>IFERROR(IF(AND(H182&gt;=INDEX(PEMAGANG!$J$3:$J$36,MATCH(B182,PEMAGANG!$C$3:$C$36,0)),H182&lt;=INDEX(PEMAGANG!$K$3:$K$36,MATCH(B182,PEMAGANG!$C$3:$C$36,0))),1,0),0)</f>
        <v>1</v>
      </c>
      <c r="W182" s="71">
        <f t="shared" si="26"/>
        <v>0</v>
      </c>
    </row>
    <row r="183" spans="1:23" x14ac:dyDescent="0.2">
      <c r="A183" s="71" t="s">
        <v>249</v>
      </c>
      <c r="B183" s="71" t="s">
        <v>250</v>
      </c>
      <c r="C183" s="71" t="s">
        <v>187</v>
      </c>
      <c r="D183" s="71" t="s">
        <v>220</v>
      </c>
      <c r="E183" s="71" t="s">
        <v>345</v>
      </c>
      <c r="F183" s="71" t="s">
        <v>298</v>
      </c>
      <c r="G183" s="88">
        <v>46241.310046296298</v>
      </c>
      <c r="H183" s="89">
        <v>46241</v>
      </c>
      <c r="I183" s="71" t="s">
        <v>315</v>
      </c>
      <c r="J183" s="71">
        <v>-3.9999999999999898</v>
      </c>
      <c r="K183" s="71" t="s">
        <v>302</v>
      </c>
      <c r="L183" s="71">
        <f t="shared" si="18"/>
        <v>8</v>
      </c>
      <c r="M183" s="71" t="str">
        <f>IFERROR(INDEX(KALENDER!$D$3:$D$132,MATCH(H183,KALENDER!$A$3:$A$132,0)),"Di luar periode")</f>
        <v>Hari Kerja</v>
      </c>
      <c r="N183" s="71">
        <f t="shared" si="19"/>
        <v>1</v>
      </c>
      <c r="O183" s="71">
        <f t="shared" si="20"/>
        <v>1</v>
      </c>
      <c r="P183" s="71">
        <f t="shared" si="21"/>
        <v>1</v>
      </c>
      <c r="Q183" s="71">
        <f t="shared" si="22"/>
        <v>0</v>
      </c>
      <c r="R183" s="71">
        <f t="shared" si="23"/>
        <v>0</v>
      </c>
      <c r="S183" s="71">
        <f t="shared" si="24"/>
        <v>0</v>
      </c>
      <c r="T183" s="71">
        <f t="shared" si="25"/>
        <v>0</v>
      </c>
      <c r="U183" s="71">
        <f>IF(AND(N183=1,V183=1),IF(COUNTIFS(AKTIVITAS!$B$2:$B$3052,B183,AKTIVITAS!$E$2:$E$3052,H183)&gt;0,1,0),0)</f>
        <v>1</v>
      </c>
      <c r="V183" s="71">
        <f>IFERROR(IF(AND(H183&gt;=INDEX(PEMAGANG!$J$3:$J$36,MATCH(B183,PEMAGANG!$C$3:$C$36,0)),H183&lt;=INDEX(PEMAGANG!$K$3:$K$36,MATCH(B183,PEMAGANG!$C$3:$C$36,0))),1,0),0)</f>
        <v>1</v>
      </c>
      <c r="W183" s="71">
        <f t="shared" si="26"/>
        <v>1</v>
      </c>
    </row>
    <row r="184" spans="1:23" x14ac:dyDescent="0.2">
      <c r="A184" s="71" t="s">
        <v>249</v>
      </c>
      <c r="B184" s="71" t="s">
        <v>250</v>
      </c>
      <c r="C184" s="71" t="s">
        <v>187</v>
      </c>
      <c r="D184" s="71" t="s">
        <v>220</v>
      </c>
      <c r="E184" s="71" t="s">
        <v>345</v>
      </c>
      <c r="F184" s="71" t="s">
        <v>300</v>
      </c>
      <c r="G184" s="88">
        <v>46241.690775463001</v>
      </c>
      <c r="H184" s="89">
        <v>46241</v>
      </c>
      <c r="I184" s="71" t="s">
        <v>314</v>
      </c>
      <c r="J184" s="71">
        <v>0</v>
      </c>
      <c r="K184" s="71" t="s">
        <v>302</v>
      </c>
      <c r="L184" s="71">
        <f t="shared" si="18"/>
        <v>8</v>
      </c>
      <c r="M184" s="71" t="str">
        <f>IFERROR(INDEX(KALENDER!$D$3:$D$132,MATCH(H184,KALENDER!$A$3:$A$132,0)),"Di luar periode")</f>
        <v>Hari Kerja</v>
      </c>
      <c r="N184" s="71">
        <f t="shared" si="19"/>
        <v>0</v>
      </c>
      <c r="O184" s="71">
        <f t="shared" si="20"/>
        <v>1</v>
      </c>
      <c r="P184" s="71">
        <f t="shared" si="21"/>
        <v>0</v>
      </c>
      <c r="Q184" s="71">
        <f t="shared" si="22"/>
        <v>0</v>
      </c>
      <c r="R184" s="71">
        <f t="shared" si="23"/>
        <v>0</v>
      </c>
      <c r="S184" s="71">
        <f t="shared" si="24"/>
        <v>0</v>
      </c>
      <c r="T184" s="71">
        <f t="shared" si="25"/>
        <v>0</v>
      </c>
      <c r="U184" s="71">
        <f>IF(AND(N184=1,V184=1),IF(COUNTIFS(AKTIVITAS!$B$2:$B$3052,B184,AKTIVITAS!$E$2:$E$3052,H184)&gt;0,1,0),0)</f>
        <v>0</v>
      </c>
      <c r="V184" s="71">
        <f>IFERROR(IF(AND(H184&gt;=INDEX(PEMAGANG!$J$3:$J$36,MATCH(B184,PEMAGANG!$C$3:$C$36,0)),H184&lt;=INDEX(PEMAGANG!$K$3:$K$36,MATCH(B184,PEMAGANG!$C$3:$C$36,0))),1,0),0)</f>
        <v>1</v>
      </c>
      <c r="W184" s="71">
        <f t="shared" si="26"/>
        <v>0</v>
      </c>
    </row>
    <row r="185" spans="1:23" x14ac:dyDescent="0.2">
      <c r="A185" s="71" t="s">
        <v>249</v>
      </c>
      <c r="B185" s="71" t="s">
        <v>250</v>
      </c>
      <c r="C185" s="71" t="s">
        <v>187</v>
      </c>
      <c r="D185" s="71" t="s">
        <v>220</v>
      </c>
      <c r="E185" s="71" t="s">
        <v>345</v>
      </c>
      <c r="F185" s="71" t="s">
        <v>298</v>
      </c>
      <c r="G185" s="88">
        <v>46244.309791666703</v>
      </c>
      <c r="H185" s="89">
        <v>46244</v>
      </c>
      <c r="I185" s="71" t="s">
        <v>315</v>
      </c>
      <c r="J185" s="71">
        <v>-3.9999999999999898</v>
      </c>
      <c r="K185" s="71" t="s">
        <v>302</v>
      </c>
      <c r="L185" s="71">
        <f t="shared" si="18"/>
        <v>8</v>
      </c>
      <c r="M185" s="71" t="str">
        <f>IFERROR(INDEX(KALENDER!$D$3:$D$132,MATCH(H185,KALENDER!$A$3:$A$132,0)),"Di luar periode")</f>
        <v>Hari Kerja</v>
      </c>
      <c r="N185" s="71">
        <f t="shared" si="19"/>
        <v>1</v>
      </c>
      <c r="O185" s="71">
        <f t="shared" si="20"/>
        <v>1</v>
      </c>
      <c r="P185" s="71">
        <f t="shared" si="21"/>
        <v>1</v>
      </c>
      <c r="Q185" s="71">
        <f t="shared" si="22"/>
        <v>0</v>
      </c>
      <c r="R185" s="71">
        <f t="shared" si="23"/>
        <v>0</v>
      </c>
      <c r="S185" s="71">
        <f t="shared" si="24"/>
        <v>0</v>
      </c>
      <c r="T185" s="71">
        <f t="shared" si="25"/>
        <v>0</v>
      </c>
      <c r="U185" s="71">
        <f>IF(AND(N185=1,V185=1),IF(COUNTIFS(AKTIVITAS!$B$2:$B$3052,B185,AKTIVITAS!$E$2:$E$3052,H185)&gt;0,1,0),0)</f>
        <v>1</v>
      </c>
      <c r="V185" s="71">
        <f>IFERROR(IF(AND(H185&gt;=INDEX(PEMAGANG!$J$3:$J$36,MATCH(B185,PEMAGANG!$C$3:$C$36,0)),H185&lt;=INDEX(PEMAGANG!$K$3:$K$36,MATCH(B185,PEMAGANG!$C$3:$C$36,0))),1,0),0)</f>
        <v>1</v>
      </c>
      <c r="W185" s="71">
        <f t="shared" si="26"/>
        <v>1</v>
      </c>
    </row>
    <row r="186" spans="1:23" x14ac:dyDescent="0.2">
      <c r="A186" s="71" t="s">
        <v>249</v>
      </c>
      <c r="B186" s="71" t="s">
        <v>250</v>
      </c>
      <c r="C186" s="71" t="s">
        <v>187</v>
      </c>
      <c r="D186" s="71" t="s">
        <v>220</v>
      </c>
      <c r="E186" s="71" t="s">
        <v>345</v>
      </c>
      <c r="F186" s="71" t="s">
        <v>300</v>
      </c>
      <c r="G186" s="88">
        <v>46244.691493055601</v>
      </c>
      <c r="H186" s="89">
        <v>46244</v>
      </c>
      <c r="I186" s="71" t="s">
        <v>310</v>
      </c>
      <c r="J186" s="71">
        <v>0</v>
      </c>
      <c r="K186" s="71" t="s">
        <v>302</v>
      </c>
      <c r="L186" s="71">
        <f t="shared" si="18"/>
        <v>8</v>
      </c>
      <c r="M186" s="71" t="str">
        <f>IFERROR(INDEX(KALENDER!$D$3:$D$132,MATCH(H186,KALENDER!$A$3:$A$132,0)),"Di luar periode")</f>
        <v>Hari Kerja</v>
      </c>
      <c r="N186" s="71">
        <f t="shared" si="19"/>
        <v>0</v>
      </c>
      <c r="O186" s="71">
        <f t="shared" si="20"/>
        <v>1</v>
      </c>
      <c r="P186" s="71">
        <f t="shared" si="21"/>
        <v>0</v>
      </c>
      <c r="Q186" s="71">
        <f t="shared" si="22"/>
        <v>0</v>
      </c>
      <c r="R186" s="71">
        <f t="shared" si="23"/>
        <v>0</v>
      </c>
      <c r="S186" s="71">
        <f t="shared" si="24"/>
        <v>0</v>
      </c>
      <c r="T186" s="71">
        <f t="shared" si="25"/>
        <v>0</v>
      </c>
      <c r="U186" s="71">
        <f>IF(AND(N186=1,V186=1),IF(COUNTIFS(AKTIVITAS!$B$2:$B$3052,B186,AKTIVITAS!$E$2:$E$3052,H186)&gt;0,1,0),0)</f>
        <v>0</v>
      </c>
      <c r="V186" s="71">
        <f>IFERROR(IF(AND(H186&gt;=INDEX(PEMAGANG!$J$3:$J$36,MATCH(B186,PEMAGANG!$C$3:$C$36,0)),H186&lt;=INDEX(PEMAGANG!$K$3:$K$36,MATCH(B186,PEMAGANG!$C$3:$C$36,0))),1,0),0)</f>
        <v>1</v>
      </c>
      <c r="W186" s="71">
        <f t="shared" si="26"/>
        <v>0</v>
      </c>
    </row>
    <row r="187" spans="1:23" x14ac:dyDescent="0.2">
      <c r="A187" s="71" t="s">
        <v>249</v>
      </c>
      <c r="B187" s="71" t="s">
        <v>250</v>
      </c>
      <c r="C187" s="71" t="s">
        <v>187</v>
      </c>
      <c r="D187" s="71" t="s">
        <v>220</v>
      </c>
      <c r="E187" s="71" t="s">
        <v>345</v>
      </c>
      <c r="F187" s="71" t="s">
        <v>298</v>
      </c>
      <c r="G187" s="88">
        <v>46245.3105208333</v>
      </c>
      <c r="H187" s="89">
        <v>46245</v>
      </c>
      <c r="I187" s="71" t="s">
        <v>309</v>
      </c>
      <c r="J187" s="71">
        <v>-2.9999999999999898</v>
      </c>
      <c r="K187" s="71" t="s">
        <v>302</v>
      </c>
      <c r="L187" s="71">
        <f t="shared" si="18"/>
        <v>8</v>
      </c>
      <c r="M187" s="71" t="str">
        <f>IFERROR(INDEX(KALENDER!$D$3:$D$132,MATCH(H187,KALENDER!$A$3:$A$132,0)),"Di luar periode")</f>
        <v>Hari Kerja</v>
      </c>
      <c r="N187" s="71">
        <f t="shared" si="19"/>
        <v>1</v>
      </c>
      <c r="O187" s="71">
        <f t="shared" si="20"/>
        <v>1</v>
      </c>
      <c r="P187" s="71">
        <f t="shared" si="21"/>
        <v>1</v>
      </c>
      <c r="Q187" s="71">
        <f t="shared" si="22"/>
        <v>0</v>
      </c>
      <c r="R187" s="71">
        <f t="shared" si="23"/>
        <v>0</v>
      </c>
      <c r="S187" s="71">
        <f t="shared" si="24"/>
        <v>0</v>
      </c>
      <c r="T187" s="71">
        <f t="shared" si="25"/>
        <v>0</v>
      </c>
      <c r="U187" s="71">
        <f>IF(AND(N187=1,V187=1),IF(COUNTIFS(AKTIVITAS!$B$2:$B$3052,B187,AKTIVITAS!$E$2:$E$3052,H187)&gt;0,1,0),0)</f>
        <v>1</v>
      </c>
      <c r="V187" s="71">
        <f>IFERROR(IF(AND(H187&gt;=INDEX(PEMAGANG!$J$3:$J$36,MATCH(B187,PEMAGANG!$C$3:$C$36,0)),H187&lt;=INDEX(PEMAGANG!$K$3:$K$36,MATCH(B187,PEMAGANG!$C$3:$C$36,0))),1,0),0)</f>
        <v>1</v>
      </c>
      <c r="W187" s="71">
        <f t="shared" si="26"/>
        <v>1</v>
      </c>
    </row>
    <row r="188" spans="1:23" x14ac:dyDescent="0.2">
      <c r="A188" s="71" t="s">
        <v>249</v>
      </c>
      <c r="B188" s="71" t="s">
        <v>250</v>
      </c>
      <c r="C188" s="71" t="s">
        <v>187</v>
      </c>
      <c r="D188" s="71" t="s">
        <v>220</v>
      </c>
      <c r="E188" s="71" t="s">
        <v>345</v>
      </c>
      <c r="F188" s="71" t="s">
        <v>300</v>
      </c>
      <c r="G188" s="88">
        <v>46245.692696759303</v>
      </c>
      <c r="H188" s="89">
        <v>46245</v>
      </c>
      <c r="I188" s="71" t="s">
        <v>328</v>
      </c>
      <c r="J188" s="71">
        <v>0</v>
      </c>
      <c r="K188" s="71" t="s">
        <v>302</v>
      </c>
      <c r="L188" s="71">
        <f t="shared" si="18"/>
        <v>8</v>
      </c>
      <c r="M188" s="71" t="str">
        <f>IFERROR(INDEX(KALENDER!$D$3:$D$132,MATCH(H188,KALENDER!$A$3:$A$132,0)),"Di luar periode")</f>
        <v>Hari Kerja</v>
      </c>
      <c r="N188" s="71">
        <f t="shared" si="19"/>
        <v>0</v>
      </c>
      <c r="O188" s="71">
        <f t="shared" si="20"/>
        <v>1</v>
      </c>
      <c r="P188" s="71">
        <f t="shared" si="21"/>
        <v>0</v>
      </c>
      <c r="Q188" s="71">
        <f t="shared" si="22"/>
        <v>0</v>
      </c>
      <c r="R188" s="71">
        <f t="shared" si="23"/>
        <v>0</v>
      </c>
      <c r="S188" s="71">
        <f t="shared" si="24"/>
        <v>0</v>
      </c>
      <c r="T188" s="71">
        <f t="shared" si="25"/>
        <v>0</v>
      </c>
      <c r="U188" s="71">
        <f>IF(AND(N188=1,V188=1),IF(COUNTIFS(AKTIVITAS!$B$2:$B$3052,B188,AKTIVITAS!$E$2:$E$3052,H188)&gt;0,1,0),0)</f>
        <v>0</v>
      </c>
      <c r="V188" s="71">
        <f>IFERROR(IF(AND(H188&gt;=INDEX(PEMAGANG!$J$3:$J$36,MATCH(B188,PEMAGANG!$C$3:$C$36,0)),H188&lt;=INDEX(PEMAGANG!$K$3:$K$36,MATCH(B188,PEMAGANG!$C$3:$C$36,0))),1,0),0)</f>
        <v>1</v>
      </c>
      <c r="W188" s="71">
        <f t="shared" si="26"/>
        <v>0</v>
      </c>
    </row>
    <row r="189" spans="1:23" x14ac:dyDescent="0.2">
      <c r="A189" s="71" t="s">
        <v>249</v>
      </c>
      <c r="B189" s="71" t="s">
        <v>250</v>
      </c>
      <c r="C189" s="71" t="s">
        <v>187</v>
      </c>
      <c r="D189" s="71" t="s">
        <v>220</v>
      </c>
      <c r="E189" s="71" t="s">
        <v>345</v>
      </c>
      <c r="F189" s="71" t="s">
        <v>298</v>
      </c>
      <c r="G189" s="88">
        <v>46246.309363425898</v>
      </c>
      <c r="H189" s="89">
        <v>46246</v>
      </c>
      <c r="I189" s="71" t="s">
        <v>307</v>
      </c>
      <c r="J189" s="71">
        <v>-4.9999999999999796</v>
      </c>
      <c r="K189" s="71" t="s">
        <v>302</v>
      </c>
      <c r="L189" s="71">
        <f t="shared" si="18"/>
        <v>8</v>
      </c>
      <c r="M189" s="71" t="str">
        <f>IFERROR(INDEX(KALENDER!$D$3:$D$132,MATCH(H189,KALENDER!$A$3:$A$132,0)),"Di luar periode")</f>
        <v>Hari Kerja</v>
      </c>
      <c r="N189" s="71">
        <f t="shared" si="19"/>
        <v>1</v>
      </c>
      <c r="O189" s="71">
        <f t="shared" si="20"/>
        <v>1</v>
      </c>
      <c r="P189" s="71">
        <f t="shared" si="21"/>
        <v>1</v>
      </c>
      <c r="Q189" s="71">
        <f t="shared" si="22"/>
        <v>0</v>
      </c>
      <c r="R189" s="71">
        <f t="shared" si="23"/>
        <v>0</v>
      </c>
      <c r="S189" s="71">
        <f t="shared" si="24"/>
        <v>0</v>
      </c>
      <c r="T189" s="71">
        <f t="shared" si="25"/>
        <v>0</v>
      </c>
      <c r="U189" s="71">
        <f>IF(AND(N189=1,V189=1),IF(COUNTIFS(AKTIVITAS!$B$2:$B$3052,B189,AKTIVITAS!$E$2:$E$3052,H189)&gt;0,1,0),0)</f>
        <v>1</v>
      </c>
      <c r="V189" s="71">
        <f>IFERROR(IF(AND(H189&gt;=INDEX(PEMAGANG!$J$3:$J$36,MATCH(B189,PEMAGANG!$C$3:$C$36,0)),H189&lt;=INDEX(PEMAGANG!$K$3:$K$36,MATCH(B189,PEMAGANG!$C$3:$C$36,0))),1,0),0)</f>
        <v>1</v>
      </c>
      <c r="W189" s="71">
        <f t="shared" si="26"/>
        <v>1</v>
      </c>
    </row>
    <row r="190" spans="1:23" x14ac:dyDescent="0.2">
      <c r="A190" s="71" t="s">
        <v>249</v>
      </c>
      <c r="B190" s="71" t="s">
        <v>250</v>
      </c>
      <c r="C190" s="71" t="s">
        <v>187</v>
      </c>
      <c r="D190" s="71" t="s">
        <v>220</v>
      </c>
      <c r="E190" s="71" t="s">
        <v>345</v>
      </c>
      <c r="F190" s="71" t="s">
        <v>300</v>
      </c>
      <c r="G190" s="88">
        <v>46246.692048611098</v>
      </c>
      <c r="H190" s="89">
        <v>46246</v>
      </c>
      <c r="I190" s="71" t="s">
        <v>344</v>
      </c>
      <c r="J190" s="71">
        <v>0</v>
      </c>
      <c r="K190" s="71" t="s">
        <v>302</v>
      </c>
      <c r="L190" s="71">
        <f t="shared" si="18"/>
        <v>8</v>
      </c>
      <c r="M190" s="71" t="str">
        <f>IFERROR(INDEX(KALENDER!$D$3:$D$132,MATCH(H190,KALENDER!$A$3:$A$132,0)),"Di luar periode")</f>
        <v>Hari Kerja</v>
      </c>
      <c r="N190" s="71">
        <f t="shared" si="19"/>
        <v>0</v>
      </c>
      <c r="O190" s="71">
        <f t="shared" si="20"/>
        <v>1</v>
      </c>
      <c r="P190" s="71">
        <f t="shared" si="21"/>
        <v>0</v>
      </c>
      <c r="Q190" s="71">
        <f t="shared" si="22"/>
        <v>0</v>
      </c>
      <c r="R190" s="71">
        <f t="shared" si="23"/>
        <v>0</v>
      </c>
      <c r="S190" s="71">
        <f t="shared" si="24"/>
        <v>0</v>
      </c>
      <c r="T190" s="71">
        <f t="shared" si="25"/>
        <v>0</v>
      </c>
      <c r="U190" s="71">
        <f>IF(AND(N190=1,V190=1),IF(COUNTIFS(AKTIVITAS!$B$2:$B$3052,B190,AKTIVITAS!$E$2:$E$3052,H190)&gt;0,1,0),0)</f>
        <v>0</v>
      </c>
      <c r="V190" s="71">
        <f>IFERROR(IF(AND(H190&gt;=INDEX(PEMAGANG!$J$3:$J$36,MATCH(B190,PEMAGANG!$C$3:$C$36,0)),H190&lt;=INDEX(PEMAGANG!$K$3:$K$36,MATCH(B190,PEMAGANG!$C$3:$C$36,0))),1,0),0)</f>
        <v>1</v>
      </c>
      <c r="W190" s="71">
        <f t="shared" si="26"/>
        <v>0</v>
      </c>
    </row>
    <row r="191" spans="1:23" x14ac:dyDescent="0.2">
      <c r="A191" s="71" t="s">
        <v>249</v>
      </c>
      <c r="B191" s="71" t="s">
        <v>250</v>
      </c>
      <c r="C191" s="71" t="s">
        <v>187</v>
      </c>
      <c r="D191" s="71" t="s">
        <v>220</v>
      </c>
      <c r="E191" s="71" t="s">
        <v>345</v>
      </c>
      <c r="F191" s="71" t="s">
        <v>298</v>
      </c>
      <c r="G191" s="88">
        <v>46247.3109722222</v>
      </c>
      <c r="H191" s="89">
        <v>46247</v>
      </c>
      <c r="I191" s="71" t="s">
        <v>309</v>
      </c>
      <c r="J191" s="71">
        <v>-2.9999999999999898</v>
      </c>
      <c r="K191" s="71" t="s">
        <v>302</v>
      </c>
      <c r="L191" s="71">
        <f t="shared" si="18"/>
        <v>8</v>
      </c>
      <c r="M191" s="71" t="str">
        <f>IFERROR(INDEX(KALENDER!$D$3:$D$132,MATCH(H191,KALENDER!$A$3:$A$132,0)),"Di luar periode")</f>
        <v>Hari Kerja</v>
      </c>
      <c r="N191" s="71">
        <f t="shared" si="19"/>
        <v>1</v>
      </c>
      <c r="O191" s="71">
        <f t="shared" si="20"/>
        <v>1</v>
      </c>
      <c r="P191" s="71">
        <f t="shared" si="21"/>
        <v>1</v>
      </c>
      <c r="Q191" s="71">
        <f t="shared" si="22"/>
        <v>0</v>
      </c>
      <c r="R191" s="71">
        <f t="shared" si="23"/>
        <v>0</v>
      </c>
      <c r="S191" s="71">
        <f t="shared" si="24"/>
        <v>0</v>
      </c>
      <c r="T191" s="71">
        <f t="shared" si="25"/>
        <v>0</v>
      </c>
      <c r="U191" s="71">
        <f>IF(AND(N191=1,V191=1),IF(COUNTIFS(AKTIVITAS!$B$2:$B$3052,B191,AKTIVITAS!$E$2:$E$3052,H191)&gt;0,1,0),0)</f>
        <v>1</v>
      </c>
      <c r="V191" s="71">
        <f>IFERROR(IF(AND(H191&gt;=INDEX(PEMAGANG!$J$3:$J$36,MATCH(B191,PEMAGANG!$C$3:$C$36,0)),H191&lt;=INDEX(PEMAGANG!$K$3:$K$36,MATCH(B191,PEMAGANG!$C$3:$C$36,0))),1,0),0)</f>
        <v>1</v>
      </c>
      <c r="W191" s="71">
        <f t="shared" si="26"/>
        <v>1</v>
      </c>
    </row>
    <row r="192" spans="1:23" x14ac:dyDescent="0.2">
      <c r="A192" s="71" t="s">
        <v>249</v>
      </c>
      <c r="B192" s="71" t="s">
        <v>250</v>
      </c>
      <c r="C192" s="71" t="s">
        <v>187</v>
      </c>
      <c r="D192" s="71" t="s">
        <v>220</v>
      </c>
      <c r="E192" s="71" t="s">
        <v>345</v>
      </c>
      <c r="F192" s="71" t="s">
        <v>300</v>
      </c>
      <c r="G192" s="88">
        <v>46247.690358796302</v>
      </c>
      <c r="H192" s="89">
        <v>46247</v>
      </c>
      <c r="I192" s="71" t="s">
        <v>314</v>
      </c>
      <c r="J192" s="71">
        <v>0</v>
      </c>
      <c r="K192" s="71" t="s">
        <v>302</v>
      </c>
      <c r="L192" s="71">
        <f t="shared" si="18"/>
        <v>8</v>
      </c>
      <c r="M192" s="71" t="str">
        <f>IFERROR(INDEX(KALENDER!$D$3:$D$132,MATCH(H192,KALENDER!$A$3:$A$132,0)),"Di luar periode")</f>
        <v>Hari Kerja</v>
      </c>
      <c r="N192" s="71">
        <f t="shared" si="19"/>
        <v>0</v>
      </c>
      <c r="O192" s="71">
        <f t="shared" si="20"/>
        <v>1</v>
      </c>
      <c r="P192" s="71">
        <f t="shared" si="21"/>
        <v>0</v>
      </c>
      <c r="Q192" s="71">
        <f t="shared" si="22"/>
        <v>0</v>
      </c>
      <c r="R192" s="71">
        <f t="shared" si="23"/>
        <v>0</v>
      </c>
      <c r="S192" s="71">
        <f t="shared" si="24"/>
        <v>0</v>
      </c>
      <c r="T192" s="71">
        <f t="shared" si="25"/>
        <v>0</v>
      </c>
      <c r="U192" s="71">
        <f>IF(AND(N192=1,V192=1),IF(COUNTIFS(AKTIVITAS!$B$2:$B$3052,B192,AKTIVITAS!$E$2:$E$3052,H192)&gt;0,1,0),0)</f>
        <v>0</v>
      </c>
      <c r="V192" s="71">
        <f>IFERROR(IF(AND(H192&gt;=INDEX(PEMAGANG!$J$3:$J$36,MATCH(B192,PEMAGANG!$C$3:$C$36,0)),H192&lt;=INDEX(PEMAGANG!$K$3:$K$36,MATCH(B192,PEMAGANG!$C$3:$C$36,0))),1,0),0)</f>
        <v>1</v>
      </c>
      <c r="W192" s="71">
        <f t="shared" si="26"/>
        <v>0</v>
      </c>
    </row>
    <row r="193" spans="1:23" x14ac:dyDescent="0.2">
      <c r="A193" s="71" t="s">
        <v>249</v>
      </c>
      <c r="B193" s="71" t="s">
        <v>250</v>
      </c>
      <c r="C193" s="71" t="s">
        <v>187</v>
      </c>
      <c r="D193" s="71" t="s">
        <v>220</v>
      </c>
      <c r="E193" s="71" t="s">
        <v>345</v>
      </c>
      <c r="F193" s="71" t="s">
        <v>298</v>
      </c>
      <c r="G193" s="88">
        <v>46248.310034722199</v>
      </c>
      <c r="H193" s="89">
        <v>46248</v>
      </c>
      <c r="I193" s="71" t="s">
        <v>315</v>
      </c>
      <c r="J193" s="71">
        <v>-3.9999999999999898</v>
      </c>
      <c r="K193" s="71" t="s">
        <v>302</v>
      </c>
      <c r="L193" s="71">
        <f t="shared" si="18"/>
        <v>8</v>
      </c>
      <c r="M193" s="71" t="str">
        <f>IFERROR(INDEX(KALENDER!$D$3:$D$132,MATCH(H193,KALENDER!$A$3:$A$132,0)),"Di luar periode")</f>
        <v>Hari Kerja</v>
      </c>
      <c r="N193" s="71">
        <f t="shared" si="19"/>
        <v>1</v>
      </c>
      <c r="O193" s="71">
        <f t="shared" si="20"/>
        <v>1</v>
      </c>
      <c r="P193" s="71">
        <f t="shared" si="21"/>
        <v>1</v>
      </c>
      <c r="Q193" s="71">
        <f t="shared" si="22"/>
        <v>0</v>
      </c>
      <c r="R193" s="71">
        <f t="shared" si="23"/>
        <v>0</v>
      </c>
      <c r="S193" s="71">
        <f t="shared" si="24"/>
        <v>0</v>
      </c>
      <c r="T193" s="71">
        <f t="shared" si="25"/>
        <v>0</v>
      </c>
      <c r="U193" s="71">
        <f>IF(AND(N193=1,V193=1),IF(COUNTIFS(AKTIVITAS!$B$2:$B$3052,B193,AKTIVITAS!$E$2:$E$3052,H193)&gt;0,1,0),0)</f>
        <v>1</v>
      </c>
      <c r="V193" s="71">
        <f>IFERROR(IF(AND(H193&gt;=INDEX(PEMAGANG!$J$3:$J$36,MATCH(B193,PEMAGANG!$C$3:$C$36,0)),H193&lt;=INDEX(PEMAGANG!$K$3:$K$36,MATCH(B193,PEMAGANG!$C$3:$C$36,0))),1,0),0)</f>
        <v>1</v>
      </c>
      <c r="W193" s="71">
        <f t="shared" si="26"/>
        <v>1</v>
      </c>
    </row>
    <row r="194" spans="1:23" x14ac:dyDescent="0.2">
      <c r="A194" s="71" t="s">
        <v>249</v>
      </c>
      <c r="B194" s="71" t="s">
        <v>250</v>
      </c>
      <c r="C194" s="71" t="s">
        <v>187</v>
      </c>
      <c r="D194" s="71" t="s">
        <v>220</v>
      </c>
      <c r="E194" s="71" t="s">
        <v>345</v>
      </c>
      <c r="F194" s="71" t="s">
        <v>300</v>
      </c>
      <c r="G194" s="88">
        <v>46248.690833333298</v>
      </c>
      <c r="H194" s="89">
        <v>46248</v>
      </c>
      <c r="I194" s="71" t="s">
        <v>314</v>
      </c>
      <c r="J194" s="71">
        <v>0</v>
      </c>
      <c r="K194" s="71" t="s">
        <v>302</v>
      </c>
      <c r="L194" s="71">
        <f t="shared" ref="L194:L257" si="27">MONTH(H194)</f>
        <v>8</v>
      </c>
      <c r="M194" s="71" t="str">
        <f>IFERROR(INDEX(KALENDER!$D$3:$D$132,MATCH(H194,KALENDER!$A$3:$A$132,0)),"Di luar periode")</f>
        <v>Hari Kerja</v>
      </c>
      <c r="N194" s="71">
        <f t="shared" ref="N194:N257" si="28">IF(AND(B194=B193,H194=H193),0,1)</f>
        <v>0</v>
      </c>
      <c r="O194" s="71">
        <f t="shared" ref="O194:O257" si="29">IF(N194=1,0,O193)+IF(F194="MASUK",1,0)</f>
        <v>1</v>
      </c>
      <c r="P194" s="71">
        <f t="shared" ref="P194:P257" si="30">IF(AND(N194=1,M194="Hari Kerja",V194=1),1,0)</f>
        <v>0</v>
      </c>
      <c r="Q194" s="71">
        <f t="shared" ref="Q194:Q257" si="31">IF(AND(N194=1,OR(M194&lt;&gt;"Hari Kerja",V194=0)),1,0)</f>
        <v>0</v>
      </c>
      <c r="R194" s="71">
        <f t="shared" ref="R194:R257" si="32">IF(AND(F194="MASUK",O194=1,N(J194)&gt;0,V194=1),1,0)</f>
        <v>0</v>
      </c>
      <c r="S194" s="71">
        <f t="shared" ref="S194:S257" si="33">R194*N(J194)</f>
        <v>0</v>
      </c>
      <c r="T194" s="71">
        <f t="shared" ref="T194:T257" si="34">IF(AND(N194=1,V194=1),IF(AND(COUNTIFS($B$2:$B$4094,B194,$H$2:$H$4094,H194,$F$2:$F$4094,"MASUK")&gt;0,COUNTIFS($B$2:$B$4094,B194,$H$2:$H$4094,H194,$F$2:$F$4094,"PULANG")=0),1,0),0)</f>
        <v>0</v>
      </c>
      <c r="U194" s="71">
        <f>IF(AND(N194=1,V194=1),IF(COUNTIFS(AKTIVITAS!$B$2:$B$3052,B194,AKTIVITAS!$E$2:$E$3052,H194)&gt;0,1,0),0)</f>
        <v>0</v>
      </c>
      <c r="V194" s="71">
        <f>IFERROR(IF(AND(H194&gt;=INDEX(PEMAGANG!$J$3:$J$36,MATCH(B194,PEMAGANG!$C$3:$C$36,0)),H194&lt;=INDEX(PEMAGANG!$K$3:$K$36,MATCH(B194,PEMAGANG!$C$3:$C$36,0))),1,0),0)</f>
        <v>1</v>
      </c>
      <c r="W194" s="71">
        <f t="shared" ref="W194:W257" si="35">N194*V194</f>
        <v>0</v>
      </c>
    </row>
    <row r="195" spans="1:23" x14ac:dyDescent="0.2">
      <c r="A195" s="71" t="s">
        <v>249</v>
      </c>
      <c r="B195" s="71" t="s">
        <v>250</v>
      </c>
      <c r="C195" s="71" t="s">
        <v>187</v>
      </c>
      <c r="D195" s="71" t="s">
        <v>220</v>
      </c>
      <c r="E195" s="71" t="s">
        <v>345</v>
      </c>
      <c r="F195" s="71" t="s">
        <v>298</v>
      </c>
      <c r="G195" s="88">
        <v>46252.310497685197</v>
      </c>
      <c r="H195" s="89">
        <v>46252</v>
      </c>
      <c r="I195" s="71" t="s">
        <v>309</v>
      </c>
      <c r="J195" s="71">
        <v>-2.9999999999999898</v>
      </c>
      <c r="K195" s="71" t="s">
        <v>302</v>
      </c>
      <c r="L195" s="71">
        <f t="shared" si="27"/>
        <v>8</v>
      </c>
      <c r="M195" s="71" t="str">
        <f>IFERROR(INDEX(KALENDER!$D$3:$D$132,MATCH(H195,KALENDER!$A$3:$A$132,0)),"Di luar periode")</f>
        <v>Hari Kerja</v>
      </c>
      <c r="N195" s="71">
        <f t="shared" si="28"/>
        <v>1</v>
      </c>
      <c r="O195" s="71">
        <f t="shared" si="29"/>
        <v>1</v>
      </c>
      <c r="P195" s="71">
        <f t="shared" si="30"/>
        <v>1</v>
      </c>
      <c r="Q195" s="71">
        <f t="shared" si="31"/>
        <v>0</v>
      </c>
      <c r="R195" s="71">
        <f t="shared" si="32"/>
        <v>0</v>
      </c>
      <c r="S195" s="71">
        <f t="shared" si="33"/>
        <v>0</v>
      </c>
      <c r="T195" s="71">
        <f t="shared" si="34"/>
        <v>0</v>
      </c>
      <c r="U195" s="71">
        <f>IF(AND(N195=1,V195=1),IF(COUNTIFS(AKTIVITAS!$B$2:$B$3052,B195,AKTIVITAS!$E$2:$E$3052,H195)&gt;0,1,0),0)</f>
        <v>1</v>
      </c>
      <c r="V195" s="71">
        <f>IFERROR(IF(AND(H195&gt;=INDEX(PEMAGANG!$J$3:$J$36,MATCH(B195,PEMAGANG!$C$3:$C$36,0)),H195&lt;=INDEX(PEMAGANG!$K$3:$K$36,MATCH(B195,PEMAGANG!$C$3:$C$36,0))),1,0),0)</f>
        <v>1</v>
      </c>
      <c r="W195" s="71">
        <f t="shared" si="35"/>
        <v>1</v>
      </c>
    </row>
    <row r="196" spans="1:23" x14ac:dyDescent="0.2">
      <c r="A196" s="71" t="s">
        <v>249</v>
      </c>
      <c r="B196" s="71" t="s">
        <v>250</v>
      </c>
      <c r="C196" s="71" t="s">
        <v>187</v>
      </c>
      <c r="D196" s="71" t="s">
        <v>220</v>
      </c>
      <c r="E196" s="71" t="s">
        <v>345</v>
      </c>
      <c r="F196" s="71" t="s">
        <v>300</v>
      </c>
      <c r="G196" s="88">
        <v>46252.696643518502</v>
      </c>
      <c r="H196" s="89">
        <v>46252</v>
      </c>
      <c r="I196" s="71" t="s">
        <v>347</v>
      </c>
      <c r="J196" s="71">
        <v>0</v>
      </c>
      <c r="K196" s="71" t="s">
        <v>302</v>
      </c>
      <c r="L196" s="71">
        <f t="shared" si="27"/>
        <v>8</v>
      </c>
      <c r="M196" s="71" t="str">
        <f>IFERROR(INDEX(KALENDER!$D$3:$D$132,MATCH(H196,KALENDER!$A$3:$A$132,0)),"Di luar periode")</f>
        <v>Hari Kerja</v>
      </c>
      <c r="N196" s="71">
        <f t="shared" si="28"/>
        <v>0</v>
      </c>
      <c r="O196" s="71">
        <f t="shared" si="29"/>
        <v>1</v>
      </c>
      <c r="P196" s="71">
        <f t="shared" si="30"/>
        <v>0</v>
      </c>
      <c r="Q196" s="71">
        <f t="shared" si="31"/>
        <v>0</v>
      </c>
      <c r="R196" s="71">
        <f t="shared" si="32"/>
        <v>0</v>
      </c>
      <c r="S196" s="71">
        <f t="shared" si="33"/>
        <v>0</v>
      </c>
      <c r="T196" s="71">
        <f t="shared" si="34"/>
        <v>0</v>
      </c>
      <c r="U196" s="71">
        <f>IF(AND(N196=1,V196=1),IF(COUNTIFS(AKTIVITAS!$B$2:$B$3052,B196,AKTIVITAS!$E$2:$E$3052,H196)&gt;0,1,0),0)</f>
        <v>0</v>
      </c>
      <c r="V196" s="71">
        <f>IFERROR(IF(AND(H196&gt;=INDEX(PEMAGANG!$J$3:$J$36,MATCH(B196,PEMAGANG!$C$3:$C$36,0)),H196&lt;=INDEX(PEMAGANG!$K$3:$K$36,MATCH(B196,PEMAGANG!$C$3:$C$36,0))),1,0),0)</f>
        <v>1</v>
      </c>
      <c r="W196" s="71">
        <f t="shared" si="35"/>
        <v>0</v>
      </c>
    </row>
    <row r="197" spans="1:23" x14ac:dyDescent="0.2">
      <c r="A197" s="71" t="s">
        <v>249</v>
      </c>
      <c r="B197" s="71" t="s">
        <v>250</v>
      </c>
      <c r="C197" s="71" t="s">
        <v>187</v>
      </c>
      <c r="D197" s="71" t="s">
        <v>220</v>
      </c>
      <c r="E197" s="71" t="s">
        <v>345</v>
      </c>
      <c r="F197" s="71" t="s">
        <v>298</v>
      </c>
      <c r="G197" s="88">
        <v>46253.309050925898</v>
      </c>
      <c r="H197" s="89">
        <v>46253</v>
      </c>
      <c r="I197" s="71" t="s">
        <v>307</v>
      </c>
      <c r="J197" s="71">
        <v>-4.9999999999999796</v>
      </c>
      <c r="K197" s="71" t="s">
        <v>302</v>
      </c>
      <c r="L197" s="71">
        <f t="shared" si="27"/>
        <v>8</v>
      </c>
      <c r="M197" s="71" t="str">
        <f>IFERROR(INDEX(KALENDER!$D$3:$D$132,MATCH(H197,KALENDER!$A$3:$A$132,0)),"Di luar periode")</f>
        <v>Hari Kerja</v>
      </c>
      <c r="N197" s="71">
        <f t="shared" si="28"/>
        <v>1</v>
      </c>
      <c r="O197" s="71">
        <f t="shared" si="29"/>
        <v>1</v>
      </c>
      <c r="P197" s="71">
        <f t="shared" si="30"/>
        <v>1</v>
      </c>
      <c r="Q197" s="71">
        <f t="shared" si="31"/>
        <v>0</v>
      </c>
      <c r="R197" s="71">
        <f t="shared" si="32"/>
        <v>0</v>
      </c>
      <c r="S197" s="71">
        <f t="shared" si="33"/>
        <v>0</v>
      </c>
      <c r="T197" s="71">
        <f t="shared" si="34"/>
        <v>0</v>
      </c>
      <c r="U197" s="71">
        <f>IF(AND(N197=1,V197=1),IF(COUNTIFS(AKTIVITAS!$B$2:$B$3052,B197,AKTIVITAS!$E$2:$E$3052,H197)&gt;0,1,0),0)</f>
        <v>1</v>
      </c>
      <c r="V197" s="71">
        <f>IFERROR(IF(AND(H197&gt;=INDEX(PEMAGANG!$J$3:$J$36,MATCH(B197,PEMAGANG!$C$3:$C$36,0)),H197&lt;=INDEX(PEMAGANG!$K$3:$K$36,MATCH(B197,PEMAGANG!$C$3:$C$36,0))),1,0),0)</f>
        <v>1</v>
      </c>
      <c r="W197" s="71">
        <f t="shared" si="35"/>
        <v>1</v>
      </c>
    </row>
    <row r="198" spans="1:23" x14ac:dyDescent="0.2">
      <c r="A198" s="71" t="s">
        <v>249</v>
      </c>
      <c r="B198" s="71" t="s">
        <v>250</v>
      </c>
      <c r="C198" s="71" t="s">
        <v>187</v>
      </c>
      <c r="D198" s="71" t="s">
        <v>220</v>
      </c>
      <c r="E198" s="71" t="s">
        <v>345</v>
      </c>
      <c r="F198" s="71" t="s">
        <v>300</v>
      </c>
      <c r="G198" s="88">
        <v>46253.692523148202</v>
      </c>
      <c r="H198" s="89">
        <v>46253</v>
      </c>
      <c r="I198" s="71" t="s">
        <v>328</v>
      </c>
      <c r="J198" s="71">
        <v>0</v>
      </c>
      <c r="K198" s="71" t="s">
        <v>302</v>
      </c>
      <c r="L198" s="71">
        <f t="shared" si="27"/>
        <v>8</v>
      </c>
      <c r="M198" s="71" t="str">
        <f>IFERROR(INDEX(KALENDER!$D$3:$D$132,MATCH(H198,KALENDER!$A$3:$A$132,0)),"Di luar periode")</f>
        <v>Hari Kerja</v>
      </c>
      <c r="N198" s="71">
        <f t="shared" si="28"/>
        <v>0</v>
      </c>
      <c r="O198" s="71">
        <f t="shared" si="29"/>
        <v>1</v>
      </c>
      <c r="P198" s="71">
        <f t="shared" si="30"/>
        <v>0</v>
      </c>
      <c r="Q198" s="71">
        <f t="shared" si="31"/>
        <v>0</v>
      </c>
      <c r="R198" s="71">
        <f t="shared" si="32"/>
        <v>0</v>
      </c>
      <c r="S198" s="71">
        <f t="shared" si="33"/>
        <v>0</v>
      </c>
      <c r="T198" s="71">
        <f t="shared" si="34"/>
        <v>0</v>
      </c>
      <c r="U198" s="71">
        <f>IF(AND(N198=1,V198=1),IF(COUNTIFS(AKTIVITAS!$B$2:$B$3052,B198,AKTIVITAS!$E$2:$E$3052,H198)&gt;0,1,0),0)</f>
        <v>0</v>
      </c>
      <c r="V198" s="71">
        <f>IFERROR(IF(AND(H198&gt;=INDEX(PEMAGANG!$J$3:$J$36,MATCH(B198,PEMAGANG!$C$3:$C$36,0)),H198&lt;=INDEX(PEMAGANG!$K$3:$K$36,MATCH(B198,PEMAGANG!$C$3:$C$36,0))),1,0),0)</f>
        <v>1</v>
      </c>
      <c r="W198" s="71">
        <f t="shared" si="35"/>
        <v>0</v>
      </c>
    </row>
    <row r="199" spans="1:23" x14ac:dyDescent="0.2">
      <c r="A199" s="71" t="s">
        <v>249</v>
      </c>
      <c r="B199" s="71" t="s">
        <v>250</v>
      </c>
      <c r="C199" s="71" t="s">
        <v>187</v>
      </c>
      <c r="D199" s="71" t="s">
        <v>220</v>
      </c>
      <c r="E199" s="71" t="s">
        <v>345</v>
      </c>
      <c r="F199" s="71" t="s">
        <v>298</v>
      </c>
      <c r="G199" s="88">
        <v>46254.309282407397</v>
      </c>
      <c r="H199" s="89">
        <v>46254</v>
      </c>
      <c r="I199" s="71" t="s">
        <v>307</v>
      </c>
      <c r="J199" s="71">
        <v>-4.9999999999999796</v>
      </c>
      <c r="K199" s="71" t="s">
        <v>302</v>
      </c>
      <c r="L199" s="71">
        <f t="shared" si="27"/>
        <v>8</v>
      </c>
      <c r="M199" s="71" t="str">
        <f>IFERROR(INDEX(KALENDER!$D$3:$D$132,MATCH(H199,KALENDER!$A$3:$A$132,0)),"Di luar periode")</f>
        <v>Hari Kerja</v>
      </c>
      <c r="N199" s="71">
        <f t="shared" si="28"/>
        <v>1</v>
      </c>
      <c r="O199" s="71">
        <f t="shared" si="29"/>
        <v>1</v>
      </c>
      <c r="P199" s="71">
        <f t="shared" si="30"/>
        <v>1</v>
      </c>
      <c r="Q199" s="71">
        <f t="shared" si="31"/>
        <v>0</v>
      </c>
      <c r="R199" s="71">
        <f t="shared" si="32"/>
        <v>0</v>
      </c>
      <c r="S199" s="71">
        <f t="shared" si="33"/>
        <v>0</v>
      </c>
      <c r="T199" s="71">
        <f t="shared" si="34"/>
        <v>0</v>
      </c>
      <c r="U199" s="71">
        <f>IF(AND(N199=1,V199=1),IF(COUNTIFS(AKTIVITAS!$B$2:$B$3052,B199,AKTIVITAS!$E$2:$E$3052,H199)&gt;0,1,0),0)</f>
        <v>1</v>
      </c>
      <c r="V199" s="71">
        <f>IFERROR(IF(AND(H199&gt;=INDEX(PEMAGANG!$J$3:$J$36,MATCH(B199,PEMAGANG!$C$3:$C$36,0)),H199&lt;=INDEX(PEMAGANG!$K$3:$K$36,MATCH(B199,PEMAGANG!$C$3:$C$36,0))),1,0),0)</f>
        <v>1</v>
      </c>
      <c r="W199" s="71">
        <f t="shared" si="35"/>
        <v>1</v>
      </c>
    </row>
    <row r="200" spans="1:23" x14ac:dyDescent="0.2">
      <c r="A200" s="71" t="s">
        <v>249</v>
      </c>
      <c r="B200" s="71" t="s">
        <v>250</v>
      </c>
      <c r="C200" s="71" t="s">
        <v>187</v>
      </c>
      <c r="D200" s="71" t="s">
        <v>220</v>
      </c>
      <c r="E200" s="71" t="s">
        <v>345</v>
      </c>
      <c r="F200" s="71" t="s">
        <v>300</v>
      </c>
      <c r="G200" s="88">
        <v>46254.690277777801</v>
      </c>
      <c r="H200" s="89">
        <v>46254</v>
      </c>
      <c r="I200" s="71" t="s">
        <v>314</v>
      </c>
      <c r="J200" s="71">
        <v>0</v>
      </c>
      <c r="K200" s="71" t="s">
        <v>302</v>
      </c>
      <c r="L200" s="71">
        <f t="shared" si="27"/>
        <v>8</v>
      </c>
      <c r="M200" s="71" t="str">
        <f>IFERROR(INDEX(KALENDER!$D$3:$D$132,MATCH(H200,KALENDER!$A$3:$A$132,0)),"Di luar periode")</f>
        <v>Hari Kerja</v>
      </c>
      <c r="N200" s="71">
        <f t="shared" si="28"/>
        <v>0</v>
      </c>
      <c r="O200" s="71">
        <f t="shared" si="29"/>
        <v>1</v>
      </c>
      <c r="P200" s="71">
        <f t="shared" si="30"/>
        <v>0</v>
      </c>
      <c r="Q200" s="71">
        <f t="shared" si="31"/>
        <v>0</v>
      </c>
      <c r="R200" s="71">
        <f t="shared" si="32"/>
        <v>0</v>
      </c>
      <c r="S200" s="71">
        <f t="shared" si="33"/>
        <v>0</v>
      </c>
      <c r="T200" s="71">
        <f t="shared" si="34"/>
        <v>0</v>
      </c>
      <c r="U200" s="71">
        <f>IF(AND(N200=1,V200=1),IF(COUNTIFS(AKTIVITAS!$B$2:$B$3052,B200,AKTIVITAS!$E$2:$E$3052,H200)&gt;0,1,0),0)</f>
        <v>0</v>
      </c>
      <c r="V200" s="71">
        <f>IFERROR(IF(AND(H200&gt;=INDEX(PEMAGANG!$J$3:$J$36,MATCH(B200,PEMAGANG!$C$3:$C$36,0)),H200&lt;=INDEX(PEMAGANG!$K$3:$K$36,MATCH(B200,PEMAGANG!$C$3:$C$36,0))),1,0),0)</f>
        <v>1</v>
      </c>
      <c r="W200" s="71">
        <f t="shared" si="35"/>
        <v>0</v>
      </c>
    </row>
    <row r="201" spans="1:23" x14ac:dyDescent="0.2">
      <c r="A201" s="71" t="s">
        <v>249</v>
      </c>
      <c r="B201" s="71" t="s">
        <v>250</v>
      </c>
      <c r="C201" s="71" t="s">
        <v>187</v>
      </c>
      <c r="D201" s="71" t="s">
        <v>220</v>
      </c>
      <c r="E201" s="71" t="s">
        <v>345</v>
      </c>
      <c r="F201" s="71" t="s">
        <v>298</v>
      </c>
      <c r="G201" s="88">
        <v>46255.309675925899</v>
      </c>
      <c r="H201" s="89">
        <v>46255</v>
      </c>
      <c r="I201" s="71" t="s">
        <v>307</v>
      </c>
      <c r="J201" s="71">
        <v>-35</v>
      </c>
      <c r="K201" s="71" t="s">
        <v>302</v>
      </c>
      <c r="L201" s="71">
        <f t="shared" si="27"/>
        <v>8</v>
      </c>
      <c r="M201" s="71" t="str">
        <f>IFERROR(INDEX(KALENDER!$D$3:$D$132,MATCH(H201,KALENDER!$A$3:$A$132,0)),"Di luar periode")</f>
        <v>Hari Kerja</v>
      </c>
      <c r="N201" s="71">
        <f t="shared" si="28"/>
        <v>1</v>
      </c>
      <c r="O201" s="71">
        <f t="shared" si="29"/>
        <v>1</v>
      </c>
      <c r="P201" s="71">
        <f t="shared" si="30"/>
        <v>1</v>
      </c>
      <c r="Q201" s="71">
        <f t="shared" si="31"/>
        <v>0</v>
      </c>
      <c r="R201" s="71">
        <f t="shared" si="32"/>
        <v>0</v>
      </c>
      <c r="S201" s="71">
        <f t="shared" si="33"/>
        <v>0</v>
      </c>
      <c r="T201" s="71">
        <f t="shared" si="34"/>
        <v>0</v>
      </c>
      <c r="U201" s="71">
        <f>IF(AND(N201=1,V201=1),IF(COUNTIFS(AKTIVITAS!$B$2:$B$3052,B201,AKTIVITAS!$E$2:$E$3052,H201)&gt;0,1,0),0)</f>
        <v>1</v>
      </c>
      <c r="V201" s="71">
        <f>IFERROR(IF(AND(H201&gt;=INDEX(PEMAGANG!$J$3:$J$36,MATCH(B201,PEMAGANG!$C$3:$C$36,0)),H201&lt;=INDEX(PEMAGANG!$K$3:$K$36,MATCH(B201,PEMAGANG!$C$3:$C$36,0))),1,0),0)</f>
        <v>1</v>
      </c>
      <c r="W201" s="71">
        <f t="shared" si="35"/>
        <v>1</v>
      </c>
    </row>
    <row r="202" spans="1:23" x14ac:dyDescent="0.2">
      <c r="A202" s="71" t="s">
        <v>249</v>
      </c>
      <c r="B202" s="71" t="s">
        <v>250</v>
      </c>
      <c r="C202" s="71" t="s">
        <v>187</v>
      </c>
      <c r="D202" s="71" t="s">
        <v>220</v>
      </c>
      <c r="E202" s="71" t="s">
        <v>345</v>
      </c>
      <c r="F202" s="71" t="s">
        <v>300</v>
      </c>
      <c r="G202" s="88">
        <v>46255.690358796302</v>
      </c>
      <c r="H202" s="89">
        <v>46255</v>
      </c>
      <c r="I202" s="71" t="s">
        <v>314</v>
      </c>
      <c r="J202" s="71">
        <v>0</v>
      </c>
      <c r="K202" s="71" t="s">
        <v>302</v>
      </c>
      <c r="L202" s="71">
        <f t="shared" si="27"/>
        <v>8</v>
      </c>
      <c r="M202" s="71" t="str">
        <f>IFERROR(INDEX(KALENDER!$D$3:$D$132,MATCH(H202,KALENDER!$A$3:$A$132,0)),"Di luar periode")</f>
        <v>Hari Kerja</v>
      </c>
      <c r="N202" s="71">
        <f t="shared" si="28"/>
        <v>0</v>
      </c>
      <c r="O202" s="71">
        <f t="shared" si="29"/>
        <v>1</v>
      </c>
      <c r="P202" s="71">
        <f t="shared" si="30"/>
        <v>0</v>
      </c>
      <c r="Q202" s="71">
        <f t="shared" si="31"/>
        <v>0</v>
      </c>
      <c r="R202" s="71">
        <f t="shared" si="32"/>
        <v>0</v>
      </c>
      <c r="S202" s="71">
        <f t="shared" si="33"/>
        <v>0</v>
      </c>
      <c r="T202" s="71">
        <f t="shared" si="34"/>
        <v>0</v>
      </c>
      <c r="U202" s="71">
        <f>IF(AND(N202=1,V202=1),IF(COUNTIFS(AKTIVITAS!$B$2:$B$3052,B202,AKTIVITAS!$E$2:$E$3052,H202)&gt;0,1,0),0)</f>
        <v>0</v>
      </c>
      <c r="V202" s="71">
        <f>IFERROR(IF(AND(H202&gt;=INDEX(PEMAGANG!$J$3:$J$36,MATCH(B202,PEMAGANG!$C$3:$C$36,0)),H202&lt;=INDEX(PEMAGANG!$K$3:$K$36,MATCH(B202,PEMAGANG!$C$3:$C$36,0))),1,0),0)</f>
        <v>1</v>
      </c>
      <c r="W202" s="71">
        <f t="shared" si="35"/>
        <v>0</v>
      </c>
    </row>
    <row r="203" spans="1:23" x14ac:dyDescent="0.2">
      <c r="A203" s="71" t="s">
        <v>249</v>
      </c>
      <c r="B203" s="71" t="s">
        <v>250</v>
      </c>
      <c r="C203" s="71" t="s">
        <v>187</v>
      </c>
      <c r="D203" s="71" t="s">
        <v>220</v>
      </c>
      <c r="E203" s="71" t="s">
        <v>345</v>
      </c>
      <c r="F203" s="71" t="s">
        <v>298</v>
      </c>
      <c r="G203" s="88">
        <v>46258.310231481497</v>
      </c>
      <c r="H203" s="89">
        <v>46258</v>
      </c>
      <c r="I203" s="71" t="s">
        <v>315</v>
      </c>
      <c r="J203" s="71">
        <v>-34</v>
      </c>
      <c r="K203" s="71" t="s">
        <v>302</v>
      </c>
      <c r="L203" s="71">
        <f t="shared" si="27"/>
        <v>8</v>
      </c>
      <c r="M203" s="71" t="str">
        <f>IFERROR(INDEX(KALENDER!$D$3:$D$132,MATCH(H203,KALENDER!$A$3:$A$132,0)),"Di luar periode")</f>
        <v>Hari Kerja</v>
      </c>
      <c r="N203" s="71">
        <f t="shared" si="28"/>
        <v>1</v>
      </c>
      <c r="O203" s="71">
        <f t="shared" si="29"/>
        <v>1</v>
      </c>
      <c r="P203" s="71">
        <f t="shared" si="30"/>
        <v>1</v>
      </c>
      <c r="Q203" s="71">
        <f t="shared" si="31"/>
        <v>0</v>
      </c>
      <c r="R203" s="71">
        <f t="shared" si="32"/>
        <v>0</v>
      </c>
      <c r="S203" s="71">
        <f t="shared" si="33"/>
        <v>0</v>
      </c>
      <c r="T203" s="71">
        <f t="shared" si="34"/>
        <v>0</v>
      </c>
      <c r="U203" s="71">
        <f>IF(AND(N203=1,V203=1),IF(COUNTIFS(AKTIVITAS!$B$2:$B$3052,B203,AKTIVITAS!$E$2:$E$3052,H203)&gt;0,1,0),0)</f>
        <v>1</v>
      </c>
      <c r="V203" s="71">
        <f>IFERROR(IF(AND(H203&gt;=INDEX(PEMAGANG!$J$3:$J$36,MATCH(B203,PEMAGANG!$C$3:$C$36,0)),H203&lt;=INDEX(PEMAGANG!$K$3:$K$36,MATCH(B203,PEMAGANG!$C$3:$C$36,0))),1,0),0)</f>
        <v>1</v>
      </c>
      <c r="W203" s="71">
        <f t="shared" si="35"/>
        <v>1</v>
      </c>
    </row>
    <row r="204" spans="1:23" x14ac:dyDescent="0.2">
      <c r="A204" s="71" t="s">
        <v>249</v>
      </c>
      <c r="B204" s="71" t="s">
        <v>250</v>
      </c>
      <c r="C204" s="71" t="s">
        <v>187</v>
      </c>
      <c r="D204" s="71" t="s">
        <v>220</v>
      </c>
      <c r="E204" s="71" t="s">
        <v>345</v>
      </c>
      <c r="F204" s="71" t="s">
        <v>300</v>
      </c>
      <c r="G204" s="88">
        <v>46258.695462962998</v>
      </c>
      <c r="H204" s="89">
        <v>46258</v>
      </c>
      <c r="I204" s="71" t="s">
        <v>319</v>
      </c>
      <c r="J204" s="71">
        <v>0</v>
      </c>
      <c r="K204" s="71" t="s">
        <v>302</v>
      </c>
      <c r="L204" s="71">
        <f t="shared" si="27"/>
        <v>8</v>
      </c>
      <c r="M204" s="71" t="str">
        <f>IFERROR(INDEX(KALENDER!$D$3:$D$132,MATCH(H204,KALENDER!$A$3:$A$132,0)),"Di luar periode")</f>
        <v>Hari Kerja</v>
      </c>
      <c r="N204" s="71">
        <f t="shared" si="28"/>
        <v>0</v>
      </c>
      <c r="O204" s="71">
        <f t="shared" si="29"/>
        <v>1</v>
      </c>
      <c r="P204" s="71">
        <f t="shared" si="30"/>
        <v>0</v>
      </c>
      <c r="Q204" s="71">
        <f t="shared" si="31"/>
        <v>0</v>
      </c>
      <c r="R204" s="71">
        <f t="shared" si="32"/>
        <v>0</v>
      </c>
      <c r="S204" s="71">
        <f t="shared" si="33"/>
        <v>0</v>
      </c>
      <c r="T204" s="71">
        <f t="shared" si="34"/>
        <v>0</v>
      </c>
      <c r="U204" s="71">
        <f>IF(AND(N204=1,V204=1),IF(COUNTIFS(AKTIVITAS!$B$2:$B$3052,B204,AKTIVITAS!$E$2:$E$3052,H204)&gt;0,1,0),0)</f>
        <v>0</v>
      </c>
      <c r="V204" s="71">
        <f>IFERROR(IF(AND(H204&gt;=INDEX(PEMAGANG!$J$3:$J$36,MATCH(B204,PEMAGANG!$C$3:$C$36,0)),H204&lt;=INDEX(PEMAGANG!$K$3:$K$36,MATCH(B204,PEMAGANG!$C$3:$C$36,0))),1,0),0)</f>
        <v>1</v>
      </c>
      <c r="W204" s="71">
        <f t="shared" si="35"/>
        <v>0</v>
      </c>
    </row>
    <row r="205" spans="1:23" x14ac:dyDescent="0.2">
      <c r="A205" s="71" t="s">
        <v>249</v>
      </c>
      <c r="B205" s="71" t="s">
        <v>250</v>
      </c>
      <c r="C205" s="71" t="s">
        <v>187</v>
      </c>
      <c r="D205" s="71" t="s">
        <v>220</v>
      </c>
      <c r="E205" s="71" t="s">
        <v>345</v>
      </c>
      <c r="F205" s="71" t="s">
        <v>298</v>
      </c>
      <c r="G205" s="88">
        <v>46260.309062499997</v>
      </c>
      <c r="H205" s="89">
        <v>46260</v>
      </c>
      <c r="I205" s="71" t="s">
        <v>307</v>
      </c>
      <c r="J205" s="71">
        <v>-35</v>
      </c>
      <c r="K205" s="71" t="s">
        <v>302</v>
      </c>
      <c r="L205" s="71">
        <f t="shared" si="27"/>
        <v>8</v>
      </c>
      <c r="M205" s="71" t="str">
        <f>IFERROR(INDEX(KALENDER!$D$3:$D$132,MATCH(H205,KALENDER!$A$3:$A$132,0)),"Di luar periode")</f>
        <v>Hari Kerja</v>
      </c>
      <c r="N205" s="71">
        <f t="shared" si="28"/>
        <v>1</v>
      </c>
      <c r="O205" s="71">
        <f t="shared" si="29"/>
        <v>1</v>
      </c>
      <c r="P205" s="71">
        <f t="shared" si="30"/>
        <v>1</v>
      </c>
      <c r="Q205" s="71">
        <f t="shared" si="31"/>
        <v>0</v>
      </c>
      <c r="R205" s="71">
        <f t="shared" si="32"/>
        <v>0</v>
      </c>
      <c r="S205" s="71">
        <f t="shared" si="33"/>
        <v>0</v>
      </c>
      <c r="T205" s="71">
        <f t="shared" si="34"/>
        <v>0</v>
      </c>
      <c r="U205" s="71">
        <f>IF(AND(N205=1,V205=1),IF(COUNTIFS(AKTIVITAS!$B$2:$B$3052,B205,AKTIVITAS!$E$2:$E$3052,H205)&gt;0,1,0),0)</f>
        <v>1</v>
      </c>
      <c r="V205" s="71">
        <f>IFERROR(IF(AND(H205&gt;=INDEX(PEMAGANG!$J$3:$J$36,MATCH(B205,PEMAGANG!$C$3:$C$36,0)),H205&lt;=INDEX(PEMAGANG!$K$3:$K$36,MATCH(B205,PEMAGANG!$C$3:$C$36,0))),1,0),0)</f>
        <v>1</v>
      </c>
      <c r="W205" s="71">
        <f t="shared" si="35"/>
        <v>1</v>
      </c>
    </row>
    <row r="206" spans="1:23" x14ac:dyDescent="0.2">
      <c r="A206" s="71" t="s">
        <v>249</v>
      </c>
      <c r="B206" s="71" t="s">
        <v>250</v>
      </c>
      <c r="C206" s="71" t="s">
        <v>187</v>
      </c>
      <c r="D206" s="71" t="s">
        <v>220</v>
      </c>
      <c r="E206" s="71" t="s">
        <v>345</v>
      </c>
      <c r="F206" s="71" t="s">
        <v>300</v>
      </c>
      <c r="G206" s="88">
        <v>46260.691388888903</v>
      </c>
      <c r="H206" s="89">
        <v>46260</v>
      </c>
      <c r="I206" s="71" t="s">
        <v>310</v>
      </c>
      <c r="J206" s="71">
        <v>0</v>
      </c>
      <c r="K206" s="71" t="s">
        <v>302</v>
      </c>
      <c r="L206" s="71">
        <f t="shared" si="27"/>
        <v>8</v>
      </c>
      <c r="M206" s="71" t="str">
        <f>IFERROR(INDEX(KALENDER!$D$3:$D$132,MATCH(H206,KALENDER!$A$3:$A$132,0)),"Di luar periode")</f>
        <v>Hari Kerja</v>
      </c>
      <c r="N206" s="71">
        <f t="shared" si="28"/>
        <v>0</v>
      </c>
      <c r="O206" s="71">
        <f t="shared" si="29"/>
        <v>1</v>
      </c>
      <c r="P206" s="71">
        <f t="shared" si="30"/>
        <v>0</v>
      </c>
      <c r="Q206" s="71">
        <f t="shared" si="31"/>
        <v>0</v>
      </c>
      <c r="R206" s="71">
        <f t="shared" si="32"/>
        <v>0</v>
      </c>
      <c r="S206" s="71">
        <f t="shared" si="33"/>
        <v>0</v>
      </c>
      <c r="T206" s="71">
        <f t="shared" si="34"/>
        <v>0</v>
      </c>
      <c r="U206" s="71">
        <f>IF(AND(N206=1,V206=1),IF(COUNTIFS(AKTIVITAS!$B$2:$B$3052,B206,AKTIVITAS!$E$2:$E$3052,H206)&gt;0,1,0),0)</f>
        <v>0</v>
      </c>
      <c r="V206" s="71">
        <f>IFERROR(IF(AND(H206&gt;=INDEX(PEMAGANG!$J$3:$J$36,MATCH(B206,PEMAGANG!$C$3:$C$36,0)),H206&lt;=INDEX(PEMAGANG!$K$3:$K$36,MATCH(B206,PEMAGANG!$C$3:$C$36,0))),1,0),0)</f>
        <v>1</v>
      </c>
      <c r="W206" s="71">
        <f t="shared" si="35"/>
        <v>0</v>
      </c>
    </row>
    <row r="207" spans="1:23" x14ac:dyDescent="0.2">
      <c r="A207" s="71" t="s">
        <v>249</v>
      </c>
      <c r="B207" s="71" t="s">
        <v>250</v>
      </c>
      <c r="C207" s="71" t="s">
        <v>187</v>
      </c>
      <c r="D207" s="71" t="s">
        <v>220</v>
      </c>
      <c r="E207" s="71" t="s">
        <v>345</v>
      </c>
      <c r="F207" s="71" t="s">
        <v>298</v>
      </c>
      <c r="G207" s="88">
        <v>46261.309733796297</v>
      </c>
      <c r="H207" s="89">
        <v>46261</v>
      </c>
      <c r="I207" s="71" t="s">
        <v>315</v>
      </c>
      <c r="J207" s="71">
        <v>-34</v>
      </c>
      <c r="K207" s="71" t="s">
        <v>302</v>
      </c>
      <c r="L207" s="71">
        <f t="shared" si="27"/>
        <v>8</v>
      </c>
      <c r="M207" s="71" t="str">
        <f>IFERROR(INDEX(KALENDER!$D$3:$D$132,MATCH(H207,KALENDER!$A$3:$A$132,0)),"Di luar periode")</f>
        <v>Hari Kerja</v>
      </c>
      <c r="N207" s="71">
        <f t="shared" si="28"/>
        <v>1</v>
      </c>
      <c r="O207" s="71">
        <f t="shared" si="29"/>
        <v>1</v>
      </c>
      <c r="P207" s="71">
        <f t="shared" si="30"/>
        <v>1</v>
      </c>
      <c r="Q207" s="71">
        <f t="shared" si="31"/>
        <v>0</v>
      </c>
      <c r="R207" s="71">
        <f t="shared" si="32"/>
        <v>0</v>
      </c>
      <c r="S207" s="71">
        <f t="shared" si="33"/>
        <v>0</v>
      </c>
      <c r="T207" s="71">
        <f t="shared" si="34"/>
        <v>0</v>
      </c>
      <c r="U207" s="71">
        <f>IF(AND(N207=1,V207=1),IF(COUNTIFS(AKTIVITAS!$B$2:$B$3052,B207,AKTIVITAS!$E$2:$E$3052,H207)&gt;0,1,0),0)</f>
        <v>1</v>
      </c>
      <c r="V207" s="71">
        <f>IFERROR(IF(AND(H207&gt;=INDEX(PEMAGANG!$J$3:$J$36,MATCH(B207,PEMAGANG!$C$3:$C$36,0)),H207&lt;=INDEX(PEMAGANG!$K$3:$K$36,MATCH(B207,PEMAGANG!$C$3:$C$36,0))),1,0),0)</f>
        <v>1</v>
      </c>
      <c r="W207" s="71">
        <f t="shared" si="35"/>
        <v>1</v>
      </c>
    </row>
    <row r="208" spans="1:23" x14ac:dyDescent="0.2">
      <c r="A208" s="71" t="s">
        <v>249</v>
      </c>
      <c r="B208" s="71" t="s">
        <v>250</v>
      </c>
      <c r="C208" s="71" t="s">
        <v>187</v>
      </c>
      <c r="D208" s="71" t="s">
        <v>220</v>
      </c>
      <c r="E208" s="71" t="s">
        <v>345</v>
      </c>
      <c r="F208" s="71" t="s">
        <v>300</v>
      </c>
      <c r="G208" s="88">
        <v>46261.694305555597</v>
      </c>
      <c r="H208" s="89">
        <v>46261</v>
      </c>
      <c r="I208" s="71" t="s">
        <v>308</v>
      </c>
      <c r="J208" s="71">
        <v>0</v>
      </c>
      <c r="K208" s="71" t="s">
        <v>302</v>
      </c>
      <c r="L208" s="71">
        <f t="shared" si="27"/>
        <v>8</v>
      </c>
      <c r="M208" s="71" t="str">
        <f>IFERROR(INDEX(KALENDER!$D$3:$D$132,MATCH(H208,KALENDER!$A$3:$A$132,0)),"Di luar periode")</f>
        <v>Hari Kerja</v>
      </c>
      <c r="N208" s="71">
        <f t="shared" si="28"/>
        <v>0</v>
      </c>
      <c r="O208" s="71">
        <f t="shared" si="29"/>
        <v>1</v>
      </c>
      <c r="P208" s="71">
        <f t="shared" si="30"/>
        <v>0</v>
      </c>
      <c r="Q208" s="71">
        <f t="shared" si="31"/>
        <v>0</v>
      </c>
      <c r="R208" s="71">
        <f t="shared" si="32"/>
        <v>0</v>
      </c>
      <c r="S208" s="71">
        <f t="shared" si="33"/>
        <v>0</v>
      </c>
      <c r="T208" s="71">
        <f t="shared" si="34"/>
        <v>0</v>
      </c>
      <c r="U208" s="71">
        <f>IF(AND(N208=1,V208=1),IF(COUNTIFS(AKTIVITAS!$B$2:$B$3052,B208,AKTIVITAS!$E$2:$E$3052,H208)&gt;0,1,0),0)</f>
        <v>0</v>
      </c>
      <c r="V208" s="71">
        <f>IFERROR(IF(AND(H208&gt;=INDEX(PEMAGANG!$J$3:$J$36,MATCH(B208,PEMAGANG!$C$3:$C$36,0)),H208&lt;=INDEX(PEMAGANG!$K$3:$K$36,MATCH(B208,PEMAGANG!$C$3:$C$36,0))),1,0),0)</f>
        <v>1</v>
      </c>
      <c r="W208" s="71">
        <f t="shared" si="35"/>
        <v>0</v>
      </c>
    </row>
    <row r="209" spans="1:23" x14ac:dyDescent="0.2">
      <c r="A209" s="71" t="s">
        <v>249</v>
      </c>
      <c r="B209" s="71" t="s">
        <v>250</v>
      </c>
      <c r="C209" s="71" t="s">
        <v>187</v>
      </c>
      <c r="D209" s="71" t="s">
        <v>220</v>
      </c>
      <c r="E209" s="71" t="s">
        <v>345</v>
      </c>
      <c r="F209" s="71" t="s">
        <v>298</v>
      </c>
      <c r="G209" s="88">
        <v>46262.310104166703</v>
      </c>
      <c r="H209" s="89">
        <v>46262</v>
      </c>
      <c r="I209" s="71" t="s">
        <v>315</v>
      </c>
      <c r="J209" s="71">
        <v>-34</v>
      </c>
      <c r="K209" s="71" t="s">
        <v>302</v>
      </c>
      <c r="L209" s="71">
        <f t="shared" si="27"/>
        <v>8</v>
      </c>
      <c r="M209" s="71" t="str">
        <f>IFERROR(INDEX(KALENDER!$D$3:$D$132,MATCH(H209,KALENDER!$A$3:$A$132,0)),"Di luar periode")</f>
        <v>Hari Kerja</v>
      </c>
      <c r="N209" s="71">
        <f t="shared" si="28"/>
        <v>1</v>
      </c>
      <c r="O209" s="71">
        <f t="shared" si="29"/>
        <v>1</v>
      </c>
      <c r="P209" s="71">
        <f t="shared" si="30"/>
        <v>1</v>
      </c>
      <c r="Q209" s="71">
        <f t="shared" si="31"/>
        <v>0</v>
      </c>
      <c r="R209" s="71">
        <f t="shared" si="32"/>
        <v>0</v>
      </c>
      <c r="S209" s="71">
        <f t="shared" si="33"/>
        <v>0</v>
      </c>
      <c r="T209" s="71">
        <f t="shared" si="34"/>
        <v>0</v>
      </c>
      <c r="U209" s="71">
        <f>IF(AND(N209=1,V209=1),IF(COUNTIFS(AKTIVITAS!$B$2:$B$3052,B209,AKTIVITAS!$E$2:$E$3052,H209)&gt;0,1,0),0)</f>
        <v>1</v>
      </c>
      <c r="V209" s="71">
        <f>IFERROR(IF(AND(H209&gt;=INDEX(PEMAGANG!$J$3:$J$36,MATCH(B209,PEMAGANG!$C$3:$C$36,0)),H209&lt;=INDEX(PEMAGANG!$K$3:$K$36,MATCH(B209,PEMAGANG!$C$3:$C$36,0))),1,0),0)</f>
        <v>1</v>
      </c>
      <c r="W209" s="71">
        <f t="shared" si="35"/>
        <v>1</v>
      </c>
    </row>
    <row r="210" spans="1:23" x14ac:dyDescent="0.2">
      <c r="A210" s="71" t="s">
        <v>249</v>
      </c>
      <c r="B210" s="71" t="s">
        <v>250</v>
      </c>
      <c r="C210" s="71" t="s">
        <v>187</v>
      </c>
      <c r="D210" s="71" t="s">
        <v>220</v>
      </c>
      <c r="E210" s="71" t="s">
        <v>345</v>
      </c>
      <c r="F210" s="71" t="s">
        <v>300</v>
      </c>
      <c r="G210" s="88">
        <v>46262.690266203703</v>
      </c>
      <c r="H210" s="89">
        <v>46262</v>
      </c>
      <c r="I210" s="71" t="s">
        <v>316</v>
      </c>
      <c r="J210" s="71">
        <v>0</v>
      </c>
      <c r="K210" s="71" t="s">
        <v>302</v>
      </c>
      <c r="L210" s="71">
        <f t="shared" si="27"/>
        <v>8</v>
      </c>
      <c r="M210" s="71" t="str">
        <f>IFERROR(INDEX(KALENDER!$D$3:$D$132,MATCH(H210,KALENDER!$A$3:$A$132,0)),"Di luar periode")</f>
        <v>Hari Kerja</v>
      </c>
      <c r="N210" s="71">
        <f t="shared" si="28"/>
        <v>0</v>
      </c>
      <c r="O210" s="71">
        <f t="shared" si="29"/>
        <v>1</v>
      </c>
      <c r="P210" s="71">
        <f t="shared" si="30"/>
        <v>0</v>
      </c>
      <c r="Q210" s="71">
        <f t="shared" si="31"/>
        <v>0</v>
      </c>
      <c r="R210" s="71">
        <f t="shared" si="32"/>
        <v>0</v>
      </c>
      <c r="S210" s="71">
        <f t="shared" si="33"/>
        <v>0</v>
      </c>
      <c r="T210" s="71">
        <f t="shared" si="34"/>
        <v>0</v>
      </c>
      <c r="U210" s="71">
        <f>IF(AND(N210=1,V210=1),IF(COUNTIFS(AKTIVITAS!$B$2:$B$3052,B210,AKTIVITAS!$E$2:$E$3052,H210)&gt;0,1,0),0)</f>
        <v>0</v>
      </c>
      <c r="V210" s="71">
        <f>IFERROR(IF(AND(H210&gt;=INDEX(PEMAGANG!$J$3:$J$36,MATCH(B210,PEMAGANG!$C$3:$C$36,0)),H210&lt;=INDEX(PEMAGANG!$K$3:$K$36,MATCH(B210,PEMAGANG!$C$3:$C$36,0))),1,0),0)</f>
        <v>1</v>
      </c>
      <c r="W210" s="71">
        <f t="shared" si="35"/>
        <v>0</v>
      </c>
    </row>
    <row r="211" spans="1:23" x14ac:dyDescent="0.2">
      <c r="A211" s="71" t="s">
        <v>249</v>
      </c>
      <c r="B211" s="71" t="s">
        <v>250</v>
      </c>
      <c r="C211" s="71" t="s">
        <v>187</v>
      </c>
      <c r="D211" s="71" t="s">
        <v>220</v>
      </c>
      <c r="E211" s="71" t="s">
        <v>345</v>
      </c>
      <c r="F211" s="71" t="s">
        <v>298</v>
      </c>
      <c r="G211" s="88">
        <v>46265.307997685202</v>
      </c>
      <c r="H211" s="89">
        <v>46265</v>
      </c>
      <c r="I211" s="71" t="s">
        <v>311</v>
      </c>
      <c r="J211" s="71">
        <v>-37</v>
      </c>
      <c r="K211" s="71" t="s">
        <v>302</v>
      </c>
      <c r="L211" s="71">
        <f t="shared" si="27"/>
        <v>8</v>
      </c>
      <c r="M211" s="71" t="str">
        <f>IFERROR(INDEX(KALENDER!$D$3:$D$132,MATCH(H211,KALENDER!$A$3:$A$132,0)),"Di luar periode")</f>
        <v>Hari Kerja</v>
      </c>
      <c r="N211" s="71">
        <f t="shared" si="28"/>
        <v>1</v>
      </c>
      <c r="O211" s="71">
        <f t="shared" si="29"/>
        <v>1</v>
      </c>
      <c r="P211" s="71">
        <f t="shared" si="30"/>
        <v>1</v>
      </c>
      <c r="Q211" s="71">
        <f t="shared" si="31"/>
        <v>0</v>
      </c>
      <c r="R211" s="71">
        <f t="shared" si="32"/>
        <v>0</v>
      </c>
      <c r="S211" s="71">
        <f t="shared" si="33"/>
        <v>0</v>
      </c>
      <c r="T211" s="71">
        <f t="shared" si="34"/>
        <v>0</v>
      </c>
      <c r="U211" s="71">
        <f>IF(AND(N211=1,V211=1),IF(COUNTIFS(AKTIVITAS!$B$2:$B$3052,B211,AKTIVITAS!$E$2:$E$3052,H211)&gt;0,1,0),0)</f>
        <v>1</v>
      </c>
      <c r="V211" s="71">
        <f>IFERROR(IF(AND(H211&gt;=INDEX(PEMAGANG!$J$3:$J$36,MATCH(B211,PEMAGANG!$C$3:$C$36,0)),H211&lt;=INDEX(PEMAGANG!$K$3:$K$36,MATCH(B211,PEMAGANG!$C$3:$C$36,0))),1,0),0)</f>
        <v>1</v>
      </c>
      <c r="W211" s="71">
        <f t="shared" si="35"/>
        <v>1</v>
      </c>
    </row>
    <row r="212" spans="1:23" x14ac:dyDescent="0.2">
      <c r="A212" s="71" t="s">
        <v>249</v>
      </c>
      <c r="B212" s="71" t="s">
        <v>250</v>
      </c>
      <c r="C212" s="71" t="s">
        <v>187</v>
      </c>
      <c r="D212" s="71" t="s">
        <v>220</v>
      </c>
      <c r="E212" s="71" t="s">
        <v>345</v>
      </c>
      <c r="F212" s="71" t="s">
        <v>300</v>
      </c>
      <c r="G212" s="88">
        <v>46265.696956018503</v>
      </c>
      <c r="H212" s="89">
        <v>46265</v>
      </c>
      <c r="I212" s="71" t="s">
        <v>347</v>
      </c>
      <c r="J212" s="71">
        <v>0</v>
      </c>
      <c r="K212" s="71" t="s">
        <v>302</v>
      </c>
      <c r="L212" s="71">
        <f t="shared" si="27"/>
        <v>8</v>
      </c>
      <c r="M212" s="71" t="str">
        <f>IFERROR(INDEX(KALENDER!$D$3:$D$132,MATCH(H212,KALENDER!$A$3:$A$132,0)),"Di luar periode")</f>
        <v>Hari Kerja</v>
      </c>
      <c r="N212" s="71">
        <f t="shared" si="28"/>
        <v>0</v>
      </c>
      <c r="O212" s="71">
        <f t="shared" si="29"/>
        <v>1</v>
      </c>
      <c r="P212" s="71">
        <f t="shared" si="30"/>
        <v>0</v>
      </c>
      <c r="Q212" s="71">
        <f t="shared" si="31"/>
        <v>0</v>
      </c>
      <c r="R212" s="71">
        <f t="shared" si="32"/>
        <v>0</v>
      </c>
      <c r="S212" s="71">
        <f t="shared" si="33"/>
        <v>0</v>
      </c>
      <c r="T212" s="71">
        <f t="shared" si="34"/>
        <v>0</v>
      </c>
      <c r="U212" s="71">
        <f>IF(AND(N212=1,V212=1),IF(COUNTIFS(AKTIVITAS!$B$2:$B$3052,B212,AKTIVITAS!$E$2:$E$3052,H212)&gt;0,1,0),0)</f>
        <v>0</v>
      </c>
      <c r="V212" s="71">
        <f>IFERROR(IF(AND(H212&gt;=INDEX(PEMAGANG!$J$3:$J$36,MATCH(B212,PEMAGANG!$C$3:$C$36,0)),H212&lt;=INDEX(PEMAGANG!$K$3:$K$36,MATCH(B212,PEMAGANG!$C$3:$C$36,0))),1,0),0)</f>
        <v>1</v>
      </c>
      <c r="W212" s="71">
        <f t="shared" si="35"/>
        <v>0</v>
      </c>
    </row>
    <row r="213" spans="1:23" x14ac:dyDescent="0.2">
      <c r="A213" s="71" t="s">
        <v>249</v>
      </c>
      <c r="B213" s="71" t="s">
        <v>250</v>
      </c>
      <c r="C213" s="71" t="s">
        <v>187</v>
      </c>
      <c r="D213" s="71" t="s">
        <v>220</v>
      </c>
      <c r="E213" s="71" t="s">
        <v>345</v>
      </c>
      <c r="F213" s="71" t="s">
        <v>298</v>
      </c>
      <c r="G213" s="88">
        <v>46266.309131944399</v>
      </c>
      <c r="H213" s="89">
        <v>46266</v>
      </c>
      <c r="I213" s="71" t="s">
        <v>307</v>
      </c>
      <c r="J213" s="71">
        <v>-35</v>
      </c>
      <c r="K213" s="71" t="s">
        <v>302</v>
      </c>
      <c r="L213" s="71">
        <f t="shared" si="27"/>
        <v>9</v>
      </c>
      <c r="M213" s="71" t="str">
        <f>IFERROR(INDEX(KALENDER!$D$3:$D$132,MATCH(H213,KALENDER!$A$3:$A$132,0)),"Di luar periode")</f>
        <v>Hari Kerja</v>
      </c>
      <c r="N213" s="71">
        <f t="shared" si="28"/>
        <v>1</v>
      </c>
      <c r="O213" s="71">
        <f t="shared" si="29"/>
        <v>1</v>
      </c>
      <c r="P213" s="71">
        <f t="shared" si="30"/>
        <v>1</v>
      </c>
      <c r="Q213" s="71">
        <f t="shared" si="31"/>
        <v>0</v>
      </c>
      <c r="R213" s="71">
        <f t="shared" si="32"/>
        <v>0</v>
      </c>
      <c r="S213" s="71">
        <f t="shared" si="33"/>
        <v>0</v>
      </c>
      <c r="T213" s="71">
        <f t="shared" si="34"/>
        <v>0</v>
      </c>
      <c r="U213" s="71">
        <f>IF(AND(N213=1,V213=1),IF(COUNTIFS(AKTIVITAS!$B$2:$B$3052,B213,AKTIVITAS!$E$2:$E$3052,H213)&gt;0,1,0),0)</f>
        <v>1</v>
      </c>
      <c r="V213" s="71">
        <f>IFERROR(IF(AND(H213&gt;=INDEX(PEMAGANG!$J$3:$J$36,MATCH(B213,PEMAGANG!$C$3:$C$36,0)),H213&lt;=INDEX(PEMAGANG!$K$3:$K$36,MATCH(B213,PEMAGANG!$C$3:$C$36,0))),1,0),0)</f>
        <v>1</v>
      </c>
      <c r="W213" s="71">
        <f t="shared" si="35"/>
        <v>1</v>
      </c>
    </row>
    <row r="214" spans="1:23" x14ac:dyDescent="0.2">
      <c r="A214" s="71" t="s">
        <v>249</v>
      </c>
      <c r="B214" s="71" t="s">
        <v>250</v>
      </c>
      <c r="C214" s="71" t="s">
        <v>187</v>
      </c>
      <c r="D214" s="71" t="s">
        <v>220</v>
      </c>
      <c r="E214" s="71" t="s">
        <v>345</v>
      </c>
      <c r="F214" s="71" t="s">
        <v>300</v>
      </c>
      <c r="G214" s="88">
        <v>46266.691539351901</v>
      </c>
      <c r="H214" s="89">
        <v>46266</v>
      </c>
      <c r="I214" s="71" t="s">
        <v>310</v>
      </c>
      <c r="J214" s="71">
        <v>0</v>
      </c>
      <c r="K214" s="71" t="s">
        <v>302</v>
      </c>
      <c r="L214" s="71">
        <f t="shared" si="27"/>
        <v>9</v>
      </c>
      <c r="M214" s="71" t="str">
        <f>IFERROR(INDEX(KALENDER!$D$3:$D$132,MATCH(H214,KALENDER!$A$3:$A$132,0)),"Di luar periode")</f>
        <v>Hari Kerja</v>
      </c>
      <c r="N214" s="71">
        <f t="shared" si="28"/>
        <v>0</v>
      </c>
      <c r="O214" s="71">
        <f t="shared" si="29"/>
        <v>1</v>
      </c>
      <c r="P214" s="71">
        <f t="shared" si="30"/>
        <v>0</v>
      </c>
      <c r="Q214" s="71">
        <f t="shared" si="31"/>
        <v>0</v>
      </c>
      <c r="R214" s="71">
        <f t="shared" si="32"/>
        <v>0</v>
      </c>
      <c r="S214" s="71">
        <f t="shared" si="33"/>
        <v>0</v>
      </c>
      <c r="T214" s="71">
        <f t="shared" si="34"/>
        <v>0</v>
      </c>
      <c r="U214" s="71">
        <f>IF(AND(N214=1,V214=1),IF(COUNTIFS(AKTIVITAS!$B$2:$B$3052,B214,AKTIVITAS!$E$2:$E$3052,H214)&gt;0,1,0),0)</f>
        <v>0</v>
      </c>
      <c r="V214" s="71">
        <f>IFERROR(IF(AND(H214&gt;=INDEX(PEMAGANG!$J$3:$J$36,MATCH(B214,PEMAGANG!$C$3:$C$36,0)),H214&lt;=INDEX(PEMAGANG!$K$3:$K$36,MATCH(B214,PEMAGANG!$C$3:$C$36,0))),1,0),0)</f>
        <v>1</v>
      </c>
      <c r="W214" s="71">
        <f t="shared" si="35"/>
        <v>0</v>
      </c>
    </row>
    <row r="215" spans="1:23" x14ac:dyDescent="0.2">
      <c r="A215" s="71" t="s">
        <v>249</v>
      </c>
      <c r="B215" s="71" t="s">
        <v>250</v>
      </c>
      <c r="C215" s="71" t="s">
        <v>187</v>
      </c>
      <c r="D215" s="71" t="s">
        <v>220</v>
      </c>
      <c r="E215" s="71" t="s">
        <v>345</v>
      </c>
      <c r="F215" s="71" t="s">
        <v>298</v>
      </c>
      <c r="G215" s="88">
        <v>46267.310046296298</v>
      </c>
      <c r="H215" s="89">
        <v>46267</v>
      </c>
      <c r="I215" s="71" t="s">
        <v>315</v>
      </c>
      <c r="J215" s="71">
        <v>-34</v>
      </c>
      <c r="K215" s="71" t="s">
        <v>302</v>
      </c>
      <c r="L215" s="71">
        <f t="shared" si="27"/>
        <v>9</v>
      </c>
      <c r="M215" s="71" t="str">
        <f>IFERROR(INDEX(KALENDER!$D$3:$D$132,MATCH(H215,KALENDER!$A$3:$A$132,0)),"Di luar periode")</f>
        <v>Hari Kerja</v>
      </c>
      <c r="N215" s="71">
        <f t="shared" si="28"/>
        <v>1</v>
      </c>
      <c r="O215" s="71">
        <f t="shared" si="29"/>
        <v>1</v>
      </c>
      <c r="P215" s="71">
        <f t="shared" si="30"/>
        <v>1</v>
      </c>
      <c r="Q215" s="71">
        <f t="shared" si="31"/>
        <v>0</v>
      </c>
      <c r="R215" s="71">
        <f t="shared" si="32"/>
        <v>0</v>
      </c>
      <c r="S215" s="71">
        <f t="shared" si="33"/>
        <v>0</v>
      </c>
      <c r="T215" s="71">
        <f t="shared" si="34"/>
        <v>0</v>
      </c>
      <c r="U215" s="71">
        <f>IF(AND(N215=1,V215=1),IF(COUNTIFS(AKTIVITAS!$B$2:$B$3052,B215,AKTIVITAS!$E$2:$E$3052,H215)&gt;0,1,0),0)</f>
        <v>1</v>
      </c>
      <c r="V215" s="71">
        <f>IFERROR(IF(AND(H215&gt;=INDEX(PEMAGANG!$J$3:$J$36,MATCH(B215,PEMAGANG!$C$3:$C$36,0)),H215&lt;=INDEX(PEMAGANG!$K$3:$K$36,MATCH(B215,PEMAGANG!$C$3:$C$36,0))),1,0),0)</f>
        <v>1</v>
      </c>
      <c r="W215" s="71">
        <f t="shared" si="35"/>
        <v>1</v>
      </c>
    </row>
    <row r="216" spans="1:23" x14ac:dyDescent="0.2">
      <c r="A216" s="71" t="s">
        <v>249</v>
      </c>
      <c r="B216" s="71" t="s">
        <v>250</v>
      </c>
      <c r="C216" s="71" t="s">
        <v>187</v>
      </c>
      <c r="D216" s="71" t="s">
        <v>220</v>
      </c>
      <c r="E216" s="71" t="s">
        <v>345</v>
      </c>
      <c r="F216" s="71" t="s">
        <v>300</v>
      </c>
      <c r="G216" s="88">
        <v>46267.694340277798</v>
      </c>
      <c r="H216" s="89">
        <v>46267</v>
      </c>
      <c r="I216" s="71" t="s">
        <v>308</v>
      </c>
      <c r="J216" s="71">
        <v>0</v>
      </c>
      <c r="K216" s="71" t="s">
        <v>302</v>
      </c>
      <c r="L216" s="71">
        <f t="shared" si="27"/>
        <v>9</v>
      </c>
      <c r="M216" s="71" t="str">
        <f>IFERROR(INDEX(KALENDER!$D$3:$D$132,MATCH(H216,KALENDER!$A$3:$A$132,0)),"Di luar periode")</f>
        <v>Hari Kerja</v>
      </c>
      <c r="N216" s="71">
        <f t="shared" si="28"/>
        <v>0</v>
      </c>
      <c r="O216" s="71">
        <f t="shared" si="29"/>
        <v>1</v>
      </c>
      <c r="P216" s="71">
        <f t="shared" si="30"/>
        <v>0</v>
      </c>
      <c r="Q216" s="71">
        <f t="shared" si="31"/>
        <v>0</v>
      </c>
      <c r="R216" s="71">
        <f t="shared" si="32"/>
        <v>0</v>
      </c>
      <c r="S216" s="71">
        <f t="shared" si="33"/>
        <v>0</v>
      </c>
      <c r="T216" s="71">
        <f t="shared" si="34"/>
        <v>0</v>
      </c>
      <c r="U216" s="71">
        <f>IF(AND(N216=1,V216=1),IF(COUNTIFS(AKTIVITAS!$B$2:$B$3052,B216,AKTIVITAS!$E$2:$E$3052,H216)&gt;0,1,0),0)</f>
        <v>0</v>
      </c>
      <c r="V216" s="71">
        <f>IFERROR(IF(AND(H216&gt;=INDEX(PEMAGANG!$J$3:$J$36,MATCH(B216,PEMAGANG!$C$3:$C$36,0)),H216&lt;=INDEX(PEMAGANG!$K$3:$K$36,MATCH(B216,PEMAGANG!$C$3:$C$36,0))),1,0),0)</f>
        <v>1</v>
      </c>
      <c r="W216" s="71">
        <f t="shared" si="35"/>
        <v>0</v>
      </c>
    </row>
    <row r="217" spans="1:23" x14ac:dyDescent="0.2">
      <c r="A217" s="71" t="s">
        <v>249</v>
      </c>
      <c r="B217" s="71" t="s">
        <v>250</v>
      </c>
      <c r="C217" s="71" t="s">
        <v>187</v>
      </c>
      <c r="D217" s="71" t="s">
        <v>220</v>
      </c>
      <c r="E217" s="71" t="s">
        <v>345</v>
      </c>
      <c r="F217" s="71" t="s">
        <v>298</v>
      </c>
      <c r="G217" s="88">
        <v>46268.309004629598</v>
      </c>
      <c r="H217" s="89">
        <v>46268</v>
      </c>
      <c r="I217" s="71" t="s">
        <v>303</v>
      </c>
      <c r="J217" s="71">
        <v>-36</v>
      </c>
      <c r="K217" s="71" t="s">
        <v>302</v>
      </c>
      <c r="L217" s="71">
        <f t="shared" si="27"/>
        <v>9</v>
      </c>
      <c r="M217" s="71" t="str">
        <f>IFERROR(INDEX(KALENDER!$D$3:$D$132,MATCH(H217,KALENDER!$A$3:$A$132,0)),"Di luar periode")</f>
        <v>Hari Kerja</v>
      </c>
      <c r="N217" s="71">
        <f t="shared" si="28"/>
        <v>1</v>
      </c>
      <c r="O217" s="71">
        <f t="shared" si="29"/>
        <v>1</v>
      </c>
      <c r="P217" s="71">
        <f t="shared" si="30"/>
        <v>1</v>
      </c>
      <c r="Q217" s="71">
        <f t="shared" si="31"/>
        <v>0</v>
      </c>
      <c r="R217" s="71">
        <f t="shared" si="32"/>
        <v>0</v>
      </c>
      <c r="S217" s="71">
        <f t="shared" si="33"/>
        <v>0</v>
      </c>
      <c r="T217" s="71">
        <f t="shared" si="34"/>
        <v>0</v>
      </c>
      <c r="U217" s="71">
        <f>IF(AND(N217=1,V217=1),IF(COUNTIFS(AKTIVITAS!$B$2:$B$3052,B217,AKTIVITAS!$E$2:$E$3052,H217)&gt;0,1,0),0)</f>
        <v>1</v>
      </c>
      <c r="V217" s="71">
        <f>IFERROR(IF(AND(H217&gt;=INDEX(PEMAGANG!$J$3:$J$36,MATCH(B217,PEMAGANG!$C$3:$C$36,0)),H217&lt;=INDEX(PEMAGANG!$K$3:$K$36,MATCH(B217,PEMAGANG!$C$3:$C$36,0))),1,0),0)</f>
        <v>1</v>
      </c>
      <c r="W217" s="71">
        <f t="shared" si="35"/>
        <v>1</v>
      </c>
    </row>
    <row r="218" spans="1:23" x14ac:dyDescent="0.2">
      <c r="A218" s="71" t="s">
        <v>249</v>
      </c>
      <c r="B218" s="71" t="s">
        <v>250</v>
      </c>
      <c r="C218" s="71" t="s">
        <v>187</v>
      </c>
      <c r="D218" s="71" t="s">
        <v>220</v>
      </c>
      <c r="E218" s="71" t="s">
        <v>345</v>
      </c>
      <c r="F218" s="71" t="s">
        <v>300</v>
      </c>
      <c r="G218" s="88">
        <v>46268.708726851903</v>
      </c>
      <c r="H218" s="89">
        <v>46268</v>
      </c>
      <c r="I218" s="71" t="s">
        <v>350</v>
      </c>
      <c r="J218" s="71">
        <v>0</v>
      </c>
      <c r="K218" s="71" t="s">
        <v>302</v>
      </c>
      <c r="L218" s="71">
        <f t="shared" si="27"/>
        <v>9</v>
      </c>
      <c r="M218" s="71" t="str">
        <f>IFERROR(INDEX(KALENDER!$D$3:$D$132,MATCH(H218,KALENDER!$A$3:$A$132,0)),"Di luar periode")</f>
        <v>Hari Kerja</v>
      </c>
      <c r="N218" s="71">
        <f t="shared" si="28"/>
        <v>0</v>
      </c>
      <c r="O218" s="71">
        <f t="shared" si="29"/>
        <v>1</v>
      </c>
      <c r="P218" s="71">
        <f t="shared" si="30"/>
        <v>0</v>
      </c>
      <c r="Q218" s="71">
        <f t="shared" si="31"/>
        <v>0</v>
      </c>
      <c r="R218" s="71">
        <f t="shared" si="32"/>
        <v>0</v>
      </c>
      <c r="S218" s="71">
        <f t="shared" si="33"/>
        <v>0</v>
      </c>
      <c r="T218" s="71">
        <f t="shared" si="34"/>
        <v>0</v>
      </c>
      <c r="U218" s="71">
        <f>IF(AND(N218=1,V218=1),IF(COUNTIFS(AKTIVITAS!$B$2:$B$3052,B218,AKTIVITAS!$E$2:$E$3052,H218)&gt;0,1,0),0)</f>
        <v>0</v>
      </c>
      <c r="V218" s="71">
        <f>IFERROR(IF(AND(H218&gt;=INDEX(PEMAGANG!$J$3:$J$36,MATCH(B218,PEMAGANG!$C$3:$C$36,0)),H218&lt;=INDEX(PEMAGANG!$K$3:$K$36,MATCH(B218,PEMAGANG!$C$3:$C$36,0))),1,0),0)</f>
        <v>1</v>
      </c>
      <c r="W218" s="71">
        <f t="shared" si="35"/>
        <v>0</v>
      </c>
    </row>
    <row r="219" spans="1:23" x14ac:dyDescent="0.2">
      <c r="A219" s="71" t="s">
        <v>249</v>
      </c>
      <c r="B219" s="71" t="s">
        <v>250</v>
      </c>
      <c r="C219" s="71" t="s">
        <v>187</v>
      </c>
      <c r="D219" s="71" t="s">
        <v>220</v>
      </c>
      <c r="E219" s="71" t="s">
        <v>345</v>
      </c>
      <c r="F219" s="71" t="s">
        <v>300</v>
      </c>
      <c r="G219" s="88">
        <v>46269.690439814804</v>
      </c>
      <c r="H219" s="89">
        <v>46269</v>
      </c>
      <c r="I219" s="71" t="s">
        <v>314</v>
      </c>
      <c r="J219" s="71">
        <v>0</v>
      </c>
      <c r="K219" s="71" t="s">
        <v>302</v>
      </c>
      <c r="L219" s="71">
        <f t="shared" si="27"/>
        <v>9</v>
      </c>
      <c r="M219" s="71" t="str">
        <f>IFERROR(INDEX(KALENDER!$D$3:$D$132,MATCH(H219,KALENDER!$A$3:$A$132,0)),"Di luar periode")</f>
        <v>Hari Kerja</v>
      </c>
      <c r="N219" s="71">
        <f t="shared" si="28"/>
        <v>1</v>
      </c>
      <c r="O219" s="71">
        <f t="shared" si="29"/>
        <v>0</v>
      </c>
      <c r="P219" s="71">
        <f t="shared" si="30"/>
        <v>1</v>
      </c>
      <c r="Q219" s="71">
        <f t="shared" si="31"/>
        <v>0</v>
      </c>
      <c r="R219" s="71">
        <f t="shared" si="32"/>
        <v>0</v>
      </c>
      <c r="S219" s="71">
        <f t="shared" si="33"/>
        <v>0</v>
      </c>
      <c r="T219" s="71">
        <f t="shared" si="34"/>
        <v>0</v>
      </c>
      <c r="U219" s="71">
        <f>IF(AND(N219=1,V219=1),IF(COUNTIFS(AKTIVITAS!$B$2:$B$3052,B219,AKTIVITAS!$E$2:$E$3052,H219)&gt;0,1,0),0)</f>
        <v>1</v>
      </c>
      <c r="V219" s="71">
        <f>IFERROR(IF(AND(H219&gt;=INDEX(PEMAGANG!$J$3:$J$36,MATCH(B219,PEMAGANG!$C$3:$C$36,0)),H219&lt;=INDEX(PEMAGANG!$K$3:$K$36,MATCH(B219,PEMAGANG!$C$3:$C$36,0))),1,0),0)</f>
        <v>1</v>
      </c>
      <c r="W219" s="71">
        <f t="shared" si="35"/>
        <v>1</v>
      </c>
    </row>
    <row r="220" spans="1:23" x14ac:dyDescent="0.2">
      <c r="A220" s="71" t="s">
        <v>249</v>
      </c>
      <c r="B220" s="71" t="s">
        <v>250</v>
      </c>
      <c r="C220" s="71" t="s">
        <v>187</v>
      </c>
      <c r="D220" s="71" t="s">
        <v>220</v>
      </c>
      <c r="E220" s="71" t="s">
        <v>345</v>
      </c>
      <c r="F220" s="71" t="s">
        <v>298</v>
      </c>
      <c r="G220" s="88">
        <v>46272.308807870402</v>
      </c>
      <c r="H220" s="89">
        <v>46272</v>
      </c>
      <c r="I220" s="71" t="s">
        <v>303</v>
      </c>
      <c r="J220" s="71">
        <v>-36</v>
      </c>
      <c r="K220" s="71" t="s">
        <v>302</v>
      </c>
      <c r="L220" s="71">
        <f t="shared" si="27"/>
        <v>9</v>
      </c>
      <c r="M220" s="71" t="str">
        <f>IFERROR(INDEX(KALENDER!$D$3:$D$132,MATCH(H220,KALENDER!$A$3:$A$132,0)),"Di luar periode")</f>
        <v>Hari Kerja</v>
      </c>
      <c r="N220" s="71">
        <f t="shared" si="28"/>
        <v>1</v>
      </c>
      <c r="O220" s="71">
        <f t="shared" si="29"/>
        <v>1</v>
      </c>
      <c r="P220" s="71">
        <f t="shared" si="30"/>
        <v>1</v>
      </c>
      <c r="Q220" s="71">
        <f t="shared" si="31"/>
        <v>0</v>
      </c>
      <c r="R220" s="71">
        <f t="shared" si="32"/>
        <v>0</v>
      </c>
      <c r="S220" s="71">
        <f t="shared" si="33"/>
        <v>0</v>
      </c>
      <c r="T220" s="71">
        <f t="shared" si="34"/>
        <v>0</v>
      </c>
      <c r="U220" s="71">
        <f>IF(AND(N220=1,V220=1),IF(COUNTIFS(AKTIVITAS!$B$2:$B$3052,B220,AKTIVITAS!$E$2:$E$3052,H220)&gt;0,1,0),0)</f>
        <v>1</v>
      </c>
      <c r="V220" s="71">
        <f>IFERROR(IF(AND(H220&gt;=INDEX(PEMAGANG!$J$3:$J$36,MATCH(B220,PEMAGANG!$C$3:$C$36,0)),H220&lt;=INDEX(PEMAGANG!$K$3:$K$36,MATCH(B220,PEMAGANG!$C$3:$C$36,0))),1,0),0)</f>
        <v>1</v>
      </c>
      <c r="W220" s="71">
        <f t="shared" si="35"/>
        <v>1</v>
      </c>
    </row>
    <row r="221" spans="1:23" x14ac:dyDescent="0.2">
      <c r="A221" s="71" t="s">
        <v>249</v>
      </c>
      <c r="B221" s="71" t="s">
        <v>250</v>
      </c>
      <c r="C221" s="71" t="s">
        <v>187</v>
      </c>
      <c r="D221" s="71" t="s">
        <v>220</v>
      </c>
      <c r="E221" s="71" t="s">
        <v>345</v>
      </c>
      <c r="F221" s="71" t="s">
        <v>300</v>
      </c>
      <c r="G221" s="88">
        <v>46272.690115740697</v>
      </c>
      <c r="H221" s="89">
        <v>46272</v>
      </c>
      <c r="I221" s="71" t="s">
        <v>316</v>
      </c>
      <c r="J221" s="71">
        <v>0</v>
      </c>
      <c r="K221" s="71" t="s">
        <v>302</v>
      </c>
      <c r="L221" s="71">
        <f t="shared" si="27"/>
        <v>9</v>
      </c>
      <c r="M221" s="71" t="str">
        <f>IFERROR(INDEX(KALENDER!$D$3:$D$132,MATCH(H221,KALENDER!$A$3:$A$132,0)),"Di luar periode")</f>
        <v>Hari Kerja</v>
      </c>
      <c r="N221" s="71">
        <f t="shared" si="28"/>
        <v>0</v>
      </c>
      <c r="O221" s="71">
        <f t="shared" si="29"/>
        <v>1</v>
      </c>
      <c r="P221" s="71">
        <f t="shared" si="30"/>
        <v>0</v>
      </c>
      <c r="Q221" s="71">
        <f t="shared" si="31"/>
        <v>0</v>
      </c>
      <c r="R221" s="71">
        <f t="shared" si="32"/>
        <v>0</v>
      </c>
      <c r="S221" s="71">
        <f t="shared" si="33"/>
        <v>0</v>
      </c>
      <c r="T221" s="71">
        <f t="shared" si="34"/>
        <v>0</v>
      </c>
      <c r="U221" s="71">
        <f>IF(AND(N221=1,V221=1),IF(COUNTIFS(AKTIVITAS!$B$2:$B$3052,B221,AKTIVITAS!$E$2:$E$3052,H221)&gt;0,1,0),0)</f>
        <v>0</v>
      </c>
      <c r="V221" s="71">
        <f>IFERROR(IF(AND(H221&gt;=INDEX(PEMAGANG!$J$3:$J$36,MATCH(B221,PEMAGANG!$C$3:$C$36,0)),H221&lt;=INDEX(PEMAGANG!$K$3:$K$36,MATCH(B221,PEMAGANG!$C$3:$C$36,0))),1,0),0)</f>
        <v>1</v>
      </c>
      <c r="W221" s="71">
        <f t="shared" si="35"/>
        <v>0</v>
      </c>
    </row>
    <row r="222" spans="1:23" x14ac:dyDescent="0.2">
      <c r="A222" s="71" t="s">
        <v>249</v>
      </c>
      <c r="B222" s="71" t="s">
        <v>250</v>
      </c>
      <c r="C222" s="71" t="s">
        <v>187</v>
      </c>
      <c r="D222" s="71" t="s">
        <v>220</v>
      </c>
      <c r="E222" s="71" t="s">
        <v>345</v>
      </c>
      <c r="F222" s="71" t="s">
        <v>298</v>
      </c>
      <c r="G222" s="88">
        <v>46273.309166666702</v>
      </c>
      <c r="H222" s="89">
        <v>46273</v>
      </c>
      <c r="I222" s="71" t="s">
        <v>307</v>
      </c>
      <c r="J222" s="71">
        <v>-35</v>
      </c>
      <c r="K222" s="71" t="s">
        <v>302</v>
      </c>
      <c r="L222" s="71">
        <f t="shared" si="27"/>
        <v>9</v>
      </c>
      <c r="M222" s="71" t="str">
        <f>IFERROR(INDEX(KALENDER!$D$3:$D$132,MATCH(H222,KALENDER!$A$3:$A$132,0)),"Di luar periode")</f>
        <v>Hari Kerja</v>
      </c>
      <c r="N222" s="71">
        <f t="shared" si="28"/>
        <v>1</v>
      </c>
      <c r="O222" s="71">
        <f t="shared" si="29"/>
        <v>1</v>
      </c>
      <c r="P222" s="71">
        <f t="shared" si="30"/>
        <v>1</v>
      </c>
      <c r="Q222" s="71">
        <f t="shared" si="31"/>
        <v>0</v>
      </c>
      <c r="R222" s="71">
        <f t="shared" si="32"/>
        <v>0</v>
      </c>
      <c r="S222" s="71">
        <f t="shared" si="33"/>
        <v>0</v>
      </c>
      <c r="T222" s="71">
        <f t="shared" si="34"/>
        <v>0</v>
      </c>
      <c r="U222" s="71">
        <f>IF(AND(N222=1,V222=1),IF(COUNTIFS(AKTIVITAS!$B$2:$B$3052,B222,AKTIVITAS!$E$2:$E$3052,H222)&gt;0,1,0),0)</f>
        <v>1</v>
      </c>
      <c r="V222" s="71">
        <f>IFERROR(IF(AND(H222&gt;=INDEX(PEMAGANG!$J$3:$J$36,MATCH(B222,PEMAGANG!$C$3:$C$36,0)),H222&lt;=INDEX(PEMAGANG!$K$3:$K$36,MATCH(B222,PEMAGANG!$C$3:$C$36,0))),1,0),0)</f>
        <v>1</v>
      </c>
      <c r="W222" s="71">
        <f t="shared" si="35"/>
        <v>1</v>
      </c>
    </row>
    <row r="223" spans="1:23" x14ac:dyDescent="0.2">
      <c r="A223" s="71" t="s">
        <v>249</v>
      </c>
      <c r="B223" s="71" t="s">
        <v>250</v>
      </c>
      <c r="C223" s="71" t="s">
        <v>187</v>
      </c>
      <c r="D223" s="71" t="s">
        <v>220</v>
      </c>
      <c r="E223" s="71" t="s">
        <v>345</v>
      </c>
      <c r="F223" s="71" t="s">
        <v>300</v>
      </c>
      <c r="G223" s="88">
        <v>46273.692361111098</v>
      </c>
      <c r="H223" s="89">
        <v>46273</v>
      </c>
      <c r="I223" s="71" t="s">
        <v>328</v>
      </c>
      <c r="J223" s="71">
        <v>0</v>
      </c>
      <c r="K223" s="71" t="s">
        <v>302</v>
      </c>
      <c r="L223" s="71">
        <f t="shared" si="27"/>
        <v>9</v>
      </c>
      <c r="M223" s="71" t="str">
        <f>IFERROR(INDEX(KALENDER!$D$3:$D$132,MATCH(H223,KALENDER!$A$3:$A$132,0)),"Di luar periode")</f>
        <v>Hari Kerja</v>
      </c>
      <c r="N223" s="71">
        <f t="shared" si="28"/>
        <v>0</v>
      </c>
      <c r="O223" s="71">
        <f t="shared" si="29"/>
        <v>1</v>
      </c>
      <c r="P223" s="71">
        <f t="shared" si="30"/>
        <v>0</v>
      </c>
      <c r="Q223" s="71">
        <f t="shared" si="31"/>
        <v>0</v>
      </c>
      <c r="R223" s="71">
        <f t="shared" si="32"/>
        <v>0</v>
      </c>
      <c r="S223" s="71">
        <f t="shared" si="33"/>
        <v>0</v>
      </c>
      <c r="T223" s="71">
        <f t="shared" si="34"/>
        <v>0</v>
      </c>
      <c r="U223" s="71">
        <f>IF(AND(N223=1,V223=1),IF(COUNTIFS(AKTIVITAS!$B$2:$B$3052,B223,AKTIVITAS!$E$2:$E$3052,H223)&gt;0,1,0),0)</f>
        <v>0</v>
      </c>
      <c r="V223" s="71">
        <f>IFERROR(IF(AND(H223&gt;=INDEX(PEMAGANG!$J$3:$J$36,MATCH(B223,PEMAGANG!$C$3:$C$36,0)),H223&lt;=INDEX(PEMAGANG!$K$3:$K$36,MATCH(B223,PEMAGANG!$C$3:$C$36,0))),1,0),0)</f>
        <v>1</v>
      </c>
      <c r="W223" s="71">
        <f t="shared" si="35"/>
        <v>0</v>
      </c>
    </row>
    <row r="224" spans="1:23" x14ac:dyDescent="0.2">
      <c r="A224" s="71" t="s">
        <v>249</v>
      </c>
      <c r="B224" s="71" t="s">
        <v>250</v>
      </c>
      <c r="C224" s="71" t="s">
        <v>187</v>
      </c>
      <c r="D224" s="71" t="s">
        <v>220</v>
      </c>
      <c r="E224" s="71" t="s">
        <v>345</v>
      </c>
      <c r="F224" s="71" t="s">
        <v>298</v>
      </c>
      <c r="G224" s="88">
        <v>46274.3102546296</v>
      </c>
      <c r="H224" s="89">
        <v>46274</v>
      </c>
      <c r="I224" s="71" t="s">
        <v>315</v>
      </c>
      <c r="J224" s="71">
        <v>-34</v>
      </c>
      <c r="K224" s="71" t="s">
        <v>302</v>
      </c>
      <c r="L224" s="71">
        <f t="shared" si="27"/>
        <v>9</v>
      </c>
      <c r="M224" s="71" t="str">
        <f>IFERROR(INDEX(KALENDER!$D$3:$D$132,MATCH(H224,KALENDER!$A$3:$A$132,0)),"Di luar periode")</f>
        <v>Hari Kerja</v>
      </c>
      <c r="N224" s="71">
        <f t="shared" si="28"/>
        <v>1</v>
      </c>
      <c r="O224" s="71">
        <f t="shared" si="29"/>
        <v>1</v>
      </c>
      <c r="P224" s="71">
        <f t="shared" si="30"/>
        <v>1</v>
      </c>
      <c r="Q224" s="71">
        <f t="shared" si="31"/>
        <v>0</v>
      </c>
      <c r="R224" s="71">
        <f t="shared" si="32"/>
        <v>0</v>
      </c>
      <c r="S224" s="71">
        <f t="shared" si="33"/>
        <v>0</v>
      </c>
      <c r="T224" s="71">
        <f t="shared" si="34"/>
        <v>0</v>
      </c>
      <c r="U224" s="71">
        <f>IF(AND(N224=1,V224=1),IF(COUNTIFS(AKTIVITAS!$B$2:$B$3052,B224,AKTIVITAS!$E$2:$E$3052,H224)&gt;0,1,0),0)</f>
        <v>1</v>
      </c>
      <c r="V224" s="71">
        <f>IFERROR(IF(AND(H224&gt;=INDEX(PEMAGANG!$J$3:$J$36,MATCH(B224,PEMAGANG!$C$3:$C$36,0)),H224&lt;=INDEX(PEMAGANG!$K$3:$K$36,MATCH(B224,PEMAGANG!$C$3:$C$36,0))),1,0),0)</f>
        <v>1</v>
      </c>
      <c r="W224" s="71">
        <f t="shared" si="35"/>
        <v>1</v>
      </c>
    </row>
    <row r="225" spans="1:23" x14ac:dyDescent="0.2">
      <c r="A225" s="71" t="s">
        <v>249</v>
      </c>
      <c r="B225" s="71" t="s">
        <v>250</v>
      </c>
      <c r="C225" s="71" t="s">
        <v>187</v>
      </c>
      <c r="D225" s="71" t="s">
        <v>220</v>
      </c>
      <c r="E225" s="71" t="s">
        <v>345</v>
      </c>
      <c r="F225" s="71" t="s">
        <v>298</v>
      </c>
      <c r="G225" s="88">
        <v>46274.3102546296</v>
      </c>
      <c r="H225" s="89">
        <v>46274</v>
      </c>
      <c r="I225" s="71" t="s">
        <v>315</v>
      </c>
      <c r="J225" s="71">
        <v>-3.9999999999999898</v>
      </c>
      <c r="K225" s="71" t="s">
        <v>302</v>
      </c>
      <c r="L225" s="71">
        <f t="shared" si="27"/>
        <v>9</v>
      </c>
      <c r="M225" s="71" t="str">
        <f>IFERROR(INDEX(KALENDER!$D$3:$D$132,MATCH(H225,KALENDER!$A$3:$A$132,0)),"Di luar periode")</f>
        <v>Hari Kerja</v>
      </c>
      <c r="N225" s="71">
        <f t="shared" si="28"/>
        <v>0</v>
      </c>
      <c r="O225" s="71">
        <f t="shared" si="29"/>
        <v>2</v>
      </c>
      <c r="P225" s="71">
        <f t="shared" si="30"/>
        <v>0</v>
      </c>
      <c r="Q225" s="71">
        <f t="shared" si="31"/>
        <v>0</v>
      </c>
      <c r="R225" s="71">
        <f t="shared" si="32"/>
        <v>0</v>
      </c>
      <c r="S225" s="71">
        <f t="shared" si="33"/>
        <v>0</v>
      </c>
      <c r="T225" s="71">
        <f t="shared" si="34"/>
        <v>0</v>
      </c>
      <c r="U225" s="71">
        <f>IF(AND(N225=1,V225=1),IF(COUNTIFS(AKTIVITAS!$B$2:$B$3052,B225,AKTIVITAS!$E$2:$E$3052,H225)&gt;0,1,0),0)</f>
        <v>0</v>
      </c>
      <c r="V225" s="71">
        <f>IFERROR(IF(AND(H225&gt;=INDEX(PEMAGANG!$J$3:$J$36,MATCH(B225,PEMAGANG!$C$3:$C$36,0)),H225&lt;=INDEX(PEMAGANG!$K$3:$K$36,MATCH(B225,PEMAGANG!$C$3:$C$36,0))),1,0),0)</f>
        <v>1</v>
      </c>
      <c r="W225" s="71">
        <f t="shared" si="35"/>
        <v>0</v>
      </c>
    </row>
    <row r="226" spans="1:23" x14ac:dyDescent="0.2">
      <c r="A226" s="71" t="s">
        <v>249</v>
      </c>
      <c r="B226" s="71" t="s">
        <v>250</v>
      </c>
      <c r="C226" s="71" t="s">
        <v>187</v>
      </c>
      <c r="D226" s="71" t="s">
        <v>220</v>
      </c>
      <c r="E226" s="71" t="s">
        <v>345</v>
      </c>
      <c r="F226" s="71" t="s">
        <v>300</v>
      </c>
      <c r="G226" s="88">
        <v>46274.692418981504</v>
      </c>
      <c r="H226" s="89">
        <v>46274</v>
      </c>
      <c r="I226" s="71" t="s">
        <v>328</v>
      </c>
      <c r="J226" s="71">
        <v>0</v>
      </c>
      <c r="K226" s="71" t="s">
        <v>302</v>
      </c>
      <c r="L226" s="71">
        <f t="shared" si="27"/>
        <v>9</v>
      </c>
      <c r="M226" s="71" t="str">
        <f>IFERROR(INDEX(KALENDER!$D$3:$D$132,MATCH(H226,KALENDER!$A$3:$A$132,0)),"Di luar periode")</f>
        <v>Hari Kerja</v>
      </c>
      <c r="N226" s="71">
        <f t="shared" si="28"/>
        <v>0</v>
      </c>
      <c r="O226" s="71">
        <f t="shared" si="29"/>
        <v>2</v>
      </c>
      <c r="P226" s="71">
        <f t="shared" si="30"/>
        <v>0</v>
      </c>
      <c r="Q226" s="71">
        <f t="shared" si="31"/>
        <v>0</v>
      </c>
      <c r="R226" s="71">
        <f t="shared" si="32"/>
        <v>0</v>
      </c>
      <c r="S226" s="71">
        <f t="shared" si="33"/>
        <v>0</v>
      </c>
      <c r="T226" s="71">
        <f t="shared" si="34"/>
        <v>0</v>
      </c>
      <c r="U226" s="71">
        <f>IF(AND(N226=1,V226=1),IF(COUNTIFS(AKTIVITAS!$B$2:$B$3052,B226,AKTIVITAS!$E$2:$E$3052,H226)&gt;0,1,0),0)</f>
        <v>0</v>
      </c>
      <c r="V226" s="71">
        <f>IFERROR(IF(AND(H226&gt;=INDEX(PEMAGANG!$J$3:$J$36,MATCH(B226,PEMAGANG!$C$3:$C$36,0)),H226&lt;=INDEX(PEMAGANG!$K$3:$K$36,MATCH(B226,PEMAGANG!$C$3:$C$36,0))),1,0),0)</f>
        <v>1</v>
      </c>
      <c r="W226" s="71">
        <f t="shared" si="35"/>
        <v>0</v>
      </c>
    </row>
    <row r="227" spans="1:23" x14ac:dyDescent="0.2">
      <c r="A227" s="71" t="s">
        <v>249</v>
      </c>
      <c r="B227" s="71" t="s">
        <v>250</v>
      </c>
      <c r="C227" s="71" t="s">
        <v>187</v>
      </c>
      <c r="D227" s="71" t="s">
        <v>220</v>
      </c>
      <c r="E227" s="71" t="s">
        <v>345</v>
      </c>
      <c r="F227" s="71" t="s">
        <v>298</v>
      </c>
      <c r="G227" s="88">
        <v>46275.310196759303</v>
      </c>
      <c r="H227" s="89">
        <v>46275</v>
      </c>
      <c r="I227" s="71" t="s">
        <v>315</v>
      </c>
      <c r="J227" s="71">
        <v>-34</v>
      </c>
      <c r="K227" s="71" t="s">
        <v>302</v>
      </c>
      <c r="L227" s="71">
        <f t="shared" si="27"/>
        <v>9</v>
      </c>
      <c r="M227" s="71" t="str">
        <f>IFERROR(INDEX(KALENDER!$D$3:$D$132,MATCH(H227,KALENDER!$A$3:$A$132,0)),"Di luar periode")</f>
        <v>Hari Kerja</v>
      </c>
      <c r="N227" s="71">
        <f t="shared" si="28"/>
        <v>1</v>
      </c>
      <c r="O227" s="71">
        <f t="shared" si="29"/>
        <v>1</v>
      </c>
      <c r="P227" s="71">
        <f t="shared" si="30"/>
        <v>1</v>
      </c>
      <c r="Q227" s="71">
        <f t="shared" si="31"/>
        <v>0</v>
      </c>
      <c r="R227" s="71">
        <f t="shared" si="32"/>
        <v>0</v>
      </c>
      <c r="S227" s="71">
        <f t="shared" si="33"/>
        <v>0</v>
      </c>
      <c r="T227" s="71">
        <f t="shared" si="34"/>
        <v>0</v>
      </c>
      <c r="U227" s="71">
        <f>IF(AND(N227=1,V227=1),IF(COUNTIFS(AKTIVITAS!$B$2:$B$3052,B227,AKTIVITAS!$E$2:$E$3052,H227)&gt;0,1,0),0)</f>
        <v>1</v>
      </c>
      <c r="V227" s="71">
        <f>IFERROR(IF(AND(H227&gt;=INDEX(PEMAGANG!$J$3:$J$36,MATCH(B227,PEMAGANG!$C$3:$C$36,0)),H227&lt;=INDEX(PEMAGANG!$K$3:$K$36,MATCH(B227,PEMAGANG!$C$3:$C$36,0))),1,0),0)</f>
        <v>1</v>
      </c>
      <c r="W227" s="71">
        <f t="shared" si="35"/>
        <v>1</v>
      </c>
    </row>
    <row r="228" spans="1:23" x14ac:dyDescent="0.2">
      <c r="A228" s="71" t="s">
        <v>249</v>
      </c>
      <c r="B228" s="71" t="s">
        <v>250</v>
      </c>
      <c r="C228" s="71" t="s">
        <v>187</v>
      </c>
      <c r="D228" s="71" t="s">
        <v>220</v>
      </c>
      <c r="E228" s="71" t="s">
        <v>345</v>
      </c>
      <c r="F228" s="71" t="s">
        <v>298</v>
      </c>
      <c r="G228" s="88">
        <v>46275.310196759303</v>
      </c>
      <c r="H228" s="89">
        <v>46275</v>
      </c>
      <c r="I228" s="71" t="s">
        <v>315</v>
      </c>
      <c r="J228" s="71">
        <v>-3.9999999999999898</v>
      </c>
      <c r="K228" s="71" t="s">
        <v>302</v>
      </c>
      <c r="L228" s="71">
        <f t="shared" si="27"/>
        <v>9</v>
      </c>
      <c r="M228" s="71" t="str">
        <f>IFERROR(INDEX(KALENDER!$D$3:$D$132,MATCH(H228,KALENDER!$A$3:$A$132,0)),"Di luar periode")</f>
        <v>Hari Kerja</v>
      </c>
      <c r="N228" s="71">
        <f t="shared" si="28"/>
        <v>0</v>
      </c>
      <c r="O228" s="71">
        <f t="shared" si="29"/>
        <v>2</v>
      </c>
      <c r="P228" s="71">
        <f t="shared" si="30"/>
        <v>0</v>
      </c>
      <c r="Q228" s="71">
        <f t="shared" si="31"/>
        <v>0</v>
      </c>
      <c r="R228" s="71">
        <f t="shared" si="32"/>
        <v>0</v>
      </c>
      <c r="S228" s="71">
        <f t="shared" si="33"/>
        <v>0</v>
      </c>
      <c r="T228" s="71">
        <f t="shared" si="34"/>
        <v>0</v>
      </c>
      <c r="U228" s="71">
        <f>IF(AND(N228=1,V228=1),IF(COUNTIFS(AKTIVITAS!$B$2:$B$3052,B228,AKTIVITAS!$E$2:$E$3052,H228)&gt;0,1,0),0)</f>
        <v>0</v>
      </c>
      <c r="V228" s="71">
        <f>IFERROR(IF(AND(H228&gt;=INDEX(PEMAGANG!$J$3:$J$36,MATCH(B228,PEMAGANG!$C$3:$C$36,0)),H228&lt;=INDEX(PEMAGANG!$K$3:$K$36,MATCH(B228,PEMAGANG!$C$3:$C$36,0))),1,0),0)</f>
        <v>1</v>
      </c>
      <c r="W228" s="71">
        <f t="shared" si="35"/>
        <v>0</v>
      </c>
    </row>
    <row r="229" spans="1:23" x14ac:dyDescent="0.2">
      <c r="A229" s="71" t="s">
        <v>249</v>
      </c>
      <c r="B229" s="71" t="s">
        <v>250</v>
      </c>
      <c r="C229" s="71" t="s">
        <v>187</v>
      </c>
      <c r="D229" s="71" t="s">
        <v>220</v>
      </c>
      <c r="E229" s="71" t="s">
        <v>345</v>
      </c>
      <c r="F229" s="71" t="s">
        <v>300</v>
      </c>
      <c r="G229" s="88">
        <v>46275.694155092599</v>
      </c>
      <c r="H229" s="89">
        <v>46275</v>
      </c>
      <c r="I229" s="71" t="s">
        <v>308</v>
      </c>
      <c r="J229" s="71">
        <v>0</v>
      </c>
      <c r="K229" s="71" t="s">
        <v>302</v>
      </c>
      <c r="L229" s="71">
        <f t="shared" si="27"/>
        <v>9</v>
      </c>
      <c r="M229" s="71" t="str">
        <f>IFERROR(INDEX(KALENDER!$D$3:$D$132,MATCH(H229,KALENDER!$A$3:$A$132,0)),"Di luar periode")</f>
        <v>Hari Kerja</v>
      </c>
      <c r="N229" s="71">
        <f t="shared" si="28"/>
        <v>0</v>
      </c>
      <c r="O229" s="71">
        <f t="shared" si="29"/>
        <v>2</v>
      </c>
      <c r="P229" s="71">
        <f t="shared" si="30"/>
        <v>0</v>
      </c>
      <c r="Q229" s="71">
        <f t="shared" si="31"/>
        <v>0</v>
      </c>
      <c r="R229" s="71">
        <f t="shared" si="32"/>
        <v>0</v>
      </c>
      <c r="S229" s="71">
        <f t="shared" si="33"/>
        <v>0</v>
      </c>
      <c r="T229" s="71">
        <f t="shared" si="34"/>
        <v>0</v>
      </c>
      <c r="U229" s="71">
        <f>IF(AND(N229=1,V229=1),IF(COUNTIFS(AKTIVITAS!$B$2:$B$3052,B229,AKTIVITAS!$E$2:$E$3052,H229)&gt;0,1,0),0)</f>
        <v>0</v>
      </c>
      <c r="V229" s="71">
        <f>IFERROR(IF(AND(H229&gt;=INDEX(PEMAGANG!$J$3:$J$36,MATCH(B229,PEMAGANG!$C$3:$C$36,0)),H229&lt;=INDEX(PEMAGANG!$K$3:$K$36,MATCH(B229,PEMAGANG!$C$3:$C$36,0))),1,0),0)</f>
        <v>1</v>
      </c>
      <c r="W229" s="71">
        <f t="shared" si="35"/>
        <v>0</v>
      </c>
    </row>
    <row r="230" spans="1:23" x14ac:dyDescent="0.2">
      <c r="A230" s="71" t="s">
        <v>249</v>
      </c>
      <c r="B230" s="71" t="s">
        <v>250</v>
      </c>
      <c r="C230" s="71" t="s">
        <v>187</v>
      </c>
      <c r="D230" s="71" t="s">
        <v>220</v>
      </c>
      <c r="E230" s="71" t="s">
        <v>345</v>
      </c>
      <c r="F230" s="71" t="s">
        <v>298</v>
      </c>
      <c r="G230" s="88">
        <v>46276.309386574103</v>
      </c>
      <c r="H230" s="89">
        <v>46276</v>
      </c>
      <c r="I230" s="71" t="s">
        <v>307</v>
      </c>
      <c r="J230" s="71">
        <v>-4.9999999999999796</v>
      </c>
      <c r="K230" s="71" t="s">
        <v>302</v>
      </c>
      <c r="L230" s="71">
        <f t="shared" si="27"/>
        <v>9</v>
      </c>
      <c r="M230" s="71" t="str">
        <f>IFERROR(INDEX(KALENDER!$D$3:$D$132,MATCH(H230,KALENDER!$A$3:$A$132,0)),"Di luar periode")</f>
        <v>Hari Kerja</v>
      </c>
      <c r="N230" s="71">
        <f t="shared" si="28"/>
        <v>1</v>
      </c>
      <c r="O230" s="71">
        <f t="shared" si="29"/>
        <v>1</v>
      </c>
      <c r="P230" s="71">
        <f t="shared" si="30"/>
        <v>1</v>
      </c>
      <c r="Q230" s="71">
        <f t="shared" si="31"/>
        <v>0</v>
      </c>
      <c r="R230" s="71">
        <f t="shared" si="32"/>
        <v>0</v>
      </c>
      <c r="S230" s="71">
        <f t="shared" si="33"/>
        <v>0</v>
      </c>
      <c r="T230" s="71">
        <f t="shared" si="34"/>
        <v>0</v>
      </c>
      <c r="U230" s="71">
        <f>IF(AND(N230=1,V230=1),IF(COUNTIFS(AKTIVITAS!$B$2:$B$3052,B230,AKTIVITAS!$E$2:$E$3052,H230)&gt;0,1,0),0)</f>
        <v>1</v>
      </c>
      <c r="V230" s="71">
        <f>IFERROR(IF(AND(H230&gt;=INDEX(PEMAGANG!$J$3:$J$36,MATCH(B230,PEMAGANG!$C$3:$C$36,0)),H230&lt;=INDEX(PEMAGANG!$K$3:$K$36,MATCH(B230,PEMAGANG!$C$3:$C$36,0))),1,0),0)</f>
        <v>1</v>
      </c>
      <c r="W230" s="71">
        <f t="shared" si="35"/>
        <v>1</v>
      </c>
    </row>
    <row r="231" spans="1:23" x14ac:dyDescent="0.2">
      <c r="A231" s="71" t="s">
        <v>249</v>
      </c>
      <c r="B231" s="71" t="s">
        <v>250</v>
      </c>
      <c r="C231" s="71" t="s">
        <v>187</v>
      </c>
      <c r="D231" s="71" t="s">
        <v>220</v>
      </c>
      <c r="E231" s="71" t="s">
        <v>345</v>
      </c>
      <c r="F231" s="71" t="s">
        <v>300</v>
      </c>
      <c r="G231" s="88">
        <v>46276.779537037</v>
      </c>
      <c r="H231" s="89">
        <v>46276</v>
      </c>
      <c r="I231" s="71" t="s">
        <v>351</v>
      </c>
      <c r="J231" s="71">
        <v>0</v>
      </c>
      <c r="K231" s="71" t="s">
        <v>302</v>
      </c>
      <c r="L231" s="71">
        <f t="shared" si="27"/>
        <v>9</v>
      </c>
      <c r="M231" s="71" t="str">
        <f>IFERROR(INDEX(KALENDER!$D$3:$D$132,MATCH(H231,KALENDER!$A$3:$A$132,0)),"Di luar periode")</f>
        <v>Hari Kerja</v>
      </c>
      <c r="N231" s="71">
        <f t="shared" si="28"/>
        <v>0</v>
      </c>
      <c r="O231" s="71">
        <f t="shared" si="29"/>
        <v>1</v>
      </c>
      <c r="P231" s="71">
        <f t="shared" si="30"/>
        <v>0</v>
      </c>
      <c r="Q231" s="71">
        <f t="shared" si="31"/>
        <v>0</v>
      </c>
      <c r="R231" s="71">
        <f t="shared" si="32"/>
        <v>0</v>
      </c>
      <c r="S231" s="71">
        <f t="shared" si="33"/>
        <v>0</v>
      </c>
      <c r="T231" s="71">
        <f t="shared" si="34"/>
        <v>0</v>
      </c>
      <c r="U231" s="71">
        <f>IF(AND(N231=1,V231=1),IF(COUNTIFS(AKTIVITAS!$B$2:$B$3052,B231,AKTIVITAS!$E$2:$E$3052,H231)&gt;0,1,0),0)</f>
        <v>0</v>
      </c>
      <c r="V231" s="71">
        <f>IFERROR(IF(AND(H231&gt;=INDEX(PEMAGANG!$J$3:$J$36,MATCH(B231,PEMAGANG!$C$3:$C$36,0)),H231&lt;=INDEX(PEMAGANG!$K$3:$K$36,MATCH(B231,PEMAGANG!$C$3:$C$36,0))),1,0),0)</f>
        <v>1</v>
      </c>
      <c r="W231" s="71">
        <f t="shared" si="35"/>
        <v>0</v>
      </c>
    </row>
    <row r="232" spans="1:23" x14ac:dyDescent="0.2">
      <c r="A232" s="71" t="s">
        <v>249</v>
      </c>
      <c r="B232" s="71" t="s">
        <v>250</v>
      </c>
      <c r="C232" s="71" t="s">
        <v>187</v>
      </c>
      <c r="D232" s="71" t="s">
        <v>220</v>
      </c>
      <c r="E232" s="71" t="s">
        <v>345</v>
      </c>
      <c r="F232" s="71" t="s">
        <v>298</v>
      </c>
      <c r="G232" s="88">
        <v>46279.309918981497</v>
      </c>
      <c r="H232" s="89">
        <v>46279</v>
      </c>
      <c r="I232" s="71" t="s">
        <v>315</v>
      </c>
      <c r="J232" s="71">
        <v>-3.9999999999999898</v>
      </c>
      <c r="K232" s="71" t="s">
        <v>302</v>
      </c>
      <c r="L232" s="71">
        <f t="shared" si="27"/>
        <v>9</v>
      </c>
      <c r="M232" s="71" t="str">
        <f>IFERROR(INDEX(KALENDER!$D$3:$D$132,MATCH(H232,KALENDER!$A$3:$A$132,0)),"Di luar periode")</f>
        <v>Hari Kerja</v>
      </c>
      <c r="N232" s="71">
        <f t="shared" si="28"/>
        <v>1</v>
      </c>
      <c r="O232" s="71">
        <f t="shared" si="29"/>
        <v>1</v>
      </c>
      <c r="P232" s="71">
        <f t="shared" si="30"/>
        <v>1</v>
      </c>
      <c r="Q232" s="71">
        <f t="shared" si="31"/>
        <v>0</v>
      </c>
      <c r="R232" s="71">
        <f t="shared" si="32"/>
        <v>0</v>
      </c>
      <c r="S232" s="71">
        <f t="shared" si="33"/>
        <v>0</v>
      </c>
      <c r="T232" s="71">
        <f t="shared" si="34"/>
        <v>0</v>
      </c>
      <c r="U232" s="71">
        <f>IF(AND(N232=1,V232=1),IF(COUNTIFS(AKTIVITAS!$B$2:$B$3052,B232,AKTIVITAS!$E$2:$E$3052,H232)&gt;0,1,0),0)</f>
        <v>1</v>
      </c>
      <c r="V232" s="71">
        <f>IFERROR(IF(AND(H232&gt;=INDEX(PEMAGANG!$J$3:$J$36,MATCH(B232,PEMAGANG!$C$3:$C$36,0)),H232&lt;=INDEX(PEMAGANG!$K$3:$K$36,MATCH(B232,PEMAGANG!$C$3:$C$36,0))),1,0),0)</f>
        <v>1</v>
      </c>
      <c r="W232" s="71">
        <f t="shared" si="35"/>
        <v>1</v>
      </c>
    </row>
    <row r="233" spans="1:23" x14ac:dyDescent="0.2">
      <c r="A233" s="71" t="s">
        <v>249</v>
      </c>
      <c r="B233" s="71" t="s">
        <v>250</v>
      </c>
      <c r="C233" s="71" t="s">
        <v>187</v>
      </c>
      <c r="D233" s="71" t="s">
        <v>220</v>
      </c>
      <c r="E233" s="71" t="s">
        <v>345</v>
      </c>
      <c r="F233" s="71" t="s">
        <v>300</v>
      </c>
      <c r="G233" s="88">
        <v>46279.691111111097</v>
      </c>
      <c r="H233" s="89">
        <v>46279</v>
      </c>
      <c r="I233" s="71" t="s">
        <v>310</v>
      </c>
      <c r="J233" s="71">
        <v>0</v>
      </c>
      <c r="K233" s="71" t="s">
        <v>302</v>
      </c>
      <c r="L233" s="71">
        <f t="shared" si="27"/>
        <v>9</v>
      </c>
      <c r="M233" s="71" t="str">
        <f>IFERROR(INDEX(KALENDER!$D$3:$D$132,MATCH(H233,KALENDER!$A$3:$A$132,0)),"Di luar periode")</f>
        <v>Hari Kerja</v>
      </c>
      <c r="N233" s="71">
        <f t="shared" si="28"/>
        <v>0</v>
      </c>
      <c r="O233" s="71">
        <f t="shared" si="29"/>
        <v>1</v>
      </c>
      <c r="P233" s="71">
        <f t="shared" si="30"/>
        <v>0</v>
      </c>
      <c r="Q233" s="71">
        <f t="shared" si="31"/>
        <v>0</v>
      </c>
      <c r="R233" s="71">
        <f t="shared" si="32"/>
        <v>0</v>
      </c>
      <c r="S233" s="71">
        <f t="shared" si="33"/>
        <v>0</v>
      </c>
      <c r="T233" s="71">
        <f t="shared" si="34"/>
        <v>0</v>
      </c>
      <c r="U233" s="71">
        <f>IF(AND(N233=1,V233=1),IF(COUNTIFS(AKTIVITAS!$B$2:$B$3052,B233,AKTIVITAS!$E$2:$E$3052,H233)&gt;0,1,0),0)</f>
        <v>0</v>
      </c>
      <c r="V233" s="71">
        <f>IFERROR(IF(AND(H233&gt;=INDEX(PEMAGANG!$J$3:$J$36,MATCH(B233,PEMAGANG!$C$3:$C$36,0)),H233&lt;=INDEX(PEMAGANG!$K$3:$K$36,MATCH(B233,PEMAGANG!$C$3:$C$36,0))),1,0),0)</f>
        <v>1</v>
      </c>
      <c r="W233" s="71">
        <f t="shared" si="35"/>
        <v>0</v>
      </c>
    </row>
    <row r="234" spans="1:23" x14ac:dyDescent="0.2">
      <c r="A234" s="71" t="s">
        <v>249</v>
      </c>
      <c r="B234" s="71" t="s">
        <v>250</v>
      </c>
      <c r="C234" s="71" t="s">
        <v>187</v>
      </c>
      <c r="D234" s="71" t="s">
        <v>220</v>
      </c>
      <c r="E234" s="71" t="s">
        <v>345</v>
      </c>
      <c r="F234" s="71" t="s">
        <v>298</v>
      </c>
      <c r="G234" s="88">
        <v>46280.309328703697</v>
      </c>
      <c r="H234" s="89">
        <v>46280</v>
      </c>
      <c r="I234" s="71" t="s">
        <v>307</v>
      </c>
      <c r="J234" s="71">
        <v>-4.9999999999999796</v>
      </c>
      <c r="K234" s="71" t="s">
        <v>302</v>
      </c>
      <c r="L234" s="71">
        <f t="shared" si="27"/>
        <v>9</v>
      </c>
      <c r="M234" s="71" t="str">
        <f>IFERROR(INDEX(KALENDER!$D$3:$D$132,MATCH(H234,KALENDER!$A$3:$A$132,0)),"Di luar periode")</f>
        <v>Hari Kerja</v>
      </c>
      <c r="N234" s="71">
        <f t="shared" si="28"/>
        <v>1</v>
      </c>
      <c r="O234" s="71">
        <f t="shared" si="29"/>
        <v>1</v>
      </c>
      <c r="P234" s="71">
        <f t="shared" si="30"/>
        <v>1</v>
      </c>
      <c r="Q234" s="71">
        <f t="shared" si="31"/>
        <v>0</v>
      </c>
      <c r="R234" s="71">
        <f t="shared" si="32"/>
        <v>0</v>
      </c>
      <c r="S234" s="71">
        <f t="shared" si="33"/>
        <v>0</v>
      </c>
      <c r="T234" s="71">
        <f t="shared" si="34"/>
        <v>0</v>
      </c>
      <c r="U234" s="71">
        <f>IF(AND(N234=1,V234=1),IF(COUNTIFS(AKTIVITAS!$B$2:$B$3052,B234,AKTIVITAS!$E$2:$E$3052,H234)&gt;0,1,0),0)</f>
        <v>1</v>
      </c>
      <c r="V234" s="71">
        <f>IFERROR(IF(AND(H234&gt;=INDEX(PEMAGANG!$J$3:$J$36,MATCH(B234,PEMAGANG!$C$3:$C$36,0)),H234&lt;=INDEX(PEMAGANG!$K$3:$K$36,MATCH(B234,PEMAGANG!$C$3:$C$36,0))),1,0),0)</f>
        <v>1</v>
      </c>
      <c r="W234" s="71">
        <f t="shared" si="35"/>
        <v>1</v>
      </c>
    </row>
    <row r="235" spans="1:23" x14ac:dyDescent="0.2">
      <c r="A235" s="71" t="s">
        <v>249</v>
      </c>
      <c r="B235" s="71" t="s">
        <v>250</v>
      </c>
      <c r="C235" s="71" t="s">
        <v>187</v>
      </c>
      <c r="D235" s="71" t="s">
        <v>220</v>
      </c>
      <c r="E235" s="71" t="s">
        <v>345</v>
      </c>
      <c r="F235" s="71" t="s">
        <v>300</v>
      </c>
      <c r="G235" s="88">
        <v>46280.695034722201</v>
      </c>
      <c r="H235" s="89">
        <v>46280</v>
      </c>
      <c r="I235" s="71" t="s">
        <v>343</v>
      </c>
      <c r="J235" s="71">
        <v>0</v>
      </c>
      <c r="K235" s="71" t="s">
        <v>302</v>
      </c>
      <c r="L235" s="71">
        <f t="shared" si="27"/>
        <v>9</v>
      </c>
      <c r="M235" s="71" t="str">
        <f>IFERROR(INDEX(KALENDER!$D$3:$D$132,MATCH(H235,KALENDER!$A$3:$A$132,0)),"Di luar periode")</f>
        <v>Hari Kerja</v>
      </c>
      <c r="N235" s="71">
        <f t="shared" si="28"/>
        <v>0</v>
      </c>
      <c r="O235" s="71">
        <f t="shared" si="29"/>
        <v>1</v>
      </c>
      <c r="P235" s="71">
        <f t="shared" si="30"/>
        <v>0</v>
      </c>
      <c r="Q235" s="71">
        <f t="shared" si="31"/>
        <v>0</v>
      </c>
      <c r="R235" s="71">
        <f t="shared" si="32"/>
        <v>0</v>
      </c>
      <c r="S235" s="71">
        <f t="shared" si="33"/>
        <v>0</v>
      </c>
      <c r="T235" s="71">
        <f t="shared" si="34"/>
        <v>0</v>
      </c>
      <c r="U235" s="71">
        <f>IF(AND(N235=1,V235=1),IF(COUNTIFS(AKTIVITAS!$B$2:$B$3052,B235,AKTIVITAS!$E$2:$E$3052,H235)&gt;0,1,0),0)</f>
        <v>0</v>
      </c>
      <c r="V235" s="71">
        <f>IFERROR(IF(AND(H235&gt;=INDEX(PEMAGANG!$J$3:$J$36,MATCH(B235,PEMAGANG!$C$3:$C$36,0)),H235&lt;=INDEX(PEMAGANG!$K$3:$K$36,MATCH(B235,PEMAGANG!$C$3:$C$36,0))),1,0),0)</f>
        <v>1</v>
      </c>
      <c r="W235" s="71">
        <f t="shared" si="35"/>
        <v>0</v>
      </c>
    </row>
    <row r="236" spans="1:23" x14ac:dyDescent="0.2">
      <c r="A236" s="71" t="s">
        <v>249</v>
      </c>
      <c r="B236" s="71" t="s">
        <v>250</v>
      </c>
      <c r="C236" s="71" t="s">
        <v>187</v>
      </c>
      <c r="D236" s="71" t="s">
        <v>220</v>
      </c>
      <c r="E236" s="71" t="s">
        <v>345</v>
      </c>
      <c r="F236" s="71" t="s">
        <v>298</v>
      </c>
      <c r="G236" s="88">
        <v>46281.308553240699</v>
      </c>
      <c r="H236" s="89">
        <v>46281</v>
      </c>
      <c r="I236" s="71" t="s">
        <v>303</v>
      </c>
      <c r="J236" s="71">
        <v>-5.9999999999999796</v>
      </c>
      <c r="K236" s="71" t="s">
        <v>302</v>
      </c>
      <c r="L236" s="71">
        <f t="shared" si="27"/>
        <v>9</v>
      </c>
      <c r="M236" s="71" t="str">
        <f>IFERROR(INDEX(KALENDER!$D$3:$D$132,MATCH(H236,KALENDER!$A$3:$A$132,0)),"Di luar periode")</f>
        <v>Hari Kerja</v>
      </c>
      <c r="N236" s="71">
        <f t="shared" si="28"/>
        <v>1</v>
      </c>
      <c r="O236" s="71">
        <f t="shared" si="29"/>
        <v>1</v>
      </c>
      <c r="P236" s="71">
        <f t="shared" si="30"/>
        <v>1</v>
      </c>
      <c r="Q236" s="71">
        <f t="shared" si="31"/>
        <v>0</v>
      </c>
      <c r="R236" s="71">
        <f t="shared" si="32"/>
        <v>0</v>
      </c>
      <c r="S236" s="71">
        <f t="shared" si="33"/>
        <v>0</v>
      </c>
      <c r="T236" s="71">
        <f t="shared" si="34"/>
        <v>0</v>
      </c>
      <c r="U236" s="71">
        <f>IF(AND(N236=1,V236=1),IF(COUNTIFS(AKTIVITAS!$B$2:$B$3052,B236,AKTIVITAS!$E$2:$E$3052,H236)&gt;0,1,0),0)</f>
        <v>1</v>
      </c>
      <c r="V236" s="71">
        <f>IFERROR(IF(AND(H236&gt;=INDEX(PEMAGANG!$J$3:$J$36,MATCH(B236,PEMAGANG!$C$3:$C$36,0)),H236&lt;=INDEX(PEMAGANG!$K$3:$K$36,MATCH(B236,PEMAGANG!$C$3:$C$36,0))),1,0),0)</f>
        <v>1</v>
      </c>
      <c r="W236" s="71">
        <f t="shared" si="35"/>
        <v>1</v>
      </c>
    </row>
    <row r="237" spans="1:23" x14ac:dyDescent="0.2">
      <c r="A237" s="71" t="s">
        <v>249</v>
      </c>
      <c r="B237" s="71" t="s">
        <v>250</v>
      </c>
      <c r="C237" s="71" t="s">
        <v>187</v>
      </c>
      <c r="D237" s="71" t="s">
        <v>220</v>
      </c>
      <c r="E237" s="71" t="s">
        <v>345</v>
      </c>
      <c r="F237" s="71" t="s">
        <v>300</v>
      </c>
      <c r="G237" s="88">
        <v>46281.693726851903</v>
      </c>
      <c r="H237" s="89">
        <v>46281</v>
      </c>
      <c r="I237" s="71" t="s">
        <v>317</v>
      </c>
      <c r="J237" s="71">
        <v>0</v>
      </c>
      <c r="K237" s="71" t="s">
        <v>302</v>
      </c>
      <c r="L237" s="71">
        <f t="shared" si="27"/>
        <v>9</v>
      </c>
      <c r="M237" s="71" t="str">
        <f>IFERROR(INDEX(KALENDER!$D$3:$D$132,MATCH(H237,KALENDER!$A$3:$A$132,0)),"Di luar periode")</f>
        <v>Hari Kerja</v>
      </c>
      <c r="N237" s="71">
        <f t="shared" si="28"/>
        <v>0</v>
      </c>
      <c r="O237" s="71">
        <f t="shared" si="29"/>
        <v>1</v>
      </c>
      <c r="P237" s="71">
        <f t="shared" si="30"/>
        <v>0</v>
      </c>
      <c r="Q237" s="71">
        <f t="shared" si="31"/>
        <v>0</v>
      </c>
      <c r="R237" s="71">
        <f t="shared" si="32"/>
        <v>0</v>
      </c>
      <c r="S237" s="71">
        <f t="shared" si="33"/>
        <v>0</v>
      </c>
      <c r="T237" s="71">
        <f t="shared" si="34"/>
        <v>0</v>
      </c>
      <c r="U237" s="71">
        <f>IF(AND(N237=1,V237=1),IF(COUNTIFS(AKTIVITAS!$B$2:$B$3052,B237,AKTIVITAS!$E$2:$E$3052,H237)&gt;0,1,0),0)</f>
        <v>0</v>
      </c>
      <c r="V237" s="71">
        <f>IFERROR(IF(AND(H237&gt;=INDEX(PEMAGANG!$J$3:$J$36,MATCH(B237,PEMAGANG!$C$3:$C$36,0)),H237&lt;=INDEX(PEMAGANG!$K$3:$K$36,MATCH(B237,PEMAGANG!$C$3:$C$36,0))),1,0),0)</f>
        <v>1</v>
      </c>
      <c r="W237" s="71">
        <f t="shared" si="35"/>
        <v>0</v>
      </c>
    </row>
    <row r="238" spans="1:23" x14ac:dyDescent="0.2">
      <c r="A238" s="71" t="s">
        <v>249</v>
      </c>
      <c r="B238" s="71" t="s">
        <v>250</v>
      </c>
      <c r="C238" s="71" t="s">
        <v>187</v>
      </c>
      <c r="D238" s="71" t="s">
        <v>220</v>
      </c>
      <c r="E238" s="71" t="s">
        <v>345</v>
      </c>
      <c r="F238" s="71" t="s">
        <v>298</v>
      </c>
      <c r="G238" s="88">
        <v>46282.311064814799</v>
      </c>
      <c r="H238" s="89">
        <v>46282</v>
      </c>
      <c r="I238" s="71" t="s">
        <v>309</v>
      </c>
      <c r="J238" s="71">
        <v>-2.9999999999999898</v>
      </c>
      <c r="K238" s="71" t="s">
        <v>302</v>
      </c>
      <c r="L238" s="71">
        <f t="shared" si="27"/>
        <v>9</v>
      </c>
      <c r="M238" s="71" t="str">
        <f>IFERROR(INDEX(KALENDER!$D$3:$D$132,MATCH(H238,KALENDER!$A$3:$A$132,0)),"Di luar periode")</f>
        <v>Hari Kerja</v>
      </c>
      <c r="N238" s="71">
        <f t="shared" si="28"/>
        <v>1</v>
      </c>
      <c r="O238" s="71">
        <f t="shared" si="29"/>
        <v>1</v>
      </c>
      <c r="P238" s="71">
        <f t="shared" si="30"/>
        <v>1</v>
      </c>
      <c r="Q238" s="71">
        <f t="shared" si="31"/>
        <v>0</v>
      </c>
      <c r="R238" s="71">
        <f t="shared" si="32"/>
        <v>0</v>
      </c>
      <c r="S238" s="71">
        <f t="shared" si="33"/>
        <v>0</v>
      </c>
      <c r="T238" s="71">
        <f t="shared" si="34"/>
        <v>0</v>
      </c>
      <c r="U238" s="71">
        <f>IF(AND(N238=1,V238=1),IF(COUNTIFS(AKTIVITAS!$B$2:$B$3052,B238,AKTIVITAS!$E$2:$E$3052,H238)&gt;0,1,0),0)</f>
        <v>1</v>
      </c>
      <c r="V238" s="71">
        <f>IFERROR(IF(AND(H238&gt;=INDEX(PEMAGANG!$J$3:$J$36,MATCH(B238,PEMAGANG!$C$3:$C$36,0)),H238&lt;=INDEX(PEMAGANG!$K$3:$K$36,MATCH(B238,PEMAGANG!$C$3:$C$36,0))),1,0),0)</f>
        <v>1</v>
      </c>
      <c r="W238" s="71">
        <f t="shared" si="35"/>
        <v>1</v>
      </c>
    </row>
    <row r="239" spans="1:23" x14ac:dyDescent="0.2">
      <c r="A239" s="71" t="s">
        <v>249</v>
      </c>
      <c r="B239" s="71" t="s">
        <v>250</v>
      </c>
      <c r="C239" s="71" t="s">
        <v>187</v>
      </c>
      <c r="D239" s="71" t="s">
        <v>220</v>
      </c>
      <c r="E239" s="71" t="s">
        <v>345</v>
      </c>
      <c r="F239" s="71" t="s">
        <v>300</v>
      </c>
      <c r="G239" s="88">
        <v>46282.693946759297</v>
      </c>
      <c r="H239" s="89">
        <v>46282</v>
      </c>
      <c r="I239" s="71" t="s">
        <v>308</v>
      </c>
      <c r="J239" s="71">
        <v>0</v>
      </c>
      <c r="K239" s="71" t="s">
        <v>302</v>
      </c>
      <c r="L239" s="71">
        <f t="shared" si="27"/>
        <v>9</v>
      </c>
      <c r="M239" s="71" t="str">
        <f>IFERROR(INDEX(KALENDER!$D$3:$D$132,MATCH(H239,KALENDER!$A$3:$A$132,0)),"Di luar periode")</f>
        <v>Hari Kerja</v>
      </c>
      <c r="N239" s="71">
        <f t="shared" si="28"/>
        <v>0</v>
      </c>
      <c r="O239" s="71">
        <f t="shared" si="29"/>
        <v>1</v>
      </c>
      <c r="P239" s="71">
        <f t="shared" si="30"/>
        <v>0</v>
      </c>
      <c r="Q239" s="71">
        <f t="shared" si="31"/>
        <v>0</v>
      </c>
      <c r="R239" s="71">
        <f t="shared" si="32"/>
        <v>0</v>
      </c>
      <c r="S239" s="71">
        <f t="shared" si="33"/>
        <v>0</v>
      </c>
      <c r="T239" s="71">
        <f t="shared" si="34"/>
        <v>0</v>
      </c>
      <c r="U239" s="71">
        <f>IF(AND(N239=1,V239=1),IF(COUNTIFS(AKTIVITAS!$B$2:$B$3052,B239,AKTIVITAS!$E$2:$E$3052,H239)&gt;0,1,0),0)</f>
        <v>0</v>
      </c>
      <c r="V239" s="71">
        <f>IFERROR(IF(AND(H239&gt;=INDEX(PEMAGANG!$J$3:$J$36,MATCH(B239,PEMAGANG!$C$3:$C$36,0)),H239&lt;=INDEX(PEMAGANG!$K$3:$K$36,MATCH(B239,PEMAGANG!$C$3:$C$36,0))),1,0),0)</f>
        <v>1</v>
      </c>
      <c r="W239" s="71">
        <f t="shared" si="35"/>
        <v>0</v>
      </c>
    </row>
    <row r="240" spans="1:23" x14ac:dyDescent="0.2">
      <c r="A240" s="71" t="s">
        <v>249</v>
      </c>
      <c r="B240" s="71" t="s">
        <v>250</v>
      </c>
      <c r="C240" s="71" t="s">
        <v>187</v>
      </c>
      <c r="D240" s="71" t="s">
        <v>220</v>
      </c>
      <c r="E240" s="71" t="s">
        <v>345</v>
      </c>
      <c r="F240" s="71" t="s">
        <v>298</v>
      </c>
      <c r="G240" s="88">
        <v>46283.309525463003</v>
      </c>
      <c r="H240" s="89">
        <v>46283</v>
      </c>
      <c r="I240" s="71" t="s">
        <v>307</v>
      </c>
      <c r="J240" s="71">
        <v>-4.9999999999999796</v>
      </c>
      <c r="K240" s="71" t="s">
        <v>302</v>
      </c>
      <c r="L240" s="71">
        <f t="shared" si="27"/>
        <v>9</v>
      </c>
      <c r="M240" s="71" t="str">
        <f>IFERROR(INDEX(KALENDER!$D$3:$D$132,MATCH(H240,KALENDER!$A$3:$A$132,0)),"Di luar periode")</f>
        <v>Hari Kerja</v>
      </c>
      <c r="N240" s="71">
        <f t="shared" si="28"/>
        <v>1</v>
      </c>
      <c r="O240" s="71">
        <f t="shared" si="29"/>
        <v>1</v>
      </c>
      <c r="P240" s="71">
        <f t="shared" si="30"/>
        <v>1</v>
      </c>
      <c r="Q240" s="71">
        <f t="shared" si="31"/>
        <v>0</v>
      </c>
      <c r="R240" s="71">
        <f t="shared" si="32"/>
        <v>0</v>
      </c>
      <c r="S240" s="71">
        <f t="shared" si="33"/>
        <v>0</v>
      </c>
      <c r="T240" s="71">
        <f t="shared" si="34"/>
        <v>0</v>
      </c>
      <c r="U240" s="71">
        <f>IF(AND(N240=1,V240=1),IF(COUNTIFS(AKTIVITAS!$B$2:$B$3052,B240,AKTIVITAS!$E$2:$E$3052,H240)&gt;0,1,0),0)</f>
        <v>1</v>
      </c>
      <c r="V240" s="71">
        <f>IFERROR(IF(AND(H240&gt;=INDEX(PEMAGANG!$J$3:$J$36,MATCH(B240,PEMAGANG!$C$3:$C$36,0)),H240&lt;=INDEX(PEMAGANG!$K$3:$K$36,MATCH(B240,PEMAGANG!$C$3:$C$36,0))),1,0),0)</f>
        <v>1</v>
      </c>
      <c r="W240" s="71">
        <f t="shared" si="35"/>
        <v>1</v>
      </c>
    </row>
    <row r="241" spans="1:23" x14ac:dyDescent="0.2">
      <c r="A241" s="71" t="s">
        <v>249</v>
      </c>
      <c r="B241" s="71" t="s">
        <v>250</v>
      </c>
      <c r="C241" s="71" t="s">
        <v>187</v>
      </c>
      <c r="D241" s="71" t="s">
        <v>220</v>
      </c>
      <c r="E241" s="71" t="s">
        <v>345</v>
      </c>
      <c r="F241" s="71" t="s">
        <v>300</v>
      </c>
      <c r="G241" s="88">
        <v>46283.770717592597</v>
      </c>
      <c r="H241" s="89">
        <v>46283</v>
      </c>
      <c r="I241" s="71" t="s">
        <v>352</v>
      </c>
      <c r="J241" s="71">
        <v>0</v>
      </c>
      <c r="K241" s="71" t="s">
        <v>302</v>
      </c>
      <c r="L241" s="71">
        <f t="shared" si="27"/>
        <v>9</v>
      </c>
      <c r="M241" s="71" t="str">
        <f>IFERROR(INDEX(KALENDER!$D$3:$D$132,MATCH(H241,KALENDER!$A$3:$A$132,0)),"Di luar periode")</f>
        <v>Hari Kerja</v>
      </c>
      <c r="N241" s="71">
        <f t="shared" si="28"/>
        <v>0</v>
      </c>
      <c r="O241" s="71">
        <f t="shared" si="29"/>
        <v>1</v>
      </c>
      <c r="P241" s="71">
        <f t="shared" si="30"/>
        <v>0</v>
      </c>
      <c r="Q241" s="71">
        <f t="shared" si="31"/>
        <v>0</v>
      </c>
      <c r="R241" s="71">
        <f t="shared" si="32"/>
        <v>0</v>
      </c>
      <c r="S241" s="71">
        <f t="shared" si="33"/>
        <v>0</v>
      </c>
      <c r="T241" s="71">
        <f t="shared" si="34"/>
        <v>0</v>
      </c>
      <c r="U241" s="71">
        <f>IF(AND(N241=1,V241=1),IF(COUNTIFS(AKTIVITAS!$B$2:$B$3052,B241,AKTIVITAS!$E$2:$E$3052,H241)&gt;0,1,0),0)</f>
        <v>0</v>
      </c>
      <c r="V241" s="71">
        <f>IFERROR(IF(AND(H241&gt;=INDEX(PEMAGANG!$J$3:$J$36,MATCH(B241,PEMAGANG!$C$3:$C$36,0)),H241&lt;=INDEX(PEMAGANG!$K$3:$K$36,MATCH(B241,PEMAGANG!$C$3:$C$36,0))),1,0),0)</f>
        <v>1</v>
      </c>
      <c r="W241" s="71">
        <f t="shared" si="35"/>
        <v>0</v>
      </c>
    </row>
    <row r="242" spans="1:23" x14ac:dyDescent="0.2">
      <c r="A242" s="71" t="s">
        <v>249</v>
      </c>
      <c r="B242" s="71" t="s">
        <v>250</v>
      </c>
      <c r="C242" s="71" t="s">
        <v>187</v>
      </c>
      <c r="D242" s="71" t="s">
        <v>220</v>
      </c>
      <c r="E242" s="71" t="s">
        <v>345</v>
      </c>
      <c r="F242" s="71" t="s">
        <v>298</v>
      </c>
      <c r="G242" s="88">
        <v>46286.310081018499</v>
      </c>
      <c r="H242" s="89">
        <v>46286</v>
      </c>
      <c r="I242" s="71" t="s">
        <v>315</v>
      </c>
      <c r="J242" s="71">
        <v>-3.9999999999999898</v>
      </c>
      <c r="K242" s="71" t="s">
        <v>302</v>
      </c>
      <c r="L242" s="71">
        <f t="shared" si="27"/>
        <v>9</v>
      </c>
      <c r="M242" s="71" t="str">
        <f>IFERROR(INDEX(KALENDER!$D$3:$D$132,MATCH(H242,KALENDER!$A$3:$A$132,0)),"Di luar periode")</f>
        <v>Hari Kerja</v>
      </c>
      <c r="N242" s="71">
        <f t="shared" si="28"/>
        <v>1</v>
      </c>
      <c r="O242" s="71">
        <f t="shared" si="29"/>
        <v>1</v>
      </c>
      <c r="P242" s="71">
        <f t="shared" si="30"/>
        <v>1</v>
      </c>
      <c r="Q242" s="71">
        <f t="shared" si="31"/>
        <v>0</v>
      </c>
      <c r="R242" s="71">
        <f t="shared" si="32"/>
        <v>0</v>
      </c>
      <c r="S242" s="71">
        <f t="shared" si="33"/>
        <v>0</v>
      </c>
      <c r="T242" s="71">
        <f t="shared" si="34"/>
        <v>0</v>
      </c>
      <c r="U242" s="71">
        <f>IF(AND(N242=1,V242=1),IF(COUNTIFS(AKTIVITAS!$B$2:$B$3052,B242,AKTIVITAS!$E$2:$E$3052,H242)&gt;0,1,0),0)</f>
        <v>1</v>
      </c>
      <c r="V242" s="71">
        <f>IFERROR(IF(AND(H242&gt;=INDEX(PEMAGANG!$J$3:$J$36,MATCH(B242,PEMAGANG!$C$3:$C$36,0)),H242&lt;=INDEX(PEMAGANG!$K$3:$K$36,MATCH(B242,PEMAGANG!$C$3:$C$36,0))),1,0),0)</f>
        <v>1</v>
      </c>
      <c r="W242" s="71">
        <f t="shared" si="35"/>
        <v>1</v>
      </c>
    </row>
    <row r="243" spans="1:23" x14ac:dyDescent="0.2">
      <c r="A243" s="71" t="s">
        <v>249</v>
      </c>
      <c r="B243" s="71" t="s">
        <v>250</v>
      </c>
      <c r="C243" s="71" t="s">
        <v>187</v>
      </c>
      <c r="D243" s="71" t="s">
        <v>220</v>
      </c>
      <c r="E243" s="71" t="s">
        <v>345</v>
      </c>
      <c r="F243" s="71" t="s">
        <v>300</v>
      </c>
      <c r="G243" s="88">
        <v>46286.693969907399</v>
      </c>
      <c r="H243" s="89">
        <v>46286</v>
      </c>
      <c r="I243" s="71" t="s">
        <v>308</v>
      </c>
      <c r="J243" s="71">
        <v>0</v>
      </c>
      <c r="K243" s="71" t="s">
        <v>302</v>
      </c>
      <c r="L243" s="71">
        <f t="shared" si="27"/>
        <v>9</v>
      </c>
      <c r="M243" s="71" t="str">
        <f>IFERROR(INDEX(KALENDER!$D$3:$D$132,MATCH(H243,KALENDER!$A$3:$A$132,0)),"Di luar periode")</f>
        <v>Hari Kerja</v>
      </c>
      <c r="N243" s="71">
        <f t="shared" si="28"/>
        <v>0</v>
      </c>
      <c r="O243" s="71">
        <f t="shared" si="29"/>
        <v>1</v>
      </c>
      <c r="P243" s="71">
        <f t="shared" si="30"/>
        <v>0</v>
      </c>
      <c r="Q243" s="71">
        <f t="shared" si="31"/>
        <v>0</v>
      </c>
      <c r="R243" s="71">
        <f t="shared" si="32"/>
        <v>0</v>
      </c>
      <c r="S243" s="71">
        <f t="shared" si="33"/>
        <v>0</v>
      </c>
      <c r="T243" s="71">
        <f t="shared" si="34"/>
        <v>0</v>
      </c>
      <c r="U243" s="71">
        <f>IF(AND(N243=1,V243=1),IF(COUNTIFS(AKTIVITAS!$B$2:$B$3052,B243,AKTIVITAS!$E$2:$E$3052,H243)&gt;0,1,0),0)</f>
        <v>0</v>
      </c>
      <c r="V243" s="71">
        <f>IFERROR(IF(AND(H243&gt;=INDEX(PEMAGANG!$J$3:$J$36,MATCH(B243,PEMAGANG!$C$3:$C$36,0)),H243&lt;=INDEX(PEMAGANG!$K$3:$K$36,MATCH(B243,PEMAGANG!$C$3:$C$36,0))),1,0),0)</f>
        <v>1</v>
      </c>
      <c r="W243" s="71">
        <f t="shared" si="35"/>
        <v>0</v>
      </c>
    </row>
    <row r="244" spans="1:23" x14ac:dyDescent="0.2">
      <c r="A244" s="71" t="s">
        <v>249</v>
      </c>
      <c r="B244" s="71" t="s">
        <v>250</v>
      </c>
      <c r="C244" s="71" t="s">
        <v>187</v>
      </c>
      <c r="D244" s="71" t="s">
        <v>220</v>
      </c>
      <c r="E244" s="71" t="s">
        <v>345</v>
      </c>
      <c r="F244" s="71" t="s">
        <v>298</v>
      </c>
      <c r="G244" s="88">
        <v>46287.308796296304</v>
      </c>
      <c r="H244" s="89">
        <v>46287</v>
      </c>
      <c r="I244" s="71" t="s">
        <v>303</v>
      </c>
      <c r="J244" s="71">
        <v>-5.9999999999999796</v>
      </c>
      <c r="K244" s="71" t="s">
        <v>302</v>
      </c>
      <c r="L244" s="71">
        <f t="shared" si="27"/>
        <v>9</v>
      </c>
      <c r="M244" s="71" t="str">
        <f>IFERROR(INDEX(KALENDER!$D$3:$D$132,MATCH(H244,KALENDER!$A$3:$A$132,0)),"Di luar periode")</f>
        <v>Hari Kerja</v>
      </c>
      <c r="N244" s="71">
        <f t="shared" si="28"/>
        <v>1</v>
      </c>
      <c r="O244" s="71">
        <f t="shared" si="29"/>
        <v>1</v>
      </c>
      <c r="P244" s="71">
        <f t="shared" si="30"/>
        <v>1</v>
      </c>
      <c r="Q244" s="71">
        <f t="shared" si="31"/>
        <v>0</v>
      </c>
      <c r="R244" s="71">
        <f t="shared" si="32"/>
        <v>0</v>
      </c>
      <c r="S244" s="71">
        <f t="shared" si="33"/>
        <v>0</v>
      </c>
      <c r="T244" s="71">
        <f t="shared" si="34"/>
        <v>0</v>
      </c>
      <c r="U244" s="71">
        <f>IF(AND(N244=1,V244=1),IF(COUNTIFS(AKTIVITAS!$B$2:$B$3052,B244,AKTIVITAS!$E$2:$E$3052,H244)&gt;0,1,0),0)</f>
        <v>1</v>
      </c>
      <c r="V244" s="71">
        <f>IFERROR(IF(AND(H244&gt;=INDEX(PEMAGANG!$J$3:$J$36,MATCH(B244,PEMAGANG!$C$3:$C$36,0)),H244&lt;=INDEX(PEMAGANG!$K$3:$K$36,MATCH(B244,PEMAGANG!$C$3:$C$36,0))),1,0),0)</f>
        <v>1</v>
      </c>
      <c r="W244" s="71">
        <f t="shared" si="35"/>
        <v>1</v>
      </c>
    </row>
    <row r="245" spans="1:23" x14ac:dyDescent="0.2">
      <c r="A245" s="71" t="s">
        <v>249</v>
      </c>
      <c r="B245" s="71" t="s">
        <v>250</v>
      </c>
      <c r="C245" s="71" t="s">
        <v>187</v>
      </c>
      <c r="D245" s="71" t="s">
        <v>220</v>
      </c>
      <c r="E245" s="71" t="s">
        <v>345</v>
      </c>
      <c r="F245" s="71" t="s">
        <v>300</v>
      </c>
      <c r="G245" s="88">
        <v>46287.6972916667</v>
      </c>
      <c r="H245" s="89">
        <v>46287</v>
      </c>
      <c r="I245" s="71" t="s">
        <v>312</v>
      </c>
      <c r="J245" s="71">
        <v>0</v>
      </c>
      <c r="K245" s="71" t="s">
        <v>302</v>
      </c>
      <c r="L245" s="71">
        <f t="shared" si="27"/>
        <v>9</v>
      </c>
      <c r="M245" s="71" t="str">
        <f>IFERROR(INDEX(KALENDER!$D$3:$D$132,MATCH(H245,KALENDER!$A$3:$A$132,0)),"Di luar periode")</f>
        <v>Hari Kerja</v>
      </c>
      <c r="N245" s="71">
        <f t="shared" si="28"/>
        <v>0</v>
      </c>
      <c r="O245" s="71">
        <f t="shared" si="29"/>
        <v>1</v>
      </c>
      <c r="P245" s="71">
        <f t="shared" si="30"/>
        <v>0</v>
      </c>
      <c r="Q245" s="71">
        <f t="shared" si="31"/>
        <v>0</v>
      </c>
      <c r="R245" s="71">
        <f t="shared" si="32"/>
        <v>0</v>
      </c>
      <c r="S245" s="71">
        <f t="shared" si="33"/>
        <v>0</v>
      </c>
      <c r="T245" s="71">
        <f t="shared" si="34"/>
        <v>0</v>
      </c>
      <c r="U245" s="71">
        <f>IF(AND(N245=1,V245=1),IF(COUNTIFS(AKTIVITAS!$B$2:$B$3052,B245,AKTIVITAS!$E$2:$E$3052,H245)&gt;0,1,0),0)</f>
        <v>0</v>
      </c>
      <c r="V245" s="71">
        <f>IFERROR(IF(AND(H245&gt;=INDEX(PEMAGANG!$J$3:$J$36,MATCH(B245,PEMAGANG!$C$3:$C$36,0)),H245&lt;=INDEX(PEMAGANG!$K$3:$K$36,MATCH(B245,PEMAGANG!$C$3:$C$36,0))),1,0),0)</f>
        <v>1</v>
      </c>
      <c r="W245" s="71">
        <f t="shared" si="35"/>
        <v>0</v>
      </c>
    </row>
    <row r="246" spans="1:23" x14ac:dyDescent="0.2">
      <c r="A246" s="71" t="s">
        <v>249</v>
      </c>
      <c r="B246" s="71" t="s">
        <v>250</v>
      </c>
      <c r="C246" s="71" t="s">
        <v>187</v>
      </c>
      <c r="D246" s="71" t="s">
        <v>220</v>
      </c>
      <c r="E246" s="71" t="s">
        <v>345</v>
      </c>
      <c r="F246" s="71" t="s">
        <v>298</v>
      </c>
      <c r="G246" s="88">
        <v>46288.309664351902</v>
      </c>
      <c r="H246" s="89">
        <v>46288</v>
      </c>
      <c r="I246" s="71" t="s">
        <v>307</v>
      </c>
      <c r="J246" s="71">
        <v>-4.9999999999999796</v>
      </c>
      <c r="K246" s="71" t="s">
        <v>302</v>
      </c>
      <c r="L246" s="71">
        <f t="shared" si="27"/>
        <v>9</v>
      </c>
      <c r="M246" s="71" t="str">
        <f>IFERROR(INDEX(KALENDER!$D$3:$D$132,MATCH(H246,KALENDER!$A$3:$A$132,0)),"Di luar periode")</f>
        <v>Hari Kerja</v>
      </c>
      <c r="N246" s="71">
        <f t="shared" si="28"/>
        <v>1</v>
      </c>
      <c r="O246" s="71">
        <f t="shared" si="29"/>
        <v>1</v>
      </c>
      <c r="P246" s="71">
        <f t="shared" si="30"/>
        <v>1</v>
      </c>
      <c r="Q246" s="71">
        <f t="shared" si="31"/>
        <v>0</v>
      </c>
      <c r="R246" s="71">
        <f t="shared" si="32"/>
        <v>0</v>
      </c>
      <c r="S246" s="71">
        <f t="shared" si="33"/>
        <v>0</v>
      </c>
      <c r="T246" s="71">
        <f t="shared" si="34"/>
        <v>0</v>
      </c>
      <c r="U246" s="71">
        <f>IF(AND(N246=1,V246=1),IF(COUNTIFS(AKTIVITAS!$B$2:$B$3052,B246,AKTIVITAS!$E$2:$E$3052,H246)&gt;0,1,0),0)</f>
        <v>1</v>
      </c>
      <c r="V246" s="71">
        <f>IFERROR(IF(AND(H246&gt;=INDEX(PEMAGANG!$J$3:$J$36,MATCH(B246,PEMAGANG!$C$3:$C$36,0)),H246&lt;=INDEX(PEMAGANG!$K$3:$K$36,MATCH(B246,PEMAGANG!$C$3:$C$36,0))),1,0),0)</f>
        <v>1</v>
      </c>
      <c r="W246" s="71">
        <f t="shared" si="35"/>
        <v>1</v>
      </c>
    </row>
    <row r="247" spans="1:23" x14ac:dyDescent="0.2">
      <c r="A247" s="71" t="s">
        <v>249</v>
      </c>
      <c r="B247" s="71" t="s">
        <v>250</v>
      </c>
      <c r="C247" s="71" t="s">
        <v>187</v>
      </c>
      <c r="D247" s="71" t="s">
        <v>220</v>
      </c>
      <c r="E247" s="71" t="s">
        <v>345</v>
      </c>
      <c r="F247" s="71" t="s">
        <v>300</v>
      </c>
      <c r="G247" s="88">
        <v>46288.697650463</v>
      </c>
      <c r="H247" s="89">
        <v>46288</v>
      </c>
      <c r="I247" s="71" t="s">
        <v>312</v>
      </c>
      <c r="J247" s="71">
        <v>0</v>
      </c>
      <c r="K247" s="71" t="s">
        <v>302</v>
      </c>
      <c r="L247" s="71">
        <f t="shared" si="27"/>
        <v>9</v>
      </c>
      <c r="M247" s="71" t="str">
        <f>IFERROR(INDEX(KALENDER!$D$3:$D$132,MATCH(H247,KALENDER!$A$3:$A$132,0)),"Di luar periode")</f>
        <v>Hari Kerja</v>
      </c>
      <c r="N247" s="71">
        <f t="shared" si="28"/>
        <v>0</v>
      </c>
      <c r="O247" s="71">
        <f t="shared" si="29"/>
        <v>1</v>
      </c>
      <c r="P247" s="71">
        <f t="shared" si="30"/>
        <v>0</v>
      </c>
      <c r="Q247" s="71">
        <f t="shared" si="31"/>
        <v>0</v>
      </c>
      <c r="R247" s="71">
        <f t="shared" si="32"/>
        <v>0</v>
      </c>
      <c r="S247" s="71">
        <f t="shared" si="33"/>
        <v>0</v>
      </c>
      <c r="T247" s="71">
        <f t="shared" si="34"/>
        <v>0</v>
      </c>
      <c r="U247" s="71">
        <f>IF(AND(N247=1,V247=1),IF(COUNTIFS(AKTIVITAS!$B$2:$B$3052,B247,AKTIVITAS!$E$2:$E$3052,H247)&gt;0,1,0),0)</f>
        <v>0</v>
      </c>
      <c r="V247" s="71">
        <f>IFERROR(IF(AND(H247&gt;=INDEX(PEMAGANG!$J$3:$J$36,MATCH(B247,PEMAGANG!$C$3:$C$36,0)),H247&lt;=INDEX(PEMAGANG!$K$3:$K$36,MATCH(B247,PEMAGANG!$C$3:$C$36,0))),1,0),0)</f>
        <v>1</v>
      </c>
      <c r="W247" s="71">
        <f t="shared" si="35"/>
        <v>0</v>
      </c>
    </row>
    <row r="248" spans="1:23" x14ac:dyDescent="0.2">
      <c r="A248" s="71" t="s">
        <v>249</v>
      </c>
      <c r="B248" s="71" t="s">
        <v>250</v>
      </c>
      <c r="C248" s="71" t="s">
        <v>187</v>
      </c>
      <c r="D248" s="71" t="s">
        <v>220</v>
      </c>
      <c r="E248" s="71" t="s">
        <v>345</v>
      </c>
      <c r="F248" s="71" t="s">
        <v>298</v>
      </c>
      <c r="G248" s="88">
        <v>46289.308854166702</v>
      </c>
      <c r="H248" s="89">
        <v>46289</v>
      </c>
      <c r="I248" s="71" t="s">
        <v>303</v>
      </c>
      <c r="J248" s="71">
        <v>-5.9999999999999796</v>
      </c>
      <c r="K248" s="71" t="s">
        <v>302</v>
      </c>
      <c r="L248" s="71">
        <f t="shared" si="27"/>
        <v>9</v>
      </c>
      <c r="M248" s="71" t="str">
        <f>IFERROR(INDEX(KALENDER!$D$3:$D$132,MATCH(H248,KALENDER!$A$3:$A$132,0)),"Di luar periode")</f>
        <v>Hari Kerja</v>
      </c>
      <c r="N248" s="71">
        <f t="shared" si="28"/>
        <v>1</v>
      </c>
      <c r="O248" s="71">
        <f t="shared" si="29"/>
        <v>1</v>
      </c>
      <c r="P248" s="71">
        <f t="shared" si="30"/>
        <v>1</v>
      </c>
      <c r="Q248" s="71">
        <f t="shared" si="31"/>
        <v>0</v>
      </c>
      <c r="R248" s="71">
        <f t="shared" si="32"/>
        <v>0</v>
      </c>
      <c r="S248" s="71">
        <f t="shared" si="33"/>
        <v>0</v>
      </c>
      <c r="T248" s="71">
        <f t="shared" si="34"/>
        <v>0</v>
      </c>
      <c r="U248" s="71">
        <f>IF(AND(N248=1,V248=1),IF(COUNTIFS(AKTIVITAS!$B$2:$B$3052,B248,AKTIVITAS!$E$2:$E$3052,H248)&gt;0,1,0),0)</f>
        <v>1</v>
      </c>
      <c r="V248" s="71">
        <f>IFERROR(IF(AND(H248&gt;=INDEX(PEMAGANG!$J$3:$J$36,MATCH(B248,PEMAGANG!$C$3:$C$36,0)),H248&lt;=INDEX(PEMAGANG!$K$3:$K$36,MATCH(B248,PEMAGANG!$C$3:$C$36,0))),1,0),0)</f>
        <v>1</v>
      </c>
      <c r="W248" s="71">
        <f t="shared" si="35"/>
        <v>1</v>
      </c>
    </row>
    <row r="249" spans="1:23" x14ac:dyDescent="0.2">
      <c r="A249" s="71" t="s">
        <v>249</v>
      </c>
      <c r="B249" s="71" t="s">
        <v>250</v>
      </c>
      <c r="C249" s="71" t="s">
        <v>187</v>
      </c>
      <c r="D249" s="71" t="s">
        <v>220</v>
      </c>
      <c r="E249" s="71" t="s">
        <v>345</v>
      </c>
      <c r="F249" s="71" t="s">
        <v>300</v>
      </c>
      <c r="G249" s="88">
        <v>46289.690439814804</v>
      </c>
      <c r="H249" s="89">
        <v>46289</v>
      </c>
      <c r="I249" s="71" t="s">
        <v>314</v>
      </c>
      <c r="J249" s="71">
        <v>0</v>
      </c>
      <c r="K249" s="71" t="s">
        <v>302</v>
      </c>
      <c r="L249" s="71">
        <f t="shared" si="27"/>
        <v>9</v>
      </c>
      <c r="M249" s="71" t="str">
        <f>IFERROR(INDEX(KALENDER!$D$3:$D$132,MATCH(H249,KALENDER!$A$3:$A$132,0)),"Di luar periode")</f>
        <v>Hari Kerja</v>
      </c>
      <c r="N249" s="71">
        <f t="shared" si="28"/>
        <v>0</v>
      </c>
      <c r="O249" s="71">
        <f t="shared" si="29"/>
        <v>1</v>
      </c>
      <c r="P249" s="71">
        <f t="shared" si="30"/>
        <v>0</v>
      </c>
      <c r="Q249" s="71">
        <f t="shared" si="31"/>
        <v>0</v>
      </c>
      <c r="R249" s="71">
        <f t="shared" si="32"/>
        <v>0</v>
      </c>
      <c r="S249" s="71">
        <f t="shared" si="33"/>
        <v>0</v>
      </c>
      <c r="T249" s="71">
        <f t="shared" si="34"/>
        <v>0</v>
      </c>
      <c r="U249" s="71">
        <f>IF(AND(N249=1,V249=1),IF(COUNTIFS(AKTIVITAS!$B$2:$B$3052,B249,AKTIVITAS!$E$2:$E$3052,H249)&gt;0,1,0),0)</f>
        <v>0</v>
      </c>
      <c r="V249" s="71">
        <f>IFERROR(IF(AND(H249&gt;=INDEX(PEMAGANG!$J$3:$J$36,MATCH(B249,PEMAGANG!$C$3:$C$36,0)),H249&lt;=INDEX(PEMAGANG!$K$3:$K$36,MATCH(B249,PEMAGANG!$C$3:$C$36,0))),1,0),0)</f>
        <v>1</v>
      </c>
      <c r="W249" s="71">
        <f t="shared" si="35"/>
        <v>0</v>
      </c>
    </row>
    <row r="250" spans="1:23" x14ac:dyDescent="0.2">
      <c r="A250" s="71" t="s">
        <v>249</v>
      </c>
      <c r="B250" s="71" t="s">
        <v>250</v>
      </c>
      <c r="C250" s="71" t="s">
        <v>187</v>
      </c>
      <c r="D250" s="71" t="s">
        <v>220</v>
      </c>
      <c r="E250" s="71" t="s">
        <v>345</v>
      </c>
      <c r="F250" s="71" t="s">
        <v>298</v>
      </c>
      <c r="G250" s="88">
        <v>46290.308460648201</v>
      </c>
      <c r="H250" s="89">
        <v>46290</v>
      </c>
      <c r="I250" s="71" t="s">
        <v>303</v>
      </c>
      <c r="J250" s="71">
        <v>-5.9999999999999796</v>
      </c>
      <c r="K250" s="71" t="s">
        <v>302</v>
      </c>
      <c r="L250" s="71">
        <f t="shared" si="27"/>
        <v>9</v>
      </c>
      <c r="M250" s="71" t="str">
        <f>IFERROR(INDEX(KALENDER!$D$3:$D$132,MATCH(H250,KALENDER!$A$3:$A$132,0)),"Di luar periode")</f>
        <v>Hari Kerja</v>
      </c>
      <c r="N250" s="71">
        <f t="shared" si="28"/>
        <v>1</v>
      </c>
      <c r="O250" s="71">
        <f t="shared" si="29"/>
        <v>1</v>
      </c>
      <c r="P250" s="71">
        <f t="shared" si="30"/>
        <v>1</v>
      </c>
      <c r="Q250" s="71">
        <f t="shared" si="31"/>
        <v>0</v>
      </c>
      <c r="R250" s="71">
        <f t="shared" si="32"/>
        <v>0</v>
      </c>
      <c r="S250" s="71">
        <f t="shared" si="33"/>
        <v>0</v>
      </c>
      <c r="T250" s="71">
        <f t="shared" si="34"/>
        <v>0</v>
      </c>
      <c r="U250" s="71">
        <f>IF(AND(N250=1,V250=1),IF(COUNTIFS(AKTIVITAS!$B$2:$B$3052,B250,AKTIVITAS!$E$2:$E$3052,H250)&gt;0,1,0),0)</f>
        <v>1</v>
      </c>
      <c r="V250" s="71">
        <f>IFERROR(IF(AND(H250&gt;=INDEX(PEMAGANG!$J$3:$J$36,MATCH(B250,PEMAGANG!$C$3:$C$36,0)),H250&lt;=INDEX(PEMAGANG!$K$3:$K$36,MATCH(B250,PEMAGANG!$C$3:$C$36,0))),1,0),0)</f>
        <v>1</v>
      </c>
      <c r="W250" s="71">
        <f t="shared" si="35"/>
        <v>1</v>
      </c>
    </row>
    <row r="251" spans="1:23" x14ac:dyDescent="0.2">
      <c r="A251" s="71" t="s">
        <v>249</v>
      </c>
      <c r="B251" s="71" t="s">
        <v>250</v>
      </c>
      <c r="C251" s="71" t="s">
        <v>187</v>
      </c>
      <c r="D251" s="71" t="s">
        <v>220</v>
      </c>
      <c r="E251" s="71" t="s">
        <v>345</v>
      </c>
      <c r="F251" s="71" t="s">
        <v>300</v>
      </c>
      <c r="G251" s="88">
        <v>46290.690833333298</v>
      </c>
      <c r="H251" s="89">
        <v>46290</v>
      </c>
      <c r="I251" s="71" t="s">
        <v>314</v>
      </c>
      <c r="J251" s="71">
        <v>0</v>
      </c>
      <c r="K251" s="71" t="s">
        <v>302</v>
      </c>
      <c r="L251" s="71">
        <f t="shared" si="27"/>
        <v>9</v>
      </c>
      <c r="M251" s="71" t="str">
        <f>IFERROR(INDEX(KALENDER!$D$3:$D$132,MATCH(H251,KALENDER!$A$3:$A$132,0)),"Di luar periode")</f>
        <v>Hari Kerja</v>
      </c>
      <c r="N251" s="71">
        <f t="shared" si="28"/>
        <v>0</v>
      </c>
      <c r="O251" s="71">
        <f t="shared" si="29"/>
        <v>1</v>
      </c>
      <c r="P251" s="71">
        <f t="shared" si="30"/>
        <v>0</v>
      </c>
      <c r="Q251" s="71">
        <f t="shared" si="31"/>
        <v>0</v>
      </c>
      <c r="R251" s="71">
        <f t="shared" si="32"/>
        <v>0</v>
      </c>
      <c r="S251" s="71">
        <f t="shared" si="33"/>
        <v>0</v>
      </c>
      <c r="T251" s="71">
        <f t="shared" si="34"/>
        <v>0</v>
      </c>
      <c r="U251" s="71">
        <f>IF(AND(N251=1,V251=1),IF(COUNTIFS(AKTIVITAS!$B$2:$B$3052,B251,AKTIVITAS!$E$2:$E$3052,H251)&gt;0,1,0),0)</f>
        <v>0</v>
      </c>
      <c r="V251" s="71">
        <f>IFERROR(IF(AND(H251&gt;=INDEX(PEMAGANG!$J$3:$J$36,MATCH(B251,PEMAGANG!$C$3:$C$36,0)),H251&lt;=INDEX(PEMAGANG!$K$3:$K$36,MATCH(B251,PEMAGANG!$C$3:$C$36,0))),1,0),0)</f>
        <v>1</v>
      </c>
      <c r="W251" s="71">
        <f t="shared" si="35"/>
        <v>0</v>
      </c>
    </row>
    <row r="252" spans="1:23" x14ac:dyDescent="0.2">
      <c r="A252" s="71" t="s">
        <v>249</v>
      </c>
      <c r="B252" s="71" t="s">
        <v>250</v>
      </c>
      <c r="C252" s="71" t="s">
        <v>187</v>
      </c>
      <c r="D252" s="71" t="s">
        <v>220</v>
      </c>
      <c r="E252" s="71" t="s">
        <v>345</v>
      </c>
      <c r="F252" s="71" t="s">
        <v>298</v>
      </c>
      <c r="G252" s="88">
        <v>46293.309155092596</v>
      </c>
      <c r="H252" s="89">
        <v>46293</v>
      </c>
      <c r="I252" s="71" t="s">
        <v>307</v>
      </c>
      <c r="J252" s="71">
        <v>-4.9999999999999796</v>
      </c>
      <c r="K252" s="71" t="s">
        <v>302</v>
      </c>
      <c r="L252" s="71">
        <f t="shared" si="27"/>
        <v>9</v>
      </c>
      <c r="M252" s="71" t="str">
        <f>IFERROR(INDEX(KALENDER!$D$3:$D$132,MATCH(H252,KALENDER!$A$3:$A$132,0)),"Di luar periode")</f>
        <v>Hari Kerja</v>
      </c>
      <c r="N252" s="71">
        <f t="shared" si="28"/>
        <v>1</v>
      </c>
      <c r="O252" s="71">
        <f t="shared" si="29"/>
        <v>1</v>
      </c>
      <c r="P252" s="71">
        <f t="shared" si="30"/>
        <v>1</v>
      </c>
      <c r="Q252" s="71">
        <f t="shared" si="31"/>
        <v>0</v>
      </c>
      <c r="R252" s="71">
        <f t="shared" si="32"/>
        <v>0</v>
      </c>
      <c r="S252" s="71">
        <f t="shared" si="33"/>
        <v>0</v>
      </c>
      <c r="T252" s="71">
        <f t="shared" si="34"/>
        <v>0</v>
      </c>
      <c r="U252" s="71">
        <f>IF(AND(N252=1,V252=1),IF(COUNTIFS(AKTIVITAS!$B$2:$B$3052,B252,AKTIVITAS!$E$2:$E$3052,H252)&gt;0,1,0),0)</f>
        <v>1</v>
      </c>
      <c r="V252" s="71">
        <f>IFERROR(IF(AND(H252&gt;=INDEX(PEMAGANG!$J$3:$J$36,MATCH(B252,PEMAGANG!$C$3:$C$36,0)),H252&lt;=INDEX(PEMAGANG!$K$3:$K$36,MATCH(B252,PEMAGANG!$C$3:$C$36,0))),1,0),0)</f>
        <v>1</v>
      </c>
      <c r="W252" s="71">
        <f t="shared" si="35"/>
        <v>1</v>
      </c>
    </row>
    <row r="253" spans="1:23" x14ac:dyDescent="0.2">
      <c r="A253" s="71" t="s">
        <v>249</v>
      </c>
      <c r="B253" s="71" t="s">
        <v>250</v>
      </c>
      <c r="C253" s="71" t="s">
        <v>187</v>
      </c>
      <c r="D253" s="71" t="s">
        <v>220</v>
      </c>
      <c r="E253" s="71" t="s">
        <v>345</v>
      </c>
      <c r="F253" s="71" t="s">
        <v>300</v>
      </c>
      <c r="G253" s="88">
        <v>46293.693043981497</v>
      </c>
      <c r="H253" s="89">
        <v>46293</v>
      </c>
      <c r="I253" s="71" t="s">
        <v>328</v>
      </c>
      <c r="J253" s="71">
        <v>0</v>
      </c>
      <c r="K253" s="71" t="s">
        <v>302</v>
      </c>
      <c r="L253" s="71">
        <f t="shared" si="27"/>
        <v>9</v>
      </c>
      <c r="M253" s="71" t="str">
        <f>IFERROR(INDEX(KALENDER!$D$3:$D$132,MATCH(H253,KALENDER!$A$3:$A$132,0)),"Di luar periode")</f>
        <v>Hari Kerja</v>
      </c>
      <c r="N253" s="71">
        <f t="shared" si="28"/>
        <v>0</v>
      </c>
      <c r="O253" s="71">
        <f t="shared" si="29"/>
        <v>1</v>
      </c>
      <c r="P253" s="71">
        <f t="shared" si="30"/>
        <v>0</v>
      </c>
      <c r="Q253" s="71">
        <f t="shared" si="31"/>
        <v>0</v>
      </c>
      <c r="R253" s="71">
        <f t="shared" si="32"/>
        <v>0</v>
      </c>
      <c r="S253" s="71">
        <f t="shared" si="33"/>
        <v>0</v>
      </c>
      <c r="T253" s="71">
        <f t="shared" si="34"/>
        <v>0</v>
      </c>
      <c r="U253" s="71">
        <f>IF(AND(N253=1,V253=1),IF(COUNTIFS(AKTIVITAS!$B$2:$B$3052,B253,AKTIVITAS!$E$2:$E$3052,H253)&gt;0,1,0),0)</f>
        <v>0</v>
      </c>
      <c r="V253" s="71">
        <f>IFERROR(IF(AND(H253&gt;=INDEX(PEMAGANG!$J$3:$J$36,MATCH(B253,PEMAGANG!$C$3:$C$36,0)),H253&lt;=INDEX(PEMAGANG!$K$3:$K$36,MATCH(B253,PEMAGANG!$C$3:$C$36,0))),1,0),0)</f>
        <v>1</v>
      </c>
      <c r="W253" s="71">
        <f t="shared" si="35"/>
        <v>0</v>
      </c>
    </row>
    <row r="254" spans="1:23" x14ac:dyDescent="0.2">
      <c r="A254" s="71" t="s">
        <v>249</v>
      </c>
      <c r="B254" s="71" t="s">
        <v>250</v>
      </c>
      <c r="C254" s="71" t="s">
        <v>187</v>
      </c>
      <c r="D254" s="71" t="s">
        <v>220</v>
      </c>
      <c r="E254" s="71" t="s">
        <v>345</v>
      </c>
      <c r="F254" s="71" t="s">
        <v>298</v>
      </c>
      <c r="G254" s="88">
        <v>46294.308136574102</v>
      </c>
      <c r="H254" s="89">
        <v>46294</v>
      </c>
      <c r="I254" s="71" t="s">
        <v>311</v>
      </c>
      <c r="J254" s="71">
        <v>-6.9999999999999796</v>
      </c>
      <c r="K254" s="71" t="s">
        <v>302</v>
      </c>
      <c r="L254" s="71">
        <f t="shared" si="27"/>
        <v>9</v>
      </c>
      <c r="M254" s="71" t="str">
        <f>IFERROR(INDEX(KALENDER!$D$3:$D$132,MATCH(H254,KALENDER!$A$3:$A$132,0)),"Di luar periode")</f>
        <v>Hari Kerja</v>
      </c>
      <c r="N254" s="71">
        <f t="shared" si="28"/>
        <v>1</v>
      </c>
      <c r="O254" s="71">
        <f t="shared" si="29"/>
        <v>1</v>
      </c>
      <c r="P254" s="71">
        <f t="shared" si="30"/>
        <v>1</v>
      </c>
      <c r="Q254" s="71">
        <f t="shared" si="31"/>
        <v>0</v>
      </c>
      <c r="R254" s="71">
        <f t="shared" si="32"/>
        <v>0</v>
      </c>
      <c r="S254" s="71">
        <f t="shared" si="33"/>
        <v>0</v>
      </c>
      <c r="T254" s="71">
        <f t="shared" si="34"/>
        <v>0</v>
      </c>
      <c r="U254" s="71">
        <f>IF(AND(N254=1,V254=1),IF(COUNTIFS(AKTIVITAS!$B$2:$B$3052,B254,AKTIVITAS!$E$2:$E$3052,H254)&gt;0,1,0),0)</f>
        <v>1</v>
      </c>
      <c r="V254" s="71">
        <f>IFERROR(IF(AND(H254&gt;=INDEX(PEMAGANG!$J$3:$J$36,MATCH(B254,PEMAGANG!$C$3:$C$36,0)),H254&lt;=INDEX(PEMAGANG!$K$3:$K$36,MATCH(B254,PEMAGANG!$C$3:$C$36,0))),1,0),0)</f>
        <v>1</v>
      </c>
      <c r="W254" s="71">
        <f t="shared" si="35"/>
        <v>1</v>
      </c>
    </row>
    <row r="255" spans="1:23" x14ac:dyDescent="0.2">
      <c r="A255" s="71" t="s">
        <v>249</v>
      </c>
      <c r="B255" s="71" t="s">
        <v>250</v>
      </c>
      <c r="C255" s="71" t="s">
        <v>187</v>
      </c>
      <c r="D255" s="71" t="s">
        <v>220</v>
      </c>
      <c r="E255" s="71" t="s">
        <v>345</v>
      </c>
      <c r="F255" s="71" t="s">
        <v>300</v>
      </c>
      <c r="G255" s="88">
        <v>46294.6972453704</v>
      </c>
      <c r="H255" s="89">
        <v>46294</v>
      </c>
      <c r="I255" s="71" t="s">
        <v>312</v>
      </c>
      <c r="J255" s="71">
        <v>0</v>
      </c>
      <c r="K255" s="71" t="s">
        <v>302</v>
      </c>
      <c r="L255" s="71">
        <f t="shared" si="27"/>
        <v>9</v>
      </c>
      <c r="M255" s="71" t="str">
        <f>IFERROR(INDEX(KALENDER!$D$3:$D$132,MATCH(H255,KALENDER!$A$3:$A$132,0)),"Di luar periode")</f>
        <v>Hari Kerja</v>
      </c>
      <c r="N255" s="71">
        <f t="shared" si="28"/>
        <v>0</v>
      </c>
      <c r="O255" s="71">
        <f t="shared" si="29"/>
        <v>1</v>
      </c>
      <c r="P255" s="71">
        <f t="shared" si="30"/>
        <v>0</v>
      </c>
      <c r="Q255" s="71">
        <f t="shared" si="31"/>
        <v>0</v>
      </c>
      <c r="R255" s="71">
        <f t="shared" si="32"/>
        <v>0</v>
      </c>
      <c r="S255" s="71">
        <f t="shared" si="33"/>
        <v>0</v>
      </c>
      <c r="T255" s="71">
        <f t="shared" si="34"/>
        <v>0</v>
      </c>
      <c r="U255" s="71">
        <f>IF(AND(N255=1,V255=1),IF(COUNTIFS(AKTIVITAS!$B$2:$B$3052,B255,AKTIVITAS!$E$2:$E$3052,H255)&gt;0,1,0),0)</f>
        <v>0</v>
      </c>
      <c r="V255" s="71">
        <f>IFERROR(IF(AND(H255&gt;=INDEX(PEMAGANG!$J$3:$J$36,MATCH(B255,PEMAGANG!$C$3:$C$36,0)),H255&lt;=INDEX(PEMAGANG!$K$3:$K$36,MATCH(B255,PEMAGANG!$C$3:$C$36,0))),1,0),0)</f>
        <v>1</v>
      </c>
      <c r="W255" s="71">
        <f t="shared" si="35"/>
        <v>0</v>
      </c>
    </row>
    <row r="256" spans="1:23" x14ac:dyDescent="0.2">
      <c r="A256" s="71" t="s">
        <v>249</v>
      </c>
      <c r="B256" s="71" t="s">
        <v>250</v>
      </c>
      <c r="C256" s="71" t="s">
        <v>187</v>
      </c>
      <c r="D256" s="71" t="s">
        <v>220</v>
      </c>
      <c r="E256" s="71" t="s">
        <v>345</v>
      </c>
      <c r="F256" s="71" t="s">
        <v>298</v>
      </c>
      <c r="G256" s="88">
        <v>46295.309108796297</v>
      </c>
      <c r="H256" s="89">
        <v>46295</v>
      </c>
      <c r="I256" s="71" t="s">
        <v>307</v>
      </c>
      <c r="J256" s="71">
        <v>-4.9999999999999796</v>
      </c>
      <c r="K256" s="71" t="s">
        <v>302</v>
      </c>
      <c r="L256" s="71">
        <f t="shared" si="27"/>
        <v>9</v>
      </c>
      <c r="M256" s="71" t="str">
        <f>IFERROR(INDEX(KALENDER!$D$3:$D$132,MATCH(H256,KALENDER!$A$3:$A$132,0)),"Di luar periode")</f>
        <v>Hari Kerja</v>
      </c>
      <c r="N256" s="71">
        <f t="shared" si="28"/>
        <v>1</v>
      </c>
      <c r="O256" s="71">
        <f t="shared" si="29"/>
        <v>1</v>
      </c>
      <c r="P256" s="71">
        <f t="shared" si="30"/>
        <v>1</v>
      </c>
      <c r="Q256" s="71">
        <f t="shared" si="31"/>
        <v>0</v>
      </c>
      <c r="R256" s="71">
        <f t="shared" si="32"/>
        <v>0</v>
      </c>
      <c r="S256" s="71">
        <f t="shared" si="33"/>
        <v>0</v>
      </c>
      <c r="T256" s="71">
        <f t="shared" si="34"/>
        <v>0</v>
      </c>
      <c r="U256" s="71">
        <f>IF(AND(N256=1,V256=1),IF(COUNTIFS(AKTIVITAS!$B$2:$B$3052,B256,AKTIVITAS!$E$2:$E$3052,H256)&gt;0,1,0),0)</f>
        <v>1</v>
      </c>
      <c r="V256" s="71">
        <f>IFERROR(IF(AND(H256&gt;=INDEX(PEMAGANG!$J$3:$J$36,MATCH(B256,PEMAGANG!$C$3:$C$36,0)),H256&lt;=INDEX(PEMAGANG!$K$3:$K$36,MATCH(B256,PEMAGANG!$C$3:$C$36,0))),1,0),0)</f>
        <v>1</v>
      </c>
      <c r="W256" s="71">
        <f t="shared" si="35"/>
        <v>1</v>
      </c>
    </row>
    <row r="257" spans="1:23" x14ac:dyDescent="0.2">
      <c r="A257" s="71" t="s">
        <v>249</v>
      </c>
      <c r="B257" s="71" t="s">
        <v>250</v>
      </c>
      <c r="C257" s="71" t="s">
        <v>187</v>
      </c>
      <c r="D257" s="71" t="s">
        <v>220</v>
      </c>
      <c r="E257" s="71" t="s">
        <v>345</v>
      </c>
      <c r="F257" s="71" t="s">
        <v>300</v>
      </c>
      <c r="G257" s="88">
        <v>46295.691886574103</v>
      </c>
      <c r="H257" s="89">
        <v>46295</v>
      </c>
      <c r="I257" s="71" t="s">
        <v>344</v>
      </c>
      <c r="J257" s="71">
        <v>0</v>
      </c>
      <c r="K257" s="71" t="s">
        <v>302</v>
      </c>
      <c r="L257" s="71">
        <f t="shared" si="27"/>
        <v>9</v>
      </c>
      <c r="M257" s="71" t="str">
        <f>IFERROR(INDEX(KALENDER!$D$3:$D$132,MATCH(H257,KALENDER!$A$3:$A$132,0)),"Di luar periode")</f>
        <v>Hari Kerja</v>
      </c>
      <c r="N257" s="71">
        <f t="shared" si="28"/>
        <v>0</v>
      </c>
      <c r="O257" s="71">
        <f t="shared" si="29"/>
        <v>1</v>
      </c>
      <c r="P257" s="71">
        <f t="shared" si="30"/>
        <v>0</v>
      </c>
      <c r="Q257" s="71">
        <f t="shared" si="31"/>
        <v>0</v>
      </c>
      <c r="R257" s="71">
        <f t="shared" si="32"/>
        <v>0</v>
      </c>
      <c r="S257" s="71">
        <f t="shared" si="33"/>
        <v>0</v>
      </c>
      <c r="T257" s="71">
        <f t="shared" si="34"/>
        <v>0</v>
      </c>
      <c r="U257" s="71">
        <f>IF(AND(N257=1,V257=1),IF(COUNTIFS(AKTIVITAS!$B$2:$B$3052,B257,AKTIVITAS!$E$2:$E$3052,H257)&gt;0,1,0),0)</f>
        <v>0</v>
      </c>
      <c r="V257" s="71">
        <f>IFERROR(IF(AND(H257&gt;=INDEX(PEMAGANG!$J$3:$J$36,MATCH(B257,PEMAGANG!$C$3:$C$36,0)),H257&lt;=INDEX(PEMAGANG!$K$3:$K$36,MATCH(B257,PEMAGANG!$C$3:$C$36,0))),1,0),0)</f>
        <v>1</v>
      </c>
      <c r="W257" s="71">
        <f t="shared" si="35"/>
        <v>0</v>
      </c>
    </row>
    <row r="258" spans="1:23" x14ac:dyDescent="0.2">
      <c r="A258" s="71" t="s">
        <v>183</v>
      </c>
      <c r="B258" s="71" t="s">
        <v>184</v>
      </c>
      <c r="C258" s="71" t="s">
        <v>187</v>
      </c>
      <c r="D258" s="71" t="s">
        <v>185</v>
      </c>
      <c r="E258" s="71" t="s">
        <v>47</v>
      </c>
      <c r="F258" s="71" t="s">
        <v>298</v>
      </c>
      <c r="G258" s="88">
        <v>46177.2882523148</v>
      </c>
      <c r="H258" s="89">
        <v>46177</v>
      </c>
      <c r="I258" s="71" t="s">
        <v>353</v>
      </c>
      <c r="J258" s="71">
        <v>-35</v>
      </c>
      <c r="K258" s="71" t="s">
        <v>302</v>
      </c>
      <c r="L258" s="71">
        <f t="shared" ref="L258:L321" si="36">MONTH(H258)</f>
        <v>6</v>
      </c>
      <c r="M258" s="71" t="str">
        <f>IFERROR(INDEX(KALENDER!$D$3:$D$132,MATCH(H258,KALENDER!$A$3:$A$132,0)),"Di luar periode")</f>
        <v>Hari Kerja</v>
      </c>
      <c r="N258" s="71">
        <f t="shared" ref="N258:N321" si="37">IF(AND(B258=B257,H258=H257),0,1)</f>
        <v>1</v>
      </c>
      <c r="O258" s="71">
        <f t="shared" ref="O258:O321" si="38">IF(N258=1,0,O257)+IF(F258="MASUK",1,0)</f>
        <v>1</v>
      </c>
      <c r="P258" s="71">
        <f t="shared" ref="P258:P321" si="39">IF(AND(N258=1,M258="Hari Kerja",V258=1),1,0)</f>
        <v>1</v>
      </c>
      <c r="Q258" s="71">
        <f t="shared" ref="Q258:Q321" si="40">IF(AND(N258=1,OR(M258&lt;&gt;"Hari Kerja",V258=0)),1,0)</f>
        <v>0</v>
      </c>
      <c r="R258" s="71">
        <f t="shared" ref="R258:R321" si="41">IF(AND(F258="MASUK",O258=1,N(J258)&gt;0,V258=1),1,0)</f>
        <v>0</v>
      </c>
      <c r="S258" s="71">
        <f t="shared" ref="S258:S321" si="42">R258*N(J258)</f>
        <v>0</v>
      </c>
      <c r="T258" s="71">
        <f t="shared" ref="T258:T321" si="43">IF(AND(N258=1,V258=1),IF(AND(COUNTIFS($B$2:$B$4094,B258,$H$2:$H$4094,H258,$F$2:$F$4094,"MASUK")&gt;0,COUNTIFS($B$2:$B$4094,B258,$H$2:$H$4094,H258,$F$2:$F$4094,"PULANG")=0),1,0),0)</f>
        <v>0</v>
      </c>
      <c r="U258" s="71">
        <f>IF(AND(N258=1,V258=1),IF(COUNTIFS(AKTIVITAS!$B$2:$B$3052,B258,AKTIVITAS!$E$2:$E$3052,H258)&gt;0,1,0),0)</f>
        <v>0</v>
      </c>
      <c r="V258" s="71">
        <f>IFERROR(IF(AND(H258&gt;=INDEX(PEMAGANG!$J$3:$J$36,MATCH(B258,PEMAGANG!$C$3:$C$36,0)),H258&lt;=INDEX(PEMAGANG!$K$3:$K$36,MATCH(B258,PEMAGANG!$C$3:$C$36,0))),1,0),0)</f>
        <v>1</v>
      </c>
      <c r="W258" s="71">
        <f t="shared" ref="W258:W321" si="44">N258*V258</f>
        <v>1</v>
      </c>
    </row>
    <row r="259" spans="1:23" x14ac:dyDescent="0.2">
      <c r="A259" s="71" t="s">
        <v>183</v>
      </c>
      <c r="B259" s="71" t="s">
        <v>184</v>
      </c>
      <c r="C259" s="71" t="s">
        <v>187</v>
      </c>
      <c r="D259" s="71" t="s">
        <v>185</v>
      </c>
      <c r="E259" s="71" t="s">
        <v>47</v>
      </c>
      <c r="F259" s="71" t="s">
        <v>300</v>
      </c>
      <c r="G259" s="88">
        <v>46177.753807870402</v>
      </c>
      <c r="H259" s="89">
        <v>46177</v>
      </c>
      <c r="I259" s="71" t="s">
        <v>354</v>
      </c>
      <c r="J259" s="71">
        <v>0</v>
      </c>
      <c r="K259" s="71" t="s">
        <v>302</v>
      </c>
      <c r="L259" s="71">
        <f t="shared" si="36"/>
        <v>6</v>
      </c>
      <c r="M259" s="71" t="str">
        <f>IFERROR(INDEX(KALENDER!$D$3:$D$132,MATCH(H259,KALENDER!$A$3:$A$132,0)),"Di luar periode")</f>
        <v>Hari Kerja</v>
      </c>
      <c r="N259" s="71">
        <f t="shared" si="37"/>
        <v>0</v>
      </c>
      <c r="O259" s="71">
        <f t="shared" si="38"/>
        <v>1</v>
      </c>
      <c r="P259" s="71">
        <f t="shared" si="39"/>
        <v>0</v>
      </c>
      <c r="Q259" s="71">
        <f t="shared" si="40"/>
        <v>0</v>
      </c>
      <c r="R259" s="71">
        <f t="shared" si="41"/>
        <v>0</v>
      </c>
      <c r="S259" s="71">
        <f t="shared" si="42"/>
        <v>0</v>
      </c>
      <c r="T259" s="71">
        <f t="shared" si="43"/>
        <v>0</v>
      </c>
      <c r="U259" s="71">
        <f>IF(AND(N259=1,V259=1),IF(COUNTIFS(AKTIVITAS!$B$2:$B$3052,B259,AKTIVITAS!$E$2:$E$3052,H259)&gt;0,1,0),0)</f>
        <v>0</v>
      </c>
      <c r="V259" s="71">
        <f>IFERROR(IF(AND(H259&gt;=INDEX(PEMAGANG!$J$3:$J$36,MATCH(B259,PEMAGANG!$C$3:$C$36,0)),H259&lt;=INDEX(PEMAGANG!$K$3:$K$36,MATCH(B259,PEMAGANG!$C$3:$C$36,0))),1,0),0)</f>
        <v>1</v>
      </c>
      <c r="W259" s="71">
        <f t="shared" si="44"/>
        <v>0</v>
      </c>
    </row>
    <row r="260" spans="1:23" x14ac:dyDescent="0.2">
      <c r="A260" s="71" t="s">
        <v>183</v>
      </c>
      <c r="B260" s="71" t="s">
        <v>184</v>
      </c>
      <c r="C260" s="71" t="s">
        <v>187</v>
      </c>
      <c r="D260" s="71" t="s">
        <v>185</v>
      </c>
      <c r="E260" s="71" t="s">
        <v>47</v>
      </c>
      <c r="F260" s="71" t="s">
        <v>298</v>
      </c>
      <c r="G260" s="88">
        <v>46178.295821759297</v>
      </c>
      <c r="H260" s="89">
        <v>46178</v>
      </c>
      <c r="I260" s="71" t="s">
        <v>355</v>
      </c>
      <c r="J260" s="71">
        <v>-25</v>
      </c>
      <c r="K260" s="71" t="s">
        <v>302</v>
      </c>
      <c r="L260" s="71">
        <f t="shared" si="36"/>
        <v>6</v>
      </c>
      <c r="M260" s="71" t="str">
        <f>IFERROR(INDEX(KALENDER!$D$3:$D$132,MATCH(H260,KALENDER!$A$3:$A$132,0)),"Di luar periode")</f>
        <v>Hari Kerja</v>
      </c>
      <c r="N260" s="71">
        <f t="shared" si="37"/>
        <v>1</v>
      </c>
      <c r="O260" s="71">
        <f t="shared" si="38"/>
        <v>1</v>
      </c>
      <c r="P260" s="71">
        <f t="shared" si="39"/>
        <v>1</v>
      </c>
      <c r="Q260" s="71">
        <f t="shared" si="40"/>
        <v>0</v>
      </c>
      <c r="R260" s="71">
        <f t="shared" si="41"/>
        <v>0</v>
      </c>
      <c r="S260" s="71">
        <f t="shared" si="42"/>
        <v>0</v>
      </c>
      <c r="T260" s="71">
        <f t="shared" si="43"/>
        <v>0</v>
      </c>
      <c r="U260" s="71">
        <f>IF(AND(N260=1,V260=1),IF(COUNTIFS(AKTIVITAS!$B$2:$B$3052,B260,AKTIVITAS!$E$2:$E$3052,H260)&gt;0,1,0),0)</f>
        <v>1</v>
      </c>
      <c r="V260" s="71">
        <f>IFERROR(IF(AND(H260&gt;=INDEX(PEMAGANG!$J$3:$J$36,MATCH(B260,PEMAGANG!$C$3:$C$36,0)),H260&lt;=INDEX(PEMAGANG!$K$3:$K$36,MATCH(B260,PEMAGANG!$C$3:$C$36,0))),1,0),0)</f>
        <v>1</v>
      </c>
      <c r="W260" s="71">
        <f t="shared" si="44"/>
        <v>1</v>
      </c>
    </row>
    <row r="261" spans="1:23" x14ac:dyDescent="0.2">
      <c r="A261" s="71" t="s">
        <v>183</v>
      </c>
      <c r="B261" s="71" t="s">
        <v>184</v>
      </c>
      <c r="C261" s="71" t="s">
        <v>187</v>
      </c>
      <c r="D261" s="71" t="s">
        <v>185</v>
      </c>
      <c r="E261" s="71" t="s">
        <v>47</v>
      </c>
      <c r="F261" s="71" t="s">
        <v>300</v>
      </c>
      <c r="G261" s="88">
        <v>46178.773506944497</v>
      </c>
      <c r="H261" s="89">
        <v>46178</v>
      </c>
      <c r="I261" s="71" t="s">
        <v>356</v>
      </c>
      <c r="J261" s="71">
        <v>0</v>
      </c>
      <c r="K261" s="71" t="s">
        <v>302</v>
      </c>
      <c r="L261" s="71">
        <f t="shared" si="36"/>
        <v>6</v>
      </c>
      <c r="M261" s="71" t="str">
        <f>IFERROR(INDEX(KALENDER!$D$3:$D$132,MATCH(H261,KALENDER!$A$3:$A$132,0)),"Di luar periode")</f>
        <v>Hari Kerja</v>
      </c>
      <c r="N261" s="71">
        <f t="shared" si="37"/>
        <v>0</v>
      </c>
      <c r="O261" s="71">
        <f t="shared" si="38"/>
        <v>1</v>
      </c>
      <c r="P261" s="71">
        <f t="shared" si="39"/>
        <v>0</v>
      </c>
      <c r="Q261" s="71">
        <f t="shared" si="40"/>
        <v>0</v>
      </c>
      <c r="R261" s="71">
        <f t="shared" si="41"/>
        <v>0</v>
      </c>
      <c r="S261" s="71">
        <f t="shared" si="42"/>
        <v>0</v>
      </c>
      <c r="T261" s="71">
        <f t="shared" si="43"/>
        <v>0</v>
      </c>
      <c r="U261" s="71">
        <f>IF(AND(N261=1,V261=1),IF(COUNTIFS(AKTIVITAS!$B$2:$B$3052,B261,AKTIVITAS!$E$2:$E$3052,H261)&gt;0,1,0),0)</f>
        <v>0</v>
      </c>
      <c r="V261" s="71">
        <f>IFERROR(IF(AND(H261&gt;=INDEX(PEMAGANG!$J$3:$J$36,MATCH(B261,PEMAGANG!$C$3:$C$36,0)),H261&lt;=INDEX(PEMAGANG!$K$3:$K$36,MATCH(B261,PEMAGANG!$C$3:$C$36,0))),1,0),0)</f>
        <v>1</v>
      </c>
      <c r="W261" s="71">
        <f t="shared" si="44"/>
        <v>0</v>
      </c>
    </row>
    <row r="262" spans="1:23" x14ac:dyDescent="0.2">
      <c r="A262" s="71" t="s">
        <v>183</v>
      </c>
      <c r="B262" s="71" t="s">
        <v>184</v>
      </c>
      <c r="C262" s="71" t="s">
        <v>187</v>
      </c>
      <c r="D262" s="71" t="s">
        <v>185</v>
      </c>
      <c r="E262" s="71" t="s">
        <v>47</v>
      </c>
      <c r="F262" s="71" t="s">
        <v>298</v>
      </c>
      <c r="G262" s="88">
        <v>46181.304861111101</v>
      </c>
      <c r="H262" s="89">
        <v>46181</v>
      </c>
      <c r="I262" s="71" t="s">
        <v>321</v>
      </c>
      <c r="J262" s="71">
        <v>-11</v>
      </c>
      <c r="K262" s="71" t="s">
        <v>302</v>
      </c>
      <c r="L262" s="71">
        <f t="shared" si="36"/>
        <v>6</v>
      </c>
      <c r="M262" s="71" t="str">
        <f>IFERROR(INDEX(KALENDER!$D$3:$D$132,MATCH(H262,KALENDER!$A$3:$A$132,0)),"Di luar periode")</f>
        <v>Hari Kerja</v>
      </c>
      <c r="N262" s="71">
        <f t="shared" si="37"/>
        <v>1</v>
      </c>
      <c r="O262" s="71">
        <f t="shared" si="38"/>
        <v>1</v>
      </c>
      <c r="P262" s="71">
        <f t="shared" si="39"/>
        <v>1</v>
      </c>
      <c r="Q262" s="71">
        <f t="shared" si="40"/>
        <v>0</v>
      </c>
      <c r="R262" s="71">
        <f t="shared" si="41"/>
        <v>0</v>
      </c>
      <c r="S262" s="71">
        <f t="shared" si="42"/>
        <v>0</v>
      </c>
      <c r="T262" s="71">
        <f t="shared" si="43"/>
        <v>0</v>
      </c>
      <c r="U262" s="71">
        <f>IF(AND(N262=1,V262=1),IF(COUNTIFS(AKTIVITAS!$B$2:$B$3052,B262,AKTIVITAS!$E$2:$E$3052,H262)&gt;0,1,0),0)</f>
        <v>1</v>
      </c>
      <c r="V262" s="71">
        <f>IFERROR(IF(AND(H262&gt;=INDEX(PEMAGANG!$J$3:$J$36,MATCH(B262,PEMAGANG!$C$3:$C$36,0)),H262&lt;=INDEX(PEMAGANG!$K$3:$K$36,MATCH(B262,PEMAGANG!$C$3:$C$36,0))),1,0),0)</f>
        <v>1</v>
      </c>
      <c r="W262" s="71">
        <f t="shared" si="44"/>
        <v>1</v>
      </c>
    </row>
    <row r="263" spans="1:23" x14ac:dyDescent="0.2">
      <c r="A263" s="71" t="s">
        <v>183</v>
      </c>
      <c r="B263" s="71" t="s">
        <v>184</v>
      </c>
      <c r="C263" s="71" t="s">
        <v>187</v>
      </c>
      <c r="D263" s="71" t="s">
        <v>185</v>
      </c>
      <c r="E263" s="71" t="s">
        <v>47</v>
      </c>
      <c r="F263" s="71" t="s">
        <v>300</v>
      </c>
      <c r="G263" s="88">
        <v>46181.724745370397</v>
      </c>
      <c r="H263" s="89">
        <v>46181</v>
      </c>
      <c r="I263" s="71" t="s">
        <v>357</v>
      </c>
      <c r="J263" s="71">
        <v>0</v>
      </c>
      <c r="K263" s="71" t="s">
        <v>302</v>
      </c>
      <c r="L263" s="71">
        <f t="shared" si="36"/>
        <v>6</v>
      </c>
      <c r="M263" s="71" t="str">
        <f>IFERROR(INDEX(KALENDER!$D$3:$D$132,MATCH(H263,KALENDER!$A$3:$A$132,0)),"Di luar periode")</f>
        <v>Hari Kerja</v>
      </c>
      <c r="N263" s="71">
        <f t="shared" si="37"/>
        <v>0</v>
      </c>
      <c r="O263" s="71">
        <f t="shared" si="38"/>
        <v>1</v>
      </c>
      <c r="P263" s="71">
        <f t="shared" si="39"/>
        <v>0</v>
      </c>
      <c r="Q263" s="71">
        <f t="shared" si="40"/>
        <v>0</v>
      </c>
      <c r="R263" s="71">
        <f t="shared" si="41"/>
        <v>0</v>
      </c>
      <c r="S263" s="71">
        <f t="shared" si="42"/>
        <v>0</v>
      </c>
      <c r="T263" s="71">
        <f t="shared" si="43"/>
        <v>0</v>
      </c>
      <c r="U263" s="71">
        <f>IF(AND(N263=1,V263=1),IF(COUNTIFS(AKTIVITAS!$B$2:$B$3052,B263,AKTIVITAS!$E$2:$E$3052,H263)&gt;0,1,0),0)</f>
        <v>0</v>
      </c>
      <c r="V263" s="71">
        <f>IFERROR(IF(AND(H263&gt;=INDEX(PEMAGANG!$J$3:$J$36,MATCH(B263,PEMAGANG!$C$3:$C$36,0)),H263&lt;=INDEX(PEMAGANG!$K$3:$K$36,MATCH(B263,PEMAGANG!$C$3:$C$36,0))),1,0),0)</f>
        <v>1</v>
      </c>
      <c r="W263" s="71">
        <f t="shared" si="44"/>
        <v>0</v>
      </c>
    </row>
    <row r="264" spans="1:23" x14ac:dyDescent="0.2">
      <c r="A264" s="71" t="s">
        <v>183</v>
      </c>
      <c r="B264" s="71" t="s">
        <v>184</v>
      </c>
      <c r="C264" s="71" t="s">
        <v>187</v>
      </c>
      <c r="D264" s="71" t="s">
        <v>185</v>
      </c>
      <c r="E264" s="71" t="s">
        <v>47</v>
      </c>
      <c r="F264" s="71" t="s">
        <v>298</v>
      </c>
      <c r="G264" s="88">
        <v>46182.304942129602</v>
      </c>
      <c r="H264" s="89">
        <v>46182</v>
      </c>
      <c r="I264" s="71" t="s">
        <v>321</v>
      </c>
      <c r="J264" s="71">
        <v>-11</v>
      </c>
      <c r="K264" s="71" t="s">
        <v>302</v>
      </c>
      <c r="L264" s="71">
        <f t="shared" si="36"/>
        <v>6</v>
      </c>
      <c r="M264" s="71" t="str">
        <f>IFERROR(INDEX(KALENDER!$D$3:$D$132,MATCH(H264,KALENDER!$A$3:$A$132,0)),"Di luar periode")</f>
        <v>Hari Kerja</v>
      </c>
      <c r="N264" s="71">
        <f t="shared" si="37"/>
        <v>1</v>
      </c>
      <c r="O264" s="71">
        <f t="shared" si="38"/>
        <v>1</v>
      </c>
      <c r="P264" s="71">
        <f t="shared" si="39"/>
        <v>1</v>
      </c>
      <c r="Q264" s="71">
        <f t="shared" si="40"/>
        <v>0</v>
      </c>
      <c r="R264" s="71">
        <f t="shared" si="41"/>
        <v>0</v>
      </c>
      <c r="S264" s="71">
        <f t="shared" si="42"/>
        <v>0</v>
      </c>
      <c r="T264" s="71">
        <f t="shared" si="43"/>
        <v>0</v>
      </c>
      <c r="U264" s="71">
        <f>IF(AND(N264=1,V264=1),IF(COUNTIFS(AKTIVITAS!$B$2:$B$3052,B264,AKTIVITAS!$E$2:$E$3052,H264)&gt;0,1,0),0)</f>
        <v>1</v>
      </c>
      <c r="V264" s="71">
        <f>IFERROR(IF(AND(H264&gt;=INDEX(PEMAGANG!$J$3:$J$36,MATCH(B264,PEMAGANG!$C$3:$C$36,0)),H264&lt;=INDEX(PEMAGANG!$K$3:$K$36,MATCH(B264,PEMAGANG!$C$3:$C$36,0))),1,0),0)</f>
        <v>1</v>
      </c>
      <c r="W264" s="71">
        <f t="shared" si="44"/>
        <v>1</v>
      </c>
    </row>
    <row r="265" spans="1:23" x14ac:dyDescent="0.2">
      <c r="A265" s="71" t="s">
        <v>183</v>
      </c>
      <c r="B265" s="71" t="s">
        <v>184</v>
      </c>
      <c r="C265" s="71" t="s">
        <v>187</v>
      </c>
      <c r="D265" s="71" t="s">
        <v>185</v>
      </c>
      <c r="E265" s="71" t="s">
        <v>47</v>
      </c>
      <c r="F265" s="71" t="s">
        <v>300</v>
      </c>
      <c r="G265" s="88">
        <v>46182.777395833298</v>
      </c>
      <c r="H265" s="89">
        <v>46182</v>
      </c>
      <c r="I265" s="71" t="s">
        <v>358</v>
      </c>
      <c r="J265" s="71">
        <v>0</v>
      </c>
      <c r="K265" s="71" t="s">
        <v>302</v>
      </c>
      <c r="L265" s="71">
        <f t="shared" si="36"/>
        <v>6</v>
      </c>
      <c r="M265" s="71" t="str">
        <f>IFERROR(INDEX(KALENDER!$D$3:$D$132,MATCH(H265,KALENDER!$A$3:$A$132,0)),"Di luar periode")</f>
        <v>Hari Kerja</v>
      </c>
      <c r="N265" s="71">
        <f t="shared" si="37"/>
        <v>0</v>
      </c>
      <c r="O265" s="71">
        <f t="shared" si="38"/>
        <v>1</v>
      </c>
      <c r="P265" s="71">
        <f t="shared" si="39"/>
        <v>0</v>
      </c>
      <c r="Q265" s="71">
        <f t="shared" si="40"/>
        <v>0</v>
      </c>
      <c r="R265" s="71">
        <f t="shared" si="41"/>
        <v>0</v>
      </c>
      <c r="S265" s="71">
        <f t="shared" si="42"/>
        <v>0</v>
      </c>
      <c r="T265" s="71">
        <f t="shared" si="43"/>
        <v>0</v>
      </c>
      <c r="U265" s="71">
        <f>IF(AND(N265=1,V265=1),IF(COUNTIFS(AKTIVITAS!$B$2:$B$3052,B265,AKTIVITAS!$E$2:$E$3052,H265)&gt;0,1,0),0)</f>
        <v>0</v>
      </c>
      <c r="V265" s="71">
        <f>IFERROR(IF(AND(H265&gt;=INDEX(PEMAGANG!$J$3:$J$36,MATCH(B265,PEMAGANG!$C$3:$C$36,0)),H265&lt;=INDEX(PEMAGANG!$K$3:$K$36,MATCH(B265,PEMAGANG!$C$3:$C$36,0))),1,0),0)</f>
        <v>1</v>
      </c>
      <c r="W265" s="71">
        <f t="shared" si="44"/>
        <v>0</v>
      </c>
    </row>
    <row r="266" spans="1:23" x14ac:dyDescent="0.2">
      <c r="A266" s="71" t="s">
        <v>183</v>
      </c>
      <c r="B266" s="71" t="s">
        <v>184</v>
      </c>
      <c r="C266" s="71" t="s">
        <v>187</v>
      </c>
      <c r="D266" s="71" t="s">
        <v>185</v>
      </c>
      <c r="E266" s="71" t="s">
        <v>47</v>
      </c>
      <c r="F266" s="71" t="s">
        <v>298</v>
      </c>
      <c r="G266" s="88">
        <v>46184.308749999997</v>
      </c>
      <c r="H266" s="89">
        <v>46184</v>
      </c>
      <c r="I266" s="71" t="s">
        <v>303</v>
      </c>
      <c r="J266" s="71">
        <v>-5.9999999999999796</v>
      </c>
      <c r="K266" s="71" t="s">
        <v>302</v>
      </c>
      <c r="L266" s="71">
        <f t="shared" si="36"/>
        <v>6</v>
      </c>
      <c r="M266" s="71" t="str">
        <f>IFERROR(INDEX(KALENDER!$D$3:$D$132,MATCH(H266,KALENDER!$A$3:$A$132,0)),"Di luar periode")</f>
        <v>Hari Kerja</v>
      </c>
      <c r="N266" s="71">
        <f t="shared" si="37"/>
        <v>1</v>
      </c>
      <c r="O266" s="71">
        <f t="shared" si="38"/>
        <v>1</v>
      </c>
      <c r="P266" s="71">
        <f t="shared" si="39"/>
        <v>1</v>
      </c>
      <c r="Q266" s="71">
        <f t="shared" si="40"/>
        <v>0</v>
      </c>
      <c r="R266" s="71">
        <f t="shared" si="41"/>
        <v>0</v>
      </c>
      <c r="S266" s="71">
        <f t="shared" si="42"/>
        <v>0</v>
      </c>
      <c r="T266" s="71">
        <f t="shared" si="43"/>
        <v>0</v>
      </c>
      <c r="U266" s="71">
        <f>IF(AND(N266=1,V266=1),IF(COUNTIFS(AKTIVITAS!$B$2:$B$3052,B266,AKTIVITAS!$E$2:$E$3052,H266)&gt;0,1,0),0)</f>
        <v>1</v>
      </c>
      <c r="V266" s="71">
        <f>IFERROR(IF(AND(H266&gt;=INDEX(PEMAGANG!$J$3:$J$36,MATCH(B266,PEMAGANG!$C$3:$C$36,0)),H266&lt;=INDEX(PEMAGANG!$K$3:$K$36,MATCH(B266,PEMAGANG!$C$3:$C$36,0))),1,0),0)</f>
        <v>1</v>
      </c>
      <c r="W266" s="71">
        <f t="shared" si="44"/>
        <v>1</v>
      </c>
    </row>
    <row r="267" spans="1:23" x14ac:dyDescent="0.2">
      <c r="A267" s="71" t="s">
        <v>183</v>
      </c>
      <c r="B267" s="71" t="s">
        <v>184</v>
      </c>
      <c r="C267" s="71" t="s">
        <v>187</v>
      </c>
      <c r="D267" s="71" t="s">
        <v>185</v>
      </c>
      <c r="E267" s="71" t="s">
        <v>47</v>
      </c>
      <c r="F267" s="71" t="s">
        <v>300</v>
      </c>
      <c r="G267" s="88">
        <v>46184.766967592601</v>
      </c>
      <c r="H267" s="89">
        <v>46184</v>
      </c>
      <c r="I267" s="71" t="s">
        <v>359</v>
      </c>
      <c r="J267" s="71">
        <v>0</v>
      </c>
      <c r="K267" s="71" t="s">
        <v>302</v>
      </c>
      <c r="L267" s="71">
        <f t="shared" si="36"/>
        <v>6</v>
      </c>
      <c r="M267" s="71" t="str">
        <f>IFERROR(INDEX(KALENDER!$D$3:$D$132,MATCH(H267,KALENDER!$A$3:$A$132,0)),"Di luar periode")</f>
        <v>Hari Kerja</v>
      </c>
      <c r="N267" s="71">
        <f t="shared" si="37"/>
        <v>0</v>
      </c>
      <c r="O267" s="71">
        <f t="shared" si="38"/>
        <v>1</v>
      </c>
      <c r="P267" s="71">
        <f t="shared" si="39"/>
        <v>0</v>
      </c>
      <c r="Q267" s="71">
        <f t="shared" si="40"/>
        <v>0</v>
      </c>
      <c r="R267" s="71">
        <f t="shared" si="41"/>
        <v>0</v>
      </c>
      <c r="S267" s="71">
        <f t="shared" si="42"/>
        <v>0</v>
      </c>
      <c r="T267" s="71">
        <f t="shared" si="43"/>
        <v>0</v>
      </c>
      <c r="U267" s="71">
        <f>IF(AND(N267=1,V267=1),IF(COUNTIFS(AKTIVITAS!$B$2:$B$3052,B267,AKTIVITAS!$E$2:$E$3052,H267)&gt;0,1,0),0)</f>
        <v>0</v>
      </c>
      <c r="V267" s="71">
        <f>IFERROR(IF(AND(H267&gt;=INDEX(PEMAGANG!$J$3:$J$36,MATCH(B267,PEMAGANG!$C$3:$C$36,0)),H267&lt;=INDEX(PEMAGANG!$K$3:$K$36,MATCH(B267,PEMAGANG!$C$3:$C$36,0))),1,0),0)</f>
        <v>1</v>
      </c>
      <c r="W267" s="71">
        <f t="shared" si="44"/>
        <v>0</v>
      </c>
    </row>
    <row r="268" spans="1:23" x14ac:dyDescent="0.2">
      <c r="A268" s="71" t="s">
        <v>183</v>
      </c>
      <c r="B268" s="71" t="s">
        <v>184</v>
      </c>
      <c r="C268" s="71" t="s">
        <v>187</v>
      </c>
      <c r="D268" s="71" t="s">
        <v>185</v>
      </c>
      <c r="E268" s="71" t="s">
        <v>47</v>
      </c>
      <c r="F268" s="71" t="s">
        <v>298</v>
      </c>
      <c r="G268" s="88">
        <v>46185.770578703698</v>
      </c>
      <c r="H268" s="89">
        <v>46185</v>
      </c>
      <c r="I268" s="71" t="s">
        <v>352</v>
      </c>
      <c r="J268" s="71">
        <v>659</v>
      </c>
      <c r="K268" s="71" t="s">
        <v>293</v>
      </c>
      <c r="L268" s="71">
        <f t="shared" si="36"/>
        <v>6</v>
      </c>
      <c r="M268" s="71" t="str">
        <f>IFERROR(INDEX(KALENDER!$D$3:$D$132,MATCH(H268,KALENDER!$A$3:$A$132,0)),"Di luar periode")</f>
        <v>Hari Kerja</v>
      </c>
      <c r="N268" s="71">
        <f t="shared" si="37"/>
        <v>1</v>
      </c>
      <c r="O268" s="71">
        <f t="shared" si="38"/>
        <v>1</v>
      </c>
      <c r="P268" s="71">
        <f t="shared" si="39"/>
        <v>1</v>
      </c>
      <c r="Q268" s="71">
        <f t="shared" si="40"/>
        <v>0</v>
      </c>
      <c r="R268" s="71">
        <f t="shared" si="41"/>
        <v>1</v>
      </c>
      <c r="S268" s="71">
        <f t="shared" si="42"/>
        <v>659</v>
      </c>
      <c r="T268" s="71">
        <f t="shared" si="43"/>
        <v>0</v>
      </c>
      <c r="U268" s="71">
        <f>IF(AND(N268=1,V268=1),IF(COUNTIFS(AKTIVITAS!$B$2:$B$3052,B268,AKTIVITAS!$E$2:$E$3052,H268)&gt;0,1,0),0)</f>
        <v>0</v>
      </c>
      <c r="V268" s="71">
        <f>IFERROR(IF(AND(H268&gt;=INDEX(PEMAGANG!$J$3:$J$36,MATCH(B268,PEMAGANG!$C$3:$C$36,0)),H268&lt;=INDEX(PEMAGANG!$K$3:$K$36,MATCH(B268,PEMAGANG!$C$3:$C$36,0))),1,0),0)</f>
        <v>1</v>
      </c>
      <c r="W268" s="71">
        <f t="shared" si="44"/>
        <v>1</v>
      </c>
    </row>
    <row r="269" spans="1:23" x14ac:dyDescent="0.2">
      <c r="A269" s="71" t="s">
        <v>183</v>
      </c>
      <c r="B269" s="71" t="s">
        <v>184</v>
      </c>
      <c r="C269" s="71" t="s">
        <v>187</v>
      </c>
      <c r="D269" s="71" t="s">
        <v>185</v>
      </c>
      <c r="E269" s="71" t="s">
        <v>47</v>
      </c>
      <c r="F269" s="71" t="s">
        <v>300</v>
      </c>
      <c r="G269" s="88">
        <v>46185.770833333299</v>
      </c>
      <c r="H269" s="89">
        <v>46185</v>
      </c>
      <c r="I269" s="71" t="s">
        <v>360</v>
      </c>
      <c r="J269" s="71">
        <v>0</v>
      </c>
      <c r="K269" s="71" t="s">
        <v>302</v>
      </c>
      <c r="L269" s="71">
        <f t="shared" si="36"/>
        <v>6</v>
      </c>
      <c r="M269" s="71" t="str">
        <f>IFERROR(INDEX(KALENDER!$D$3:$D$132,MATCH(H269,KALENDER!$A$3:$A$132,0)),"Di luar periode")</f>
        <v>Hari Kerja</v>
      </c>
      <c r="N269" s="71">
        <f t="shared" si="37"/>
        <v>0</v>
      </c>
      <c r="O269" s="71">
        <f t="shared" si="38"/>
        <v>1</v>
      </c>
      <c r="P269" s="71">
        <f t="shared" si="39"/>
        <v>0</v>
      </c>
      <c r="Q269" s="71">
        <f t="shared" si="40"/>
        <v>0</v>
      </c>
      <c r="R269" s="71">
        <f t="shared" si="41"/>
        <v>0</v>
      </c>
      <c r="S269" s="71">
        <f t="shared" si="42"/>
        <v>0</v>
      </c>
      <c r="T269" s="71">
        <f t="shared" si="43"/>
        <v>0</v>
      </c>
      <c r="U269" s="71">
        <f>IF(AND(N269=1,V269=1),IF(COUNTIFS(AKTIVITAS!$B$2:$B$3052,B269,AKTIVITAS!$E$2:$E$3052,H269)&gt;0,1,0),0)</f>
        <v>0</v>
      </c>
      <c r="V269" s="71">
        <f>IFERROR(IF(AND(H269&gt;=INDEX(PEMAGANG!$J$3:$J$36,MATCH(B269,PEMAGANG!$C$3:$C$36,0)),H269&lt;=INDEX(PEMAGANG!$K$3:$K$36,MATCH(B269,PEMAGANG!$C$3:$C$36,0))),1,0),0)</f>
        <v>1</v>
      </c>
      <c r="W269" s="71">
        <f t="shared" si="44"/>
        <v>0</v>
      </c>
    </row>
    <row r="270" spans="1:23" x14ac:dyDescent="0.2">
      <c r="A270" s="71" t="s">
        <v>183</v>
      </c>
      <c r="B270" s="71" t="s">
        <v>184</v>
      </c>
      <c r="C270" s="71" t="s">
        <v>187</v>
      </c>
      <c r="D270" s="71" t="s">
        <v>185</v>
      </c>
      <c r="E270" s="71" t="s">
        <v>47</v>
      </c>
      <c r="F270" s="71" t="s">
        <v>298</v>
      </c>
      <c r="G270" s="88">
        <v>46188.307361111103</v>
      </c>
      <c r="H270" s="89">
        <v>46188</v>
      </c>
      <c r="I270" s="71" t="s">
        <v>313</v>
      </c>
      <c r="J270" s="71">
        <v>-8.0000000000000497</v>
      </c>
      <c r="K270" s="71" t="s">
        <v>302</v>
      </c>
      <c r="L270" s="71">
        <f t="shared" si="36"/>
        <v>6</v>
      </c>
      <c r="M270" s="71" t="str">
        <f>IFERROR(INDEX(KALENDER!$D$3:$D$132,MATCH(H270,KALENDER!$A$3:$A$132,0)),"Di luar periode")</f>
        <v>Hari Kerja</v>
      </c>
      <c r="N270" s="71">
        <f t="shared" si="37"/>
        <v>1</v>
      </c>
      <c r="O270" s="71">
        <f t="shared" si="38"/>
        <v>1</v>
      </c>
      <c r="P270" s="71">
        <f t="shared" si="39"/>
        <v>1</v>
      </c>
      <c r="Q270" s="71">
        <f t="shared" si="40"/>
        <v>0</v>
      </c>
      <c r="R270" s="71">
        <f t="shared" si="41"/>
        <v>0</v>
      </c>
      <c r="S270" s="71">
        <f t="shared" si="42"/>
        <v>0</v>
      </c>
      <c r="T270" s="71">
        <f t="shared" si="43"/>
        <v>0</v>
      </c>
      <c r="U270" s="71">
        <f>IF(AND(N270=1,V270=1),IF(COUNTIFS(AKTIVITAS!$B$2:$B$3052,B270,AKTIVITAS!$E$2:$E$3052,H270)&gt;0,1,0),0)</f>
        <v>1</v>
      </c>
      <c r="V270" s="71">
        <f>IFERROR(IF(AND(H270&gt;=INDEX(PEMAGANG!$J$3:$J$36,MATCH(B270,PEMAGANG!$C$3:$C$36,0)),H270&lt;=INDEX(PEMAGANG!$K$3:$K$36,MATCH(B270,PEMAGANG!$C$3:$C$36,0))),1,0),0)</f>
        <v>1</v>
      </c>
      <c r="W270" s="71">
        <f t="shared" si="44"/>
        <v>1</v>
      </c>
    </row>
    <row r="271" spans="1:23" x14ac:dyDescent="0.2">
      <c r="A271" s="71" t="s">
        <v>183</v>
      </c>
      <c r="B271" s="71" t="s">
        <v>184</v>
      </c>
      <c r="C271" s="71" t="s">
        <v>187</v>
      </c>
      <c r="D271" s="71" t="s">
        <v>185</v>
      </c>
      <c r="E271" s="71" t="s">
        <v>47</v>
      </c>
      <c r="F271" s="71" t="s">
        <v>300</v>
      </c>
      <c r="G271" s="88">
        <v>46188.7718634259</v>
      </c>
      <c r="H271" s="89">
        <v>46188</v>
      </c>
      <c r="I271" s="71" t="s">
        <v>361</v>
      </c>
      <c r="J271" s="71">
        <v>0</v>
      </c>
      <c r="K271" s="71" t="s">
        <v>302</v>
      </c>
      <c r="L271" s="71">
        <f t="shared" si="36"/>
        <v>6</v>
      </c>
      <c r="M271" s="71" t="str">
        <f>IFERROR(INDEX(KALENDER!$D$3:$D$132,MATCH(H271,KALENDER!$A$3:$A$132,0)),"Di luar periode")</f>
        <v>Hari Kerja</v>
      </c>
      <c r="N271" s="71">
        <f t="shared" si="37"/>
        <v>0</v>
      </c>
      <c r="O271" s="71">
        <f t="shared" si="38"/>
        <v>1</v>
      </c>
      <c r="P271" s="71">
        <f t="shared" si="39"/>
        <v>0</v>
      </c>
      <c r="Q271" s="71">
        <f t="shared" si="40"/>
        <v>0</v>
      </c>
      <c r="R271" s="71">
        <f t="shared" si="41"/>
        <v>0</v>
      </c>
      <c r="S271" s="71">
        <f t="shared" si="42"/>
        <v>0</v>
      </c>
      <c r="T271" s="71">
        <f t="shared" si="43"/>
        <v>0</v>
      </c>
      <c r="U271" s="71">
        <f>IF(AND(N271=1,V271=1),IF(COUNTIFS(AKTIVITAS!$B$2:$B$3052,B271,AKTIVITAS!$E$2:$E$3052,H271)&gt;0,1,0),0)</f>
        <v>0</v>
      </c>
      <c r="V271" s="71">
        <f>IFERROR(IF(AND(H271&gt;=INDEX(PEMAGANG!$J$3:$J$36,MATCH(B271,PEMAGANG!$C$3:$C$36,0)),H271&lt;=INDEX(PEMAGANG!$K$3:$K$36,MATCH(B271,PEMAGANG!$C$3:$C$36,0))),1,0),0)</f>
        <v>1</v>
      </c>
      <c r="W271" s="71">
        <f t="shared" si="44"/>
        <v>0</v>
      </c>
    </row>
    <row r="272" spans="1:23" x14ac:dyDescent="0.2">
      <c r="A272" s="71" t="s">
        <v>183</v>
      </c>
      <c r="B272" s="71" t="s">
        <v>184</v>
      </c>
      <c r="C272" s="71" t="s">
        <v>187</v>
      </c>
      <c r="D272" s="71" t="s">
        <v>185</v>
      </c>
      <c r="E272" s="71" t="s">
        <v>47</v>
      </c>
      <c r="F272" s="71" t="s">
        <v>298</v>
      </c>
      <c r="G272" s="88">
        <v>46191.312789351898</v>
      </c>
      <c r="H272" s="89">
        <v>46191</v>
      </c>
      <c r="I272" s="71" t="s">
        <v>335</v>
      </c>
      <c r="J272" s="71">
        <v>0</v>
      </c>
      <c r="K272" s="71" t="s">
        <v>302</v>
      </c>
      <c r="L272" s="71">
        <f t="shared" si="36"/>
        <v>6</v>
      </c>
      <c r="M272" s="71" t="str">
        <f>IFERROR(INDEX(KALENDER!$D$3:$D$132,MATCH(H272,KALENDER!$A$3:$A$132,0)),"Di luar periode")</f>
        <v>Hari Kerja</v>
      </c>
      <c r="N272" s="71">
        <f t="shared" si="37"/>
        <v>1</v>
      </c>
      <c r="O272" s="71">
        <f t="shared" si="38"/>
        <v>1</v>
      </c>
      <c r="P272" s="71">
        <f t="shared" si="39"/>
        <v>1</v>
      </c>
      <c r="Q272" s="71">
        <f t="shared" si="40"/>
        <v>0</v>
      </c>
      <c r="R272" s="71">
        <f t="shared" si="41"/>
        <v>0</v>
      </c>
      <c r="S272" s="71">
        <f t="shared" si="42"/>
        <v>0</v>
      </c>
      <c r="T272" s="71">
        <f t="shared" si="43"/>
        <v>0</v>
      </c>
      <c r="U272" s="71">
        <f>IF(AND(N272=1,V272=1),IF(COUNTIFS(AKTIVITAS!$B$2:$B$3052,B272,AKTIVITAS!$E$2:$E$3052,H272)&gt;0,1,0),0)</f>
        <v>1</v>
      </c>
      <c r="V272" s="71">
        <f>IFERROR(IF(AND(H272&gt;=INDEX(PEMAGANG!$J$3:$J$36,MATCH(B272,PEMAGANG!$C$3:$C$36,0)),H272&lt;=INDEX(PEMAGANG!$K$3:$K$36,MATCH(B272,PEMAGANG!$C$3:$C$36,0))),1,0),0)</f>
        <v>1</v>
      </c>
      <c r="W272" s="71">
        <f t="shared" si="44"/>
        <v>1</v>
      </c>
    </row>
    <row r="273" spans="1:23" x14ac:dyDescent="0.2">
      <c r="A273" s="71" t="s">
        <v>183</v>
      </c>
      <c r="B273" s="71" t="s">
        <v>184</v>
      </c>
      <c r="C273" s="71" t="s">
        <v>187</v>
      </c>
      <c r="D273" s="71" t="s">
        <v>185</v>
      </c>
      <c r="E273" s="71" t="s">
        <v>47</v>
      </c>
      <c r="F273" s="71" t="s">
        <v>300</v>
      </c>
      <c r="G273" s="88">
        <v>46191.711851851898</v>
      </c>
      <c r="H273" s="89">
        <v>46191</v>
      </c>
      <c r="I273" s="71" t="s">
        <v>362</v>
      </c>
      <c r="J273" s="71">
        <v>0</v>
      </c>
      <c r="K273" s="71" t="s">
        <v>302</v>
      </c>
      <c r="L273" s="71">
        <f t="shared" si="36"/>
        <v>6</v>
      </c>
      <c r="M273" s="71" t="str">
        <f>IFERROR(INDEX(KALENDER!$D$3:$D$132,MATCH(H273,KALENDER!$A$3:$A$132,0)),"Di luar periode")</f>
        <v>Hari Kerja</v>
      </c>
      <c r="N273" s="71">
        <f t="shared" si="37"/>
        <v>0</v>
      </c>
      <c r="O273" s="71">
        <f t="shared" si="38"/>
        <v>1</v>
      </c>
      <c r="P273" s="71">
        <f t="shared" si="39"/>
        <v>0</v>
      </c>
      <c r="Q273" s="71">
        <f t="shared" si="40"/>
        <v>0</v>
      </c>
      <c r="R273" s="71">
        <f t="shared" si="41"/>
        <v>0</v>
      </c>
      <c r="S273" s="71">
        <f t="shared" si="42"/>
        <v>0</v>
      </c>
      <c r="T273" s="71">
        <f t="shared" si="43"/>
        <v>0</v>
      </c>
      <c r="U273" s="71">
        <f>IF(AND(N273=1,V273=1),IF(COUNTIFS(AKTIVITAS!$B$2:$B$3052,B273,AKTIVITAS!$E$2:$E$3052,H273)&gt;0,1,0),0)</f>
        <v>0</v>
      </c>
      <c r="V273" s="71">
        <f>IFERROR(IF(AND(H273&gt;=INDEX(PEMAGANG!$J$3:$J$36,MATCH(B273,PEMAGANG!$C$3:$C$36,0)),H273&lt;=INDEX(PEMAGANG!$K$3:$K$36,MATCH(B273,PEMAGANG!$C$3:$C$36,0))),1,0),0)</f>
        <v>1</v>
      </c>
      <c r="W273" s="71">
        <f t="shared" si="44"/>
        <v>0</v>
      </c>
    </row>
    <row r="274" spans="1:23" x14ac:dyDescent="0.2">
      <c r="A274" s="71" t="s">
        <v>183</v>
      </c>
      <c r="B274" s="71" t="s">
        <v>184</v>
      </c>
      <c r="C274" s="71" t="s">
        <v>187</v>
      </c>
      <c r="D274" s="71" t="s">
        <v>185</v>
      </c>
      <c r="E274" s="71" t="s">
        <v>47</v>
      </c>
      <c r="F274" s="71" t="s">
        <v>298</v>
      </c>
      <c r="G274" s="88">
        <v>46192.309004629598</v>
      </c>
      <c r="H274" s="89">
        <v>46192</v>
      </c>
      <c r="I274" s="71" t="s">
        <v>303</v>
      </c>
      <c r="J274" s="71">
        <v>-5.9999999999999796</v>
      </c>
      <c r="K274" s="71" t="s">
        <v>302</v>
      </c>
      <c r="L274" s="71">
        <f t="shared" si="36"/>
        <v>6</v>
      </c>
      <c r="M274" s="71" t="str">
        <f>IFERROR(INDEX(KALENDER!$D$3:$D$132,MATCH(H274,KALENDER!$A$3:$A$132,0)),"Di luar periode")</f>
        <v>Hari Kerja</v>
      </c>
      <c r="N274" s="71">
        <f t="shared" si="37"/>
        <v>1</v>
      </c>
      <c r="O274" s="71">
        <f t="shared" si="38"/>
        <v>1</v>
      </c>
      <c r="P274" s="71">
        <f t="shared" si="39"/>
        <v>1</v>
      </c>
      <c r="Q274" s="71">
        <f t="shared" si="40"/>
        <v>0</v>
      </c>
      <c r="R274" s="71">
        <f t="shared" si="41"/>
        <v>0</v>
      </c>
      <c r="S274" s="71">
        <f t="shared" si="42"/>
        <v>0</v>
      </c>
      <c r="T274" s="71">
        <f t="shared" si="43"/>
        <v>0</v>
      </c>
      <c r="U274" s="71">
        <f>IF(AND(N274=1,V274=1),IF(COUNTIFS(AKTIVITAS!$B$2:$B$3052,B274,AKTIVITAS!$E$2:$E$3052,H274)&gt;0,1,0),0)</f>
        <v>1</v>
      </c>
      <c r="V274" s="71">
        <f>IFERROR(IF(AND(H274&gt;=INDEX(PEMAGANG!$J$3:$J$36,MATCH(B274,PEMAGANG!$C$3:$C$36,0)),H274&lt;=INDEX(PEMAGANG!$K$3:$K$36,MATCH(B274,PEMAGANG!$C$3:$C$36,0))),1,0),0)</f>
        <v>1</v>
      </c>
      <c r="W274" s="71">
        <f t="shared" si="44"/>
        <v>1</v>
      </c>
    </row>
    <row r="275" spans="1:23" x14ac:dyDescent="0.2">
      <c r="A275" s="71" t="s">
        <v>183</v>
      </c>
      <c r="B275" s="71" t="s">
        <v>184</v>
      </c>
      <c r="C275" s="71" t="s">
        <v>187</v>
      </c>
      <c r="D275" s="71" t="s">
        <v>185</v>
      </c>
      <c r="E275" s="71" t="s">
        <v>47</v>
      </c>
      <c r="F275" s="71" t="s">
        <v>300</v>
      </c>
      <c r="G275" s="88">
        <v>46192.770127314798</v>
      </c>
      <c r="H275" s="89">
        <v>46192</v>
      </c>
      <c r="I275" s="71" t="s">
        <v>363</v>
      </c>
      <c r="J275" s="71">
        <v>0</v>
      </c>
      <c r="K275" s="71" t="s">
        <v>302</v>
      </c>
      <c r="L275" s="71">
        <f t="shared" si="36"/>
        <v>6</v>
      </c>
      <c r="M275" s="71" t="str">
        <f>IFERROR(INDEX(KALENDER!$D$3:$D$132,MATCH(H275,KALENDER!$A$3:$A$132,0)),"Di luar periode")</f>
        <v>Hari Kerja</v>
      </c>
      <c r="N275" s="71">
        <f t="shared" si="37"/>
        <v>0</v>
      </c>
      <c r="O275" s="71">
        <f t="shared" si="38"/>
        <v>1</v>
      </c>
      <c r="P275" s="71">
        <f t="shared" si="39"/>
        <v>0</v>
      </c>
      <c r="Q275" s="71">
        <f t="shared" si="40"/>
        <v>0</v>
      </c>
      <c r="R275" s="71">
        <f t="shared" si="41"/>
        <v>0</v>
      </c>
      <c r="S275" s="71">
        <f t="shared" si="42"/>
        <v>0</v>
      </c>
      <c r="T275" s="71">
        <f t="shared" si="43"/>
        <v>0</v>
      </c>
      <c r="U275" s="71">
        <f>IF(AND(N275=1,V275=1),IF(COUNTIFS(AKTIVITAS!$B$2:$B$3052,B275,AKTIVITAS!$E$2:$E$3052,H275)&gt;0,1,0),0)</f>
        <v>0</v>
      </c>
      <c r="V275" s="71">
        <f>IFERROR(IF(AND(H275&gt;=INDEX(PEMAGANG!$J$3:$J$36,MATCH(B275,PEMAGANG!$C$3:$C$36,0)),H275&lt;=INDEX(PEMAGANG!$K$3:$K$36,MATCH(B275,PEMAGANG!$C$3:$C$36,0))),1,0),0)</f>
        <v>1</v>
      </c>
      <c r="W275" s="71">
        <f t="shared" si="44"/>
        <v>0</v>
      </c>
    </row>
    <row r="276" spans="1:23" x14ac:dyDescent="0.2">
      <c r="A276" s="71" t="s">
        <v>183</v>
      </c>
      <c r="B276" s="71" t="s">
        <v>184</v>
      </c>
      <c r="C276" s="71" t="s">
        <v>187</v>
      </c>
      <c r="D276" s="71" t="s">
        <v>185</v>
      </c>
      <c r="E276" s="71" t="s">
        <v>47</v>
      </c>
      <c r="F276" s="71" t="s">
        <v>300</v>
      </c>
      <c r="G276" s="88">
        <v>46195.708067129599</v>
      </c>
      <c r="H276" s="89">
        <v>46195</v>
      </c>
      <c r="I276" s="71" t="s">
        <v>364</v>
      </c>
      <c r="J276" s="71">
        <v>0</v>
      </c>
      <c r="K276" s="71" t="s">
        <v>302</v>
      </c>
      <c r="L276" s="71">
        <f t="shared" si="36"/>
        <v>6</v>
      </c>
      <c r="M276" s="71" t="str">
        <f>IFERROR(INDEX(KALENDER!$D$3:$D$132,MATCH(H276,KALENDER!$A$3:$A$132,0)),"Di luar periode")</f>
        <v>Hari Kerja</v>
      </c>
      <c r="N276" s="71">
        <f t="shared" si="37"/>
        <v>1</v>
      </c>
      <c r="O276" s="71">
        <f t="shared" si="38"/>
        <v>0</v>
      </c>
      <c r="P276" s="71">
        <f t="shared" si="39"/>
        <v>1</v>
      </c>
      <c r="Q276" s="71">
        <f t="shared" si="40"/>
        <v>0</v>
      </c>
      <c r="R276" s="71">
        <f t="shared" si="41"/>
        <v>0</v>
      </c>
      <c r="S276" s="71">
        <f t="shared" si="42"/>
        <v>0</v>
      </c>
      <c r="T276" s="71">
        <f t="shared" si="43"/>
        <v>0</v>
      </c>
      <c r="U276" s="71">
        <f>IF(AND(N276=1,V276=1),IF(COUNTIFS(AKTIVITAS!$B$2:$B$3052,B276,AKTIVITAS!$E$2:$E$3052,H276)&gt;0,1,0),0)</f>
        <v>1</v>
      </c>
      <c r="V276" s="71">
        <f>IFERROR(IF(AND(H276&gt;=INDEX(PEMAGANG!$J$3:$J$36,MATCH(B276,PEMAGANG!$C$3:$C$36,0)),H276&lt;=INDEX(PEMAGANG!$K$3:$K$36,MATCH(B276,PEMAGANG!$C$3:$C$36,0))),1,0),0)</f>
        <v>1</v>
      </c>
      <c r="W276" s="71">
        <f t="shared" si="44"/>
        <v>1</v>
      </c>
    </row>
    <row r="277" spans="1:23" x14ac:dyDescent="0.2">
      <c r="A277" s="71" t="s">
        <v>183</v>
      </c>
      <c r="B277" s="71" t="s">
        <v>184</v>
      </c>
      <c r="C277" s="71" t="s">
        <v>187</v>
      </c>
      <c r="D277" s="71" t="s">
        <v>185</v>
      </c>
      <c r="E277" s="71" t="s">
        <v>47</v>
      </c>
      <c r="F277" s="71" t="s">
        <v>298</v>
      </c>
      <c r="G277" s="88">
        <v>46196.312013888899</v>
      </c>
      <c r="H277" s="89">
        <v>46196</v>
      </c>
      <c r="I277" s="71" t="s">
        <v>365</v>
      </c>
      <c r="J277" s="71">
        <v>-0.999999999999996</v>
      </c>
      <c r="K277" s="71" t="s">
        <v>302</v>
      </c>
      <c r="L277" s="71">
        <f t="shared" si="36"/>
        <v>6</v>
      </c>
      <c r="M277" s="71" t="str">
        <f>IFERROR(INDEX(KALENDER!$D$3:$D$132,MATCH(H277,KALENDER!$A$3:$A$132,0)),"Di luar periode")</f>
        <v>Hari Kerja</v>
      </c>
      <c r="N277" s="71">
        <f t="shared" si="37"/>
        <v>1</v>
      </c>
      <c r="O277" s="71">
        <f t="shared" si="38"/>
        <v>1</v>
      </c>
      <c r="P277" s="71">
        <f t="shared" si="39"/>
        <v>1</v>
      </c>
      <c r="Q277" s="71">
        <f t="shared" si="40"/>
        <v>0</v>
      </c>
      <c r="R277" s="71">
        <f t="shared" si="41"/>
        <v>0</v>
      </c>
      <c r="S277" s="71">
        <f t="shared" si="42"/>
        <v>0</v>
      </c>
      <c r="T277" s="71">
        <f t="shared" si="43"/>
        <v>0</v>
      </c>
      <c r="U277" s="71">
        <f>IF(AND(N277=1,V277=1),IF(COUNTIFS(AKTIVITAS!$B$2:$B$3052,B277,AKTIVITAS!$E$2:$E$3052,H277)&gt;0,1,0),0)</f>
        <v>1</v>
      </c>
      <c r="V277" s="71">
        <f>IFERROR(IF(AND(H277&gt;=INDEX(PEMAGANG!$J$3:$J$36,MATCH(B277,PEMAGANG!$C$3:$C$36,0)),H277&lt;=INDEX(PEMAGANG!$K$3:$K$36,MATCH(B277,PEMAGANG!$C$3:$C$36,0))),1,0),0)</f>
        <v>1</v>
      </c>
      <c r="W277" s="71">
        <f t="shared" si="44"/>
        <v>1</v>
      </c>
    </row>
    <row r="278" spans="1:23" x14ac:dyDescent="0.2">
      <c r="A278" s="71" t="s">
        <v>183</v>
      </c>
      <c r="B278" s="71" t="s">
        <v>184</v>
      </c>
      <c r="C278" s="71" t="s">
        <v>187</v>
      </c>
      <c r="D278" s="71" t="s">
        <v>185</v>
      </c>
      <c r="E278" s="71" t="s">
        <v>47</v>
      </c>
      <c r="F278" s="71" t="s">
        <v>300</v>
      </c>
      <c r="G278" s="88">
        <v>46196.746747685203</v>
      </c>
      <c r="H278" s="89">
        <v>46196</v>
      </c>
      <c r="I278" s="71" t="s">
        <v>366</v>
      </c>
      <c r="J278" s="71">
        <v>0</v>
      </c>
      <c r="K278" s="71" t="s">
        <v>302</v>
      </c>
      <c r="L278" s="71">
        <f t="shared" si="36"/>
        <v>6</v>
      </c>
      <c r="M278" s="71" t="str">
        <f>IFERROR(INDEX(KALENDER!$D$3:$D$132,MATCH(H278,KALENDER!$A$3:$A$132,0)),"Di luar periode")</f>
        <v>Hari Kerja</v>
      </c>
      <c r="N278" s="71">
        <f t="shared" si="37"/>
        <v>0</v>
      </c>
      <c r="O278" s="71">
        <f t="shared" si="38"/>
        <v>1</v>
      </c>
      <c r="P278" s="71">
        <f t="shared" si="39"/>
        <v>0</v>
      </c>
      <c r="Q278" s="71">
        <f t="shared" si="40"/>
        <v>0</v>
      </c>
      <c r="R278" s="71">
        <f t="shared" si="41"/>
        <v>0</v>
      </c>
      <c r="S278" s="71">
        <f t="shared" si="42"/>
        <v>0</v>
      </c>
      <c r="T278" s="71">
        <f t="shared" si="43"/>
        <v>0</v>
      </c>
      <c r="U278" s="71">
        <f>IF(AND(N278=1,V278=1),IF(COUNTIFS(AKTIVITAS!$B$2:$B$3052,B278,AKTIVITAS!$E$2:$E$3052,H278)&gt;0,1,0),0)</f>
        <v>0</v>
      </c>
      <c r="V278" s="71">
        <f>IFERROR(IF(AND(H278&gt;=INDEX(PEMAGANG!$J$3:$J$36,MATCH(B278,PEMAGANG!$C$3:$C$36,0)),H278&lt;=INDEX(PEMAGANG!$K$3:$K$36,MATCH(B278,PEMAGANG!$C$3:$C$36,0))),1,0),0)</f>
        <v>1</v>
      </c>
      <c r="W278" s="71">
        <f t="shared" si="44"/>
        <v>0</v>
      </c>
    </row>
    <row r="279" spans="1:23" x14ac:dyDescent="0.2">
      <c r="A279" s="71" t="s">
        <v>183</v>
      </c>
      <c r="B279" s="71" t="s">
        <v>184</v>
      </c>
      <c r="C279" s="71" t="s">
        <v>187</v>
      </c>
      <c r="D279" s="71" t="s">
        <v>185</v>
      </c>
      <c r="E279" s="71" t="s">
        <v>47</v>
      </c>
      <c r="F279" s="71" t="s">
        <v>298</v>
      </c>
      <c r="G279" s="88">
        <v>46198.320462962998</v>
      </c>
      <c r="H279" s="89">
        <v>46198</v>
      </c>
      <c r="I279" s="71" t="s">
        <v>367</v>
      </c>
      <c r="J279" s="71">
        <v>11</v>
      </c>
      <c r="K279" s="71" t="s">
        <v>293</v>
      </c>
      <c r="L279" s="71">
        <f t="shared" si="36"/>
        <v>6</v>
      </c>
      <c r="M279" s="71" t="str">
        <f>IFERROR(INDEX(KALENDER!$D$3:$D$132,MATCH(H279,KALENDER!$A$3:$A$132,0)),"Di luar periode")</f>
        <v>Hari Kerja</v>
      </c>
      <c r="N279" s="71">
        <f t="shared" si="37"/>
        <v>1</v>
      </c>
      <c r="O279" s="71">
        <f t="shared" si="38"/>
        <v>1</v>
      </c>
      <c r="P279" s="71">
        <f t="shared" si="39"/>
        <v>1</v>
      </c>
      <c r="Q279" s="71">
        <f t="shared" si="40"/>
        <v>0</v>
      </c>
      <c r="R279" s="71">
        <f t="shared" si="41"/>
        <v>1</v>
      </c>
      <c r="S279" s="71">
        <f t="shared" si="42"/>
        <v>11</v>
      </c>
      <c r="T279" s="71">
        <f t="shared" si="43"/>
        <v>0</v>
      </c>
      <c r="U279" s="71">
        <f>IF(AND(N279=1,V279=1),IF(COUNTIFS(AKTIVITAS!$B$2:$B$3052,B279,AKTIVITAS!$E$2:$E$3052,H279)&gt;0,1,0),0)</f>
        <v>1</v>
      </c>
      <c r="V279" s="71">
        <f>IFERROR(IF(AND(H279&gt;=INDEX(PEMAGANG!$J$3:$J$36,MATCH(B279,PEMAGANG!$C$3:$C$36,0)),H279&lt;=INDEX(PEMAGANG!$K$3:$K$36,MATCH(B279,PEMAGANG!$C$3:$C$36,0))),1,0),0)</f>
        <v>1</v>
      </c>
      <c r="W279" s="71">
        <f t="shared" si="44"/>
        <v>1</v>
      </c>
    </row>
    <row r="280" spans="1:23" x14ac:dyDescent="0.2">
      <c r="A280" s="71" t="s">
        <v>183</v>
      </c>
      <c r="B280" s="71" t="s">
        <v>184</v>
      </c>
      <c r="C280" s="71" t="s">
        <v>187</v>
      </c>
      <c r="D280" s="71" t="s">
        <v>185</v>
      </c>
      <c r="E280" s="71" t="s">
        <v>47</v>
      </c>
      <c r="F280" s="71" t="s">
        <v>300</v>
      </c>
      <c r="G280" s="88">
        <v>46198.692604166703</v>
      </c>
      <c r="H280" s="89">
        <v>46198</v>
      </c>
      <c r="I280" s="71" t="s">
        <v>328</v>
      </c>
      <c r="J280" s="71">
        <v>0</v>
      </c>
      <c r="K280" s="71" t="s">
        <v>302</v>
      </c>
      <c r="L280" s="71">
        <f t="shared" si="36"/>
        <v>6</v>
      </c>
      <c r="M280" s="71" t="str">
        <f>IFERROR(INDEX(KALENDER!$D$3:$D$132,MATCH(H280,KALENDER!$A$3:$A$132,0)),"Di luar periode")</f>
        <v>Hari Kerja</v>
      </c>
      <c r="N280" s="71">
        <f t="shared" si="37"/>
        <v>0</v>
      </c>
      <c r="O280" s="71">
        <f t="shared" si="38"/>
        <v>1</v>
      </c>
      <c r="P280" s="71">
        <f t="shared" si="39"/>
        <v>0</v>
      </c>
      <c r="Q280" s="71">
        <f t="shared" si="40"/>
        <v>0</v>
      </c>
      <c r="R280" s="71">
        <f t="shared" si="41"/>
        <v>0</v>
      </c>
      <c r="S280" s="71">
        <f t="shared" si="42"/>
        <v>0</v>
      </c>
      <c r="T280" s="71">
        <f t="shared" si="43"/>
        <v>0</v>
      </c>
      <c r="U280" s="71">
        <f>IF(AND(N280=1,V280=1),IF(COUNTIFS(AKTIVITAS!$B$2:$B$3052,B280,AKTIVITAS!$E$2:$E$3052,H280)&gt;0,1,0),0)</f>
        <v>0</v>
      </c>
      <c r="V280" s="71">
        <f>IFERROR(IF(AND(H280&gt;=INDEX(PEMAGANG!$J$3:$J$36,MATCH(B280,PEMAGANG!$C$3:$C$36,0)),H280&lt;=INDEX(PEMAGANG!$K$3:$K$36,MATCH(B280,PEMAGANG!$C$3:$C$36,0))),1,0),0)</f>
        <v>1</v>
      </c>
      <c r="W280" s="71">
        <f t="shared" si="44"/>
        <v>0</v>
      </c>
    </row>
    <row r="281" spans="1:23" x14ac:dyDescent="0.2">
      <c r="A281" s="71" t="s">
        <v>183</v>
      </c>
      <c r="B281" s="71" t="s">
        <v>184</v>
      </c>
      <c r="C281" s="71" t="s">
        <v>187</v>
      </c>
      <c r="D281" s="71" t="s">
        <v>185</v>
      </c>
      <c r="E281" s="71" t="s">
        <v>47</v>
      </c>
      <c r="F281" s="71" t="s">
        <v>298</v>
      </c>
      <c r="G281" s="88">
        <v>46199.310439814799</v>
      </c>
      <c r="H281" s="89">
        <v>46199</v>
      </c>
      <c r="I281" s="71" t="s">
        <v>309</v>
      </c>
      <c r="J281" s="71">
        <v>-2.9999999999999898</v>
      </c>
      <c r="K281" s="71" t="s">
        <v>302</v>
      </c>
      <c r="L281" s="71">
        <f t="shared" si="36"/>
        <v>6</v>
      </c>
      <c r="M281" s="71" t="str">
        <f>IFERROR(INDEX(KALENDER!$D$3:$D$132,MATCH(H281,KALENDER!$A$3:$A$132,0)),"Di luar periode")</f>
        <v>Hari Kerja</v>
      </c>
      <c r="N281" s="71">
        <f t="shared" si="37"/>
        <v>1</v>
      </c>
      <c r="O281" s="71">
        <f t="shared" si="38"/>
        <v>1</v>
      </c>
      <c r="P281" s="71">
        <f t="shared" si="39"/>
        <v>1</v>
      </c>
      <c r="Q281" s="71">
        <f t="shared" si="40"/>
        <v>0</v>
      </c>
      <c r="R281" s="71">
        <f t="shared" si="41"/>
        <v>0</v>
      </c>
      <c r="S281" s="71">
        <f t="shared" si="42"/>
        <v>0</v>
      </c>
      <c r="T281" s="71">
        <f t="shared" si="43"/>
        <v>0</v>
      </c>
      <c r="U281" s="71">
        <f>IF(AND(N281=1,V281=1),IF(COUNTIFS(AKTIVITAS!$B$2:$B$3052,B281,AKTIVITAS!$E$2:$E$3052,H281)&gt;0,1,0),0)</f>
        <v>0</v>
      </c>
      <c r="V281" s="71">
        <f>IFERROR(IF(AND(H281&gt;=INDEX(PEMAGANG!$J$3:$J$36,MATCH(B281,PEMAGANG!$C$3:$C$36,0)),H281&lt;=INDEX(PEMAGANG!$K$3:$K$36,MATCH(B281,PEMAGANG!$C$3:$C$36,0))),1,0),0)</f>
        <v>1</v>
      </c>
      <c r="W281" s="71">
        <f t="shared" si="44"/>
        <v>1</v>
      </c>
    </row>
    <row r="282" spans="1:23" x14ac:dyDescent="0.2">
      <c r="A282" s="71" t="s">
        <v>183</v>
      </c>
      <c r="B282" s="71" t="s">
        <v>184</v>
      </c>
      <c r="C282" s="71" t="s">
        <v>187</v>
      </c>
      <c r="D282" s="71" t="s">
        <v>185</v>
      </c>
      <c r="E282" s="71" t="s">
        <v>47</v>
      </c>
      <c r="F282" s="71" t="s">
        <v>300</v>
      </c>
      <c r="G282" s="88">
        <v>46199.7473032407</v>
      </c>
      <c r="H282" s="89">
        <v>46199</v>
      </c>
      <c r="I282" s="71" t="s">
        <v>368</v>
      </c>
      <c r="J282" s="71">
        <v>0</v>
      </c>
      <c r="K282" s="71" t="s">
        <v>302</v>
      </c>
      <c r="L282" s="71">
        <f t="shared" si="36"/>
        <v>6</v>
      </c>
      <c r="M282" s="71" t="str">
        <f>IFERROR(INDEX(KALENDER!$D$3:$D$132,MATCH(H282,KALENDER!$A$3:$A$132,0)),"Di luar periode")</f>
        <v>Hari Kerja</v>
      </c>
      <c r="N282" s="71">
        <f t="shared" si="37"/>
        <v>0</v>
      </c>
      <c r="O282" s="71">
        <f t="shared" si="38"/>
        <v>1</v>
      </c>
      <c r="P282" s="71">
        <f t="shared" si="39"/>
        <v>0</v>
      </c>
      <c r="Q282" s="71">
        <f t="shared" si="40"/>
        <v>0</v>
      </c>
      <c r="R282" s="71">
        <f t="shared" si="41"/>
        <v>0</v>
      </c>
      <c r="S282" s="71">
        <f t="shared" si="42"/>
        <v>0</v>
      </c>
      <c r="T282" s="71">
        <f t="shared" si="43"/>
        <v>0</v>
      </c>
      <c r="U282" s="71">
        <f>IF(AND(N282=1,V282=1),IF(COUNTIFS(AKTIVITAS!$B$2:$B$3052,B282,AKTIVITAS!$E$2:$E$3052,H282)&gt;0,1,0),0)</f>
        <v>0</v>
      </c>
      <c r="V282" s="71">
        <f>IFERROR(IF(AND(H282&gt;=INDEX(PEMAGANG!$J$3:$J$36,MATCH(B282,PEMAGANG!$C$3:$C$36,0)),H282&lt;=INDEX(PEMAGANG!$K$3:$K$36,MATCH(B282,PEMAGANG!$C$3:$C$36,0))),1,0),0)</f>
        <v>1</v>
      </c>
      <c r="W282" s="71">
        <f t="shared" si="44"/>
        <v>0</v>
      </c>
    </row>
    <row r="283" spans="1:23" x14ac:dyDescent="0.2">
      <c r="A283" s="71" t="s">
        <v>183</v>
      </c>
      <c r="B283" s="71" t="s">
        <v>184</v>
      </c>
      <c r="C283" s="71" t="s">
        <v>187</v>
      </c>
      <c r="D283" s="71" t="s">
        <v>185</v>
      </c>
      <c r="E283" s="71" t="s">
        <v>47</v>
      </c>
      <c r="F283" s="71" t="s">
        <v>298</v>
      </c>
      <c r="G283" s="88">
        <v>46202.304363425901</v>
      </c>
      <c r="H283" s="89">
        <v>46202</v>
      </c>
      <c r="I283" s="71" t="s">
        <v>326</v>
      </c>
      <c r="J283" s="71">
        <v>-12</v>
      </c>
      <c r="K283" s="71" t="s">
        <v>302</v>
      </c>
      <c r="L283" s="71">
        <f t="shared" si="36"/>
        <v>6</v>
      </c>
      <c r="M283" s="71" t="str">
        <f>IFERROR(INDEX(KALENDER!$D$3:$D$132,MATCH(H283,KALENDER!$A$3:$A$132,0)),"Di luar periode")</f>
        <v>Hari Kerja</v>
      </c>
      <c r="N283" s="71">
        <f t="shared" si="37"/>
        <v>1</v>
      </c>
      <c r="O283" s="71">
        <f t="shared" si="38"/>
        <v>1</v>
      </c>
      <c r="P283" s="71">
        <f t="shared" si="39"/>
        <v>1</v>
      </c>
      <c r="Q283" s="71">
        <f t="shared" si="40"/>
        <v>0</v>
      </c>
      <c r="R283" s="71">
        <f t="shared" si="41"/>
        <v>0</v>
      </c>
      <c r="S283" s="71">
        <f t="shared" si="42"/>
        <v>0</v>
      </c>
      <c r="T283" s="71">
        <f t="shared" si="43"/>
        <v>0</v>
      </c>
      <c r="U283" s="71">
        <f>IF(AND(N283=1,V283=1),IF(COUNTIFS(AKTIVITAS!$B$2:$B$3052,B283,AKTIVITAS!$E$2:$E$3052,H283)&gt;0,1,0),0)</f>
        <v>1</v>
      </c>
      <c r="V283" s="71">
        <f>IFERROR(IF(AND(H283&gt;=INDEX(PEMAGANG!$J$3:$J$36,MATCH(B283,PEMAGANG!$C$3:$C$36,0)),H283&lt;=INDEX(PEMAGANG!$K$3:$K$36,MATCH(B283,PEMAGANG!$C$3:$C$36,0))),1,0),0)</f>
        <v>1</v>
      </c>
      <c r="W283" s="71">
        <f t="shared" si="44"/>
        <v>1</v>
      </c>
    </row>
    <row r="284" spans="1:23" x14ac:dyDescent="0.2">
      <c r="A284" s="71" t="s">
        <v>183</v>
      </c>
      <c r="B284" s="71" t="s">
        <v>184</v>
      </c>
      <c r="C284" s="71" t="s">
        <v>187</v>
      </c>
      <c r="D284" s="71" t="s">
        <v>185</v>
      </c>
      <c r="E284" s="71" t="s">
        <v>47</v>
      </c>
      <c r="F284" s="71" t="s">
        <v>300</v>
      </c>
      <c r="G284" s="88">
        <v>46202.717870370398</v>
      </c>
      <c r="H284" s="89">
        <v>46202</v>
      </c>
      <c r="I284" s="71" t="s">
        <v>369</v>
      </c>
      <c r="J284" s="71">
        <v>0</v>
      </c>
      <c r="K284" s="71" t="s">
        <v>302</v>
      </c>
      <c r="L284" s="71">
        <f t="shared" si="36"/>
        <v>6</v>
      </c>
      <c r="M284" s="71" t="str">
        <f>IFERROR(INDEX(KALENDER!$D$3:$D$132,MATCH(H284,KALENDER!$A$3:$A$132,0)),"Di luar periode")</f>
        <v>Hari Kerja</v>
      </c>
      <c r="N284" s="71">
        <f t="shared" si="37"/>
        <v>0</v>
      </c>
      <c r="O284" s="71">
        <f t="shared" si="38"/>
        <v>1</v>
      </c>
      <c r="P284" s="71">
        <f t="shared" si="39"/>
        <v>0</v>
      </c>
      <c r="Q284" s="71">
        <f t="shared" si="40"/>
        <v>0</v>
      </c>
      <c r="R284" s="71">
        <f t="shared" si="41"/>
        <v>0</v>
      </c>
      <c r="S284" s="71">
        <f t="shared" si="42"/>
        <v>0</v>
      </c>
      <c r="T284" s="71">
        <f t="shared" si="43"/>
        <v>0</v>
      </c>
      <c r="U284" s="71">
        <f>IF(AND(N284=1,V284=1),IF(COUNTIFS(AKTIVITAS!$B$2:$B$3052,B284,AKTIVITAS!$E$2:$E$3052,H284)&gt;0,1,0),0)</f>
        <v>0</v>
      </c>
      <c r="V284" s="71">
        <f>IFERROR(IF(AND(H284&gt;=INDEX(PEMAGANG!$J$3:$J$36,MATCH(B284,PEMAGANG!$C$3:$C$36,0)),H284&lt;=INDEX(PEMAGANG!$K$3:$K$36,MATCH(B284,PEMAGANG!$C$3:$C$36,0))),1,0),0)</f>
        <v>1</v>
      </c>
      <c r="W284" s="71">
        <f t="shared" si="44"/>
        <v>0</v>
      </c>
    </row>
    <row r="285" spans="1:23" x14ac:dyDescent="0.2">
      <c r="A285" s="71" t="s">
        <v>183</v>
      </c>
      <c r="B285" s="71" t="s">
        <v>184</v>
      </c>
      <c r="C285" s="71" t="s">
        <v>187</v>
      </c>
      <c r="D285" s="71" t="s">
        <v>185</v>
      </c>
      <c r="E285" s="71" t="s">
        <v>47</v>
      </c>
      <c r="F285" s="71" t="s">
        <v>298</v>
      </c>
      <c r="G285" s="88">
        <v>46203.302222222199</v>
      </c>
      <c r="H285" s="89">
        <v>46203</v>
      </c>
      <c r="I285" s="71" t="s">
        <v>370</v>
      </c>
      <c r="J285" s="71">
        <v>-15</v>
      </c>
      <c r="K285" s="71" t="s">
        <v>302</v>
      </c>
      <c r="L285" s="71">
        <f t="shared" si="36"/>
        <v>6</v>
      </c>
      <c r="M285" s="71" t="str">
        <f>IFERROR(INDEX(KALENDER!$D$3:$D$132,MATCH(H285,KALENDER!$A$3:$A$132,0)),"Di luar periode")</f>
        <v>Hari Kerja</v>
      </c>
      <c r="N285" s="71">
        <f t="shared" si="37"/>
        <v>1</v>
      </c>
      <c r="O285" s="71">
        <f t="shared" si="38"/>
        <v>1</v>
      </c>
      <c r="P285" s="71">
        <f t="shared" si="39"/>
        <v>1</v>
      </c>
      <c r="Q285" s="71">
        <f t="shared" si="40"/>
        <v>0</v>
      </c>
      <c r="R285" s="71">
        <f t="shared" si="41"/>
        <v>0</v>
      </c>
      <c r="S285" s="71">
        <f t="shared" si="42"/>
        <v>0</v>
      </c>
      <c r="T285" s="71">
        <f t="shared" si="43"/>
        <v>1</v>
      </c>
      <c r="U285" s="71">
        <f>IF(AND(N285=1,V285=1),IF(COUNTIFS(AKTIVITAS!$B$2:$B$3052,B285,AKTIVITAS!$E$2:$E$3052,H285)&gt;0,1,0),0)</f>
        <v>0</v>
      </c>
      <c r="V285" s="71">
        <f>IFERROR(IF(AND(H285&gt;=INDEX(PEMAGANG!$J$3:$J$36,MATCH(B285,PEMAGANG!$C$3:$C$36,0)),H285&lt;=INDEX(PEMAGANG!$K$3:$K$36,MATCH(B285,PEMAGANG!$C$3:$C$36,0))),1,0),0)</f>
        <v>1</v>
      </c>
      <c r="W285" s="71">
        <f t="shared" si="44"/>
        <v>1</v>
      </c>
    </row>
    <row r="286" spans="1:23" x14ac:dyDescent="0.2">
      <c r="A286" s="71" t="s">
        <v>183</v>
      </c>
      <c r="B286" s="71" t="s">
        <v>184</v>
      </c>
      <c r="C286" s="71" t="s">
        <v>187</v>
      </c>
      <c r="D286" s="71" t="s">
        <v>185</v>
      </c>
      <c r="E286" s="71" t="s">
        <v>47</v>
      </c>
      <c r="F286" s="71" t="s">
        <v>298</v>
      </c>
      <c r="G286" s="88">
        <v>46204.310185185197</v>
      </c>
      <c r="H286" s="89">
        <v>46204</v>
      </c>
      <c r="I286" s="71" t="s">
        <v>315</v>
      </c>
      <c r="J286" s="71">
        <v>-3.9999999999999898</v>
      </c>
      <c r="K286" s="71" t="s">
        <v>302</v>
      </c>
      <c r="L286" s="71">
        <f t="shared" si="36"/>
        <v>7</v>
      </c>
      <c r="M286" s="71" t="str">
        <f>IFERROR(INDEX(KALENDER!$D$3:$D$132,MATCH(H286,KALENDER!$A$3:$A$132,0)),"Di luar periode")</f>
        <v>WFH</v>
      </c>
      <c r="N286" s="71">
        <f t="shared" si="37"/>
        <v>1</v>
      </c>
      <c r="O286" s="71">
        <f t="shared" si="38"/>
        <v>1</v>
      </c>
      <c r="P286" s="71">
        <f t="shared" si="39"/>
        <v>0</v>
      </c>
      <c r="Q286" s="71">
        <f t="shared" si="40"/>
        <v>1</v>
      </c>
      <c r="R286" s="71">
        <f t="shared" si="41"/>
        <v>0</v>
      </c>
      <c r="S286" s="71">
        <f t="shared" si="42"/>
        <v>0</v>
      </c>
      <c r="T286" s="71">
        <f t="shared" si="43"/>
        <v>0</v>
      </c>
      <c r="U286" s="71">
        <f>IF(AND(N286=1,V286=1),IF(COUNTIFS(AKTIVITAS!$B$2:$B$3052,B286,AKTIVITAS!$E$2:$E$3052,H286)&gt;0,1,0),0)</f>
        <v>0</v>
      </c>
      <c r="V286" s="71">
        <f>IFERROR(IF(AND(H286&gt;=INDEX(PEMAGANG!$J$3:$J$36,MATCH(B286,PEMAGANG!$C$3:$C$36,0)),H286&lt;=INDEX(PEMAGANG!$K$3:$K$36,MATCH(B286,PEMAGANG!$C$3:$C$36,0))),1,0),0)</f>
        <v>1</v>
      </c>
      <c r="W286" s="71">
        <f t="shared" si="44"/>
        <v>1</v>
      </c>
    </row>
    <row r="287" spans="1:23" x14ac:dyDescent="0.2">
      <c r="A287" s="71" t="s">
        <v>183</v>
      </c>
      <c r="B287" s="71" t="s">
        <v>184</v>
      </c>
      <c r="C287" s="71" t="s">
        <v>187</v>
      </c>
      <c r="D287" s="71" t="s">
        <v>185</v>
      </c>
      <c r="E287" s="71" t="s">
        <v>47</v>
      </c>
      <c r="F287" s="71" t="s">
        <v>300</v>
      </c>
      <c r="G287" s="88">
        <v>46204.746574074103</v>
      </c>
      <c r="H287" s="89">
        <v>46204</v>
      </c>
      <c r="I287" s="71" t="s">
        <v>366</v>
      </c>
      <c r="J287" s="71">
        <v>0</v>
      </c>
      <c r="K287" s="71" t="s">
        <v>302</v>
      </c>
      <c r="L287" s="71">
        <f t="shared" si="36"/>
        <v>7</v>
      </c>
      <c r="M287" s="71" t="str">
        <f>IFERROR(INDEX(KALENDER!$D$3:$D$132,MATCH(H287,KALENDER!$A$3:$A$132,0)),"Di luar periode")</f>
        <v>WFH</v>
      </c>
      <c r="N287" s="71">
        <f t="shared" si="37"/>
        <v>0</v>
      </c>
      <c r="O287" s="71">
        <f t="shared" si="38"/>
        <v>1</v>
      </c>
      <c r="P287" s="71">
        <f t="shared" si="39"/>
        <v>0</v>
      </c>
      <c r="Q287" s="71">
        <f t="shared" si="40"/>
        <v>0</v>
      </c>
      <c r="R287" s="71">
        <f t="shared" si="41"/>
        <v>0</v>
      </c>
      <c r="S287" s="71">
        <f t="shared" si="42"/>
        <v>0</v>
      </c>
      <c r="T287" s="71">
        <f t="shared" si="43"/>
        <v>0</v>
      </c>
      <c r="U287" s="71">
        <f>IF(AND(N287=1,V287=1),IF(COUNTIFS(AKTIVITAS!$B$2:$B$3052,B287,AKTIVITAS!$E$2:$E$3052,H287)&gt;0,1,0),0)</f>
        <v>0</v>
      </c>
      <c r="V287" s="71">
        <f>IFERROR(IF(AND(H287&gt;=INDEX(PEMAGANG!$J$3:$J$36,MATCH(B287,PEMAGANG!$C$3:$C$36,0)),H287&lt;=INDEX(PEMAGANG!$K$3:$K$36,MATCH(B287,PEMAGANG!$C$3:$C$36,0))),1,0),0)</f>
        <v>1</v>
      </c>
      <c r="W287" s="71">
        <f t="shared" si="44"/>
        <v>0</v>
      </c>
    </row>
    <row r="288" spans="1:23" x14ac:dyDescent="0.2">
      <c r="A288" s="71" t="s">
        <v>183</v>
      </c>
      <c r="B288" s="71" t="s">
        <v>184</v>
      </c>
      <c r="C288" s="71" t="s">
        <v>187</v>
      </c>
      <c r="D288" s="71" t="s">
        <v>185</v>
      </c>
      <c r="E288" s="71" t="s">
        <v>47</v>
      </c>
      <c r="F288" s="71" t="s">
        <v>298</v>
      </c>
      <c r="G288" s="88">
        <v>46205.316203703696</v>
      </c>
      <c r="H288" s="89">
        <v>46205</v>
      </c>
      <c r="I288" s="71" t="s">
        <v>339</v>
      </c>
      <c r="J288" s="71">
        <v>4.9999999999999796</v>
      </c>
      <c r="K288" s="71" t="s">
        <v>293</v>
      </c>
      <c r="L288" s="71">
        <f t="shared" si="36"/>
        <v>7</v>
      </c>
      <c r="M288" s="71" t="str">
        <f>IFERROR(INDEX(KALENDER!$D$3:$D$132,MATCH(H288,KALENDER!$A$3:$A$132,0)),"Di luar periode")</f>
        <v>Hari Kerja</v>
      </c>
      <c r="N288" s="71">
        <f t="shared" si="37"/>
        <v>1</v>
      </c>
      <c r="O288" s="71">
        <f t="shared" si="38"/>
        <v>1</v>
      </c>
      <c r="P288" s="71">
        <f t="shared" si="39"/>
        <v>1</v>
      </c>
      <c r="Q288" s="71">
        <f t="shared" si="40"/>
        <v>0</v>
      </c>
      <c r="R288" s="71">
        <f t="shared" si="41"/>
        <v>1</v>
      </c>
      <c r="S288" s="71">
        <f t="shared" si="42"/>
        <v>4.9999999999999796</v>
      </c>
      <c r="T288" s="71">
        <f t="shared" si="43"/>
        <v>0</v>
      </c>
      <c r="U288" s="71">
        <f>IF(AND(N288=1,V288=1),IF(COUNTIFS(AKTIVITAS!$B$2:$B$3052,B288,AKTIVITAS!$E$2:$E$3052,H288)&gt;0,1,0),0)</f>
        <v>0</v>
      </c>
      <c r="V288" s="71">
        <f>IFERROR(IF(AND(H288&gt;=INDEX(PEMAGANG!$J$3:$J$36,MATCH(B288,PEMAGANG!$C$3:$C$36,0)),H288&lt;=INDEX(PEMAGANG!$K$3:$K$36,MATCH(B288,PEMAGANG!$C$3:$C$36,0))),1,0),0)</f>
        <v>1</v>
      </c>
      <c r="W288" s="71">
        <f t="shared" si="44"/>
        <v>1</v>
      </c>
    </row>
    <row r="289" spans="1:23" x14ac:dyDescent="0.2">
      <c r="A289" s="71" t="s">
        <v>183</v>
      </c>
      <c r="B289" s="71" t="s">
        <v>184</v>
      </c>
      <c r="C289" s="71" t="s">
        <v>187</v>
      </c>
      <c r="D289" s="71" t="s">
        <v>185</v>
      </c>
      <c r="E289" s="71" t="s">
        <v>47</v>
      </c>
      <c r="F289" s="71" t="s">
        <v>300</v>
      </c>
      <c r="G289" s="88">
        <v>46205.713020833296</v>
      </c>
      <c r="H289" s="89">
        <v>46205</v>
      </c>
      <c r="I289" s="71" t="s">
        <v>371</v>
      </c>
      <c r="J289" s="71">
        <v>0</v>
      </c>
      <c r="K289" s="71" t="s">
        <v>302</v>
      </c>
      <c r="L289" s="71">
        <f t="shared" si="36"/>
        <v>7</v>
      </c>
      <c r="M289" s="71" t="str">
        <f>IFERROR(INDEX(KALENDER!$D$3:$D$132,MATCH(H289,KALENDER!$A$3:$A$132,0)),"Di luar periode")</f>
        <v>Hari Kerja</v>
      </c>
      <c r="N289" s="71">
        <f t="shared" si="37"/>
        <v>0</v>
      </c>
      <c r="O289" s="71">
        <f t="shared" si="38"/>
        <v>1</v>
      </c>
      <c r="P289" s="71">
        <f t="shared" si="39"/>
        <v>0</v>
      </c>
      <c r="Q289" s="71">
        <f t="shared" si="40"/>
        <v>0</v>
      </c>
      <c r="R289" s="71">
        <f t="shared" si="41"/>
        <v>0</v>
      </c>
      <c r="S289" s="71">
        <f t="shared" si="42"/>
        <v>0</v>
      </c>
      <c r="T289" s="71">
        <f t="shared" si="43"/>
        <v>0</v>
      </c>
      <c r="U289" s="71">
        <f>IF(AND(N289=1,V289=1),IF(COUNTIFS(AKTIVITAS!$B$2:$B$3052,B289,AKTIVITAS!$E$2:$E$3052,H289)&gt;0,1,0),0)</f>
        <v>0</v>
      </c>
      <c r="V289" s="71">
        <f>IFERROR(IF(AND(H289&gt;=INDEX(PEMAGANG!$J$3:$J$36,MATCH(B289,PEMAGANG!$C$3:$C$36,0)),H289&lt;=INDEX(PEMAGANG!$K$3:$K$36,MATCH(B289,PEMAGANG!$C$3:$C$36,0))),1,0),0)</f>
        <v>1</v>
      </c>
      <c r="W289" s="71">
        <f t="shared" si="44"/>
        <v>0</v>
      </c>
    </row>
    <row r="290" spans="1:23" x14ac:dyDescent="0.2">
      <c r="A290" s="71" t="s">
        <v>183</v>
      </c>
      <c r="B290" s="71" t="s">
        <v>184</v>
      </c>
      <c r="C290" s="71" t="s">
        <v>187</v>
      </c>
      <c r="D290" s="71" t="s">
        <v>185</v>
      </c>
      <c r="E290" s="71" t="s">
        <v>47</v>
      </c>
      <c r="F290" s="71" t="s">
        <v>298</v>
      </c>
      <c r="G290" s="88">
        <v>46206.310810185198</v>
      </c>
      <c r="H290" s="89">
        <v>46206</v>
      </c>
      <c r="I290" s="71" t="s">
        <v>309</v>
      </c>
      <c r="J290" s="71">
        <v>-2.9999999999999898</v>
      </c>
      <c r="K290" s="71" t="s">
        <v>302</v>
      </c>
      <c r="L290" s="71">
        <f t="shared" si="36"/>
        <v>7</v>
      </c>
      <c r="M290" s="71" t="str">
        <f>IFERROR(INDEX(KALENDER!$D$3:$D$132,MATCH(H290,KALENDER!$A$3:$A$132,0)),"Di luar periode")</f>
        <v>Hari Kerja</v>
      </c>
      <c r="N290" s="71">
        <f t="shared" si="37"/>
        <v>1</v>
      </c>
      <c r="O290" s="71">
        <f t="shared" si="38"/>
        <v>1</v>
      </c>
      <c r="P290" s="71">
        <f t="shared" si="39"/>
        <v>1</v>
      </c>
      <c r="Q290" s="71">
        <f t="shared" si="40"/>
        <v>0</v>
      </c>
      <c r="R290" s="71">
        <f t="shared" si="41"/>
        <v>0</v>
      </c>
      <c r="S290" s="71">
        <f t="shared" si="42"/>
        <v>0</v>
      </c>
      <c r="T290" s="71">
        <f t="shared" si="43"/>
        <v>0</v>
      </c>
      <c r="U290" s="71">
        <f>IF(AND(N290=1,V290=1),IF(COUNTIFS(AKTIVITAS!$B$2:$B$3052,B290,AKTIVITAS!$E$2:$E$3052,H290)&gt;0,1,0),0)</f>
        <v>1</v>
      </c>
      <c r="V290" s="71">
        <f>IFERROR(IF(AND(H290&gt;=INDEX(PEMAGANG!$J$3:$J$36,MATCH(B290,PEMAGANG!$C$3:$C$36,0)),H290&lt;=INDEX(PEMAGANG!$K$3:$K$36,MATCH(B290,PEMAGANG!$C$3:$C$36,0))),1,0),0)</f>
        <v>1</v>
      </c>
      <c r="W290" s="71">
        <f t="shared" si="44"/>
        <v>1</v>
      </c>
    </row>
    <row r="291" spans="1:23" x14ac:dyDescent="0.2">
      <c r="A291" s="71" t="s">
        <v>183</v>
      </c>
      <c r="B291" s="71" t="s">
        <v>184</v>
      </c>
      <c r="C291" s="71" t="s">
        <v>187</v>
      </c>
      <c r="D291" s="71" t="s">
        <v>185</v>
      </c>
      <c r="E291" s="71" t="s">
        <v>47</v>
      </c>
      <c r="F291" s="71" t="s">
        <v>300</v>
      </c>
      <c r="G291" s="88">
        <v>46206.764513888898</v>
      </c>
      <c r="H291" s="89">
        <v>46206</v>
      </c>
      <c r="I291" s="71" t="s">
        <v>372</v>
      </c>
      <c r="J291" s="71">
        <v>0</v>
      </c>
      <c r="K291" s="71" t="s">
        <v>302</v>
      </c>
      <c r="L291" s="71">
        <f t="shared" si="36"/>
        <v>7</v>
      </c>
      <c r="M291" s="71" t="str">
        <f>IFERROR(INDEX(KALENDER!$D$3:$D$132,MATCH(H291,KALENDER!$A$3:$A$132,0)),"Di luar periode")</f>
        <v>Hari Kerja</v>
      </c>
      <c r="N291" s="71">
        <f t="shared" si="37"/>
        <v>0</v>
      </c>
      <c r="O291" s="71">
        <f t="shared" si="38"/>
        <v>1</v>
      </c>
      <c r="P291" s="71">
        <f t="shared" si="39"/>
        <v>0</v>
      </c>
      <c r="Q291" s="71">
        <f t="shared" si="40"/>
        <v>0</v>
      </c>
      <c r="R291" s="71">
        <f t="shared" si="41"/>
        <v>0</v>
      </c>
      <c r="S291" s="71">
        <f t="shared" si="42"/>
        <v>0</v>
      </c>
      <c r="T291" s="71">
        <f t="shared" si="43"/>
        <v>0</v>
      </c>
      <c r="U291" s="71">
        <f>IF(AND(N291=1,V291=1),IF(COUNTIFS(AKTIVITAS!$B$2:$B$3052,B291,AKTIVITAS!$E$2:$E$3052,H291)&gt;0,1,0),0)</f>
        <v>0</v>
      </c>
      <c r="V291" s="71">
        <f>IFERROR(IF(AND(H291&gt;=INDEX(PEMAGANG!$J$3:$J$36,MATCH(B291,PEMAGANG!$C$3:$C$36,0)),H291&lt;=INDEX(PEMAGANG!$K$3:$K$36,MATCH(B291,PEMAGANG!$C$3:$C$36,0))),1,0),0)</f>
        <v>1</v>
      </c>
      <c r="W291" s="71">
        <f t="shared" si="44"/>
        <v>0</v>
      </c>
    </row>
    <row r="292" spans="1:23" x14ac:dyDescent="0.2">
      <c r="A292" s="71" t="s">
        <v>183</v>
      </c>
      <c r="B292" s="71" t="s">
        <v>184</v>
      </c>
      <c r="C292" s="71" t="s">
        <v>187</v>
      </c>
      <c r="D292" s="71" t="s">
        <v>185</v>
      </c>
      <c r="E292" s="71" t="s">
        <v>47</v>
      </c>
      <c r="F292" s="71" t="s">
        <v>298</v>
      </c>
      <c r="G292" s="88">
        <v>46209.315277777801</v>
      </c>
      <c r="H292" s="89">
        <v>46209</v>
      </c>
      <c r="I292" s="71" t="s">
        <v>373</v>
      </c>
      <c r="J292" s="71">
        <v>3.9999999999999898</v>
      </c>
      <c r="K292" s="71" t="s">
        <v>293</v>
      </c>
      <c r="L292" s="71">
        <f t="shared" si="36"/>
        <v>7</v>
      </c>
      <c r="M292" s="71" t="str">
        <f>IFERROR(INDEX(KALENDER!$D$3:$D$132,MATCH(H292,KALENDER!$A$3:$A$132,0)),"Di luar periode")</f>
        <v>Hari Kerja</v>
      </c>
      <c r="N292" s="71">
        <f t="shared" si="37"/>
        <v>1</v>
      </c>
      <c r="O292" s="71">
        <f t="shared" si="38"/>
        <v>1</v>
      </c>
      <c r="P292" s="71">
        <f t="shared" si="39"/>
        <v>1</v>
      </c>
      <c r="Q292" s="71">
        <f t="shared" si="40"/>
        <v>0</v>
      </c>
      <c r="R292" s="71">
        <f t="shared" si="41"/>
        <v>1</v>
      </c>
      <c r="S292" s="71">
        <f t="shared" si="42"/>
        <v>3.9999999999999898</v>
      </c>
      <c r="T292" s="71">
        <f t="shared" si="43"/>
        <v>0</v>
      </c>
      <c r="U292" s="71">
        <f>IF(AND(N292=1,V292=1),IF(COUNTIFS(AKTIVITAS!$B$2:$B$3052,B292,AKTIVITAS!$E$2:$E$3052,H292)&gt;0,1,0),0)</f>
        <v>0</v>
      </c>
      <c r="V292" s="71">
        <f>IFERROR(IF(AND(H292&gt;=INDEX(PEMAGANG!$J$3:$J$36,MATCH(B292,PEMAGANG!$C$3:$C$36,0)),H292&lt;=INDEX(PEMAGANG!$K$3:$K$36,MATCH(B292,PEMAGANG!$C$3:$C$36,0))),1,0),0)</f>
        <v>1</v>
      </c>
      <c r="W292" s="71">
        <f t="shared" si="44"/>
        <v>1</v>
      </c>
    </row>
    <row r="293" spans="1:23" x14ac:dyDescent="0.2">
      <c r="A293" s="71" t="s">
        <v>183</v>
      </c>
      <c r="B293" s="71" t="s">
        <v>184</v>
      </c>
      <c r="C293" s="71" t="s">
        <v>187</v>
      </c>
      <c r="D293" s="71" t="s">
        <v>185</v>
      </c>
      <c r="E293" s="71" t="s">
        <v>47</v>
      </c>
      <c r="F293" s="71" t="s">
        <v>300</v>
      </c>
      <c r="G293" s="88">
        <v>46209.763923611099</v>
      </c>
      <c r="H293" s="89">
        <v>46209</v>
      </c>
      <c r="I293" s="71" t="s">
        <v>372</v>
      </c>
      <c r="J293" s="71">
        <v>0</v>
      </c>
      <c r="K293" s="71" t="s">
        <v>302</v>
      </c>
      <c r="L293" s="71">
        <f t="shared" si="36"/>
        <v>7</v>
      </c>
      <c r="M293" s="71" t="str">
        <f>IFERROR(INDEX(KALENDER!$D$3:$D$132,MATCH(H293,KALENDER!$A$3:$A$132,0)),"Di luar periode")</f>
        <v>Hari Kerja</v>
      </c>
      <c r="N293" s="71">
        <f t="shared" si="37"/>
        <v>0</v>
      </c>
      <c r="O293" s="71">
        <f t="shared" si="38"/>
        <v>1</v>
      </c>
      <c r="P293" s="71">
        <f t="shared" si="39"/>
        <v>0</v>
      </c>
      <c r="Q293" s="71">
        <f t="shared" si="40"/>
        <v>0</v>
      </c>
      <c r="R293" s="71">
        <f t="shared" si="41"/>
        <v>0</v>
      </c>
      <c r="S293" s="71">
        <f t="shared" si="42"/>
        <v>0</v>
      </c>
      <c r="T293" s="71">
        <f t="shared" si="43"/>
        <v>0</v>
      </c>
      <c r="U293" s="71">
        <f>IF(AND(N293=1,V293=1),IF(COUNTIFS(AKTIVITAS!$B$2:$B$3052,B293,AKTIVITAS!$E$2:$E$3052,H293)&gt;0,1,0),0)</f>
        <v>0</v>
      </c>
      <c r="V293" s="71">
        <f>IFERROR(IF(AND(H293&gt;=INDEX(PEMAGANG!$J$3:$J$36,MATCH(B293,PEMAGANG!$C$3:$C$36,0)),H293&lt;=INDEX(PEMAGANG!$K$3:$K$36,MATCH(B293,PEMAGANG!$C$3:$C$36,0))),1,0),0)</f>
        <v>1</v>
      </c>
      <c r="W293" s="71">
        <f t="shared" si="44"/>
        <v>0</v>
      </c>
    </row>
    <row r="294" spans="1:23" x14ac:dyDescent="0.2">
      <c r="A294" s="71" t="s">
        <v>183</v>
      </c>
      <c r="B294" s="71" t="s">
        <v>184</v>
      </c>
      <c r="C294" s="71" t="s">
        <v>187</v>
      </c>
      <c r="D294" s="71" t="s">
        <v>185</v>
      </c>
      <c r="E294" s="71" t="s">
        <v>47</v>
      </c>
      <c r="F294" s="71" t="s">
        <v>298</v>
      </c>
      <c r="G294" s="88">
        <v>46210.308321759301</v>
      </c>
      <c r="H294" s="89">
        <v>46210</v>
      </c>
      <c r="I294" s="71" t="s">
        <v>311</v>
      </c>
      <c r="J294" s="71">
        <v>-6.9999999999999796</v>
      </c>
      <c r="K294" s="71" t="s">
        <v>302</v>
      </c>
      <c r="L294" s="71">
        <f t="shared" si="36"/>
        <v>7</v>
      </c>
      <c r="M294" s="71" t="str">
        <f>IFERROR(INDEX(KALENDER!$D$3:$D$132,MATCH(H294,KALENDER!$A$3:$A$132,0)),"Di luar periode")</f>
        <v>Hari Kerja</v>
      </c>
      <c r="N294" s="71">
        <f t="shared" si="37"/>
        <v>1</v>
      </c>
      <c r="O294" s="71">
        <f t="shared" si="38"/>
        <v>1</v>
      </c>
      <c r="P294" s="71">
        <f t="shared" si="39"/>
        <v>1</v>
      </c>
      <c r="Q294" s="71">
        <f t="shared" si="40"/>
        <v>0</v>
      </c>
      <c r="R294" s="71">
        <f t="shared" si="41"/>
        <v>0</v>
      </c>
      <c r="S294" s="71">
        <f t="shared" si="42"/>
        <v>0</v>
      </c>
      <c r="T294" s="71">
        <f t="shared" si="43"/>
        <v>0</v>
      </c>
      <c r="U294" s="71">
        <f>IF(AND(N294=1,V294=1),IF(COUNTIFS(AKTIVITAS!$B$2:$B$3052,B294,AKTIVITAS!$E$2:$E$3052,H294)&gt;0,1,0),0)</f>
        <v>0</v>
      </c>
      <c r="V294" s="71">
        <f>IFERROR(IF(AND(H294&gt;=INDEX(PEMAGANG!$J$3:$J$36,MATCH(B294,PEMAGANG!$C$3:$C$36,0)),H294&lt;=INDEX(PEMAGANG!$K$3:$K$36,MATCH(B294,PEMAGANG!$C$3:$C$36,0))),1,0),0)</f>
        <v>1</v>
      </c>
      <c r="W294" s="71">
        <f t="shared" si="44"/>
        <v>1</v>
      </c>
    </row>
    <row r="295" spans="1:23" x14ac:dyDescent="0.2">
      <c r="A295" s="71" t="s">
        <v>183</v>
      </c>
      <c r="B295" s="71" t="s">
        <v>184</v>
      </c>
      <c r="C295" s="71" t="s">
        <v>187</v>
      </c>
      <c r="D295" s="71" t="s">
        <v>185</v>
      </c>
      <c r="E295" s="71" t="s">
        <v>47</v>
      </c>
      <c r="F295" s="71" t="s">
        <v>300</v>
      </c>
      <c r="G295" s="88">
        <v>46210.785138888903</v>
      </c>
      <c r="H295" s="89">
        <v>46210</v>
      </c>
      <c r="I295" s="71" t="s">
        <v>374</v>
      </c>
      <c r="J295" s="71">
        <v>0</v>
      </c>
      <c r="K295" s="71" t="s">
        <v>302</v>
      </c>
      <c r="L295" s="71">
        <f t="shared" si="36"/>
        <v>7</v>
      </c>
      <c r="M295" s="71" t="str">
        <f>IFERROR(INDEX(KALENDER!$D$3:$D$132,MATCH(H295,KALENDER!$A$3:$A$132,0)),"Di luar periode")</f>
        <v>Hari Kerja</v>
      </c>
      <c r="N295" s="71">
        <f t="shared" si="37"/>
        <v>0</v>
      </c>
      <c r="O295" s="71">
        <f t="shared" si="38"/>
        <v>1</v>
      </c>
      <c r="P295" s="71">
        <f t="shared" si="39"/>
        <v>0</v>
      </c>
      <c r="Q295" s="71">
        <f t="shared" si="40"/>
        <v>0</v>
      </c>
      <c r="R295" s="71">
        <f t="shared" si="41"/>
        <v>0</v>
      </c>
      <c r="S295" s="71">
        <f t="shared" si="42"/>
        <v>0</v>
      </c>
      <c r="T295" s="71">
        <f t="shared" si="43"/>
        <v>0</v>
      </c>
      <c r="U295" s="71">
        <f>IF(AND(N295=1,V295=1),IF(COUNTIFS(AKTIVITAS!$B$2:$B$3052,B295,AKTIVITAS!$E$2:$E$3052,H295)&gt;0,1,0),0)</f>
        <v>0</v>
      </c>
      <c r="V295" s="71">
        <f>IFERROR(IF(AND(H295&gt;=INDEX(PEMAGANG!$J$3:$J$36,MATCH(B295,PEMAGANG!$C$3:$C$36,0)),H295&lt;=INDEX(PEMAGANG!$K$3:$K$36,MATCH(B295,PEMAGANG!$C$3:$C$36,0))),1,0),0)</f>
        <v>1</v>
      </c>
      <c r="W295" s="71">
        <f t="shared" si="44"/>
        <v>0</v>
      </c>
    </row>
    <row r="296" spans="1:23" x14ac:dyDescent="0.2">
      <c r="A296" s="71" t="s">
        <v>183</v>
      </c>
      <c r="B296" s="71" t="s">
        <v>184</v>
      </c>
      <c r="C296" s="71" t="s">
        <v>187</v>
      </c>
      <c r="D296" s="71" t="s">
        <v>185</v>
      </c>
      <c r="E296" s="71" t="s">
        <v>47</v>
      </c>
      <c r="F296" s="71" t="s">
        <v>298</v>
      </c>
      <c r="G296" s="88">
        <v>46212.312881944497</v>
      </c>
      <c r="H296" s="89">
        <v>46212</v>
      </c>
      <c r="I296" s="71" t="s">
        <v>335</v>
      </c>
      <c r="J296" s="71">
        <v>0</v>
      </c>
      <c r="K296" s="71" t="s">
        <v>302</v>
      </c>
      <c r="L296" s="71">
        <f t="shared" si="36"/>
        <v>7</v>
      </c>
      <c r="M296" s="71" t="str">
        <f>IFERROR(INDEX(KALENDER!$D$3:$D$132,MATCH(H296,KALENDER!$A$3:$A$132,0)),"Di luar periode")</f>
        <v>Hari Kerja</v>
      </c>
      <c r="N296" s="71">
        <f t="shared" si="37"/>
        <v>1</v>
      </c>
      <c r="O296" s="71">
        <f t="shared" si="38"/>
        <v>1</v>
      </c>
      <c r="P296" s="71">
        <f t="shared" si="39"/>
        <v>1</v>
      </c>
      <c r="Q296" s="71">
        <f t="shared" si="40"/>
        <v>0</v>
      </c>
      <c r="R296" s="71">
        <f t="shared" si="41"/>
        <v>0</v>
      </c>
      <c r="S296" s="71">
        <f t="shared" si="42"/>
        <v>0</v>
      </c>
      <c r="T296" s="71">
        <f t="shared" si="43"/>
        <v>0</v>
      </c>
      <c r="U296" s="71">
        <f>IF(AND(N296=1,V296=1),IF(COUNTIFS(AKTIVITAS!$B$2:$B$3052,B296,AKTIVITAS!$E$2:$E$3052,H296)&gt;0,1,0),0)</f>
        <v>1</v>
      </c>
      <c r="V296" s="71">
        <f>IFERROR(IF(AND(H296&gt;=INDEX(PEMAGANG!$J$3:$J$36,MATCH(B296,PEMAGANG!$C$3:$C$36,0)),H296&lt;=INDEX(PEMAGANG!$K$3:$K$36,MATCH(B296,PEMAGANG!$C$3:$C$36,0))),1,0),0)</f>
        <v>1</v>
      </c>
      <c r="W296" s="71">
        <f t="shared" si="44"/>
        <v>1</v>
      </c>
    </row>
    <row r="297" spans="1:23" x14ac:dyDescent="0.2">
      <c r="A297" s="71" t="s">
        <v>183</v>
      </c>
      <c r="B297" s="71" t="s">
        <v>184</v>
      </c>
      <c r="C297" s="71" t="s">
        <v>187</v>
      </c>
      <c r="D297" s="71" t="s">
        <v>185</v>
      </c>
      <c r="E297" s="71" t="s">
        <v>47</v>
      </c>
      <c r="F297" s="71" t="s">
        <v>300</v>
      </c>
      <c r="G297" s="88">
        <v>46212.739745370403</v>
      </c>
      <c r="H297" s="89">
        <v>46212</v>
      </c>
      <c r="I297" s="71" t="s">
        <v>375</v>
      </c>
      <c r="J297" s="71">
        <v>0</v>
      </c>
      <c r="K297" s="71" t="s">
        <v>302</v>
      </c>
      <c r="L297" s="71">
        <f t="shared" si="36"/>
        <v>7</v>
      </c>
      <c r="M297" s="71" t="str">
        <f>IFERROR(INDEX(KALENDER!$D$3:$D$132,MATCH(H297,KALENDER!$A$3:$A$132,0)),"Di luar periode")</f>
        <v>Hari Kerja</v>
      </c>
      <c r="N297" s="71">
        <f t="shared" si="37"/>
        <v>0</v>
      </c>
      <c r="O297" s="71">
        <f t="shared" si="38"/>
        <v>1</v>
      </c>
      <c r="P297" s="71">
        <f t="shared" si="39"/>
        <v>0</v>
      </c>
      <c r="Q297" s="71">
        <f t="shared" si="40"/>
        <v>0</v>
      </c>
      <c r="R297" s="71">
        <f t="shared" si="41"/>
        <v>0</v>
      </c>
      <c r="S297" s="71">
        <f t="shared" si="42"/>
        <v>0</v>
      </c>
      <c r="T297" s="71">
        <f t="shared" si="43"/>
        <v>0</v>
      </c>
      <c r="U297" s="71">
        <f>IF(AND(N297=1,V297=1),IF(COUNTIFS(AKTIVITAS!$B$2:$B$3052,B297,AKTIVITAS!$E$2:$E$3052,H297)&gt;0,1,0),0)</f>
        <v>0</v>
      </c>
      <c r="V297" s="71">
        <f>IFERROR(IF(AND(H297&gt;=INDEX(PEMAGANG!$J$3:$J$36,MATCH(B297,PEMAGANG!$C$3:$C$36,0)),H297&lt;=INDEX(PEMAGANG!$K$3:$K$36,MATCH(B297,PEMAGANG!$C$3:$C$36,0))),1,0),0)</f>
        <v>1</v>
      </c>
      <c r="W297" s="71">
        <f t="shared" si="44"/>
        <v>0</v>
      </c>
    </row>
    <row r="298" spans="1:23" x14ac:dyDescent="0.2">
      <c r="A298" s="71" t="s">
        <v>183</v>
      </c>
      <c r="B298" s="71" t="s">
        <v>184</v>
      </c>
      <c r="C298" s="71" t="s">
        <v>187</v>
      </c>
      <c r="D298" s="71" t="s">
        <v>185</v>
      </c>
      <c r="E298" s="71" t="s">
        <v>47</v>
      </c>
      <c r="F298" s="71" t="s">
        <v>298</v>
      </c>
      <c r="G298" s="88">
        <v>46213.316747685203</v>
      </c>
      <c r="H298" s="89">
        <v>46213</v>
      </c>
      <c r="I298" s="71" t="s">
        <v>376</v>
      </c>
      <c r="J298" s="71">
        <v>5.9999999999999796</v>
      </c>
      <c r="K298" s="71" t="s">
        <v>293</v>
      </c>
      <c r="L298" s="71">
        <f t="shared" si="36"/>
        <v>7</v>
      </c>
      <c r="M298" s="71" t="str">
        <f>IFERROR(INDEX(KALENDER!$D$3:$D$132,MATCH(H298,KALENDER!$A$3:$A$132,0)),"Di luar periode")</f>
        <v>Hari Kerja</v>
      </c>
      <c r="N298" s="71">
        <f t="shared" si="37"/>
        <v>1</v>
      </c>
      <c r="O298" s="71">
        <f t="shared" si="38"/>
        <v>1</v>
      </c>
      <c r="P298" s="71">
        <f t="shared" si="39"/>
        <v>1</v>
      </c>
      <c r="Q298" s="71">
        <f t="shared" si="40"/>
        <v>0</v>
      </c>
      <c r="R298" s="71">
        <f t="shared" si="41"/>
        <v>1</v>
      </c>
      <c r="S298" s="71">
        <f t="shared" si="42"/>
        <v>5.9999999999999796</v>
      </c>
      <c r="T298" s="71">
        <f t="shared" si="43"/>
        <v>0</v>
      </c>
      <c r="U298" s="71">
        <f>IF(AND(N298=1,V298=1),IF(COUNTIFS(AKTIVITAS!$B$2:$B$3052,B298,AKTIVITAS!$E$2:$E$3052,H298)&gt;0,1,0),0)</f>
        <v>1</v>
      </c>
      <c r="V298" s="71">
        <f>IFERROR(IF(AND(H298&gt;=INDEX(PEMAGANG!$J$3:$J$36,MATCH(B298,PEMAGANG!$C$3:$C$36,0)),H298&lt;=INDEX(PEMAGANG!$K$3:$K$36,MATCH(B298,PEMAGANG!$C$3:$C$36,0))),1,0),0)</f>
        <v>1</v>
      </c>
      <c r="W298" s="71">
        <f t="shared" si="44"/>
        <v>1</v>
      </c>
    </row>
    <row r="299" spans="1:23" x14ac:dyDescent="0.2">
      <c r="A299" s="71" t="s">
        <v>183</v>
      </c>
      <c r="B299" s="71" t="s">
        <v>184</v>
      </c>
      <c r="C299" s="71" t="s">
        <v>187</v>
      </c>
      <c r="D299" s="71" t="s">
        <v>185</v>
      </c>
      <c r="E299" s="71" t="s">
        <v>47</v>
      </c>
      <c r="F299" s="71" t="s">
        <v>300</v>
      </c>
      <c r="G299" s="88">
        <v>46213.770983796298</v>
      </c>
      <c r="H299" s="89">
        <v>46213</v>
      </c>
      <c r="I299" s="71" t="s">
        <v>360</v>
      </c>
      <c r="J299" s="71">
        <v>0</v>
      </c>
      <c r="K299" s="71" t="s">
        <v>302</v>
      </c>
      <c r="L299" s="71">
        <f t="shared" si="36"/>
        <v>7</v>
      </c>
      <c r="M299" s="71" t="str">
        <f>IFERROR(INDEX(KALENDER!$D$3:$D$132,MATCH(H299,KALENDER!$A$3:$A$132,0)),"Di luar periode")</f>
        <v>Hari Kerja</v>
      </c>
      <c r="N299" s="71">
        <f t="shared" si="37"/>
        <v>0</v>
      </c>
      <c r="O299" s="71">
        <f t="shared" si="38"/>
        <v>1</v>
      </c>
      <c r="P299" s="71">
        <f t="shared" si="39"/>
        <v>0</v>
      </c>
      <c r="Q299" s="71">
        <f t="shared" si="40"/>
        <v>0</v>
      </c>
      <c r="R299" s="71">
        <f t="shared" si="41"/>
        <v>0</v>
      </c>
      <c r="S299" s="71">
        <f t="shared" si="42"/>
        <v>0</v>
      </c>
      <c r="T299" s="71">
        <f t="shared" si="43"/>
        <v>0</v>
      </c>
      <c r="U299" s="71">
        <f>IF(AND(N299=1,V299=1),IF(COUNTIFS(AKTIVITAS!$B$2:$B$3052,B299,AKTIVITAS!$E$2:$E$3052,H299)&gt;0,1,0),0)</f>
        <v>0</v>
      </c>
      <c r="V299" s="71">
        <f>IFERROR(IF(AND(H299&gt;=INDEX(PEMAGANG!$J$3:$J$36,MATCH(B299,PEMAGANG!$C$3:$C$36,0)),H299&lt;=INDEX(PEMAGANG!$K$3:$K$36,MATCH(B299,PEMAGANG!$C$3:$C$36,0))),1,0),0)</f>
        <v>1</v>
      </c>
      <c r="W299" s="71">
        <f t="shared" si="44"/>
        <v>0</v>
      </c>
    </row>
    <row r="300" spans="1:23" x14ac:dyDescent="0.2">
      <c r="A300" s="71" t="s">
        <v>183</v>
      </c>
      <c r="B300" s="71" t="s">
        <v>184</v>
      </c>
      <c r="C300" s="71" t="s">
        <v>187</v>
      </c>
      <c r="D300" s="71" t="s">
        <v>185</v>
      </c>
      <c r="E300" s="71" t="s">
        <v>47</v>
      </c>
      <c r="F300" s="71" t="s">
        <v>298</v>
      </c>
      <c r="G300" s="88">
        <v>46216.311747685198</v>
      </c>
      <c r="H300" s="89">
        <v>46216</v>
      </c>
      <c r="I300" s="71" t="s">
        <v>377</v>
      </c>
      <c r="J300" s="71">
        <v>-1.99999999999999</v>
      </c>
      <c r="K300" s="71" t="s">
        <v>302</v>
      </c>
      <c r="L300" s="71">
        <f t="shared" si="36"/>
        <v>7</v>
      </c>
      <c r="M300" s="71" t="str">
        <f>IFERROR(INDEX(KALENDER!$D$3:$D$132,MATCH(H300,KALENDER!$A$3:$A$132,0)),"Di luar periode")</f>
        <v>Hari Kerja</v>
      </c>
      <c r="N300" s="71">
        <f t="shared" si="37"/>
        <v>1</v>
      </c>
      <c r="O300" s="71">
        <f t="shared" si="38"/>
        <v>1</v>
      </c>
      <c r="P300" s="71">
        <f t="shared" si="39"/>
        <v>1</v>
      </c>
      <c r="Q300" s="71">
        <f t="shared" si="40"/>
        <v>0</v>
      </c>
      <c r="R300" s="71">
        <f t="shared" si="41"/>
        <v>0</v>
      </c>
      <c r="S300" s="71">
        <f t="shared" si="42"/>
        <v>0</v>
      </c>
      <c r="T300" s="71">
        <f t="shared" si="43"/>
        <v>0</v>
      </c>
      <c r="U300" s="71">
        <f>IF(AND(N300=1,V300=1),IF(COUNTIFS(AKTIVITAS!$B$2:$B$3052,B300,AKTIVITAS!$E$2:$E$3052,H300)&gt;0,1,0),0)</f>
        <v>1</v>
      </c>
      <c r="V300" s="71">
        <f>IFERROR(IF(AND(H300&gt;=INDEX(PEMAGANG!$J$3:$J$36,MATCH(B300,PEMAGANG!$C$3:$C$36,0)),H300&lt;=INDEX(PEMAGANG!$K$3:$K$36,MATCH(B300,PEMAGANG!$C$3:$C$36,0))),1,0),0)</f>
        <v>1</v>
      </c>
      <c r="W300" s="71">
        <f t="shared" si="44"/>
        <v>1</v>
      </c>
    </row>
    <row r="301" spans="1:23" x14ac:dyDescent="0.2">
      <c r="A301" s="71" t="s">
        <v>183</v>
      </c>
      <c r="B301" s="71" t="s">
        <v>184</v>
      </c>
      <c r="C301" s="71" t="s">
        <v>187</v>
      </c>
      <c r="D301" s="71" t="s">
        <v>185</v>
      </c>
      <c r="E301" s="71" t="s">
        <v>47</v>
      </c>
      <c r="F301" s="71" t="s">
        <v>300</v>
      </c>
      <c r="G301" s="88">
        <v>46216.6948611111</v>
      </c>
      <c r="H301" s="89">
        <v>46216</v>
      </c>
      <c r="I301" s="71" t="s">
        <v>343</v>
      </c>
      <c r="J301" s="71">
        <v>0</v>
      </c>
      <c r="K301" s="71" t="s">
        <v>302</v>
      </c>
      <c r="L301" s="71">
        <f t="shared" si="36"/>
        <v>7</v>
      </c>
      <c r="M301" s="71" t="str">
        <f>IFERROR(INDEX(KALENDER!$D$3:$D$132,MATCH(H301,KALENDER!$A$3:$A$132,0)),"Di luar periode")</f>
        <v>Hari Kerja</v>
      </c>
      <c r="N301" s="71">
        <f t="shared" si="37"/>
        <v>0</v>
      </c>
      <c r="O301" s="71">
        <f t="shared" si="38"/>
        <v>1</v>
      </c>
      <c r="P301" s="71">
        <f t="shared" si="39"/>
        <v>0</v>
      </c>
      <c r="Q301" s="71">
        <f t="shared" si="40"/>
        <v>0</v>
      </c>
      <c r="R301" s="71">
        <f t="shared" si="41"/>
        <v>0</v>
      </c>
      <c r="S301" s="71">
        <f t="shared" si="42"/>
        <v>0</v>
      </c>
      <c r="T301" s="71">
        <f t="shared" si="43"/>
        <v>0</v>
      </c>
      <c r="U301" s="71">
        <f>IF(AND(N301=1,V301=1),IF(COUNTIFS(AKTIVITAS!$B$2:$B$3052,B301,AKTIVITAS!$E$2:$E$3052,H301)&gt;0,1,0),0)</f>
        <v>0</v>
      </c>
      <c r="V301" s="71">
        <f>IFERROR(IF(AND(H301&gt;=INDEX(PEMAGANG!$J$3:$J$36,MATCH(B301,PEMAGANG!$C$3:$C$36,0)),H301&lt;=INDEX(PEMAGANG!$K$3:$K$36,MATCH(B301,PEMAGANG!$C$3:$C$36,0))),1,0),0)</f>
        <v>1</v>
      </c>
      <c r="W301" s="71">
        <f t="shared" si="44"/>
        <v>0</v>
      </c>
    </row>
    <row r="302" spans="1:23" x14ac:dyDescent="0.2">
      <c r="A302" s="71" t="s">
        <v>183</v>
      </c>
      <c r="B302" s="71" t="s">
        <v>184</v>
      </c>
      <c r="C302" s="71" t="s">
        <v>187</v>
      </c>
      <c r="D302" s="71" t="s">
        <v>185</v>
      </c>
      <c r="E302" s="71" t="s">
        <v>47</v>
      </c>
      <c r="F302" s="71" t="s">
        <v>298</v>
      </c>
      <c r="G302" s="88">
        <v>46217.308969907397</v>
      </c>
      <c r="H302" s="89">
        <v>46217</v>
      </c>
      <c r="I302" s="71" t="s">
        <v>303</v>
      </c>
      <c r="J302" s="71">
        <v>-5.9999999999999796</v>
      </c>
      <c r="K302" s="71" t="s">
        <v>302</v>
      </c>
      <c r="L302" s="71">
        <f t="shared" si="36"/>
        <v>7</v>
      </c>
      <c r="M302" s="71" t="str">
        <f>IFERROR(INDEX(KALENDER!$D$3:$D$132,MATCH(H302,KALENDER!$A$3:$A$132,0)),"Di luar periode")</f>
        <v>Hari Kerja</v>
      </c>
      <c r="N302" s="71">
        <f t="shared" si="37"/>
        <v>1</v>
      </c>
      <c r="O302" s="71">
        <f t="shared" si="38"/>
        <v>1</v>
      </c>
      <c r="P302" s="71">
        <f t="shared" si="39"/>
        <v>1</v>
      </c>
      <c r="Q302" s="71">
        <f t="shared" si="40"/>
        <v>0</v>
      </c>
      <c r="R302" s="71">
        <f t="shared" si="41"/>
        <v>0</v>
      </c>
      <c r="S302" s="71">
        <f t="shared" si="42"/>
        <v>0</v>
      </c>
      <c r="T302" s="71">
        <f t="shared" si="43"/>
        <v>0</v>
      </c>
      <c r="U302" s="71">
        <f>IF(AND(N302=1,V302=1),IF(COUNTIFS(AKTIVITAS!$B$2:$B$3052,B302,AKTIVITAS!$E$2:$E$3052,H302)&gt;0,1,0),0)</f>
        <v>1</v>
      </c>
      <c r="V302" s="71">
        <f>IFERROR(IF(AND(H302&gt;=INDEX(PEMAGANG!$J$3:$J$36,MATCH(B302,PEMAGANG!$C$3:$C$36,0)),H302&lt;=INDEX(PEMAGANG!$K$3:$K$36,MATCH(B302,PEMAGANG!$C$3:$C$36,0))),1,0),0)</f>
        <v>1</v>
      </c>
      <c r="W302" s="71">
        <f t="shared" si="44"/>
        <v>1</v>
      </c>
    </row>
    <row r="303" spans="1:23" x14ac:dyDescent="0.2">
      <c r="A303" s="71" t="s">
        <v>183</v>
      </c>
      <c r="B303" s="71" t="s">
        <v>184</v>
      </c>
      <c r="C303" s="71" t="s">
        <v>187</v>
      </c>
      <c r="D303" s="71" t="s">
        <v>185</v>
      </c>
      <c r="E303" s="71" t="s">
        <v>47</v>
      </c>
      <c r="F303" s="71" t="s">
        <v>300</v>
      </c>
      <c r="G303" s="88">
        <v>46217.711562500001</v>
      </c>
      <c r="H303" s="89">
        <v>46217</v>
      </c>
      <c r="I303" s="71" t="s">
        <v>378</v>
      </c>
      <c r="J303" s="71">
        <v>0</v>
      </c>
      <c r="K303" s="71" t="s">
        <v>302</v>
      </c>
      <c r="L303" s="71">
        <f t="shared" si="36"/>
        <v>7</v>
      </c>
      <c r="M303" s="71" t="str">
        <f>IFERROR(INDEX(KALENDER!$D$3:$D$132,MATCH(H303,KALENDER!$A$3:$A$132,0)),"Di luar periode")</f>
        <v>Hari Kerja</v>
      </c>
      <c r="N303" s="71">
        <f t="shared" si="37"/>
        <v>0</v>
      </c>
      <c r="O303" s="71">
        <f t="shared" si="38"/>
        <v>1</v>
      </c>
      <c r="P303" s="71">
        <f t="shared" si="39"/>
        <v>0</v>
      </c>
      <c r="Q303" s="71">
        <f t="shared" si="40"/>
        <v>0</v>
      </c>
      <c r="R303" s="71">
        <f t="shared" si="41"/>
        <v>0</v>
      </c>
      <c r="S303" s="71">
        <f t="shared" si="42"/>
        <v>0</v>
      </c>
      <c r="T303" s="71">
        <f t="shared" si="43"/>
        <v>0</v>
      </c>
      <c r="U303" s="71">
        <f>IF(AND(N303=1,V303=1),IF(COUNTIFS(AKTIVITAS!$B$2:$B$3052,B303,AKTIVITAS!$E$2:$E$3052,H303)&gt;0,1,0),0)</f>
        <v>0</v>
      </c>
      <c r="V303" s="71">
        <f>IFERROR(IF(AND(H303&gt;=INDEX(PEMAGANG!$J$3:$J$36,MATCH(B303,PEMAGANG!$C$3:$C$36,0)),H303&lt;=INDEX(PEMAGANG!$K$3:$K$36,MATCH(B303,PEMAGANG!$C$3:$C$36,0))),1,0),0)</f>
        <v>1</v>
      </c>
      <c r="W303" s="71">
        <f t="shared" si="44"/>
        <v>0</v>
      </c>
    </row>
    <row r="304" spans="1:23" x14ac:dyDescent="0.2">
      <c r="A304" s="71" t="s">
        <v>183</v>
      </c>
      <c r="B304" s="71" t="s">
        <v>184</v>
      </c>
      <c r="C304" s="71" t="s">
        <v>187</v>
      </c>
      <c r="D304" s="71" t="s">
        <v>185</v>
      </c>
      <c r="E304" s="71" t="s">
        <v>47</v>
      </c>
      <c r="F304" s="71" t="s">
        <v>298</v>
      </c>
      <c r="G304" s="88">
        <v>46219.310752314799</v>
      </c>
      <c r="H304" s="89">
        <v>46219</v>
      </c>
      <c r="I304" s="71" t="s">
        <v>309</v>
      </c>
      <c r="J304" s="71">
        <v>-2.9999999999999898</v>
      </c>
      <c r="K304" s="71" t="s">
        <v>302</v>
      </c>
      <c r="L304" s="71">
        <f t="shared" si="36"/>
        <v>7</v>
      </c>
      <c r="M304" s="71" t="str">
        <f>IFERROR(INDEX(KALENDER!$D$3:$D$132,MATCH(H304,KALENDER!$A$3:$A$132,0)),"Di luar periode")</f>
        <v>Hari Kerja</v>
      </c>
      <c r="N304" s="71">
        <f t="shared" si="37"/>
        <v>1</v>
      </c>
      <c r="O304" s="71">
        <f t="shared" si="38"/>
        <v>1</v>
      </c>
      <c r="P304" s="71">
        <f t="shared" si="39"/>
        <v>1</v>
      </c>
      <c r="Q304" s="71">
        <f t="shared" si="40"/>
        <v>0</v>
      </c>
      <c r="R304" s="71">
        <f t="shared" si="41"/>
        <v>0</v>
      </c>
      <c r="S304" s="71">
        <f t="shared" si="42"/>
        <v>0</v>
      </c>
      <c r="T304" s="71">
        <f t="shared" si="43"/>
        <v>0</v>
      </c>
      <c r="U304" s="71">
        <f>IF(AND(N304=1,V304=1),IF(COUNTIFS(AKTIVITAS!$B$2:$B$3052,B304,AKTIVITAS!$E$2:$E$3052,H304)&gt;0,1,0),0)</f>
        <v>1</v>
      </c>
      <c r="V304" s="71">
        <f>IFERROR(IF(AND(H304&gt;=INDEX(PEMAGANG!$J$3:$J$36,MATCH(B304,PEMAGANG!$C$3:$C$36,0)),H304&lt;=INDEX(PEMAGANG!$K$3:$K$36,MATCH(B304,PEMAGANG!$C$3:$C$36,0))),1,0),0)</f>
        <v>1</v>
      </c>
      <c r="W304" s="71">
        <f t="shared" si="44"/>
        <v>1</v>
      </c>
    </row>
    <row r="305" spans="1:23" x14ac:dyDescent="0.2">
      <c r="A305" s="71" t="s">
        <v>183</v>
      </c>
      <c r="B305" s="71" t="s">
        <v>184</v>
      </c>
      <c r="C305" s="71" t="s">
        <v>187</v>
      </c>
      <c r="D305" s="71" t="s">
        <v>185</v>
      </c>
      <c r="E305" s="71" t="s">
        <v>47</v>
      </c>
      <c r="F305" s="71" t="s">
        <v>300</v>
      </c>
      <c r="G305" s="88">
        <v>46219.689849536997</v>
      </c>
      <c r="H305" s="89">
        <v>46219</v>
      </c>
      <c r="I305" s="71" t="s">
        <v>316</v>
      </c>
      <c r="J305" s="71">
        <v>0</v>
      </c>
      <c r="K305" s="71" t="s">
        <v>302</v>
      </c>
      <c r="L305" s="71">
        <f t="shared" si="36"/>
        <v>7</v>
      </c>
      <c r="M305" s="71" t="str">
        <f>IFERROR(INDEX(KALENDER!$D$3:$D$132,MATCH(H305,KALENDER!$A$3:$A$132,0)),"Di luar periode")</f>
        <v>Hari Kerja</v>
      </c>
      <c r="N305" s="71">
        <f t="shared" si="37"/>
        <v>0</v>
      </c>
      <c r="O305" s="71">
        <f t="shared" si="38"/>
        <v>1</v>
      </c>
      <c r="P305" s="71">
        <f t="shared" si="39"/>
        <v>0</v>
      </c>
      <c r="Q305" s="71">
        <f t="shared" si="40"/>
        <v>0</v>
      </c>
      <c r="R305" s="71">
        <f t="shared" si="41"/>
        <v>0</v>
      </c>
      <c r="S305" s="71">
        <f t="shared" si="42"/>
        <v>0</v>
      </c>
      <c r="T305" s="71">
        <f t="shared" si="43"/>
        <v>0</v>
      </c>
      <c r="U305" s="71">
        <f>IF(AND(N305=1,V305=1),IF(COUNTIFS(AKTIVITAS!$B$2:$B$3052,B305,AKTIVITAS!$E$2:$E$3052,H305)&gt;0,1,0),0)</f>
        <v>0</v>
      </c>
      <c r="V305" s="71">
        <f>IFERROR(IF(AND(H305&gt;=INDEX(PEMAGANG!$J$3:$J$36,MATCH(B305,PEMAGANG!$C$3:$C$36,0)),H305&lt;=INDEX(PEMAGANG!$K$3:$K$36,MATCH(B305,PEMAGANG!$C$3:$C$36,0))),1,0),0)</f>
        <v>1</v>
      </c>
      <c r="W305" s="71">
        <f t="shared" si="44"/>
        <v>0</v>
      </c>
    </row>
    <row r="306" spans="1:23" x14ac:dyDescent="0.2">
      <c r="A306" s="71" t="s">
        <v>183</v>
      </c>
      <c r="B306" s="71" t="s">
        <v>184</v>
      </c>
      <c r="C306" s="71" t="s">
        <v>187</v>
      </c>
      <c r="D306" s="71" t="s">
        <v>185</v>
      </c>
      <c r="E306" s="71" t="s">
        <v>47</v>
      </c>
      <c r="F306" s="71" t="s">
        <v>298</v>
      </c>
      <c r="G306" s="88">
        <v>46220.314178240696</v>
      </c>
      <c r="H306" s="89">
        <v>46220</v>
      </c>
      <c r="I306" s="71" t="s">
        <v>338</v>
      </c>
      <c r="J306" s="71">
        <v>1.99999999999999</v>
      </c>
      <c r="K306" s="71" t="s">
        <v>293</v>
      </c>
      <c r="L306" s="71">
        <f t="shared" si="36"/>
        <v>7</v>
      </c>
      <c r="M306" s="71" t="str">
        <f>IFERROR(INDEX(KALENDER!$D$3:$D$132,MATCH(H306,KALENDER!$A$3:$A$132,0)),"Di luar periode")</f>
        <v>Hari Kerja</v>
      </c>
      <c r="N306" s="71">
        <f t="shared" si="37"/>
        <v>1</v>
      </c>
      <c r="O306" s="71">
        <f t="shared" si="38"/>
        <v>1</v>
      </c>
      <c r="P306" s="71">
        <f t="shared" si="39"/>
        <v>1</v>
      </c>
      <c r="Q306" s="71">
        <f t="shared" si="40"/>
        <v>0</v>
      </c>
      <c r="R306" s="71">
        <f t="shared" si="41"/>
        <v>1</v>
      </c>
      <c r="S306" s="71">
        <f t="shared" si="42"/>
        <v>1.99999999999999</v>
      </c>
      <c r="T306" s="71">
        <f t="shared" si="43"/>
        <v>0</v>
      </c>
      <c r="U306" s="71">
        <f>IF(AND(N306=1,V306=1),IF(COUNTIFS(AKTIVITAS!$B$2:$B$3052,B306,AKTIVITAS!$E$2:$E$3052,H306)&gt;0,1,0),0)</f>
        <v>1</v>
      </c>
      <c r="V306" s="71">
        <f>IFERROR(IF(AND(H306&gt;=INDEX(PEMAGANG!$J$3:$J$36,MATCH(B306,PEMAGANG!$C$3:$C$36,0)),H306&lt;=INDEX(PEMAGANG!$K$3:$K$36,MATCH(B306,PEMAGANG!$C$3:$C$36,0))),1,0),0)</f>
        <v>1</v>
      </c>
      <c r="W306" s="71">
        <f t="shared" si="44"/>
        <v>1</v>
      </c>
    </row>
    <row r="307" spans="1:23" x14ac:dyDescent="0.2">
      <c r="A307" s="71" t="s">
        <v>183</v>
      </c>
      <c r="B307" s="71" t="s">
        <v>184</v>
      </c>
      <c r="C307" s="71" t="s">
        <v>187</v>
      </c>
      <c r="D307" s="71" t="s">
        <v>185</v>
      </c>
      <c r="E307" s="71" t="s">
        <v>47</v>
      </c>
      <c r="F307" s="71" t="s">
        <v>300</v>
      </c>
      <c r="G307" s="88">
        <v>46220.766678240703</v>
      </c>
      <c r="H307" s="89">
        <v>46220</v>
      </c>
      <c r="I307" s="71" t="s">
        <v>359</v>
      </c>
      <c r="J307" s="71">
        <v>0</v>
      </c>
      <c r="K307" s="71" t="s">
        <v>302</v>
      </c>
      <c r="L307" s="71">
        <f t="shared" si="36"/>
        <v>7</v>
      </c>
      <c r="M307" s="71" t="str">
        <f>IFERROR(INDEX(KALENDER!$D$3:$D$132,MATCH(H307,KALENDER!$A$3:$A$132,0)),"Di luar periode")</f>
        <v>Hari Kerja</v>
      </c>
      <c r="N307" s="71">
        <f t="shared" si="37"/>
        <v>0</v>
      </c>
      <c r="O307" s="71">
        <f t="shared" si="38"/>
        <v>1</v>
      </c>
      <c r="P307" s="71">
        <f t="shared" si="39"/>
        <v>0</v>
      </c>
      <c r="Q307" s="71">
        <f t="shared" si="40"/>
        <v>0</v>
      </c>
      <c r="R307" s="71">
        <f t="shared" si="41"/>
        <v>0</v>
      </c>
      <c r="S307" s="71">
        <f t="shared" si="42"/>
        <v>0</v>
      </c>
      <c r="T307" s="71">
        <f t="shared" si="43"/>
        <v>0</v>
      </c>
      <c r="U307" s="71">
        <f>IF(AND(N307=1,V307=1),IF(COUNTIFS(AKTIVITAS!$B$2:$B$3052,B307,AKTIVITAS!$E$2:$E$3052,H307)&gt;0,1,0),0)</f>
        <v>0</v>
      </c>
      <c r="V307" s="71">
        <f>IFERROR(IF(AND(H307&gt;=INDEX(PEMAGANG!$J$3:$J$36,MATCH(B307,PEMAGANG!$C$3:$C$36,0)),H307&lt;=INDEX(PEMAGANG!$K$3:$K$36,MATCH(B307,PEMAGANG!$C$3:$C$36,0))),1,0),0)</f>
        <v>1</v>
      </c>
      <c r="W307" s="71">
        <f t="shared" si="44"/>
        <v>0</v>
      </c>
    </row>
    <row r="308" spans="1:23" x14ac:dyDescent="0.2">
      <c r="A308" s="71" t="s">
        <v>183</v>
      </c>
      <c r="B308" s="71" t="s">
        <v>184</v>
      </c>
      <c r="C308" s="71" t="s">
        <v>187</v>
      </c>
      <c r="D308" s="71" t="s">
        <v>185</v>
      </c>
      <c r="E308" s="71" t="s">
        <v>47</v>
      </c>
      <c r="F308" s="71" t="s">
        <v>298</v>
      </c>
      <c r="G308" s="88">
        <v>46223.3109722222</v>
      </c>
      <c r="H308" s="89">
        <v>46223</v>
      </c>
      <c r="I308" s="71" t="s">
        <v>309</v>
      </c>
      <c r="J308" s="71">
        <v>-2.9999999999999898</v>
      </c>
      <c r="K308" s="71" t="s">
        <v>302</v>
      </c>
      <c r="L308" s="71">
        <f t="shared" si="36"/>
        <v>7</v>
      </c>
      <c r="M308" s="71" t="str">
        <f>IFERROR(INDEX(KALENDER!$D$3:$D$132,MATCH(H308,KALENDER!$A$3:$A$132,0)),"Di luar periode")</f>
        <v>Hari Kerja</v>
      </c>
      <c r="N308" s="71">
        <f t="shared" si="37"/>
        <v>1</v>
      </c>
      <c r="O308" s="71">
        <f t="shared" si="38"/>
        <v>1</v>
      </c>
      <c r="P308" s="71">
        <f t="shared" si="39"/>
        <v>1</v>
      </c>
      <c r="Q308" s="71">
        <f t="shared" si="40"/>
        <v>0</v>
      </c>
      <c r="R308" s="71">
        <f t="shared" si="41"/>
        <v>0</v>
      </c>
      <c r="S308" s="71">
        <f t="shared" si="42"/>
        <v>0</v>
      </c>
      <c r="T308" s="71">
        <f t="shared" si="43"/>
        <v>0</v>
      </c>
      <c r="U308" s="71">
        <f>IF(AND(N308=1,V308=1),IF(COUNTIFS(AKTIVITAS!$B$2:$B$3052,B308,AKTIVITAS!$E$2:$E$3052,H308)&gt;0,1,0),0)</f>
        <v>1</v>
      </c>
      <c r="V308" s="71">
        <f>IFERROR(IF(AND(H308&gt;=INDEX(PEMAGANG!$J$3:$J$36,MATCH(B308,PEMAGANG!$C$3:$C$36,0)),H308&lt;=INDEX(PEMAGANG!$K$3:$K$36,MATCH(B308,PEMAGANG!$C$3:$C$36,0))),1,0),0)</f>
        <v>1</v>
      </c>
      <c r="W308" s="71">
        <f t="shared" si="44"/>
        <v>1</v>
      </c>
    </row>
    <row r="309" spans="1:23" x14ac:dyDescent="0.2">
      <c r="A309" s="71" t="s">
        <v>183</v>
      </c>
      <c r="B309" s="71" t="s">
        <v>184</v>
      </c>
      <c r="C309" s="71" t="s">
        <v>187</v>
      </c>
      <c r="D309" s="71" t="s">
        <v>185</v>
      </c>
      <c r="E309" s="71" t="s">
        <v>47</v>
      </c>
      <c r="F309" s="71" t="s">
        <v>300</v>
      </c>
      <c r="G309" s="88">
        <v>46223.7417824074</v>
      </c>
      <c r="H309" s="89">
        <v>46223</v>
      </c>
      <c r="I309" s="71" t="s">
        <v>379</v>
      </c>
      <c r="J309" s="71">
        <v>0</v>
      </c>
      <c r="K309" s="71" t="s">
        <v>302</v>
      </c>
      <c r="L309" s="71">
        <f t="shared" si="36"/>
        <v>7</v>
      </c>
      <c r="M309" s="71" t="str">
        <f>IFERROR(INDEX(KALENDER!$D$3:$D$132,MATCH(H309,KALENDER!$A$3:$A$132,0)),"Di luar periode")</f>
        <v>Hari Kerja</v>
      </c>
      <c r="N309" s="71">
        <f t="shared" si="37"/>
        <v>0</v>
      </c>
      <c r="O309" s="71">
        <f t="shared" si="38"/>
        <v>1</v>
      </c>
      <c r="P309" s="71">
        <f t="shared" si="39"/>
        <v>0</v>
      </c>
      <c r="Q309" s="71">
        <f t="shared" si="40"/>
        <v>0</v>
      </c>
      <c r="R309" s="71">
        <f t="shared" si="41"/>
        <v>0</v>
      </c>
      <c r="S309" s="71">
        <f t="shared" si="42"/>
        <v>0</v>
      </c>
      <c r="T309" s="71">
        <f t="shared" si="43"/>
        <v>0</v>
      </c>
      <c r="U309" s="71">
        <f>IF(AND(N309=1,V309=1),IF(COUNTIFS(AKTIVITAS!$B$2:$B$3052,B309,AKTIVITAS!$E$2:$E$3052,H309)&gt;0,1,0),0)</f>
        <v>0</v>
      </c>
      <c r="V309" s="71">
        <f>IFERROR(IF(AND(H309&gt;=INDEX(PEMAGANG!$J$3:$J$36,MATCH(B309,PEMAGANG!$C$3:$C$36,0)),H309&lt;=INDEX(PEMAGANG!$K$3:$K$36,MATCH(B309,PEMAGANG!$C$3:$C$36,0))),1,0),0)</f>
        <v>1</v>
      </c>
      <c r="W309" s="71">
        <f t="shared" si="44"/>
        <v>0</v>
      </c>
    </row>
    <row r="310" spans="1:23" x14ac:dyDescent="0.2">
      <c r="A310" s="71" t="s">
        <v>183</v>
      </c>
      <c r="B310" s="71" t="s">
        <v>184</v>
      </c>
      <c r="C310" s="71" t="s">
        <v>187</v>
      </c>
      <c r="D310" s="71" t="s">
        <v>185</v>
      </c>
      <c r="E310" s="71" t="s">
        <v>47</v>
      </c>
      <c r="F310" s="71" t="s">
        <v>298</v>
      </c>
      <c r="G310" s="88">
        <v>46224.317118055602</v>
      </c>
      <c r="H310" s="89">
        <v>46224</v>
      </c>
      <c r="I310" s="71" t="s">
        <v>376</v>
      </c>
      <c r="J310" s="71">
        <v>5.9999999999999796</v>
      </c>
      <c r="K310" s="71" t="s">
        <v>293</v>
      </c>
      <c r="L310" s="71">
        <f t="shared" si="36"/>
        <v>7</v>
      </c>
      <c r="M310" s="71" t="str">
        <f>IFERROR(INDEX(KALENDER!$D$3:$D$132,MATCH(H310,KALENDER!$A$3:$A$132,0)),"Di luar periode")</f>
        <v>Hari Kerja</v>
      </c>
      <c r="N310" s="71">
        <f t="shared" si="37"/>
        <v>1</v>
      </c>
      <c r="O310" s="71">
        <f t="shared" si="38"/>
        <v>1</v>
      </c>
      <c r="P310" s="71">
        <f t="shared" si="39"/>
        <v>1</v>
      </c>
      <c r="Q310" s="71">
        <f t="shared" si="40"/>
        <v>0</v>
      </c>
      <c r="R310" s="71">
        <f t="shared" si="41"/>
        <v>1</v>
      </c>
      <c r="S310" s="71">
        <f t="shared" si="42"/>
        <v>5.9999999999999796</v>
      </c>
      <c r="T310" s="71">
        <f t="shared" si="43"/>
        <v>0</v>
      </c>
      <c r="U310" s="71">
        <f>IF(AND(N310=1,V310=1),IF(COUNTIFS(AKTIVITAS!$B$2:$B$3052,B310,AKTIVITAS!$E$2:$E$3052,H310)&gt;0,1,0),0)</f>
        <v>1</v>
      </c>
      <c r="V310" s="71">
        <f>IFERROR(IF(AND(H310&gt;=INDEX(PEMAGANG!$J$3:$J$36,MATCH(B310,PEMAGANG!$C$3:$C$36,0)),H310&lt;=INDEX(PEMAGANG!$K$3:$K$36,MATCH(B310,PEMAGANG!$C$3:$C$36,0))),1,0),0)</f>
        <v>1</v>
      </c>
      <c r="W310" s="71">
        <f t="shared" si="44"/>
        <v>1</v>
      </c>
    </row>
    <row r="311" spans="1:23" x14ac:dyDescent="0.2">
      <c r="A311" s="71" t="s">
        <v>183</v>
      </c>
      <c r="B311" s="71" t="s">
        <v>184</v>
      </c>
      <c r="C311" s="71" t="s">
        <v>187</v>
      </c>
      <c r="D311" s="71" t="s">
        <v>185</v>
      </c>
      <c r="E311" s="71" t="s">
        <v>47</v>
      </c>
      <c r="F311" s="71" t="s">
        <v>300</v>
      </c>
      <c r="G311" s="88">
        <v>46224.757685185199</v>
      </c>
      <c r="H311" s="89">
        <v>46224</v>
      </c>
      <c r="I311" s="71" t="s">
        <v>380</v>
      </c>
      <c r="J311" s="71">
        <v>0</v>
      </c>
      <c r="K311" s="71" t="s">
        <v>302</v>
      </c>
      <c r="L311" s="71">
        <f t="shared" si="36"/>
        <v>7</v>
      </c>
      <c r="M311" s="71" t="str">
        <f>IFERROR(INDEX(KALENDER!$D$3:$D$132,MATCH(H311,KALENDER!$A$3:$A$132,0)),"Di luar periode")</f>
        <v>Hari Kerja</v>
      </c>
      <c r="N311" s="71">
        <f t="shared" si="37"/>
        <v>0</v>
      </c>
      <c r="O311" s="71">
        <f t="shared" si="38"/>
        <v>1</v>
      </c>
      <c r="P311" s="71">
        <f t="shared" si="39"/>
        <v>0</v>
      </c>
      <c r="Q311" s="71">
        <f t="shared" si="40"/>
        <v>0</v>
      </c>
      <c r="R311" s="71">
        <f t="shared" si="41"/>
        <v>0</v>
      </c>
      <c r="S311" s="71">
        <f t="shared" si="42"/>
        <v>0</v>
      </c>
      <c r="T311" s="71">
        <f t="shared" si="43"/>
        <v>0</v>
      </c>
      <c r="U311" s="71">
        <f>IF(AND(N311=1,V311=1),IF(COUNTIFS(AKTIVITAS!$B$2:$B$3052,B311,AKTIVITAS!$E$2:$E$3052,H311)&gt;0,1,0),0)</f>
        <v>0</v>
      </c>
      <c r="V311" s="71">
        <f>IFERROR(IF(AND(H311&gt;=INDEX(PEMAGANG!$J$3:$J$36,MATCH(B311,PEMAGANG!$C$3:$C$36,0)),H311&lt;=INDEX(PEMAGANG!$K$3:$K$36,MATCH(B311,PEMAGANG!$C$3:$C$36,0))),1,0),0)</f>
        <v>1</v>
      </c>
      <c r="W311" s="71">
        <f t="shared" si="44"/>
        <v>0</v>
      </c>
    </row>
    <row r="312" spans="1:23" x14ac:dyDescent="0.2">
      <c r="A312" s="71" t="s">
        <v>183</v>
      </c>
      <c r="B312" s="71" t="s">
        <v>184</v>
      </c>
      <c r="C312" s="71" t="s">
        <v>187</v>
      </c>
      <c r="D312" s="71" t="s">
        <v>185</v>
      </c>
      <c r="E312" s="71" t="s">
        <v>47</v>
      </c>
      <c r="F312" s="71" t="s">
        <v>298</v>
      </c>
      <c r="G312" s="88">
        <v>46226.319791666698</v>
      </c>
      <c r="H312" s="89">
        <v>46226</v>
      </c>
      <c r="I312" s="71" t="s">
        <v>381</v>
      </c>
      <c r="J312" s="71">
        <v>10</v>
      </c>
      <c r="K312" s="71" t="s">
        <v>293</v>
      </c>
      <c r="L312" s="71">
        <f t="shared" si="36"/>
        <v>7</v>
      </c>
      <c r="M312" s="71" t="str">
        <f>IFERROR(INDEX(KALENDER!$D$3:$D$132,MATCH(H312,KALENDER!$A$3:$A$132,0)),"Di luar periode")</f>
        <v>Hari Kerja</v>
      </c>
      <c r="N312" s="71">
        <f t="shared" si="37"/>
        <v>1</v>
      </c>
      <c r="O312" s="71">
        <f t="shared" si="38"/>
        <v>1</v>
      </c>
      <c r="P312" s="71">
        <f t="shared" si="39"/>
        <v>1</v>
      </c>
      <c r="Q312" s="71">
        <f t="shared" si="40"/>
        <v>0</v>
      </c>
      <c r="R312" s="71">
        <f t="shared" si="41"/>
        <v>1</v>
      </c>
      <c r="S312" s="71">
        <f t="shared" si="42"/>
        <v>10</v>
      </c>
      <c r="T312" s="71">
        <f t="shared" si="43"/>
        <v>0</v>
      </c>
      <c r="U312" s="71">
        <f>IF(AND(N312=1,V312=1),IF(COUNTIFS(AKTIVITAS!$B$2:$B$3052,B312,AKTIVITAS!$E$2:$E$3052,H312)&gt;0,1,0),0)</f>
        <v>1</v>
      </c>
      <c r="V312" s="71">
        <f>IFERROR(IF(AND(H312&gt;=INDEX(PEMAGANG!$J$3:$J$36,MATCH(B312,PEMAGANG!$C$3:$C$36,0)),H312&lt;=INDEX(PEMAGANG!$K$3:$K$36,MATCH(B312,PEMAGANG!$C$3:$C$36,0))),1,0),0)</f>
        <v>1</v>
      </c>
      <c r="W312" s="71">
        <f t="shared" si="44"/>
        <v>1</v>
      </c>
    </row>
    <row r="313" spans="1:23" x14ac:dyDescent="0.2">
      <c r="A313" s="71" t="s">
        <v>183</v>
      </c>
      <c r="B313" s="71" t="s">
        <v>184</v>
      </c>
      <c r="C313" s="71" t="s">
        <v>187</v>
      </c>
      <c r="D313" s="71" t="s">
        <v>185</v>
      </c>
      <c r="E313" s="71" t="s">
        <v>47</v>
      </c>
      <c r="F313" s="71" t="s">
        <v>300</v>
      </c>
      <c r="G313" s="88">
        <v>46226.722187500003</v>
      </c>
      <c r="H313" s="89">
        <v>46226</v>
      </c>
      <c r="I313" s="71" t="s">
        <v>382</v>
      </c>
      <c r="J313" s="71">
        <v>0</v>
      </c>
      <c r="K313" s="71" t="s">
        <v>302</v>
      </c>
      <c r="L313" s="71">
        <f t="shared" si="36"/>
        <v>7</v>
      </c>
      <c r="M313" s="71" t="str">
        <f>IFERROR(INDEX(KALENDER!$D$3:$D$132,MATCH(H313,KALENDER!$A$3:$A$132,0)),"Di luar periode")</f>
        <v>Hari Kerja</v>
      </c>
      <c r="N313" s="71">
        <f t="shared" si="37"/>
        <v>0</v>
      </c>
      <c r="O313" s="71">
        <f t="shared" si="38"/>
        <v>1</v>
      </c>
      <c r="P313" s="71">
        <f t="shared" si="39"/>
        <v>0</v>
      </c>
      <c r="Q313" s="71">
        <f t="shared" si="40"/>
        <v>0</v>
      </c>
      <c r="R313" s="71">
        <f t="shared" si="41"/>
        <v>0</v>
      </c>
      <c r="S313" s="71">
        <f t="shared" si="42"/>
        <v>0</v>
      </c>
      <c r="T313" s="71">
        <f t="shared" si="43"/>
        <v>0</v>
      </c>
      <c r="U313" s="71">
        <f>IF(AND(N313=1,V313=1),IF(COUNTIFS(AKTIVITAS!$B$2:$B$3052,B313,AKTIVITAS!$E$2:$E$3052,H313)&gt;0,1,0),0)</f>
        <v>0</v>
      </c>
      <c r="V313" s="71">
        <f>IFERROR(IF(AND(H313&gt;=INDEX(PEMAGANG!$J$3:$J$36,MATCH(B313,PEMAGANG!$C$3:$C$36,0)),H313&lt;=INDEX(PEMAGANG!$K$3:$K$36,MATCH(B313,PEMAGANG!$C$3:$C$36,0))),1,0),0)</f>
        <v>1</v>
      </c>
      <c r="W313" s="71">
        <f t="shared" si="44"/>
        <v>0</v>
      </c>
    </row>
    <row r="314" spans="1:23" x14ac:dyDescent="0.2">
      <c r="A314" s="71" t="s">
        <v>183</v>
      </c>
      <c r="B314" s="71" t="s">
        <v>184</v>
      </c>
      <c r="C314" s="71" t="s">
        <v>187</v>
      </c>
      <c r="D314" s="71" t="s">
        <v>185</v>
      </c>
      <c r="E314" s="71" t="s">
        <v>47</v>
      </c>
      <c r="F314" s="71" t="s">
        <v>298</v>
      </c>
      <c r="G314" s="88">
        <v>46227.312199074098</v>
      </c>
      <c r="H314" s="89">
        <v>46227</v>
      </c>
      <c r="I314" s="71" t="s">
        <v>365</v>
      </c>
      <c r="J314" s="71">
        <v>-0.999999999999996</v>
      </c>
      <c r="K314" s="71" t="s">
        <v>302</v>
      </c>
      <c r="L314" s="71">
        <f t="shared" si="36"/>
        <v>7</v>
      </c>
      <c r="M314" s="71" t="str">
        <f>IFERROR(INDEX(KALENDER!$D$3:$D$132,MATCH(H314,KALENDER!$A$3:$A$132,0)),"Di luar periode")</f>
        <v>Hari Kerja</v>
      </c>
      <c r="N314" s="71">
        <f t="shared" si="37"/>
        <v>1</v>
      </c>
      <c r="O314" s="71">
        <f t="shared" si="38"/>
        <v>1</v>
      </c>
      <c r="P314" s="71">
        <f t="shared" si="39"/>
        <v>1</v>
      </c>
      <c r="Q314" s="71">
        <f t="shared" si="40"/>
        <v>0</v>
      </c>
      <c r="R314" s="71">
        <f t="shared" si="41"/>
        <v>0</v>
      </c>
      <c r="S314" s="71">
        <f t="shared" si="42"/>
        <v>0</v>
      </c>
      <c r="T314" s="71">
        <f t="shared" si="43"/>
        <v>0</v>
      </c>
      <c r="U314" s="71">
        <f>IF(AND(N314=1,V314=1),IF(COUNTIFS(AKTIVITAS!$B$2:$B$3052,B314,AKTIVITAS!$E$2:$E$3052,H314)&gt;0,1,0),0)</f>
        <v>1</v>
      </c>
      <c r="V314" s="71">
        <f>IFERROR(IF(AND(H314&gt;=INDEX(PEMAGANG!$J$3:$J$36,MATCH(B314,PEMAGANG!$C$3:$C$36,0)),H314&lt;=INDEX(PEMAGANG!$K$3:$K$36,MATCH(B314,PEMAGANG!$C$3:$C$36,0))),1,0),0)</f>
        <v>1</v>
      </c>
      <c r="W314" s="71">
        <f t="shared" si="44"/>
        <v>1</v>
      </c>
    </row>
    <row r="315" spans="1:23" x14ac:dyDescent="0.2">
      <c r="A315" s="71" t="s">
        <v>183</v>
      </c>
      <c r="B315" s="71" t="s">
        <v>184</v>
      </c>
      <c r="C315" s="71" t="s">
        <v>187</v>
      </c>
      <c r="D315" s="71" t="s">
        <v>185</v>
      </c>
      <c r="E315" s="71" t="s">
        <v>47</v>
      </c>
      <c r="F315" s="71" t="s">
        <v>300</v>
      </c>
      <c r="G315" s="88">
        <v>46227.695636574099</v>
      </c>
      <c r="H315" s="89">
        <v>46227</v>
      </c>
      <c r="I315" s="71" t="s">
        <v>319</v>
      </c>
      <c r="J315" s="71">
        <v>0</v>
      </c>
      <c r="K315" s="71" t="s">
        <v>302</v>
      </c>
      <c r="L315" s="71">
        <f t="shared" si="36"/>
        <v>7</v>
      </c>
      <c r="M315" s="71" t="str">
        <f>IFERROR(INDEX(KALENDER!$D$3:$D$132,MATCH(H315,KALENDER!$A$3:$A$132,0)),"Di luar periode")</f>
        <v>Hari Kerja</v>
      </c>
      <c r="N315" s="71">
        <f t="shared" si="37"/>
        <v>0</v>
      </c>
      <c r="O315" s="71">
        <f t="shared" si="38"/>
        <v>1</v>
      </c>
      <c r="P315" s="71">
        <f t="shared" si="39"/>
        <v>0</v>
      </c>
      <c r="Q315" s="71">
        <f t="shared" si="40"/>
        <v>0</v>
      </c>
      <c r="R315" s="71">
        <f t="shared" si="41"/>
        <v>0</v>
      </c>
      <c r="S315" s="71">
        <f t="shared" si="42"/>
        <v>0</v>
      </c>
      <c r="T315" s="71">
        <f t="shared" si="43"/>
        <v>0</v>
      </c>
      <c r="U315" s="71">
        <f>IF(AND(N315=1,V315=1),IF(COUNTIFS(AKTIVITAS!$B$2:$B$3052,B315,AKTIVITAS!$E$2:$E$3052,H315)&gt;0,1,0),0)</f>
        <v>0</v>
      </c>
      <c r="V315" s="71">
        <f>IFERROR(IF(AND(H315&gt;=INDEX(PEMAGANG!$J$3:$J$36,MATCH(B315,PEMAGANG!$C$3:$C$36,0)),H315&lt;=INDEX(PEMAGANG!$K$3:$K$36,MATCH(B315,PEMAGANG!$C$3:$C$36,0))),1,0),0)</f>
        <v>1</v>
      </c>
      <c r="W315" s="71">
        <f t="shared" si="44"/>
        <v>0</v>
      </c>
    </row>
    <row r="316" spans="1:23" x14ac:dyDescent="0.2">
      <c r="A316" s="71" t="s">
        <v>183</v>
      </c>
      <c r="B316" s="71" t="s">
        <v>184</v>
      </c>
      <c r="C316" s="71" t="s">
        <v>187</v>
      </c>
      <c r="D316" s="71" t="s">
        <v>185</v>
      </c>
      <c r="E316" s="71" t="s">
        <v>47</v>
      </c>
      <c r="F316" s="71" t="s">
        <v>298</v>
      </c>
      <c r="G316" s="88">
        <v>46230.3148842593</v>
      </c>
      <c r="H316" s="89">
        <v>46230</v>
      </c>
      <c r="I316" s="71" t="s">
        <v>383</v>
      </c>
      <c r="J316" s="71">
        <v>2.9999999999999898</v>
      </c>
      <c r="K316" s="71" t="s">
        <v>293</v>
      </c>
      <c r="L316" s="71">
        <f t="shared" si="36"/>
        <v>7</v>
      </c>
      <c r="M316" s="71" t="str">
        <f>IFERROR(INDEX(KALENDER!$D$3:$D$132,MATCH(H316,KALENDER!$A$3:$A$132,0)),"Di luar periode")</f>
        <v>Hari Kerja</v>
      </c>
      <c r="N316" s="71">
        <f t="shared" si="37"/>
        <v>1</v>
      </c>
      <c r="O316" s="71">
        <f t="shared" si="38"/>
        <v>1</v>
      </c>
      <c r="P316" s="71">
        <f t="shared" si="39"/>
        <v>1</v>
      </c>
      <c r="Q316" s="71">
        <f t="shared" si="40"/>
        <v>0</v>
      </c>
      <c r="R316" s="71">
        <f t="shared" si="41"/>
        <v>1</v>
      </c>
      <c r="S316" s="71">
        <f t="shared" si="42"/>
        <v>2.9999999999999898</v>
      </c>
      <c r="T316" s="71">
        <f t="shared" si="43"/>
        <v>0</v>
      </c>
      <c r="U316" s="71">
        <f>IF(AND(N316=1,V316=1),IF(COUNTIFS(AKTIVITAS!$B$2:$B$3052,B316,AKTIVITAS!$E$2:$E$3052,H316)&gt;0,1,0),0)</f>
        <v>1</v>
      </c>
      <c r="V316" s="71">
        <f>IFERROR(IF(AND(H316&gt;=INDEX(PEMAGANG!$J$3:$J$36,MATCH(B316,PEMAGANG!$C$3:$C$36,0)),H316&lt;=INDEX(PEMAGANG!$K$3:$K$36,MATCH(B316,PEMAGANG!$C$3:$C$36,0))),1,0),0)</f>
        <v>1</v>
      </c>
      <c r="W316" s="71">
        <f t="shared" si="44"/>
        <v>1</v>
      </c>
    </row>
    <row r="317" spans="1:23" x14ac:dyDescent="0.2">
      <c r="A317" s="71" t="s">
        <v>183</v>
      </c>
      <c r="B317" s="71" t="s">
        <v>184</v>
      </c>
      <c r="C317" s="71" t="s">
        <v>187</v>
      </c>
      <c r="D317" s="71" t="s">
        <v>185</v>
      </c>
      <c r="E317" s="71" t="s">
        <v>47</v>
      </c>
      <c r="F317" s="71" t="s">
        <v>300</v>
      </c>
      <c r="G317" s="88">
        <v>46230.718599537002</v>
      </c>
      <c r="H317" s="89">
        <v>46230</v>
      </c>
      <c r="I317" s="71" t="s">
        <v>384</v>
      </c>
      <c r="J317" s="71">
        <v>0</v>
      </c>
      <c r="K317" s="71" t="s">
        <v>302</v>
      </c>
      <c r="L317" s="71">
        <f t="shared" si="36"/>
        <v>7</v>
      </c>
      <c r="M317" s="71" t="str">
        <f>IFERROR(INDEX(KALENDER!$D$3:$D$132,MATCH(H317,KALENDER!$A$3:$A$132,0)),"Di luar periode")</f>
        <v>Hari Kerja</v>
      </c>
      <c r="N317" s="71">
        <f t="shared" si="37"/>
        <v>0</v>
      </c>
      <c r="O317" s="71">
        <f t="shared" si="38"/>
        <v>1</v>
      </c>
      <c r="P317" s="71">
        <f t="shared" si="39"/>
        <v>0</v>
      </c>
      <c r="Q317" s="71">
        <f t="shared" si="40"/>
        <v>0</v>
      </c>
      <c r="R317" s="71">
        <f t="shared" si="41"/>
        <v>0</v>
      </c>
      <c r="S317" s="71">
        <f t="shared" si="42"/>
        <v>0</v>
      </c>
      <c r="T317" s="71">
        <f t="shared" si="43"/>
        <v>0</v>
      </c>
      <c r="U317" s="71">
        <f>IF(AND(N317=1,V317=1),IF(COUNTIFS(AKTIVITAS!$B$2:$B$3052,B317,AKTIVITAS!$E$2:$E$3052,H317)&gt;0,1,0),0)</f>
        <v>0</v>
      </c>
      <c r="V317" s="71">
        <f>IFERROR(IF(AND(H317&gt;=INDEX(PEMAGANG!$J$3:$J$36,MATCH(B317,PEMAGANG!$C$3:$C$36,0)),H317&lt;=INDEX(PEMAGANG!$K$3:$K$36,MATCH(B317,PEMAGANG!$C$3:$C$36,0))),1,0),0)</f>
        <v>1</v>
      </c>
      <c r="W317" s="71">
        <f t="shared" si="44"/>
        <v>0</v>
      </c>
    </row>
    <row r="318" spans="1:23" x14ac:dyDescent="0.2">
      <c r="A318" s="71" t="s">
        <v>183</v>
      </c>
      <c r="B318" s="71" t="s">
        <v>184</v>
      </c>
      <c r="C318" s="71" t="s">
        <v>187</v>
      </c>
      <c r="D318" s="71" t="s">
        <v>185</v>
      </c>
      <c r="E318" s="71" t="s">
        <v>47</v>
      </c>
      <c r="F318" s="71" t="s">
        <v>298</v>
      </c>
      <c r="G318" s="88">
        <v>46231.311261574097</v>
      </c>
      <c r="H318" s="89">
        <v>46231</v>
      </c>
      <c r="I318" s="71" t="s">
        <v>377</v>
      </c>
      <c r="J318" s="71">
        <v>-1.99999999999999</v>
      </c>
      <c r="K318" s="71" t="s">
        <v>302</v>
      </c>
      <c r="L318" s="71">
        <f t="shared" si="36"/>
        <v>7</v>
      </c>
      <c r="M318" s="71" t="str">
        <f>IFERROR(INDEX(KALENDER!$D$3:$D$132,MATCH(H318,KALENDER!$A$3:$A$132,0)),"Di luar periode")</f>
        <v>Hari Kerja</v>
      </c>
      <c r="N318" s="71">
        <f t="shared" si="37"/>
        <v>1</v>
      </c>
      <c r="O318" s="71">
        <f t="shared" si="38"/>
        <v>1</v>
      </c>
      <c r="P318" s="71">
        <f t="shared" si="39"/>
        <v>1</v>
      </c>
      <c r="Q318" s="71">
        <f t="shared" si="40"/>
        <v>0</v>
      </c>
      <c r="R318" s="71">
        <f t="shared" si="41"/>
        <v>0</v>
      </c>
      <c r="S318" s="71">
        <f t="shared" si="42"/>
        <v>0</v>
      </c>
      <c r="T318" s="71">
        <f t="shared" si="43"/>
        <v>0</v>
      </c>
      <c r="U318" s="71">
        <f>IF(AND(N318=1,V318=1),IF(COUNTIFS(AKTIVITAS!$B$2:$B$3052,B318,AKTIVITAS!$E$2:$E$3052,H318)&gt;0,1,0),0)</f>
        <v>1</v>
      </c>
      <c r="V318" s="71">
        <f>IFERROR(IF(AND(H318&gt;=INDEX(PEMAGANG!$J$3:$J$36,MATCH(B318,PEMAGANG!$C$3:$C$36,0)),H318&lt;=INDEX(PEMAGANG!$K$3:$K$36,MATCH(B318,PEMAGANG!$C$3:$C$36,0))),1,0),0)</f>
        <v>1</v>
      </c>
      <c r="W318" s="71">
        <f t="shared" si="44"/>
        <v>1</v>
      </c>
    </row>
    <row r="319" spans="1:23" x14ac:dyDescent="0.2">
      <c r="A319" s="71" t="s">
        <v>183</v>
      </c>
      <c r="B319" s="71" t="s">
        <v>184</v>
      </c>
      <c r="C319" s="71" t="s">
        <v>187</v>
      </c>
      <c r="D319" s="71" t="s">
        <v>185</v>
      </c>
      <c r="E319" s="71" t="s">
        <v>47</v>
      </c>
      <c r="F319" s="71" t="s">
        <v>300</v>
      </c>
      <c r="G319" s="88">
        <v>46231.723009259302</v>
      </c>
      <c r="H319" s="89">
        <v>46231</v>
      </c>
      <c r="I319" s="71" t="s">
        <v>322</v>
      </c>
      <c r="J319" s="71">
        <v>0</v>
      </c>
      <c r="K319" s="71" t="s">
        <v>302</v>
      </c>
      <c r="L319" s="71">
        <f t="shared" si="36"/>
        <v>7</v>
      </c>
      <c r="M319" s="71" t="str">
        <f>IFERROR(INDEX(KALENDER!$D$3:$D$132,MATCH(H319,KALENDER!$A$3:$A$132,0)),"Di luar periode")</f>
        <v>Hari Kerja</v>
      </c>
      <c r="N319" s="71">
        <f t="shared" si="37"/>
        <v>0</v>
      </c>
      <c r="O319" s="71">
        <f t="shared" si="38"/>
        <v>1</v>
      </c>
      <c r="P319" s="71">
        <f t="shared" si="39"/>
        <v>0</v>
      </c>
      <c r="Q319" s="71">
        <f t="shared" si="40"/>
        <v>0</v>
      </c>
      <c r="R319" s="71">
        <f t="shared" si="41"/>
        <v>0</v>
      </c>
      <c r="S319" s="71">
        <f t="shared" si="42"/>
        <v>0</v>
      </c>
      <c r="T319" s="71">
        <f t="shared" si="43"/>
        <v>0</v>
      </c>
      <c r="U319" s="71">
        <f>IF(AND(N319=1,V319=1),IF(COUNTIFS(AKTIVITAS!$B$2:$B$3052,B319,AKTIVITAS!$E$2:$E$3052,H319)&gt;0,1,0),0)</f>
        <v>0</v>
      </c>
      <c r="V319" s="71">
        <f>IFERROR(IF(AND(H319&gt;=INDEX(PEMAGANG!$J$3:$J$36,MATCH(B319,PEMAGANG!$C$3:$C$36,0)),H319&lt;=INDEX(PEMAGANG!$K$3:$K$36,MATCH(B319,PEMAGANG!$C$3:$C$36,0))),1,0),0)</f>
        <v>1</v>
      </c>
      <c r="W319" s="71">
        <f t="shared" si="44"/>
        <v>0</v>
      </c>
    </row>
    <row r="320" spans="1:23" x14ac:dyDescent="0.2">
      <c r="A320" s="71" t="s">
        <v>183</v>
      </c>
      <c r="B320" s="71" t="s">
        <v>184</v>
      </c>
      <c r="C320" s="71" t="s">
        <v>187</v>
      </c>
      <c r="D320" s="71" t="s">
        <v>185</v>
      </c>
      <c r="E320" s="71" t="s">
        <v>47</v>
      </c>
      <c r="F320" s="71" t="s">
        <v>298</v>
      </c>
      <c r="G320" s="88">
        <v>46233.316388888903</v>
      </c>
      <c r="H320" s="89">
        <v>46233</v>
      </c>
      <c r="I320" s="71" t="s">
        <v>339</v>
      </c>
      <c r="J320" s="71">
        <v>4.9999999999999796</v>
      </c>
      <c r="K320" s="71" t="s">
        <v>293</v>
      </c>
      <c r="L320" s="71">
        <f t="shared" si="36"/>
        <v>7</v>
      </c>
      <c r="M320" s="71" t="str">
        <f>IFERROR(INDEX(KALENDER!$D$3:$D$132,MATCH(H320,KALENDER!$A$3:$A$132,0)),"Di luar periode")</f>
        <v>Hari Kerja</v>
      </c>
      <c r="N320" s="71">
        <f t="shared" si="37"/>
        <v>1</v>
      </c>
      <c r="O320" s="71">
        <f t="shared" si="38"/>
        <v>1</v>
      </c>
      <c r="P320" s="71">
        <f t="shared" si="39"/>
        <v>1</v>
      </c>
      <c r="Q320" s="71">
        <f t="shared" si="40"/>
        <v>0</v>
      </c>
      <c r="R320" s="71">
        <f t="shared" si="41"/>
        <v>1</v>
      </c>
      <c r="S320" s="71">
        <f t="shared" si="42"/>
        <v>4.9999999999999796</v>
      </c>
      <c r="T320" s="71">
        <f t="shared" si="43"/>
        <v>0</v>
      </c>
      <c r="U320" s="71">
        <f>IF(AND(N320=1,V320=1),IF(COUNTIFS(AKTIVITAS!$B$2:$B$3052,B320,AKTIVITAS!$E$2:$E$3052,H320)&gt;0,1,0),0)</f>
        <v>1</v>
      </c>
      <c r="V320" s="71">
        <f>IFERROR(IF(AND(H320&gt;=INDEX(PEMAGANG!$J$3:$J$36,MATCH(B320,PEMAGANG!$C$3:$C$36,0)),H320&lt;=INDEX(PEMAGANG!$K$3:$K$36,MATCH(B320,PEMAGANG!$C$3:$C$36,0))),1,0),0)</f>
        <v>1</v>
      </c>
      <c r="W320" s="71">
        <f t="shared" si="44"/>
        <v>1</v>
      </c>
    </row>
    <row r="321" spans="1:23" x14ac:dyDescent="0.2">
      <c r="A321" s="71" t="s">
        <v>183</v>
      </c>
      <c r="B321" s="71" t="s">
        <v>184</v>
      </c>
      <c r="C321" s="71" t="s">
        <v>187</v>
      </c>
      <c r="D321" s="71" t="s">
        <v>185</v>
      </c>
      <c r="E321" s="71" t="s">
        <v>47</v>
      </c>
      <c r="F321" s="71" t="s">
        <v>300</v>
      </c>
      <c r="G321" s="88">
        <v>46233.723877314798</v>
      </c>
      <c r="H321" s="89">
        <v>46233</v>
      </c>
      <c r="I321" s="71" t="s">
        <v>385</v>
      </c>
      <c r="J321" s="71">
        <v>0</v>
      </c>
      <c r="K321" s="71" t="s">
        <v>302</v>
      </c>
      <c r="L321" s="71">
        <f t="shared" si="36"/>
        <v>7</v>
      </c>
      <c r="M321" s="71" t="str">
        <f>IFERROR(INDEX(KALENDER!$D$3:$D$132,MATCH(H321,KALENDER!$A$3:$A$132,0)),"Di luar periode")</f>
        <v>Hari Kerja</v>
      </c>
      <c r="N321" s="71">
        <f t="shared" si="37"/>
        <v>0</v>
      </c>
      <c r="O321" s="71">
        <f t="shared" si="38"/>
        <v>1</v>
      </c>
      <c r="P321" s="71">
        <f t="shared" si="39"/>
        <v>0</v>
      </c>
      <c r="Q321" s="71">
        <f t="shared" si="40"/>
        <v>0</v>
      </c>
      <c r="R321" s="71">
        <f t="shared" si="41"/>
        <v>0</v>
      </c>
      <c r="S321" s="71">
        <f t="shared" si="42"/>
        <v>0</v>
      </c>
      <c r="T321" s="71">
        <f t="shared" si="43"/>
        <v>0</v>
      </c>
      <c r="U321" s="71">
        <f>IF(AND(N321=1,V321=1),IF(COUNTIFS(AKTIVITAS!$B$2:$B$3052,B321,AKTIVITAS!$E$2:$E$3052,H321)&gt;0,1,0),0)</f>
        <v>0</v>
      </c>
      <c r="V321" s="71">
        <f>IFERROR(IF(AND(H321&gt;=INDEX(PEMAGANG!$J$3:$J$36,MATCH(B321,PEMAGANG!$C$3:$C$36,0)),H321&lt;=INDEX(PEMAGANG!$K$3:$K$36,MATCH(B321,PEMAGANG!$C$3:$C$36,0))),1,0),0)</f>
        <v>1</v>
      </c>
      <c r="W321" s="71">
        <f t="shared" si="44"/>
        <v>0</v>
      </c>
    </row>
    <row r="322" spans="1:23" x14ac:dyDescent="0.2">
      <c r="A322" s="71" t="s">
        <v>183</v>
      </c>
      <c r="B322" s="71" t="s">
        <v>184</v>
      </c>
      <c r="C322" s="71" t="s">
        <v>187</v>
      </c>
      <c r="D322" s="71" t="s">
        <v>185</v>
      </c>
      <c r="E322" s="71" t="s">
        <v>47</v>
      </c>
      <c r="F322" s="71" t="s">
        <v>298</v>
      </c>
      <c r="G322" s="88">
        <v>46234.317916666703</v>
      </c>
      <c r="H322" s="89">
        <v>46234</v>
      </c>
      <c r="I322" s="71" t="s">
        <v>386</v>
      </c>
      <c r="J322" s="71">
        <v>7.0000000000000604</v>
      </c>
      <c r="K322" s="71" t="s">
        <v>293</v>
      </c>
      <c r="L322" s="71">
        <f t="shared" ref="L322:L385" si="45">MONTH(H322)</f>
        <v>7</v>
      </c>
      <c r="M322" s="71" t="str">
        <f>IFERROR(INDEX(KALENDER!$D$3:$D$132,MATCH(H322,KALENDER!$A$3:$A$132,0)),"Di luar periode")</f>
        <v>Hari Kerja</v>
      </c>
      <c r="N322" s="71">
        <f t="shared" ref="N322:N385" si="46">IF(AND(B322=B321,H322=H321),0,1)</f>
        <v>1</v>
      </c>
      <c r="O322" s="71">
        <f t="shared" ref="O322:O385" si="47">IF(N322=1,0,O321)+IF(F322="MASUK",1,0)</f>
        <v>1</v>
      </c>
      <c r="P322" s="71">
        <f t="shared" ref="P322:P385" si="48">IF(AND(N322=1,M322="Hari Kerja",V322=1),1,0)</f>
        <v>1</v>
      </c>
      <c r="Q322" s="71">
        <f t="shared" ref="Q322:Q385" si="49">IF(AND(N322=1,OR(M322&lt;&gt;"Hari Kerja",V322=0)),1,0)</f>
        <v>0</v>
      </c>
      <c r="R322" s="71">
        <f t="shared" ref="R322:R385" si="50">IF(AND(F322="MASUK",O322=1,N(J322)&gt;0,V322=1),1,0)</f>
        <v>1</v>
      </c>
      <c r="S322" s="71">
        <f t="shared" ref="S322:S385" si="51">R322*N(J322)</f>
        <v>7.0000000000000604</v>
      </c>
      <c r="T322" s="71">
        <f t="shared" ref="T322:T385" si="52">IF(AND(N322=1,V322=1),IF(AND(COUNTIFS($B$2:$B$4094,B322,$H$2:$H$4094,H322,$F$2:$F$4094,"MASUK")&gt;0,COUNTIFS($B$2:$B$4094,B322,$H$2:$H$4094,H322,$F$2:$F$4094,"PULANG")=0),1,0),0)</f>
        <v>0</v>
      </c>
      <c r="U322" s="71">
        <f>IF(AND(N322=1,V322=1),IF(COUNTIFS(AKTIVITAS!$B$2:$B$3052,B322,AKTIVITAS!$E$2:$E$3052,H322)&gt;0,1,0),0)</f>
        <v>1</v>
      </c>
      <c r="V322" s="71">
        <f>IFERROR(IF(AND(H322&gt;=INDEX(PEMAGANG!$J$3:$J$36,MATCH(B322,PEMAGANG!$C$3:$C$36,0)),H322&lt;=INDEX(PEMAGANG!$K$3:$K$36,MATCH(B322,PEMAGANG!$C$3:$C$36,0))),1,0),0)</f>
        <v>1</v>
      </c>
      <c r="W322" s="71">
        <f t="shared" ref="W322:W385" si="53">N322*V322</f>
        <v>1</v>
      </c>
    </row>
    <row r="323" spans="1:23" x14ac:dyDescent="0.2">
      <c r="A323" s="71" t="s">
        <v>183</v>
      </c>
      <c r="B323" s="71" t="s">
        <v>184</v>
      </c>
      <c r="C323" s="71" t="s">
        <v>187</v>
      </c>
      <c r="D323" s="71" t="s">
        <v>185</v>
      </c>
      <c r="E323" s="71" t="s">
        <v>47</v>
      </c>
      <c r="F323" s="71" t="s">
        <v>300</v>
      </c>
      <c r="G323" s="88">
        <v>46234.7196527778</v>
      </c>
      <c r="H323" s="89">
        <v>46234</v>
      </c>
      <c r="I323" s="71" t="s">
        <v>387</v>
      </c>
      <c r="J323" s="71">
        <v>0</v>
      </c>
      <c r="K323" s="71" t="s">
        <v>302</v>
      </c>
      <c r="L323" s="71">
        <f t="shared" si="45"/>
        <v>7</v>
      </c>
      <c r="M323" s="71" t="str">
        <f>IFERROR(INDEX(KALENDER!$D$3:$D$132,MATCH(H323,KALENDER!$A$3:$A$132,0)),"Di luar periode")</f>
        <v>Hari Kerja</v>
      </c>
      <c r="N323" s="71">
        <f t="shared" si="46"/>
        <v>0</v>
      </c>
      <c r="O323" s="71">
        <f t="shared" si="47"/>
        <v>1</v>
      </c>
      <c r="P323" s="71">
        <f t="shared" si="48"/>
        <v>0</v>
      </c>
      <c r="Q323" s="71">
        <f t="shared" si="49"/>
        <v>0</v>
      </c>
      <c r="R323" s="71">
        <f t="shared" si="50"/>
        <v>0</v>
      </c>
      <c r="S323" s="71">
        <f t="shared" si="51"/>
        <v>0</v>
      </c>
      <c r="T323" s="71">
        <f t="shared" si="52"/>
        <v>0</v>
      </c>
      <c r="U323" s="71">
        <f>IF(AND(N323=1,V323=1),IF(COUNTIFS(AKTIVITAS!$B$2:$B$3052,B323,AKTIVITAS!$E$2:$E$3052,H323)&gt;0,1,0),0)</f>
        <v>0</v>
      </c>
      <c r="V323" s="71">
        <f>IFERROR(IF(AND(H323&gt;=INDEX(PEMAGANG!$J$3:$J$36,MATCH(B323,PEMAGANG!$C$3:$C$36,0)),H323&lt;=INDEX(PEMAGANG!$K$3:$K$36,MATCH(B323,PEMAGANG!$C$3:$C$36,0))),1,0),0)</f>
        <v>1</v>
      </c>
      <c r="W323" s="71">
        <f t="shared" si="53"/>
        <v>0</v>
      </c>
    </row>
    <row r="324" spans="1:23" x14ac:dyDescent="0.2">
      <c r="A324" s="71" t="s">
        <v>183</v>
      </c>
      <c r="B324" s="71" t="s">
        <v>184</v>
      </c>
      <c r="C324" s="71" t="s">
        <v>187</v>
      </c>
      <c r="D324" s="71" t="s">
        <v>185</v>
      </c>
      <c r="E324" s="71" t="s">
        <v>47</v>
      </c>
      <c r="F324" s="71" t="s">
        <v>298</v>
      </c>
      <c r="G324" s="88">
        <v>46237.320416666698</v>
      </c>
      <c r="H324" s="89">
        <v>46237</v>
      </c>
      <c r="I324" s="71" t="s">
        <v>367</v>
      </c>
      <c r="J324" s="71">
        <v>11</v>
      </c>
      <c r="K324" s="71" t="s">
        <v>293</v>
      </c>
      <c r="L324" s="71">
        <f t="shared" si="45"/>
        <v>8</v>
      </c>
      <c r="M324" s="71" t="str">
        <f>IFERROR(INDEX(KALENDER!$D$3:$D$132,MATCH(H324,KALENDER!$A$3:$A$132,0)),"Di luar periode")</f>
        <v>Hari Kerja</v>
      </c>
      <c r="N324" s="71">
        <f t="shared" si="46"/>
        <v>1</v>
      </c>
      <c r="O324" s="71">
        <f t="shared" si="47"/>
        <v>1</v>
      </c>
      <c r="P324" s="71">
        <f t="shared" si="48"/>
        <v>1</v>
      </c>
      <c r="Q324" s="71">
        <f t="shared" si="49"/>
        <v>0</v>
      </c>
      <c r="R324" s="71">
        <f t="shared" si="50"/>
        <v>1</v>
      </c>
      <c r="S324" s="71">
        <f t="shared" si="51"/>
        <v>11</v>
      </c>
      <c r="T324" s="71">
        <f t="shared" si="52"/>
        <v>0</v>
      </c>
      <c r="U324" s="71">
        <f>IF(AND(N324=1,V324=1),IF(COUNTIFS(AKTIVITAS!$B$2:$B$3052,B324,AKTIVITAS!$E$2:$E$3052,H324)&gt;0,1,0),0)</f>
        <v>1</v>
      </c>
      <c r="V324" s="71">
        <f>IFERROR(IF(AND(H324&gt;=INDEX(PEMAGANG!$J$3:$J$36,MATCH(B324,PEMAGANG!$C$3:$C$36,0)),H324&lt;=INDEX(PEMAGANG!$K$3:$K$36,MATCH(B324,PEMAGANG!$C$3:$C$36,0))),1,0),0)</f>
        <v>1</v>
      </c>
      <c r="W324" s="71">
        <f t="shared" si="53"/>
        <v>1</v>
      </c>
    </row>
    <row r="325" spans="1:23" x14ac:dyDescent="0.2">
      <c r="A325" s="71" t="s">
        <v>183</v>
      </c>
      <c r="B325" s="71" t="s">
        <v>184</v>
      </c>
      <c r="C325" s="71" t="s">
        <v>187</v>
      </c>
      <c r="D325" s="71" t="s">
        <v>185</v>
      </c>
      <c r="E325" s="71" t="s">
        <v>47</v>
      </c>
      <c r="F325" s="71" t="s">
        <v>300</v>
      </c>
      <c r="G325" s="88">
        <v>46237.815486111103</v>
      </c>
      <c r="H325" s="89">
        <v>46237</v>
      </c>
      <c r="I325" s="71" t="s">
        <v>388</v>
      </c>
      <c r="J325" s="71">
        <v>0</v>
      </c>
      <c r="K325" s="71" t="s">
        <v>302</v>
      </c>
      <c r="L325" s="71">
        <f t="shared" si="45"/>
        <v>8</v>
      </c>
      <c r="M325" s="71" t="str">
        <f>IFERROR(INDEX(KALENDER!$D$3:$D$132,MATCH(H325,KALENDER!$A$3:$A$132,0)),"Di luar periode")</f>
        <v>Hari Kerja</v>
      </c>
      <c r="N325" s="71">
        <f t="shared" si="46"/>
        <v>0</v>
      </c>
      <c r="O325" s="71">
        <f t="shared" si="47"/>
        <v>1</v>
      </c>
      <c r="P325" s="71">
        <f t="shared" si="48"/>
        <v>0</v>
      </c>
      <c r="Q325" s="71">
        <f t="shared" si="49"/>
        <v>0</v>
      </c>
      <c r="R325" s="71">
        <f t="shared" si="50"/>
        <v>0</v>
      </c>
      <c r="S325" s="71">
        <f t="shared" si="51"/>
        <v>0</v>
      </c>
      <c r="T325" s="71">
        <f t="shared" si="52"/>
        <v>0</v>
      </c>
      <c r="U325" s="71">
        <f>IF(AND(N325=1,V325=1),IF(COUNTIFS(AKTIVITAS!$B$2:$B$3052,B325,AKTIVITAS!$E$2:$E$3052,H325)&gt;0,1,0),0)</f>
        <v>0</v>
      </c>
      <c r="V325" s="71">
        <f>IFERROR(IF(AND(H325&gt;=INDEX(PEMAGANG!$J$3:$J$36,MATCH(B325,PEMAGANG!$C$3:$C$36,0)),H325&lt;=INDEX(PEMAGANG!$K$3:$K$36,MATCH(B325,PEMAGANG!$C$3:$C$36,0))),1,0),0)</f>
        <v>1</v>
      </c>
      <c r="W325" s="71">
        <f t="shared" si="53"/>
        <v>0</v>
      </c>
    </row>
    <row r="326" spans="1:23" x14ac:dyDescent="0.2">
      <c r="A326" s="71" t="s">
        <v>183</v>
      </c>
      <c r="B326" s="71" t="s">
        <v>184</v>
      </c>
      <c r="C326" s="71" t="s">
        <v>187</v>
      </c>
      <c r="D326" s="71" t="s">
        <v>185</v>
      </c>
      <c r="E326" s="71" t="s">
        <v>47</v>
      </c>
      <c r="F326" s="71" t="s">
        <v>298</v>
      </c>
      <c r="G326" s="88">
        <v>46238.309050925898</v>
      </c>
      <c r="H326" s="89">
        <v>46238</v>
      </c>
      <c r="I326" s="71" t="s">
        <v>307</v>
      </c>
      <c r="J326" s="71">
        <v>-4.9999999999999796</v>
      </c>
      <c r="K326" s="71" t="s">
        <v>302</v>
      </c>
      <c r="L326" s="71">
        <f t="shared" si="45"/>
        <v>8</v>
      </c>
      <c r="M326" s="71" t="str">
        <f>IFERROR(INDEX(KALENDER!$D$3:$D$132,MATCH(H326,KALENDER!$A$3:$A$132,0)),"Di luar periode")</f>
        <v>Hari Kerja</v>
      </c>
      <c r="N326" s="71">
        <f t="shared" si="46"/>
        <v>1</v>
      </c>
      <c r="O326" s="71">
        <f t="shared" si="47"/>
        <v>1</v>
      </c>
      <c r="P326" s="71">
        <f t="shared" si="48"/>
        <v>1</v>
      </c>
      <c r="Q326" s="71">
        <f t="shared" si="49"/>
        <v>0</v>
      </c>
      <c r="R326" s="71">
        <f t="shared" si="50"/>
        <v>0</v>
      </c>
      <c r="S326" s="71">
        <f t="shared" si="51"/>
        <v>0</v>
      </c>
      <c r="T326" s="71">
        <f t="shared" si="52"/>
        <v>0</v>
      </c>
      <c r="U326" s="71">
        <f>IF(AND(N326=1,V326=1),IF(COUNTIFS(AKTIVITAS!$B$2:$B$3052,B326,AKTIVITAS!$E$2:$E$3052,H326)&gt;0,1,0),0)</f>
        <v>1</v>
      </c>
      <c r="V326" s="71">
        <f>IFERROR(IF(AND(H326&gt;=INDEX(PEMAGANG!$J$3:$J$36,MATCH(B326,PEMAGANG!$C$3:$C$36,0)),H326&lt;=INDEX(PEMAGANG!$K$3:$K$36,MATCH(B326,PEMAGANG!$C$3:$C$36,0))),1,0),0)</f>
        <v>1</v>
      </c>
      <c r="W326" s="71">
        <f t="shared" si="53"/>
        <v>1</v>
      </c>
    </row>
    <row r="327" spans="1:23" x14ac:dyDescent="0.2">
      <c r="A327" s="71" t="s">
        <v>183</v>
      </c>
      <c r="B327" s="71" t="s">
        <v>184</v>
      </c>
      <c r="C327" s="71" t="s">
        <v>187</v>
      </c>
      <c r="D327" s="71" t="s">
        <v>185</v>
      </c>
      <c r="E327" s="71" t="s">
        <v>47</v>
      </c>
      <c r="F327" s="71" t="s">
        <v>300</v>
      </c>
      <c r="G327" s="88">
        <v>46238.717951388899</v>
      </c>
      <c r="H327" s="89">
        <v>46238</v>
      </c>
      <c r="I327" s="71" t="s">
        <v>369</v>
      </c>
      <c r="J327" s="71">
        <v>0</v>
      </c>
      <c r="K327" s="71" t="s">
        <v>302</v>
      </c>
      <c r="L327" s="71">
        <f t="shared" si="45"/>
        <v>8</v>
      </c>
      <c r="M327" s="71" t="str">
        <f>IFERROR(INDEX(KALENDER!$D$3:$D$132,MATCH(H327,KALENDER!$A$3:$A$132,0)),"Di luar periode")</f>
        <v>Hari Kerja</v>
      </c>
      <c r="N327" s="71">
        <f t="shared" si="46"/>
        <v>0</v>
      </c>
      <c r="O327" s="71">
        <f t="shared" si="47"/>
        <v>1</v>
      </c>
      <c r="P327" s="71">
        <f t="shared" si="48"/>
        <v>0</v>
      </c>
      <c r="Q327" s="71">
        <f t="shared" si="49"/>
        <v>0</v>
      </c>
      <c r="R327" s="71">
        <f t="shared" si="50"/>
        <v>0</v>
      </c>
      <c r="S327" s="71">
        <f t="shared" si="51"/>
        <v>0</v>
      </c>
      <c r="T327" s="71">
        <f t="shared" si="52"/>
        <v>0</v>
      </c>
      <c r="U327" s="71">
        <f>IF(AND(N327=1,V327=1),IF(COUNTIFS(AKTIVITAS!$B$2:$B$3052,B327,AKTIVITAS!$E$2:$E$3052,H327)&gt;0,1,0),0)</f>
        <v>0</v>
      </c>
      <c r="V327" s="71">
        <f>IFERROR(IF(AND(H327&gt;=INDEX(PEMAGANG!$J$3:$J$36,MATCH(B327,PEMAGANG!$C$3:$C$36,0)),H327&lt;=INDEX(PEMAGANG!$K$3:$K$36,MATCH(B327,PEMAGANG!$C$3:$C$36,0))),1,0),0)</f>
        <v>1</v>
      </c>
      <c r="W327" s="71">
        <f t="shared" si="53"/>
        <v>0</v>
      </c>
    </row>
    <row r="328" spans="1:23" x14ac:dyDescent="0.2">
      <c r="A328" s="71" t="s">
        <v>183</v>
      </c>
      <c r="B328" s="71" t="s">
        <v>184</v>
      </c>
      <c r="C328" s="71" t="s">
        <v>187</v>
      </c>
      <c r="D328" s="71" t="s">
        <v>185</v>
      </c>
      <c r="E328" s="71" t="s">
        <v>47</v>
      </c>
      <c r="F328" s="71" t="s">
        <v>300</v>
      </c>
      <c r="G328" s="88">
        <v>46239.739699074104</v>
      </c>
      <c r="H328" s="89">
        <v>46239</v>
      </c>
      <c r="I328" s="71" t="s">
        <v>375</v>
      </c>
      <c r="J328" s="71">
        <v>0</v>
      </c>
      <c r="K328" s="71" t="s">
        <v>302</v>
      </c>
      <c r="L328" s="71">
        <f t="shared" si="45"/>
        <v>8</v>
      </c>
      <c r="M328" s="71" t="str">
        <f>IFERROR(INDEX(KALENDER!$D$3:$D$132,MATCH(H328,KALENDER!$A$3:$A$132,0)),"Di luar periode")</f>
        <v>Hari Kerja</v>
      </c>
      <c r="N328" s="71">
        <f t="shared" si="46"/>
        <v>1</v>
      </c>
      <c r="O328" s="71">
        <f t="shared" si="47"/>
        <v>0</v>
      </c>
      <c r="P328" s="71">
        <f t="shared" si="48"/>
        <v>1</v>
      </c>
      <c r="Q328" s="71">
        <f t="shared" si="49"/>
        <v>0</v>
      </c>
      <c r="R328" s="71">
        <f t="shared" si="50"/>
        <v>0</v>
      </c>
      <c r="S328" s="71">
        <f t="shared" si="51"/>
        <v>0</v>
      </c>
      <c r="T328" s="71">
        <f t="shared" si="52"/>
        <v>0</v>
      </c>
      <c r="U328" s="71">
        <f>IF(AND(N328=1,V328=1),IF(COUNTIFS(AKTIVITAS!$B$2:$B$3052,B328,AKTIVITAS!$E$2:$E$3052,H328)&gt;0,1,0),0)</f>
        <v>1</v>
      </c>
      <c r="V328" s="71">
        <f>IFERROR(IF(AND(H328&gt;=INDEX(PEMAGANG!$J$3:$J$36,MATCH(B328,PEMAGANG!$C$3:$C$36,0)),H328&lt;=INDEX(PEMAGANG!$K$3:$K$36,MATCH(B328,PEMAGANG!$C$3:$C$36,0))),1,0),0)</f>
        <v>1</v>
      </c>
      <c r="W328" s="71">
        <f t="shared" si="53"/>
        <v>1</v>
      </c>
    </row>
    <row r="329" spans="1:23" x14ac:dyDescent="0.2">
      <c r="A329" s="71" t="s">
        <v>183</v>
      </c>
      <c r="B329" s="71" t="s">
        <v>184</v>
      </c>
      <c r="C329" s="71" t="s">
        <v>187</v>
      </c>
      <c r="D329" s="71" t="s">
        <v>185</v>
      </c>
      <c r="E329" s="71" t="s">
        <v>47</v>
      </c>
      <c r="F329" s="71" t="s">
        <v>298</v>
      </c>
      <c r="G329" s="88">
        <v>46240.314953703702</v>
      </c>
      <c r="H329" s="89">
        <v>46240</v>
      </c>
      <c r="I329" s="71" t="s">
        <v>383</v>
      </c>
      <c r="J329" s="71">
        <v>2.9999999999999898</v>
      </c>
      <c r="K329" s="71" t="s">
        <v>293</v>
      </c>
      <c r="L329" s="71">
        <f t="shared" si="45"/>
        <v>8</v>
      </c>
      <c r="M329" s="71" t="str">
        <f>IFERROR(INDEX(KALENDER!$D$3:$D$132,MATCH(H329,KALENDER!$A$3:$A$132,0)),"Di luar periode")</f>
        <v>Hari Kerja</v>
      </c>
      <c r="N329" s="71">
        <f t="shared" si="46"/>
        <v>1</v>
      </c>
      <c r="O329" s="71">
        <f t="shared" si="47"/>
        <v>1</v>
      </c>
      <c r="P329" s="71">
        <f t="shared" si="48"/>
        <v>1</v>
      </c>
      <c r="Q329" s="71">
        <f t="shared" si="49"/>
        <v>0</v>
      </c>
      <c r="R329" s="71">
        <f t="shared" si="50"/>
        <v>1</v>
      </c>
      <c r="S329" s="71">
        <f t="shared" si="51"/>
        <v>2.9999999999999898</v>
      </c>
      <c r="T329" s="71">
        <f t="shared" si="52"/>
        <v>0</v>
      </c>
      <c r="U329" s="71">
        <f>IF(AND(N329=1,V329=1),IF(COUNTIFS(AKTIVITAS!$B$2:$B$3052,B329,AKTIVITAS!$E$2:$E$3052,H329)&gt;0,1,0),0)</f>
        <v>1</v>
      </c>
      <c r="V329" s="71">
        <f>IFERROR(IF(AND(H329&gt;=INDEX(PEMAGANG!$J$3:$J$36,MATCH(B329,PEMAGANG!$C$3:$C$36,0)),H329&lt;=INDEX(PEMAGANG!$K$3:$K$36,MATCH(B329,PEMAGANG!$C$3:$C$36,0))),1,0),0)</f>
        <v>1</v>
      </c>
      <c r="W329" s="71">
        <f t="shared" si="53"/>
        <v>1</v>
      </c>
    </row>
    <row r="330" spans="1:23" x14ac:dyDescent="0.2">
      <c r="A330" s="71" t="s">
        <v>183</v>
      </c>
      <c r="B330" s="71" t="s">
        <v>184</v>
      </c>
      <c r="C330" s="71" t="s">
        <v>187</v>
      </c>
      <c r="D330" s="71" t="s">
        <v>185</v>
      </c>
      <c r="E330" s="71" t="s">
        <v>47</v>
      </c>
      <c r="F330" s="71" t="s">
        <v>300</v>
      </c>
      <c r="G330" s="88">
        <v>46240.7277314815</v>
      </c>
      <c r="H330" s="89">
        <v>46240</v>
      </c>
      <c r="I330" s="71" t="s">
        <v>389</v>
      </c>
      <c r="J330" s="71">
        <v>0</v>
      </c>
      <c r="K330" s="71" t="s">
        <v>302</v>
      </c>
      <c r="L330" s="71">
        <f t="shared" si="45"/>
        <v>8</v>
      </c>
      <c r="M330" s="71" t="str">
        <f>IFERROR(INDEX(KALENDER!$D$3:$D$132,MATCH(H330,KALENDER!$A$3:$A$132,0)),"Di luar periode")</f>
        <v>Hari Kerja</v>
      </c>
      <c r="N330" s="71">
        <f t="shared" si="46"/>
        <v>0</v>
      </c>
      <c r="O330" s="71">
        <f t="shared" si="47"/>
        <v>1</v>
      </c>
      <c r="P330" s="71">
        <f t="shared" si="48"/>
        <v>0</v>
      </c>
      <c r="Q330" s="71">
        <f t="shared" si="49"/>
        <v>0</v>
      </c>
      <c r="R330" s="71">
        <f t="shared" si="50"/>
        <v>0</v>
      </c>
      <c r="S330" s="71">
        <f t="shared" si="51"/>
        <v>0</v>
      </c>
      <c r="T330" s="71">
        <f t="shared" si="52"/>
        <v>0</v>
      </c>
      <c r="U330" s="71">
        <f>IF(AND(N330=1,V330=1),IF(COUNTIFS(AKTIVITAS!$B$2:$B$3052,B330,AKTIVITAS!$E$2:$E$3052,H330)&gt;0,1,0),0)</f>
        <v>0</v>
      </c>
      <c r="V330" s="71">
        <f>IFERROR(IF(AND(H330&gt;=INDEX(PEMAGANG!$J$3:$J$36,MATCH(B330,PEMAGANG!$C$3:$C$36,0)),H330&lt;=INDEX(PEMAGANG!$K$3:$K$36,MATCH(B330,PEMAGANG!$C$3:$C$36,0))),1,0),0)</f>
        <v>1</v>
      </c>
      <c r="W330" s="71">
        <f t="shared" si="53"/>
        <v>0</v>
      </c>
    </row>
    <row r="331" spans="1:23" x14ac:dyDescent="0.2">
      <c r="A331" s="71" t="s">
        <v>183</v>
      </c>
      <c r="B331" s="71" t="s">
        <v>184</v>
      </c>
      <c r="C331" s="71" t="s">
        <v>187</v>
      </c>
      <c r="D331" s="71" t="s">
        <v>185</v>
      </c>
      <c r="E331" s="71" t="s">
        <v>47</v>
      </c>
      <c r="F331" s="71" t="s">
        <v>298</v>
      </c>
      <c r="G331" s="88">
        <v>46241.316782407397</v>
      </c>
      <c r="H331" s="89">
        <v>46241</v>
      </c>
      <c r="I331" s="71" t="s">
        <v>376</v>
      </c>
      <c r="J331" s="71">
        <v>5.9999999999999796</v>
      </c>
      <c r="K331" s="71" t="s">
        <v>293</v>
      </c>
      <c r="L331" s="71">
        <f t="shared" si="45"/>
        <v>8</v>
      </c>
      <c r="M331" s="71" t="str">
        <f>IFERROR(INDEX(KALENDER!$D$3:$D$132,MATCH(H331,KALENDER!$A$3:$A$132,0)),"Di luar periode")</f>
        <v>Hari Kerja</v>
      </c>
      <c r="N331" s="71">
        <f t="shared" si="46"/>
        <v>1</v>
      </c>
      <c r="O331" s="71">
        <f t="shared" si="47"/>
        <v>1</v>
      </c>
      <c r="P331" s="71">
        <f t="shared" si="48"/>
        <v>1</v>
      </c>
      <c r="Q331" s="71">
        <f t="shared" si="49"/>
        <v>0</v>
      </c>
      <c r="R331" s="71">
        <f t="shared" si="50"/>
        <v>1</v>
      </c>
      <c r="S331" s="71">
        <f t="shared" si="51"/>
        <v>5.9999999999999796</v>
      </c>
      <c r="T331" s="71">
        <f t="shared" si="52"/>
        <v>0</v>
      </c>
      <c r="U331" s="71">
        <f>IF(AND(N331=1,V331=1),IF(COUNTIFS(AKTIVITAS!$B$2:$B$3052,B331,AKTIVITAS!$E$2:$E$3052,H331)&gt;0,1,0),0)</f>
        <v>1</v>
      </c>
      <c r="V331" s="71">
        <f>IFERROR(IF(AND(H331&gt;=INDEX(PEMAGANG!$J$3:$J$36,MATCH(B331,PEMAGANG!$C$3:$C$36,0)),H331&lt;=INDEX(PEMAGANG!$K$3:$K$36,MATCH(B331,PEMAGANG!$C$3:$C$36,0))),1,0),0)</f>
        <v>1</v>
      </c>
      <c r="W331" s="71">
        <f t="shared" si="53"/>
        <v>1</v>
      </c>
    </row>
    <row r="332" spans="1:23" x14ac:dyDescent="0.2">
      <c r="A332" s="71" t="s">
        <v>183</v>
      </c>
      <c r="B332" s="71" t="s">
        <v>184</v>
      </c>
      <c r="C332" s="71" t="s">
        <v>187</v>
      </c>
      <c r="D332" s="71" t="s">
        <v>185</v>
      </c>
      <c r="E332" s="71" t="s">
        <v>47</v>
      </c>
      <c r="F332" s="71" t="s">
        <v>300</v>
      </c>
      <c r="G332" s="88">
        <v>46241.7481134259</v>
      </c>
      <c r="H332" s="89">
        <v>46241</v>
      </c>
      <c r="I332" s="71" t="s">
        <v>390</v>
      </c>
      <c r="J332" s="71">
        <v>0</v>
      </c>
      <c r="K332" s="71" t="s">
        <v>302</v>
      </c>
      <c r="L332" s="71">
        <f t="shared" si="45"/>
        <v>8</v>
      </c>
      <c r="M332" s="71" t="str">
        <f>IFERROR(INDEX(KALENDER!$D$3:$D$132,MATCH(H332,KALENDER!$A$3:$A$132,0)),"Di luar periode")</f>
        <v>Hari Kerja</v>
      </c>
      <c r="N332" s="71">
        <f t="shared" si="46"/>
        <v>0</v>
      </c>
      <c r="O332" s="71">
        <f t="shared" si="47"/>
        <v>1</v>
      </c>
      <c r="P332" s="71">
        <f t="shared" si="48"/>
        <v>0</v>
      </c>
      <c r="Q332" s="71">
        <f t="shared" si="49"/>
        <v>0</v>
      </c>
      <c r="R332" s="71">
        <f t="shared" si="50"/>
        <v>0</v>
      </c>
      <c r="S332" s="71">
        <f t="shared" si="51"/>
        <v>0</v>
      </c>
      <c r="T332" s="71">
        <f t="shared" si="52"/>
        <v>0</v>
      </c>
      <c r="U332" s="71">
        <f>IF(AND(N332=1,V332=1),IF(COUNTIFS(AKTIVITAS!$B$2:$B$3052,B332,AKTIVITAS!$E$2:$E$3052,H332)&gt;0,1,0),0)</f>
        <v>0</v>
      </c>
      <c r="V332" s="71">
        <f>IFERROR(IF(AND(H332&gt;=INDEX(PEMAGANG!$J$3:$J$36,MATCH(B332,PEMAGANG!$C$3:$C$36,0)),H332&lt;=INDEX(PEMAGANG!$K$3:$K$36,MATCH(B332,PEMAGANG!$C$3:$C$36,0))),1,0),0)</f>
        <v>1</v>
      </c>
      <c r="W332" s="71">
        <f t="shared" si="53"/>
        <v>0</v>
      </c>
    </row>
    <row r="333" spans="1:23" x14ac:dyDescent="0.2">
      <c r="A333" s="71" t="s">
        <v>183</v>
      </c>
      <c r="B333" s="71" t="s">
        <v>184</v>
      </c>
      <c r="C333" s="71" t="s">
        <v>187</v>
      </c>
      <c r="D333" s="71" t="s">
        <v>185</v>
      </c>
      <c r="E333" s="71" t="s">
        <v>47</v>
      </c>
      <c r="F333" s="71" t="s">
        <v>298</v>
      </c>
      <c r="G333" s="88">
        <v>46244.3069328704</v>
      </c>
      <c r="H333" s="89">
        <v>46244</v>
      </c>
      <c r="I333" s="71" t="s">
        <v>305</v>
      </c>
      <c r="J333" s="71">
        <v>-9.0000000000000497</v>
      </c>
      <c r="K333" s="71" t="s">
        <v>302</v>
      </c>
      <c r="L333" s="71">
        <f t="shared" si="45"/>
        <v>8</v>
      </c>
      <c r="M333" s="71" t="str">
        <f>IFERROR(INDEX(KALENDER!$D$3:$D$132,MATCH(H333,KALENDER!$A$3:$A$132,0)),"Di luar periode")</f>
        <v>Hari Kerja</v>
      </c>
      <c r="N333" s="71">
        <f t="shared" si="46"/>
        <v>1</v>
      </c>
      <c r="O333" s="71">
        <f t="shared" si="47"/>
        <v>1</v>
      </c>
      <c r="P333" s="71">
        <f t="shared" si="48"/>
        <v>1</v>
      </c>
      <c r="Q333" s="71">
        <f t="shared" si="49"/>
        <v>0</v>
      </c>
      <c r="R333" s="71">
        <f t="shared" si="50"/>
        <v>0</v>
      </c>
      <c r="S333" s="71">
        <f t="shared" si="51"/>
        <v>0</v>
      </c>
      <c r="T333" s="71">
        <f t="shared" si="52"/>
        <v>0</v>
      </c>
      <c r="U333" s="71">
        <f>IF(AND(N333=1,V333=1),IF(COUNTIFS(AKTIVITAS!$B$2:$B$3052,B333,AKTIVITAS!$E$2:$E$3052,H333)&gt;0,1,0),0)</f>
        <v>0</v>
      </c>
      <c r="V333" s="71">
        <f>IFERROR(IF(AND(H333&gt;=INDEX(PEMAGANG!$J$3:$J$36,MATCH(B333,PEMAGANG!$C$3:$C$36,0)),H333&lt;=INDEX(PEMAGANG!$K$3:$K$36,MATCH(B333,PEMAGANG!$C$3:$C$36,0))),1,0),0)</f>
        <v>1</v>
      </c>
      <c r="W333" s="71">
        <f t="shared" si="53"/>
        <v>1</v>
      </c>
    </row>
    <row r="334" spans="1:23" x14ac:dyDescent="0.2">
      <c r="A334" s="71" t="s">
        <v>183</v>
      </c>
      <c r="B334" s="71" t="s">
        <v>184</v>
      </c>
      <c r="C334" s="71" t="s">
        <v>187</v>
      </c>
      <c r="D334" s="71" t="s">
        <v>185</v>
      </c>
      <c r="E334" s="71" t="s">
        <v>47</v>
      </c>
      <c r="F334" s="71" t="s">
        <v>300</v>
      </c>
      <c r="G334" s="88">
        <v>46244.727997685201</v>
      </c>
      <c r="H334" s="89">
        <v>46244</v>
      </c>
      <c r="I334" s="71" t="s">
        <v>391</v>
      </c>
      <c r="J334" s="71">
        <v>0</v>
      </c>
      <c r="K334" s="71" t="s">
        <v>302</v>
      </c>
      <c r="L334" s="71">
        <f t="shared" si="45"/>
        <v>8</v>
      </c>
      <c r="M334" s="71" t="str">
        <f>IFERROR(INDEX(KALENDER!$D$3:$D$132,MATCH(H334,KALENDER!$A$3:$A$132,0)),"Di luar periode")</f>
        <v>Hari Kerja</v>
      </c>
      <c r="N334" s="71">
        <f t="shared" si="46"/>
        <v>0</v>
      </c>
      <c r="O334" s="71">
        <f t="shared" si="47"/>
        <v>1</v>
      </c>
      <c r="P334" s="71">
        <f t="shared" si="48"/>
        <v>0</v>
      </c>
      <c r="Q334" s="71">
        <f t="shared" si="49"/>
        <v>0</v>
      </c>
      <c r="R334" s="71">
        <f t="shared" si="50"/>
        <v>0</v>
      </c>
      <c r="S334" s="71">
        <f t="shared" si="51"/>
        <v>0</v>
      </c>
      <c r="T334" s="71">
        <f t="shared" si="52"/>
        <v>0</v>
      </c>
      <c r="U334" s="71">
        <f>IF(AND(N334=1,V334=1),IF(COUNTIFS(AKTIVITAS!$B$2:$B$3052,B334,AKTIVITAS!$E$2:$E$3052,H334)&gt;0,1,0),0)</f>
        <v>0</v>
      </c>
      <c r="V334" s="71">
        <f>IFERROR(IF(AND(H334&gt;=INDEX(PEMAGANG!$J$3:$J$36,MATCH(B334,PEMAGANG!$C$3:$C$36,0)),H334&lt;=INDEX(PEMAGANG!$K$3:$K$36,MATCH(B334,PEMAGANG!$C$3:$C$36,0))),1,0),0)</f>
        <v>1</v>
      </c>
      <c r="W334" s="71">
        <f t="shared" si="53"/>
        <v>0</v>
      </c>
    </row>
    <row r="335" spans="1:23" x14ac:dyDescent="0.2">
      <c r="A335" s="71" t="s">
        <v>183</v>
      </c>
      <c r="B335" s="71" t="s">
        <v>184</v>
      </c>
      <c r="C335" s="71" t="s">
        <v>187</v>
      </c>
      <c r="D335" s="71" t="s">
        <v>185</v>
      </c>
      <c r="E335" s="71" t="s">
        <v>47</v>
      </c>
      <c r="F335" s="71" t="s">
        <v>298</v>
      </c>
      <c r="G335" s="88">
        <v>46245.304247685199</v>
      </c>
      <c r="H335" s="89">
        <v>46245</v>
      </c>
      <c r="I335" s="71" t="s">
        <v>326</v>
      </c>
      <c r="J335" s="71">
        <v>-12</v>
      </c>
      <c r="K335" s="71" t="s">
        <v>302</v>
      </c>
      <c r="L335" s="71">
        <f t="shared" si="45"/>
        <v>8</v>
      </c>
      <c r="M335" s="71" t="str">
        <f>IFERROR(INDEX(KALENDER!$D$3:$D$132,MATCH(H335,KALENDER!$A$3:$A$132,0)),"Di luar periode")</f>
        <v>Hari Kerja</v>
      </c>
      <c r="N335" s="71">
        <f t="shared" si="46"/>
        <v>1</v>
      </c>
      <c r="O335" s="71">
        <f t="shared" si="47"/>
        <v>1</v>
      </c>
      <c r="P335" s="71">
        <f t="shared" si="48"/>
        <v>1</v>
      </c>
      <c r="Q335" s="71">
        <f t="shared" si="49"/>
        <v>0</v>
      </c>
      <c r="R335" s="71">
        <f t="shared" si="50"/>
        <v>0</v>
      </c>
      <c r="S335" s="71">
        <f t="shared" si="51"/>
        <v>0</v>
      </c>
      <c r="T335" s="71">
        <f t="shared" si="52"/>
        <v>0</v>
      </c>
      <c r="U335" s="71">
        <f>IF(AND(N335=1,V335=1),IF(COUNTIFS(AKTIVITAS!$B$2:$B$3052,B335,AKTIVITAS!$E$2:$E$3052,H335)&gt;0,1,0),0)</f>
        <v>1</v>
      </c>
      <c r="V335" s="71">
        <f>IFERROR(IF(AND(H335&gt;=INDEX(PEMAGANG!$J$3:$J$36,MATCH(B335,PEMAGANG!$C$3:$C$36,0)),H335&lt;=INDEX(PEMAGANG!$K$3:$K$36,MATCH(B335,PEMAGANG!$C$3:$C$36,0))),1,0),0)</f>
        <v>1</v>
      </c>
      <c r="W335" s="71">
        <f t="shared" si="53"/>
        <v>1</v>
      </c>
    </row>
    <row r="336" spans="1:23" x14ac:dyDescent="0.2">
      <c r="A336" s="71" t="s">
        <v>183</v>
      </c>
      <c r="B336" s="71" t="s">
        <v>184</v>
      </c>
      <c r="C336" s="71" t="s">
        <v>187</v>
      </c>
      <c r="D336" s="71" t="s">
        <v>185</v>
      </c>
      <c r="E336" s="71" t="s">
        <v>47</v>
      </c>
      <c r="F336" s="71" t="s">
        <v>300</v>
      </c>
      <c r="G336" s="88">
        <v>46245.696145833303</v>
      </c>
      <c r="H336" s="89">
        <v>46245</v>
      </c>
      <c r="I336" s="71" t="s">
        <v>320</v>
      </c>
      <c r="J336" s="71">
        <v>0</v>
      </c>
      <c r="K336" s="71" t="s">
        <v>302</v>
      </c>
      <c r="L336" s="71">
        <f t="shared" si="45"/>
        <v>8</v>
      </c>
      <c r="M336" s="71" t="str">
        <f>IFERROR(INDEX(KALENDER!$D$3:$D$132,MATCH(H336,KALENDER!$A$3:$A$132,0)),"Di luar periode")</f>
        <v>Hari Kerja</v>
      </c>
      <c r="N336" s="71">
        <f t="shared" si="46"/>
        <v>0</v>
      </c>
      <c r="O336" s="71">
        <f t="shared" si="47"/>
        <v>1</v>
      </c>
      <c r="P336" s="71">
        <f t="shared" si="48"/>
        <v>0</v>
      </c>
      <c r="Q336" s="71">
        <f t="shared" si="49"/>
        <v>0</v>
      </c>
      <c r="R336" s="71">
        <f t="shared" si="50"/>
        <v>0</v>
      </c>
      <c r="S336" s="71">
        <f t="shared" si="51"/>
        <v>0</v>
      </c>
      <c r="T336" s="71">
        <f t="shared" si="52"/>
        <v>0</v>
      </c>
      <c r="U336" s="71">
        <f>IF(AND(N336=1,V336=1),IF(COUNTIFS(AKTIVITAS!$B$2:$B$3052,B336,AKTIVITAS!$E$2:$E$3052,H336)&gt;0,1,0),0)</f>
        <v>0</v>
      </c>
      <c r="V336" s="71">
        <f>IFERROR(IF(AND(H336&gt;=INDEX(PEMAGANG!$J$3:$J$36,MATCH(B336,PEMAGANG!$C$3:$C$36,0)),H336&lt;=INDEX(PEMAGANG!$K$3:$K$36,MATCH(B336,PEMAGANG!$C$3:$C$36,0))),1,0),0)</f>
        <v>1</v>
      </c>
      <c r="W336" s="71">
        <f t="shared" si="53"/>
        <v>0</v>
      </c>
    </row>
    <row r="337" spans="1:23" x14ac:dyDescent="0.2">
      <c r="A337" s="71" t="s">
        <v>183</v>
      </c>
      <c r="B337" s="71" t="s">
        <v>184</v>
      </c>
      <c r="C337" s="71" t="s">
        <v>187</v>
      </c>
      <c r="D337" s="71" t="s">
        <v>185</v>
      </c>
      <c r="E337" s="71" t="s">
        <v>47</v>
      </c>
      <c r="F337" s="71" t="s">
        <v>298</v>
      </c>
      <c r="G337" s="88">
        <v>46246.313506944498</v>
      </c>
      <c r="H337" s="89">
        <v>46246</v>
      </c>
      <c r="I337" s="71" t="s">
        <v>392</v>
      </c>
      <c r="J337" s="71">
        <v>0.999999999999996</v>
      </c>
      <c r="K337" s="71" t="s">
        <v>293</v>
      </c>
      <c r="L337" s="71">
        <f t="shared" si="45"/>
        <v>8</v>
      </c>
      <c r="M337" s="71" t="str">
        <f>IFERROR(INDEX(KALENDER!$D$3:$D$132,MATCH(H337,KALENDER!$A$3:$A$132,0)),"Di luar periode")</f>
        <v>Hari Kerja</v>
      </c>
      <c r="N337" s="71">
        <f t="shared" si="46"/>
        <v>1</v>
      </c>
      <c r="O337" s="71">
        <f t="shared" si="47"/>
        <v>1</v>
      </c>
      <c r="P337" s="71">
        <f t="shared" si="48"/>
        <v>1</v>
      </c>
      <c r="Q337" s="71">
        <f t="shared" si="49"/>
        <v>0</v>
      </c>
      <c r="R337" s="71">
        <f t="shared" si="50"/>
        <v>1</v>
      </c>
      <c r="S337" s="71">
        <f t="shared" si="51"/>
        <v>0.999999999999996</v>
      </c>
      <c r="T337" s="71">
        <f t="shared" si="52"/>
        <v>0</v>
      </c>
      <c r="U337" s="71">
        <f>IF(AND(N337=1,V337=1),IF(COUNTIFS(AKTIVITAS!$B$2:$B$3052,B337,AKTIVITAS!$E$2:$E$3052,H337)&gt;0,1,0),0)</f>
        <v>1</v>
      </c>
      <c r="V337" s="71">
        <f>IFERROR(IF(AND(H337&gt;=INDEX(PEMAGANG!$J$3:$J$36,MATCH(B337,PEMAGANG!$C$3:$C$36,0)),H337&lt;=INDEX(PEMAGANG!$K$3:$K$36,MATCH(B337,PEMAGANG!$C$3:$C$36,0))),1,0),0)</f>
        <v>1</v>
      </c>
      <c r="W337" s="71">
        <f t="shared" si="53"/>
        <v>1</v>
      </c>
    </row>
    <row r="338" spans="1:23" x14ac:dyDescent="0.2">
      <c r="A338" s="71" t="s">
        <v>183</v>
      </c>
      <c r="B338" s="71" t="s">
        <v>184</v>
      </c>
      <c r="C338" s="71" t="s">
        <v>187</v>
      </c>
      <c r="D338" s="71" t="s">
        <v>185</v>
      </c>
      <c r="E338" s="71" t="s">
        <v>47</v>
      </c>
      <c r="F338" s="71" t="s">
        <v>300</v>
      </c>
      <c r="G338" s="88">
        <v>46246.751145833303</v>
      </c>
      <c r="H338" s="89">
        <v>46246</v>
      </c>
      <c r="I338" s="71" t="s">
        <v>393</v>
      </c>
      <c r="J338" s="71">
        <v>0</v>
      </c>
      <c r="K338" s="71" t="s">
        <v>302</v>
      </c>
      <c r="L338" s="71">
        <f t="shared" si="45"/>
        <v>8</v>
      </c>
      <c r="M338" s="71" t="str">
        <f>IFERROR(INDEX(KALENDER!$D$3:$D$132,MATCH(H338,KALENDER!$A$3:$A$132,0)),"Di luar periode")</f>
        <v>Hari Kerja</v>
      </c>
      <c r="N338" s="71">
        <f t="shared" si="46"/>
        <v>0</v>
      </c>
      <c r="O338" s="71">
        <f t="shared" si="47"/>
        <v>1</v>
      </c>
      <c r="P338" s="71">
        <f t="shared" si="48"/>
        <v>0</v>
      </c>
      <c r="Q338" s="71">
        <f t="shared" si="49"/>
        <v>0</v>
      </c>
      <c r="R338" s="71">
        <f t="shared" si="50"/>
        <v>0</v>
      </c>
      <c r="S338" s="71">
        <f t="shared" si="51"/>
        <v>0</v>
      </c>
      <c r="T338" s="71">
        <f t="shared" si="52"/>
        <v>0</v>
      </c>
      <c r="U338" s="71">
        <f>IF(AND(N338=1,V338=1),IF(COUNTIFS(AKTIVITAS!$B$2:$B$3052,B338,AKTIVITAS!$E$2:$E$3052,H338)&gt;0,1,0),0)</f>
        <v>0</v>
      </c>
      <c r="V338" s="71">
        <f>IFERROR(IF(AND(H338&gt;=INDEX(PEMAGANG!$J$3:$J$36,MATCH(B338,PEMAGANG!$C$3:$C$36,0)),H338&lt;=INDEX(PEMAGANG!$K$3:$K$36,MATCH(B338,PEMAGANG!$C$3:$C$36,0))),1,0),0)</f>
        <v>1</v>
      </c>
      <c r="W338" s="71">
        <f t="shared" si="53"/>
        <v>0</v>
      </c>
    </row>
    <row r="339" spans="1:23" x14ac:dyDescent="0.2">
      <c r="A339" s="71" t="s">
        <v>183</v>
      </c>
      <c r="B339" s="71" t="s">
        <v>184</v>
      </c>
      <c r="C339" s="71" t="s">
        <v>187</v>
      </c>
      <c r="D339" s="71" t="s">
        <v>185</v>
      </c>
      <c r="E339" s="71" t="s">
        <v>47</v>
      </c>
      <c r="F339" s="71" t="s">
        <v>298</v>
      </c>
      <c r="G339" s="88">
        <v>46247.311064814799</v>
      </c>
      <c r="H339" s="89">
        <v>46247</v>
      </c>
      <c r="I339" s="71" t="s">
        <v>309</v>
      </c>
      <c r="J339" s="71">
        <v>-2.9999999999999898</v>
      </c>
      <c r="K339" s="71" t="s">
        <v>302</v>
      </c>
      <c r="L339" s="71">
        <f t="shared" si="45"/>
        <v>8</v>
      </c>
      <c r="M339" s="71" t="str">
        <f>IFERROR(INDEX(KALENDER!$D$3:$D$132,MATCH(H339,KALENDER!$A$3:$A$132,0)),"Di luar periode")</f>
        <v>Hari Kerja</v>
      </c>
      <c r="N339" s="71">
        <f t="shared" si="46"/>
        <v>1</v>
      </c>
      <c r="O339" s="71">
        <f t="shared" si="47"/>
        <v>1</v>
      </c>
      <c r="P339" s="71">
        <f t="shared" si="48"/>
        <v>1</v>
      </c>
      <c r="Q339" s="71">
        <f t="shared" si="49"/>
        <v>0</v>
      </c>
      <c r="R339" s="71">
        <f t="shared" si="50"/>
        <v>0</v>
      </c>
      <c r="S339" s="71">
        <f t="shared" si="51"/>
        <v>0</v>
      </c>
      <c r="T339" s="71">
        <f t="shared" si="52"/>
        <v>0</v>
      </c>
      <c r="U339" s="71">
        <f>IF(AND(N339=1,V339=1),IF(COUNTIFS(AKTIVITAS!$B$2:$B$3052,B339,AKTIVITAS!$E$2:$E$3052,H339)&gt;0,1,0),0)</f>
        <v>0</v>
      </c>
      <c r="V339" s="71">
        <f>IFERROR(IF(AND(H339&gt;=INDEX(PEMAGANG!$J$3:$J$36,MATCH(B339,PEMAGANG!$C$3:$C$36,0)),H339&lt;=INDEX(PEMAGANG!$K$3:$K$36,MATCH(B339,PEMAGANG!$C$3:$C$36,0))),1,0),0)</f>
        <v>1</v>
      </c>
      <c r="W339" s="71">
        <f t="shared" si="53"/>
        <v>1</v>
      </c>
    </row>
    <row r="340" spans="1:23" x14ac:dyDescent="0.2">
      <c r="A340" s="71" t="s">
        <v>183</v>
      </c>
      <c r="B340" s="71" t="s">
        <v>184</v>
      </c>
      <c r="C340" s="71" t="s">
        <v>187</v>
      </c>
      <c r="D340" s="71" t="s">
        <v>185</v>
      </c>
      <c r="E340" s="71" t="s">
        <v>47</v>
      </c>
      <c r="F340" s="71" t="s">
        <v>300</v>
      </c>
      <c r="G340" s="88">
        <v>46247.704513888901</v>
      </c>
      <c r="H340" s="89">
        <v>46247</v>
      </c>
      <c r="I340" s="71" t="s">
        <v>394</v>
      </c>
      <c r="J340" s="71">
        <v>0</v>
      </c>
      <c r="K340" s="71" t="s">
        <v>302</v>
      </c>
      <c r="L340" s="71">
        <f t="shared" si="45"/>
        <v>8</v>
      </c>
      <c r="M340" s="71" t="str">
        <f>IFERROR(INDEX(KALENDER!$D$3:$D$132,MATCH(H340,KALENDER!$A$3:$A$132,0)),"Di luar periode")</f>
        <v>Hari Kerja</v>
      </c>
      <c r="N340" s="71">
        <f t="shared" si="46"/>
        <v>0</v>
      </c>
      <c r="O340" s="71">
        <f t="shared" si="47"/>
        <v>1</v>
      </c>
      <c r="P340" s="71">
        <f t="shared" si="48"/>
        <v>0</v>
      </c>
      <c r="Q340" s="71">
        <f t="shared" si="49"/>
        <v>0</v>
      </c>
      <c r="R340" s="71">
        <f t="shared" si="50"/>
        <v>0</v>
      </c>
      <c r="S340" s="71">
        <f t="shared" si="51"/>
        <v>0</v>
      </c>
      <c r="T340" s="71">
        <f t="shared" si="52"/>
        <v>0</v>
      </c>
      <c r="U340" s="71">
        <f>IF(AND(N340=1,V340=1),IF(COUNTIFS(AKTIVITAS!$B$2:$B$3052,B340,AKTIVITAS!$E$2:$E$3052,H340)&gt;0,1,0),0)</f>
        <v>0</v>
      </c>
      <c r="V340" s="71">
        <f>IFERROR(IF(AND(H340&gt;=INDEX(PEMAGANG!$J$3:$J$36,MATCH(B340,PEMAGANG!$C$3:$C$36,0)),H340&lt;=INDEX(PEMAGANG!$K$3:$K$36,MATCH(B340,PEMAGANG!$C$3:$C$36,0))),1,0),0)</f>
        <v>1</v>
      </c>
      <c r="W340" s="71">
        <f t="shared" si="53"/>
        <v>0</v>
      </c>
    </row>
    <row r="341" spans="1:23" x14ac:dyDescent="0.2">
      <c r="A341" s="71" t="s">
        <v>183</v>
      </c>
      <c r="B341" s="71" t="s">
        <v>184</v>
      </c>
      <c r="C341" s="71" t="s">
        <v>187</v>
      </c>
      <c r="D341" s="71" t="s">
        <v>185</v>
      </c>
      <c r="E341" s="71" t="s">
        <v>47</v>
      </c>
      <c r="F341" s="71" t="s">
        <v>298</v>
      </c>
      <c r="G341" s="88">
        <v>46248.311296296299</v>
      </c>
      <c r="H341" s="89">
        <v>46248</v>
      </c>
      <c r="I341" s="71" t="s">
        <v>377</v>
      </c>
      <c r="J341" s="71">
        <v>-1.99999999999999</v>
      </c>
      <c r="K341" s="71" t="s">
        <v>302</v>
      </c>
      <c r="L341" s="71">
        <f t="shared" si="45"/>
        <v>8</v>
      </c>
      <c r="M341" s="71" t="str">
        <f>IFERROR(INDEX(KALENDER!$D$3:$D$132,MATCH(H341,KALENDER!$A$3:$A$132,0)),"Di luar periode")</f>
        <v>Hari Kerja</v>
      </c>
      <c r="N341" s="71">
        <f t="shared" si="46"/>
        <v>1</v>
      </c>
      <c r="O341" s="71">
        <f t="shared" si="47"/>
        <v>1</v>
      </c>
      <c r="P341" s="71">
        <f t="shared" si="48"/>
        <v>1</v>
      </c>
      <c r="Q341" s="71">
        <f t="shared" si="49"/>
        <v>0</v>
      </c>
      <c r="R341" s="71">
        <f t="shared" si="50"/>
        <v>0</v>
      </c>
      <c r="S341" s="71">
        <f t="shared" si="51"/>
        <v>0</v>
      </c>
      <c r="T341" s="71">
        <f t="shared" si="52"/>
        <v>0</v>
      </c>
      <c r="U341" s="71">
        <f>IF(AND(N341=1,V341=1),IF(COUNTIFS(AKTIVITAS!$B$2:$B$3052,B341,AKTIVITAS!$E$2:$E$3052,H341)&gt;0,1,0),0)</f>
        <v>0</v>
      </c>
      <c r="V341" s="71">
        <f>IFERROR(IF(AND(H341&gt;=INDEX(PEMAGANG!$J$3:$J$36,MATCH(B341,PEMAGANG!$C$3:$C$36,0)),H341&lt;=INDEX(PEMAGANG!$K$3:$K$36,MATCH(B341,PEMAGANG!$C$3:$C$36,0))),1,0),0)</f>
        <v>1</v>
      </c>
      <c r="W341" s="71">
        <f t="shared" si="53"/>
        <v>1</v>
      </c>
    </row>
    <row r="342" spans="1:23" x14ac:dyDescent="0.2">
      <c r="A342" s="71" t="s">
        <v>183</v>
      </c>
      <c r="B342" s="71" t="s">
        <v>184</v>
      </c>
      <c r="C342" s="71" t="s">
        <v>187</v>
      </c>
      <c r="D342" s="71" t="s">
        <v>185</v>
      </c>
      <c r="E342" s="71" t="s">
        <v>47</v>
      </c>
      <c r="F342" s="71" t="s">
        <v>300</v>
      </c>
      <c r="G342" s="88">
        <v>46248.725358796299</v>
      </c>
      <c r="H342" s="89">
        <v>46248</v>
      </c>
      <c r="I342" s="71" t="s">
        <v>395</v>
      </c>
      <c r="J342" s="71">
        <v>0</v>
      </c>
      <c r="K342" s="71" t="s">
        <v>302</v>
      </c>
      <c r="L342" s="71">
        <f t="shared" si="45"/>
        <v>8</v>
      </c>
      <c r="M342" s="71" t="str">
        <f>IFERROR(INDEX(KALENDER!$D$3:$D$132,MATCH(H342,KALENDER!$A$3:$A$132,0)),"Di luar periode")</f>
        <v>Hari Kerja</v>
      </c>
      <c r="N342" s="71">
        <f t="shared" si="46"/>
        <v>0</v>
      </c>
      <c r="O342" s="71">
        <f t="shared" si="47"/>
        <v>1</v>
      </c>
      <c r="P342" s="71">
        <f t="shared" si="48"/>
        <v>0</v>
      </c>
      <c r="Q342" s="71">
        <f t="shared" si="49"/>
        <v>0</v>
      </c>
      <c r="R342" s="71">
        <f t="shared" si="50"/>
        <v>0</v>
      </c>
      <c r="S342" s="71">
        <f t="shared" si="51"/>
        <v>0</v>
      </c>
      <c r="T342" s="71">
        <f t="shared" si="52"/>
        <v>0</v>
      </c>
      <c r="U342" s="71">
        <f>IF(AND(N342=1,V342=1),IF(COUNTIFS(AKTIVITAS!$B$2:$B$3052,B342,AKTIVITAS!$E$2:$E$3052,H342)&gt;0,1,0),0)</f>
        <v>0</v>
      </c>
      <c r="V342" s="71">
        <f>IFERROR(IF(AND(H342&gt;=INDEX(PEMAGANG!$J$3:$J$36,MATCH(B342,PEMAGANG!$C$3:$C$36,0)),H342&lt;=INDEX(PEMAGANG!$K$3:$K$36,MATCH(B342,PEMAGANG!$C$3:$C$36,0))),1,0),0)</f>
        <v>1</v>
      </c>
      <c r="W342" s="71">
        <f t="shared" si="53"/>
        <v>0</v>
      </c>
    </row>
    <row r="343" spans="1:23" x14ac:dyDescent="0.2">
      <c r="A343" s="71" t="s">
        <v>183</v>
      </c>
      <c r="B343" s="71" t="s">
        <v>184</v>
      </c>
      <c r="C343" s="71" t="s">
        <v>187</v>
      </c>
      <c r="D343" s="71" t="s">
        <v>185</v>
      </c>
      <c r="E343" s="71" t="s">
        <v>47</v>
      </c>
      <c r="F343" s="71" t="s">
        <v>298</v>
      </c>
      <c r="G343" s="88">
        <v>46252.307025463</v>
      </c>
      <c r="H343" s="89">
        <v>46252</v>
      </c>
      <c r="I343" s="71" t="s">
        <v>313</v>
      </c>
      <c r="J343" s="71">
        <v>-8.0000000000000497</v>
      </c>
      <c r="K343" s="71" t="s">
        <v>302</v>
      </c>
      <c r="L343" s="71">
        <f t="shared" si="45"/>
        <v>8</v>
      </c>
      <c r="M343" s="71" t="str">
        <f>IFERROR(INDEX(KALENDER!$D$3:$D$132,MATCH(H343,KALENDER!$A$3:$A$132,0)),"Di luar periode")</f>
        <v>Hari Kerja</v>
      </c>
      <c r="N343" s="71">
        <f t="shared" si="46"/>
        <v>1</v>
      </c>
      <c r="O343" s="71">
        <f t="shared" si="47"/>
        <v>1</v>
      </c>
      <c r="P343" s="71">
        <f t="shared" si="48"/>
        <v>1</v>
      </c>
      <c r="Q343" s="71">
        <f t="shared" si="49"/>
        <v>0</v>
      </c>
      <c r="R343" s="71">
        <f t="shared" si="50"/>
        <v>0</v>
      </c>
      <c r="S343" s="71">
        <f t="shared" si="51"/>
        <v>0</v>
      </c>
      <c r="T343" s="71">
        <f t="shared" si="52"/>
        <v>0</v>
      </c>
      <c r="U343" s="71">
        <f>IF(AND(N343=1,V343=1),IF(COUNTIFS(AKTIVITAS!$B$2:$B$3052,B343,AKTIVITAS!$E$2:$E$3052,H343)&gt;0,1,0),0)</f>
        <v>1</v>
      </c>
      <c r="V343" s="71">
        <f>IFERROR(IF(AND(H343&gt;=INDEX(PEMAGANG!$J$3:$J$36,MATCH(B343,PEMAGANG!$C$3:$C$36,0)),H343&lt;=INDEX(PEMAGANG!$K$3:$K$36,MATCH(B343,PEMAGANG!$C$3:$C$36,0))),1,0),0)</f>
        <v>1</v>
      </c>
      <c r="W343" s="71">
        <f t="shared" si="53"/>
        <v>1</v>
      </c>
    </row>
    <row r="344" spans="1:23" x14ac:dyDescent="0.2">
      <c r="A344" s="71" t="s">
        <v>183</v>
      </c>
      <c r="B344" s="71" t="s">
        <v>184</v>
      </c>
      <c r="C344" s="71" t="s">
        <v>187</v>
      </c>
      <c r="D344" s="71" t="s">
        <v>185</v>
      </c>
      <c r="E344" s="71" t="s">
        <v>47</v>
      </c>
      <c r="F344" s="71" t="s">
        <v>300</v>
      </c>
      <c r="G344" s="88">
        <v>46252.738101851901</v>
      </c>
      <c r="H344" s="89">
        <v>46252</v>
      </c>
      <c r="I344" s="71" t="s">
        <v>396</v>
      </c>
      <c r="J344" s="71">
        <v>0</v>
      </c>
      <c r="K344" s="71" t="s">
        <v>302</v>
      </c>
      <c r="L344" s="71">
        <f t="shared" si="45"/>
        <v>8</v>
      </c>
      <c r="M344" s="71" t="str">
        <f>IFERROR(INDEX(KALENDER!$D$3:$D$132,MATCH(H344,KALENDER!$A$3:$A$132,0)),"Di luar periode")</f>
        <v>Hari Kerja</v>
      </c>
      <c r="N344" s="71">
        <f t="shared" si="46"/>
        <v>0</v>
      </c>
      <c r="O344" s="71">
        <f t="shared" si="47"/>
        <v>1</v>
      </c>
      <c r="P344" s="71">
        <f t="shared" si="48"/>
        <v>0</v>
      </c>
      <c r="Q344" s="71">
        <f t="shared" si="49"/>
        <v>0</v>
      </c>
      <c r="R344" s="71">
        <f t="shared" si="50"/>
        <v>0</v>
      </c>
      <c r="S344" s="71">
        <f t="shared" si="51"/>
        <v>0</v>
      </c>
      <c r="T344" s="71">
        <f t="shared" si="52"/>
        <v>0</v>
      </c>
      <c r="U344" s="71">
        <f>IF(AND(N344=1,V344=1),IF(COUNTIFS(AKTIVITAS!$B$2:$B$3052,B344,AKTIVITAS!$E$2:$E$3052,H344)&gt;0,1,0),0)</f>
        <v>0</v>
      </c>
      <c r="V344" s="71">
        <f>IFERROR(IF(AND(H344&gt;=INDEX(PEMAGANG!$J$3:$J$36,MATCH(B344,PEMAGANG!$C$3:$C$36,0)),H344&lt;=INDEX(PEMAGANG!$K$3:$K$36,MATCH(B344,PEMAGANG!$C$3:$C$36,0))),1,0),0)</f>
        <v>1</v>
      </c>
      <c r="W344" s="71">
        <f t="shared" si="53"/>
        <v>0</v>
      </c>
    </row>
    <row r="345" spans="1:23" x14ac:dyDescent="0.2">
      <c r="A345" s="71" t="s">
        <v>183</v>
      </c>
      <c r="B345" s="71" t="s">
        <v>184</v>
      </c>
      <c r="C345" s="71" t="s">
        <v>187</v>
      </c>
      <c r="D345" s="71" t="s">
        <v>185</v>
      </c>
      <c r="E345" s="71" t="s">
        <v>47</v>
      </c>
      <c r="F345" s="71" t="s">
        <v>298</v>
      </c>
      <c r="G345" s="88">
        <v>46253.312303240702</v>
      </c>
      <c r="H345" s="89">
        <v>46253</v>
      </c>
      <c r="I345" s="71" t="s">
        <v>365</v>
      </c>
      <c r="J345" s="71">
        <v>-0.999999999999996</v>
      </c>
      <c r="K345" s="71" t="s">
        <v>302</v>
      </c>
      <c r="L345" s="71">
        <f t="shared" si="45"/>
        <v>8</v>
      </c>
      <c r="M345" s="71" t="str">
        <f>IFERROR(INDEX(KALENDER!$D$3:$D$132,MATCH(H345,KALENDER!$A$3:$A$132,0)),"Di luar periode")</f>
        <v>Hari Kerja</v>
      </c>
      <c r="N345" s="71">
        <f t="shared" si="46"/>
        <v>1</v>
      </c>
      <c r="O345" s="71">
        <f t="shared" si="47"/>
        <v>1</v>
      </c>
      <c r="P345" s="71">
        <f t="shared" si="48"/>
        <v>1</v>
      </c>
      <c r="Q345" s="71">
        <f t="shared" si="49"/>
        <v>0</v>
      </c>
      <c r="R345" s="71">
        <f t="shared" si="50"/>
        <v>0</v>
      </c>
      <c r="S345" s="71">
        <f t="shared" si="51"/>
        <v>0</v>
      </c>
      <c r="T345" s="71">
        <f t="shared" si="52"/>
        <v>0</v>
      </c>
      <c r="U345" s="71">
        <f>IF(AND(N345=1,V345=1),IF(COUNTIFS(AKTIVITAS!$B$2:$B$3052,B345,AKTIVITAS!$E$2:$E$3052,H345)&gt;0,1,0),0)</f>
        <v>1</v>
      </c>
      <c r="V345" s="71">
        <f>IFERROR(IF(AND(H345&gt;=INDEX(PEMAGANG!$J$3:$J$36,MATCH(B345,PEMAGANG!$C$3:$C$36,0)),H345&lt;=INDEX(PEMAGANG!$K$3:$K$36,MATCH(B345,PEMAGANG!$C$3:$C$36,0))),1,0),0)</f>
        <v>1</v>
      </c>
      <c r="W345" s="71">
        <f t="shared" si="53"/>
        <v>1</v>
      </c>
    </row>
    <row r="346" spans="1:23" x14ac:dyDescent="0.2">
      <c r="A346" s="71" t="s">
        <v>183</v>
      </c>
      <c r="B346" s="71" t="s">
        <v>184</v>
      </c>
      <c r="C346" s="71" t="s">
        <v>187</v>
      </c>
      <c r="D346" s="71" t="s">
        <v>185</v>
      </c>
      <c r="E346" s="71" t="s">
        <v>47</v>
      </c>
      <c r="F346" s="71" t="s">
        <v>300</v>
      </c>
      <c r="G346" s="88">
        <v>46253.7434953704</v>
      </c>
      <c r="H346" s="89">
        <v>46253</v>
      </c>
      <c r="I346" s="71" t="s">
        <v>397</v>
      </c>
      <c r="J346" s="71">
        <v>0</v>
      </c>
      <c r="K346" s="71" t="s">
        <v>302</v>
      </c>
      <c r="L346" s="71">
        <f t="shared" si="45"/>
        <v>8</v>
      </c>
      <c r="M346" s="71" t="str">
        <f>IFERROR(INDEX(KALENDER!$D$3:$D$132,MATCH(H346,KALENDER!$A$3:$A$132,0)),"Di luar periode")</f>
        <v>Hari Kerja</v>
      </c>
      <c r="N346" s="71">
        <f t="shared" si="46"/>
        <v>0</v>
      </c>
      <c r="O346" s="71">
        <f t="shared" si="47"/>
        <v>1</v>
      </c>
      <c r="P346" s="71">
        <f t="shared" si="48"/>
        <v>0</v>
      </c>
      <c r="Q346" s="71">
        <f t="shared" si="49"/>
        <v>0</v>
      </c>
      <c r="R346" s="71">
        <f t="shared" si="50"/>
        <v>0</v>
      </c>
      <c r="S346" s="71">
        <f t="shared" si="51"/>
        <v>0</v>
      </c>
      <c r="T346" s="71">
        <f t="shared" si="52"/>
        <v>0</v>
      </c>
      <c r="U346" s="71">
        <f>IF(AND(N346=1,V346=1),IF(COUNTIFS(AKTIVITAS!$B$2:$B$3052,B346,AKTIVITAS!$E$2:$E$3052,H346)&gt;0,1,0),0)</f>
        <v>0</v>
      </c>
      <c r="V346" s="71">
        <f>IFERROR(IF(AND(H346&gt;=INDEX(PEMAGANG!$J$3:$J$36,MATCH(B346,PEMAGANG!$C$3:$C$36,0)),H346&lt;=INDEX(PEMAGANG!$K$3:$K$36,MATCH(B346,PEMAGANG!$C$3:$C$36,0))),1,0),0)</f>
        <v>1</v>
      </c>
      <c r="W346" s="71">
        <f t="shared" si="53"/>
        <v>0</v>
      </c>
    </row>
    <row r="347" spans="1:23" x14ac:dyDescent="0.2">
      <c r="A347" s="71" t="s">
        <v>183</v>
      </c>
      <c r="B347" s="71" t="s">
        <v>184</v>
      </c>
      <c r="C347" s="71" t="s">
        <v>187</v>
      </c>
      <c r="D347" s="71" t="s">
        <v>185</v>
      </c>
      <c r="E347" s="71" t="s">
        <v>47</v>
      </c>
      <c r="F347" s="71" t="s">
        <v>298</v>
      </c>
      <c r="G347" s="88">
        <v>46254.311076388898</v>
      </c>
      <c r="H347" s="89">
        <v>46254</v>
      </c>
      <c r="I347" s="71" t="s">
        <v>309</v>
      </c>
      <c r="J347" s="71">
        <v>-2.9999999999999898</v>
      </c>
      <c r="K347" s="71" t="s">
        <v>302</v>
      </c>
      <c r="L347" s="71">
        <f t="shared" si="45"/>
        <v>8</v>
      </c>
      <c r="M347" s="71" t="str">
        <f>IFERROR(INDEX(KALENDER!$D$3:$D$132,MATCH(H347,KALENDER!$A$3:$A$132,0)),"Di luar periode")</f>
        <v>Hari Kerja</v>
      </c>
      <c r="N347" s="71">
        <f t="shared" si="46"/>
        <v>1</v>
      </c>
      <c r="O347" s="71">
        <f t="shared" si="47"/>
        <v>1</v>
      </c>
      <c r="P347" s="71">
        <f t="shared" si="48"/>
        <v>1</v>
      </c>
      <c r="Q347" s="71">
        <f t="shared" si="49"/>
        <v>0</v>
      </c>
      <c r="R347" s="71">
        <f t="shared" si="50"/>
        <v>0</v>
      </c>
      <c r="S347" s="71">
        <f t="shared" si="51"/>
        <v>0</v>
      </c>
      <c r="T347" s="71">
        <f t="shared" si="52"/>
        <v>0</v>
      </c>
      <c r="U347" s="71">
        <f>IF(AND(N347=1,V347=1),IF(COUNTIFS(AKTIVITAS!$B$2:$B$3052,B347,AKTIVITAS!$E$2:$E$3052,H347)&gt;0,1,0),0)</f>
        <v>1</v>
      </c>
      <c r="V347" s="71">
        <f>IFERROR(IF(AND(H347&gt;=INDEX(PEMAGANG!$J$3:$J$36,MATCH(B347,PEMAGANG!$C$3:$C$36,0)),H347&lt;=INDEX(PEMAGANG!$K$3:$K$36,MATCH(B347,PEMAGANG!$C$3:$C$36,0))),1,0),0)</f>
        <v>1</v>
      </c>
      <c r="W347" s="71">
        <f t="shared" si="53"/>
        <v>1</v>
      </c>
    </row>
    <row r="348" spans="1:23" x14ac:dyDescent="0.2">
      <c r="A348" s="71" t="s">
        <v>183</v>
      </c>
      <c r="B348" s="71" t="s">
        <v>184</v>
      </c>
      <c r="C348" s="71" t="s">
        <v>187</v>
      </c>
      <c r="D348" s="71" t="s">
        <v>185</v>
      </c>
      <c r="E348" s="71" t="s">
        <v>47</v>
      </c>
      <c r="F348" s="71" t="s">
        <v>300</v>
      </c>
      <c r="G348" s="88">
        <v>46254.718495370398</v>
      </c>
      <c r="H348" s="89">
        <v>46254</v>
      </c>
      <c r="I348" s="71" t="s">
        <v>384</v>
      </c>
      <c r="J348" s="71">
        <v>0</v>
      </c>
      <c r="K348" s="71" t="s">
        <v>302</v>
      </c>
      <c r="L348" s="71">
        <f t="shared" si="45"/>
        <v>8</v>
      </c>
      <c r="M348" s="71" t="str">
        <f>IFERROR(INDEX(KALENDER!$D$3:$D$132,MATCH(H348,KALENDER!$A$3:$A$132,0)),"Di luar periode")</f>
        <v>Hari Kerja</v>
      </c>
      <c r="N348" s="71">
        <f t="shared" si="46"/>
        <v>0</v>
      </c>
      <c r="O348" s="71">
        <f t="shared" si="47"/>
        <v>1</v>
      </c>
      <c r="P348" s="71">
        <f t="shared" si="48"/>
        <v>0</v>
      </c>
      <c r="Q348" s="71">
        <f t="shared" si="49"/>
        <v>0</v>
      </c>
      <c r="R348" s="71">
        <f t="shared" si="50"/>
        <v>0</v>
      </c>
      <c r="S348" s="71">
        <f t="shared" si="51"/>
        <v>0</v>
      </c>
      <c r="T348" s="71">
        <f t="shared" si="52"/>
        <v>0</v>
      </c>
      <c r="U348" s="71">
        <f>IF(AND(N348=1,V348=1),IF(COUNTIFS(AKTIVITAS!$B$2:$B$3052,B348,AKTIVITAS!$E$2:$E$3052,H348)&gt;0,1,0),0)</f>
        <v>0</v>
      </c>
      <c r="V348" s="71">
        <f>IFERROR(IF(AND(H348&gt;=INDEX(PEMAGANG!$J$3:$J$36,MATCH(B348,PEMAGANG!$C$3:$C$36,0)),H348&lt;=INDEX(PEMAGANG!$K$3:$K$36,MATCH(B348,PEMAGANG!$C$3:$C$36,0))),1,0),0)</f>
        <v>1</v>
      </c>
      <c r="W348" s="71">
        <f t="shared" si="53"/>
        <v>0</v>
      </c>
    </row>
    <row r="349" spans="1:23" x14ac:dyDescent="0.2">
      <c r="A349" s="71" t="s">
        <v>183</v>
      </c>
      <c r="B349" s="71" t="s">
        <v>184</v>
      </c>
      <c r="C349" s="71" t="s">
        <v>187</v>
      </c>
      <c r="D349" s="71" t="s">
        <v>185</v>
      </c>
      <c r="E349" s="71" t="s">
        <v>47</v>
      </c>
      <c r="F349" s="71" t="s">
        <v>298</v>
      </c>
      <c r="G349" s="88">
        <v>46255.317870370403</v>
      </c>
      <c r="H349" s="89">
        <v>46255</v>
      </c>
      <c r="I349" s="71" t="s">
        <v>386</v>
      </c>
      <c r="J349" s="71">
        <v>-22.999999999999901</v>
      </c>
      <c r="K349" s="71" t="s">
        <v>302</v>
      </c>
      <c r="L349" s="71">
        <f t="shared" si="45"/>
        <v>8</v>
      </c>
      <c r="M349" s="71" t="str">
        <f>IFERROR(INDEX(KALENDER!$D$3:$D$132,MATCH(H349,KALENDER!$A$3:$A$132,0)),"Di luar periode")</f>
        <v>Hari Kerja</v>
      </c>
      <c r="N349" s="71">
        <f t="shared" si="46"/>
        <v>1</v>
      </c>
      <c r="O349" s="71">
        <f t="shared" si="47"/>
        <v>1</v>
      </c>
      <c r="P349" s="71">
        <f t="shared" si="48"/>
        <v>1</v>
      </c>
      <c r="Q349" s="71">
        <f t="shared" si="49"/>
        <v>0</v>
      </c>
      <c r="R349" s="71">
        <f t="shared" si="50"/>
        <v>0</v>
      </c>
      <c r="S349" s="71">
        <f t="shared" si="51"/>
        <v>0</v>
      </c>
      <c r="T349" s="71">
        <f t="shared" si="52"/>
        <v>0</v>
      </c>
      <c r="U349" s="71">
        <f>IF(AND(N349=1,V349=1),IF(COUNTIFS(AKTIVITAS!$B$2:$B$3052,B349,AKTIVITAS!$E$2:$E$3052,H349)&gt;0,1,0),0)</f>
        <v>1</v>
      </c>
      <c r="V349" s="71">
        <f>IFERROR(IF(AND(H349&gt;=INDEX(PEMAGANG!$J$3:$J$36,MATCH(B349,PEMAGANG!$C$3:$C$36,0)),H349&lt;=INDEX(PEMAGANG!$K$3:$K$36,MATCH(B349,PEMAGANG!$C$3:$C$36,0))),1,0),0)</f>
        <v>1</v>
      </c>
      <c r="W349" s="71">
        <f t="shared" si="53"/>
        <v>1</v>
      </c>
    </row>
    <row r="350" spans="1:23" x14ac:dyDescent="0.2">
      <c r="A350" s="71" t="s">
        <v>183</v>
      </c>
      <c r="B350" s="71" t="s">
        <v>184</v>
      </c>
      <c r="C350" s="71" t="s">
        <v>187</v>
      </c>
      <c r="D350" s="71" t="s">
        <v>185</v>
      </c>
      <c r="E350" s="71" t="s">
        <v>47</v>
      </c>
      <c r="F350" s="71" t="s">
        <v>300</v>
      </c>
      <c r="G350" s="88">
        <v>46255.752662036997</v>
      </c>
      <c r="H350" s="89">
        <v>46255</v>
      </c>
      <c r="I350" s="71" t="s">
        <v>398</v>
      </c>
      <c r="J350" s="71">
        <v>0</v>
      </c>
      <c r="K350" s="71" t="s">
        <v>302</v>
      </c>
      <c r="L350" s="71">
        <f t="shared" si="45"/>
        <v>8</v>
      </c>
      <c r="M350" s="71" t="str">
        <f>IFERROR(INDEX(KALENDER!$D$3:$D$132,MATCH(H350,KALENDER!$A$3:$A$132,0)),"Di luar periode")</f>
        <v>Hari Kerja</v>
      </c>
      <c r="N350" s="71">
        <f t="shared" si="46"/>
        <v>0</v>
      </c>
      <c r="O350" s="71">
        <f t="shared" si="47"/>
        <v>1</v>
      </c>
      <c r="P350" s="71">
        <f t="shared" si="48"/>
        <v>0</v>
      </c>
      <c r="Q350" s="71">
        <f t="shared" si="49"/>
        <v>0</v>
      </c>
      <c r="R350" s="71">
        <f t="shared" si="50"/>
        <v>0</v>
      </c>
      <c r="S350" s="71">
        <f t="shared" si="51"/>
        <v>0</v>
      </c>
      <c r="T350" s="71">
        <f t="shared" si="52"/>
        <v>0</v>
      </c>
      <c r="U350" s="71">
        <f>IF(AND(N350=1,V350=1),IF(COUNTIFS(AKTIVITAS!$B$2:$B$3052,B350,AKTIVITAS!$E$2:$E$3052,H350)&gt;0,1,0),0)</f>
        <v>0</v>
      </c>
      <c r="V350" s="71">
        <f>IFERROR(IF(AND(H350&gt;=INDEX(PEMAGANG!$J$3:$J$36,MATCH(B350,PEMAGANG!$C$3:$C$36,0)),H350&lt;=INDEX(PEMAGANG!$K$3:$K$36,MATCH(B350,PEMAGANG!$C$3:$C$36,0))),1,0),0)</f>
        <v>1</v>
      </c>
      <c r="W350" s="71">
        <f t="shared" si="53"/>
        <v>0</v>
      </c>
    </row>
    <row r="351" spans="1:23" x14ac:dyDescent="0.2">
      <c r="A351" s="71" t="s">
        <v>183</v>
      </c>
      <c r="B351" s="71" t="s">
        <v>184</v>
      </c>
      <c r="C351" s="71" t="s">
        <v>187</v>
      </c>
      <c r="D351" s="71" t="s">
        <v>185</v>
      </c>
      <c r="E351" s="71" t="s">
        <v>47</v>
      </c>
      <c r="F351" s="71" t="s">
        <v>298</v>
      </c>
      <c r="G351" s="88">
        <v>46258.309884259303</v>
      </c>
      <c r="H351" s="89">
        <v>46258</v>
      </c>
      <c r="I351" s="71" t="s">
        <v>315</v>
      </c>
      <c r="J351" s="71">
        <v>-34</v>
      </c>
      <c r="K351" s="71" t="s">
        <v>302</v>
      </c>
      <c r="L351" s="71">
        <f t="shared" si="45"/>
        <v>8</v>
      </c>
      <c r="M351" s="71" t="str">
        <f>IFERROR(INDEX(KALENDER!$D$3:$D$132,MATCH(H351,KALENDER!$A$3:$A$132,0)),"Di luar periode")</f>
        <v>Hari Kerja</v>
      </c>
      <c r="N351" s="71">
        <f t="shared" si="46"/>
        <v>1</v>
      </c>
      <c r="O351" s="71">
        <f t="shared" si="47"/>
        <v>1</v>
      </c>
      <c r="P351" s="71">
        <f t="shared" si="48"/>
        <v>1</v>
      </c>
      <c r="Q351" s="71">
        <f t="shared" si="49"/>
        <v>0</v>
      </c>
      <c r="R351" s="71">
        <f t="shared" si="50"/>
        <v>0</v>
      </c>
      <c r="S351" s="71">
        <f t="shared" si="51"/>
        <v>0</v>
      </c>
      <c r="T351" s="71">
        <f t="shared" si="52"/>
        <v>0</v>
      </c>
      <c r="U351" s="71">
        <f>IF(AND(N351=1,V351=1),IF(COUNTIFS(AKTIVITAS!$B$2:$B$3052,B351,AKTIVITAS!$E$2:$E$3052,H351)&gt;0,1,0),0)</f>
        <v>1</v>
      </c>
      <c r="V351" s="71">
        <f>IFERROR(IF(AND(H351&gt;=INDEX(PEMAGANG!$J$3:$J$36,MATCH(B351,PEMAGANG!$C$3:$C$36,0)),H351&lt;=INDEX(PEMAGANG!$K$3:$K$36,MATCH(B351,PEMAGANG!$C$3:$C$36,0))),1,0),0)</f>
        <v>1</v>
      </c>
      <c r="W351" s="71">
        <f t="shared" si="53"/>
        <v>1</v>
      </c>
    </row>
    <row r="352" spans="1:23" x14ac:dyDescent="0.2">
      <c r="A352" s="71" t="s">
        <v>183</v>
      </c>
      <c r="B352" s="71" t="s">
        <v>184</v>
      </c>
      <c r="C352" s="71" t="s">
        <v>187</v>
      </c>
      <c r="D352" s="71" t="s">
        <v>185</v>
      </c>
      <c r="E352" s="71" t="s">
        <v>47</v>
      </c>
      <c r="F352" s="71" t="s">
        <v>300</v>
      </c>
      <c r="G352" s="88">
        <v>46258.718831018501</v>
      </c>
      <c r="H352" s="89">
        <v>46258</v>
      </c>
      <c r="I352" s="71" t="s">
        <v>399</v>
      </c>
      <c r="J352" s="71">
        <v>0</v>
      </c>
      <c r="K352" s="71" t="s">
        <v>302</v>
      </c>
      <c r="L352" s="71">
        <f t="shared" si="45"/>
        <v>8</v>
      </c>
      <c r="M352" s="71" t="str">
        <f>IFERROR(INDEX(KALENDER!$D$3:$D$132,MATCH(H352,KALENDER!$A$3:$A$132,0)),"Di luar periode")</f>
        <v>Hari Kerja</v>
      </c>
      <c r="N352" s="71">
        <f t="shared" si="46"/>
        <v>0</v>
      </c>
      <c r="O352" s="71">
        <f t="shared" si="47"/>
        <v>1</v>
      </c>
      <c r="P352" s="71">
        <f t="shared" si="48"/>
        <v>0</v>
      </c>
      <c r="Q352" s="71">
        <f t="shared" si="49"/>
        <v>0</v>
      </c>
      <c r="R352" s="71">
        <f t="shared" si="50"/>
        <v>0</v>
      </c>
      <c r="S352" s="71">
        <f t="shared" si="51"/>
        <v>0</v>
      </c>
      <c r="T352" s="71">
        <f t="shared" si="52"/>
        <v>0</v>
      </c>
      <c r="U352" s="71">
        <f>IF(AND(N352=1,V352=1),IF(COUNTIFS(AKTIVITAS!$B$2:$B$3052,B352,AKTIVITAS!$E$2:$E$3052,H352)&gt;0,1,0),0)</f>
        <v>0</v>
      </c>
      <c r="V352" s="71">
        <f>IFERROR(IF(AND(H352&gt;=INDEX(PEMAGANG!$J$3:$J$36,MATCH(B352,PEMAGANG!$C$3:$C$36,0)),H352&lt;=INDEX(PEMAGANG!$K$3:$K$36,MATCH(B352,PEMAGANG!$C$3:$C$36,0))),1,0),0)</f>
        <v>1</v>
      </c>
      <c r="W352" s="71">
        <f t="shared" si="53"/>
        <v>0</v>
      </c>
    </row>
    <row r="353" spans="1:23" x14ac:dyDescent="0.2">
      <c r="A353" s="71" t="s">
        <v>183</v>
      </c>
      <c r="B353" s="71" t="s">
        <v>184</v>
      </c>
      <c r="C353" s="71" t="s">
        <v>187</v>
      </c>
      <c r="D353" s="71" t="s">
        <v>185</v>
      </c>
      <c r="E353" s="71" t="s">
        <v>47</v>
      </c>
      <c r="F353" s="71" t="s">
        <v>298</v>
      </c>
      <c r="G353" s="88">
        <v>46260.307824074102</v>
      </c>
      <c r="H353" s="89">
        <v>46260</v>
      </c>
      <c r="I353" s="71" t="s">
        <v>311</v>
      </c>
      <c r="J353" s="71">
        <v>-37</v>
      </c>
      <c r="K353" s="71" t="s">
        <v>302</v>
      </c>
      <c r="L353" s="71">
        <f t="shared" si="45"/>
        <v>8</v>
      </c>
      <c r="M353" s="71" t="str">
        <f>IFERROR(INDEX(KALENDER!$D$3:$D$132,MATCH(H353,KALENDER!$A$3:$A$132,0)),"Di luar periode")</f>
        <v>Hari Kerja</v>
      </c>
      <c r="N353" s="71">
        <f t="shared" si="46"/>
        <v>1</v>
      </c>
      <c r="O353" s="71">
        <f t="shared" si="47"/>
        <v>1</v>
      </c>
      <c r="P353" s="71">
        <f t="shared" si="48"/>
        <v>1</v>
      </c>
      <c r="Q353" s="71">
        <f t="shared" si="49"/>
        <v>0</v>
      </c>
      <c r="R353" s="71">
        <f t="shared" si="50"/>
        <v>0</v>
      </c>
      <c r="S353" s="71">
        <f t="shared" si="51"/>
        <v>0</v>
      </c>
      <c r="T353" s="71">
        <f t="shared" si="52"/>
        <v>0</v>
      </c>
      <c r="U353" s="71">
        <f>IF(AND(N353=1,V353=1),IF(COUNTIFS(AKTIVITAS!$B$2:$B$3052,B353,AKTIVITAS!$E$2:$E$3052,H353)&gt;0,1,0),0)</f>
        <v>1</v>
      </c>
      <c r="V353" s="71">
        <f>IFERROR(IF(AND(H353&gt;=INDEX(PEMAGANG!$J$3:$J$36,MATCH(B353,PEMAGANG!$C$3:$C$36,0)),H353&lt;=INDEX(PEMAGANG!$K$3:$K$36,MATCH(B353,PEMAGANG!$C$3:$C$36,0))),1,0),0)</f>
        <v>1</v>
      </c>
      <c r="W353" s="71">
        <f t="shared" si="53"/>
        <v>1</v>
      </c>
    </row>
    <row r="354" spans="1:23" x14ac:dyDescent="0.2">
      <c r="A354" s="71" t="s">
        <v>183</v>
      </c>
      <c r="B354" s="71" t="s">
        <v>184</v>
      </c>
      <c r="C354" s="71" t="s">
        <v>187</v>
      </c>
      <c r="D354" s="71" t="s">
        <v>185</v>
      </c>
      <c r="E354" s="71" t="s">
        <v>47</v>
      </c>
      <c r="F354" s="71" t="s">
        <v>300</v>
      </c>
      <c r="G354" s="88">
        <v>46260.693437499998</v>
      </c>
      <c r="H354" s="89">
        <v>46260</v>
      </c>
      <c r="I354" s="71" t="s">
        <v>317</v>
      </c>
      <c r="J354" s="71">
        <v>0</v>
      </c>
      <c r="K354" s="71" t="s">
        <v>302</v>
      </c>
      <c r="L354" s="71">
        <f t="shared" si="45"/>
        <v>8</v>
      </c>
      <c r="M354" s="71" t="str">
        <f>IFERROR(INDEX(KALENDER!$D$3:$D$132,MATCH(H354,KALENDER!$A$3:$A$132,0)),"Di luar periode")</f>
        <v>Hari Kerja</v>
      </c>
      <c r="N354" s="71">
        <f t="shared" si="46"/>
        <v>0</v>
      </c>
      <c r="O354" s="71">
        <f t="shared" si="47"/>
        <v>1</v>
      </c>
      <c r="P354" s="71">
        <f t="shared" si="48"/>
        <v>0</v>
      </c>
      <c r="Q354" s="71">
        <f t="shared" si="49"/>
        <v>0</v>
      </c>
      <c r="R354" s="71">
        <f t="shared" si="50"/>
        <v>0</v>
      </c>
      <c r="S354" s="71">
        <f t="shared" si="51"/>
        <v>0</v>
      </c>
      <c r="T354" s="71">
        <f t="shared" si="52"/>
        <v>0</v>
      </c>
      <c r="U354" s="71">
        <f>IF(AND(N354=1,V354=1),IF(COUNTIFS(AKTIVITAS!$B$2:$B$3052,B354,AKTIVITAS!$E$2:$E$3052,H354)&gt;0,1,0),0)</f>
        <v>0</v>
      </c>
      <c r="V354" s="71">
        <f>IFERROR(IF(AND(H354&gt;=INDEX(PEMAGANG!$J$3:$J$36,MATCH(B354,PEMAGANG!$C$3:$C$36,0)),H354&lt;=INDEX(PEMAGANG!$K$3:$K$36,MATCH(B354,PEMAGANG!$C$3:$C$36,0))),1,0),0)</f>
        <v>1</v>
      </c>
      <c r="W354" s="71">
        <f t="shared" si="53"/>
        <v>0</v>
      </c>
    </row>
    <row r="355" spans="1:23" x14ac:dyDescent="0.2">
      <c r="A355" s="71" t="s">
        <v>183</v>
      </c>
      <c r="B355" s="71" t="s">
        <v>184</v>
      </c>
      <c r="C355" s="71" t="s">
        <v>187</v>
      </c>
      <c r="D355" s="71" t="s">
        <v>185</v>
      </c>
      <c r="E355" s="71" t="s">
        <v>47</v>
      </c>
      <c r="F355" s="71" t="s">
        <v>298</v>
      </c>
      <c r="G355" s="88">
        <v>46261.306678240697</v>
      </c>
      <c r="H355" s="89">
        <v>46261</v>
      </c>
      <c r="I355" s="71" t="s">
        <v>305</v>
      </c>
      <c r="J355" s="71">
        <v>-39</v>
      </c>
      <c r="K355" s="71" t="s">
        <v>302</v>
      </c>
      <c r="L355" s="71">
        <f t="shared" si="45"/>
        <v>8</v>
      </c>
      <c r="M355" s="71" t="str">
        <f>IFERROR(INDEX(KALENDER!$D$3:$D$132,MATCH(H355,KALENDER!$A$3:$A$132,0)),"Di luar periode")</f>
        <v>Hari Kerja</v>
      </c>
      <c r="N355" s="71">
        <f t="shared" si="46"/>
        <v>1</v>
      </c>
      <c r="O355" s="71">
        <f t="shared" si="47"/>
        <v>1</v>
      </c>
      <c r="P355" s="71">
        <f t="shared" si="48"/>
        <v>1</v>
      </c>
      <c r="Q355" s="71">
        <f t="shared" si="49"/>
        <v>0</v>
      </c>
      <c r="R355" s="71">
        <f t="shared" si="50"/>
        <v>0</v>
      </c>
      <c r="S355" s="71">
        <f t="shared" si="51"/>
        <v>0</v>
      </c>
      <c r="T355" s="71">
        <f t="shared" si="52"/>
        <v>0</v>
      </c>
      <c r="U355" s="71">
        <f>IF(AND(N355=1,V355=1),IF(COUNTIFS(AKTIVITAS!$B$2:$B$3052,B355,AKTIVITAS!$E$2:$E$3052,H355)&gt;0,1,0),0)</f>
        <v>1</v>
      </c>
      <c r="V355" s="71">
        <f>IFERROR(IF(AND(H355&gt;=INDEX(PEMAGANG!$J$3:$J$36,MATCH(B355,PEMAGANG!$C$3:$C$36,0)),H355&lt;=INDEX(PEMAGANG!$K$3:$K$36,MATCH(B355,PEMAGANG!$C$3:$C$36,0))),1,0),0)</f>
        <v>1</v>
      </c>
      <c r="W355" s="71">
        <f t="shared" si="53"/>
        <v>1</v>
      </c>
    </row>
    <row r="356" spans="1:23" x14ac:dyDescent="0.2">
      <c r="A356" s="71" t="s">
        <v>183</v>
      </c>
      <c r="B356" s="71" t="s">
        <v>184</v>
      </c>
      <c r="C356" s="71" t="s">
        <v>187</v>
      </c>
      <c r="D356" s="71" t="s">
        <v>185</v>
      </c>
      <c r="E356" s="71" t="s">
        <v>47</v>
      </c>
      <c r="F356" s="71" t="s">
        <v>300</v>
      </c>
      <c r="G356" s="88">
        <v>46261.734201388899</v>
      </c>
      <c r="H356" s="89">
        <v>46261</v>
      </c>
      <c r="I356" s="71" t="s">
        <v>400</v>
      </c>
      <c r="J356" s="71">
        <v>0</v>
      </c>
      <c r="K356" s="71" t="s">
        <v>302</v>
      </c>
      <c r="L356" s="71">
        <f t="shared" si="45"/>
        <v>8</v>
      </c>
      <c r="M356" s="71" t="str">
        <f>IFERROR(INDEX(KALENDER!$D$3:$D$132,MATCH(H356,KALENDER!$A$3:$A$132,0)),"Di luar periode")</f>
        <v>Hari Kerja</v>
      </c>
      <c r="N356" s="71">
        <f t="shared" si="46"/>
        <v>0</v>
      </c>
      <c r="O356" s="71">
        <f t="shared" si="47"/>
        <v>1</v>
      </c>
      <c r="P356" s="71">
        <f t="shared" si="48"/>
        <v>0</v>
      </c>
      <c r="Q356" s="71">
        <f t="shared" si="49"/>
        <v>0</v>
      </c>
      <c r="R356" s="71">
        <f t="shared" si="50"/>
        <v>0</v>
      </c>
      <c r="S356" s="71">
        <f t="shared" si="51"/>
        <v>0</v>
      </c>
      <c r="T356" s="71">
        <f t="shared" si="52"/>
        <v>0</v>
      </c>
      <c r="U356" s="71">
        <f>IF(AND(N356=1,V356=1),IF(COUNTIFS(AKTIVITAS!$B$2:$B$3052,B356,AKTIVITAS!$E$2:$E$3052,H356)&gt;0,1,0),0)</f>
        <v>0</v>
      </c>
      <c r="V356" s="71">
        <f>IFERROR(IF(AND(H356&gt;=INDEX(PEMAGANG!$J$3:$J$36,MATCH(B356,PEMAGANG!$C$3:$C$36,0)),H356&lt;=INDEX(PEMAGANG!$K$3:$K$36,MATCH(B356,PEMAGANG!$C$3:$C$36,0))),1,0),0)</f>
        <v>1</v>
      </c>
      <c r="W356" s="71">
        <f t="shared" si="53"/>
        <v>0</v>
      </c>
    </row>
    <row r="357" spans="1:23" x14ac:dyDescent="0.2">
      <c r="A357" s="71" t="s">
        <v>183</v>
      </c>
      <c r="B357" s="71" t="s">
        <v>184</v>
      </c>
      <c r="C357" s="71" t="s">
        <v>187</v>
      </c>
      <c r="D357" s="71" t="s">
        <v>185</v>
      </c>
      <c r="E357" s="71" t="s">
        <v>47</v>
      </c>
      <c r="F357" s="71" t="s">
        <v>298</v>
      </c>
      <c r="G357" s="88">
        <v>46262.3101157407</v>
      </c>
      <c r="H357" s="89">
        <v>46262</v>
      </c>
      <c r="I357" s="71" t="s">
        <v>315</v>
      </c>
      <c r="J357" s="71">
        <v>-34</v>
      </c>
      <c r="K357" s="71" t="s">
        <v>302</v>
      </c>
      <c r="L357" s="71">
        <f t="shared" si="45"/>
        <v>8</v>
      </c>
      <c r="M357" s="71" t="str">
        <f>IFERROR(INDEX(KALENDER!$D$3:$D$132,MATCH(H357,KALENDER!$A$3:$A$132,0)),"Di luar periode")</f>
        <v>Hari Kerja</v>
      </c>
      <c r="N357" s="71">
        <f t="shared" si="46"/>
        <v>1</v>
      </c>
      <c r="O357" s="71">
        <f t="shared" si="47"/>
        <v>1</v>
      </c>
      <c r="P357" s="71">
        <f t="shared" si="48"/>
        <v>1</v>
      </c>
      <c r="Q357" s="71">
        <f t="shared" si="49"/>
        <v>0</v>
      </c>
      <c r="R357" s="71">
        <f t="shared" si="50"/>
        <v>0</v>
      </c>
      <c r="S357" s="71">
        <f t="shared" si="51"/>
        <v>0</v>
      </c>
      <c r="T357" s="71">
        <f t="shared" si="52"/>
        <v>0</v>
      </c>
      <c r="U357" s="71">
        <f>IF(AND(N357=1,V357=1),IF(COUNTIFS(AKTIVITAS!$B$2:$B$3052,B357,AKTIVITAS!$E$2:$E$3052,H357)&gt;0,1,0),0)</f>
        <v>1</v>
      </c>
      <c r="V357" s="71">
        <f>IFERROR(IF(AND(H357&gt;=INDEX(PEMAGANG!$J$3:$J$36,MATCH(B357,PEMAGANG!$C$3:$C$36,0)),H357&lt;=INDEX(PEMAGANG!$K$3:$K$36,MATCH(B357,PEMAGANG!$C$3:$C$36,0))),1,0),0)</f>
        <v>1</v>
      </c>
      <c r="W357" s="71">
        <f t="shared" si="53"/>
        <v>1</v>
      </c>
    </row>
    <row r="358" spans="1:23" x14ac:dyDescent="0.2">
      <c r="A358" s="71" t="s">
        <v>183</v>
      </c>
      <c r="B358" s="71" t="s">
        <v>184</v>
      </c>
      <c r="C358" s="71" t="s">
        <v>187</v>
      </c>
      <c r="D358" s="71" t="s">
        <v>185</v>
      </c>
      <c r="E358" s="71" t="s">
        <v>47</v>
      </c>
      <c r="F358" s="71" t="s">
        <v>300</v>
      </c>
      <c r="G358" s="88">
        <v>46262.713946759301</v>
      </c>
      <c r="H358" s="89">
        <v>46262</v>
      </c>
      <c r="I358" s="71" t="s">
        <v>401</v>
      </c>
      <c r="J358" s="71">
        <v>0</v>
      </c>
      <c r="K358" s="71" t="s">
        <v>302</v>
      </c>
      <c r="L358" s="71">
        <f t="shared" si="45"/>
        <v>8</v>
      </c>
      <c r="M358" s="71" t="str">
        <f>IFERROR(INDEX(KALENDER!$D$3:$D$132,MATCH(H358,KALENDER!$A$3:$A$132,0)),"Di luar periode")</f>
        <v>Hari Kerja</v>
      </c>
      <c r="N358" s="71">
        <f t="shared" si="46"/>
        <v>0</v>
      </c>
      <c r="O358" s="71">
        <f t="shared" si="47"/>
        <v>1</v>
      </c>
      <c r="P358" s="71">
        <f t="shared" si="48"/>
        <v>0</v>
      </c>
      <c r="Q358" s="71">
        <f t="shared" si="49"/>
        <v>0</v>
      </c>
      <c r="R358" s="71">
        <f t="shared" si="50"/>
        <v>0</v>
      </c>
      <c r="S358" s="71">
        <f t="shared" si="51"/>
        <v>0</v>
      </c>
      <c r="T358" s="71">
        <f t="shared" si="52"/>
        <v>0</v>
      </c>
      <c r="U358" s="71">
        <f>IF(AND(N358=1,V358=1),IF(COUNTIFS(AKTIVITAS!$B$2:$B$3052,B358,AKTIVITAS!$E$2:$E$3052,H358)&gt;0,1,0),0)</f>
        <v>0</v>
      </c>
      <c r="V358" s="71">
        <f>IFERROR(IF(AND(H358&gt;=INDEX(PEMAGANG!$J$3:$J$36,MATCH(B358,PEMAGANG!$C$3:$C$36,0)),H358&lt;=INDEX(PEMAGANG!$K$3:$K$36,MATCH(B358,PEMAGANG!$C$3:$C$36,0))),1,0),0)</f>
        <v>1</v>
      </c>
      <c r="W358" s="71">
        <f t="shared" si="53"/>
        <v>0</v>
      </c>
    </row>
    <row r="359" spans="1:23" x14ac:dyDescent="0.2">
      <c r="A359" s="71" t="s">
        <v>183</v>
      </c>
      <c r="B359" s="71" t="s">
        <v>184</v>
      </c>
      <c r="C359" s="71" t="s">
        <v>187</v>
      </c>
      <c r="D359" s="71" t="s">
        <v>185</v>
      </c>
      <c r="E359" s="71" t="s">
        <v>47</v>
      </c>
      <c r="F359" s="71" t="s">
        <v>298</v>
      </c>
      <c r="G359" s="88">
        <v>46265.3081481482</v>
      </c>
      <c r="H359" s="89">
        <v>46265</v>
      </c>
      <c r="I359" s="71" t="s">
        <v>311</v>
      </c>
      <c r="J359" s="71">
        <v>-37</v>
      </c>
      <c r="K359" s="71" t="s">
        <v>302</v>
      </c>
      <c r="L359" s="71">
        <f t="shared" si="45"/>
        <v>8</v>
      </c>
      <c r="M359" s="71" t="str">
        <f>IFERROR(INDEX(KALENDER!$D$3:$D$132,MATCH(H359,KALENDER!$A$3:$A$132,0)),"Di luar periode")</f>
        <v>Hari Kerja</v>
      </c>
      <c r="N359" s="71">
        <f t="shared" si="46"/>
        <v>1</v>
      </c>
      <c r="O359" s="71">
        <f t="shared" si="47"/>
        <v>1</v>
      </c>
      <c r="P359" s="71">
        <f t="shared" si="48"/>
        <v>1</v>
      </c>
      <c r="Q359" s="71">
        <f t="shared" si="49"/>
        <v>0</v>
      </c>
      <c r="R359" s="71">
        <f t="shared" si="50"/>
        <v>0</v>
      </c>
      <c r="S359" s="71">
        <f t="shared" si="51"/>
        <v>0</v>
      </c>
      <c r="T359" s="71">
        <f t="shared" si="52"/>
        <v>0</v>
      </c>
      <c r="U359" s="71">
        <f>IF(AND(N359=1,V359=1),IF(COUNTIFS(AKTIVITAS!$B$2:$B$3052,B359,AKTIVITAS!$E$2:$E$3052,H359)&gt;0,1,0),0)</f>
        <v>1</v>
      </c>
      <c r="V359" s="71">
        <f>IFERROR(IF(AND(H359&gt;=INDEX(PEMAGANG!$J$3:$J$36,MATCH(B359,PEMAGANG!$C$3:$C$36,0)),H359&lt;=INDEX(PEMAGANG!$K$3:$K$36,MATCH(B359,PEMAGANG!$C$3:$C$36,0))),1,0),0)</f>
        <v>1</v>
      </c>
      <c r="W359" s="71">
        <f t="shared" si="53"/>
        <v>1</v>
      </c>
    </row>
    <row r="360" spans="1:23" x14ac:dyDescent="0.2">
      <c r="A360" s="71" t="s">
        <v>183</v>
      </c>
      <c r="B360" s="71" t="s">
        <v>184</v>
      </c>
      <c r="C360" s="71" t="s">
        <v>187</v>
      </c>
      <c r="D360" s="71" t="s">
        <v>185</v>
      </c>
      <c r="E360" s="71" t="s">
        <v>47</v>
      </c>
      <c r="F360" s="71" t="s">
        <v>300</v>
      </c>
      <c r="G360" s="88">
        <v>46265.704282407401</v>
      </c>
      <c r="H360" s="89">
        <v>46265</v>
      </c>
      <c r="I360" s="71" t="s">
        <v>394</v>
      </c>
      <c r="J360" s="71">
        <v>0</v>
      </c>
      <c r="K360" s="71" t="s">
        <v>302</v>
      </c>
      <c r="L360" s="71">
        <f t="shared" si="45"/>
        <v>8</v>
      </c>
      <c r="M360" s="71" t="str">
        <f>IFERROR(INDEX(KALENDER!$D$3:$D$132,MATCH(H360,KALENDER!$A$3:$A$132,0)),"Di luar periode")</f>
        <v>Hari Kerja</v>
      </c>
      <c r="N360" s="71">
        <f t="shared" si="46"/>
        <v>0</v>
      </c>
      <c r="O360" s="71">
        <f t="shared" si="47"/>
        <v>1</v>
      </c>
      <c r="P360" s="71">
        <f t="shared" si="48"/>
        <v>0</v>
      </c>
      <c r="Q360" s="71">
        <f t="shared" si="49"/>
        <v>0</v>
      </c>
      <c r="R360" s="71">
        <f t="shared" si="50"/>
        <v>0</v>
      </c>
      <c r="S360" s="71">
        <f t="shared" si="51"/>
        <v>0</v>
      </c>
      <c r="T360" s="71">
        <f t="shared" si="52"/>
        <v>0</v>
      </c>
      <c r="U360" s="71">
        <f>IF(AND(N360=1,V360=1),IF(COUNTIFS(AKTIVITAS!$B$2:$B$3052,B360,AKTIVITAS!$E$2:$E$3052,H360)&gt;0,1,0),0)</f>
        <v>0</v>
      </c>
      <c r="V360" s="71">
        <f>IFERROR(IF(AND(H360&gt;=INDEX(PEMAGANG!$J$3:$J$36,MATCH(B360,PEMAGANG!$C$3:$C$36,0)),H360&lt;=INDEX(PEMAGANG!$K$3:$K$36,MATCH(B360,PEMAGANG!$C$3:$C$36,0))),1,0),0)</f>
        <v>1</v>
      </c>
      <c r="W360" s="71">
        <f t="shared" si="53"/>
        <v>0</v>
      </c>
    </row>
    <row r="361" spans="1:23" x14ac:dyDescent="0.2">
      <c r="A361" s="71" t="s">
        <v>183</v>
      </c>
      <c r="B361" s="71" t="s">
        <v>184</v>
      </c>
      <c r="C361" s="71" t="s">
        <v>187</v>
      </c>
      <c r="D361" s="71" t="s">
        <v>185</v>
      </c>
      <c r="E361" s="71" t="s">
        <v>47</v>
      </c>
      <c r="F361" s="71" t="s">
        <v>298</v>
      </c>
      <c r="G361" s="88">
        <v>46266.3070717593</v>
      </c>
      <c r="H361" s="89">
        <v>46266</v>
      </c>
      <c r="I361" s="71" t="s">
        <v>313</v>
      </c>
      <c r="J361" s="71">
        <v>-38</v>
      </c>
      <c r="K361" s="71" t="s">
        <v>302</v>
      </c>
      <c r="L361" s="71">
        <f t="shared" si="45"/>
        <v>9</v>
      </c>
      <c r="M361" s="71" t="str">
        <f>IFERROR(INDEX(KALENDER!$D$3:$D$132,MATCH(H361,KALENDER!$A$3:$A$132,0)),"Di luar periode")</f>
        <v>Hari Kerja</v>
      </c>
      <c r="N361" s="71">
        <f t="shared" si="46"/>
        <v>1</v>
      </c>
      <c r="O361" s="71">
        <f t="shared" si="47"/>
        <v>1</v>
      </c>
      <c r="P361" s="71">
        <f t="shared" si="48"/>
        <v>1</v>
      </c>
      <c r="Q361" s="71">
        <f t="shared" si="49"/>
        <v>0</v>
      </c>
      <c r="R361" s="71">
        <f t="shared" si="50"/>
        <v>0</v>
      </c>
      <c r="S361" s="71">
        <f t="shared" si="51"/>
        <v>0</v>
      </c>
      <c r="T361" s="71">
        <f t="shared" si="52"/>
        <v>0</v>
      </c>
      <c r="U361" s="71">
        <f>IF(AND(N361=1,V361=1),IF(COUNTIFS(AKTIVITAS!$B$2:$B$3052,B361,AKTIVITAS!$E$2:$E$3052,H361)&gt;0,1,0),0)</f>
        <v>0</v>
      </c>
      <c r="V361" s="71">
        <f>IFERROR(IF(AND(H361&gt;=INDEX(PEMAGANG!$J$3:$J$36,MATCH(B361,PEMAGANG!$C$3:$C$36,0)),H361&lt;=INDEX(PEMAGANG!$K$3:$K$36,MATCH(B361,PEMAGANG!$C$3:$C$36,0))),1,0),0)</f>
        <v>1</v>
      </c>
      <c r="W361" s="71">
        <f t="shared" si="53"/>
        <v>1</v>
      </c>
    </row>
    <row r="362" spans="1:23" x14ac:dyDescent="0.2">
      <c r="A362" s="71" t="s">
        <v>183</v>
      </c>
      <c r="B362" s="71" t="s">
        <v>184</v>
      </c>
      <c r="C362" s="71" t="s">
        <v>187</v>
      </c>
      <c r="D362" s="71" t="s">
        <v>185</v>
      </c>
      <c r="E362" s="71" t="s">
        <v>47</v>
      </c>
      <c r="F362" s="71" t="s">
        <v>300</v>
      </c>
      <c r="G362" s="88">
        <v>46266.690682870401</v>
      </c>
      <c r="H362" s="89">
        <v>46266</v>
      </c>
      <c r="I362" s="71" t="s">
        <v>314</v>
      </c>
      <c r="J362" s="71">
        <v>0</v>
      </c>
      <c r="K362" s="71" t="s">
        <v>302</v>
      </c>
      <c r="L362" s="71">
        <f t="shared" si="45"/>
        <v>9</v>
      </c>
      <c r="M362" s="71" t="str">
        <f>IFERROR(INDEX(KALENDER!$D$3:$D$132,MATCH(H362,KALENDER!$A$3:$A$132,0)),"Di luar periode")</f>
        <v>Hari Kerja</v>
      </c>
      <c r="N362" s="71">
        <f t="shared" si="46"/>
        <v>0</v>
      </c>
      <c r="O362" s="71">
        <f t="shared" si="47"/>
        <v>1</v>
      </c>
      <c r="P362" s="71">
        <f t="shared" si="48"/>
        <v>0</v>
      </c>
      <c r="Q362" s="71">
        <f t="shared" si="49"/>
        <v>0</v>
      </c>
      <c r="R362" s="71">
        <f t="shared" si="50"/>
        <v>0</v>
      </c>
      <c r="S362" s="71">
        <f t="shared" si="51"/>
        <v>0</v>
      </c>
      <c r="T362" s="71">
        <f t="shared" si="52"/>
        <v>0</v>
      </c>
      <c r="U362" s="71">
        <f>IF(AND(N362=1,V362=1),IF(COUNTIFS(AKTIVITAS!$B$2:$B$3052,B362,AKTIVITAS!$E$2:$E$3052,H362)&gt;0,1,0),0)</f>
        <v>0</v>
      </c>
      <c r="V362" s="71">
        <f>IFERROR(IF(AND(H362&gt;=INDEX(PEMAGANG!$J$3:$J$36,MATCH(B362,PEMAGANG!$C$3:$C$36,0)),H362&lt;=INDEX(PEMAGANG!$K$3:$K$36,MATCH(B362,PEMAGANG!$C$3:$C$36,0))),1,0),0)</f>
        <v>1</v>
      </c>
      <c r="W362" s="71">
        <f t="shared" si="53"/>
        <v>0</v>
      </c>
    </row>
    <row r="363" spans="1:23" x14ac:dyDescent="0.2">
      <c r="A363" s="71" t="s">
        <v>183</v>
      </c>
      <c r="B363" s="71" t="s">
        <v>184</v>
      </c>
      <c r="C363" s="71" t="s">
        <v>187</v>
      </c>
      <c r="D363" s="71" t="s">
        <v>185</v>
      </c>
      <c r="E363" s="71" t="s">
        <v>47</v>
      </c>
      <c r="F363" s="71" t="s">
        <v>298</v>
      </c>
      <c r="G363" s="88">
        <v>46267.299791666701</v>
      </c>
      <c r="H363" s="89">
        <v>46267</v>
      </c>
      <c r="I363" s="71" t="s">
        <v>402</v>
      </c>
      <c r="J363" s="71">
        <v>-49</v>
      </c>
      <c r="K363" s="71" t="s">
        <v>302</v>
      </c>
      <c r="L363" s="71">
        <f t="shared" si="45"/>
        <v>9</v>
      </c>
      <c r="M363" s="71" t="str">
        <f>IFERROR(INDEX(KALENDER!$D$3:$D$132,MATCH(H363,KALENDER!$A$3:$A$132,0)),"Di luar periode")</f>
        <v>Hari Kerja</v>
      </c>
      <c r="N363" s="71">
        <f t="shared" si="46"/>
        <v>1</v>
      </c>
      <c r="O363" s="71">
        <f t="shared" si="47"/>
        <v>1</v>
      </c>
      <c r="P363" s="71">
        <f t="shared" si="48"/>
        <v>1</v>
      </c>
      <c r="Q363" s="71">
        <f t="shared" si="49"/>
        <v>0</v>
      </c>
      <c r="R363" s="71">
        <f t="shared" si="50"/>
        <v>0</v>
      </c>
      <c r="S363" s="71">
        <f t="shared" si="51"/>
        <v>0</v>
      </c>
      <c r="T363" s="71">
        <f t="shared" si="52"/>
        <v>0</v>
      </c>
      <c r="U363" s="71">
        <f>IF(AND(N363=1,V363=1),IF(COUNTIFS(AKTIVITAS!$B$2:$B$3052,B363,AKTIVITAS!$E$2:$E$3052,H363)&gt;0,1,0),0)</f>
        <v>1</v>
      </c>
      <c r="V363" s="71">
        <f>IFERROR(IF(AND(H363&gt;=INDEX(PEMAGANG!$J$3:$J$36,MATCH(B363,PEMAGANG!$C$3:$C$36,0)),H363&lt;=INDEX(PEMAGANG!$K$3:$K$36,MATCH(B363,PEMAGANG!$C$3:$C$36,0))),1,0),0)</f>
        <v>1</v>
      </c>
      <c r="W363" s="71">
        <f t="shared" si="53"/>
        <v>1</v>
      </c>
    </row>
    <row r="364" spans="1:23" x14ac:dyDescent="0.2">
      <c r="A364" s="71" t="s">
        <v>183</v>
      </c>
      <c r="B364" s="71" t="s">
        <v>184</v>
      </c>
      <c r="C364" s="71" t="s">
        <v>187</v>
      </c>
      <c r="D364" s="71" t="s">
        <v>185</v>
      </c>
      <c r="E364" s="71" t="s">
        <v>47</v>
      </c>
      <c r="F364" s="71" t="s">
        <v>300</v>
      </c>
      <c r="G364" s="88">
        <v>46267.694687499999</v>
      </c>
      <c r="H364" s="89">
        <v>46267</v>
      </c>
      <c r="I364" s="71" t="s">
        <v>343</v>
      </c>
      <c r="J364" s="71">
        <v>0</v>
      </c>
      <c r="K364" s="71" t="s">
        <v>302</v>
      </c>
      <c r="L364" s="71">
        <f t="shared" si="45"/>
        <v>9</v>
      </c>
      <c r="M364" s="71" t="str">
        <f>IFERROR(INDEX(KALENDER!$D$3:$D$132,MATCH(H364,KALENDER!$A$3:$A$132,0)),"Di luar periode")</f>
        <v>Hari Kerja</v>
      </c>
      <c r="N364" s="71">
        <f t="shared" si="46"/>
        <v>0</v>
      </c>
      <c r="O364" s="71">
        <f t="shared" si="47"/>
        <v>1</v>
      </c>
      <c r="P364" s="71">
        <f t="shared" si="48"/>
        <v>0</v>
      </c>
      <c r="Q364" s="71">
        <f t="shared" si="49"/>
        <v>0</v>
      </c>
      <c r="R364" s="71">
        <f t="shared" si="50"/>
        <v>0</v>
      </c>
      <c r="S364" s="71">
        <f t="shared" si="51"/>
        <v>0</v>
      </c>
      <c r="T364" s="71">
        <f t="shared" si="52"/>
        <v>0</v>
      </c>
      <c r="U364" s="71">
        <f>IF(AND(N364=1,V364=1),IF(COUNTIFS(AKTIVITAS!$B$2:$B$3052,B364,AKTIVITAS!$E$2:$E$3052,H364)&gt;0,1,0),0)</f>
        <v>0</v>
      </c>
      <c r="V364" s="71">
        <f>IFERROR(IF(AND(H364&gt;=INDEX(PEMAGANG!$J$3:$J$36,MATCH(B364,PEMAGANG!$C$3:$C$36,0)),H364&lt;=INDEX(PEMAGANG!$K$3:$K$36,MATCH(B364,PEMAGANG!$C$3:$C$36,0))),1,0),0)</f>
        <v>1</v>
      </c>
      <c r="W364" s="71">
        <f t="shared" si="53"/>
        <v>0</v>
      </c>
    </row>
    <row r="365" spans="1:23" x14ac:dyDescent="0.2">
      <c r="A365" s="71" t="s">
        <v>183</v>
      </c>
      <c r="B365" s="71" t="s">
        <v>184</v>
      </c>
      <c r="C365" s="71" t="s">
        <v>187</v>
      </c>
      <c r="D365" s="71" t="s">
        <v>185</v>
      </c>
      <c r="E365" s="71" t="s">
        <v>47</v>
      </c>
      <c r="F365" s="71" t="s">
        <v>298</v>
      </c>
      <c r="G365" s="88">
        <v>46268.311469907399</v>
      </c>
      <c r="H365" s="89">
        <v>46268</v>
      </c>
      <c r="I365" s="71" t="s">
        <v>377</v>
      </c>
      <c r="J365" s="71">
        <v>-32</v>
      </c>
      <c r="K365" s="71" t="s">
        <v>302</v>
      </c>
      <c r="L365" s="71">
        <f t="shared" si="45"/>
        <v>9</v>
      </c>
      <c r="M365" s="71" t="str">
        <f>IFERROR(INDEX(KALENDER!$D$3:$D$132,MATCH(H365,KALENDER!$A$3:$A$132,0)),"Di luar periode")</f>
        <v>Hari Kerja</v>
      </c>
      <c r="N365" s="71">
        <f t="shared" si="46"/>
        <v>1</v>
      </c>
      <c r="O365" s="71">
        <f t="shared" si="47"/>
        <v>1</v>
      </c>
      <c r="P365" s="71">
        <f t="shared" si="48"/>
        <v>1</v>
      </c>
      <c r="Q365" s="71">
        <f t="shared" si="49"/>
        <v>0</v>
      </c>
      <c r="R365" s="71">
        <f t="shared" si="50"/>
        <v>0</v>
      </c>
      <c r="S365" s="71">
        <f t="shared" si="51"/>
        <v>0</v>
      </c>
      <c r="T365" s="71">
        <f t="shared" si="52"/>
        <v>0</v>
      </c>
      <c r="U365" s="71">
        <f>IF(AND(N365=1,V365=1),IF(COUNTIFS(AKTIVITAS!$B$2:$B$3052,B365,AKTIVITAS!$E$2:$E$3052,H365)&gt;0,1,0),0)</f>
        <v>1</v>
      </c>
      <c r="V365" s="71">
        <f>IFERROR(IF(AND(H365&gt;=INDEX(PEMAGANG!$J$3:$J$36,MATCH(B365,PEMAGANG!$C$3:$C$36,0)),H365&lt;=INDEX(PEMAGANG!$K$3:$K$36,MATCH(B365,PEMAGANG!$C$3:$C$36,0))),1,0),0)</f>
        <v>1</v>
      </c>
      <c r="W365" s="71">
        <f t="shared" si="53"/>
        <v>1</v>
      </c>
    </row>
    <row r="366" spans="1:23" x14ac:dyDescent="0.2">
      <c r="A366" s="71" t="s">
        <v>183</v>
      </c>
      <c r="B366" s="71" t="s">
        <v>184</v>
      </c>
      <c r="C366" s="71" t="s">
        <v>187</v>
      </c>
      <c r="D366" s="71" t="s">
        <v>185</v>
      </c>
      <c r="E366" s="71" t="s">
        <v>47</v>
      </c>
      <c r="F366" s="71" t="s">
        <v>300</v>
      </c>
      <c r="G366" s="88">
        <v>46268.711423611101</v>
      </c>
      <c r="H366" s="89">
        <v>46268</v>
      </c>
      <c r="I366" s="71" t="s">
        <v>378</v>
      </c>
      <c r="J366" s="71">
        <v>0</v>
      </c>
      <c r="K366" s="71" t="s">
        <v>302</v>
      </c>
      <c r="L366" s="71">
        <f t="shared" si="45"/>
        <v>9</v>
      </c>
      <c r="M366" s="71" t="str">
        <f>IFERROR(INDEX(KALENDER!$D$3:$D$132,MATCH(H366,KALENDER!$A$3:$A$132,0)),"Di luar periode")</f>
        <v>Hari Kerja</v>
      </c>
      <c r="N366" s="71">
        <f t="shared" si="46"/>
        <v>0</v>
      </c>
      <c r="O366" s="71">
        <f t="shared" si="47"/>
        <v>1</v>
      </c>
      <c r="P366" s="71">
        <f t="shared" si="48"/>
        <v>0</v>
      </c>
      <c r="Q366" s="71">
        <f t="shared" si="49"/>
        <v>0</v>
      </c>
      <c r="R366" s="71">
        <f t="shared" si="50"/>
        <v>0</v>
      </c>
      <c r="S366" s="71">
        <f t="shared" si="51"/>
        <v>0</v>
      </c>
      <c r="T366" s="71">
        <f t="shared" si="52"/>
        <v>0</v>
      </c>
      <c r="U366" s="71">
        <f>IF(AND(N366=1,V366=1),IF(COUNTIFS(AKTIVITAS!$B$2:$B$3052,B366,AKTIVITAS!$E$2:$E$3052,H366)&gt;0,1,0),0)</f>
        <v>0</v>
      </c>
      <c r="V366" s="71">
        <f>IFERROR(IF(AND(H366&gt;=INDEX(PEMAGANG!$J$3:$J$36,MATCH(B366,PEMAGANG!$C$3:$C$36,0)),H366&lt;=INDEX(PEMAGANG!$K$3:$K$36,MATCH(B366,PEMAGANG!$C$3:$C$36,0))),1,0),0)</f>
        <v>1</v>
      </c>
      <c r="W366" s="71">
        <f t="shared" si="53"/>
        <v>0</v>
      </c>
    </row>
    <row r="367" spans="1:23" x14ac:dyDescent="0.2">
      <c r="A367" s="71" t="s">
        <v>183</v>
      </c>
      <c r="B367" s="71" t="s">
        <v>184</v>
      </c>
      <c r="C367" s="71" t="s">
        <v>187</v>
      </c>
      <c r="D367" s="71" t="s">
        <v>185</v>
      </c>
      <c r="E367" s="71" t="s">
        <v>47</v>
      </c>
      <c r="F367" s="71" t="s">
        <v>300</v>
      </c>
      <c r="G367" s="88">
        <v>46269.728437500002</v>
      </c>
      <c r="H367" s="89">
        <v>46269</v>
      </c>
      <c r="I367" s="71" t="s">
        <v>391</v>
      </c>
      <c r="J367" s="71">
        <v>0</v>
      </c>
      <c r="K367" s="71" t="s">
        <v>302</v>
      </c>
      <c r="L367" s="71">
        <f t="shared" si="45"/>
        <v>9</v>
      </c>
      <c r="M367" s="71" t="str">
        <f>IFERROR(INDEX(KALENDER!$D$3:$D$132,MATCH(H367,KALENDER!$A$3:$A$132,0)),"Di luar periode")</f>
        <v>Hari Kerja</v>
      </c>
      <c r="N367" s="71">
        <f t="shared" si="46"/>
        <v>1</v>
      </c>
      <c r="O367" s="71">
        <f t="shared" si="47"/>
        <v>0</v>
      </c>
      <c r="P367" s="71">
        <f t="shared" si="48"/>
        <v>1</v>
      </c>
      <c r="Q367" s="71">
        <f t="shared" si="49"/>
        <v>0</v>
      </c>
      <c r="R367" s="71">
        <f t="shared" si="50"/>
        <v>0</v>
      </c>
      <c r="S367" s="71">
        <f t="shared" si="51"/>
        <v>0</v>
      </c>
      <c r="T367" s="71">
        <f t="shared" si="52"/>
        <v>0</v>
      </c>
      <c r="U367" s="71">
        <f>IF(AND(N367=1,V367=1),IF(COUNTIFS(AKTIVITAS!$B$2:$B$3052,B367,AKTIVITAS!$E$2:$E$3052,H367)&gt;0,1,0),0)</f>
        <v>1</v>
      </c>
      <c r="V367" s="71">
        <f>IFERROR(IF(AND(H367&gt;=INDEX(PEMAGANG!$J$3:$J$36,MATCH(B367,PEMAGANG!$C$3:$C$36,0)),H367&lt;=INDEX(PEMAGANG!$K$3:$K$36,MATCH(B367,PEMAGANG!$C$3:$C$36,0))),1,0),0)</f>
        <v>1</v>
      </c>
      <c r="W367" s="71">
        <f t="shared" si="53"/>
        <v>1</v>
      </c>
    </row>
    <row r="368" spans="1:23" x14ac:dyDescent="0.2">
      <c r="A368" s="71" t="s">
        <v>183</v>
      </c>
      <c r="B368" s="71" t="s">
        <v>184</v>
      </c>
      <c r="C368" s="71" t="s">
        <v>187</v>
      </c>
      <c r="D368" s="71" t="s">
        <v>185</v>
      </c>
      <c r="E368" s="71" t="s">
        <v>47</v>
      </c>
      <c r="F368" s="71" t="s">
        <v>298</v>
      </c>
      <c r="G368" s="88">
        <v>46272.306909722203</v>
      </c>
      <c r="H368" s="89">
        <v>46272</v>
      </c>
      <c r="I368" s="71" t="s">
        <v>305</v>
      </c>
      <c r="J368" s="71">
        <v>-39</v>
      </c>
      <c r="K368" s="71" t="s">
        <v>302</v>
      </c>
      <c r="L368" s="71">
        <f t="shared" si="45"/>
        <v>9</v>
      </c>
      <c r="M368" s="71" t="str">
        <f>IFERROR(INDEX(KALENDER!$D$3:$D$132,MATCH(H368,KALENDER!$A$3:$A$132,0)),"Di luar periode")</f>
        <v>Hari Kerja</v>
      </c>
      <c r="N368" s="71">
        <f t="shared" si="46"/>
        <v>1</v>
      </c>
      <c r="O368" s="71">
        <f t="shared" si="47"/>
        <v>1</v>
      </c>
      <c r="P368" s="71">
        <f t="shared" si="48"/>
        <v>1</v>
      </c>
      <c r="Q368" s="71">
        <f t="shared" si="49"/>
        <v>0</v>
      </c>
      <c r="R368" s="71">
        <f t="shared" si="50"/>
        <v>0</v>
      </c>
      <c r="S368" s="71">
        <f t="shared" si="51"/>
        <v>0</v>
      </c>
      <c r="T368" s="71">
        <f t="shared" si="52"/>
        <v>0</v>
      </c>
      <c r="U368" s="71">
        <f>IF(AND(N368=1,V368=1),IF(COUNTIFS(AKTIVITAS!$B$2:$B$3052,B368,AKTIVITAS!$E$2:$E$3052,H368)&gt;0,1,0),0)</f>
        <v>1</v>
      </c>
      <c r="V368" s="71">
        <f>IFERROR(IF(AND(H368&gt;=INDEX(PEMAGANG!$J$3:$J$36,MATCH(B368,PEMAGANG!$C$3:$C$36,0)),H368&lt;=INDEX(PEMAGANG!$K$3:$K$36,MATCH(B368,PEMAGANG!$C$3:$C$36,0))),1,0),0)</f>
        <v>1</v>
      </c>
      <c r="W368" s="71">
        <f t="shared" si="53"/>
        <v>1</v>
      </c>
    </row>
    <row r="369" spans="1:23" x14ac:dyDescent="0.2">
      <c r="A369" s="71" t="s">
        <v>183</v>
      </c>
      <c r="B369" s="71" t="s">
        <v>184</v>
      </c>
      <c r="C369" s="71" t="s">
        <v>187</v>
      </c>
      <c r="D369" s="71" t="s">
        <v>185</v>
      </c>
      <c r="E369" s="71" t="s">
        <v>47</v>
      </c>
      <c r="F369" s="71" t="s">
        <v>300</v>
      </c>
      <c r="G369" s="88">
        <v>46272.703877314802</v>
      </c>
      <c r="H369" s="89">
        <v>46272</v>
      </c>
      <c r="I369" s="71" t="s">
        <v>403</v>
      </c>
      <c r="J369" s="71">
        <v>0</v>
      </c>
      <c r="K369" s="71" t="s">
        <v>302</v>
      </c>
      <c r="L369" s="71">
        <f t="shared" si="45"/>
        <v>9</v>
      </c>
      <c r="M369" s="71" t="str">
        <f>IFERROR(INDEX(KALENDER!$D$3:$D$132,MATCH(H369,KALENDER!$A$3:$A$132,0)),"Di luar periode")</f>
        <v>Hari Kerja</v>
      </c>
      <c r="N369" s="71">
        <f t="shared" si="46"/>
        <v>0</v>
      </c>
      <c r="O369" s="71">
        <f t="shared" si="47"/>
        <v>1</v>
      </c>
      <c r="P369" s="71">
        <f t="shared" si="48"/>
        <v>0</v>
      </c>
      <c r="Q369" s="71">
        <f t="shared" si="49"/>
        <v>0</v>
      </c>
      <c r="R369" s="71">
        <f t="shared" si="50"/>
        <v>0</v>
      </c>
      <c r="S369" s="71">
        <f t="shared" si="51"/>
        <v>0</v>
      </c>
      <c r="T369" s="71">
        <f t="shared" si="52"/>
        <v>0</v>
      </c>
      <c r="U369" s="71">
        <f>IF(AND(N369=1,V369=1),IF(COUNTIFS(AKTIVITAS!$B$2:$B$3052,B369,AKTIVITAS!$E$2:$E$3052,H369)&gt;0,1,0),0)</f>
        <v>0</v>
      </c>
      <c r="V369" s="71">
        <f>IFERROR(IF(AND(H369&gt;=INDEX(PEMAGANG!$J$3:$J$36,MATCH(B369,PEMAGANG!$C$3:$C$36,0)),H369&lt;=INDEX(PEMAGANG!$K$3:$K$36,MATCH(B369,PEMAGANG!$C$3:$C$36,0))),1,0),0)</f>
        <v>1</v>
      </c>
      <c r="W369" s="71">
        <f t="shared" si="53"/>
        <v>0</v>
      </c>
    </row>
    <row r="370" spans="1:23" x14ac:dyDescent="0.2">
      <c r="A370" s="71" t="s">
        <v>183</v>
      </c>
      <c r="B370" s="71" t="s">
        <v>184</v>
      </c>
      <c r="C370" s="71" t="s">
        <v>187</v>
      </c>
      <c r="D370" s="71" t="s">
        <v>185</v>
      </c>
      <c r="E370" s="71" t="s">
        <v>47</v>
      </c>
      <c r="F370" s="71" t="s">
        <v>298</v>
      </c>
      <c r="G370" s="88">
        <v>46273.308923611097</v>
      </c>
      <c r="H370" s="89">
        <v>46273</v>
      </c>
      <c r="I370" s="71" t="s">
        <v>303</v>
      </c>
      <c r="J370" s="71">
        <v>-36</v>
      </c>
      <c r="K370" s="71" t="s">
        <v>302</v>
      </c>
      <c r="L370" s="71">
        <f t="shared" si="45"/>
        <v>9</v>
      </c>
      <c r="M370" s="71" t="str">
        <f>IFERROR(INDEX(KALENDER!$D$3:$D$132,MATCH(H370,KALENDER!$A$3:$A$132,0)),"Di luar periode")</f>
        <v>Hari Kerja</v>
      </c>
      <c r="N370" s="71">
        <f t="shared" si="46"/>
        <v>1</v>
      </c>
      <c r="O370" s="71">
        <f t="shared" si="47"/>
        <v>1</v>
      </c>
      <c r="P370" s="71">
        <f t="shared" si="48"/>
        <v>1</v>
      </c>
      <c r="Q370" s="71">
        <f t="shared" si="49"/>
        <v>0</v>
      </c>
      <c r="R370" s="71">
        <f t="shared" si="50"/>
        <v>0</v>
      </c>
      <c r="S370" s="71">
        <f t="shared" si="51"/>
        <v>0</v>
      </c>
      <c r="T370" s="71">
        <f t="shared" si="52"/>
        <v>0</v>
      </c>
      <c r="U370" s="71">
        <f>IF(AND(N370=1,V370=1),IF(COUNTIFS(AKTIVITAS!$B$2:$B$3052,B370,AKTIVITAS!$E$2:$E$3052,H370)&gt;0,1,0),0)</f>
        <v>1</v>
      </c>
      <c r="V370" s="71">
        <f>IFERROR(IF(AND(H370&gt;=INDEX(PEMAGANG!$J$3:$J$36,MATCH(B370,PEMAGANG!$C$3:$C$36,0)),H370&lt;=INDEX(PEMAGANG!$K$3:$K$36,MATCH(B370,PEMAGANG!$C$3:$C$36,0))),1,0),0)</f>
        <v>1</v>
      </c>
      <c r="W370" s="71">
        <f t="shared" si="53"/>
        <v>1</v>
      </c>
    </row>
    <row r="371" spans="1:23" x14ac:dyDescent="0.2">
      <c r="A371" s="71" t="s">
        <v>183</v>
      </c>
      <c r="B371" s="71" t="s">
        <v>184</v>
      </c>
      <c r="C371" s="71" t="s">
        <v>187</v>
      </c>
      <c r="D371" s="71" t="s">
        <v>185</v>
      </c>
      <c r="E371" s="71" t="s">
        <v>47</v>
      </c>
      <c r="F371" s="71" t="s">
        <v>300</v>
      </c>
      <c r="G371" s="88">
        <v>46273.723067129598</v>
      </c>
      <c r="H371" s="89">
        <v>46273</v>
      </c>
      <c r="I371" s="71" t="s">
        <v>322</v>
      </c>
      <c r="J371" s="71">
        <v>0</v>
      </c>
      <c r="K371" s="71" t="s">
        <v>302</v>
      </c>
      <c r="L371" s="71">
        <f t="shared" si="45"/>
        <v>9</v>
      </c>
      <c r="M371" s="71" t="str">
        <f>IFERROR(INDEX(KALENDER!$D$3:$D$132,MATCH(H371,KALENDER!$A$3:$A$132,0)),"Di luar periode")</f>
        <v>Hari Kerja</v>
      </c>
      <c r="N371" s="71">
        <f t="shared" si="46"/>
        <v>0</v>
      </c>
      <c r="O371" s="71">
        <f t="shared" si="47"/>
        <v>1</v>
      </c>
      <c r="P371" s="71">
        <f t="shared" si="48"/>
        <v>0</v>
      </c>
      <c r="Q371" s="71">
        <f t="shared" si="49"/>
        <v>0</v>
      </c>
      <c r="R371" s="71">
        <f t="shared" si="50"/>
        <v>0</v>
      </c>
      <c r="S371" s="71">
        <f t="shared" si="51"/>
        <v>0</v>
      </c>
      <c r="T371" s="71">
        <f t="shared" si="52"/>
        <v>0</v>
      </c>
      <c r="U371" s="71">
        <f>IF(AND(N371=1,V371=1),IF(COUNTIFS(AKTIVITAS!$B$2:$B$3052,B371,AKTIVITAS!$E$2:$E$3052,H371)&gt;0,1,0),0)</f>
        <v>0</v>
      </c>
      <c r="V371" s="71">
        <f>IFERROR(IF(AND(H371&gt;=INDEX(PEMAGANG!$J$3:$J$36,MATCH(B371,PEMAGANG!$C$3:$C$36,0)),H371&lt;=INDEX(PEMAGANG!$K$3:$K$36,MATCH(B371,PEMAGANG!$C$3:$C$36,0))),1,0),0)</f>
        <v>1</v>
      </c>
      <c r="W371" s="71">
        <f t="shared" si="53"/>
        <v>0</v>
      </c>
    </row>
    <row r="372" spans="1:23" x14ac:dyDescent="0.2">
      <c r="A372" s="71" t="s">
        <v>183</v>
      </c>
      <c r="B372" s="71" t="s">
        <v>184</v>
      </c>
      <c r="C372" s="71" t="s">
        <v>187</v>
      </c>
      <c r="D372" s="71" t="s">
        <v>185</v>
      </c>
      <c r="E372" s="71" t="s">
        <v>47</v>
      </c>
      <c r="F372" s="71" t="s">
        <v>298</v>
      </c>
      <c r="G372" s="88">
        <v>46274.305312500001</v>
      </c>
      <c r="H372" s="89">
        <v>46274</v>
      </c>
      <c r="I372" s="71" t="s">
        <v>321</v>
      </c>
      <c r="J372" s="71">
        <v>-41</v>
      </c>
      <c r="K372" s="71" t="s">
        <v>302</v>
      </c>
      <c r="L372" s="71">
        <f t="shared" si="45"/>
        <v>9</v>
      </c>
      <c r="M372" s="71" t="str">
        <f>IFERROR(INDEX(KALENDER!$D$3:$D$132,MATCH(H372,KALENDER!$A$3:$A$132,0)),"Di luar periode")</f>
        <v>Hari Kerja</v>
      </c>
      <c r="N372" s="71">
        <f t="shared" si="46"/>
        <v>1</v>
      </c>
      <c r="O372" s="71">
        <f t="shared" si="47"/>
        <v>1</v>
      </c>
      <c r="P372" s="71">
        <f t="shared" si="48"/>
        <v>1</v>
      </c>
      <c r="Q372" s="71">
        <f t="shared" si="49"/>
        <v>0</v>
      </c>
      <c r="R372" s="71">
        <f t="shared" si="50"/>
        <v>0</v>
      </c>
      <c r="S372" s="71">
        <f t="shared" si="51"/>
        <v>0</v>
      </c>
      <c r="T372" s="71">
        <f t="shared" si="52"/>
        <v>0</v>
      </c>
      <c r="U372" s="71">
        <f>IF(AND(N372=1,V372=1),IF(COUNTIFS(AKTIVITAS!$B$2:$B$3052,B372,AKTIVITAS!$E$2:$E$3052,H372)&gt;0,1,0),0)</f>
        <v>1</v>
      </c>
      <c r="V372" s="71">
        <f>IFERROR(IF(AND(H372&gt;=INDEX(PEMAGANG!$J$3:$J$36,MATCH(B372,PEMAGANG!$C$3:$C$36,0)),H372&lt;=INDEX(PEMAGANG!$K$3:$K$36,MATCH(B372,PEMAGANG!$C$3:$C$36,0))),1,0),0)</f>
        <v>1</v>
      </c>
      <c r="W372" s="71">
        <f t="shared" si="53"/>
        <v>1</v>
      </c>
    </row>
    <row r="373" spans="1:23" x14ac:dyDescent="0.2">
      <c r="A373" s="71" t="s">
        <v>183</v>
      </c>
      <c r="B373" s="71" t="s">
        <v>184</v>
      </c>
      <c r="C373" s="71" t="s">
        <v>187</v>
      </c>
      <c r="D373" s="71" t="s">
        <v>185</v>
      </c>
      <c r="E373" s="71" t="s">
        <v>47</v>
      </c>
      <c r="F373" s="71" t="s">
        <v>298</v>
      </c>
      <c r="G373" s="88">
        <v>46274.712083333303</v>
      </c>
      <c r="H373" s="89">
        <v>46274</v>
      </c>
      <c r="I373" s="71" t="s">
        <v>362</v>
      </c>
      <c r="J373" s="71">
        <v>575</v>
      </c>
      <c r="K373" s="71" t="s">
        <v>293</v>
      </c>
      <c r="L373" s="71">
        <f t="shared" si="45"/>
        <v>9</v>
      </c>
      <c r="M373" s="71" t="str">
        <f>IFERROR(INDEX(KALENDER!$D$3:$D$132,MATCH(H373,KALENDER!$A$3:$A$132,0)),"Di luar periode")</f>
        <v>Hari Kerja</v>
      </c>
      <c r="N373" s="71">
        <f t="shared" si="46"/>
        <v>0</v>
      </c>
      <c r="O373" s="71">
        <f t="shared" si="47"/>
        <v>2</v>
      </c>
      <c r="P373" s="71">
        <f t="shared" si="48"/>
        <v>0</v>
      </c>
      <c r="Q373" s="71">
        <f t="shared" si="49"/>
        <v>0</v>
      </c>
      <c r="R373" s="71">
        <f t="shared" si="50"/>
        <v>0</v>
      </c>
      <c r="S373" s="71">
        <f t="shared" si="51"/>
        <v>0</v>
      </c>
      <c r="T373" s="71">
        <f t="shared" si="52"/>
        <v>0</v>
      </c>
      <c r="U373" s="71">
        <f>IF(AND(N373=1,V373=1),IF(COUNTIFS(AKTIVITAS!$B$2:$B$3052,B373,AKTIVITAS!$E$2:$E$3052,H373)&gt;0,1,0),0)</f>
        <v>0</v>
      </c>
      <c r="V373" s="71">
        <f>IFERROR(IF(AND(H373&gt;=INDEX(PEMAGANG!$J$3:$J$36,MATCH(B373,PEMAGANG!$C$3:$C$36,0)),H373&lt;=INDEX(PEMAGANG!$K$3:$K$36,MATCH(B373,PEMAGANG!$C$3:$C$36,0))),1,0),0)</f>
        <v>1</v>
      </c>
      <c r="W373" s="71">
        <f t="shared" si="53"/>
        <v>0</v>
      </c>
    </row>
    <row r="374" spans="1:23" x14ac:dyDescent="0.2">
      <c r="A374" s="71" t="s">
        <v>183</v>
      </c>
      <c r="B374" s="71" t="s">
        <v>184</v>
      </c>
      <c r="C374" s="71" t="s">
        <v>187</v>
      </c>
      <c r="D374" s="71" t="s">
        <v>185</v>
      </c>
      <c r="E374" s="71" t="s">
        <v>47</v>
      </c>
      <c r="F374" s="71" t="s">
        <v>300</v>
      </c>
      <c r="G374" s="88">
        <v>46274.712615740696</v>
      </c>
      <c r="H374" s="89">
        <v>46274</v>
      </c>
      <c r="I374" s="71" t="s">
        <v>371</v>
      </c>
      <c r="J374" s="71">
        <v>0</v>
      </c>
      <c r="K374" s="71" t="s">
        <v>302</v>
      </c>
      <c r="L374" s="71">
        <f t="shared" si="45"/>
        <v>9</v>
      </c>
      <c r="M374" s="71" t="str">
        <f>IFERROR(INDEX(KALENDER!$D$3:$D$132,MATCH(H374,KALENDER!$A$3:$A$132,0)),"Di luar periode")</f>
        <v>Hari Kerja</v>
      </c>
      <c r="N374" s="71">
        <f t="shared" si="46"/>
        <v>0</v>
      </c>
      <c r="O374" s="71">
        <f t="shared" si="47"/>
        <v>2</v>
      </c>
      <c r="P374" s="71">
        <f t="shared" si="48"/>
        <v>0</v>
      </c>
      <c r="Q374" s="71">
        <f t="shared" si="49"/>
        <v>0</v>
      </c>
      <c r="R374" s="71">
        <f t="shared" si="50"/>
        <v>0</v>
      </c>
      <c r="S374" s="71">
        <f t="shared" si="51"/>
        <v>0</v>
      </c>
      <c r="T374" s="71">
        <f t="shared" si="52"/>
        <v>0</v>
      </c>
      <c r="U374" s="71">
        <f>IF(AND(N374=1,V374=1),IF(COUNTIFS(AKTIVITAS!$B$2:$B$3052,B374,AKTIVITAS!$E$2:$E$3052,H374)&gt;0,1,0),0)</f>
        <v>0</v>
      </c>
      <c r="V374" s="71">
        <f>IFERROR(IF(AND(H374&gt;=INDEX(PEMAGANG!$J$3:$J$36,MATCH(B374,PEMAGANG!$C$3:$C$36,0)),H374&lt;=INDEX(PEMAGANG!$K$3:$K$36,MATCH(B374,PEMAGANG!$C$3:$C$36,0))),1,0),0)</f>
        <v>1</v>
      </c>
      <c r="W374" s="71">
        <f t="shared" si="53"/>
        <v>0</v>
      </c>
    </row>
    <row r="375" spans="1:23" x14ac:dyDescent="0.2">
      <c r="A375" s="71" t="s">
        <v>183</v>
      </c>
      <c r="B375" s="71" t="s">
        <v>184</v>
      </c>
      <c r="C375" s="71" t="s">
        <v>187</v>
      </c>
      <c r="D375" s="71" t="s">
        <v>185</v>
      </c>
      <c r="E375" s="71" t="s">
        <v>47</v>
      </c>
      <c r="F375" s="71" t="s">
        <v>298</v>
      </c>
      <c r="G375" s="88">
        <v>46275.309108796297</v>
      </c>
      <c r="H375" s="89">
        <v>46275</v>
      </c>
      <c r="I375" s="71" t="s">
        <v>307</v>
      </c>
      <c r="J375" s="71">
        <v>-35</v>
      </c>
      <c r="K375" s="71" t="s">
        <v>302</v>
      </c>
      <c r="L375" s="71">
        <f t="shared" si="45"/>
        <v>9</v>
      </c>
      <c r="M375" s="71" t="str">
        <f>IFERROR(INDEX(KALENDER!$D$3:$D$132,MATCH(H375,KALENDER!$A$3:$A$132,0)),"Di luar periode")</f>
        <v>Hari Kerja</v>
      </c>
      <c r="N375" s="71">
        <f t="shared" si="46"/>
        <v>1</v>
      </c>
      <c r="O375" s="71">
        <f t="shared" si="47"/>
        <v>1</v>
      </c>
      <c r="P375" s="71">
        <f t="shared" si="48"/>
        <v>1</v>
      </c>
      <c r="Q375" s="71">
        <f t="shared" si="49"/>
        <v>0</v>
      </c>
      <c r="R375" s="71">
        <f t="shared" si="50"/>
        <v>0</v>
      </c>
      <c r="S375" s="71">
        <f t="shared" si="51"/>
        <v>0</v>
      </c>
      <c r="T375" s="71">
        <f t="shared" si="52"/>
        <v>0</v>
      </c>
      <c r="U375" s="71">
        <f>IF(AND(N375=1,V375=1),IF(COUNTIFS(AKTIVITAS!$B$2:$B$3052,B375,AKTIVITAS!$E$2:$E$3052,H375)&gt;0,1,0),0)</f>
        <v>1</v>
      </c>
      <c r="V375" s="71">
        <f>IFERROR(IF(AND(H375&gt;=INDEX(PEMAGANG!$J$3:$J$36,MATCH(B375,PEMAGANG!$C$3:$C$36,0)),H375&lt;=INDEX(PEMAGANG!$K$3:$K$36,MATCH(B375,PEMAGANG!$C$3:$C$36,0))),1,0),0)</f>
        <v>1</v>
      </c>
      <c r="W375" s="71">
        <f t="shared" si="53"/>
        <v>1</v>
      </c>
    </row>
    <row r="376" spans="1:23" x14ac:dyDescent="0.2">
      <c r="A376" s="71" t="s">
        <v>183</v>
      </c>
      <c r="B376" s="71" t="s">
        <v>184</v>
      </c>
      <c r="C376" s="71" t="s">
        <v>187</v>
      </c>
      <c r="D376" s="71" t="s">
        <v>185</v>
      </c>
      <c r="E376" s="71" t="s">
        <v>47</v>
      </c>
      <c r="F376" s="71" t="s">
        <v>298</v>
      </c>
      <c r="G376" s="88">
        <v>46275.309108796297</v>
      </c>
      <c r="H376" s="89">
        <v>46275</v>
      </c>
      <c r="I376" s="71" t="s">
        <v>307</v>
      </c>
      <c r="J376" s="71">
        <v>-4.9999999999999796</v>
      </c>
      <c r="K376" s="71" t="s">
        <v>302</v>
      </c>
      <c r="L376" s="71">
        <f t="shared" si="45"/>
        <v>9</v>
      </c>
      <c r="M376" s="71" t="str">
        <f>IFERROR(INDEX(KALENDER!$D$3:$D$132,MATCH(H376,KALENDER!$A$3:$A$132,0)),"Di luar periode")</f>
        <v>Hari Kerja</v>
      </c>
      <c r="N376" s="71">
        <f t="shared" si="46"/>
        <v>0</v>
      </c>
      <c r="O376" s="71">
        <f t="shared" si="47"/>
        <v>2</v>
      </c>
      <c r="P376" s="71">
        <f t="shared" si="48"/>
        <v>0</v>
      </c>
      <c r="Q376" s="71">
        <f t="shared" si="49"/>
        <v>0</v>
      </c>
      <c r="R376" s="71">
        <f t="shared" si="50"/>
        <v>0</v>
      </c>
      <c r="S376" s="71">
        <f t="shared" si="51"/>
        <v>0</v>
      </c>
      <c r="T376" s="71">
        <f t="shared" si="52"/>
        <v>0</v>
      </c>
      <c r="U376" s="71">
        <f>IF(AND(N376=1,V376=1),IF(COUNTIFS(AKTIVITAS!$B$2:$B$3052,B376,AKTIVITAS!$E$2:$E$3052,H376)&gt;0,1,0),0)</f>
        <v>0</v>
      </c>
      <c r="V376" s="71">
        <f>IFERROR(IF(AND(H376&gt;=INDEX(PEMAGANG!$J$3:$J$36,MATCH(B376,PEMAGANG!$C$3:$C$36,0)),H376&lt;=INDEX(PEMAGANG!$K$3:$K$36,MATCH(B376,PEMAGANG!$C$3:$C$36,0))),1,0),0)</f>
        <v>1</v>
      </c>
      <c r="W376" s="71">
        <f t="shared" si="53"/>
        <v>0</v>
      </c>
    </row>
    <row r="377" spans="1:23" x14ac:dyDescent="0.2">
      <c r="A377" s="71" t="s">
        <v>183</v>
      </c>
      <c r="B377" s="71" t="s">
        <v>184</v>
      </c>
      <c r="C377" s="71" t="s">
        <v>187</v>
      </c>
      <c r="D377" s="71" t="s">
        <v>185</v>
      </c>
      <c r="E377" s="71" t="s">
        <v>47</v>
      </c>
      <c r="F377" s="71" t="s">
        <v>300</v>
      </c>
      <c r="G377" s="88">
        <v>46275.731817129599</v>
      </c>
      <c r="H377" s="89">
        <v>46275</v>
      </c>
      <c r="I377" s="71" t="s">
        <v>404</v>
      </c>
      <c r="J377" s="71">
        <v>0</v>
      </c>
      <c r="K377" s="71" t="s">
        <v>302</v>
      </c>
      <c r="L377" s="71">
        <f t="shared" si="45"/>
        <v>9</v>
      </c>
      <c r="M377" s="71" t="str">
        <f>IFERROR(INDEX(KALENDER!$D$3:$D$132,MATCH(H377,KALENDER!$A$3:$A$132,0)),"Di luar periode")</f>
        <v>Hari Kerja</v>
      </c>
      <c r="N377" s="71">
        <f t="shared" si="46"/>
        <v>0</v>
      </c>
      <c r="O377" s="71">
        <f t="shared" si="47"/>
        <v>2</v>
      </c>
      <c r="P377" s="71">
        <f t="shared" si="48"/>
        <v>0</v>
      </c>
      <c r="Q377" s="71">
        <f t="shared" si="49"/>
        <v>0</v>
      </c>
      <c r="R377" s="71">
        <f t="shared" si="50"/>
        <v>0</v>
      </c>
      <c r="S377" s="71">
        <f t="shared" si="51"/>
        <v>0</v>
      </c>
      <c r="T377" s="71">
        <f t="shared" si="52"/>
        <v>0</v>
      </c>
      <c r="U377" s="71">
        <f>IF(AND(N377=1,V377=1),IF(COUNTIFS(AKTIVITAS!$B$2:$B$3052,B377,AKTIVITAS!$E$2:$E$3052,H377)&gt;0,1,0),0)</f>
        <v>0</v>
      </c>
      <c r="V377" s="71">
        <f>IFERROR(IF(AND(H377&gt;=INDEX(PEMAGANG!$J$3:$J$36,MATCH(B377,PEMAGANG!$C$3:$C$36,0)),H377&lt;=INDEX(PEMAGANG!$K$3:$K$36,MATCH(B377,PEMAGANG!$C$3:$C$36,0))),1,0),0)</f>
        <v>1</v>
      </c>
      <c r="W377" s="71">
        <f t="shared" si="53"/>
        <v>0</v>
      </c>
    </row>
    <row r="378" spans="1:23" x14ac:dyDescent="0.2">
      <c r="A378" s="71" t="s">
        <v>183</v>
      </c>
      <c r="B378" s="71" t="s">
        <v>184</v>
      </c>
      <c r="C378" s="71" t="s">
        <v>187</v>
      </c>
      <c r="D378" s="71" t="s">
        <v>185</v>
      </c>
      <c r="E378" s="71" t="s">
        <v>47</v>
      </c>
      <c r="F378" s="71" t="s">
        <v>298</v>
      </c>
      <c r="G378" s="88">
        <v>46276.308217592603</v>
      </c>
      <c r="H378" s="89">
        <v>46276</v>
      </c>
      <c r="I378" s="71" t="s">
        <v>311</v>
      </c>
      <c r="J378" s="71">
        <v>-6.9999999999999796</v>
      </c>
      <c r="K378" s="71" t="s">
        <v>302</v>
      </c>
      <c r="L378" s="71">
        <f t="shared" si="45"/>
        <v>9</v>
      </c>
      <c r="M378" s="71" t="str">
        <f>IFERROR(INDEX(KALENDER!$D$3:$D$132,MATCH(H378,KALENDER!$A$3:$A$132,0)),"Di luar periode")</f>
        <v>Hari Kerja</v>
      </c>
      <c r="N378" s="71">
        <f t="shared" si="46"/>
        <v>1</v>
      </c>
      <c r="O378" s="71">
        <f t="shared" si="47"/>
        <v>1</v>
      </c>
      <c r="P378" s="71">
        <f t="shared" si="48"/>
        <v>1</v>
      </c>
      <c r="Q378" s="71">
        <f t="shared" si="49"/>
        <v>0</v>
      </c>
      <c r="R378" s="71">
        <f t="shared" si="50"/>
        <v>0</v>
      </c>
      <c r="S378" s="71">
        <f t="shared" si="51"/>
        <v>0</v>
      </c>
      <c r="T378" s="71">
        <f t="shared" si="52"/>
        <v>1</v>
      </c>
      <c r="U378" s="71">
        <f>IF(AND(N378=1,V378=1),IF(COUNTIFS(AKTIVITAS!$B$2:$B$3052,B378,AKTIVITAS!$E$2:$E$3052,H378)&gt;0,1,0),0)</f>
        <v>0</v>
      </c>
      <c r="V378" s="71">
        <f>IFERROR(IF(AND(H378&gt;=INDEX(PEMAGANG!$J$3:$J$36,MATCH(B378,PEMAGANG!$C$3:$C$36,0)),H378&lt;=INDEX(PEMAGANG!$K$3:$K$36,MATCH(B378,PEMAGANG!$C$3:$C$36,0))),1,0),0)</f>
        <v>1</v>
      </c>
      <c r="W378" s="71">
        <f t="shared" si="53"/>
        <v>1</v>
      </c>
    </row>
    <row r="379" spans="1:23" x14ac:dyDescent="0.2">
      <c r="A379" s="71" t="s">
        <v>183</v>
      </c>
      <c r="B379" s="71" t="s">
        <v>184</v>
      </c>
      <c r="C379" s="71" t="s">
        <v>187</v>
      </c>
      <c r="D379" s="71" t="s">
        <v>185</v>
      </c>
      <c r="E379" s="71" t="s">
        <v>47</v>
      </c>
      <c r="F379" s="71" t="s">
        <v>298</v>
      </c>
      <c r="G379" s="88">
        <v>46279.308726851901</v>
      </c>
      <c r="H379" s="89">
        <v>46279</v>
      </c>
      <c r="I379" s="71" t="s">
        <v>303</v>
      </c>
      <c r="J379" s="71">
        <v>-5.9999999999999796</v>
      </c>
      <c r="K379" s="71" t="s">
        <v>302</v>
      </c>
      <c r="L379" s="71">
        <f t="shared" si="45"/>
        <v>9</v>
      </c>
      <c r="M379" s="71" t="str">
        <f>IFERROR(INDEX(KALENDER!$D$3:$D$132,MATCH(H379,KALENDER!$A$3:$A$132,0)),"Di luar periode")</f>
        <v>Hari Kerja</v>
      </c>
      <c r="N379" s="71">
        <f t="shared" si="46"/>
        <v>1</v>
      </c>
      <c r="O379" s="71">
        <f t="shared" si="47"/>
        <v>1</v>
      </c>
      <c r="P379" s="71">
        <f t="shared" si="48"/>
        <v>1</v>
      </c>
      <c r="Q379" s="71">
        <f t="shared" si="49"/>
        <v>0</v>
      </c>
      <c r="R379" s="71">
        <f t="shared" si="50"/>
        <v>0</v>
      </c>
      <c r="S379" s="71">
        <f t="shared" si="51"/>
        <v>0</v>
      </c>
      <c r="T379" s="71">
        <f t="shared" si="52"/>
        <v>0</v>
      </c>
      <c r="U379" s="71">
        <f>IF(AND(N379=1,V379=1),IF(COUNTIFS(AKTIVITAS!$B$2:$B$3052,B379,AKTIVITAS!$E$2:$E$3052,H379)&gt;0,1,0),0)</f>
        <v>1</v>
      </c>
      <c r="V379" s="71">
        <f>IFERROR(IF(AND(H379&gt;=INDEX(PEMAGANG!$J$3:$J$36,MATCH(B379,PEMAGANG!$C$3:$C$36,0)),H379&lt;=INDEX(PEMAGANG!$K$3:$K$36,MATCH(B379,PEMAGANG!$C$3:$C$36,0))),1,0),0)</f>
        <v>1</v>
      </c>
      <c r="W379" s="71">
        <f t="shared" si="53"/>
        <v>1</v>
      </c>
    </row>
    <row r="380" spans="1:23" x14ac:dyDescent="0.2">
      <c r="A380" s="71" t="s">
        <v>183</v>
      </c>
      <c r="B380" s="71" t="s">
        <v>184</v>
      </c>
      <c r="C380" s="71" t="s">
        <v>187</v>
      </c>
      <c r="D380" s="71" t="s">
        <v>185</v>
      </c>
      <c r="E380" s="71" t="s">
        <v>47</v>
      </c>
      <c r="F380" s="71" t="s">
        <v>300</v>
      </c>
      <c r="G380" s="88">
        <v>46279.720532407402</v>
      </c>
      <c r="H380" s="89">
        <v>46279</v>
      </c>
      <c r="I380" s="71" t="s">
        <v>405</v>
      </c>
      <c r="J380" s="71">
        <v>0</v>
      </c>
      <c r="K380" s="71" t="s">
        <v>302</v>
      </c>
      <c r="L380" s="71">
        <f t="shared" si="45"/>
        <v>9</v>
      </c>
      <c r="M380" s="71" t="str">
        <f>IFERROR(INDEX(KALENDER!$D$3:$D$132,MATCH(H380,KALENDER!$A$3:$A$132,0)),"Di luar periode")</f>
        <v>Hari Kerja</v>
      </c>
      <c r="N380" s="71">
        <f t="shared" si="46"/>
        <v>0</v>
      </c>
      <c r="O380" s="71">
        <f t="shared" si="47"/>
        <v>1</v>
      </c>
      <c r="P380" s="71">
        <f t="shared" si="48"/>
        <v>0</v>
      </c>
      <c r="Q380" s="71">
        <f t="shared" si="49"/>
        <v>0</v>
      </c>
      <c r="R380" s="71">
        <f t="shared" si="50"/>
        <v>0</v>
      </c>
      <c r="S380" s="71">
        <f t="shared" si="51"/>
        <v>0</v>
      </c>
      <c r="T380" s="71">
        <f t="shared" si="52"/>
        <v>0</v>
      </c>
      <c r="U380" s="71">
        <f>IF(AND(N380=1,V380=1),IF(COUNTIFS(AKTIVITAS!$B$2:$B$3052,B380,AKTIVITAS!$E$2:$E$3052,H380)&gt;0,1,0),0)</f>
        <v>0</v>
      </c>
      <c r="V380" s="71">
        <f>IFERROR(IF(AND(H380&gt;=INDEX(PEMAGANG!$J$3:$J$36,MATCH(B380,PEMAGANG!$C$3:$C$36,0)),H380&lt;=INDEX(PEMAGANG!$K$3:$K$36,MATCH(B380,PEMAGANG!$C$3:$C$36,0))),1,0),0)</f>
        <v>1</v>
      </c>
      <c r="W380" s="71">
        <f t="shared" si="53"/>
        <v>0</v>
      </c>
    </row>
    <row r="381" spans="1:23" x14ac:dyDescent="0.2">
      <c r="A381" s="71" t="s">
        <v>183</v>
      </c>
      <c r="B381" s="71" t="s">
        <v>184</v>
      </c>
      <c r="C381" s="71" t="s">
        <v>187</v>
      </c>
      <c r="D381" s="71" t="s">
        <v>185</v>
      </c>
      <c r="E381" s="71" t="s">
        <v>47</v>
      </c>
      <c r="F381" s="71" t="s">
        <v>298</v>
      </c>
      <c r="G381" s="88">
        <v>46280.312442129602</v>
      </c>
      <c r="H381" s="89">
        <v>46280</v>
      </c>
      <c r="I381" s="71" t="s">
        <v>365</v>
      </c>
      <c r="J381" s="71">
        <v>-0.999999999999996</v>
      </c>
      <c r="K381" s="71" t="s">
        <v>302</v>
      </c>
      <c r="L381" s="71">
        <f t="shared" si="45"/>
        <v>9</v>
      </c>
      <c r="M381" s="71" t="str">
        <f>IFERROR(INDEX(KALENDER!$D$3:$D$132,MATCH(H381,KALENDER!$A$3:$A$132,0)),"Di luar periode")</f>
        <v>Hari Kerja</v>
      </c>
      <c r="N381" s="71">
        <f t="shared" si="46"/>
        <v>1</v>
      </c>
      <c r="O381" s="71">
        <f t="shared" si="47"/>
        <v>1</v>
      </c>
      <c r="P381" s="71">
        <f t="shared" si="48"/>
        <v>1</v>
      </c>
      <c r="Q381" s="71">
        <f t="shared" si="49"/>
        <v>0</v>
      </c>
      <c r="R381" s="71">
        <f t="shared" si="50"/>
        <v>0</v>
      </c>
      <c r="S381" s="71">
        <f t="shared" si="51"/>
        <v>0</v>
      </c>
      <c r="T381" s="71">
        <f t="shared" si="52"/>
        <v>0</v>
      </c>
      <c r="U381" s="71">
        <f>IF(AND(N381=1,V381=1),IF(COUNTIFS(AKTIVITAS!$B$2:$B$3052,B381,AKTIVITAS!$E$2:$E$3052,H381)&gt;0,1,0),0)</f>
        <v>1</v>
      </c>
      <c r="V381" s="71">
        <f>IFERROR(IF(AND(H381&gt;=INDEX(PEMAGANG!$J$3:$J$36,MATCH(B381,PEMAGANG!$C$3:$C$36,0)),H381&lt;=INDEX(PEMAGANG!$K$3:$K$36,MATCH(B381,PEMAGANG!$C$3:$C$36,0))),1,0),0)</f>
        <v>1</v>
      </c>
      <c r="W381" s="71">
        <f t="shared" si="53"/>
        <v>1</v>
      </c>
    </row>
    <row r="382" spans="1:23" x14ac:dyDescent="0.2">
      <c r="A382" s="71" t="s">
        <v>183</v>
      </c>
      <c r="B382" s="71" t="s">
        <v>184</v>
      </c>
      <c r="C382" s="71" t="s">
        <v>187</v>
      </c>
      <c r="D382" s="71" t="s">
        <v>185</v>
      </c>
      <c r="E382" s="71" t="s">
        <v>47</v>
      </c>
      <c r="F382" s="71" t="s">
        <v>300</v>
      </c>
      <c r="G382" s="88">
        <v>46280.7136805556</v>
      </c>
      <c r="H382" s="89">
        <v>46280</v>
      </c>
      <c r="I382" s="71" t="s">
        <v>324</v>
      </c>
      <c r="J382" s="71">
        <v>0</v>
      </c>
      <c r="K382" s="71" t="s">
        <v>302</v>
      </c>
      <c r="L382" s="71">
        <f t="shared" si="45"/>
        <v>9</v>
      </c>
      <c r="M382" s="71" t="str">
        <f>IFERROR(INDEX(KALENDER!$D$3:$D$132,MATCH(H382,KALENDER!$A$3:$A$132,0)),"Di luar periode")</f>
        <v>Hari Kerja</v>
      </c>
      <c r="N382" s="71">
        <f t="shared" si="46"/>
        <v>0</v>
      </c>
      <c r="O382" s="71">
        <f t="shared" si="47"/>
        <v>1</v>
      </c>
      <c r="P382" s="71">
        <f t="shared" si="48"/>
        <v>0</v>
      </c>
      <c r="Q382" s="71">
        <f t="shared" si="49"/>
        <v>0</v>
      </c>
      <c r="R382" s="71">
        <f t="shared" si="50"/>
        <v>0</v>
      </c>
      <c r="S382" s="71">
        <f t="shared" si="51"/>
        <v>0</v>
      </c>
      <c r="T382" s="71">
        <f t="shared" si="52"/>
        <v>0</v>
      </c>
      <c r="U382" s="71">
        <f>IF(AND(N382=1,V382=1),IF(COUNTIFS(AKTIVITAS!$B$2:$B$3052,B382,AKTIVITAS!$E$2:$E$3052,H382)&gt;0,1,0),0)</f>
        <v>0</v>
      </c>
      <c r="V382" s="71">
        <f>IFERROR(IF(AND(H382&gt;=INDEX(PEMAGANG!$J$3:$J$36,MATCH(B382,PEMAGANG!$C$3:$C$36,0)),H382&lt;=INDEX(PEMAGANG!$K$3:$K$36,MATCH(B382,PEMAGANG!$C$3:$C$36,0))),1,0),0)</f>
        <v>1</v>
      </c>
      <c r="W382" s="71">
        <f t="shared" si="53"/>
        <v>0</v>
      </c>
    </row>
    <row r="383" spans="1:23" x14ac:dyDescent="0.2">
      <c r="A383" s="71" t="s">
        <v>183</v>
      </c>
      <c r="B383" s="71" t="s">
        <v>184</v>
      </c>
      <c r="C383" s="71" t="s">
        <v>187</v>
      </c>
      <c r="D383" s="71" t="s">
        <v>185</v>
      </c>
      <c r="E383" s="71" t="s">
        <v>47</v>
      </c>
      <c r="F383" s="71" t="s">
        <v>298</v>
      </c>
      <c r="G383" s="88">
        <v>46281.312175925901</v>
      </c>
      <c r="H383" s="89">
        <v>46281</v>
      </c>
      <c r="I383" s="71" t="s">
        <v>365</v>
      </c>
      <c r="J383" s="71">
        <v>-0.999999999999996</v>
      </c>
      <c r="K383" s="71" t="s">
        <v>302</v>
      </c>
      <c r="L383" s="71">
        <f t="shared" si="45"/>
        <v>9</v>
      </c>
      <c r="M383" s="71" t="str">
        <f>IFERROR(INDEX(KALENDER!$D$3:$D$132,MATCH(H383,KALENDER!$A$3:$A$132,0)),"Di luar periode")</f>
        <v>Hari Kerja</v>
      </c>
      <c r="N383" s="71">
        <f t="shared" si="46"/>
        <v>1</v>
      </c>
      <c r="O383" s="71">
        <f t="shared" si="47"/>
        <v>1</v>
      </c>
      <c r="P383" s="71">
        <f t="shared" si="48"/>
        <v>1</v>
      </c>
      <c r="Q383" s="71">
        <f t="shared" si="49"/>
        <v>0</v>
      </c>
      <c r="R383" s="71">
        <f t="shared" si="50"/>
        <v>0</v>
      </c>
      <c r="S383" s="71">
        <f t="shared" si="51"/>
        <v>0</v>
      </c>
      <c r="T383" s="71">
        <f t="shared" si="52"/>
        <v>0</v>
      </c>
      <c r="U383" s="71">
        <f>IF(AND(N383=1,V383=1),IF(COUNTIFS(AKTIVITAS!$B$2:$B$3052,B383,AKTIVITAS!$E$2:$E$3052,H383)&gt;0,1,0),0)</f>
        <v>1</v>
      </c>
      <c r="V383" s="71">
        <f>IFERROR(IF(AND(H383&gt;=INDEX(PEMAGANG!$J$3:$J$36,MATCH(B383,PEMAGANG!$C$3:$C$36,0)),H383&lt;=INDEX(PEMAGANG!$K$3:$K$36,MATCH(B383,PEMAGANG!$C$3:$C$36,0))),1,0),0)</f>
        <v>1</v>
      </c>
      <c r="W383" s="71">
        <f t="shared" si="53"/>
        <v>1</v>
      </c>
    </row>
    <row r="384" spans="1:23" x14ac:dyDescent="0.2">
      <c r="A384" s="71" t="s">
        <v>183</v>
      </c>
      <c r="B384" s="71" t="s">
        <v>184</v>
      </c>
      <c r="C384" s="71" t="s">
        <v>187</v>
      </c>
      <c r="D384" s="71" t="s">
        <v>185</v>
      </c>
      <c r="E384" s="71" t="s">
        <v>47</v>
      </c>
      <c r="F384" s="71" t="s">
        <v>300</v>
      </c>
      <c r="G384" s="88">
        <v>46281.745104166701</v>
      </c>
      <c r="H384" s="89">
        <v>46281</v>
      </c>
      <c r="I384" s="71" t="s">
        <v>406</v>
      </c>
      <c r="J384" s="71">
        <v>0</v>
      </c>
      <c r="K384" s="71" t="s">
        <v>302</v>
      </c>
      <c r="L384" s="71">
        <f t="shared" si="45"/>
        <v>9</v>
      </c>
      <c r="M384" s="71" t="str">
        <f>IFERROR(INDEX(KALENDER!$D$3:$D$132,MATCH(H384,KALENDER!$A$3:$A$132,0)),"Di luar periode")</f>
        <v>Hari Kerja</v>
      </c>
      <c r="N384" s="71">
        <f t="shared" si="46"/>
        <v>0</v>
      </c>
      <c r="O384" s="71">
        <f t="shared" si="47"/>
        <v>1</v>
      </c>
      <c r="P384" s="71">
        <f t="shared" si="48"/>
        <v>0</v>
      </c>
      <c r="Q384" s="71">
        <f t="shared" si="49"/>
        <v>0</v>
      </c>
      <c r="R384" s="71">
        <f t="shared" si="50"/>
        <v>0</v>
      </c>
      <c r="S384" s="71">
        <f t="shared" si="51"/>
        <v>0</v>
      </c>
      <c r="T384" s="71">
        <f t="shared" si="52"/>
        <v>0</v>
      </c>
      <c r="U384" s="71">
        <f>IF(AND(N384=1,V384=1),IF(COUNTIFS(AKTIVITAS!$B$2:$B$3052,B384,AKTIVITAS!$E$2:$E$3052,H384)&gt;0,1,0),0)</f>
        <v>0</v>
      </c>
      <c r="V384" s="71">
        <f>IFERROR(IF(AND(H384&gt;=INDEX(PEMAGANG!$J$3:$J$36,MATCH(B384,PEMAGANG!$C$3:$C$36,0)),H384&lt;=INDEX(PEMAGANG!$K$3:$K$36,MATCH(B384,PEMAGANG!$C$3:$C$36,0))),1,0),0)</f>
        <v>1</v>
      </c>
      <c r="W384" s="71">
        <f t="shared" si="53"/>
        <v>0</v>
      </c>
    </row>
    <row r="385" spans="1:23" x14ac:dyDescent="0.2">
      <c r="A385" s="71" t="s">
        <v>183</v>
      </c>
      <c r="B385" s="71" t="s">
        <v>184</v>
      </c>
      <c r="C385" s="71" t="s">
        <v>187</v>
      </c>
      <c r="D385" s="71" t="s">
        <v>185</v>
      </c>
      <c r="E385" s="71" t="s">
        <v>47</v>
      </c>
      <c r="F385" s="71" t="s">
        <v>298</v>
      </c>
      <c r="G385" s="88">
        <v>46282.3114236111</v>
      </c>
      <c r="H385" s="89">
        <v>46282</v>
      </c>
      <c r="I385" s="71" t="s">
        <v>377</v>
      </c>
      <c r="J385" s="71">
        <v>-1.99999999999999</v>
      </c>
      <c r="K385" s="71" t="s">
        <v>302</v>
      </c>
      <c r="L385" s="71">
        <f t="shared" si="45"/>
        <v>9</v>
      </c>
      <c r="M385" s="71" t="str">
        <f>IFERROR(INDEX(KALENDER!$D$3:$D$132,MATCH(H385,KALENDER!$A$3:$A$132,0)),"Di luar periode")</f>
        <v>Hari Kerja</v>
      </c>
      <c r="N385" s="71">
        <f t="shared" si="46"/>
        <v>1</v>
      </c>
      <c r="O385" s="71">
        <f t="shared" si="47"/>
        <v>1</v>
      </c>
      <c r="P385" s="71">
        <f t="shared" si="48"/>
        <v>1</v>
      </c>
      <c r="Q385" s="71">
        <f t="shared" si="49"/>
        <v>0</v>
      </c>
      <c r="R385" s="71">
        <f t="shared" si="50"/>
        <v>0</v>
      </c>
      <c r="S385" s="71">
        <f t="shared" si="51"/>
        <v>0</v>
      </c>
      <c r="T385" s="71">
        <f t="shared" si="52"/>
        <v>0</v>
      </c>
      <c r="U385" s="71">
        <f>IF(AND(N385=1,V385=1),IF(COUNTIFS(AKTIVITAS!$B$2:$B$3052,B385,AKTIVITAS!$E$2:$E$3052,H385)&gt;0,1,0),0)</f>
        <v>1</v>
      </c>
      <c r="V385" s="71">
        <f>IFERROR(IF(AND(H385&gt;=INDEX(PEMAGANG!$J$3:$J$36,MATCH(B385,PEMAGANG!$C$3:$C$36,0)),H385&lt;=INDEX(PEMAGANG!$K$3:$K$36,MATCH(B385,PEMAGANG!$C$3:$C$36,0))),1,0),0)</f>
        <v>1</v>
      </c>
      <c r="W385" s="71">
        <f t="shared" si="53"/>
        <v>1</v>
      </c>
    </row>
    <row r="386" spans="1:23" x14ac:dyDescent="0.2">
      <c r="A386" s="71" t="s">
        <v>183</v>
      </c>
      <c r="B386" s="71" t="s">
        <v>184</v>
      </c>
      <c r="C386" s="71" t="s">
        <v>187</v>
      </c>
      <c r="D386" s="71" t="s">
        <v>185</v>
      </c>
      <c r="E386" s="71" t="s">
        <v>47</v>
      </c>
      <c r="F386" s="71" t="s">
        <v>300</v>
      </c>
      <c r="G386" s="88">
        <v>46282.691504629598</v>
      </c>
      <c r="H386" s="89">
        <v>46282</v>
      </c>
      <c r="I386" s="71" t="s">
        <v>310</v>
      </c>
      <c r="J386" s="71">
        <v>0</v>
      </c>
      <c r="K386" s="71" t="s">
        <v>302</v>
      </c>
      <c r="L386" s="71">
        <f t="shared" ref="L386:L449" si="54">MONTH(H386)</f>
        <v>9</v>
      </c>
      <c r="M386" s="71" t="str">
        <f>IFERROR(INDEX(KALENDER!$D$3:$D$132,MATCH(H386,KALENDER!$A$3:$A$132,0)),"Di luar periode")</f>
        <v>Hari Kerja</v>
      </c>
      <c r="N386" s="71">
        <f t="shared" ref="N386:N449" si="55">IF(AND(B386=B385,H386=H385),0,1)</f>
        <v>0</v>
      </c>
      <c r="O386" s="71">
        <f t="shared" ref="O386:O449" si="56">IF(N386=1,0,O385)+IF(F386="MASUK",1,0)</f>
        <v>1</v>
      </c>
      <c r="P386" s="71">
        <f t="shared" ref="P386:P449" si="57">IF(AND(N386=1,M386="Hari Kerja",V386=1),1,0)</f>
        <v>0</v>
      </c>
      <c r="Q386" s="71">
        <f t="shared" ref="Q386:Q449" si="58">IF(AND(N386=1,OR(M386&lt;&gt;"Hari Kerja",V386=0)),1,0)</f>
        <v>0</v>
      </c>
      <c r="R386" s="71">
        <f t="shared" ref="R386:R449" si="59">IF(AND(F386="MASUK",O386=1,N(J386)&gt;0,V386=1),1,0)</f>
        <v>0</v>
      </c>
      <c r="S386" s="71">
        <f t="shared" ref="S386:S449" si="60">R386*N(J386)</f>
        <v>0</v>
      </c>
      <c r="T386" s="71">
        <f t="shared" ref="T386:T449" si="61">IF(AND(N386=1,V386=1),IF(AND(COUNTIFS($B$2:$B$4094,B386,$H$2:$H$4094,H386,$F$2:$F$4094,"MASUK")&gt;0,COUNTIFS($B$2:$B$4094,B386,$H$2:$H$4094,H386,$F$2:$F$4094,"PULANG")=0),1,0),0)</f>
        <v>0</v>
      </c>
      <c r="U386" s="71">
        <f>IF(AND(N386=1,V386=1),IF(COUNTIFS(AKTIVITAS!$B$2:$B$3052,B386,AKTIVITAS!$E$2:$E$3052,H386)&gt;0,1,0),0)</f>
        <v>0</v>
      </c>
      <c r="V386" s="71">
        <f>IFERROR(IF(AND(H386&gt;=INDEX(PEMAGANG!$J$3:$J$36,MATCH(B386,PEMAGANG!$C$3:$C$36,0)),H386&lt;=INDEX(PEMAGANG!$K$3:$K$36,MATCH(B386,PEMAGANG!$C$3:$C$36,0))),1,0),0)</f>
        <v>1</v>
      </c>
      <c r="W386" s="71">
        <f t="shared" ref="W386:W449" si="62">N386*V386</f>
        <v>0</v>
      </c>
    </row>
    <row r="387" spans="1:23" x14ac:dyDescent="0.2">
      <c r="A387" s="71" t="s">
        <v>183</v>
      </c>
      <c r="B387" s="71" t="s">
        <v>184</v>
      </c>
      <c r="C387" s="71" t="s">
        <v>187</v>
      </c>
      <c r="D387" s="71" t="s">
        <v>185</v>
      </c>
      <c r="E387" s="71" t="s">
        <v>47</v>
      </c>
      <c r="F387" s="71" t="s">
        <v>298</v>
      </c>
      <c r="G387" s="88">
        <v>46283.311921296299</v>
      </c>
      <c r="H387" s="89">
        <v>46283</v>
      </c>
      <c r="I387" s="71" t="s">
        <v>365</v>
      </c>
      <c r="J387" s="71">
        <v>-0.999999999999996</v>
      </c>
      <c r="K387" s="71" t="s">
        <v>302</v>
      </c>
      <c r="L387" s="71">
        <f t="shared" si="54"/>
        <v>9</v>
      </c>
      <c r="M387" s="71" t="str">
        <f>IFERROR(INDEX(KALENDER!$D$3:$D$132,MATCH(H387,KALENDER!$A$3:$A$132,0)),"Di luar periode")</f>
        <v>Hari Kerja</v>
      </c>
      <c r="N387" s="71">
        <f t="shared" si="55"/>
        <v>1</v>
      </c>
      <c r="O387" s="71">
        <f t="shared" si="56"/>
        <v>1</v>
      </c>
      <c r="P387" s="71">
        <f t="shared" si="57"/>
        <v>1</v>
      </c>
      <c r="Q387" s="71">
        <f t="shared" si="58"/>
        <v>0</v>
      </c>
      <c r="R387" s="71">
        <f t="shared" si="59"/>
        <v>0</v>
      </c>
      <c r="S387" s="71">
        <f t="shared" si="60"/>
        <v>0</v>
      </c>
      <c r="T387" s="71">
        <f t="shared" si="61"/>
        <v>0</v>
      </c>
      <c r="U387" s="71">
        <f>IF(AND(N387=1,V387=1),IF(COUNTIFS(AKTIVITAS!$B$2:$B$3052,B387,AKTIVITAS!$E$2:$E$3052,H387)&gt;0,1,0),0)</f>
        <v>1</v>
      </c>
      <c r="V387" s="71">
        <f>IFERROR(IF(AND(H387&gt;=INDEX(PEMAGANG!$J$3:$J$36,MATCH(B387,PEMAGANG!$C$3:$C$36,0)),H387&lt;=INDEX(PEMAGANG!$K$3:$K$36,MATCH(B387,PEMAGANG!$C$3:$C$36,0))),1,0),0)</f>
        <v>1</v>
      </c>
      <c r="W387" s="71">
        <f t="shared" si="62"/>
        <v>1</v>
      </c>
    </row>
    <row r="388" spans="1:23" x14ac:dyDescent="0.2">
      <c r="A388" s="71" t="s">
        <v>183</v>
      </c>
      <c r="B388" s="71" t="s">
        <v>184</v>
      </c>
      <c r="C388" s="71" t="s">
        <v>187</v>
      </c>
      <c r="D388" s="71" t="s">
        <v>185</v>
      </c>
      <c r="E388" s="71" t="s">
        <v>47</v>
      </c>
      <c r="F388" s="71" t="s">
        <v>298</v>
      </c>
      <c r="G388" s="88">
        <v>46283.722060185202</v>
      </c>
      <c r="H388" s="89">
        <v>46283</v>
      </c>
      <c r="I388" s="71" t="s">
        <v>382</v>
      </c>
      <c r="J388" s="71">
        <v>589</v>
      </c>
      <c r="K388" s="71" t="s">
        <v>293</v>
      </c>
      <c r="L388" s="71">
        <f t="shared" si="54"/>
        <v>9</v>
      </c>
      <c r="M388" s="71" t="str">
        <f>IFERROR(INDEX(KALENDER!$D$3:$D$132,MATCH(H388,KALENDER!$A$3:$A$132,0)),"Di luar periode")</f>
        <v>Hari Kerja</v>
      </c>
      <c r="N388" s="71">
        <f t="shared" si="55"/>
        <v>0</v>
      </c>
      <c r="O388" s="71">
        <f t="shared" si="56"/>
        <v>2</v>
      </c>
      <c r="P388" s="71">
        <f t="shared" si="57"/>
        <v>0</v>
      </c>
      <c r="Q388" s="71">
        <f t="shared" si="58"/>
        <v>0</v>
      </c>
      <c r="R388" s="71">
        <f t="shared" si="59"/>
        <v>0</v>
      </c>
      <c r="S388" s="71">
        <f t="shared" si="60"/>
        <v>0</v>
      </c>
      <c r="T388" s="71">
        <f t="shared" si="61"/>
        <v>0</v>
      </c>
      <c r="U388" s="71">
        <f>IF(AND(N388=1,V388=1),IF(COUNTIFS(AKTIVITAS!$B$2:$B$3052,B388,AKTIVITAS!$E$2:$E$3052,H388)&gt;0,1,0),0)</f>
        <v>0</v>
      </c>
      <c r="V388" s="71">
        <f>IFERROR(IF(AND(H388&gt;=INDEX(PEMAGANG!$J$3:$J$36,MATCH(B388,PEMAGANG!$C$3:$C$36,0)),H388&lt;=INDEX(PEMAGANG!$K$3:$K$36,MATCH(B388,PEMAGANG!$C$3:$C$36,0))),1,0),0)</f>
        <v>1</v>
      </c>
      <c r="W388" s="71">
        <f t="shared" si="62"/>
        <v>0</v>
      </c>
    </row>
    <row r="389" spans="1:23" x14ac:dyDescent="0.2">
      <c r="A389" s="71" t="s">
        <v>183</v>
      </c>
      <c r="B389" s="71" t="s">
        <v>184</v>
      </c>
      <c r="C389" s="71" t="s">
        <v>187</v>
      </c>
      <c r="D389" s="71" t="s">
        <v>185</v>
      </c>
      <c r="E389" s="71" t="s">
        <v>47</v>
      </c>
      <c r="F389" s="71" t="s">
        <v>300</v>
      </c>
      <c r="G389" s="88">
        <v>46283.722303240698</v>
      </c>
      <c r="H389" s="89">
        <v>46283</v>
      </c>
      <c r="I389" s="71" t="s">
        <v>407</v>
      </c>
      <c r="J389" s="71">
        <v>0</v>
      </c>
      <c r="K389" s="71" t="s">
        <v>302</v>
      </c>
      <c r="L389" s="71">
        <f t="shared" si="54"/>
        <v>9</v>
      </c>
      <c r="M389" s="71" t="str">
        <f>IFERROR(INDEX(KALENDER!$D$3:$D$132,MATCH(H389,KALENDER!$A$3:$A$132,0)),"Di luar periode")</f>
        <v>Hari Kerja</v>
      </c>
      <c r="N389" s="71">
        <f t="shared" si="55"/>
        <v>0</v>
      </c>
      <c r="O389" s="71">
        <f t="shared" si="56"/>
        <v>2</v>
      </c>
      <c r="P389" s="71">
        <f t="shared" si="57"/>
        <v>0</v>
      </c>
      <c r="Q389" s="71">
        <f t="shared" si="58"/>
        <v>0</v>
      </c>
      <c r="R389" s="71">
        <f t="shared" si="59"/>
        <v>0</v>
      </c>
      <c r="S389" s="71">
        <f t="shared" si="60"/>
        <v>0</v>
      </c>
      <c r="T389" s="71">
        <f t="shared" si="61"/>
        <v>0</v>
      </c>
      <c r="U389" s="71">
        <f>IF(AND(N389=1,V389=1),IF(COUNTIFS(AKTIVITAS!$B$2:$B$3052,B389,AKTIVITAS!$E$2:$E$3052,H389)&gt;0,1,0),0)</f>
        <v>0</v>
      </c>
      <c r="V389" s="71">
        <f>IFERROR(IF(AND(H389&gt;=INDEX(PEMAGANG!$J$3:$J$36,MATCH(B389,PEMAGANG!$C$3:$C$36,0)),H389&lt;=INDEX(PEMAGANG!$K$3:$K$36,MATCH(B389,PEMAGANG!$C$3:$C$36,0))),1,0),0)</f>
        <v>1</v>
      </c>
      <c r="W389" s="71">
        <f t="shared" si="62"/>
        <v>0</v>
      </c>
    </row>
    <row r="390" spans="1:23" x14ac:dyDescent="0.2">
      <c r="A390" s="71" t="s">
        <v>183</v>
      </c>
      <c r="B390" s="71" t="s">
        <v>184</v>
      </c>
      <c r="C390" s="71" t="s">
        <v>187</v>
      </c>
      <c r="D390" s="71" t="s">
        <v>185</v>
      </c>
      <c r="E390" s="71" t="s">
        <v>47</v>
      </c>
      <c r="F390" s="71" t="s">
        <v>298</v>
      </c>
      <c r="G390" s="88">
        <v>46286.309212963002</v>
      </c>
      <c r="H390" s="89">
        <v>46286</v>
      </c>
      <c r="I390" s="71" t="s">
        <v>307</v>
      </c>
      <c r="J390" s="71">
        <v>-4.9999999999999796</v>
      </c>
      <c r="K390" s="71" t="s">
        <v>302</v>
      </c>
      <c r="L390" s="71">
        <f t="shared" si="54"/>
        <v>9</v>
      </c>
      <c r="M390" s="71" t="str">
        <f>IFERROR(INDEX(KALENDER!$D$3:$D$132,MATCH(H390,KALENDER!$A$3:$A$132,0)),"Di luar periode")</f>
        <v>Hari Kerja</v>
      </c>
      <c r="N390" s="71">
        <f t="shared" si="55"/>
        <v>1</v>
      </c>
      <c r="O390" s="71">
        <f t="shared" si="56"/>
        <v>1</v>
      </c>
      <c r="P390" s="71">
        <f t="shared" si="57"/>
        <v>1</v>
      </c>
      <c r="Q390" s="71">
        <f t="shared" si="58"/>
        <v>0</v>
      </c>
      <c r="R390" s="71">
        <f t="shared" si="59"/>
        <v>0</v>
      </c>
      <c r="S390" s="71">
        <f t="shared" si="60"/>
        <v>0</v>
      </c>
      <c r="T390" s="71">
        <f t="shared" si="61"/>
        <v>0</v>
      </c>
      <c r="U390" s="71">
        <f>IF(AND(N390=1,V390=1),IF(COUNTIFS(AKTIVITAS!$B$2:$B$3052,B390,AKTIVITAS!$E$2:$E$3052,H390)&gt;0,1,0),0)</f>
        <v>1</v>
      </c>
      <c r="V390" s="71">
        <f>IFERROR(IF(AND(H390&gt;=INDEX(PEMAGANG!$J$3:$J$36,MATCH(B390,PEMAGANG!$C$3:$C$36,0)),H390&lt;=INDEX(PEMAGANG!$K$3:$K$36,MATCH(B390,PEMAGANG!$C$3:$C$36,0))),1,0),0)</f>
        <v>1</v>
      </c>
      <c r="W390" s="71">
        <f t="shared" si="62"/>
        <v>1</v>
      </c>
    </row>
    <row r="391" spans="1:23" x14ac:dyDescent="0.2">
      <c r="A391" s="71" t="s">
        <v>183</v>
      </c>
      <c r="B391" s="71" t="s">
        <v>184</v>
      </c>
      <c r="C391" s="71" t="s">
        <v>187</v>
      </c>
      <c r="D391" s="71" t="s">
        <v>185</v>
      </c>
      <c r="E391" s="71" t="s">
        <v>47</v>
      </c>
      <c r="F391" s="71" t="s">
        <v>300</v>
      </c>
      <c r="G391" s="88">
        <v>46286.739155092597</v>
      </c>
      <c r="H391" s="89">
        <v>46286</v>
      </c>
      <c r="I391" s="71" t="s">
        <v>408</v>
      </c>
      <c r="J391" s="71">
        <v>0</v>
      </c>
      <c r="K391" s="71" t="s">
        <v>302</v>
      </c>
      <c r="L391" s="71">
        <f t="shared" si="54"/>
        <v>9</v>
      </c>
      <c r="M391" s="71" t="str">
        <f>IFERROR(INDEX(KALENDER!$D$3:$D$132,MATCH(H391,KALENDER!$A$3:$A$132,0)),"Di luar periode")</f>
        <v>Hari Kerja</v>
      </c>
      <c r="N391" s="71">
        <f t="shared" si="55"/>
        <v>0</v>
      </c>
      <c r="O391" s="71">
        <f t="shared" si="56"/>
        <v>1</v>
      </c>
      <c r="P391" s="71">
        <f t="shared" si="57"/>
        <v>0</v>
      </c>
      <c r="Q391" s="71">
        <f t="shared" si="58"/>
        <v>0</v>
      </c>
      <c r="R391" s="71">
        <f t="shared" si="59"/>
        <v>0</v>
      </c>
      <c r="S391" s="71">
        <f t="shared" si="60"/>
        <v>0</v>
      </c>
      <c r="T391" s="71">
        <f t="shared" si="61"/>
        <v>0</v>
      </c>
      <c r="U391" s="71">
        <f>IF(AND(N391=1,V391=1),IF(COUNTIFS(AKTIVITAS!$B$2:$B$3052,B391,AKTIVITAS!$E$2:$E$3052,H391)&gt;0,1,0),0)</f>
        <v>0</v>
      </c>
      <c r="V391" s="71">
        <f>IFERROR(IF(AND(H391&gt;=INDEX(PEMAGANG!$J$3:$J$36,MATCH(B391,PEMAGANG!$C$3:$C$36,0)),H391&lt;=INDEX(PEMAGANG!$K$3:$K$36,MATCH(B391,PEMAGANG!$C$3:$C$36,0))),1,0),0)</f>
        <v>1</v>
      </c>
      <c r="W391" s="71">
        <f t="shared" si="62"/>
        <v>0</v>
      </c>
    </row>
    <row r="392" spans="1:23" x14ac:dyDescent="0.2">
      <c r="A392" s="71" t="s">
        <v>183</v>
      </c>
      <c r="B392" s="71" t="s">
        <v>184</v>
      </c>
      <c r="C392" s="71" t="s">
        <v>187</v>
      </c>
      <c r="D392" s="71" t="s">
        <v>185</v>
      </c>
      <c r="E392" s="71" t="s">
        <v>47</v>
      </c>
      <c r="F392" s="71" t="s">
        <v>298</v>
      </c>
      <c r="G392" s="88">
        <v>46287.308344907397</v>
      </c>
      <c r="H392" s="89">
        <v>46287</v>
      </c>
      <c r="I392" s="71" t="s">
        <v>303</v>
      </c>
      <c r="J392" s="71">
        <v>-5.9999999999999796</v>
      </c>
      <c r="K392" s="71" t="s">
        <v>302</v>
      </c>
      <c r="L392" s="71">
        <f t="shared" si="54"/>
        <v>9</v>
      </c>
      <c r="M392" s="71" t="str">
        <f>IFERROR(INDEX(KALENDER!$D$3:$D$132,MATCH(H392,KALENDER!$A$3:$A$132,0)),"Di luar periode")</f>
        <v>Hari Kerja</v>
      </c>
      <c r="N392" s="71">
        <f t="shared" si="55"/>
        <v>1</v>
      </c>
      <c r="O392" s="71">
        <f t="shared" si="56"/>
        <v>1</v>
      </c>
      <c r="P392" s="71">
        <f t="shared" si="57"/>
        <v>1</v>
      </c>
      <c r="Q392" s="71">
        <f t="shared" si="58"/>
        <v>0</v>
      </c>
      <c r="R392" s="71">
        <f t="shared" si="59"/>
        <v>0</v>
      </c>
      <c r="S392" s="71">
        <f t="shared" si="60"/>
        <v>0</v>
      </c>
      <c r="T392" s="71">
        <f t="shared" si="61"/>
        <v>0</v>
      </c>
      <c r="U392" s="71">
        <f>IF(AND(N392=1,V392=1),IF(COUNTIFS(AKTIVITAS!$B$2:$B$3052,B392,AKTIVITAS!$E$2:$E$3052,H392)&gt;0,1,0),0)</f>
        <v>1</v>
      </c>
      <c r="V392" s="71">
        <f>IFERROR(IF(AND(H392&gt;=INDEX(PEMAGANG!$J$3:$J$36,MATCH(B392,PEMAGANG!$C$3:$C$36,0)),H392&lt;=INDEX(PEMAGANG!$K$3:$K$36,MATCH(B392,PEMAGANG!$C$3:$C$36,0))),1,0),0)</f>
        <v>1</v>
      </c>
      <c r="W392" s="71">
        <f t="shared" si="62"/>
        <v>1</v>
      </c>
    </row>
    <row r="393" spans="1:23" x14ac:dyDescent="0.2">
      <c r="A393" s="71" t="s">
        <v>183</v>
      </c>
      <c r="B393" s="71" t="s">
        <v>184</v>
      </c>
      <c r="C393" s="71" t="s">
        <v>187</v>
      </c>
      <c r="D393" s="71" t="s">
        <v>185</v>
      </c>
      <c r="E393" s="71" t="s">
        <v>47</v>
      </c>
      <c r="F393" s="71" t="s">
        <v>298</v>
      </c>
      <c r="G393" s="88">
        <v>46287.308391203696</v>
      </c>
      <c r="H393" s="89">
        <v>46287</v>
      </c>
      <c r="I393" s="71" t="s">
        <v>303</v>
      </c>
      <c r="J393" s="71">
        <v>-5.9999999999999796</v>
      </c>
      <c r="K393" s="71" t="s">
        <v>302</v>
      </c>
      <c r="L393" s="71">
        <f t="shared" si="54"/>
        <v>9</v>
      </c>
      <c r="M393" s="71" t="str">
        <f>IFERROR(INDEX(KALENDER!$D$3:$D$132,MATCH(H393,KALENDER!$A$3:$A$132,0)),"Di luar periode")</f>
        <v>Hari Kerja</v>
      </c>
      <c r="N393" s="71">
        <f t="shared" si="55"/>
        <v>0</v>
      </c>
      <c r="O393" s="71">
        <f t="shared" si="56"/>
        <v>2</v>
      </c>
      <c r="P393" s="71">
        <f t="shared" si="57"/>
        <v>0</v>
      </c>
      <c r="Q393" s="71">
        <f t="shared" si="58"/>
        <v>0</v>
      </c>
      <c r="R393" s="71">
        <f t="shared" si="59"/>
        <v>0</v>
      </c>
      <c r="S393" s="71">
        <f t="shared" si="60"/>
        <v>0</v>
      </c>
      <c r="T393" s="71">
        <f t="shared" si="61"/>
        <v>0</v>
      </c>
      <c r="U393" s="71">
        <f>IF(AND(N393=1,V393=1),IF(COUNTIFS(AKTIVITAS!$B$2:$B$3052,B393,AKTIVITAS!$E$2:$E$3052,H393)&gt;0,1,0),0)</f>
        <v>0</v>
      </c>
      <c r="V393" s="71">
        <f>IFERROR(IF(AND(H393&gt;=INDEX(PEMAGANG!$J$3:$J$36,MATCH(B393,PEMAGANG!$C$3:$C$36,0)),H393&lt;=INDEX(PEMAGANG!$K$3:$K$36,MATCH(B393,PEMAGANG!$C$3:$C$36,0))),1,0),0)</f>
        <v>1</v>
      </c>
      <c r="W393" s="71">
        <f t="shared" si="62"/>
        <v>0</v>
      </c>
    </row>
    <row r="394" spans="1:23" x14ac:dyDescent="0.2">
      <c r="A394" s="71" t="s">
        <v>183</v>
      </c>
      <c r="B394" s="71" t="s">
        <v>184</v>
      </c>
      <c r="C394" s="71" t="s">
        <v>187</v>
      </c>
      <c r="D394" s="71" t="s">
        <v>185</v>
      </c>
      <c r="E394" s="71" t="s">
        <v>47</v>
      </c>
      <c r="F394" s="71" t="s">
        <v>298</v>
      </c>
      <c r="G394" s="88">
        <v>46287.308425925898</v>
      </c>
      <c r="H394" s="89">
        <v>46287</v>
      </c>
      <c r="I394" s="71" t="s">
        <v>303</v>
      </c>
      <c r="J394" s="71">
        <v>-5.9999999999999796</v>
      </c>
      <c r="K394" s="71" t="s">
        <v>302</v>
      </c>
      <c r="L394" s="71">
        <f t="shared" si="54"/>
        <v>9</v>
      </c>
      <c r="M394" s="71" t="str">
        <f>IFERROR(INDEX(KALENDER!$D$3:$D$132,MATCH(H394,KALENDER!$A$3:$A$132,0)),"Di luar periode")</f>
        <v>Hari Kerja</v>
      </c>
      <c r="N394" s="71">
        <f t="shared" si="55"/>
        <v>0</v>
      </c>
      <c r="O394" s="71">
        <f t="shared" si="56"/>
        <v>3</v>
      </c>
      <c r="P394" s="71">
        <f t="shared" si="57"/>
        <v>0</v>
      </c>
      <c r="Q394" s="71">
        <f t="shared" si="58"/>
        <v>0</v>
      </c>
      <c r="R394" s="71">
        <f t="shared" si="59"/>
        <v>0</v>
      </c>
      <c r="S394" s="71">
        <f t="shared" si="60"/>
        <v>0</v>
      </c>
      <c r="T394" s="71">
        <f t="shared" si="61"/>
        <v>0</v>
      </c>
      <c r="U394" s="71">
        <f>IF(AND(N394=1,V394=1),IF(COUNTIFS(AKTIVITAS!$B$2:$B$3052,B394,AKTIVITAS!$E$2:$E$3052,H394)&gt;0,1,0),0)</f>
        <v>0</v>
      </c>
      <c r="V394" s="71">
        <f>IFERROR(IF(AND(H394&gt;=INDEX(PEMAGANG!$J$3:$J$36,MATCH(B394,PEMAGANG!$C$3:$C$36,0)),H394&lt;=INDEX(PEMAGANG!$K$3:$K$36,MATCH(B394,PEMAGANG!$C$3:$C$36,0))),1,0),0)</f>
        <v>1</v>
      </c>
      <c r="W394" s="71">
        <f t="shared" si="62"/>
        <v>0</v>
      </c>
    </row>
    <row r="395" spans="1:23" x14ac:dyDescent="0.2">
      <c r="A395" s="71" t="s">
        <v>183</v>
      </c>
      <c r="B395" s="71" t="s">
        <v>184</v>
      </c>
      <c r="C395" s="71" t="s">
        <v>187</v>
      </c>
      <c r="D395" s="71" t="s">
        <v>185</v>
      </c>
      <c r="E395" s="71" t="s">
        <v>47</v>
      </c>
      <c r="F395" s="71" t="s">
        <v>300</v>
      </c>
      <c r="G395" s="88">
        <v>46287.738958333299</v>
      </c>
      <c r="H395" s="89">
        <v>46287</v>
      </c>
      <c r="I395" s="71" t="s">
        <v>408</v>
      </c>
      <c r="J395" s="71">
        <v>0</v>
      </c>
      <c r="K395" s="71" t="s">
        <v>302</v>
      </c>
      <c r="L395" s="71">
        <f t="shared" si="54"/>
        <v>9</v>
      </c>
      <c r="M395" s="71" t="str">
        <f>IFERROR(INDEX(KALENDER!$D$3:$D$132,MATCH(H395,KALENDER!$A$3:$A$132,0)),"Di luar periode")</f>
        <v>Hari Kerja</v>
      </c>
      <c r="N395" s="71">
        <f t="shared" si="55"/>
        <v>0</v>
      </c>
      <c r="O395" s="71">
        <f t="shared" si="56"/>
        <v>3</v>
      </c>
      <c r="P395" s="71">
        <f t="shared" si="57"/>
        <v>0</v>
      </c>
      <c r="Q395" s="71">
        <f t="shared" si="58"/>
        <v>0</v>
      </c>
      <c r="R395" s="71">
        <f t="shared" si="59"/>
        <v>0</v>
      </c>
      <c r="S395" s="71">
        <f t="shared" si="60"/>
        <v>0</v>
      </c>
      <c r="T395" s="71">
        <f t="shared" si="61"/>
        <v>0</v>
      </c>
      <c r="U395" s="71">
        <f>IF(AND(N395=1,V395=1),IF(COUNTIFS(AKTIVITAS!$B$2:$B$3052,B395,AKTIVITAS!$E$2:$E$3052,H395)&gt;0,1,0),0)</f>
        <v>0</v>
      </c>
      <c r="V395" s="71">
        <f>IFERROR(IF(AND(H395&gt;=INDEX(PEMAGANG!$J$3:$J$36,MATCH(B395,PEMAGANG!$C$3:$C$36,0)),H395&lt;=INDEX(PEMAGANG!$K$3:$K$36,MATCH(B395,PEMAGANG!$C$3:$C$36,0))),1,0),0)</f>
        <v>1</v>
      </c>
      <c r="W395" s="71">
        <f t="shared" si="62"/>
        <v>0</v>
      </c>
    </row>
    <row r="396" spans="1:23" x14ac:dyDescent="0.2">
      <c r="A396" s="71" t="s">
        <v>183</v>
      </c>
      <c r="B396" s="71" t="s">
        <v>184</v>
      </c>
      <c r="C396" s="71" t="s">
        <v>187</v>
      </c>
      <c r="D396" s="71" t="s">
        <v>185</v>
      </c>
      <c r="E396" s="71" t="s">
        <v>47</v>
      </c>
      <c r="F396" s="71" t="s">
        <v>298</v>
      </c>
      <c r="G396" s="88">
        <v>46288.309490740699</v>
      </c>
      <c r="H396" s="89">
        <v>46288</v>
      </c>
      <c r="I396" s="71" t="s">
        <v>307</v>
      </c>
      <c r="J396" s="71">
        <v>-4.9999999999999796</v>
      </c>
      <c r="K396" s="71" t="s">
        <v>302</v>
      </c>
      <c r="L396" s="71">
        <f t="shared" si="54"/>
        <v>9</v>
      </c>
      <c r="M396" s="71" t="str">
        <f>IFERROR(INDEX(KALENDER!$D$3:$D$132,MATCH(H396,KALENDER!$A$3:$A$132,0)),"Di luar periode")</f>
        <v>Hari Kerja</v>
      </c>
      <c r="N396" s="71">
        <f t="shared" si="55"/>
        <v>1</v>
      </c>
      <c r="O396" s="71">
        <f t="shared" si="56"/>
        <v>1</v>
      </c>
      <c r="P396" s="71">
        <f t="shared" si="57"/>
        <v>1</v>
      </c>
      <c r="Q396" s="71">
        <f t="shared" si="58"/>
        <v>0</v>
      </c>
      <c r="R396" s="71">
        <f t="shared" si="59"/>
        <v>0</v>
      </c>
      <c r="S396" s="71">
        <f t="shared" si="60"/>
        <v>0</v>
      </c>
      <c r="T396" s="71">
        <f t="shared" si="61"/>
        <v>0</v>
      </c>
      <c r="U396" s="71">
        <f>IF(AND(N396=1,V396=1),IF(COUNTIFS(AKTIVITAS!$B$2:$B$3052,B396,AKTIVITAS!$E$2:$E$3052,H396)&gt;0,1,0),0)</f>
        <v>1</v>
      </c>
      <c r="V396" s="71">
        <f>IFERROR(IF(AND(H396&gt;=INDEX(PEMAGANG!$J$3:$J$36,MATCH(B396,PEMAGANG!$C$3:$C$36,0)),H396&lt;=INDEX(PEMAGANG!$K$3:$K$36,MATCH(B396,PEMAGANG!$C$3:$C$36,0))),1,0),0)</f>
        <v>1</v>
      </c>
      <c r="W396" s="71">
        <f t="shared" si="62"/>
        <v>1</v>
      </c>
    </row>
    <row r="397" spans="1:23" x14ac:dyDescent="0.2">
      <c r="A397" s="71" t="s">
        <v>183</v>
      </c>
      <c r="B397" s="71" t="s">
        <v>184</v>
      </c>
      <c r="C397" s="71" t="s">
        <v>187</v>
      </c>
      <c r="D397" s="71" t="s">
        <v>185</v>
      </c>
      <c r="E397" s="71" t="s">
        <v>47</v>
      </c>
      <c r="F397" s="71" t="s">
        <v>300</v>
      </c>
      <c r="G397" s="88">
        <v>46288.689826388902</v>
      </c>
      <c r="H397" s="89">
        <v>46288</v>
      </c>
      <c r="I397" s="71" t="s">
        <v>316</v>
      </c>
      <c r="J397" s="71">
        <v>0</v>
      </c>
      <c r="K397" s="71" t="s">
        <v>302</v>
      </c>
      <c r="L397" s="71">
        <f t="shared" si="54"/>
        <v>9</v>
      </c>
      <c r="M397" s="71" t="str">
        <f>IFERROR(INDEX(KALENDER!$D$3:$D$132,MATCH(H397,KALENDER!$A$3:$A$132,0)),"Di luar periode")</f>
        <v>Hari Kerja</v>
      </c>
      <c r="N397" s="71">
        <f t="shared" si="55"/>
        <v>0</v>
      </c>
      <c r="O397" s="71">
        <f t="shared" si="56"/>
        <v>1</v>
      </c>
      <c r="P397" s="71">
        <f t="shared" si="57"/>
        <v>0</v>
      </c>
      <c r="Q397" s="71">
        <f t="shared" si="58"/>
        <v>0</v>
      </c>
      <c r="R397" s="71">
        <f t="shared" si="59"/>
        <v>0</v>
      </c>
      <c r="S397" s="71">
        <f t="shared" si="60"/>
        <v>0</v>
      </c>
      <c r="T397" s="71">
        <f t="shared" si="61"/>
        <v>0</v>
      </c>
      <c r="U397" s="71">
        <f>IF(AND(N397=1,V397=1),IF(COUNTIFS(AKTIVITAS!$B$2:$B$3052,B397,AKTIVITAS!$E$2:$E$3052,H397)&gt;0,1,0),0)</f>
        <v>0</v>
      </c>
      <c r="V397" s="71">
        <f>IFERROR(IF(AND(H397&gt;=INDEX(PEMAGANG!$J$3:$J$36,MATCH(B397,PEMAGANG!$C$3:$C$36,0)),H397&lt;=INDEX(PEMAGANG!$K$3:$K$36,MATCH(B397,PEMAGANG!$C$3:$C$36,0))),1,0),0)</f>
        <v>1</v>
      </c>
      <c r="W397" s="71">
        <f t="shared" si="62"/>
        <v>0</v>
      </c>
    </row>
    <row r="398" spans="1:23" x14ac:dyDescent="0.2">
      <c r="A398" s="71" t="s">
        <v>183</v>
      </c>
      <c r="B398" s="71" t="s">
        <v>184</v>
      </c>
      <c r="C398" s="71" t="s">
        <v>187</v>
      </c>
      <c r="D398" s="71" t="s">
        <v>185</v>
      </c>
      <c r="E398" s="71" t="s">
        <v>47</v>
      </c>
      <c r="F398" s="71" t="s">
        <v>298</v>
      </c>
      <c r="G398" s="88">
        <v>46289.308877314797</v>
      </c>
      <c r="H398" s="89">
        <v>46289</v>
      </c>
      <c r="I398" s="71" t="s">
        <v>303</v>
      </c>
      <c r="J398" s="71">
        <v>-5.9999999999999796</v>
      </c>
      <c r="K398" s="71" t="s">
        <v>302</v>
      </c>
      <c r="L398" s="71">
        <f t="shared" si="54"/>
        <v>9</v>
      </c>
      <c r="M398" s="71" t="str">
        <f>IFERROR(INDEX(KALENDER!$D$3:$D$132,MATCH(H398,KALENDER!$A$3:$A$132,0)),"Di luar periode")</f>
        <v>Hari Kerja</v>
      </c>
      <c r="N398" s="71">
        <f t="shared" si="55"/>
        <v>1</v>
      </c>
      <c r="O398" s="71">
        <f t="shared" si="56"/>
        <v>1</v>
      </c>
      <c r="P398" s="71">
        <f t="shared" si="57"/>
        <v>1</v>
      </c>
      <c r="Q398" s="71">
        <f t="shared" si="58"/>
        <v>0</v>
      </c>
      <c r="R398" s="71">
        <f t="shared" si="59"/>
        <v>0</v>
      </c>
      <c r="S398" s="71">
        <f t="shared" si="60"/>
        <v>0</v>
      </c>
      <c r="T398" s="71">
        <f t="shared" si="61"/>
        <v>0</v>
      </c>
      <c r="U398" s="71">
        <f>IF(AND(N398=1,V398=1),IF(COUNTIFS(AKTIVITAS!$B$2:$B$3052,B398,AKTIVITAS!$E$2:$E$3052,H398)&gt;0,1,0),0)</f>
        <v>1</v>
      </c>
      <c r="V398" s="71">
        <f>IFERROR(IF(AND(H398&gt;=INDEX(PEMAGANG!$J$3:$J$36,MATCH(B398,PEMAGANG!$C$3:$C$36,0)),H398&lt;=INDEX(PEMAGANG!$K$3:$K$36,MATCH(B398,PEMAGANG!$C$3:$C$36,0))),1,0),0)</f>
        <v>1</v>
      </c>
      <c r="W398" s="71">
        <f t="shared" si="62"/>
        <v>1</v>
      </c>
    </row>
    <row r="399" spans="1:23" x14ac:dyDescent="0.2">
      <c r="A399" s="71" t="s">
        <v>183</v>
      </c>
      <c r="B399" s="71" t="s">
        <v>184</v>
      </c>
      <c r="C399" s="71" t="s">
        <v>187</v>
      </c>
      <c r="D399" s="71" t="s">
        <v>185</v>
      </c>
      <c r="E399" s="71" t="s">
        <v>47</v>
      </c>
      <c r="F399" s="71" t="s">
        <v>300</v>
      </c>
      <c r="G399" s="88">
        <v>46289.7280902778</v>
      </c>
      <c r="H399" s="89">
        <v>46289</v>
      </c>
      <c r="I399" s="71" t="s">
        <v>391</v>
      </c>
      <c r="J399" s="71">
        <v>0</v>
      </c>
      <c r="K399" s="71" t="s">
        <v>302</v>
      </c>
      <c r="L399" s="71">
        <f t="shared" si="54"/>
        <v>9</v>
      </c>
      <c r="M399" s="71" t="str">
        <f>IFERROR(INDEX(KALENDER!$D$3:$D$132,MATCH(H399,KALENDER!$A$3:$A$132,0)),"Di luar periode")</f>
        <v>Hari Kerja</v>
      </c>
      <c r="N399" s="71">
        <f t="shared" si="55"/>
        <v>0</v>
      </c>
      <c r="O399" s="71">
        <f t="shared" si="56"/>
        <v>1</v>
      </c>
      <c r="P399" s="71">
        <f t="shared" si="57"/>
        <v>0</v>
      </c>
      <c r="Q399" s="71">
        <f t="shared" si="58"/>
        <v>0</v>
      </c>
      <c r="R399" s="71">
        <f t="shared" si="59"/>
        <v>0</v>
      </c>
      <c r="S399" s="71">
        <f t="shared" si="60"/>
        <v>0</v>
      </c>
      <c r="T399" s="71">
        <f t="shared" si="61"/>
        <v>0</v>
      </c>
      <c r="U399" s="71">
        <f>IF(AND(N399=1,V399=1),IF(COUNTIFS(AKTIVITAS!$B$2:$B$3052,B399,AKTIVITAS!$E$2:$E$3052,H399)&gt;0,1,0),0)</f>
        <v>0</v>
      </c>
      <c r="V399" s="71">
        <f>IFERROR(IF(AND(H399&gt;=INDEX(PEMAGANG!$J$3:$J$36,MATCH(B399,PEMAGANG!$C$3:$C$36,0)),H399&lt;=INDEX(PEMAGANG!$K$3:$K$36,MATCH(B399,PEMAGANG!$C$3:$C$36,0))),1,0),0)</f>
        <v>1</v>
      </c>
      <c r="W399" s="71">
        <f t="shared" si="62"/>
        <v>0</v>
      </c>
    </row>
    <row r="400" spans="1:23" x14ac:dyDescent="0.2">
      <c r="A400" s="71" t="s">
        <v>183</v>
      </c>
      <c r="B400" s="71" t="s">
        <v>184</v>
      </c>
      <c r="C400" s="71" t="s">
        <v>187</v>
      </c>
      <c r="D400" s="71" t="s">
        <v>185</v>
      </c>
      <c r="E400" s="71" t="s">
        <v>47</v>
      </c>
      <c r="F400" s="71" t="s">
        <v>298</v>
      </c>
      <c r="G400" s="88">
        <v>46290.309178240699</v>
      </c>
      <c r="H400" s="89">
        <v>46290</v>
      </c>
      <c r="I400" s="71" t="s">
        <v>307</v>
      </c>
      <c r="J400" s="71">
        <v>-4.9999999999999796</v>
      </c>
      <c r="K400" s="71" t="s">
        <v>302</v>
      </c>
      <c r="L400" s="71">
        <f t="shared" si="54"/>
        <v>9</v>
      </c>
      <c r="M400" s="71" t="str">
        <f>IFERROR(INDEX(KALENDER!$D$3:$D$132,MATCH(H400,KALENDER!$A$3:$A$132,0)),"Di luar periode")</f>
        <v>Hari Kerja</v>
      </c>
      <c r="N400" s="71">
        <f t="shared" si="55"/>
        <v>1</v>
      </c>
      <c r="O400" s="71">
        <f t="shared" si="56"/>
        <v>1</v>
      </c>
      <c r="P400" s="71">
        <f t="shared" si="57"/>
        <v>1</v>
      </c>
      <c r="Q400" s="71">
        <f t="shared" si="58"/>
        <v>0</v>
      </c>
      <c r="R400" s="71">
        <f t="shared" si="59"/>
        <v>0</v>
      </c>
      <c r="S400" s="71">
        <f t="shared" si="60"/>
        <v>0</v>
      </c>
      <c r="T400" s="71">
        <f t="shared" si="61"/>
        <v>0</v>
      </c>
      <c r="U400" s="71">
        <f>IF(AND(N400=1,V400=1),IF(COUNTIFS(AKTIVITAS!$B$2:$B$3052,B400,AKTIVITAS!$E$2:$E$3052,H400)&gt;0,1,0),0)</f>
        <v>1</v>
      </c>
      <c r="V400" s="71">
        <f>IFERROR(IF(AND(H400&gt;=INDEX(PEMAGANG!$J$3:$J$36,MATCH(B400,PEMAGANG!$C$3:$C$36,0)),H400&lt;=INDEX(PEMAGANG!$K$3:$K$36,MATCH(B400,PEMAGANG!$C$3:$C$36,0))),1,0),0)</f>
        <v>1</v>
      </c>
      <c r="W400" s="71">
        <f t="shared" si="62"/>
        <v>1</v>
      </c>
    </row>
    <row r="401" spans="1:23" x14ac:dyDescent="0.2">
      <c r="A401" s="71" t="s">
        <v>183</v>
      </c>
      <c r="B401" s="71" t="s">
        <v>184</v>
      </c>
      <c r="C401" s="71" t="s">
        <v>187</v>
      </c>
      <c r="D401" s="71" t="s">
        <v>185</v>
      </c>
      <c r="E401" s="71" t="s">
        <v>47</v>
      </c>
      <c r="F401" s="71" t="s">
        <v>300</v>
      </c>
      <c r="G401" s="88">
        <v>46290.7194212963</v>
      </c>
      <c r="H401" s="89">
        <v>46290</v>
      </c>
      <c r="I401" s="71" t="s">
        <v>399</v>
      </c>
      <c r="J401" s="71">
        <v>0</v>
      </c>
      <c r="K401" s="71" t="s">
        <v>302</v>
      </c>
      <c r="L401" s="71">
        <f t="shared" si="54"/>
        <v>9</v>
      </c>
      <c r="M401" s="71" t="str">
        <f>IFERROR(INDEX(KALENDER!$D$3:$D$132,MATCH(H401,KALENDER!$A$3:$A$132,0)),"Di luar periode")</f>
        <v>Hari Kerja</v>
      </c>
      <c r="N401" s="71">
        <f t="shared" si="55"/>
        <v>0</v>
      </c>
      <c r="O401" s="71">
        <f t="shared" si="56"/>
        <v>1</v>
      </c>
      <c r="P401" s="71">
        <f t="shared" si="57"/>
        <v>0</v>
      </c>
      <c r="Q401" s="71">
        <f t="shared" si="58"/>
        <v>0</v>
      </c>
      <c r="R401" s="71">
        <f t="shared" si="59"/>
        <v>0</v>
      </c>
      <c r="S401" s="71">
        <f t="shared" si="60"/>
        <v>0</v>
      </c>
      <c r="T401" s="71">
        <f t="shared" si="61"/>
        <v>0</v>
      </c>
      <c r="U401" s="71">
        <f>IF(AND(N401=1,V401=1),IF(COUNTIFS(AKTIVITAS!$B$2:$B$3052,B401,AKTIVITAS!$E$2:$E$3052,H401)&gt;0,1,0),0)</f>
        <v>0</v>
      </c>
      <c r="V401" s="71">
        <f>IFERROR(IF(AND(H401&gt;=INDEX(PEMAGANG!$J$3:$J$36,MATCH(B401,PEMAGANG!$C$3:$C$36,0)),H401&lt;=INDEX(PEMAGANG!$K$3:$K$36,MATCH(B401,PEMAGANG!$C$3:$C$36,0))),1,0),0)</f>
        <v>1</v>
      </c>
      <c r="W401" s="71">
        <f t="shared" si="62"/>
        <v>0</v>
      </c>
    </row>
    <row r="402" spans="1:23" x14ac:dyDescent="0.2">
      <c r="A402" s="71" t="s">
        <v>183</v>
      </c>
      <c r="B402" s="71" t="s">
        <v>184</v>
      </c>
      <c r="C402" s="71" t="s">
        <v>187</v>
      </c>
      <c r="D402" s="71" t="s">
        <v>185</v>
      </c>
      <c r="E402" s="71" t="s">
        <v>47</v>
      </c>
      <c r="F402" s="71" t="s">
        <v>298</v>
      </c>
      <c r="G402" s="88">
        <v>46293.310185185197</v>
      </c>
      <c r="H402" s="89">
        <v>46293</v>
      </c>
      <c r="I402" s="71" t="s">
        <v>315</v>
      </c>
      <c r="J402" s="71">
        <v>-3.9999999999999898</v>
      </c>
      <c r="K402" s="71" t="s">
        <v>302</v>
      </c>
      <c r="L402" s="71">
        <f t="shared" si="54"/>
        <v>9</v>
      </c>
      <c r="M402" s="71" t="str">
        <f>IFERROR(INDEX(KALENDER!$D$3:$D$132,MATCH(H402,KALENDER!$A$3:$A$132,0)),"Di luar periode")</f>
        <v>Hari Kerja</v>
      </c>
      <c r="N402" s="71">
        <f t="shared" si="55"/>
        <v>1</v>
      </c>
      <c r="O402" s="71">
        <f t="shared" si="56"/>
        <v>1</v>
      </c>
      <c r="P402" s="71">
        <f t="shared" si="57"/>
        <v>1</v>
      </c>
      <c r="Q402" s="71">
        <f t="shared" si="58"/>
        <v>0</v>
      </c>
      <c r="R402" s="71">
        <f t="shared" si="59"/>
        <v>0</v>
      </c>
      <c r="S402" s="71">
        <f t="shared" si="60"/>
        <v>0</v>
      </c>
      <c r="T402" s="71">
        <f t="shared" si="61"/>
        <v>0</v>
      </c>
      <c r="U402" s="71">
        <f>IF(AND(N402=1,V402=1),IF(COUNTIFS(AKTIVITAS!$B$2:$B$3052,B402,AKTIVITAS!$E$2:$E$3052,H402)&gt;0,1,0),0)</f>
        <v>1</v>
      </c>
      <c r="V402" s="71">
        <f>IFERROR(IF(AND(H402&gt;=INDEX(PEMAGANG!$J$3:$J$36,MATCH(B402,PEMAGANG!$C$3:$C$36,0)),H402&lt;=INDEX(PEMAGANG!$K$3:$K$36,MATCH(B402,PEMAGANG!$C$3:$C$36,0))),1,0),0)</f>
        <v>1</v>
      </c>
      <c r="W402" s="71">
        <f t="shared" si="62"/>
        <v>1</v>
      </c>
    </row>
    <row r="403" spans="1:23" x14ac:dyDescent="0.2">
      <c r="A403" s="71" t="s">
        <v>183</v>
      </c>
      <c r="B403" s="71" t="s">
        <v>184</v>
      </c>
      <c r="C403" s="71" t="s">
        <v>187</v>
      </c>
      <c r="D403" s="71" t="s">
        <v>185</v>
      </c>
      <c r="E403" s="71" t="s">
        <v>47</v>
      </c>
      <c r="F403" s="71" t="s">
        <v>300</v>
      </c>
      <c r="G403" s="88">
        <v>46293.711400462998</v>
      </c>
      <c r="H403" s="89">
        <v>46293</v>
      </c>
      <c r="I403" s="71" t="s">
        <v>378</v>
      </c>
      <c r="J403" s="71">
        <v>0</v>
      </c>
      <c r="K403" s="71" t="s">
        <v>302</v>
      </c>
      <c r="L403" s="71">
        <f t="shared" si="54"/>
        <v>9</v>
      </c>
      <c r="M403" s="71" t="str">
        <f>IFERROR(INDEX(KALENDER!$D$3:$D$132,MATCH(H403,KALENDER!$A$3:$A$132,0)),"Di luar periode")</f>
        <v>Hari Kerja</v>
      </c>
      <c r="N403" s="71">
        <f t="shared" si="55"/>
        <v>0</v>
      </c>
      <c r="O403" s="71">
        <f t="shared" si="56"/>
        <v>1</v>
      </c>
      <c r="P403" s="71">
        <f t="shared" si="57"/>
        <v>0</v>
      </c>
      <c r="Q403" s="71">
        <f t="shared" si="58"/>
        <v>0</v>
      </c>
      <c r="R403" s="71">
        <f t="shared" si="59"/>
        <v>0</v>
      </c>
      <c r="S403" s="71">
        <f t="shared" si="60"/>
        <v>0</v>
      </c>
      <c r="T403" s="71">
        <f t="shared" si="61"/>
        <v>0</v>
      </c>
      <c r="U403" s="71">
        <f>IF(AND(N403=1,V403=1),IF(COUNTIFS(AKTIVITAS!$B$2:$B$3052,B403,AKTIVITAS!$E$2:$E$3052,H403)&gt;0,1,0),0)</f>
        <v>0</v>
      </c>
      <c r="V403" s="71">
        <f>IFERROR(IF(AND(H403&gt;=INDEX(PEMAGANG!$J$3:$J$36,MATCH(B403,PEMAGANG!$C$3:$C$36,0)),H403&lt;=INDEX(PEMAGANG!$K$3:$K$36,MATCH(B403,PEMAGANG!$C$3:$C$36,0))),1,0),0)</f>
        <v>1</v>
      </c>
      <c r="W403" s="71">
        <f t="shared" si="62"/>
        <v>0</v>
      </c>
    </row>
    <row r="404" spans="1:23" x14ac:dyDescent="0.2">
      <c r="A404" s="71" t="s">
        <v>183</v>
      </c>
      <c r="B404" s="71" t="s">
        <v>184</v>
      </c>
      <c r="C404" s="71" t="s">
        <v>187</v>
      </c>
      <c r="D404" s="71" t="s">
        <v>185</v>
      </c>
      <c r="E404" s="71" t="s">
        <v>47</v>
      </c>
      <c r="F404" s="71" t="s">
        <v>298</v>
      </c>
      <c r="G404" s="88">
        <v>46294.308460648201</v>
      </c>
      <c r="H404" s="89">
        <v>46294</v>
      </c>
      <c r="I404" s="71" t="s">
        <v>303</v>
      </c>
      <c r="J404" s="71">
        <v>-5.9999999999999796</v>
      </c>
      <c r="K404" s="71" t="s">
        <v>302</v>
      </c>
      <c r="L404" s="71">
        <f t="shared" si="54"/>
        <v>9</v>
      </c>
      <c r="M404" s="71" t="str">
        <f>IFERROR(INDEX(KALENDER!$D$3:$D$132,MATCH(H404,KALENDER!$A$3:$A$132,0)),"Di luar periode")</f>
        <v>Hari Kerja</v>
      </c>
      <c r="N404" s="71">
        <f t="shared" si="55"/>
        <v>1</v>
      </c>
      <c r="O404" s="71">
        <f t="shared" si="56"/>
        <v>1</v>
      </c>
      <c r="P404" s="71">
        <f t="shared" si="57"/>
        <v>1</v>
      </c>
      <c r="Q404" s="71">
        <f t="shared" si="58"/>
        <v>0</v>
      </c>
      <c r="R404" s="71">
        <f t="shared" si="59"/>
        <v>0</v>
      </c>
      <c r="S404" s="71">
        <f t="shared" si="60"/>
        <v>0</v>
      </c>
      <c r="T404" s="71">
        <f t="shared" si="61"/>
        <v>0</v>
      </c>
      <c r="U404" s="71">
        <f>IF(AND(N404=1,V404=1),IF(COUNTIFS(AKTIVITAS!$B$2:$B$3052,B404,AKTIVITAS!$E$2:$E$3052,H404)&gt;0,1,0),0)</f>
        <v>1</v>
      </c>
      <c r="V404" s="71">
        <f>IFERROR(IF(AND(H404&gt;=INDEX(PEMAGANG!$J$3:$J$36,MATCH(B404,PEMAGANG!$C$3:$C$36,0)),H404&lt;=INDEX(PEMAGANG!$K$3:$K$36,MATCH(B404,PEMAGANG!$C$3:$C$36,0))),1,0),0)</f>
        <v>1</v>
      </c>
      <c r="W404" s="71">
        <f t="shared" si="62"/>
        <v>1</v>
      </c>
    </row>
    <row r="405" spans="1:23" x14ac:dyDescent="0.2">
      <c r="A405" s="71" t="s">
        <v>183</v>
      </c>
      <c r="B405" s="71" t="s">
        <v>184</v>
      </c>
      <c r="C405" s="71" t="s">
        <v>187</v>
      </c>
      <c r="D405" s="71" t="s">
        <v>185</v>
      </c>
      <c r="E405" s="71" t="s">
        <v>47</v>
      </c>
      <c r="F405" s="71" t="s">
        <v>300</v>
      </c>
      <c r="G405" s="88">
        <v>46294.715717592597</v>
      </c>
      <c r="H405" s="89">
        <v>46294</v>
      </c>
      <c r="I405" s="71" t="s">
        <v>409</v>
      </c>
      <c r="J405" s="71">
        <v>0</v>
      </c>
      <c r="K405" s="71" t="s">
        <v>302</v>
      </c>
      <c r="L405" s="71">
        <f t="shared" si="54"/>
        <v>9</v>
      </c>
      <c r="M405" s="71" t="str">
        <f>IFERROR(INDEX(KALENDER!$D$3:$D$132,MATCH(H405,KALENDER!$A$3:$A$132,0)),"Di luar periode")</f>
        <v>Hari Kerja</v>
      </c>
      <c r="N405" s="71">
        <f t="shared" si="55"/>
        <v>0</v>
      </c>
      <c r="O405" s="71">
        <f t="shared" si="56"/>
        <v>1</v>
      </c>
      <c r="P405" s="71">
        <f t="shared" si="57"/>
        <v>0</v>
      </c>
      <c r="Q405" s="71">
        <f t="shared" si="58"/>
        <v>0</v>
      </c>
      <c r="R405" s="71">
        <f t="shared" si="59"/>
        <v>0</v>
      </c>
      <c r="S405" s="71">
        <f t="shared" si="60"/>
        <v>0</v>
      </c>
      <c r="T405" s="71">
        <f t="shared" si="61"/>
        <v>0</v>
      </c>
      <c r="U405" s="71">
        <f>IF(AND(N405=1,V405=1),IF(COUNTIFS(AKTIVITAS!$B$2:$B$3052,B405,AKTIVITAS!$E$2:$E$3052,H405)&gt;0,1,0),0)</f>
        <v>0</v>
      </c>
      <c r="V405" s="71">
        <f>IFERROR(IF(AND(H405&gt;=INDEX(PEMAGANG!$J$3:$J$36,MATCH(B405,PEMAGANG!$C$3:$C$36,0)),H405&lt;=INDEX(PEMAGANG!$K$3:$K$36,MATCH(B405,PEMAGANG!$C$3:$C$36,0))),1,0),0)</f>
        <v>1</v>
      </c>
      <c r="W405" s="71">
        <f t="shared" si="62"/>
        <v>0</v>
      </c>
    </row>
    <row r="406" spans="1:23" x14ac:dyDescent="0.2">
      <c r="A406" s="71" t="s">
        <v>183</v>
      </c>
      <c r="B406" s="71" t="s">
        <v>184</v>
      </c>
      <c r="C406" s="71" t="s">
        <v>187</v>
      </c>
      <c r="D406" s="71" t="s">
        <v>185</v>
      </c>
      <c r="E406" s="71" t="s">
        <v>47</v>
      </c>
      <c r="F406" s="71" t="s">
        <v>298</v>
      </c>
      <c r="G406" s="88">
        <v>46295.309525463003</v>
      </c>
      <c r="H406" s="89">
        <v>46295</v>
      </c>
      <c r="I406" s="71" t="s">
        <v>307</v>
      </c>
      <c r="J406" s="71">
        <v>-4.9999999999999796</v>
      </c>
      <c r="K406" s="71" t="s">
        <v>302</v>
      </c>
      <c r="L406" s="71">
        <f t="shared" si="54"/>
        <v>9</v>
      </c>
      <c r="M406" s="71" t="str">
        <f>IFERROR(INDEX(KALENDER!$D$3:$D$132,MATCH(H406,KALENDER!$A$3:$A$132,0)),"Di luar periode")</f>
        <v>Hari Kerja</v>
      </c>
      <c r="N406" s="71">
        <f t="shared" si="55"/>
        <v>1</v>
      </c>
      <c r="O406" s="71">
        <f t="shared" si="56"/>
        <v>1</v>
      </c>
      <c r="P406" s="71">
        <f t="shared" si="57"/>
        <v>1</v>
      </c>
      <c r="Q406" s="71">
        <f t="shared" si="58"/>
        <v>0</v>
      </c>
      <c r="R406" s="71">
        <f t="shared" si="59"/>
        <v>0</v>
      </c>
      <c r="S406" s="71">
        <f t="shared" si="60"/>
        <v>0</v>
      </c>
      <c r="T406" s="71">
        <f t="shared" si="61"/>
        <v>0</v>
      </c>
      <c r="U406" s="71">
        <f>IF(AND(N406=1,V406=1),IF(COUNTIFS(AKTIVITAS!$B$2:$B$3052,B406,AKTIVITAS!$E$2:$E$3052,H406)&gt;0,1,0),0)</f>
        <v>1</v>
      </c>
      <c r="V406" s="71">
        <f>IFERROR(IF(AND(H406&gt;=INDEX(PEMAGANG!$J$3:$J$36,MATCH(B406,PEMAGANG!$C$3:$C$36,0)),H406&lt;=INDEX(PEMAGANG!$K$3:$K$36,MATCH(B406,PEMAGANG!$C$3:$C$36,0))),1,0),0)</f>
        <v>1</v>
      </c>
      <c r="W406" s="71">
        <f t="shared" si="62"/>
        <v>1</v>
      </c>
    </row>
    <row r="407" spans="1:23" x14ac:dyDescent="0.2">
      <c r="A407" s="71" t="s">
        <v>183</v>
      </c>
      <c r="B407" s="71" t="s">
        <v>184</v>
      </c>
      <c r="C407" s="71" t="s">
        <v>187</v>
      </c>
      <c r="D407" s="71" t="s">
        <v>185</v>
      </c>
      <c r="E407" s="71" t="s">
        <v>47</v>
      </c>
      <c r="F407" s="71" t="s">
        <v>300</v>
      </c>
      <c r="G407" s="88">
        <v>46295.712708333303</v>
      </c>
      <c r="H407" s="89">
        <v>46295</v>
      </c>
      <c r="I407" s="71" t="s">
        <v>371</v>
      </c>
      <c r="J407" s="71">
        <v>0</v>
      </c>
      <c r="K407" s="71" t="s">
        <v>302</v>
      </c>
      <c r="L407" s="71">
        <f t="shared" si="54"/>
        <v>9</v>
      </c>
      <c r="M407" s="71" t="str">
        <f>IFERROR(INDEX(KALENDER!$D$3:$D$132,MATCH(H407,KALENDER!$A$3:$A$132,0)),"Di luar periode")</f>
        <v>Hari Kerja</v>
      </c>
      <c r="N407" s="71">
        <f t="shared" si="55"/>
        <v>0</v>
      </c>
      <c r="O407" s="71">
        <f t="shared" si="56"/>
        <v>1</v>
      </c>
      <c r="P407" s="71">
        <f t="shared" si="57"/>
        <v>0</v>
      </c>
      <c r="Q407" s="71">
        <f t="shared" si="58"/>
        <v>0</v>
      </c>
      <c r="R407" s="71">
        <f t="shared" si="59"/>
        <v>0</v>
      </c>
      <c r="S407" s="71">
        <f t="shared" si="60"/>
        <v>0</v>
      </c>
      <c r="T407" s="71">
        <f t="shared" si="61"/>
        <v>0</v>
      </c>
      <c r="U407" s="71">
        <f>IF(AND(N407=1,V407=1),IF(COUNTIFS(AKTIVITAS!$B$2:$B$3052,B407,AKTIVITAS!$E$2:$E$3052,H407)&gt;0,1,0),0)</f>
        <v>0</v>
      </c>
      <c r="V407" s="71">
        <f>IFERROR(IF(AND(H407&gt;=INDEX(PEMAGANG!$J$3:$J$36,MATCH(B407,PEMAGANG!$C$3:$C$36,0)),H407&lt;=INDEX(PEMAGANG!$K$3:$K$36,MATCH(B407,PEMAGANG!$C$3:$C$36,0))),1,0),0)</f>
        <v>1</v>
      </c>
      <c r="W407" s="71">
        <f t="shared" si="62"/>
        <v>0</v>
      </c>
    </row>
    <row r="408" spans="1:23" x14ac:dyDescent="0.2">
      <c r="A408" s="71" t="s">
        <v>254</v>
      </c>
      <c r="B408" s="71" t="s">
        <v>255</v>
      </c>
      <c r="C408" s="71" t="s">
        <v>187</v>
      </c>
      <c r="D408" s="71" t="s">
        <v>256</v>
      </c>
      <c r="E408" s="71" t="s">
        <v>53</v>
      </c>
      <c r="F408" s="71" t="s">
        <v>300</v>
      </c>
      <c r="G408" s="88">
        <v>46195.689918981501</v>
      </c>
      <c r="H408" s="89">
        <v>46195</v>
      </c>
      <c r="I408" s="71" t="s">
        <v>316</v>
      </c>
      <c r="J408" s="71">
        <v>0</v>
      </c>
      <c r="K408" s="71" t="s">
        <v>302</v>
      </c>
      <c r="L408" s="71">
        <f t="shared" si="54"/>
        <v>6</v>
      </c>
      <c r="M408" s="71" t="str">
        <f>IFERROR(INDEX(KALENDER!$D$3:$D$132,MATCH(H408,KALENDER!$A$3:$A$132,0)),"Di luar periode")</f>
        <v>Hari Kerja</v>
      </c>
      <c r="N408" s="71">
        <f t="shared" si="55"/>
        <v>1</v>
      </c>
      <c r="O408" s="71">
        <f t="shared" si="56"/>
        <v>0</v>
      </c>
      <c r="P408" s="71">
        <f t="shared" si="57"/>
        <v>1</v>
      </c>
      <c r="Q408" s="71">
        <f t="shared" si="58"/>
        <v>0</v>
      </c>
      <c r="R408" s="71">
        <f t="shared" si="59"/>
        <v>0</v>
      </c>
      <c r="S408" s="71">
        <f t="shared" si="60"/>
        <v>0</v>
      </c>
      <c r="T408" s="71">
        <f t="shared" si="61"/>
        <v>0</v>
      </c>
      <c r="U408" s="71">
        <f>IF(AND(N408=1,V408=1),IF(COUNTIFS(AKTIVITAS!$B$2:$B$3052,B408,AKTIVITAS!$E$2:$E$3052,H408)&gt;0,1,0),0)</f>
        <v>1</v>
      </c>
      <c r="V408" s="71">
        <f>IFERROR(IF(AND(H408&gt;=INDEX(PEMAGANG!$J$3:$J$36,MATCH(B408,PEMAGANG!$C$3:$C$36,0)),H408&lt;=INDEX(PEMAGANG!$K$3:$K$36,MATCH(B408,PEMAGANG!$C$3:$C$36,0))),1,0),0)</f>
        <v>1</v>
      </c>
      <c r="W408" s="71">
        <f t="shared" si="62"/>
        <v>1</v>
      </c>
    </row>
    <row r="409" spans="1:23" x14ac:dyDescent="0.2">
      <c r="A409" s="71" t="s">
        <v>254</v>
      </c>
      <c r="B409" s="71" t="s">
        <v>255</v>
      </c>
      <c r="C409" s="71" t="s">
        <v>187</v>
      </c>
      <c r="D409" s="71" t="s">
        <v>256</v>
      </c>
      <c r="E409" s="71" t="s">
        <v>53</v>
      </c>
      <c r="F409" s="71" t="s">
        <v>298</v>
      </c>
      <c r="G409" s="88">
        <v>46196.310995370397</v>
      </c>
      <c r="H409" s="89">
        <v>46196</v>
      </c>
      <c r="I409" s="71" t="s">
        <v>309</v>
      </c>
      <c r="J409" s="71">
        <v>-2.9999999999999898</v>
      </c>
      <c r="K409" s="71" t="s">
        <v>302</v>
      </c>
      <c r="L409" s="71">
        <f t="shared" si="54"/>
        <v>6</v>
      </c>
      <c r="M409" s="71" t="str">
        <f>IFERROR(INDEX(KALENDER!$D$3:$D$132,MATCH(H409,KALENDER!$A$3:$A$132,0)),"Di luar periode")</f>
        <v>Hari Kerja</v>
      </c>
      <c r="N409" s="71">
        <f t="shared" si="55"/>
        <v>1</v>
      </c>
      <c r="O409" s="71">
        <f t="shared" si="56"/>
        <v>1</v>
      </c>
      <c r="P409" s="71">
        <f t="shared" si="57"/>
        <v>1</v>
      </c>
      <c r="Q409" s="71">
        <f t="shared" si="58"/>
        <v>0</v>
      </c>
      <c r="R409" s="71">
        <f t="shared" si="59"/>
        <v>0</v>
      </c>
      <c r="S409" s="71">
        <f t="shared" si="60"/>
        <v>0</v>
      </c>
      <c r="T409" s="71">
        <f t="shared" si="61"/>
        <v>0</v>
      </c>
      <c r="U409" s="71">
        <f>IF(AND(N409=1,V409=1),IF(COUNTIFS(AKTIVITAS!$B$2:$B$3052,B409,AKTIVITAS!$E$2:$E$3052,H409)&gt;0,1,0),0)</f>
        <v>1</v>
      </c>
      <c r="V409" s="71">
        <f>IFERROR(IF(AND(H409&gt;=INDEX(PEMAGANG!$J$3:$J$36,MATCH(B409,PEMAGANG!$C$3:$C$36,0)),H409&lt;=INDEX(PEMAGANG!$K$3:$K$36,MATCH(B409,PEMAGANG!$C$3:$C$36,0))),1,0),0)</f>
        <v>1</v>
      </c>
      <c r="W409" s="71">
        <f t="shared" si="62"/>
        <v>1</v>
      </c>
    </row>
    <row r="410" spans="1:23" x14ac:dyDescent="0.2">
      <c r="A410" s="71" t="s">
        <v>254</v>
      </c>
      <c r="B410" s="71" t="s">
        <v>255</v>
      </c>
      <c r="C410" s="71" t="s">
        <v>187</v>
      </c>
      <c r="D410" s="71" t="s">
        <v>256</v>
      </c>
      <c r="E410" s="71" t="s">
        <v>53</v>
      </c>
      <c r="F410" s="71" t="s">
        <v>300</v>
      </c>
      <c r="G410" s="88">
        <v>46196.688854166699</v>
      </c>
      <c r="H410" s="89">
        <v>46196</v>
      </c>
      <c r="I410" s="71" t="s">
        <v>336</v>
      </c>
      <c r="J410" s="71">
        <v>0</v>
      </c>
      <c r="K410" s="71" t="s">
        <v>302</v>
      </c>
      <c r="L410" s="71">
        <f t="shared" si="54"/>
        <v>6</v>
      </c>
      <c r="M410" s="71" t="str">
        <f>IFERROR(INDEX(KALENDER!$D$3:$D$132,MATCH(H410,KALENDER!$A$3:$A$132,0)),"Di luar periode")</f>
        <v>Hari Kerja</v>
      </c>
      <c r="N410" s="71">
        <f t="shared" si="55"/>
        <v>0</v>
      </c>
      <c r="O410" s="71">
        <f t="shared" si="56"/>
        <v>1</v>
      </c>
      <c r="P410" s="71">
        <f t="shared" si="57"/>
        <v>0</v>
      </c>
      <c r="Q410" s="71">
        <f t="shared" si="58"/>
        <v>0</v>
      </c>
      <c r="R410" s="71">
        <f t="shared" si="59"/>
        <v>0</v>
      </c>
      <c r="S410" s="71">
        <f t="shared" si="60"/>
        <v>0</v>
      </c>
      <c r="T410" s="71">
        <f t="shared" si="61"/>
        <v>0</v>
      </c>
      <c r="U410" s="71">
        <f>IF(AND(N410=1,V410=1),IF(COUNTIFS(AKTIVITAS!$B$2:$B$3052,B410,AKTIVITAS!$E$2:$E$3052,H410)&gt;0,1,0),0)</f>
        <v>0</v>
      </c>
      <c r="V410" s="71">
        <f>IFERROR(IF(AND(H410&gt;=INDEX(PEMAGANG!$J$3:$J$36,MATCH(B410,PEMAGANG!$C$3:$C$36,0)),H410&lt;=INDEX(PEMAGANG!$K$3:$K$36,MATCH(B410,PEMAGANG!$C$3:$C$36,0))),1,0),0)</f>
        <v>1</v>
      </c>
      <c r="W410" s="71">
        <f t="shared" si="62"/>
        <v>0</v>
      </c>
    </row>
    <row r="411" spans="1:23" x14ac:dyDescent="0.2">
      <c r="A411" s="71" t="s">
        <v>254</v>
      </c>
      <c r="B411" s="71" t="s">
        <v>255</v>
      </c>
      <c r="C411" s="71" t="s">
        <v>187</v>
      </c>
      <c r="D411" s="71" t="s">
        <v>256</v>
      </c>
      <c r="E411" s="71" t="s">
        <v>53</v>
      </c>
      <c r="F411" s="71" t="s">
        <v>298</v>
      </c>
      <c r="G411" s="88">
        <v>46197.313287037003</v>
      </c>
      <c r="H411" s="89">
        <v>46197</v>
      </c>
      <c r="I411" s="71" t="s">
        <v>392</v>
      </c>
      <c r="J411" s="71">
        <v>0.999999999999996</v>
      </c>
      <c r="K411" s="71" t="s">
        <v>293</v>
      </c>
      <c r="L411" s="71">
        <f t="shared" si="54"/>
        <v>6</v>
      </c>
      <c r="M411" s="71" t="str">
        <f>IFERROR(INDEX(KALENDER!$D$3:$D$132,MATCH(H411,KALENDER!$A$3:$A$132,0)),"Di luar periode")</f>
        <v>WFH</v>
      </c>
      <c r="N411" s="71">
        <f t="shared" si="55"/>
        <v>1</v>
      </c>
      <c r="O411" s="71">
        <f t="shared" si="56"/>
        <v>1</v>
      </c>
      <c r="P411" s="71">
        <f t="shared" si="57"/>
        <v>0</v>
      </c>
      <c r="Q411" s="71">
        <f t="shared" si="58"/>
        <v>1</v>
      </c>
      <c r="R411" s="71">
        <f t="shared" si="59"/>
        <v>1</v>
      </c>
      <c r="S411" s="71">
        <f t="shared" si="60"/>
        <v>0.999999999999996</v>
      </c>
      <c r="T411" s="71">
        <f t="shared" si="61"/>
        <v>0</v>
      </c>
      <c r="U411" s="71">
        <f>IF(AND(N411=1,V411=1),IF(COUNTIFS(AKTIVITAS!$B$2:$B$3052,B411,AKTIVITAS!$E$2:$E$3052,H411)&gt;0,1,0),0)</f>
        <v>1</v>
      </c>
      <c r="V411" s="71">
        <f>IFERROR(IF(AND(H411&gt;=INDEX(PEMAGANG!$J$3:$J$36,MATCH(B411,PEMAGANG!$C$3:$C$36,0)),H411&lt;=INDEX(PEMAGANG!$K$3:$K$36,MATCH(B411,PEMAGANG!$C$3:$C$36,0))),1,0),0)</f>
        <v>1</v>
      </c>
      <c r="W411" s="71">
        <f t="shared" si="62"/>
        <v>1</v>
      </c>
    </row>
    <row r="412" spans="1:23" x14ac:dyDescent="0.2">
      <c r="A412" s="71" t="s">
        <v>254</v>
      </c>
      <c r="B412" s="71" t="s">
        <v>255</v>
      </c>
      <c r="C412" s="71" t="s">
        <v>187</v>
      </c>
      <c r="D412" s="71" t="s">
        <v>256</v>
      </c>
      <c r="E412" s="71" t="s">
        <v>53</v>
      </c>
      <c r="F412" s="71" t="s">
        <v>300</v>
      </c>
      <c r="G412" s="88">
        <v>46197.688692129603</v>
      </c>
      <c r="H412" s="89">
        <v>46197</v>
      </c>
      <c r="I412" s="71" t="s">
        <v>336</v>
      </c>
      <c r="J412" s="71">
        <v>0</v>
      </c>
      <c r="K412" s="71" t="s">
        <v>302</v>
      </c>
      <c r="L412" s="71">
        <f t="shared" si="54"/>
        <v>6</v>
      </c>
      <c r="M412" s="71" t="str">
        <f>IFERROR(INDEX(KALENDER!$D$3:$D$132,MATCH(H412,KALENDER!$A$3:$A$132,0)),"Di luar periode")</f>
        <v>WFH</v>
      </c>
      <c r="N412" s="71">
        <f t="shared" si="55"/>
        <v>0</v>
      </c>
      <c r="O412" s="71">
        <f t="shared" si="56"/>
        <v>1</v>
      </c>
      <c r="P412" s="71">
        <f t="shared" si="57"/>
        <v>0</v>
      </c>
      <c r="Q412" s="71">
        <f t="shared" si="58"/>
        <v>0</v>
      </c>
      <c r="R412" s="71">
        <f t="shared" si="59"/>
        <v>0</v>
      </c>
      <c r="S412" s="71">
        <f t="shared" si="60"/>
        <v>0</v>
      </c>
      <c r="T412" s="71">
        <f t="shared" si="61"/>
        <v>0</v>
      </c>
      <c r="U412" s="71">
        <f>IF(AND(N412=1,V412=1),IF(COUNTIFS(AKTIVITAS!$B$2:$B$3052,B412,AKTIVITAS!$E$2:$E$3052,H412)&gt;0,1,0),0)</f>
        <v>0</v>
      </c>
      <c r="V412" s="71">
        <f>IFERROR(IF(AND(H412&gt;=INDEX(PEMAGANG!$J$3:$J$36,MATCH(B412,PEMAGANG!$C$3:$C$36,0)),H412&lt;=INDEX(PEMAGANG!$K$3:$K$36,MATCH(B412,PEMAGANG!$C$3:$C$36,0))),1,0),0)</f>
        <v>1</v>
      </c>
      <c r="W412" s="71">
        <f t="shared" si="62"/>
        <v>0</v>
      </c>
    </row>
    <row r="413" spans="1:23" x14ac:dyDescent="0.2">
      <c r="A413" s="71" t="s">
        <v>254</v>
      </c>
      <c r="B413" s="71" t="s">
        <v>255</v>
      </c>
      <c r="C413" s="71" t="s">
        <v>187</v>
      </c>
      <c r="D413" s="71" t="s">
        <v>256</v>
      </c>
      <c r="E413" s="71" t="s">
        <v>53</v>
      </c>
      <c r="F413" s="71" t="s">
        <v>298</v>
      </c>
      <c r="G413" s="88">
        <v>46198.307777777802</v>
      </c>
      <c r="H413" s="89">
        <v>46198</v>
      </c>
      <c r="I413" s="71" t="s">
        <v>311</v>
      </c>
      <c r="J413" s="71">
        <v>-6.9999999999999796</v>
      </c>
      <c r="K413" s="71" t="s">
        <v>302</v>
      </c>
      <c r="L413" s="71">
        <f t="shared" si="54"/>
        <v>6</v>
      </c>
      <c r="M413" s="71" t="str">
        <f>IFERROR(INDEX(KALENDER!$D$3:$D$132,MATCH(H413,KALENDER!$A$3:$A$132,0)),"Di luar periode")</f>
        <v>Hari Kerja</v>
      </c>
      <c r="N413" s="71">
        <f t="shared" si="55"/>
        <v>1</v>
      </c>
      <c r="O413" s="71">
        <f t="shared" si="56"/>
        <v>1</v>
      </c>
      <c r="P413" s="71">
        <f t="shared" si="57"/>
        <v>1</v>
      </c>
      <c r="Q413" s="71">
        <f t="shared" si="58"/>
        <v>0</v>
      </c>
      <c r="R413" s="71">
        <f t="shared" si="59"/>
        <v>0</v>
      </c>
      <c r="S413" s="71">
        <f t="shared" si="60"/>
        <v>0</v>
      </c>
      <c r="T413" s="71">
        <f t="shared" si="61"/>
        <v>0</v>
      </c>
      <c r="U413" s="71">
        <f>IF(AND(N413=1,V413=1),IF(COUNTIFS(AKTIVITAS!$B$2:$B$3052,B413,AKTIVITAS!$E$2:$E$3052,H413)&gt;0,1,0),0)</f>
        <v>1</v>
      </c>
      <c r="V413" s="71">
        <f>IFERROR(IF(AND(H413&gt;=INDEX(PEMAGANG!$J$3:$J$36,MATCH(B413,PEMAGANG!$C$3:$C$36,0)),H413&lt;=INDEX(PEMAGANG!$K$3:$K$36,MATCH(B413,PEMAGANG!$C$3:$C$36,0))),1,0),0)</f>
        <v>1</v>
      </c>
      <c r="W413" s="71">
        <f t="shared" si="62"/>
        <v>1</v>
      </c>
    </row>
    <row r="414" spans="1:23" x14ac:dyDescent="0.2">
      <c r="A414" s="71" t="s">
        <v>254</v>
      </c>
      <c r="B414" s="71" t="s">
        <v>255</v>
      </c>
      <c r="C414" s="71" t="s">
        <v>187</v>
      </c>
      <c r="D414" s="71" t="s">
        <v>256</v>
      </c>
      <c r="E414" s="71" t="s">
        <v>53</v>
      </c>
      <c r="F414" s="71" t="s">
        <v>300</v>
      </c>
      <c r="G414" s="88">
        <v>46198.689328703702</v>
      </c>
      <c r="H414" s="89">
        <v>46198</v>
      </c>
      <c r="I414" s="71" t="s">
        <v>306</v>
      </c>
      <c r="J414" s="71">
        <v>0</v>
      </c>
      <c r="K414" s="71" t="s">
        <v>302</v>
      </c>
      <c r="L414" s="71">
        <f t="shared" si="54"/>
        <v>6</v>
      </c>
      <c r="M414" s="71" t="str">
        <f>IFERROR(INDEX(KALENDER!$D$3:$D$132,MATCH(H414,KALENDER!$A$3:$A$132,0)),"Di luar periode")</f>
        <v>Hari Kerja</v>
      </c>
      <c r="N414" s="71">
        <f t="shared" si="55"/>
        <v>0</v>
      </c>
      <c r="O414" s="71">
        <f t="shared" si="56"/>
        <v>1</v>
      </c>
      <c r="P414" s="71">
        <f t="shared" si="57"/>
        <v>0</v>
      </c>
      <c r="Q414" s="71">
        <f t="shared" si="58"/>
        <v>0</v>
      </c>
      <c r="R414" s="71">
        <f t="shared" si="59"/>
        <v>0</v>
      </c>
      <c r="S414" s="71">
        <f t="shared" si="60"/>
        <v>0</v>
      </c>
      <c r="T414" s="71">
        <f t="shared" si="61"/>
        <v>0</v>
      </c>
      <c r="U414" s="71">
        <f>IF(AND(N414=1,V414=1),IF(COUNTIFS(AKTIVITAS!$B$2:$B$3052,B414,AKTIVITAS!$E$2:$E$3052,H414)&gt;0,1,0),0)</f>
        <v>0</v>
      </c>
      <c r="V414" s="71">
        <f>IFERROR(IF(AND(H414&gt;=INDEX(PEMAGANG!$J$3:$J$36,MATCH(B414,PEMAGANG!$C$3:$C$36,0)),H414&lt;=INDEX(PEMAGANG!$K$3:$K$36,MATCH(B414,PEMAGANG!$C$3:$C$36,0))),1,0),0)</f>
        <v>1</v>
      </c>
      <c r="W414" s="71">
        <f t="shared" si="62"/>
        <v>0</v>
      </c>
    </row>
    <row r="415" spans="1:23" x14ac:dyDescent="0.2">
      <c r="A415" s="71" t="s">
        <v>254</v>
      </c>
      <c r="B415" s="71" t="s">
        <v>255</v>
      </c>
      <c r="C415" s="71" t="s">
        <v>187</v>
      </c>
      <c r="D415" s="71" t="s">
        <v>256</v>
      </c>
      <c r="E415" s="71" t="s">
        <v>53</v>
      </c>
      <c r="F415" s="71" t="s">
        <v>298</v>
      </c>
      <c r="G415" s="88">
        <v>46199.3123611111</v>
      </c>
      <c r="H415" s="89">
        <v>46199</v>
      </c>
      <c r="I415" s="71" t="s">
        <v>365</v>
      </c>
      <c r="J415" s="71">
        <v>-0.999999999999996</v>
      </c>
      <c r="K415" s="71" t="s">
        <v>302</v>
      </c>
      <c r="L415" s="71">
        <f t="shared" si="54"/>
        <v>6</v>
      </c>
      <c r="M415" s="71" t="str">
        <f>IFERROR(INDEX(KALENDER!$D$3:$D$132,MATCH(H415,KALENDER!$A$3:$A$132,0)),"Di luar periode")</f>
        <v>Hari Kerja</v>
      </c>
      <c r="N415" s="71">
        <f t="shared" si="55"/>
        <v>1</v>
      </c>
      <c r="O415" s="71">
        <f t="shared" si="56"/>
        <v>1</v>
      </c>
      <c r="P415" s="71">
        <f t="shared" si="57"/>
        <v>1</v>
      </c>
      <c r="Q415" s="71">
        <f t="shared" si="58"/>
        <v>0</v>
      </c>
      <c r="R415" s="71">
        <f t="shared" si="59"/>
        <v>0</v>
      </c>
      <c r="S415" s="71">
        <f t="shared" si="60"/>
        <v>0</v>
      </c>
      <c r="T415" s="71">
        <f t="shared" si="61"/>
        <v>0</v>
      </c>
      <c r="U415" s="71">
        <f>IF(AND(N415=1,V415=1),IF(COUNTIFS(AKTIVITAS!$B$2:$B$3052,B415,AKTIVITAS!$E$2:$E$3052,H415)&gt;0,1,0),0)</f>
        <v>1</v>
      </c>
      <c r="V415" s="71">
        <f>IFERROR(IF(AND(H415&gt;=INDEX(PEMAGANG!$J$3:$J$36,MATCH(B415,PEMAGANG!$C$3:$C$36,0)),H415&lt;=INDEX(PEMAGANG!$K$3:$K$36,MATCH(B415,PEMAGANG!$C$3:$C$36,0))),1,0),0)</f>
        <v>1</v>
      </c>
      <c r="W415" s="71">
        <f t="shared" si="62"/>
        <v>1</v>
      </c>
    </row>
    <row r="416" spans="1:23" x14ac:dyDescent="0.2">
      <c r="A416" s="71" t="s">
        <v>254</v>
      </c>
      <c r="B416" s="71" t="s">
        <v>255</v>
      </c>
      <c r="C416" s="71" t="s">
        <v>187</v>
      </c>
      <c r="D416" s="71" t="s">
        <v>256</v>
      </c>
      <c r="E416" s="71" t="s">
        <v>53</v>
      </c>
      <c r="F416" s="71" t="s">
        <v>300</v>
      </c>
      <c r="G416" s="88">
        <v>46199.688518518502</v>
      </c>
      <c r="H416" s="89">
        <v>46199</v>
      </c>
      <c r="I416" s="71" t="s">
        <v>336</v>
      </c>
      <c r="J416" s="71">
        <v>0</v>
      </c>
      <c r="K416" s="71" t="s">
        <v>302</v>
      </c>
      <c r="L416" s="71">
        <f t="shared" si="54"/>
        <v>6</v>
      </c>
      <c r="M416" s="71" t="str">
        <f>IFERROR(INDEX(KALENDER!$D$3:$D$132,MATCH(H416,KALENDER!$A$3:$A$132,0)),"Di luar periode")</f>
        <v>Hari Kerja</v>
      </c>
      <c r="N416" s="71">
        <f t="shared" si="55"/>
        <v>0</v>
      </c>
      <c r="O416" s="71">
        <f t="shared" si="56"/>
        <v>1</v>
      </c>
      <c r="P416" s="71">
        <f t="shared" si="57"/>
        <v>0</v>
      </c>
      <c r="Q416" s="71">
        <f t="shared" si="58"/>
        <v>0</v>
      </c>
      <c r="R416" s="71">
        <f t="shared" si="59"/>
        <v>0</v>
      </c>
      <c r="S416" s="71">
        <f t="shared" si="60"/>
        <v>0</v>
      </c>
      <c r="T416" s="71">
        <f t="shared" si="61"/>
        <v>0</v>
      </c>
      <c r="U416" s="71">
        <f>IF(AND(N416=1,V416=1),IF(COUNTIFS(AKTIVITAS!$B$2:$B$3052,B416,AKTIVITAS!$E$2:$E$3052,H416)&gt;0,1,0),0)</f>
        <v>0</v>
      </c>
      <c r="V416" s="71">
        <f>IFERROR(IF(AND(H416&gt;=INDEX(PEMAGANG!$J$3:$J$36,MATCH(B416,PEMAGANG!$C$3:$C$36,0)),H416&lt;=INDEX(PEMAGANG!$K$3:$K$36,MATCH(B416,PEMAGANG!$C$3:$C$36,0))),1,0),0)</f>
        <v>1</v>
      </c>
      <c r="W416" s="71">
        <f t="shared" si="62"/>
        <v>0</v>
      </c>
    </row>
    <row r="417" spans="1:23" x14ac:dyDescent="0.2">
      <c r="A417" s="71" t="s">
        <v>254</v>
      </c>
      <c r="B417" s="71" t="s">
        <v>255</v>
      </c>
      <c r="C417" s="71" t="s">
        <v>187</v>
      </c>
      <c r="D417" s="71" t="s">
        <v>256</v>
      </c>
      <c r="E417" s="71" t="s">
        <v>53</v>
      </c>
      <c r="F417" s="71" t="s">
        <v>298</v>
      </c>
      <c r="G417" s="88">
        <v>46202.310057870403</v>
      </c>
      <c r="H417" s="89">
        <v>46202</v>
      </c>
      <c r="I417" s="71" t="s">
        <v>315</v>
      </c>
      <c r="J417" s="71">
        <v>-3.9999999999999898</v>
      </c>
      <c r="K417" s="71" t="s">
        <v>302</v>
      </c>
      <c r="L417" s="71">
        <f t="shared" si="54"/>
        <v>6</v>
      </c>
      <c r="M417" s="71" t="str">
        <f>IFERROR(INDEX(KALENDER!$D$3:$D$132,MATCH(H417,KALENDER!$A$3:$A$132,0)),"Di luar periode")</f>
        <v>Hari Kerja</v>
      </c>
      <c r="N417" s="71">
        <f t="shared" si="55"/>
        <v>1</v>
      </c>
      <c r="O417" s="71">
        <f t="shared" si="56"/>
        <v>1</v>
      </c>
      <c r="P417" s="71">
        <f t="shared" si="57"/>
        <v>1</v>
      </c>
      <c r="Q417" s="71">
        <f t="shared" si="58"/>
        <v>0</v>
      </c>
      <c r="R417" s="71">
        <f t="shared" si="59"/>
        <v>0</v>
      </c>
      <c r="S417" s="71">
        <f t="shared" si="60"/>
        <v>0</v>
      </c>
      <c r="T417" s="71">
        <f t="shared" si="61"/>
        <v>0</v>
      </c>
      <c r="U417" s="71">
        <f>IF(AND(N417=1,V417=1),IF(COUNTIFS(AKTIVITAS!$B$2:$B$3052,B417,AKTIVITAS!$E$2:$E$3052,H417)&gt;0,1,0),0)</f>
        <v>1</v>
      </c>
      <c r="V417" s="71">
        <f>IFERROR(IF(AND(H417&gt;=INDEX(PEMAGANG!$J$3:$J$36,MATCH(B417,PEMAGANG!$C$3:$C$36,0)),H417&lt;=INDEX(PEMAGANG!$K$3:$K$36,MATCH(B417,PEMAGANG!$C$3:$C$36,0))),1,0),0)</f>
        <v>1</v>
      </c>
      <c r="W417" s="71">
        <f t="shared" si="62"/>
        <v>1</v>
      </c>
    </row>
    <row r="418" spans="1:23" x14ac:dyDescent="0.2">
      <c r="A418" s="71" t="s">
        <v>254</v>
      </c>
      <c r="B418" s="71" t="s">
        <v>255</v>
      </c>
      <c r="C418" s="71" t="s">
        <v>187</v>
      </c>
      <c r="D418" s="71" t="s">
        <v>256</v>
      </c>
      <c r="E418" s="71" t="s">
        <v>53</v>
      </c>
      <c r="F418" s="71" t="s">
        <v>300</v>
      </c>
      <c r="G418" s="88">
        <v>46202.6890740741</v>
      </c>
      <c r="H418" s="89">
        <v>46202</v>
      </c>
      <c r="I418" s="71" t="s">
        <v>306</v>
      </c>
      <c r="J418" s="71">
        <v>0</v>
      </c>
      <c r="K418" s="71" t="s">
        <v>302</v>
      </c>
      <c r="L418" s="71">
        <f t="shared" si="54"/>
        <v>6</v>
      </c>
      <c r="M418" s="71" t="str">
        <f>IFERROR(INDEX(KALENDER!$D$3:$D$132,MATCH(H418,KALENDER!$A$3:$A$132,0)),"Di luar periode")</f>
        <v>Hari Kerja</v>
      </c>
      <c r="N418" s="71">
        <f t="shared" si="55"/>
        <v>0</v>
      </c>
      <c r="O418" s="71">
        <f t="shared" si="56"/>
        <v>1</v>
      </c>
      <c r="P418" s="71">
        <f t="shared" si="57"/>
        <v>0</v>
      </c>
      <c r="Q418" s="71">
        <f t="shared" si="58"/>
        <v>0</v>
      </c>
      <c r="R418" s="71">
        <f t="shared" si="59"/>
        <v>0</v>
      </c>
      <c r="S418" s="71">
        <f t="shared" si="60"/>
        <v>0</v>
      </c>
      <c r="T418" s="71">
        <f t="shared" si="61"/>
        <v>0</v>
      </c>
      <c r="U418" s="71">
        <f>IF(AND(N418=1,V418=1),IF(COUNTIFS(AKTIVITAS!$B$2:$B$3052,B418,AKTIVITAS!$E$2:$E$3052,H418)&gt;0,1,0),0)</f>
        <v>0</v>
      </c>
      <c r="V418" s="71">
        <f>IFERROR(IF(AND(H418&gt;=INDEX(PEMAGANG!$J$3:$J$36,MATCH(B418,PEMAGANG!$C$3:$C$36,0)),H418&lt;=INDEX(PEMAGANG!$K$3:$K$36,MATCH(B418,PEMAGANG!$C$3:$C$36,0))),1,0),0)</f>
        <v>1</v>
      </c>
      <c r="W418" s="71">
        <f t="shared" si="62"/>
        <v>0</v>
      </c>
    </row>
    <row r="419" spans="1:23" x14ac:dyDescent="0.2">
      <c r="A419" s="71" t="s">
        <v>254</v>
      </c>
      <c r="B419" s="71" t="s">
        <v>255</v>
      </c>
      <c r="C419" s="71" t="s">
        <v>187</v>
      </c>
      <c r="D419" s="71" t="s">
        <v>256</v>
      </c>
      <c r="E419" s="71" t="s">
        <v>53</v>
      </c>
      <c r="F419" s="71" t="s">
        <v>298</v>
      </c>
      <c r="G419" s="88">
        <v>46203.312777777799</v>
      </c>
      <c r="H419" s="89">
        <v>46203</v>
      </c>
      <c r="I419" s="71" t="s">
        <v>335</v>
      </c>
      <c r="J419" s="71">
        <v>0</v>
      </c>
      <c r="K419" s="71" t="s">
        <v>302</v>
      </c>
      <c r="L419" s="71">
        <f t="shared" si="54"/>
        <v>6</v>
      </c>
      <c r="M419" s="71" t="str">
        <f>IFERROR(INDEX(KALENDER!$D$3:$D$132,MATCH(H419,KALENDER!$A$3:$A$132,0)),"Di luar periode")</f>
        <v>Hari Kerja</v>
      </c>
      <c r="N419" s="71">
        <f t="shared" si="55"/>
        <v>1</v>
      </c>
      <c r="O419" s="71">
        <f t="shared" si="56"/>
        <v>1</v>
      </c>
      <c r="P419" s="71">
        <f t="shared" si="57"/>
        <v>1</v>
      </c>
      <c r="Q419" s="71">
        <f t="shared" si="58"/>
        <v>0</v>
      </c>
      <c r="R419" s="71">
        <f t="shared" si="59"/>
        <v>0</v>
      </c>
      <c r="S419" s="71">
        <f t="shared" si="60"/>
        <v>0</v>
      </c>
      <c r="T419" s="71">
        <f t="shared" si="61"/>
        <v>1</v>
      </c>
      <c r="U419" s="71">
        <f>IF(AND(N419=1,V419=1),IF(COUNTIFS(AKTIVITAS!$B$2:$B$3052,B419,AKTIVITAS!$E$2:$E$3052,H419)&gt;0,1,0),0)</f>
        <v>0</v>
      </c>
      <c r="V419" s="71">
        <f>IFERROR(IF(AND(H419&gt;=INDEX(PEMAGANG!$J$3:$J$36,MATCH(B419,PEMAGANG!$C$3:$C$36,0)),H419&lt;=INDEX(PEMAGANG!$K$3:$K$36,MATCH(B419,PEMAGANG!$C$3:$C$36,0))),1,0),0)</f>
        <v>1</v>
      </c>
      <c r="W419" s="71">
        <f t="shared" si="62"/>
        <v>1</v>
      </c>
    </row>
    <row r="420" spans="1:23" x14ac:dyDescent="0.2">
      <c r="A420" s="71" t="s">
        <v>254</v>
      </c>
      <c r="B420" s="71" t="s">
        <v>255</v>
      </c>
      <c r="C420" s="71" t="s">
        <v>187</v>
      </c>
      <c r="D420" s="71" t="s">
        <v>256</v>
      </c>
      <c r="E420" s="71" t="s">
        <v>53</v>
      </c>
      <c r="F420" s="71" t="s">
        <v>298</v>
      </c>
      <c r="G420" s="88">
        <v>46205.311111111099</v>
      </c>
      <c r="H420" s="89">
        <v>46205</v>
      </c>
      <c r="I420" s="71" t="s">
        <v>377</v>
      </c>
      <c r="J420" s="71">
        <v>-1.99999999999999</v>
      </c>
      <c r="K420" s="71" t="s">
        <v>302</v>
      </c>
      <c r="L420" s="71">
        <f t="shared" si="54"/>
        <v>7</v>
      </c>
      <c r="M420" s="71" t="str">
        <f>IFERROR(INDEX(KALENDER!$D$3:$D$132,MATCH(H420,KALENDER!$A$3:$A$132,0)),"Di luar periode")</f>
        <v>Hari Kerja</v>
      </c>
      <c r="N420" s="71">
        <f t="shared" si="55"/>
        <v>1</v>
      </c>
      <c r="O420" s="71">
        <f t="shared" si="56"/>
        <v>1</v>
      </c>
      <c r="P420" s="71">
        <f t="shared" si="57"/>
        <v>1</v>
      </c>
      <c r="Q420" s="71">
        <f t="shared" si="58"/>
        <v>0</v>
      </c>
      <c r="R420" s="71">
        <f t="shared" si="59"/>
        <v>0</v>
      </c>
      <c r="S420" s="71">
        <f t="shared" si="60"/>
        <v>0</v>
      </c>
      <c r="T420" s="71">
        <f t="shared" si="61"/>
        <v>0</v>
      </c>
      <c r="U420" s="71">
        <f>IF(AND(N420=1,V420=1),IF(COUNTIFS(AKTIVITAS!$B$2:$B$3052,B420,AKTIVITAS!$E$2:$E$3052,H420)&gt;0,1,0),0)</f>
        <v>1</v>
      </c>
      <c r="V420" s="71">
        <f>IFERROR(IF(AND(H420&gt;=INDEX(PEMAGANG!$J$3:$J$36,MATCH(B420,PEMAGANG!$C$3:$C$36,0)),H420&lt;=INDEX(PEMAGANG!$K$3:$K$36,MATCH(B420,PEMAGANG!$C$3:$C$36,0))),1,0),0)</f>
        <v>1</v>
      </c>
      <c r="W420" s="71">
        <f t="shared" si="62"/>
        <v>1</v>
      </c>
    </row>
    <row r="421" spans="1:23" x14ac:dyDescent="0.2">
      <c r="A421" s="71" t="s">
        <v>254</v>
      </c>
      <c r="B421" s="71" t="s">
        <v>255</v>
      </c>
      <c r="C421" s="71" t="s">
        <v>187</v>
      </c>
      <c r="D421" s="71" t="s">
        <v>256</v>
      </c>
      <c r="E421" s="71" t="s">
        <v>53</v>
      </c>
      <c r="F421" s="71" t="s">
        <v>300</v>
      </c>
      <c r="G421" s="88">
        <v>46205.691435185203</v>
      </c>
      <c r="H421" s="89">
        <v>46205</v>
      </c>
      <c r="I421" s="71" t="s">
        <v>310</v>
      </c>
      <c r="J421" s="71">
        <v>0</v>
      </c>
      <c r="K421" s="71" t="s">
        <v>302</v>
      </c>
      <c r="L421" s="71">
        <f t="shared" si="54"/>
        <v>7</v>
      </c>
      <c r="M421" s="71" t="str">
        <f>IFERROR(INDEX(KALENDER!$D$3:$D$132,MATCH(H421,KALENDER!$A$3:$A$132,0)),"Di luar periode")</f>
        <v>Hari Kerja</v>
      </c>
      <c r="N421" s="71">
        <f t="shared" si="55"/>
        <v>0</v>
      </c>
      <c r="O421" s="71">
        <f t="shared" si="56"/>
        <v>1</v>
      </c>
      <c r="P421" s="71">
        <f t="shared" si="57"/>
        <v>0</v>
      </c>
      <c r="Q421" s="71">
        <f t="shared" si="58"/>
        <v>0</v>
      </c>
      <c r="R421" s="71">
        <f t="shared" si="59"/>
        <v>0</v>
      </c>
      <c r="S421" s="71">
        <f t="shared" si="60"/>
        <v>0</v>
      </c>
      <c r="T421" s="71">
        <f t="shared" si="61"/>
        <v>0</v>
      </c>
      <c r="U421" s="71">
        <f>IF(AND(N421=1,V421=1),IF(COUNTIFS(AKTIVITAS!$B$2:$B$3052,B421,AKTIVITAS!$E$2:$E$3052,H421)&gt;0,1,0),0)</f>
        <v>0</v>
      </c>
      <c r="V421" s="71">
        <f>IFERROR(IF(AND(H421&gt;=INDEX(PEMAGANG!$J$3:$J$36,MATCH(B421,PEMAGANG!$C$3:$C$36,0)),H421&lt;=INDEX(PEMAGANG!$K$3:$K$36,MATCH(B421,PEMAGANG!$C$3:$C$36,0))),1,0),0)</f>
        <v>1</v>
      </c>
      <c r="W421" s="71">
        <f t="shared" si="62"/>
        <v>0</v>
      </c>
    </row>
    <row r="422" spans="1:23" x14ac:dyDescent="0.2">
      <c r="A422" s="71" t="s">
        <v>254</v>
      </c>
      <c r="B422" s="71" t="s">
        <v>255</v>
      </c>
      <c r="C422" s="71" t="s">
        <v>187</v>
      </c>
      <c r="D422" s="71" t="s">
        <v>256</v>
      </c>
      <c r="E422" s="71" t="s">
        <v>53</v>
      </c>
      <c r="F422" s="71" t="s">
        <v>298</v>
      </c>
      <c r="G422" s="88">
        <v>46206.311493055597</v>
      </c>
      <c r="H422" s="89">
        <v>46206</v>
      </c>
      <c r="I422" s="71" t="s">
        <v>377</v>
      </c>
      <c r="J422" s="71">
        <v>-1.99999999999999</v>
      </c>
      <c r="K422" s="71" t="s">
        <v>302</v>
      </c>
      <c r="L422" s="71">
        <f t="shared" si="54"/>
        <v>7</v>
      </c>
      <c r="M422" s="71" t="str">
        <f>IFERROR(INDEX(KALENDER!$D$3:$D$132,MATCH(H422,KALENDER!$A$3:$A$132,0)),"Di luar periode")</f>
        <v>Hari Kerja</v>
      </c>
      <c r="N422" s="71">
        <f t="shared" si="55"/>
        <v>1</v>
      </c>
      <c r="O422" s="71">
        <f t="shared" si="56"/>
        <v>1</v>
      </c>
      <c r="P422" s="71">
        <f t="shared" si="57"/>
        <v>1</v>
      </c>
      <c r="Q422" s="71">
        <f t="shared" si="58"/>
        <v>0</v>
      </c>
      <c r="R422" s="71">
        <f t="shared" si="59"/>
        <v>0</v>
      </c>
      <c r="S422" s="71">
        <f t="shared" si="60"/>
        <v>0</v>
      </c>
      <c r="T422" s="71">
        <f t="shared" si="61"/>
        <v>0</v>
      </c>
      <c r="U422" s="71">
        <f>IF(AND(N422=1,V422=1),IF(COUNTIFS(AKTIVITAS!$B$2:$B$3052,B422,AKTIVITAS!$E$2:$E$3052,H422)&gt;0,1,0),0)</f>
        <v>1</v>
      </c>
      <c r="V422" s="71">
        <f>IFERROR(IF(AND(H422&gt;=INDEX(PEMAGANG!$J$3:$J$36,MATCH(B422,PEMAGANG!$C$3:$C$36,0)),H422&lt;=INDEX(PEMAGANG!$K$3:$K$36,MATCH(B422,PEMAGANG!$C$3:$C$36,0))),1,0),0)</f>
        <v>1</v>
      </c>
      <c r="W422" s="71">
        <f t="shared" si="62"/>
        <v>1</v>
      </c>
    </row>
    <row r="423" spans="1:23" x14ac:dyDescent="0.2">
      <c r="A423" s="71" t="s">
        <v>254</v>
      </c>
      <c r="B423" s="71" t="s">
        <v>255</v>
      </c>
      <c r="C423" s="71" t="s">
        <v>187</v>
      </c>
      <c r="D423" s="71" t="s">
        <v>256</v>
      </c>
      <c r="E423" s="71" t="s">
        <v>53</v>
      </c>
      <c r="F423" s="71" t="s">
        <v>300</v>
      </c>
      <c r="G423" s="88">
        <v>46206.692164351902</v>
      </c>
      <c r="H423" s="89">
        <v>46206</v>
      </c>
      <c r="I423" s="71" t="s">
        <v>344</v>
      </c>
      <c r="J423" s="71">
        <v>0</v>
      </c>
      <c r="K423" s="71" t="s">
        <v>302</v>
      </c>
      <c r="L423" s="71">
        <f t="shared" si="54"/>
        <v>7</v>
      </c>
      <c r="M423" s="71" t="str">
        <f>IFERROR(INDEX(KALENDER!$D$3:$D$132,MATCH(H423,KALENDER!$A$3:$A$132,0)),"Di luar periode")</f>
        <v>Hari Kerja</v>
      </c>
      <c r="N423" s="71">
        <f t="shared" si="55"/>
        <v>0</v>
      </c>
      <c r="O423" s="71">
        <f t="shared" si="56"/>
        <v>1</v>
      </c>
      <c r="P423" s="71">
        <f t="shared" si="57"/>
        <v>0</v>
      </c>
      <c r="Q423" s="71">
        <f t="shared" si="58"/>
        <v>0</v>
      </c>
      <c r="R423" s="71">
        <f t="shared" si="59"/>
        <v>0</v>
      </c>
      <c r="S423" s="71">
        <f t="shared" si="60"/>
        <v>0</v>
      </c>
      <c r="T423" s="71">
        <f t="shared" si="61"/>
        <v>0</v>
      </c>
      <c r="U423" s="71">
        <f>IF(AND(N423=1,V423=1),IF(COUNTIFS(AKTIVITAS!$B$2:$B$3052,B423,AKTIVITAS!$E$2:$E$3052,H423)&gt;0,1,0),0)</f>
        <v>0</v>
      </c>
      <c r="V423" s="71">
        <f>IFERROR(IF(AND(H423&gt;=INDEX(PEMAGANG!$J$3:$J$36,MATCH(B423,PEMAGANG!$C$3:$C$36,0)),H423&lt;=INDEX(PEMAGANG!$K$3:$K$36,MATCH(B423,PEMAGANG!$C$3:$C$36,0))),1,0),0)</f>
        <v>1</v>
      </c>
      <c r="W423" s="71">
        <f t="shared" si="62"/>
        <v>0</v>
      </c>
    </row>
    <row r="424" spans="1:23" x14ac:dyDescent="0.2">
      <c r="A424" s="71" t="s">
        <v>254</v>
      </c>
      <c r="B424" s="71" t="s">
        <v>255</v>
      </c>
      <c r="C424" s="71" t="s">
        <v>187</v>
      </c>
      <c r="D424" s="71" t="s">
        <v>256</v>
      </c>
      <c r="E424" s="71" t="s">
        <v>53</v>
      </c>
      <c r="F424" s="71" t="s">
        <v>298</v>
      </c>
      <c r="G424" s="88">
        <v>46209.312557870398</v>
      </c>
      <c r="H424" s="89">
        <v>46209</v>
      </c>
      <c r="I424" s="71" t="s">
        <v>335</v>
      </c>
      <c r="J424" s="71">
        <v>0</v>
      </c>
      <c r="K424" s="71" t="s">
        <v>302</v>
      </c>
      <c r="L424" s="71">
        <f t="shared" si="54"/>
        <v>7</v>
      </c>
      <c r="M424" s="71" t="str">
        <f>IFERROR(INDEX(KALENDER!$D$3:$D$132,MATCH(H424,KALENDER!$A$3:$A$132,0)),"Di luar periode")</f>
        <v>Hari Kerja</v>
      </c>
      <c r="N424" s="71">
        <f t="shared" si="55"/>
        <v>1</v>
      </c>
      <c r="O424" s="71">
        <f t="shared" si="56"/>
        <v>1</v>
      </c>
      <c r="P424" s="71">
        <f t="shared" si="57"/>
        <v>1</v>
      </c>
      <c r="Q424" s="71">
        <f t="shared" si="58"/>
        <v>0</v>
      </c>
      <c r="R424" s="71">
        <f t="shared" si="59"/>
        <v>0</v>
      </c>
      <c r="S424" s="71">
        <f t="shared" si="60"/>
        <v>0</v>
      </c>
      <c r="T424" s="71">
        <f t="shared" si="61"/>
        <v>0</v>
      </c>
      <c r="U424" s="71">
        <f>IF(AND(N424=1,V424=1),IF(COUNTIFS(AKTIVITAS!$B$2:$B$3052,B424,AKTIVITAS!$E$2:$E$3052,H424)&gt;0,1,0),0)</f>
        <v>1</v>
      </c>
      <c r="V424" s="71">
        <f>IFERROR(IF(AND(H424&gt;=INDEX(PEMAGANG!$J$3:$J$36,MATCH(B424,PEMAGANG!$C$3:$C$36,0)),H424&lt;=INDEX(PEMAGANG!$K$3:$K$36,MATCH(B424,PEMAGANG!$C$3:$C$36,0))),1,0),0)</f>
        <v>1</v>
      </c>
      <c r="W424" s="71">
        <f t="shared" si="62"/>
        <v>1</v>
      </c>
    </row>
    <row r="425" spans="1:23" x14ac:dyDescent="0.2">
      <c r="A425" s="71" t="s">
        <v>254</v>
      </c>
      <c r="B425" s="71" t="s">
        <v>255</v>
      </c>
      <c r="C425" s="71" t="s">
        <v>187</v>
      </c>
      <c r="D425" s="71" t="s">
        <v>256</v>
      </c>
      <c r="E425" s="71" t="s">
        <v>53</v>
      </c>
      <c r="F425" s="71" t="s">
        <v>300</v>
      </c>
      <c r="G425" s="88">
        <v>46209.689201388901</v>
      </c>
      <c r="H425" s="89">
        <v>46209</v>
      </c>
      <c r="I425" s="71" t="s">
        <v>306</v>
      </c>
      <c r="J425" s="71">
        <v>0</v>
      </c>
      <c r="K425" s="71" t="s">
        <v>302</v>
      </c>
      <c r="L425" s="71">
        <f t="shared" si="54"/>
        <v>7</v>
      </c>
      <c r="M425" s="71" t="str">
        <f>IFERROR(INDEX(KALENDER!$D$3:$D$132,MATCH(H425,KALENDER!$A$3:$A$132,0)),"Di luar periode")</f>
        <v>Hari Kerja</v>
      </c>
      <c r="N425" s="71">
        <f t="shared" si="55"/>
        <v>0</v>
      </c>
      <c r="O425" s="71">
        <f t="shared" si="56"/>
        <v>1</v>
      </c>
      <c r="P425" s="71">
        <f t="shared" si="57"/>
        <v>0</v>
      </c>
      <c r="Q425" s="71">
        <f t="shared" si="58"/>
        <v>0</v>
      </c>
      <c r="R425" s="71">
        <f t="shared" si="59"/>
        <v>0</v>
      </c>
      <c r="S425" s="71">
        <f t="shared" si="60"/>
        <v>0</v>
      </c>
      <c r="T425" s="71">
        <f t="shared" si="61"/>
        <v>0</v>
      </c>
      <c r="U425" s="71">
        <f>IF(AND(N425=1,V425=1),IF(COUNTIFS(AKTIVITAS!$B$2:$B$3052,B425,AKTIVITAS!$E$2:$E$3052,H425)&gt;0,1,0),0)</f>
        <v>0</v>
      </c>
      <c r="V425" s="71">
        <f>IFERROR(IF(AND(H425&gt;=INDEX(PEMAGANG!$J$3:$J$36,MATCH(B425,PEMAGANG!$C$3:$C$36,0)),H425&lt;=INDEX(PEMAGANG!$K$3:$K$36,MATCH(B425,PEMAGANG!$C$3:$C$36,0))),1,0),0)</f>
        <v>1</v>
      </c>
      <c r="W425" s="71">
        <f t="shared" si="62"/>
        <v>0</v>
      </c>
    </row>
    <row r="426" spans="1:23" x14ac:dyDescent="0.2">
      <c r="A426" s="71" t="s">
        <v>254</v>
      </c>
      <c r="B426" s="71" t="s">
        <v>255</v>
      </c>
      <c r="C426" s="71" t="s">
        <v>187</v>
      </c>
      <c r="D426" s="71" t="s">
        <v>256</v>
      </c>
      <c r="E426" s="71" t="s">
        <v>53</v>
      </c>
      <c r="F426" s="71" t="s">
        <v>298</v>
      </c>
      <c r="G426" s="88">
        <v>46210.318402777797</v>
      </c>
      <c r="H426" s="89">
        <v>46210</v>
      </c>
      <c r="I426" s="71" t="s">
        <v>410</v>
      </c>
      <c r="J426" s="71">
        <v>7.9999999999999698</v>
      </c>
      <c r="K426" s="71" t="s">
        <v>293</v>
      </c>
      <c r="L426" s="71">
        <f t="shared" si="54"/>
        <v>7</v>
      </c>
      <c r="M426" s="71" t="str">
        <f>IFERROR(INDEX(KALENDER!$D$3:$D$132,MATCH(H426,KALENDER!$A$3:$A$132,0)),"Di luar periode")</f>
        <v>Hari Kerja</v>
      </c>
      <c r="N426" s="71">
        <f t="shared" si="55"/>
        <v>1</v>
      </c>
      <c r="O426" s="71">
        <f t="shared" si="56"/>
        <v>1</v>
      </c>
      <c r="P426" s="71">
        <f t="shared" si="57"/>
        <v>1</v>
      </c>
      <c r="Q426" s="71">
        <f t="shared" si="58"/>
        <v>0</v>
      </c>
      <c r="R426" s="71">
        <f t="shared" si="59"/>
        <v>1</v>
      </c>
      <c r="S426" s="71">
        <f t="shared" si="60"/>
        <v>7.9999999999999698</v>
      </c>
      <c r="T426" s="71">
        <f t="shared" si="61"/>
        <v>0</v>
      </c>
      <c r="U426" s="71">
        <f>IF(AND(N426=1,V426=1),IF(COUNTIFS(AKTIVITAS!$B$2:$B$3052,B426,AKTIVITAS!$E$2:$E$3052,H426)&gt;0,1,0),0)</f>
        <v>0</v>
      </c>
      <c r="V426" s="71">
        <f>IFERROR(IF(AND(H426&gt;=INDEX(PEMAGANG!$J$3:$J$36,MATCH(B426,PEMAGANG!$C$3:$C$36,0)),H426&lt;=INDEX(PEMAGANG!$K$3:$K$36,MATCH(B426,PEMAGANG!$C$3:$C$36,0))),1,0),0)</f>
        <v>1</v>
      </c>
      <c r="W426" s="71">
        <f t="shared" si="62"/>
        <v>1</v>
      </c>
    </row>
    <row r="427" spans="1:23" x14ac:dyDescent="0.2">
      <c r="A427" s="71" t="s">
        <v>254</v>
      </c>
      <c r="B427" s="71" t="s">
        <v>255</v>
      </c>
      <c r="C427" s="71" t="s">
        <v>187</v>
      </c>
      <c r="D427" s="71" t="s">
        <v>256</v>
      </c>
      <c r="E427" s="71" t="s">
        <v>53</v>
      </c>
      <c r="F427" s="71" t="s">
        <v>300</v>
      </c>
      <c r="G427" s="88">
        <v>46210.688599537003</v>
      </c>
      <c r="H427" s="89">
        <v>46210</v>
      </c>
      <c r="I427" s="71" t="s">
        <v>336</v>
      </c>
      <c r="J427" s="71">
        <v>0</v>
      </c>
      <c r="K427" s="71" t="s">
        <v>302</v>
      </c>
      <c r="L427" s="71">
        <f t="shared" si="54"/>
        <v>7</v>
      </c>
      <c r="M427" s="71" t="str">
        <f>IFERROR(INDEX(KALENDER!$D$3:$D$132,MATCH(H427,KALENDER!$A$3:$A$132,0)),"Di luar periode")</f>
        <v>Hari Kerja</v>
      </c>
      <c r="N427" s="71">
        <f t="shared" si="55"/>
        <v>0</v>
      </c>
      <c r="O427" s="71">
        <f t="shared" si="56"/>
        <v>1</v>
      </c>
      <c r="P427" s="71">
        <f t="shared" si="57"/>
        <v>0</v>
      </c>
      <c r="Q427" s="71">
        <f t="shared" si="58"/>
        <v>0</v>
      </c>
      <c r="R427" s="71">
        <f t="shared" si="59"/>
        <v>0</v>
      </c>
      <c r="S427" s="71">
        <f t="shared" si="60"/>
        <v>0</v>
      </c>
      <c r="T427" s="71">
        <f t="shared" si="61"/>
        <v>0</v>
      </c>
      <c r="U427" s="71">
        <f>IF(AND(N427=1,V427=1),IF(COUNTIFS(AKTIVITAS!$B$2:$B$3052,B427,AKTIVITAS!$E$2:$E$3052,H427)&gt;0,1,0),0)</f>
        <v>0</v>
      </c>
      <c r="V427" s="71">
        <f>IFERROR(IF(AND(H427&gt;=INDEX(PEMAGANG!$J$3:$J$36,MATCH(B427,PEMAGANG!$C$3:$C$36,0)),H427&lt;=INDEX(PEMAGANG!$K$3:$K$36,MATCH(B427,PEMAGANG!$C$3:$C$36,0))),1,0),0)</f>
        <v>1</v>
      </c>
      <c r="W427" s="71">
        <f t="shared" si="62"/>
        <v>0</v>
      </c>
    </row>
    <row r="428" spans="1:23" x14ac:dyDescent="0.2">
      <c r="A428" s="71" t="s">
        <v>254</v>
      </c>
      <c r="B428" s="71" t="s">
        <v>255</v>
      </c>
      <c r="C428" s="71" t="s">
        <v>187</v>
      </c>
      <c r="D428" s="71" t="s">
        <v>256</v>
      </c>
      <c r="E428" s="71" t="s">
        <v>53</v>
      </c>
      <c r="F428" s="71" t="s">
        <v>298</v>
      </c>
      <c r="G428" s="88">
        <v>46212.311759259297</v>
      </c>
      <c r="H428" s="89">
        <v>46212</v>
      </c>
      <c r="I428" s="71" t="s">
        <v>377</v>
      </c>
      <c r="J428" s="71">
        <v>-1.99999999999999</v>
      </c>
      <c r="K428" s="71" t="s">
        <v>302</v>
      </c>
      <c r="L428" s="71">
        <f t="shared" si="54"/>
        <v>7</v>
      </c>
      <c r="M428" s="71" t="str">
        <f>IFERROR(INDEX(KALENDER!$D$3:$D$132,MATCH(H428,KALENDER!$A$3:$A$132,0)),"Di luar periode")</f>
        <v>Hari Kerja</v>
      </c>
      <c r="N428" s="71">
        <f t="shared" si="55"/>
        <v>1</v>
      </c>
      <c r="O428" s="71">
        <f t="shared" si="56"/>
        <v>1</v>
      </c>
      <c r="P428" s="71">
        <f t="shared" si="57"/>
        <v>1</v>
      </c>
      <c r="Q428" s="71">
        <f t="shared" si="58"/>
        <v>0</v>
      </c>
      <c r="R428" s="71">
        <f t="shared" si="59"/>
        <v>0</v>
      </c>
      <c r="S428" s="71">
        <f t="shared" si="60"/>
        <v>0</v>
      </c>
      <c r="T428" s="71">
        <f t="shared" si="61"/>
        <v>1</v>
      </c>
      <c r="U428" s="71">
        <f>IF(AND(N428=1,V428=1),IF(COUNTIFS(AKTIVITAS!$B$2:$B$3052,B428,AKTIVITAS!$E$2:$E$3052,H428)&gt;0,1,0),0)</f>
        <v>1</v>
      </c>
      <c r="V428" s="71">
        <f>IFERROR(IF(AND(H428&gt;=INDEX(PEMAGANG!$J$3:$J$36,MATCH(B428,PEMAGANG!$C$3:$C$36,0)),H428&lt;=INDEX(PEMAGANG!$K$3:$K$36,MATCH(B428,PEMAGANG!$C$3:$C$36,0))),1,0),0)</f>
        <v>1</v>
      </c>
      <c r="W428" s="71">
        <f t="shared" si="62"/>
        <v>1</v>
      </c>
    </row>
    <row r="429" spans="1:23" x14ac:dyDescent="0.2">
      <c r="A429" s="71" t="s">
        <v>254</v>
      </c>
      <c r="B429" s="71" t="s">
        <v>255</v>
      </c>
      <c r="C429" s="71" t="s">
        <v>187</v>
      </c>
      <c r="D429" s="71" t="s">
        <v>256</v>
      </c>
      <c r="E429" s="71" t="s">
        <v>53</v>
      </c>
      <c r="F429" s="71" t="s">
        <v>298</v>
      </c>
      <c r="G429" s="88">
        <v>46213.308368055601</v>
      </c>
      <c r="H429" s="89">
        <v>46213</v>
      </c>
      <c r="I429" s="71" t="s">
        <v>303</v>
      </c>
      <c r="J429" s="71">
        <v>-5.9999999999999796</v>
      </c>
      <c r="K429" s="71" t="s">
        <v>302</v>
      </c>
      <c r="L429" s="71">
        <f t="shared" si="54"/>
        <v>7</v>
      </c>
      <c r="M429" s="71" t="str">
        <f>IFERROR(INDEX(KALENDER!$D$3:$D$132,MATCH(H429,KALENDER!$A$3:$A$132,0)),"Di luar periode")</f>
        <v>Hari Kerja</v>
      </c>
      <c r="N429" s="71">
        <f t="shared" si="55"/>
        <v>1</v>
      </c>
      <c r="O429" s="71">
        <f t="shared" si="56"/>
        <v>1</v>
      </c>
      <c r="P429" s="71">
        <f t="shared" si="57"/>
        <v>1</v>
      </c>
      <c r="Q429" s="71">
        <f t="shared" si="58"/>
        <v>0</v>
      </c>
      <c r="R429" s="71">
        <f t="shared" si="59"/>
        <v>0</v>
      </c>
      <c r="S429" s="71">
        <f t="shared" si="60"/>
        <v>0</v>
      </c>
      <c r="T429" s="71">
        <f t="shared" si="61"/>
        <v>0</v>
      </c>
      <c r="U429" s="71">
        <f>IF(AND(N429=1,V429=1),IF(COUNTIFS(AKTIVITAS!$B$2:$B$3052,B429,AKTIVITAS!$E$2:$E$3052,H429)&gt;0,1,0),0)</f>
        <v>1</v>
      </c>
      <c r="V429" s="71">
        <f>IFERROR(IF(AND(H429&gt;=INDEX(PEMAGANG!$J$3:$J$36,MATCH(B429,PEMAGANG!$C$3:$C$36,0)),H429&lt;=INDEX(PEMAGANG!$K$3:$K$36,MATCH(B429,PEMAGANG!$C$3:$C$36,0))),1,0),0)</f>
        <v>1</v>
      </c>
      <c r="W429" s="71">
        <f t="shared" si="62"/>
        <v>1</v>
      </c>
    </row>
    <row r="430" spans="1:23" x14ac:dyDescent="0.2">
      <c r="A430" s="71" t="s">
        <v>254</v>
      </c>
      <c r="B430" s="71" t="s">
        <v>255</v>
      </c>
      <c r="C430" s="71" t="s">
        <v>187</v>
      </c>
      <c r="D430" s="71" t="s">
        <v>256</v>
      </c>
      <c r="E430" s="71" t="s">
        <v>53</v>
      </c>
      <c r="F430" s="71" t="s">
        <v>300</v>
      </c>
      <c r="G430" s="88">
        <v>46213.690347222197</v>
      </c>
      <c r="H430" s="89">
        <v>46213</v>
      </c>
      <c r="I430" s="71" t="s">
        <v>314</v>
      </c>
      <c r="J430" s="71">
        <v>0</v>
      </c>
      <c r="K430" s="71" t="s">
        <v>302</v>
      </c>
      <c r="L430" s="71">
        <f t="shared" si="54"/>
        <v>7</v>
      </c>
      <c r="M430" s="71" t="str">
        <f>IFERROR(INDEX(KALENDER!$D$3:$D$132,MATCH(H430,KALENDER!$A$3:$A$132,0)),"Di luar periode")</f>
        <v>Hari Kerja</v>
      </c>
      <c r="N430" s="71">
        <f t="shared" si="55"/>
        <v>0</v>
      </c>
      <c r="O430" s="71">
        <f t="shared" si="56"/>
        <v>1</v>
      </c>
      <c r="P430" s="71">
        <f t="shared" si="57"/>
        <v>0</v>
      </c>
      <c r="Q430" s="71">
        <f t="shared" si="58"/>
        <v>0</v>
      </c>
      <c r="R430" s="71">
        <f t="shared" si="59"/>
        <v>0</v>
      </c>
      <c r="S430" s="71">
        <f t="shared" si="60"/>
        <v>0</v>
      </c>
      <c r="T430" s="71">
        <f t="shared" si="61"/>
        <v>0</v>
      </c>
      <c r="U430" s="71">
        <f>IF(AND(N430=1,V430=1),IF(COUNTIFS(AKTIVITAS!$B$2:$B$3052,B430,AKTIVITAS!$E$2:$E$3052,H430)&gt;0,1,0),0)</f>
        <v>0</v>
      </c>
      <c r="V430" s="71">
        <f>IFERROR(IF(AND(H430&gt;=INDEX(PEMAGANG!$J$3:$J$36,MATCH(B430,PEMAGANG!$C$3:$C$36,0)),H430&lt;=INDEX(PEMAGANG!$K$3:$K$36,MATCH(B430,PEMAGANG!$C$3:$C$36,0))),1,0),0)</f>
        <v>1</v>
      </c>
      <c r="W430" s="71">
        <f t="shared" si="62"/>
        <v>0</v>
      </c>
    </row>
    <row r="431" spans="1:23" x14ac:dyDescent="0.2">
      <c r="A431" s="71" t="s">
        <v>254</v>
      </c>
      <c r="B431" s="71" t="s">
        <v>255</v>
      </c>
      <c r="C431" s="71" t="s">
        <v>187</v>
      </c>
      <c r="D431" s="71" t="s">
        <v>256</v>
      </c>
      <c r="E431" s="71" t="s">
        <v>53</v>
      </c>
      <c r="F431" s="71" t="s">
        <v>298</v>
      </c>
      <c r="G431" s="88">
        <v>46216.308923611097</v>
      </c>
      <c r="H431" s="89">
        <v>46216</v>
      </c>
      <c r="I431" s="71" t="s">
        <v>303</v>
      </c>
      <c r="J431" s="71">
        <v>-5.9999999999999796</v>
      </c>
      <c r="K431" s="71" t="s">
        <v>302</v>
      </c>
      <c r="L431" s="71">
        <f t="shared" si="54"/>
        <v>7</v>
      </c>
      <c r="M431" s="71" t="str">
        <f>IFERROR(INDEX(KALENDER!$D$3:$D$132,MATCH(H431,KALENDER!$A$3:$A$132,0)),"Di luar periode")</f>
        <v>Hari Kerja</v>
      </c>
      <c r="N431" s="71">
        <f t="shared" si="55"/>
        <v>1</v>
      </c>
      <c r="O431" s="71">
        <f t="shared" si="56"/>
        <v>1</v>
      </c>
      <c r="P431" s="71">
        <f t="shared" si="57"/>
        <v>1</v>
      </c>
      <c r="Q431" s="71">
        <f t="shared" si="58"/>
        <v>0</v>
      </c>
      <c r="R431" s="71">
        <f t="shared" si="59"/>
        <v>0</v>
      </c>
      <c r="S431" s="71">
        <f t="shared" si="60"/>
        <v>0</v>
      </c>
      <c r="T431" s="71">
        <f t="shared" si="61"/>
        <v>0</v>
      </c>
      <c r="U431" s="71">
        <f>IF(AND(N431=1,V431=1),IF(COUNTIFS(AKTIVITAS!$B$2:$B$3052,B431,AKTIVITAS!$E$2:$E$3052,H431)&gt;0,1,0),0)</f>
        <v>1</v>
      </c>
      <c r="V431" s="71">
        <f>IFERROR(IF(AND(H431&gt;=INDEX(PEMAGANG!$J$3:$J$36,MATCH(B431,PEMAGANG!$C$3:$C$36,0)),H431&lt;=INDEX(PEMAGANG!$K$3:$K$36,MATCH(B431,PEMAGANG!$C$3:$C$36,0))),1,0),0)</f>
        <v>1</v>
      </c>
      <c r="W431" s="71">
        <f t="shared" si="62"/>
        <v>1</v>
      </c>
    </row>
    <row r="432" spans="1:23" x14ac:dyDescent="0.2">
      <c r="A432" s="71" t="s">
        <v>254</v>
      </c>
      <c r="B432" s="71" t="s">
        <v>255</v>
      </c>
      <c r="C432" s="71" t="s">
        <v>187</v>
      </c>
      <c r="D432" s="71" t="s">
        <v>256</v>
      </c>
      <c r="E432" s="71" t="s">
        <v>53</v>
      </c>
      <c r="F432" s="71" t="s">
        <v>300</v>
      </c>
      <c r="G432" s="88">
        <v>46216.688634259299</v>
      </c>
      <c r="H432" s="89">
        <v>46216</v>
      </c>
      <c r="I432" s="71" t="s">
        <v>336</v>
      </c>
      <c r="J432" s="71">
        <v>0</v>
      </c>
      <c r="K432" s="71" t="s">
        <v>302</v>
      </c>
      <c r="L432" s="71">
        <f t="shared" si="54"/>
        <v>7</v>
      </c>
      <c r="M432" s="71" t="str">
        <f>IFERROR(INDEX(KALENDER!$D$3:$D$132,MATCH(H432,KALENDER!$A$3:$A$132,0)),"Di luar periode")</f>
        <v>Hari Kerja</v>
      </c>
      <c r="N432" s="71">
        <f t="shared" si="55"/>
        <v>0</v>
      </c>
      <c r="O432" s="71">
        <f t="shared" si="56"/>
        <v>1</v>
      </c>
      <c r="P432" s="71">
        <f t="shared" si="57"/>
        <v>0</v>
      </c>
      <c r="Q432" s="71">
        <f t="shared" si="58"/>
        <v>0</v>
      </c>
      <c r="R432" s="71">
        <f t="shared" si="59"/>
        <v>0</v>
      </c>
      <c r="S432" s="71">
        <f t="shared" si="60"/>
        <v>0</v>
      </c>
      <c r="T432" s="71">
        <f t="shared" si="61"/>
        <v>0</v>
      </c>
      <c r="U432" s="71">
        <f>IF(AND(N432=1,V432=1),IF(COUNTIFS(AKTIVITAS!$B$2:$B$3052,B432,AKTIVITAS!$E$2:$E$3052,H432)&gt;0,1,0),0)</f>
        <v>0</v>
      </c>
      <c r="V432" s="71">
        <f>IFERROR(IF(AND(H432&gt;=INDEX(PEMAGANG!$J$3:$J$36,MATCH(B432,PEMAGANG!$C$3:$C$36,0)),H432&lt;=INDEX(PEMAGANG!$K$3:$K$36,MATCH(B432,PEMAGANG!$C$3:$C$36,0))),1,0),0)</f>
        <v>1</v>
      </c>
      <c r="W432" s="71">
        <f t="shared" si="62"/>
        <v>0</v>
      </c>
    </row>
    <row r="433" spans="1:23" x14ac:dyDescent="0.2">
      <c r="A433" s="71" t="s">
        <v>254</v>
      </c>
      <c r="B433" s="71" t="s">
        <v>255</v>
      </c>
      <c r="C433" s="71" t="s">
        <v>187</v>
      </c>
      <c r="D433" s="71" t="s">
        <v>256</v>
      </c>
      <c r="E433" s="71" t="s">
        <v>53</v>
      </c>
      <c r="F433" s="71" t="s">
        <v>298</v>
      </c>
      <c r="G433" s="88">
        <v>46217.316608796304</v>
      </c>
      <c r="H433" s="89">
        <v>46217</v>
      </c>
      <c r="I433" s="71" t="s">
        <v>339</v>
      </c>
      <c r="J433" s="71">
        <v>4.9999999999999796</v>
      </c>
      <c r="K433" s="71" t="s">
        <v>293</v>
      </c>
      <c r="L433" s="71">
        <f t="shared" si="54"/>
        <v>7</v>
      </c>
      <c r="M433" s="71" t="str">
        <f>IFERROR(INDEX(KALENDER!$D$3:$D$132,MATCH(H433,KALENDER!$A$3:$A$132,0)),"Di luar periode")</f>
        <v>Hari Kerja</v>
      </c>
      <c r="N433" s="71">
        <f t="shared" si="55"/>
        <v>1</v>
      </c>
      <c r="O433" s="71">
        <f t="shared" si="56"/>
        <v>1</v>
      </c>
      <c r="P433" s="71">
        <f t="shared" si="57"/>
        <v>1</v>
      </c>
      <c r="Q433" s="71">
        <f t="shared" si="58"/>
        <v>0</v>
      </c>
      <c r="R433" s="71">
        <f t="shared" si="59"/>
        <v>1</v>
      </c>
      <c r="S433" s="71">
        <f t="shared" si="60"/>
        <v>4.9999999999999796</v>
      </c>
      <c r="T433" s="71">
        <f t="shared" si="61"/>
        <v>0</v>
      </c>
      <c r="U433" s="71">
        <f>IF(AND(N433=1,V433=1),IF(COUNTIFS(AKTIVITAS!$B$2:$B$3052,B433,AKTIVITAS!$E$2:$E$3052,H433)&gt;0,1,0),0)</f>
        <v>1</v>
      </c>
      <c r="V433" s="71">
        <f>IFERROR(IF(AND(H433&gt;=INDEX(PEMAGANG!$J$3:$J$36,MATCH(B433,PEMAGANG!$C$3:$C$36,0)),H433&lt;=INDEX(PEMAGANG!$K$3:$K$36,MATCH(B433,PEMAGANG!$C$3:$C$36,0))),1,0),0)</f>
        <v>1</v>
      </c>
      <c r="W433" s="71">
        <f t="shared" si="62"/>
        <v>1</v>
      </c>
    </row>
    <row r="434" spans="1:23" x14ac:dyDescent="0.2">
      <c r="A434" s="71" t="s">
        <v>254</v>
      </c>
      <c r="B434" s="71" t="s">
        <v>255</v>
      </c>
      <c r="C434" s="71" t="s">
        <v>187</v>
      </c>
      <c r="D434" s="71" t="s">
        <v>256</v>
      </c>
      <c r="E434" s="71" t="s">
        <v>53</v>
      </c>
      <c r="F434" s="71" t="s">
        <v>300</v>
      </c>
      <c r="G434" s="88">
        <v>46217.688912037003</v>
      </c>
      <c r="H434" s="89">
        <v>46217</v>
      </c>
      <c r="I434" s="71" t="s">
        <v>306</v>
      </c>
      <c r="J434" s="71">
        <v>0</v>
      </c>
      <c r="K434" s="71" t="s">
        <v>302</v>
      </c>
      <c r="L434" s="71">
        <f t="shared" si="54"/>
        <v>7</v>
      </c>
      <c r="M434" s="71" t="str">
        <f>IFERROR(INDEX(KALENDER!$D$3:$D$132,MATCH(H434,KALENDER!$A$3:$A$132,0)),"Di luar periode")</f>
        <v>Hari Kerja</v>
      </c>
      <c r="N434" s="71">
        <f t="shared" si="55"/>
        <v>0</v>
      </c>
      <c r="O434" s="71">
        <f t="shared" si="56"/>
        <v>1</v>
      </c>
      <c r="P434" s="71">
        <f t="shared" si="57"/>
        <v>0</v>
      </c>
      <c r="Q434" s="71">
        <f t="shared" si="58"/>
        <v>0</v>
      </c>
      <c r="R434" s="71">
        <f t="shared" si="59"/>
        <v>0</v>
      </c>
      <c r="S434" s="71">
        <f t="shared" si="60"/>
        <v>0</v>
      </c>
      <c r="T434" s="71">
        <f t="shared" si="61"/>
        <v>0</v>
      </c>
      <c r="U434" s="71">
        <f>IF(AND(N434=1,V434=1),IF(COUNTIFS(AKTIVITAS!$B$2:$B$3052,B434,AKTIVITAS!$E$2:$E$3052,H434)&gt;0,1,0),0)</f>
        <v>0</v>
      </c>
      <c r="V434" s="71">
        <f>IFERROR(IF(AND(H434&gt;=INDEX(PEMAGANG!$J$3:$J$36,MATCH(B434,PEMAGANG!$C$3:$C$36,0)),H434&lt;=INDEX(PEMAGANG!$K$3:$K$36,MATCH(B434,PEMAGANG!$C$3:$C$36,0))),1,0),0)</f>
        <v>1</v>
      </c>
      <c r="W434" s="71">
        <f t="shared" si="62"/>
        <v>0</v>
      </c>
    </row>
    <row r="435" spans="1:23" x14ac:dyDescent="0.2">
      <c r="A435" s="71" t="s">
        <v>254</v>
      </c>
      <c r="B435" s="71" t="s">
        <v>255</v>
      </c>
      <c r="C435" s="71" t="s">
        <v>187</v>
      </c>
      <c r="D435" s="71" t="s">
        <v>256</v>
      </c>
      <c r="E435" s="71" t="s">
        <v>53</v>
      </c>
      <c r="F435" s="71" t="s">
        <v>298</v>
      </c>
      <c r="G435" s="88">
        <v>46218.313148148198</v>
      </c>
      <c r="H435" s="89">
        <v>46218</v>
      </c>
      <c r="I435" s="71" t="s">
        <v>335</v>
      </c>
      <c r="J435" s="71">
        <v>0</v>
      </c>
      <c r="K435" s="71" t="s">
        <v>302</v>
      </c>
      <c r="L435" s="71">
        <f t="shared" si="54"/>
        <v>7</v>
      </c>
      <c r="M435" s="71" t="str">
        <f>IFERROR(INDEX(KALENDER!$D$3:$D$132,MATCH(H435,KALENDER!$A$3:$A$132,0)),"Di luar periode")</f>
        <v>WFH</v>
      </c>
      <c r="N435" s="71">
        <f t="shared" si="55"/>
        <v>1</v>
      </c>
      <c r="O435" s="71">
        <f t="shared" si="56"/>
        <v>1</v>
      </c>
      <c r="P435" s="71">
        <f t="shared" si="57"/>
        <v>0</v>
      </c>
      <c r="Q435" s="71">
        <f t="shared" si="58"/>
        <v>1</v>
      </c>
      <c r="R435" s="71">
        <f t="shared" si="59"/>
        <v>0</v>
      </c>
      <c r="S435" s="71">
        <f t="shared" si="60"/>
        <v>0</v>
      </c>
      <c r="T435" s="71">
        <f t="shared" si="61"/>
        <v>0</v>
      </c>
      <c r="U435" s="71">
        <f>IF(AND(N435=1,V435=1),IF(COUNTIFS(AKTIVITAS!$B$2:$B$3052,B435,AKTIVITAS!$E$2:$E$3052,H435)&gt;0,1,0),0)</f>
        <v>1</v>
      </c>
      <c r="V435" s="71">
        <f>IFERROR(IF(AND(H435&gt;=INDEX(PEMAGANG!$J$3:$J$36,MATCH(B435,PEMAGANG!$C$3:$C$36,0)),H435&lt;=INDEX(PEMAGANG!$K$3:$K$36,MATCH(B435,PEMAGANG!$C$3:$C$36,0))),1,0),0)</f>
        <v>1</v>
      </c>
      <c r="W435" s="71">
        <f t="shared" si="62"/>
        <v>1</v>
      </c>
    </row>
    <row r="436" spans="1:23" x14ac:dyDescent="0.2">
      <c r="A436" s="71" t="s">
        <v>254</v>
      </c>
      <c r="B436" s="71" t="s">
        <v>255</v>
      </c>
      <c r="C436" s="71" t="s">
        <v>187</v>
      </c>
      <c r="D436" s="71" t="s">
        <v>256</v>
      </c>
      <c r="E436" s="71" t="s">
        <v>53</v>
      </c>
      <c r="F436" s="71" t="s">
        <v>300</v>
      </c>
      <c r="G436" s="88">
        <v>46218.688784722202</v>
      </c>
      <c r="H436" s="89">
        <v>46218</v>
      </c>
      <c r="I436" s="71" t="s">
        <v>336</v>
      </c>
      <c r="J436" s="71">
        <v>0</v>
      </c>
      <c r="K436" s="71" t="s">
        <v>302</v>
      </c>
      <c r="L436" s="71">
        <f t="shared" si="54"/>
        <v>7</v>
      </c>
      <c r="M436" s="71" t="str">
        <f>IFERROR(INDEX(KALENDER!$D$3:$D$132,MATCH(H436,KALENDER!$A$3:$A$132,0)),"Di luar periode")</f>
        <v>WFH</v>
      </c>
      <c r="N436" s="71">
        <f t="shared" si="55"/>
        <v>0</v>
      </c>
      <c r="O436" s="71">
        <f t="shared" si="56"/>
        <v>1</v>
      </c>
      <c r="P436" s="71">
        <f t="shared" si="57"/>
        <v>0</v>
      </c>
      <c r="Q436" s="71">
        <f t="shared" si="58"/>
        <v>0</v>
      </c>
      <c r="R436" s="71">
        <f t="shared" si="59"/>
        <v>0</v>
      </c>
      <c r="S436" s="71">
        <f t="shared" si="60"/>
        <v>0</v>
      </c>
      <c r="T436" s="71">
        <f t="shared" si="61"/>
        <v>0</v>
      </c>
      <c r="U436" s="71">
        <f>IF(AND(N436=1,V436=1),IF(COUNTIFS(AKTIVITAS!$B$2:$B$3052,B436,AKTIVITAS!$E$2:$E$3052,H436)&gt;0,1,0),0)</f>
        <v>0</v>
      </c>
      <c r="V436" s="71">
        <f>IFERROR(IF(AND(H436&gt;=INDEX(PEMAGANG!$J$3:$J$36,MATCH(B436,PEMAGANG!$C$3:$C$36,0)),H436&lt;=INDEX(PEMAGANG!$K$3:$K$36,MATCH(B436,PEMAGANG!$C$3:$C$36,0))),1,0),0)</f>
        <v>1</v>
      </c>
      <c r="W436" s="71">
        <f t="shared" si="62"/>
        <v>0</v>
      </c>
    </row>
    <row r="437" spans="1:23" x14ac:dyDescent="0.2">
      <c r="A437" s="71" t="s">
        <v>254</v>
      </c>
      <c r="B437" s="71" t="s">
        <v>255</v>
      </c>
      <c r="C437" s="71" t="s">
        <v>187</v>
      </c>
      <c r="D437" s="71" t="s">
        <v>256</v>
      </c>
      <c r="E437" s="71" t="s">
        <v>53</v>
      </c>
      <c r="F437" s="71" t="s">
        <v>298</v>
      </c>
      <c r="G437" s="88">
        <v>46219.313611111102</v>
      </c>
      <c r="H437" s="89">
        <v>46219</v>
      </c>
      <c r="I437" s="71" t="s">
        <v>392</v>
      </c>
      <c r="J437" s="71">
        <v>0.999999999999996</v>
      </c>
      <c r="K437" s="71" t="s">
        <v>293</v>
      </c>
      <c r="L437" s="71">
        <f t="shared" si="54"/>
        <v>7</v>
      </c>
      <c r="M437" s="71" t="str">
        <f>IFERROR(INDEX(KALENDER!$D$3:$D$132,MATCH(H437,KALENDER!$A$3:$A$132,0)),"Di luar periode")</f>
        <v>Hari Kerja</v>
      </c>
      <c r="N437" s="71">
        <f t="shared" si="55"/>
        <v>1</v>
      </c>
      <c r="O437" s="71">
        <f t="shared" si="56"/>
        <v>1</v>
      </c>
      <c r="P437" s="71">
        <f t="shared" si="57"/>
        <v>1</v>
      </c>
      <c r="Q437" s="71">
        <f t="shared" si="58"/>
        <v>0</v>
      </c>
      <c r="R437" s="71">
        <f t="shared" si="59"/>
        <v>1</v>
      </c>
      <c r="S437" s="71">
        <f t="shared" si="60"/>
        <v>0.999999999999996</v>
      </c>
      <c r="T437" s="71">
        <f t="shared" si="61"/>
        <v>0</v>
      </c>
      <c r="U437" s="71">
        <f>IF(AND(N437=1,V437=1),IF(COUNTIFS(AKTIVITAS!$B$2:$B$3052,B437,AKTIVITAS!$E$2:$E$3052,H437)&gt;0,1,0),0)</f>
        <v>1</v>
      </c>
      <c r="V437" s="71">
        <f>IFERROR(IF(AND(H437&gt;=INDEX(PEMAGANG!$J$3:$J$36,MATCH(B437,PEMAGANG!$C$3:$C$36,0)),H437&lt;=INDEX(PEMAGANG!$K$3:$K$36,MATCH(B437,PEMAGANG!$C$3:$C$36,0))),1,0),0)</f>
        <v>1</v>
      </c>
      <c r="W437" s="71">
        <f t="shared" si="62"/>
        <v>1</v>
      </c>
    </row>
    <row r="438" spans="1:23" x14ac:dyDescent="0.2">
      <c r="A438" s="71" t="s">
        <v>254</v>
      </c>
      <c r="B438" s="71" t="s">
        <v>255</v>
      </c>
      <c r="C438" s="71" t="s">
        <v>187</v>
      </c>
      <c r="D438" s="71" t="s">
        <v>256</v>
      </c>
      <c r="E438" s="71" t="s">
        <v>53</v>
      </c>
      <c r="F438" s="71" t="s">
        <v>300</v>
      </c>
      <c r="G438" s="88">
        <v>46219.689108796301</v>
      </c>
      <c r="H438" s="89">
        <v>46219</v>
      </c>
      <c r="I438" s="71" t="s">
        <v>306</v>
      </c>
      <c r="J438" s="71">
        <v>0</v>
      </c>
      <c r="K438" s="71" t="s">
        <v>302</v>
      </c>
      <c r="L438" s="71">
        <f t="shared" si="54"/>
        <v>7</v>
      </c>
      <c r="M438" s="71" t="str">
        <f>IFERROR(INDEX(KALENDER!$D$3:$D$132,MATCH(H438,KALENDER!$A$3:$A$132,0)),"Di luar periode")</f>
        <v>Hari Kerja</v>
      </c>
      <c r="N438" s="71">
        <f t="shared" si="55"/>
        <v>0</v>
      </c>
      <c r="O438" s="71">
        <f t="shared" si="56"/>
        <v>1</v>
      </c>
      <c r="P438" s="71">
        <f t="shared" si="57"/>
        <v>0</v>
      </c>
      <c r="Q438" s="71">
        <f t="shared" si="58"/>
        <v>0</v>
      </c>
      <c r="R438" s="71">
        <f t="shared" si="59"/>
        <v>0</v>
      </c>
      <c r="S438" s="71">
        <f t="shared" si="60"/>
        <v>0</v>
      </c>
      <c r="T438" s="71">
        <f t="shared" si="61"/>
        <v>0</v>
      </c>
      <c r="U438" s="71">
        <f>IF(AND(N438=1,V438=1),IF(COUNTIFS(AKTIVITAS!$B$2:$B$3052,B438,AKTIVITAS!$E$2:$E$3052,H438)&gt;0,1,0),0)</f>
        <v>0</v>
      </c>
      <c r="V438" s="71">
        <f>IFERROR(IF(AND(H438&gt;=INDEX(PEMAGANG!$J$3:$J$36,MATCH(B438,PEMAGANG!$C$3:$C$36,0)),H438&lt;=INDEX(PEMAGANG!$K$3:$K$36,MATCH(B438,PEMAGANG!$C$3:$C$36,0))),1,0),0)</f>
        <v>1</v>
      </c>
      <c r="W438" s="71">
        <f t="shared" si="62"/>
        <v>0</v>
      </c>
    </row>
    <row r="439" spans="1:23" x14ac:dyDescent="0.2">
      <c r="A439" s="71" t="s">
        <v>254</v>
      </c>
      <c r="B439" s="71" t="s">
        <v>255</v>
      </c>
      <c r="C439" s="71" t="s">
        <v>187</v>
      </c>
      <c r="D439" s="71" t="s">
        <v>256</v>
      </c>
      <c r="E439" s="71" t="s">
        <v>53</v>
      </c>
      <c r="F439" s="71" t="s">
        <v>298</v>
      </c>
      <c r="G439" s="88">
        <v>46220.3125462963</v>
      </c>
      <c r="H439" s="89">
        <v>46220</v>
      </c>
      <c r="I439" s="71" t="s">
        <v>335</v>
      </c>
      <c r="J439" s="71">
        <v>0</v>
      </c>
      <c r="K439" s="71" t="s">
        <v>302</v>
      </c>
      <c r="L439" s="71">
        <f t="shared" si="54"/>
        <v>7</v>
      </c>
      <c r="M439" s="71" t="str">
        <f>IFERROR(INDEX(KALENDER!$D$3:$D$132,MATCH(H439,KALENDER!$A$3:$A$132,0)),"Di luar periode")</f>
        <v>Hari Kerja</v>
      </c>
      <c r="N439" s="71">
        <f t="shared" si="55"/>
        <v>1</v>
      </c>
      <c r="O439" s="71">
        <f t="shared" si="56"/>
        <v>1</v>
      </c>
      <c r="P439" s="71">
        <f t="shared" si="57"/>
        <v>1</v>
      </c>
      <c r="Q439" s="71">
        <f t="shared" si="58"/>
        <v>0</v>
      </c>
      <c r="R439" s="71">
        <f t="shared" si="59"/>
        <v>0</v>
      </c>
      <c r="S439" s="71">
        <f t="shared" si="60"/>
        <v>0</v>
      </c>
      <c r="T439" s="71">
        <f t="shared" si="61"/>
        <v>0</v>
      </c>
      <c r="U439" s="71">
        <f>IF(AND(N439=1,V439=1),IF(COUNTIFS(AKTIVITAS!$B$2:$B$3052,B439,AKTIVITAS!$E$2:$E$3052,H439)&gt;0,1,0),0)</f>
        <v>1</v>
      </c>
      <c r="V439" s="71">
        <f>IFERROR(IF(AND(H439&gt;=INDEX(PEMAGANG!$J$3:$J$36,MATCH(B439,PEMAGANG!$C$3:$C$36,0)),H439&lt;=INDEX(PEMAGANG!$K$3:$K$36,MATCH(B439,PEMAGANG!$C$3:$C$36,0))),1,0),0)</f>
        <v>1</v>
      </c>
      <c r="W439" s="71">
        <f t="shared" si="62"/>
        <v>1</v>
      </c>
    </row>
    <row r="440" spans="1:23" x14ac:dyDescent="0.2">
      <c r="A440" s="71" t="s">
        <v>254</v>
      </c>
      <c r="B440" s="71" t="s">
        <v>255</v>
      </c>
      <c r="C440" s="71" t="s">
        <v>187</v>
      </c>
      <c r="D440" s="71" t="s">
        <v>256</v>
      </c>
      <c r="E440" s="71" t="s">
        <v>53</v>
      </c>
      <c r="F440" s="71" t="s">
        <v>300</v>
      </c>
      <c r="G440" s="88">
        <v>46220.690451388902</v>
      </c>
      <c r="H440" s="89">
        <v>46220</v>
      </c>
      <c r="I440" s="71" t="s">
        <v>314</v>
      </c>
      <c r="J440" s="71">
        <v>0</v>
      </c>
      <c r="K440" s="71" t="s">
        <v>302</v>
      </c>
      <c r="L440" s="71">
        <f t="shared" si="54"/>
        <v>7</v>
      </c>
      <c r="M440" s="71" t="str">
        <f>IFERROR(INDEX(KALENDER!$D$3:$D$132,MATCH(H440,KALENDER!$A$3:$A$132,0)),"Di luar periode")</f>
        <v>Hari Kerja</v>
      </c>
      <c r="N440" s="71">
        <f t="shared" si="55"/>
        <v>0</v>
      </c>
      <c r="O440" s="71">
        <f t="shared" si="56"/>
        <v>1</v>
      </c>
      <c r="P440" s="71">
        <f t="shared" si="57"/>
        <v>0</v>
      </c>
      <c r="Q440" s="71">
        <f t="shared" si="58"/>
        <v>0</v>
      </c>
      <c r="R440" s="71">
        <f t="shared" si="59"/>
        <v>0</v>
      </c>
      <c r="S440" s="71">
        <f t="shared" si="60"/>
        <v>0</v>
      </c>
      <c r="T440" s="71">
        <f t="shared" si="61"/>
        <v>0</v>
      </c>
      <c r="U440" s="71">
        <f>IF(AND(N440=1,V440=1),IF(COUNTIFS(AKTIVITAS!$B$2:$B$3052,B440,AKTIVITAS!$E$2:$E$3052,H440)&gt;0,1,0),0)</f>
        <v>0</v>
      </c>
      <c r="V440" s="71">
        <f>IFERROR(IF(AND(H440&gt;=INDEX(PEMAGANG!$J$3:$J$36,MATCH(B440,PEMAGANG!$C$3:$C$36,0)),H440&lt;=INDEX(PEMAGANG!$K$3:$K$36,MATCH(B440,PEMAGANG!$C$3:$C$36,0))),1,0),0)</f>
        <v>1</v>
      </c>
      <c r="W440" s="71">
        <f t="shared" si="62"/>
        <v>0</v>
      </c>
    </row>
    <row r="441" spans="1:23" x14ac:dyDescent="0.2">
      <c r="A441" s="71" t="s">
        <v>254</v>
      </c>
      <c r="B441" s="71" t="s">
        <v>255</v>
      </c>
      <c r="C441" s="71" t="s">
        <v>187</v>
      </c>
      <c r="D441" s="71" t="s">
        <v>256</v>
      </c>
      <c r="E441" s="71" t="s">
        <v>53</v>
      </c>
      <c r="F441" s="71" t="s">
        <v>298</v>
      </c>
      <c r="G441" s="88">
        <v>46223.305370370399</v>
      </c>
      <c r="H441" s="89">
        <v>46223</v>
      </c>
      <c r="I441" s="71" t="s">
        <v>321</v>
      </c>
      <c r="J441" s="71">
        <v>-11</v>
      </c>
      <c r="K441" s="71" t="s">
        <v>302</v>
      </c>
      <c r="L441" s="71">
        <f t="shared" si="54"/>
        <v>7</v>
      </c>
      <c r="M441" s="71" t="str">
        <f>IFERROR(INDEX(KALENDER!$D$3:$D$132,MATCH(H441,KALENDER!$A$3:$A$132,0)),"Di luar periode")</f>
        <v>Hari Kerja</v>
      </c>
      <c r="N441" s="71">
        <f t="shared" si="55"/>
        <v>1</v>
      </c>
      <c r="O441" s="71">
        <f t="shared" si="56"/>
        <v>1</v>
      </c>
      <c r="P441" s="71">
        <f t="shared" si="57"/>
        <v>1</v>
      </c>
      <c r="Q441" s="71">
        <f t="shared" si="58"/>
        <v>0</v>
      </c>
      <c r="R441" s="71">
        <f t="shared" si="59"/>
        <v>0</v>
      </c>
      <c r="S441" s="71">
        <f t="shared" si="60"/>
        <v>0</v>
      </c>
      <c r="T441" s="71">
        <f t="shared" si="61"/>
        <v>0</v>
      </c>
      <c r="U441" s="71">
        <f>IF(AND(N441=1,V441=1),IF(COUNTIFS(AKTIVITAS!$B$2:$B$3052,B441,AKTIVITAS!$E$2:$E$3052,H441)&gt;0,1,0),0)</f>
        <v>1</v>
      </c>
      <c r="V441" s="71">
        <f>IFERROR(IF(AND(H441&gt;=INDEX(PEMAGANG!$J$3:$J$36,MATCH(B441,PEMAGANG!$C$3:$C$36,0)),H441&lt;=INDEX(PEMAGANG!$K$3:$K$36,MATCH(B441,PEMAGANG!$C$3:$C$36,0))),1,0),0)</f>
        <v>1</v>
      </c>
      <c r="W441" s="71">
        <f t="shared" si="62"/>
        <v>1</v>
      </c>
    </row>
    <row r="442" spans="1:23" x14ac:dyDescent="0.2">
      <c r="A442" s="71" t="s">
        <v>254</v>
      </c>
      <c r="B442" s="71" t="s">
        <v>255</v>
      </c>
      <c r="C442" s="71" t="s">
        <v>187</v>
      </c>
      <c r="D442" s="71" t="s">
        <v>256</v>
      </c>
      <c r="E442" s="71" t="s">
        <v>53</v>
      </c>
      <c r="F442" s="71" t="s">
        <v>300</v>
      </c>
      <c r="G442" s="88">
        <v>46223.690729166701</v>
      </c>
      <c r="H442" s="89">
        <v>46223</v>
      </c>
      <c r="I442" s="71" t="s">
        <v>314</v>
      </c>
      <c r="J442" s="71">
        <v>0</v>
      </c>
      <c r="K442" s="71" t="s">
        <v>302</v>
      </c>
      <c r="L442" s="71">
        <f t="shared" si="54"/>
        <v>7</v>
      </c>
      <c r="M442" s="71" t="str">
        <f>IFERROR(INDEX(KALENDER!$D$3:$D$132,MATCH(H442,KALENDER!$A$3:$A$132,0)),"Di luar periode")</f>
        <v>Hari Kerja</v>
      </c>
      <c r="N442" s="71">
        <f t="shared" si="55"/>
        <v>0</v>
      </c>
      <c r="O442" s="71">
        <f t="shared" si="56"/>
        <v>1</v>
      </c>
      <c r="P442" s="71">
        <f t="shared" si="57"/>
        <v>0</v>
      </c>
      <c r="Q442" s="71">
        <f t="shared" si="58"/>
        <v>0</v>
      </c>
      <c r="R442" s="71">
        <f t="shared" si="59"/>
        <v>0</v>
      </c>
      <c r="S442" s="71">
        <f t="shared" si="60"/>
        <v>0</v>
      </c>
      <c r="T442" s="71">
        <f t="shared" si="61"/>
        <v>0</v>
      </c>
      <c r="U442" s="71">
        <f>IF(AND(N442=1,V442=1),IF(COUNTIFS(AKTIVITAS!$B$2:$B$3052,B442,AKTIVITAS!$E$2:$E$3052,H442)&gt;0,1,0),0)</f>
        <v>0</v>
      </c>
      <c r="V442" s="71">
        <f>IFERROR(IF(AND(H442&gt;=INDEX(PEMAGANG!$J$3:$J$36,MATCH(B442,PEMAGANG!$C$3:$C$36,0)),H442&lt;=INDEX(PEMAGANG!$K$3:$K$36,MATCH(B442,PEMAGANG!$C$3:$C$36,0))),1,0),0)</f>
        <v>1</v>
      </c>
      <c r="W442" s="71">
        <f t="shared" si="62"/>
        <v>0</v>
      </c>
    </row>
    <row r="443" spans="1:23" x14ac:dyDescent="0.2">
      <c r="A443" s="71" t="s">
        <v>254</v>
      </c>
      <c r="B443" s="71" t="s">
        <v>255</v>
      </c>
      <c r="C443" s="71" t="s">
        <v>187</v>
      </c>
      <c r="D443" s="71" t="s">
        <v>256</v>
      </c>
      <c r="E443" s="71" t="s">
        <v>53</v>
      </c>
      <c r="F443" s="71" t="s">
        <v>298</v>
      </c>
      <c r="G443" s="88">
        <v>46224.302094907398</v>
      </c>
      <c r="H443" s="89">
        <v>46224</v>
      </c>
      <c r="I443" s="71" t="s">
        <v>370</v>
      </c>
      <c r="J443" s="71">
        <v>-15</v>
      </c>
      <c r="K443" s="71" t="s">
        <v>302</v>
      </c>
      <c r="L443" s="71">
        <f t="shared" si="54"/>
        <v>7</v>
      </c>
      <c r="M443" s="71" t="str">
        <f>IFERROR(INDEX(KALENDER!$D$3:$D$132,MATCH(H443,KALENDER!$A$3:$A$132,0)),"Di luar periode")</f>
        <v>Hari Kerja</v>
      </c>
      <c r="N443" s="71">
        <f t="shared" si="55"/>
        <v>1</v>
      </c>
      <c r="O443" s="71">
        <f t="shared" si="56"/>
        <v>1</v>
      </c>
      <c r="P443" s="71">
        <f t="shared" si="57"/>
        <v>1</v>
      </c>
      <c r="Q443" s="71">
        <f t="shared" si="58"/>
        <v>0</v>
      </c>
      <c r="R443" s="71">
        <f t="shared" si="59"/>
        <v>0</v>
      </c>
      <c r="S443" s="71">
        <f t="shared" si="60"/>
        <v>0</v>
      </c>
      <c r="T443" s="71">
        <f t="shared" si="61"/>
        <v>0</v>
      </c>
      <c r="U443" s="71">
        <f>IF(AND(N443=1,V443=1),IF(COUNTIFS(AKTIVITAS!$B$2:$B$3052,B443,AKTIVITAS!$E$2:$E$3052,H443)&gt;0,1,0),0)</f>
        <v>1</v>
      </c>
      <c r="V443" s="71">
        <f>IFERROR(IF(AND(H443&gt;=INDEX(PEMAGANG!$J$3:$J$36,MATCH(B443,PEMAGANG!$C$3:$C$36,0)),H443&lt;=INDEX(PEMAGANG!$K$3:$K$36,MATCH(B443,PEMAGANG!$C$3:$C$36,0))),1,0),0)</f>
        <v>1</v>
      </c>
      <c r="W443" s="71">
        <f t="shared" si="62"/>
        <v>1</v>
      </c>
    </row>
    <row r="444" spans="1:23" x14ac:dyDescent="0.2">
      <c r="A444" s="71" t="s">
        <v>254</v>
      </c>
      <c r="B444" s="71" t="s">
        <v>255</v>
      </c>
      <c r="C444" s="71" t="s">
        <v>187</v>
      </c>
      <c r="D444" s="71" t="s">
        <v>256</v>
      </c>
      <c r="E444" s="71" t="s">
        <v>53</v>
      </c>
      <c r="F444" s="71" t="s">
        <v>300</v>
      </c>
      <c r="G444" s="88">
        <v>46224.688483796301</v>
      </c>
      <c r="H444" s="89">
        <v>46224</v>
      </c>
      <c r="I444" s="71" t="s">
        <v>336</v>
      </c>
      <c r="J444" s="71">
        <v>0</v>
      </c>
      <c r="K444" s="71" t="s">
        <v>302</v>
      </c>
      <c r="L444" s="71">
        <f t="shared" si="54"/>
        <v>7</v>
      </c>
      <c r="M444" s="71" t="str">
        <f>IFERROR(INDEX(KALENDER!$D$3:$D$132,MATCH(H444,KALENDER!$A$3:$A$132,0)),"Di luar periode")</f>
        <v>Hari Kerja</v>
      </c>
      <c r="N444" s="71">
        <f t="shared" si="55"/>
        <v>0</v>
      </c>
      <c r="O444" s="71">
        <f t="shared" si="56"/>
        <v>1</v>
      </c>
      <c r="P444" s="71">
        <f t="shared" si="57"/>
        <v>0</v>
      </c>
      <c r="Q444" s="71">
        <f t="shared" si="58"/>
        <v>0</v>
      </c>
      <c r="R444" s="71">
        <f t="shared" si="59"/>
        <v>0</v>
      </c>
      <c r="S444" s="71">
        <f t="shared" si="60"/>
        <v>0</v>
      </c>
      <c r="T444" s="71">
        <f t="shared" si="61"/>
        <v>0</v>
      </c>
      <c r="U444" s="71">
        <f>IF(AND(N444=1,V444=1),IF(COUNTIFS(AKTIVITAS!$B$2:$B$3052,B444,AKTIVITAS!$E$2:$E$3052,H444)&gt;0,1,0),0)</f>
        <v>0</v>
      </c>
      <c r="V444" s="71">
        <f>IFERROR(IF(AND(H444&gt;=INDEX(PEMAGANG!$J$3:$J$36,MATCH(B444,PEMAGANG!$C$3:$C$36,0)),H444&lt;=INDEX(PEMAGANG!$K$3:$K$36,MATCH(B444,PEMAGANG!$C$3:$C$36,0))),1,0),0)</f>
        <v>1</v>
      </c>
      <c r="W444" s="71">
        <f t="shared" si="62"/>
        <v>0</v>
      </c>
    </row>
    <row r="445" spans="1:23" x14ac:dyDescent="0.2">
      <c r="A445" s="71" t="s">
        <v>254</v>
      </c>
      <c r="B445" s="71" t="s">
        <v>255</v>
      </c>
      <c r="C445" s="71" t="s">
        <v>187</v>
      </c>
      <c r="D445" s="71" t="s">
        <v>256</v>
      </c>
      <c r="E445" s="71" t="s">
        <v>53</v>
      </c>
      <c r="F445" s="71" t="s">
        <v>298</v>
      </c>
      <c r="G445" s="88">
        <v>46225.294467592597</v>
      </c>
      <c r="H445" s="89">
        <v>46225</v>
      </c>
      <c r="I445" s="71" t="s">
        <v>411</v>
      </c>
      <c r="J445" s="71">
        <v>-26</v>
      </c>
      <c r="K445" s="71" t="s">
        <v>302</v>
      </c>
      <c r="L445" s="71">
        <f t="shared" si="54"/>
        <v>7</v>
      </c>
      <c r="M445" s="71" t="str">
        <f>IFERROR(INDEX(KALENDER!$D$3:$D$132,MATCH(H445,KALENDER!$A$3:$A$132,0)),"Di luar periode")</f>
        <v>WFH</v>
      </c>
      <c r="N445" s="71">
        <f t="shared" si="55"/>
        <v>1</v>
      </c>
      <c r="O445" s="71">
        <f t="shared" si="56"/>
        <v>1</v>
      </c>
      <c r="P445" s="71">
        <f t="shared" si="57"/>
        <v>0</v>
      </c>
      <c r="Q445" s="71">
        <f t="shared" si="58"/>
        <v>1</v>
      </c>
      <c r="R445" s="71">
        <f t="shared" si="59"/>
        <v>0</v>
      </c>
      <c r="S445" s="71">
        <f t="shared" si="60"/>
        <v>0</v>
      </c>
      <c r="T445" s="71">
        <f t="shared" si="61"/>
        <v>0</v>
      </c>
      <c r="U445" s="71">
        <f>IF(AND(N445=1,V445=1),IF(COUNTIFS(AKTIVITAS!$B$2:$B$3052,B445,AKTIVITAS!$E$2:$E$3052,H445)&gt;0,1,0),0)</f>
        <v>1</v>
      </c>
      <c r="V445" s="71">
        <f>IFERROR(IF(AND(H445&gt;=INDEX(PEMAGANG!$J$3:$J$36,MATCH(B445,PEMAGANG!$C$3:$C$36,0)),H445&lt;=INDEX(PEMAGANG!$K$3:$K$36,MATCH(B445,PEMAGANG!$C$3:$C$36,0))),1,0),0)</f>
        <v>1</v>
      </c>
      <c r="W445" s="71">
        <f t="shared" si="62"/>
        <v>1</v>
      </c>
    </row>
    <row r="446" spans="1:23" x14ac:dyDescent="0.2">
      <c r="A446" s="71" t="s">
        <v>254</v>
      </c>
      <c r="B446" s="71" t="s">
        <v>255</v>
      </c>
      <c r="C446" s="71" t="s">
        <v>187</v>
      </c>
      <c r="D446" s="71" t="s">
        <v>256</v>
      </c>
      <c r="E446" s="71" t="s">
        <v>53</v>
      </c>
      <c r="F446" s="71" t="s">
        <v>300</v>
      </c>
      <c r="G446" s="88">
        <v>46225.6889814815</v>
      </c>
      <c r="H446" s="89">
        <v>46225</v>
      </c>
      <c r="I446" s="71" t="s">
        <v>306</v>
      </c>
      <c r="J446" s="71">
        <v>0</v>
      </c>
      <c r="K446" s="71" t="s">
        <v>302</v>
      </c>
      <c r="L446" s="71">
        <f t="shared" si="54"/>
        <v>7</v>
      </c>
      <c r="M446" s="71" t="str">
        <f>IFERROR(INDEX(KALENDER!$D$3:$D$132,MATCH(H446,KALENDER!$A$3:$A$132,0)),"Di luar periode")</f>
        <v>WFH</v>
      </c>
      <c r="N446" s="71">
        <f t="shared" si="55"/>
        <v>0</v>
      </c>
      <c r="O446" s="71">
        <f t="shared" si="56"/>
        <v>1</v>
      </c>
      <c r="P446" s="71">
        <f t="shared" si="57"/>
        <v>0</v>
      </c>
      <c r="Q446" s="71">
        <f t="shared" si="58"/>
        <v>0</v>
      </c>
      <c r="R446" s="71">
        <f t="shared" si="59"/>
        <v>0</v>
      </c>
      <c r="S446" s="71">
        <f t="shared" si="60"/>
        <v>0</v>
      </c>
      <c r="T446" s="71">
        <f t="shared" si="61"/>
        <v>0</v>
      </c>
      <c r="U446" s="71">
        <f>IF(AND(N446=1,V446=1),IF(COUNTIFS(AKTIVITAS!$B$2:$B$3052,B446,AKTIVITAS!$E$2:$E$3052,H446)&gt;0,1,0),0)</f>
        <v>0</v>
      </c>
      <c r="V446" s="71">
        <f>IFERROR(IF(AND(H446&gt;=INDEX(PEMAGANG!$J$3:$J$36,MATCH(B446,PEMAGANG!$C$3:$C$36,0)),H446&lt;=INDEX(PEMAGANG!$K$3:$K$36,MATCH(B446,PEMAGANG!$C$3:$C$36,0))),1,0),0)</f>
        <v>1</v>
      </c>
      <c r="W446" s="71">
        <f t="shared" si="62"/>
        <v>0</v>
      </c>
    </row>
    <row r="447" spans="1:23" x14ac:dyDescent="0.2">
      <c r="A447" s="71" t="s">
        <v>254</v>
      </c>
      <c r="B447" s="71" t="s">
        <v>255</v>
      </c>
      <c r="C447" s="71" t="s">
        <v>187</v>
      </c>
      <c r="D447" s="71" t="s">
        <v>256</v>
      </c>
      <c r="E447" s="71" t="s">
        <v>53</v>
      </c>
      <c r="F447" s="71" t="s">
        <v>298</v>
      </c>
      <c r="G447" s="88">
        <v>46226.315277777801</v>
      </c>
      <c r="H447" s="89">
        <v>46226</v>
      </c>
      <c r="I447" s="71" t="s">
        <v>373</v>
      </c>
      <c r="J447" s="71">
        <v>3.9999999999999898</v>
      </c>
      <c r="K447" s="71" t="s">
        <v>293</v>
      </c>
      <c r="L447" s="71">
        <f t="shared" si="54"/>
        <v>7</v>
      </c>
      <c r="M447" s="71" t="str">
        <f>IFERROR(INDEX(KALENDER!$D$3:$D$132,MATCH(H447,KALENDER!$A$3:$A$132,0)),"Di luar periode")</f>
        <v>Hari Kerja</v>
      </c>
      <c r="N447" s="71">
        <f t="shared" si="55"/>
        <v>1</v>
      </c>
      <c r="O447" s="71">
        <f t="shared" si="56"/>
        <v>1</v>
      </c>
      <c r="P447" s="71">
        <f t="shared" si="57"/>
        <v>1</v>
      </c>
      <c r="Q447" s="71">
        <f t="shared" si="58"/>
        <v>0</v>
      </c>
      <c r="R447" s="71">
        <f t="shared" si="59"/>
        <v>1</v>
      </c>
      <c r="S447" s="71">
        <f t="shared" si="60"/>
        <v>3.9999999999999898</v>
      </c>
      <c r="T447" s="71">
        <f t="shared" si="61"/>
        <v>0</v>
      </c>
      <c r="U447" s="71">
        <f>IF(AND(N447=1,V447=1),IF(COUNTIFS(AKTIVITAS!$B$2:$B$3052,B447,AKTIVITAS!$E$2:$E$3052,H447)&gt;0,1,0),0)</f>
        <v>1</v>
      </c>
      <c r="V447" s="71">
        <f>IFERROR(IF(AND(H447&gt;=INDEX(PEMAGANG!$J$3:$J$36,MATCH(B447,PEMAGANG!$C$3:$C$36,0)),H447&lt;=INDEX(PEMAGANG!$K$3:$K$36,MATCH(B447,PEMAGANG!$C$3:$C$36,0))),1,0),0)</f>
        <v>1</v>
      </c>
      <c r="W447" s="71">
        <f t="shared" si="62"/>
        <v>1</v>
      </c>
    </row>
    <row r="448" spans="1:23" x14ac:dyDescent="0.2">
      <c r="A448" s="71" t="s">
        <v>254</v>
      </c>
      <c r="B448" s="71" t="s">
        <v>255</v>
      </c>
      <c r="C448" s="71" t="s">
        <v>187</v>
      </c>
      <c r="D448" s="71" t="s">
        <v>256</v>
      </c>
      <c r="E448" s="71" t="s">
        <v>53</v>
      </c>
      <c r="F448" s="71" t="s">
        <v>300</v>
      </c>
      <c r="G448" s="88">
        <v>46226.690810185202</v>
      </c>
      <c r="H448" s="89">
        <v>46226</v>
      </c>
      <c r="I448" s="71" t="s">
        <v>314</v>
      </c>
      <c r="J448" s="71">
        <v>0</v>
      </c>
      <c r="K448" s="71" t="s">
        <v>302</v>
      </c>
      <c r="L448" s="71">
        <f t="shared" si="54"/>
        <v>7</v>
      </c>
      <c r="M448" s="71" t="str">
        <f>IFERROR(INDEX(KALENDER!$D$3:$D$132,MATCH(H448,KALENDER!$A$3:$A$132,0)),"Di luar periode")</f>
        <v>Hari Kerja</v>
      </c>
      <c r="N448" s="71">
        <f t="shared" si="55"/>
        <v>0</v>
      </c>
      <c r="O448" s="71">
        <f t="shared" si="56"/>
        <v>1</v>
      </c>
      <c r="P448" s="71">
        <f t="shared" si="57"/>
        <v>0</v>
      </c>
      <c r="Q448" s="71">
        <f t="shared" si="58"/>
        <v>0</v>
      </c>
      <c r="R448" s="71">
        <f t="shared" si="59"/>
        <v>0</v>
      </c>
      <c r="S448" s="71">
        <f t="shared" si="60"/>
        <v>0</v>
      </c>
      <c r="T448" s="71">
        <f t="shared" si="61"/>
        <v>0</v>
      </c>
      <c r="U448" s="71">
        <f>IF(AND(N448=1,V448=1),IF(COUNTIFS(AKTIVITAS!$B$2:$B$3052,B448,AKTIVITAS!$E$2:$E$3052,H448)&gt;0,1,0),0)</f>
        <v>0</v>
      </c>
      <c r="V448" s="71">
        <f>IFERROR(IF(AND(H448&gt;=INDEX(PEMAGANG!$J$3:$J$36,MATCH(B448,PEMAGANG!$C$3:$C$36,0)),H448&lt;=INDEX(PEMAGANG!$K$3:$K$36,MATCH(B448,PEMAGANG!$C$3:$C$36,0))),1,0),0)</f>
        <v>1</v>
      </c>
      <c r="W448" s="71">
        <f t="shared" si="62"/>
        <v>0</v>
      </c>
    </row>
    <row r="449" spans="1:23" x14ac:dyDescent="0.2">
      <c r="A449" s="71" t="s">
        <v>254</v>
      </c>
      <c r="B449" s="71" t="s">
        <v>255</v>
      </c>
      <c r="C449" s="71" t="s">
        <v>187</v>
      </c>
      <c r="D449" s="71" t="s">
        <v>256</v>
      </c>
      <c r="E449" s="71" t="s">
        <v>53</v>
      </c>
      <c r="F449" s="71" t="s">
        <v>298</v>
      </c>
      <c r="G449" s="88">
        <v>46227.309675925899</v>
      </c>
      <c r="H449" s="89">
        <v>46227</v>
      </c>
      <c r="I449" s="71" t="s">
        <v>307</v>
      </c>
      <c r="J449" s="71">
        <v>-4.9999999999999796</v>
      </c>
      <c r="K449" s="71" t="s">
        <v>302</v>
      </c>
      <c r="L449" s="71">
        <f t="shared" si="54"/>
        <v>7</v>
      </c>
      <c r="M449" s="71" t="str">
        <f>IFERROR(INDEX(KALENDER!$D$3:$D$132,MATCH(H449,KALENDER!$A$3:$A$132,0)),"Di luar periode")</f>
        <v>Hari Kerja</v>
      </c>
      <c r="N449" s="71">
        <f t="shared" si="55"/>
        <v>1</v>
      </c>
      <c r="O449" s="71">
        <f t="shared" si="56"/>
        <v>1</v>
      </c>
      <c r="P449" s="71">
        <f t="shared" si="57"/>
        <v>1</v>
      </c>
      <c r="Q449" s="71">
        <f t="shared" si="58"/>
        <v>0</v>
      </c>
      <c r="R449" s="71">
        <f t="shared" si="59"/>
        <v>0</v>
      </c>
      <c r="S449" s="71">
        <f t="shared" si="60"/>
        <v>0</v>
      </c>
      <c r="T449" s="71">
        <f t="shared" si="61"/>
        <v>0</v>
      </c>
      <c r="U449" s="71">
        <f>IF(AND(N449=1,V449=1),IF(COUNTIFS(AKTIVITAS!$B$2:$B$3052,B449,AKTIVITAS!$E$2:$E$3052,H449)&gt;0,1,0),0)</f>
        <v>1</v>
      </c>
      <c r="V449" s="71">
        <f>IFERROR(IF(AND(H449&gt;=INDEX(PEMAGANG!$J$3:$J$36,MATCH(B449,PEMAGANG!$C$3:$C$36,0)),H449&lt;=INDEX(PEMAGANG!$K$3:$K$36,MATCH(B449,PEMAGANG!$C$3:$C$36,0))),1,0),0)</f>
        <v>1</v>
      </c>
      <c r="W449" s="71">
        <f t="shared" si="62"/>
        <v>1</v>
      </c>
    </row>
    <row r="450" spans="1:23" x14ac:dyDescent="0.2">
      <c r="A450" s="71" t="s">
        <v>254</v>
      </c>
      <c r="B450" s="71" t="s">
        <v>255</v>
      </c>
      <c r="C450" s="71" t="s">
        <v>187</v>
      </c>
      <c r="D450" s="71" t="s">
        <v>256</v>
      </c>
      <c r="E450" s="71" t="s">
        <v>53</v>
      </c>
      <c r="F450" s="71" t="s">
        <v>300</v>
      </c>
      <c r="G450" s="88">
        <v>46227.688634259299</v>
      </c>
      <c r="H450" s="89">
        <v>46227</v>
      </c>
      <c r="I450" s="71" t="s">
        <v>336</v>
      </c>
      <c r="J450" s="71">
        <v>0</v>
      </c>
      <c r="K450" s="71" t="s">
        <v>302</v>
      </c>
      <c r="L450" s="71">
        <f t="shared" ref="L450:L513" si="63">MONTH(H450)</f>
        <v>7</v>
      </c>
      <c r="M450" s="71" t="str">
        <f>IFERROR(INDEX(KALENDER!$D$3:$D$132,MATCH(H450,KALENDER!$A$3:$A$132,0)),"Di luar periode")</f>
        <v>Hari Kerja</v>
      </c>
      <c r="N450" s="71">
        <f t="shared" ref="N450:N513" si="64">IF(AND(B450=B449,H450=H449),0,1)</f>
        <v>0</v>
      </c>
      <c r="O450" s="71">
        <f t="shared" ref="O450:O513" si="65">IF(N450=1,0,O449)+IF(F450="MASUK",1,0)</f>
        <v>1</v>
      </c>
      <c r="P450" s="71">
        <f t="shared" ref="P450:P513" si="66">IF(AND(N450=1,M450="Hari Kerja",V450=1),1,0)</f>
        <v>0</v>
      </c>
      <c r="Q450" s="71">
        <f t="shared" ref="Q450:Q513" si="67">IF(AND(N450=1,OR(M450&lt;&gt;"Hari Kerja",V450=0)),1,0)</f>
        <v>0</v>
      </c>
      <c r="R450" s="71">
        <f t="shared" ref="R450:R513" si="68">IF(AND(F450="MASUK",O450=1,N(J450)&gt;0,V450=1),1,0)</f>
        <v>0</v>
      </c>
      <c r="S450" s="71">
        <f t="shared" ref="S450:S513" si="69">R450*N(J450)</f>
        <v>0</v>
      </c>
      <c r="T450" s="71">
        <f t="shared" ref="T450:T513" si="70">IF(AND(N450=1,V450=1),IF(AND(COUNTIFS($B$2:$B$4094,B450,$H$2:$H$4094,H450,$F$2:$F$4094,"MASUK")&gt;0,COUNTIFS($B$2:$B$4094,B450,$H$2:$H$4094,H450,$F$2:$F$4094,"PULANG")=0),1,0),0)</f>
        <v>0</v>
      </c>
      <c r="U450" s="71">
        <f>IF(AND(N450=1,V450=1),IF(COUNTIFS(AKTIVITAS!$B$2:$B$3052,B450,AKTIVITAS!$E$2:$E$3052,H450)&gt;0,1,0),0)</f>
        <v>0</v>
      </c>
      <c r="V450" s="71">
        <f>IFERROR(IF(AND(H450&gt;=INDEX(PEMAGANG!$J$3:$J$36,MATCH(B450,PEMAGANG!$C$3:$C$36,0)),H450&lt;=INDEX(PEMAGANG!$K$3:$K$36,MATCH(B450,PEMAGANG!$C$3:$C$36,0))),1,0),0)</f>
        <v>1</v>
      </c>
      <c r="W450" s="71">
        <f t="shared" ref="W450:W513" si="71">N450*V450</f>
        <v>0</v>
      </c>
    </row>
    <row r="451" spans="1:23" x14ac:dyDescent="0.2">
      <c r="A451" s="71" t="s">
        <v>254</v>
      </c>
      <c r="B451" s="71" t="s">
        <v>255</v>
      </c>
      <c r="C451" s="71" t="s">
        <v>187</v>
      </c>
      <c r="D451" s="71" t="s">
        <v>256</v>
      </c>
      <c r="E451" s="71" t="s">
        <v>53</v>
      </c>
      <c r="F451" s="71" t="s">
        <v>298</v>
      </c>
      <c r="G451" s="88">
        <v>46230.306469907402</v>
      </c>
      <c r="H451" s="89">
        <v>46230</v>
      </c>
      <c r="I451" s="71" t="s">
        <v>305</v>
      </c>
      <c r="J451" s="71">
        <v>-9.0000000000000497</v>
      </c>
      <c r="K451" s="71" t="s">
        <v>302</v>
      </c>
      <c r="L451" s="71">
        <f t="shared" si="63"/>
        <v>7</v>
      </c>
      <c r="M451" s="71" t="str">
        <f>IFERROR(INDEX(KALENDER!$D$3:$D$132,MATCH(H451,KALENDER!$A$3:$A$132,0)),"Di luar periode")</f>
        <v>Hari Kerja</v>
      </c>
      <c r="N451" s="71">
        <f t="shared" si="64"/>
        <v>1</v>
      </c>
      <c r="O451" s="71">
        <f t="shared" si="65"/>
        <v>1</v>
      </c>
      <c r="P451" s="71">
        <f t="shared" si="66"/>
        <v>1</v>
      </c>
      <c r="Q451" s="71">
        <f t="shared" si="67"/>
        <v>0</v>
      </c>
      <c r="R451" s="71">
        <f t="shared" si="68"/>
        <v>0</v>
      </c>
      <c r="S451" s="71">
        <f t="shared" si="69"/>
        <v>0</v>
      </c>
      <c r="T451" s="71">
        <f t="shared" si="70"/>
        <v>0</v>
      </c>
      <c r="U451" s="71">
        <f>IF(AND(N451=1,V451=1),IF(COUNTIFS(AKTIVITAS!$B$2:$B$3052,B451,AKTIVITAS!$E$2:$E$3052,H451)&gt;0,1,0),0)</f>
        <v>1</v>
      </c>
      <c r="V451" s="71">
        <f>IFERROR(IF(AND(H451&gt;=INDEX(PEMAGANG!$J$3:$J$36,MATCH(B451,PEMAGANG!$C$3:$C$36,0)),H451&lt;=INDEX(PEMAGANG!$K$3:$K$36,MATCH(B451,PEMAGANG!$C$3:$C$36,0))),1,0),0)</f>
        <v>1</v>
      </c>
      <c r="W451" s="71">
        <f t="shared" si="71"/>
        <v>1</v>
      </c>
    </row>
    <row r="452" spans="1:23" x14ac:dyDescent="0.2">
      <c r="A452" s="71" t="s">
        <v>254</v>
      </c>
      <c r="B452" s="71" t="s">
        <v>255</v>
      </c>
      <c r="C452" s="71" t="s">
        <v>187</v>
      </c>
      <c r="D452" s="71" t="s">
        <v>256</v>
      </c>
      <c r="E452" s="71" t="s">
        <v>53</v>
      </c>
      <c r="F452" s="71" t="s">
        <v>300</v>
      </c>
      <c r="G452" s="88">
        <v>46230.688958333303</v>
      </c>
      <c r="H452" s="89">
        <v>46230</v>
      </c>
      <c r="I452" s="71" t="s">
        <v>306</v>
      </c>
      <c r="J452" s="71">
        <v>0</v>
      </c>
      <c r="K452" s="71" t="s">
        <v>302</v>
      </c>
      <c r="L452" s="71">
        <f t="shared" si="63"/>
        <v>7</v>
      </c>
      <c r="M452" s="71" t="str">
        <f>IFERROR(INDEX(KALENDER!$D$3:$D$132,MATCH(H452,KALENDER!$A$3:$A$132,0)),"Di luar periode")</f>
        <v>Hari Kerja</v>
      </c>
      <c r="N452" s="71">
        <f t="shared" si="64"/>
        <v>0</v>
      </c>
      <c r="O452" s="71">
        <f t="shared" si="65"/>
        <v>1</v>
      </c>
      <c r="P452" s="71">
        <f t="shared" si="66"/>
        <v>0</v>
      </c>
      <c r="Q452" s="71">
        <f t="shared" si="67"/>
        <v>0</v>
      </c>
      <c r="R452" s="71">
        <f t="shared" si="68"/>
        <v>0</v>
      </c>
      <c r="S452" s="71">
        <f t="shared" si="69"/>
        <v>0</v>
      </c>
      <c r="T452" s="71">
        <f t="shared" si="70"/>
        <v>0</v>
      </c>
      <c r="U452" s="71">
        <f>IF(AND(N452=1,V452=1),IF(COUNTIFS(AKTIVITAS!$B$2:$B$3052,B452,AKTIVITAS!$E$2:$E$3052,H452)&gt;0,1,0),0)</f>
        <v>0</v>
      </c>
      <c r="V452" s="71">
        <f>IFERROR(IF(AND(H452&gt;=INDEX(PEMAGANG!$J$3:$J$36,MATCH(B452,PEMAGANG!$C$3:$C$36,0)),H452&lt;=INDEX(PEMAGANG!$K$3:$K$36,MATCH(B452,PEMAGANG!$C$3:$C$36,0))),1,0),0)</f>
        <v>1</v>
      </c>
      <c r="W452" s="71">
        <f t="shared" si="71"/>
        <v>0</v>
      </c>
    </row>
    <row r="453" spans="1:23" x14ac:dyDescent="0.2">
      <c r="A453" s="71" t="s">
        <v>254</v>
      </c>
      <c r="B453" s="71" t="s">
        <v>255</v>
      </c>
      <c r="C453" s="71" t="s">
        <v>187</v>
      </c>
      <c r="D453" s="71" t="s">
        <v>256</v>
      </c>
      <c r="E453" s="71" t="s">
        <v>53</v>
      </c>
      <c r="F453" s="71" t="s">
        <v>298</v>
      </c>
      <c r="G453" s="88">
        <v>46231.308495370402</v>
      </c>
      <c r="H453" s="89">
        <v>46231</v>
      </c>
      <c r="I453" s="71" t="s">
        <v>303</v>
      </c>
      <c r="J453" s="71">
        <v>-5.9999999999999796</v>
      </c>
      <c r="K453" s="71" t="s">
        <v>302</v>
      </c>
      <c r="L453" s="71">
        <f t="shared" si="63"/>
        <v>7</v>
      </c>
      <c r="M453" s="71" t="str">
        <f>IFERROR(INDEX(KALENDER!$D$3:$D$132,MATCH(H453,KALENDER!$A$3:$A$132,0)),"Di luar periode")</f>
        <v>Hari Kerja</v>
      </c>
      <c r="N453" s="71">
        <f t="shared" si="64"/>
        <v>1</v>
      </c>
      <c r="O453" s="71">
        <f t="shared" si="65"/>
        <v>1</v>
      </c>
      <c r="P453" s="71">
        <f t="shared" si="66"/>
        <v>1</v>
      </c>
      <c r="Q453" s="71">
        <f t="shared" si="67"/>
        <v>0</v>
      </c>
      <c r="R453" s="71">
        <f t="shared" si="68"/>
        <v>0</v>
      </c>
      <c r="S453" s="71">
        <f t="shared" si="69"/>
        <v>0</v>
      </c>
      <c r="T453" s="71">
        <f t="shared" si="70"/>
        <v>0</v>
      </c>
      <c r="U453" s="71">
        <f>IF(AND(N453=1,V453=1),IF(COUNTIFS(AKTIVITAS!$B$2:$B$3052,B453,AKTIVITAS!$E$2:$E$3052,H453)&gt;0,1,0),0)</f>
        <v>1</v>
      </c>
      <c r="V453" s="71">
        <f>IFERROR(IF(AND(H453&gt;=INDEX(PEMAGANG!$J$3:$J$36,MATCH(B453,PEMAGANG!$C$3:$C$36,0)),H453&lt;=INDEX(PEMAGANG!$K$3:$K$36,MATCH(B453,PEMAGANG!$C$3:$C$36,0))),1,0),0)</f>
        <v>1</v>
      </c>
      <c r="W453" s="71">
        <f t="shared" si="71"/>
        <v>1</v>
      </c>
    </row>
    <row r="454" spans="1:23" x14ac:dyDescent="0.2">
      <c r="A454" s="71" t="s">
        <v>254</v>
      </c>
      <c r="B454" s="71" t="s">
        <v>255</v>
      </c>
      <c r="C454" s="71" t="s">
        <v>187</v>
      </c>
      <c r="D454" s="71" t="s">
        <v>256</v>
      </c>
      <c r="E454" s="71" t="s">
        <v>53</v>
      </c>
      <c r="F454" s="71" t="s">
        <v>300</v>
      </c>
      <c r="G454" s="88">
        <v>46231.688692129603</v>
      </c>
      <c r="H454" s="89">
        <v>46231</v>
      </c>
      <c r="I454" s="71" t="s">
        <v>336</v>
      </c>
      <c r="J454" s="71">
        <v>0</v>
      </c>
      <c r="K454" s="71" t="s">
        <v>302</v>
      </c>
      <c r="L454" s="71">
        <f t="shared" si="63"/>
        <v>7</v>
      </c>
      <c r="M454" s="71" t="str">
        <f>IFERROR(INDEX(KALENDER!$D$3:$D$132,MATCH(H454,KALENDER!$A$3:$A$132,0)),"Di luar periode")</f>
        <v>Hari Kerja</v>
      </c>
      <c r="N454" s="71">
        <f t="shared" si="64"/>
        <v>0</v>
      </c>
      <c r="O454" s="71">
        <f t="shared" si="65"/>
        <v>1</v>
      </c>
      <c r="P454" s="71">
        <f t="shared" si="66"/>
        <v>0</v>
      </c>
      <c r="Q454" s="71">
        <f t="shared" si="67"/>
        <v>0</v>
      </c>
      <c r="R454" s="71">
        <f t="shared" si="68"/>
        <v>0</v>
      </c>
      <c r="S454" s="71">
        <f t="shared" si="69"/>
        <v>0</v>
      </c>
      <c r="T454" s="71">
        <f t="shared" si="70"/>
        <v>0</v>
      </c>
      <c r="U454" s="71">
        <f>IF(AND(N454=1,V454=1),IF(COUNTIFS(AKTIVITAS!$B$2:$B$3052,B454,AKTIVITAS!$E$2:$E$3052,H454)&gt;0,1,0),0)</f>
        <v>0</v>
      </c>
      <c r="V454" s="71">
        <f>IFERROR(IF(AND(H454&gt;=INDEX(PEMAGANG!$J$3:$J$36,MATCH(B454,PEMAGANG!$C$3:$C$36,0)),H454&lt;=INDEX(PEMAGANG!$K$3:$K$36,MATCH(B454,PEMAGANG!$C$3:$C$36,0))),1,0),0)</f>
        <v>1</v>
      </c>
      <c r="W454" s="71">
        <f t="shared" si="71"/>
        <v>0</v>
      </c>
    </row>
    <row r="455" spans="1:23" x14ac:dyDescent="0.2">
      <c r="A455" s="71" t="s">
        <v>254</v>
      </c>
      <c r="B455" s="71" t="s">
        <v>255</v>
      </c>
      <c r="C455" s="71" t="s">
        <v>187</v>
      </c>
      <c r="D455" s="71" t="s">
        <v>256</v>
      </c>
      <c r="E455" s="71" t="s">
        <v>53</v>
      </c>
      <c r="F455" s="71" t="s">
        <v>298</v>
      </c>
      <c r="G455" s="88">
        <v>46232.3132638889</v>
      </c>
      <c r="H455" s="89">
        <v>46232</v>
      </c>
      <c r="I455" s="71" t="s">
        <v>392</v>
      </c>
      <c r="J455" s="71">
        <v>0.999999999999996</v>
      </c>
      <c r="K455" s="71" t="s">
        <v>293</v>
      </c>
      <c r="L455" s="71">
        <f t="shared" si="63"/>
        <v>7</v>
      </c>
      <c r="M455" s="71" t="str">
        <f>IFERROR(INDEX(KALENDER!$D$3:$D$132,MATCH(H455,KALENDER!$A$3:$A$132,0)),"Di luar periode")</f>
        <v>WFH</v>
      </c>
      <c r="N455" s="71">
        <f t="shared" si="64"/>
        <v>1</v>
      </c>
      <c r="O455" s="71">
        <f t="shared" si="65"/>
        <v>1</v>
      </c>
      <c r="P455" s="71">
        <f t="shared" si="66"/>
        <v>0</v>
      </c>
      <c r="Q455" s="71">
        <f t="shared" si="67"/>
        <v>1</v>
      </c>
      <c r="R455" s="71">
        <f t="shared" si="68"/>
        <v>1</v>
      </c>
      <c r="S455" s="71">
        <f t="shared" si="69"/>
        <v>0.999999999999996</v>
      </c>
      <c r="T455" s="71">
        <f t="shared" si="70"/>
        <v>0</v>
      </c>
      <c r="U455" s="71">
        <f>IF(AND(N455=1,V455=1),IF(COUNTIFS(AKTIVITAS!$B$2:$B$3052,B455,AKTIVITAS!$E$2:$E$3052,H455)&gt;0,1,0),0)</f>
        <v>1</v>
      </c>
      <c r="V455" s="71">
        <f>IFERROR(IF(AND(H455&gt;=INDEX(PEMAGANG!$J$3:$J$36,MATCH(B455,PEMAGANG!$C$3:$C$36,0)),H455&lt;=INDEX(PEMAGANG!$K$3:$K$36,MATCH(B455,PEMAGANG!$C$3:$C$36,0))),1,0),0)</f>
        <v>1</v>
      </c>
      <c r="W455" s="71">
        <f t="shared" si="71"/>
        <v>1</v>
      </c>
    </row>
    <row r="456" spans="1:23" x14ac:dyDescent="0.2">
      <c r="A456" s="71" t="s">
        <v>254</v>
      </c>
      <c r="B456" s="71" t="s">
        <v>255</v>
      </c>
      <c r="C456" s="71" t="s">
        <v>187</v>
      </c>
      <c r="D456" s="71" t="s">
        <v>256</v>
      </c>
      <c r="E456" s="71" t="s">
        <v>53</v>
      </c>
      <c r="F456" s="71" t="s">
        <v>300</v>
      </c>
      <c r="G456" s="88">
        <v>46232.688923611102</v>
      </c>
      <c r="H456" s="89">
        <v>46232</v>
      </c>
      <c r="I456" s="71" t="s">
        <v>306</v>
      </c>
      <c r="J456" s="71">
        <v>0</v>
      </c>
      <c r="K456" s="71" t="s">
        <v>302</v>
      </c>
      <c r="L456" s="71">
        <f t="shared" si="63"/>
        <v>7</v>
      </c>
      <c r="M456" s="71" t="str">
        <f>IFERROR(INDEX(KALENDER!$D$3:$D$132,MATCH(H456,KALENDER!$A$3:$A$132,0)),"Di luar periode")</f>
        <v>WFH</v>
      </c>
      <c r="N456" s="71">
        <f t="shared" si="64"/>
        <v>0</v>
      </c>
      <c r="O456" s="71">
        <f t="shared" si="65"/>
        <v>1</v>
      </c>
      <c r="P456" s="71">
        <f t="shared" si="66"/>
        <v>0</v>
      </c>
      <c r="Q456" s="71">
        <f t="shared" si="67"/>
        <v>0</v>
      </c>
      <c r="R456" s="71">
        <f t="shared" si="68"/>
        <v>0</v>
      </c>
      <c r="S456" s="71">
        <f t="shared" si="69"/>
        <v>0</v>
      </c>
      <c r="T456" s="71">
        <f t="shared" si="70"/>
        <v>0</v>
      </c>
      <c r="U456" s="71">
        <f>IF(AND(N456=1,V456=1),IF(COUNTIFS(AKTIVITAS!$B$2:$B$3052,B456,AKTIVITAS!$E$2:$E$3052,H456)&gt;0,1,0),0)</f>
        <v>0</v>
      </c>
      <c r="V456" s="71">
        <f>IFERROR(IF(AND(H456&gt;=INDEX(PEMAGANG!$J$3:$J$36,MATCH(B456,PEMAGANG!$C$3:$C$36,0)),H456&lt;=INDEX(PEMAGANG!$K$3:$K$36,MATCH(B456,PEMAGANG!$C$3:$C$36,0))),1,0),0)</f>
        <v>1</v>
      </c>
      <c r="W456" s="71">
        <f t="shared" si="71"/>
        <v>0</v>
      </c>
    </row>
    <row r="457" spans="1:23" x14ac:dyDescent="0.2">
      <c r="A457" s="71" t="s">
        <v>254</v>
      </c>
      <c r="B457" s="71" t="s">
        <v>255</v>
      </c>
      <c r="C457" s="71" t="s">
        <v>187</v>
      </c>
      <c r="D457" s="71" t="s">
        <v>256</v>
      </c>
      <c r="E457" s="71" t="s">
        <v>53</v>
      </c>
      <c r="F457" s="71" t="s">
        <v>298</v>
      </c>
      <c r="G457" s="88">
        <v>46233.313032407401</v>
      </c>
      <c r="H457" s="89">
        <v>46233</v>
      </c>
      <c r="I457" s="71" t="s">
        <v>335</v>
      </c>
      <c r="J457" s="71">
        <v>0</v>
      </c>
      <c r="K457" s="71" t="s">
        <v>302</v>
      </c>
      <c r="L457" s="71">
        <f t="shared" si="63"/>
        <v>7</v>
      </c>
      <c r="M457" s="71" t="str">
        <f>IFERROR(INDEX(KALENDER!$D$3:$D$132,MATCH(H457,KALENDER!$A$3:$A$132,0)),"Di luar periode")</f>
        <v>Hari Kerja</v>
      </c>
      <c r="N457" s="71">
        <f t="shared" si="64"/>
        <v>1</v>
      </c>
      <c r="O457" s="71">
        <f t="shared" si="65"/>
        <v>1</v>
      </c>
      <c r="P457" s="71">
        <f t="shared" si="66"/>
        <v>1</v>
      </c>
      <c r="Q457" s="71">
        <f t="shared" si="67"/>
        <v>0</v>
      </c>
      <c r="R457" s="71">
        <f t="shared" si="68"/>
        <v>0</v>
      </c>
      <c r="S457" s="71">
        <f t="shared" si="69"/>
        <v>0</v>
      </c>
      <c r="T457" s="71">
        <f t="shared" si="70"/>
        <v>0</v>
      </c>
      <c r="U457" s="71">
        <f>IF(AND(N457=1,V457=1),IF(COUNTIFS(AKTIVITAS!$B$2:$B$3052,B457,AKTIVITAS!$E$2:$E$3052,H457)&gt;0,1,0),0)</f>
        <v>1</v>
      </c>
      <c r="V457" s="71">
        <f>IFERROR(IF(AND(H457&gt;=INDEX(PEMAGANG!$J$3:$J$36,MATCH(B457,PEMAGANG!$C$3:$C$36,0)),H457&lt;=INDEX(PEMAGANG!$K$3:$K$36,MATCH(B457,PEMAGANG!$C$3:$C$36,0))),1,0),0)</f>
        <v>1</v>
      </c>
      <c r="W457" s="71">
        <f t="shared" si="71"/>
        <v>1</v>
      </c>
    </row>
    <row r="458" spans="1:23" x14ac:dyDescent="0.2">
      <c r="A458" s="71" t="s">
        <v>254</v>
      </c>
      <c r="B458" s="71" t="s">
        <v>255</v>
      </c>
      <c r="C458" s="71" t="s">
        <v>187</v>
      </c>
      <c r="D458" s="71" t="s">
        <v>256</v>
      </c>
      <c r="E458" s="71" t="s">
        <v>53</v>
      </c>
      <c r="F458" s="71" t="s">
        <v>300</v>
      </c>
      <c r="G458" s="88">
        <v>46233.691817129598</v>
      </c>
      <c r="H458" s="89">
        <v>46233</v>
      </c>
      <c r="I458" s="71" t="s">
        <v>344</v>
      </c>
      <c r="J458" s="71">
        <v>0</v>
      </c>
      <c r="K458" s="71" t="s">
        <v>302</v>
      </c>
      <c r="L458" s="71">
        <f t="shared" si="63"/>
        <v>7</v>
      </c>
      <c r="M458" s="71" t="str">
        <f>IFERROR(INDEX(KALENDER!$D$3:$D$132,MATCH(H458,KALENDER!$A$3:$A$132,0)),"Di luar periode")</f>
        <v>Hari Kerja</v>
      </c>
      <c r="N458" s="71">
        <f t="shared" si="64"/>
        <v>0</v>
      </c>
      <c r="O458" s="71">
        <f t="shared" si="65"/>
        <v>1</v>
      </c>
      <c r="P458" s="71">
        <f t="shared" si="66"/>
        <v>0</v>
      </c>
      <c r="Q458" s="71">
        <f t="shared" si="67"/>
        <v>0</v>
      </c>
      <c r="R458" s="71">
        <f t="shared" si="68"/>
        <v>0</v>
      </c>
      <c r="S458" s="71">
        <f t="shared" si="69"/>
        <v>0</v>
      </c>
      <c r="T458" s="71">
        <f t="shared" si="70"/>
        <v>0</v>
      </c>
      <c r="U458" s="71">
        <f>IF(AND(N458=1,V458=1),IF(COUNTIFS(AKTIVITAS!$B$2:$B$3052,B458,AKTIVITAS!$E$2:$E$3052,H458)&gt;0,1,0),0)</f>
        <v>0</v>
      </c>
      <c r="V458" s="71">
        <f>IFERROR(IF(AND(H458&gt;=INDEX(PEMAGANG!$J$3:$J$36,MATCH(B458,PEMAGANG!$C$3:$C$36,0)),H458&lt;=INDEX(PEMAGANG!$K$3:$K$36,MATCH(B458,PEMAGANG!$C$3:$C$36,0))),1,0),0)</f>
        <v>1</v>
      </c>
      <c r="W458" s="71">
        <f t="shared" si="71"/>
        <v>0</v>
      </c>
    </row>
    <row r="459" spans="1:23" x14ac:dyDescent="0.2">
      <c r="A459" s="71" t="s">
        <v>254</v>
      </c>
      <c r="B459" s="71" t="s">
        <v>255</v>
      </c>
      <c r="C459" s="71" t="s">
        <v>187</v>
      </c>
      <c r="D459" s="71" t="s">
        <v>256</v>
      </c>
      <c r="E459" s="71" t="s">
        <v>53</v>
      </c>
      <c r="F459" s="71" t="s">
        <v>298</v>
      </c>
      <c r="G459" s="88">
        <v>46234.307928240698</v>
      </c>
      <c r="H459" s="89">
        <v>46234</v>
      </c>
      <c r="I459" s="71" t="s">
        <v>311</v>
      </c>
      <c r="J459" s="71">
        <v>-6.9999999999999796</v>
      </c>
      <c r="K459" s="71" t="s">
        <v>302</v>
      </c>
      <c r="L459" s="71">
        <f t="shared" si="63"/>
        <v>7</v>
      </c>
      <c r="M459" s="71" t="str">
        <f>IFERROR(INDEX(KALENDER!$D$3:$D$132,MATCH(H459,KALENDER!$A$3:$A$132,0)),"Di luar periode")</f>
        <v>Hari Kerja</v>
      </c>
      <c r="N459" s="71">
        <f t="shared" si="64"/>
        <v>1</v>
      </c>
      <c r="O459" s="71">
        <f t="shared" si="65"/>
        <v>1</v>
      </c>
      <c r="P459" s="71">
        <f t="shared" si="66"/>
        <v>1</v>
      </c>
      <c r="Q459" s="71">
        <f t="shared" si="67"/>
        <v>0</v>
      </c>
      <c r="R459" s="71">
        <f t="shared" si="68"/>
        <v>0</v>
      </c>
      <c r="S459" s="71">
        <f t="shared" si="69"/>
        <v>0</v>
      </c>
      <c r="T459" s="71">
        <f t="shared" si="70"/>
        <v>0</v>
      </c>
      <c r="U459" s="71">
        <f>IF(AND(N459=1,V459=1),IF(COUNTIFS(AKTIVITAS!$B$2:$B$3052,B459,AKTIVITAS!$E$2:$E$3052,H459)&gt;0,1,0),0)</f>
        <v>1</v>
      </c>
      <c r="V459" s="71">
        <f>IFERROR(IF(AND(H459&gt;=INDEX(PEMAGANG!$J$3:$J$36,MATCH(B459,PEMAGANG!$C$3:$C$36,0)),H459&lt;=INDEX(PEMAGANG!$K$3:$K$36,MATCH(B459,PEMAGANG!$C$3:$C$36,0))),1,0),0)</f>
        <v>1</v>
      </c>
      <c r="W459" s="71">
        <f t="shared" si="71"/>
        <v>1</v>
      </c>
    </row>
    <row r="460" spans="1:23" x14ac:dyDescent="0.2">
      <c r="A460" s="71" t="s">
        <v>254</v>
      </c>
      <c r="B460" s="71" t="s">
        <v>255</v>
      </c>
      <c r="C460" s="71" t="s">
        <v>187</v>
      </c>
      <c r="D460" s="71" t="s">
        <v>256</v>
      </c>
      <c r="E460" s="71" t="s">
        <v>53</v>
      </c>
      <c r="F460" s="71" t="s">
        <v>300</v>
      </c>
      <c r="G460" s="88">
        <v>46234.690740740698</v>
      </c>
      <c r="H460" s="89">
        <v>46234</v>
      </c>
      <c r="I460" s="71" t="s">
        <v>314</v>
      </c>
      <c r="J460" s="71">
        <v>0</v>
      </c>
      <c r="K460" s="71" t="s">
        <v>302</v>
      </c>
      <c r="L460" s="71">
        <f t="shared" si="63"/>
        <v>7</v>
      </c>
      <c r="M460" s="71" t="str">
        <f>IFERROR(INDEX(KALENDER!$D$3:$D$132,MATCH(H460,KALENDER!$A$3:$A$132,0)),"Di luar periode")</f>
        <v>Hari Kerja</v>
      </c>
      <c r="N460" s="71">
        <f t="shared" si="64"/>
        <v>0</v>
      </c>
      <c r="O460" s="71">
        <f t="shared" si="65"/>
        <v>1</v>
      </c>
      <c r="P460" s="71">
        <f t="shared" si="66"/>
        <v>0</v>
      </c>
      <c r="Q460" s="71">
        <f t="shared" si="67"/>
        <v>0</v>
      </c>
      <c r="R460" s="71">
        <f t="shared" si="68"/>
        <v>0</v>
      </c>
      <c r="S460" s="71">
        <f t="shared" si="69"/>
        <v>0</v>
      </c>
      <c r="T460" s="71">
        <f t="shared" si="70"/>
        <v>0</v>
      </c>
      <c r="U460" s="71">
        <f>IF(AND(N460=1,V460=1),IF(COUNTIFS(AKTIVITAS!$B$2:$B$3052,B460,AKTIVITAS!$E$2:$E$3052,H460)&gt;0,1,0),0)</f>
        <v>0</v>
      </c>
      <c r="V460" s="71">
        <f>IFERROR(IF(AND(H460&gt;=INDEX(PEMAGANG!$J$3:$J$36,MATCH(B460,PEMAGANG!$C$3:$C$36,0)),H460&lt;=INDEX(PEMAGANG!$K$3:$K$36,MATCH(B460,PEMAGANG!$C$3:$C$36,0))),1,0),0)</f>
        <v>1</v>
      </c>
      <c r="W460" s="71">
        <f t="shared" si="71"/>
        <v>0</v>
      </c>
    </row>
    <row r="461" spans="1:23" x14ac:dyDescent="0.2">
      <c r="A461" s="71" t="s">
        <v>254</v>
      </c>
      <c r="B461" s="71" t="s">
        <v>255</v>
      </c>
      <c r="C461" s="71" t="s">
        <v>187</v>
      </c>
      <c r="D461" s="71" t="s">
        <v>256</v>
      </c>
      <c r="E461" s="71" t="s">
        <v>53</v>
      </c>
      <c r="F461" s="71" t="s">
        <v>298</v>
      </c>
      <c r="G461" s="88">
        <v>46237.304317129601</v>
      </c>
      <c r="H461" s="89">
        <v>46237</v>
      </c>
      <c r="I461" s="71" t="s">
        <v>326</v>
      </c>
      <c r="J461" s="71">
        <v>-12</v>
      </c>
      <c r="K461" s="71" t="s">
        <v>302</v>
      </c>
      <c r="L461" s="71">
        <f t="shared" si="63"/>
        <v>8</v>
      </c>
      <c r="M461" s="71" t="str">
        <f>IFERROR(INDEX(KALENDER!$D$3:$D$132,MATCH(H461,KALENDER!$A$3:$A$132,0)),"Di luar periode")</f>
        <v>Hari Kerja</v>
      </c>
      <c r="N461" s="71">
        <f t="shared" si="64"/>
        <v>1</v>
      </c>
      <c r="O461" s="71">
        <f t="shared" si="65"/>
        <v>1</v>
      </c>
      <c r="P461" s="71">
        <f t="shared" si="66"/>
        <v>1</v>
      </c>
      <c r="Q461" s="71">
        <f t="shared" si="67"/>
        <v>0</v>
      </c>
      <c r="R461" s="71">
        <f t="shared" si="68"/>
        <v>0</v>
      </c>
      <c r="S461" s="71">
        <f t="shared" si="69"/>
        <v>0</v>
      </c>
      <c r="T461" s="71">
        <f t="shared" si="70"/>
        <v>0</v>
      </c>
      <c r="U461" s="71">
        <f>IF(AND(N461=1,V461=1),IF(COUNTIFS(AKTIVITAS!$B$2:$B$3052,B461,AKTIVITAS!$E$2:$E$3052,H461)&gt;0,1,0),0)</f>
        <v>1</v>
      </c>
      <c r="V461" s="71">
        <f>IFERROR(IF(AND(H461&gt;=INDEX(PEMAGANG!$J$3:$J$36,MATCH(B461,PEMAGANG!$C$3:$C$36,0)),H461&lt;=INDEX(PEMAGANG!$K$3:$K$36,MATCH(B461,PEMAGANG!$C$3:$C$36,0))),1,0),0)</f>
        <v>1</v>
      </c>
      <c r="W461" s="71">
        <f t="shared" si="71"/>
        <v>1</v>
      </c>
    </row>
    <row r="462" spans="1:23" x14ac:dyDescent="0.2">
      <c r="A462" s="71" t="s">
        <v>254</v>
      </c>
      <c r="B462" s="71" t="s">
        <v>255</v>
      </c>
      <c r="C462" s="71" t="s">
        <v>187</v>
      </c>
      <c r="D462" s="71" t="s">
        <v>256</v>
      </c>
      <c r="E462" s="71" t="s">
        <v>53</v>
      </c>
      <c r="F462" s="71" t="s">
        <v>300</v>
      </c>
      <c r="G462" s="88">
        <v>46237.690891203703</v>
      </c>
      <c r="H462" s="89">
        <v>46237</v>
      </c>
      <c r="I462" s="71" t="s">
        <v>314</v>
      </c>
      <c r="J462" s="71">
        <v>0</v>
      </c>
      <c r="K462" s="71" t="s">
        <v>302</v>
      </c>
      <c r="L462" s="71">
        <f t="shared" si="63"/>
        <v>8</v>
      </c>
      <c r="M462" s="71" t="str">
        <f>IFERROR(INDEX(KALENDER!$D$3:$D$132,MATCH(H462,KALENDER!$A$3:$A$132,0)),"Di luar periode")</f>
        <v>Hari Kerja</v>
      </c>
      <c r="N462" s="71">
        <f t="shared" si="64"/>
        <v>0</v>
      </c>
      <c r="O462" s="71">
        <f t="shared" si="65"/>
        <v>1</v>
      </c>
      <c r="P462" s="71">
        <f t="shared" si="66"/>
        <v>0</v>
      </c>
      <c r="Q462" s="71">
        <f t="shared" si="67"/>
        <v>0</v>
      </c>
      <c r="R462" s="71">
        <f t="shared" si="68"/>
        <v>0</v>
      </c>
      <c r="S462" s="71">
        <f t="shared" si="69"/>
        <v>0</v>
      </c>
      <c r="T462" s="71">
        <f t="shared" si="70"/>
        <v>0</v>
      </c>
      <c r="U462" s="71">
        <f>IF(AND(N462=1,V462=1),IF(COUNTIFS(AKTIVITAS!$B$2:$B$3052,B462,AKTIVITAS!$E$2:$E$3052,H462)&gt;0,1,0),0)</f>
        <v>0</v>
      </c>
      <c r="V462" s="71">
        <f>IFERROR(IF(AND(H462&gt;=INDEX(PEMAGANG!$J$3:$J$36,MATCH(B462,PEMAGANG!$C$3:$C$36,0)),H462&lt;=INDEX(PEMAGANG!$K$3:$K$36,MATCH(B462,PEMAGANG!$C$3:$C$36,0))),1,0),0)</f>
        <v>1</v>
      </c>
      <c r="W462" s="71">
        <f t="shared" si="71"/>
        <v>0</v>
      </c>
    </row>
    <row r="463" spans="1:23" x14ac:dyDescent="0.2">
      <c r="A463" s="71" t="s">
        <v>254</v>
      </c>
      <c r="B463" s="71" t="s">
        <v>255</v>
      </c>
      <c r="C463" s="71" t="s">
        <v>187</v>
      </c>
      <c r="D463" s="71" t="s">
        <v>256</v>
      </c>
      <c r="E463" s="71" t="s">
        <v>53</v>
      </c>
      <c r="F463" s="71" t="s">
        <v>298</v>
      </c>
      <c r="G463" s="88">
        <v>46238.312476851897</v>
      </c>
      <c r="H463" s="89">
        <v>46238</v>
      </c>
      <c r="I463" s="71" t="s">
        <v>365</v>
      </c>
      <c r="J463" s="71">
        <v>-0.999999999999996</v>
      </c>
      <c r="K463" s="71" t="s">
        <v>302</v>
      </c>
      <c r="L463" s="71">
        <f t="shared" si="63"/>
        <v>8</v>
      </c>
      <c r="M463" s="71" t="str">
        <f>IFERROR(INDEX(KALENDER!$D$3:$D$132,MATCH(H463,KALENDER!$A$3:$A$132,0)),"Di luar periode")</f>
        <v>Hari Kerja</v>
      </c>
      <c r="N463" s="71">
        <f t="shared" si="64"/>
        <v>1</v>
      </c>
      <c r="O463" s="71">
        <f t="shared" si="65"/>
        <v>1</v>
      </c>
      <c r="P463" s="71">
        <f t="shared" si="66"/>
        <v>1</v>
      </c>
      <c r="Q463" s="71">
        <f t="shared" si="67"/>
        <v>0</v>
      </c>
      <c r="R463" s="71">
        <f t="shared" si="68"/>
        <v>0</v>
      </c>
      <c r="S463" s="71">
        <f t="shared" si="69"/>
        <v>0</v>
      </c>
      <c r="T463" s="71">
        <f t="shared" si="70"/>
        <v>0</v>
      </c>
      <c r="U463" s="71">
        <f>IF(AND(N463=1,V463=1),IF(COUNTIFS(AKTIVITAS!$B$2:$B$3052,B463,AKTIVITAS!$E$2:$E$3052,H463)&gt;0,1,0),0)</f>
        <v>1</v>
      </c>
      <c r="V463" s="71">
        <f>IFERROR(IF(AND(H463&gt;=INDEX(PEMAGANG!$J$3:$J$36,MATCH(B463,PEMAGANG!$C$3:$C$36,0)),H463&lt;=INDEX(PEMAGANG!$K$3:$K$36,MATCH(B463,PEMAGANG!$C$3:$C$36,0))),1,0),0)</f>
        <v>1</v>
      </c>
      <c r="W463" s="71">
        <f t="shared" si="71"/>
        <v>1</v>
      </c>
    </row>
    <row r="464" spans="1:23" x14ac:dyDescent="0.2">
      <c r="A464" s="71" t="s">
        <v>254</v>
      </c>
      <c r="B464" s="71" t="s">
        <v>255</v>
      </c>
      <c r="C464" s="71" t="s">
        <v>187</v>
      </c>
      <c r="D464" s="71" t="s">
        <v>256</v>
      </c>
      <c r="E464" s="71" t="s">
        <v>53</v>
      </c>
      <c r="F464" s="71" t="s">
        <v>300</v>
      </c>
      <c r="G464" s="88">
        <v>46238.689780092602</v>
      </c>
      <c r="H464" s="89">
        <v>46238</v>
      </c>
      <c r="I464" s="71" t="s">
        <v>316</v>
      </c>
      <c r="J464" s="71">
        <v>0</v>
      </c>
      <c r="K464" s="71" t="s">
        <v>302</v>
      </c>
      <c r="L464" s="71">
        <f t="shared" si="63"/>
        <v>8</v>
      </c>
      <c r="M464" s="71" t="str">
        <f>IFERROR(INDEX(KALENDER!$D$3:$D$132,MATCH(H464,KALENDER!$A$3:$A$132,0)),"Di luar periode")</f>
        <v>Hari Kerja</v>
      </c>
      <c r="N464" s="71">
        <f t="shared" si="64"/>
        <v>0</v>
      </c>
      <c r="O464" s="71">
        <f t="shared" si="65"/>
        <v>1</v>
      </c>
      <c r="P464" s="71">
        <f t="shared" si="66"/>
        <v>0</v>
      </c>
      <c r="Q464" s="71">
        <f t="shared" si="67"/>
        <v>0</v>
      </c>
      <c r="R464" s="71">
        <f t="shared" si="68"/>
        <v>0</v>
      </c>
      <c r="S464" s="71">
        <f t="shared" si="69"/>
        <v>0</v>
      </c>
      <c r="T464" s="71">
        <f t="shared" si="70"/>
        <v>0</v>
      </c>
      <c r="U464" s="71">
        <f>IF(AND(N464=1,V464=1),IF(COUNTIFS(AKTIVITAS!$B$2:$B$3052,B464,AKTIVITAS!$E$2:$E$3052,H464)&gt;0,1,0),0)</f>
        <v>0</v>
      </c>
      <c r="V464" s="71">
        <f>IFERROR(IF(AND(H464&gt;=INDEX(PEMAGANG!$J$3:$J$36,MATCH(B464,PEMAGANG!$C$3:$C$36,0)),H464&lt;=INDEX(PEMAGANG!$K$3:$K$36,MATCH(B464,PEMAGANG!$C$3:$C$36,0))),1,0),0)</f>
        <v>1</v>
      </c>
      <c r="W464" s="71">
        <f t="shared" si="71"/>
        <v>0</v>
      </c>
    </row>
    <row r="465" spans="1:23" x14ac:dyDescent="0.2">
      <c r="A465" s="71" t="s">
        <v>254</v>
      </c>
      <c r="B465" s="71" t="s">
        <v>255</v>
      </c>
      <c r="C465" s="71" t="s">
        <v>187</v>
      </c>
      <c r="D465" s="71" t="s">
        <v>256</v>
      </c>
      <c r="E465" s="71" t="s">
        <v>53</v>
      </c>
      <c r="F465" s="71" t="s">
        <v>298</v>
      </c>
      <c r="G465" s="88">
        <v>46239.311412037001</v>
      </c>
      <c r="H465" s="89">
        <v>46239</v>
      </c>
      <c r="I465" s="71" t="s">
        <v>377</v>
      </c>
      <c r="J465" s="71">
        <v>-1.99999999999999</v>
      </c>
      <c r="K465" s="71" t="s">
        <v>302</v>
      </c>
      <c r="L465" s="71">
        <f t="shared" si="63"/>
        <v>8</v>
      </c>
      <c r="M465" s="71" t="str">
        <f>IFERROR(INDEX(KALENDER!$D$3:$D$132,MATCH(H465,KALENDER!$A$3:$A$132,0)),"Di luar periode")</f>
        <v>Hari Kerja</v>
      </c>
      <c r="N465" s="71">
        <f t="shared" si="64"/>
        <v>1</v>
      </c>
      <c r="O465" s="71">
        <f t="shared" si="65"/>
        <v>1</v>
      </c>
      <c r="P465" s="71">
        <f t="shared" si="66"/>
        <v>1</v>
      </c>
      <c r="Q465" s="71">
        <f t="shared" si="67"/>
        <v>0</v>
      </c>
      <c r="R465" s="71">
        <f t="shared" si="68"/>
        <v>0</v>
      </c>
      <c r="S465" s="71">
        <f t="shared" si="69"/>
        <v>0</v>
      </c>
      <c r="T465" s="71">
        <f t="shared" si="70"/>
        <v>0</v>
      </c>
      <c r="U465" s="71">
        <f>IF(AND(N465=1,V465=1),IF(COUNTIFS(AKTIVITAS!$B$2:$B$3052,B465,AKTIVITAS!$E$2:$E$3052,H465)&gt;0,1,0),0)</f>
        <v>1</v>
      </c>
      <c r="V465" s="71">
        <f>IFERROR(IF(AND(H465&gt;=INDEX(PEMAGANG!$J$3:$J$36,MATCH(B465,PEMAGANG!$C$3:$C$36,0)),H465&lt;=INDEX(PEMAGANG!$K$3:$K$36,MATCH(B465,PEMAGANG!$C$3:$C$36,0))),1,0),0)</f>
        <v>1</v>
      </c>
      <c r="W465" s="71">
        <f t="shared" si="71"/>
        <v>1</v>
      </c>
    </row>
    <row r="466" spans="1:23" x14ac:dyDescent="0.2">
      <c r="A466" s="71" t="s">
        <v>254</v>
      </c>
      <c r="B466" s="71" t="s">
        <v>255</v>
      </c>
      <c r="C466" s="71" t="s">
        <v>187</v>
      </c>
      <c r="D466" s="71" t="s">
        <v>256</v>
      </c>
      <c r="E466" s="71" t="s">
        <v>53</v>
      </c>
      <c r="F466" s="71" t="s">
        <v>300</v>
      </c>
      <c r="G466" s="88">
        <v>46239.689756944397</v>
      </c>
      <c r="H466" s="89">
        <v>46239</v>
      </c>
      <c r="I466" s="71" t="s">
        <v>316</v>
      </c>
      <c r="J466" s="71">
        <v>0</v>
      </c>
      <c r="K466" s="71" t="s">
        <v>302</v>
      </c>
      <c r="L466" s="71">
        <f t="shared" si="63"/>
        <v>8</v>
      </c>
      <c r="M466" s="71" t="str">
        <f>IFERROR(INDEX(KALENDER!$D$3:$D$132,MATCH(H466,KALENDER!$A$3:$A$132,0)),"Di luar periode")</f>
        <v>Hari Kerja</v>
      </c>
      <c r="N466" s="71">
        <f t="shared" si="64"/>
        <v>0</v>
      </c>
      <c r="O466" s="71">
        <f t="shared" si="65"/>
        <v>1</v>
      </c>
      <c r="P466" s="71">
        <f t="shared" si="66"/>
        <v>0</v>
      </c>
      <c r="Q466" s="71">
        <f t="shared" si="67"/>
        <v>0</v>
      </c>
      <c r="R466" s="71">
        <f t="shared" si="68"/>
        <v>0</v>
      </c>
      <c r="S466" s="71">
        <f t="shared" si="69"/>
        <v>0</v>
      </c>
      <c r="T466" s="71">
        <f t="shared" si="70"/>
        <v>0</v>
      </c>
      <c r="U466" s="71">
        <f>IF(AND(N466=1,V466=1),IF(COUNTIFS(AKTIVITAS!$B$2:$B$3052,B466,AKTIVITAS!$E$2:$E$3052,H466)&gt;0,1,0),0)</f>
        <v>0</v>
      </c>
      <c r="V466" s="71">
        <f>IFERROR(IF(AND(H466&gt;=INDEX(PEMAGANG!$J$3:$J$36,MATCH(B466,PEMAGANG!$C$3:$C$36,0)),H466&lt;=INDEX(PEMAGANG!$K$3:$K$36,MATCH(B466,PEMAGANG!$C$3:$C$36,0))),1,0),0)</f>
        <v>1</v>
      </c>
      <c r="W466" s="71">
        <f t="shared" si="71"/>
        <v>0</v>
      </c>
    </row>
    <row r="467" spans="1:23" x14ac:dyDescent="0.2">
      <c r="A467" s="71" t="s">
        <v>254</v>
      </c>
      <c r="B467" s="71" t="s">
        <v>255</v>
      </c>
      <c r="C467" s="71" t="s">
        <v>187</v>
      </c>
      <c r="D467" s="71" t="s">
        <v>256</v>
      </c>
      <c r="E467" s="71" t="s">
        <v>53</v>
      </c>
      <c r="F467" s="71" t="s">
        <v>298</v>
      </c>
      <c r="G467" s="88">
        <v>46240.313599537003</v>
      </c>
      <c r="H467" s="89">
        <v>46240</v>
      </c>
      <c r="I467" s="71" t="s">
        <v>392</v>
      </c>
      <c r="J467" s="71">
        <v>0.999999999999996</v>
      </c>
      <c r="K467" s="71" t="s">
        <v>293</v>
      </c>
      <c r="L467" s="71">
        <f t="shared" si="63"/>
        <v>8</v>
      </c>
      <c r="M467" s="71" t="str">
        <f>IFERROR(INDEX(KALENDER!$D$3:$D$132,MATCH(H467,KALENDER!$A$3:$A$132,0)),"Di luar periode")</f>
        <v>Hari Kerja</v>
      </c>
      <c r="N467" s="71">
        <f t="shared" si="64"/>
        <v>1</v>
      </c>
      <c r="O467" s="71">
        <f t="shared" si="65"/>
        <v>1</v>
      </c>
      <c r="P467" s="71">
        <f t="shared" si="66"/>
        <v>1</v>
      </c>
      <c r="Q467" s="71">
        <f t="shared" si="67"/>
        <v>0</v>
      </c>
      <c r="R467" s="71">
        <f t="shared" si="68"/>
        <v>1</v>
      </c>
      <c r="S467" s="71">
        <f t="shared" si="69"/>
        <v>0.999999999999996</v>
      </c>
      <c r="T467" s="71">
        <f t="shared" si="70"/>
        <v>0</v>
      </c>
      <c r="U467" s="71">
        <f>IF(AND(N467=1,V467=1),IF(COUNTIFS(AKTIVITAS!$B$2:$B$3052,B467,AKTIVITAS!$E$2:$E$3052,H467)&gt;0,1,0),0)</f>
        <v>1</v>
      </c>
      <c r="V467" s="71">
        <f>IFERROR(IF(AND(H467&gt;=INDEX(PEMAGANG!$J$3:$J$36,MATCH(B467,PEMAGANG!$C$3:$C$36,0)),H467&lt;=INDEX(PEMAGANG!$K$3:$K$36,MATCH(B467,PEMAGANG!$C$3:$C$36,0))),1,0),0)</f>
        <v>1</v>
      </c>
      <c r="W467" s="71">
        <f t="shared" si="71"/>
        <v>1</v>
      </c>
    </row>
    <row r="468" spans="1:23" x14ac:dyDescent="0.2">
      <c r="A468" s="71" t="s">
        <v>254</v>
      </c>
      <c r="B468" s="71" t="s">
        <v>255</v>
      </c>
      <c r="C468" s="71" t="s">
        <v>187</v>
      </c>
      <c r="D468" s="71" t="s">
        <v>256</v>
      </c>
      <c r="E468" s="71" t="s">
        <v>53</v>
      </c>
      <c r="F468" s="71" t="s">
        <v>300</v>
      </c>
      <c r="G468" s="88">
        <v>46240.689143518503</v>
      </c>
      <c r="H468" s="89">
        <v>46240</v>
      </c>
      <c r="I468" s="71" t="s">
        <v>306</v>
      </c>
      <c r="J468" s="71">
        <v>0</v>
      </c>
      <c r="K468" s="71" t="s">
        <v>302</v>
      </c>
      <c r="L468" s="71">
        <f t="shared" si="63"/>
        <v>8</v>
      </c>
      <c r="M468" s="71" t="str">
        <f>IFERROR(INDEX(KALENDER!$D$3:$D$132,MATCH(H468,KALENDER!$A$3:$A$132,0)),"Di luar periode")</f>
        <v>Hari Kerja</v>
      </c>
      <c r="N468" s="71">
        <f t="shared" si="64"/>
        <v>0</v>
      </c>
      <c r="O468" s="71">
        <f t="shared" si="65"/>
        <v>1</v>
      </c>
      <c r="P468" s="71">
        <f t="shared" si="66"/>
        <v>0</v>
      </c>
      <c r="Q468" s="71">
        <f t="shared" si="67"/>
        <v>0</v>
      </c>
      <c r="R468" s="71">
        <f t="shared" si="68"/>
        <v>0</v>
      </c>
      <c r="S468" s="71">
        <f t="shared" si="69"/>
        <v>0</v>
      </c>
      <c r="T468" s="71">
        <f t="shared" si="70"/>
        <v>0</v>
      </c>
      <c r="U468" s="71">
        <f>IF(AND(N468=1,V468=1),IF(COUNTIFS(AKTIVITAS!$B$2:$B$3052,B468,AKTIVITAS!$E$2:$E$3052,H468)&gt;0,1,0),0)</f>
        <v>0</v>
      </c>
      <c r="V468" s="71">
        <f>IFERROR(IF(AND(H468&gt;=INDEX(PEMAGANG!$J$3:$J$36,MATCH(B468,PEMAGANG!$C$3:$C$36,0)),H468&lt;=INDEX(PEMAGANG!$K$3:$K$36,MATCH(B468,PEMAGANG!$C$3:$C$36,0))),1,0),0)</f>
        <v>1</v>
      </c>
      <c r="W468" s="71">
        <f t="shared" si="71"/>
        <v>0</v>
      </c>
    </row>
    <row r="469" spans="1:23" x14ac:dyDescent="0.2">
      <c r="A469" s="71" t="s">
        <v>254</v>
      </c>
      <c r="B469" s="71" t="s">
        <v>255</v>
      </c>
      <c r="C469" s="71" t="s">
        <v>187</v>
      </c>
      <c r="D469" s="71" t="s">
        <v>256</v>
      </c>
      <c r="E469" s="71" t="s">
        <v>53</v>
      </c>
      <c r="F469" s="71" t="s">
        <v>298</v>
      </c>
      <c r="G469" s="88">
        <v>46241.305752314802</v>
      </c>
      <c r="H469" s="89">
        <v>46241</v>
      </c>
      <c r="I469" s="71" t="s">
        <v>329</v>
      </c>
      <c r="J469" s="71">
        <v>-10</v>
      </c>
      <c r="K469" s="71" t="s">
        <v>302</v>
      </c>
      <c r="L469" s="71">
        <f t="shared" si="63"/>
        <v>8</v>
      </c>
      <c r="M469" s="71" t="str">
        <f>IFERROR(INDEX(KALENDER!$D$3:$D$132,MATCH(H469,KALENDER!$A$3:$A$132,0)),"Di luar periode")</f>
        <v>Hari Kerja</v>
      </c>
      <c r="N469" s="71">
        <f t="shared" si="64"/>
        <v>1</v>
      </c>
      <c r="O469" s="71">
        <f t="shared" si="65"/>
        <v>1</v>
      </c>
      <c r="P469" s="71">
        <f t="shared" si="66"/>
        <v>1</v>
      </c>
      <c r="Q469" s="71">
        <f t="shared" si="67"/>
        <v>0</v>
      </c>
      <c r="R469" s="71">
        <f t="shared" si="68"/>
        <v>0</v>
      </c>
      <c r="S469" s="71">
        <f t="shared" si="69"/>
        <v>0</v>
      </c>
      <c r="T469" s="71">
        <f t="shared" si="70"/>
        <v>0</v>
      </c>
      <c r="U469" s="71">
        <f>IF(AND(N469=1,V469=1),IF(COUNTIFS(AKTIVITAS!$B$2:$B$3052,B469,AKTIVITAS!$E$2:$E$3052,H469)&gt;0,1,0),0)</f>
        <v>1</v>
      </c>
      <c r="V469" s="71">
        <f>IFERROR(IF(AND(H469&gt;=INDEX(PEMAGANG!$J$3:$J$36,MATCH(B469,PEMAGANG!$C$3:$C$36,0)),H469&lt;=INDEX(PEMAGANG!$K$3:$K$36,MATCH(B469,PEMAGANG!$C$3:$C$36,0))),1,0),0)</f>
        <v>1</v>
      </c>
      <c r="W469" s="71">
        <f t="shared" si="71"/>
        <v>1</v>
      </c>
    </row>
    <row r="470" spans="1:23" x14ac:dyDescent="0.2">
      <c r="A470" s="71" t="s">
        <v>254</v>
      </c>
      <c r="B470" s="71" t="s">
        <v>255</v>
      </c>
      <c r="C470" s="71" t="s">
        <v>187</v>
      </c>
      <c r="D470" s="71" t="s">
        <v>256</v>
      </c>
      <c r="E470" s="71" t="s">
        <v>53</v>
      </c>
      <c r="F470" s="71" t="s">
        <v>300</v>
      </c>
      <c r="G470" s="88">
        <v>46241.689050925903</v>
      </c>
      <c r="H470" s="89">
        <v>46241</v>
      </c>
      <c r="I470" s="71" t="s">
        <v>306</v>
      </c>
      <c r="J470" s="71">
        <v>0</v>
      </c>
      <c r="K470" s="71" t="s">
        <v>302</v>
      </c>
      <c r="L470" s="71">
        <f t="shared" si="63"/>
        <v>8</v>
      </c>
      <c r="M470" s="71" t="str">
        <f>IFERROR(INDEX(KALENDER!$D$3:$D$132,MATCH(H470,KALENDER!$A$3:$A$132,0)),"Di luar periode")</f>
        <v>Hari Kerja</v>
      </c>
      <c r="N470" s="71">
        <f t="shared" si="64"/>
        <v>0</v>
      </c>
      <c r="O470" s="71">
        <f t="shared" si="65"/>
        <v>1</v>
      </c>
      <c r="P470" s="71">
        <f t="shared" si="66"/>
        <v>0</v>
      </c>
      <c r="Q470" s="71">
        <f t="shared" si="67"/>
        <v>0</v>
      </c>
      <c r="R470" s="71">
        <f t="shared" si="68"/>
        <v>0</v>
      </c>
      <c r="S470" s="71">
        <f t="shared" si="69"/>
        <v>0</v>
      </c>
      <c r="T470" s="71">
        <f t="shared" si="70"/>
        <v>0</v>
      </c>
      <c r="U470" s="71">
        <f>IF(AND(N470=1,V470=1),IF(COUNTIFS(AKTIVITAS!$B$2:$B$3052,B470,AKTIVITAS!$E$2:$E$3052,H470)&gt;0,1,0),0)</f>
        <v>0</v>
      </c>
      <c r="V470" s="71">
        <f>IFERROR(IF(AND(H470&gt;=INDEX(PEMAGANG!$J$3:$J$36,MATCH(B470,PEMAGANG!$C$3:$C$36,0)),H470&lt;=INDEX(PEMAGANG!$K$3:$K$36,MATCH(B470,PEMAGANG!$C$3:$C$36,0))),1,0),0)</f>
        <v>1</v>
      </c>
      <c r="W470" s="71">
        <f t="shared" si="71"/>
        <v>0</v>
      </c>
    </row>
    <row r="471" spans="1:23" x14ac:dyDescent="0.2">
      <c r="A471" s="71" t="s">
        <v>254</v>
      </c>
      <c r="B471" s="71" t="s">
        <v>255</v>
      </c>
      <c r="C471" s="71" t="s">
        <v>187</v>
      </c>
      <c r="D471" s="71" t="s">
        <v>256</v>
      </c>
      <c r="E471" s="71" t="s">
        <v>53</v>
      </c>
      <c r="F471" s="71" t="s">
        <v>298</v>
      </c>
      <c r="G471" s="88">
        <v>46244.305219907401</v>
      </c>
      <c r="H471" s="89">
        <v>46244</v>
      </c>
      <c r="I471" s="71" t="s">
        <v>321</v>
      </c>
      <c r="J471" s="71">
        <v>-11</v>
      </c>
      <c r="K471" s="71" t="s">
        <v>302</v>
      </c>
      <c r="L471" s="71">
        <f t="shared" si="63"/>
        <v>8</v>
      </c>
      <c r="M471" s="71" t="str">
        <f>IFERROR(INDEX(KALENDER!$D$3:$D$132,MATCH(H471,KALENDER!$A$3:$A$132,0)),"Di luar periode")</f>
        <v>Hari Kerja</v>
      </c>
      <c r="N471" s="71">
        <f t="shared" si="64"/>
        <v>1</v>
      </c>
      <c r="O471" s="71">
        <f t="shared" si="65"/>
        <v>1</v>
      </c>
      <c r="P471" s="71">
        <f t="shared" si="66"/>
        <v>1</v>
      </c>
      <c r="Q471" s="71">
        <f t="shared" si="67"/>
        <v>0</v>
      </c>
      <c r="R471" s="71">
        <f t="shared" si="68"/>
        <v>0</v>
      </c>
      <c r="S471" s="71">
        <f t="shared" si="69"/>
        <v>0</v>
      </c>
      <c r="T471" s="71">
        <f t="shared" si="70"/>
        <v>0</v>
      </c>
      <c r="U471" s="71">
        <f>IF(AND(N471=1,V471=1),IF(COUNTIFS(AKTIVITAS!$B$2:$B$3052,B471,AKTIVITAS!$E$2:$E$3052,H471)&gt;0,1,0),0)</f>
        <v>1</v>
      </c>
      <c r="V471" s="71">
        <f>IFERROR(IF(AND(H471&gt;=INDEX(PEMAGANG!$J$3:$J$36,MATCH(B471,PEMAGANG!$C$3:$C$36,0)),H471&lt;=INDEX(PEMAGANG!$K$3:$K$36,MATCH(B471,PEMAGANG!$C$3:$C$36,0))),1,0),0)</f>
        <v>1</v>
      </c>
      <c r="W471" s="71">
        <f t="shared" si="71"/>
        <v>1</v>
      </c>
    </row>
    <row r="472" spans="1:23" x14ac:dyDescent="0.2">
      <c r="A472" s="71" t="s">
        <v>254</v>
      </c>
      <c r="B472" s="71" t="s">
        <v>255</v>
      </c>
      <c r="C472" s="71" t="s">
        <v>187</v>
      </c>
      <c r="D472" s="71" t="s">
        <v>256</v>
      </c>
      <c r="E472" s="71" t="s">
        <v>53</v>
      </c>
      <c r="F472" s="71" t="s">
        <v>300</v>
      </c>
      <c r="G472" s="88">
        <v>46244.690497685202</v>
      </c>
      <c r="H472" s="89">
        <v>46244</v>
      </c>
      <c r="I472" s="71" t="s">
        <v>314</v>
      </c>
      <c r="J472" s="71">
        <v>0</v>
      </c>
      <c r="K472" s="71" t="s">
        <v>302</v>
      </c>
      <c r="L472" s="71">
        <f t="shared" si="63"/>
        <v>8</v>
      </c>
      <c r="M472" s="71" t="str">
        <f>IFERROR(INDEX(KALENDER!$D$3:$D$132,MATCH(H472,KALENDER!$A$3:$A$132,0)),"Di luar periode")</f>
        <v>Hari Kerja</v>
      </c>
      <c r="N472" s="71">
        <f t="shared" si="64"/>
        <v>0</v>
      </c>
      <c r="O472" s="71">
        <f t="shared" si="65"/>
        <v>1</v>
      </c>
      <c r="P472" s="71">
        <f t="shared" si="66"/>
        <v>0</v>
      </c>
      <c r="Q472" s="71">
        <f t="shared" si="67"/>
        <v>0</v>
      </c>
      <c r="R472" s="71">
        <f t="shared" si="68"/>
        <v>0</v>
      </c>
      <c r="S472" s="71">
        <f t="shared" si="69"/>
        <v>0</v>
      </c>
      <c r="T472" s="71">
        <f t="shared" si="70"/>
        <v>0</v>
      </c>
      <c r="U472" s="71">
        <f>IF(AND(N472=1,V472=1),IF(COUNTIFS(AKTIVITAS!$B$2:$B$3052,B472,AKTIVITAS!$E$2:$E$3052,H472)&gt;0,1,0),0)</f>
        <v>0</v>
      </c>
      <c r="V472" s="71">
        <f>IFERROR(IF(AND(H472&gt;=INDEX(PEMAGANG!$J$3:$J$36,MATCH(B472,PEMAGANG!$C$3:$C$36,0)),H472&lt;=INDEX(PEMAGANG!$K$3:$K$36,MATCH(B472,PEMAGANG!$C$3:$C$36,0))),1,0),0)</f>
        <v>1</v>
      </c>
      <c r="W472" s="71">
        <f t="shared" si="71"/>
        <v>0</v>
      </c>
    </row>
    <row r="473" spans="1:23" x14ac:dyDescent="0.2">
      <c r="A473" s="71" t="s">
        <v>254</v>
      </c>
      <c r="B473" s="71" t="s">
        <v>255</v>
      </c>
      <c r="C473" s="71" t="s">
        <v>187</v>
      </c>
      <c r="D473" s="71" t="s">
        <v>256</v>
      </c>
      <c r="E473" s="71" t="s">
        <v>53</v>
      </c>
      <c r="F473" s="71" t="s">
        <v>298</v>
      </c>
      <c r="G473" s="88">
        <v>46245.312025462998</v>
      </c>
      <c r="H473" s="89">
        <v>46245</v>
      </c>
      <c r="I473" s="71" t="s">
        <v>365</v>
      </c>
      <c r="J473" s="71">
        <v>-0.999999999999996</v>
      </c>
      <c r="K473" s="71" t="s">
        <v>302</v>
      </c>
      <c r="L473" s="71">
        <f t="shared" si="63"/>
        <v>8</v>
      </c>
      <c r="M473" s="71" t="str">
        <f>IFERROR(INDEX(KALENDER!$D$3:$D$132,MATCH(H473,KALENDER!$A$3:$A$132,0)),"Di luar periode")</f>
        <v>Hari Kerja</v>
      </c>
      <c r="N473" s="71">
        <f t="shared" si="64"/>
        <v>1</v>
      </c>
      <c r="O473" s="71">
        <f t="shared" si="65"/>
        <v>1</v>
      </c>
      <c r="P473" s="71">
        <f t="shared" si="66"/>
        <v>1</v>
      </c>
      <c r="Q473" s="71">
        <f t="shared" si="67"/>
        <v>0</v>
      </c>
      <c r="R473" s="71">
        <f t="shared" si="68"/>
        <v>0</v>
      </c>
      <c r="S473" s="71">
        <f t="shared" si="69"/>
        <v>0</v>
      </c>
      <c r="T473" s="71">
        <f t="shared" si="70"/>
        <v>0</v>
      </c>
      <c r="U473" s="71">
        <f>IF(AND(N473=1,V473=1),IF(COUNTIFS(AKTIVITAS!$B$2:$B$3052,B473,AKTIVITAS!$E$2:$E$3052,H473)&gt;0,1,0),0)</f>
        <v>1</v>
      </c>
      <c r="V473" s="71">
        <f>IFERROR(IF(AND(H473&gt;=INDEX(PEMAGANG!$J$3:$J$36,MATCH(B473,PEMAGANG!$C$3:$C$36,0)),H473&lt;=INDEX(PEMAGANG!$K$3:$K$36,MATCH(B473,PEMAGANG!$C$3:$C$36,0))),1,0),0)</f>
        <v>1</v>
      </c>
      <c r="W473" s="71">
        <f t="shared" si="71"/>
        <v>1</v>
      </c>
    </row>
    <row r="474" spans="1:23" x14ac:dyDescent="0.2">
      <c r="A474" s="71" t="s">
        <v>254</v>
      </c>
      <c r="B474" s="71" t="s">
        <v>255</v>
      </c>
      <c r="C474" s="71" t="s">
        <v>187</v>
      </c>
      <c r="D474" s="71" t="s">
        <v>256</v>
      </c>
      <c r="E474" s="71" t="s">
        <v>53</v>
      </c>
      <c r="F474" s="71" t="s">
        <v>300</v>
      </c>
      <c r="G474" s="88">
        <v>46245.689814814803</v>
      </c>
      <c r="H474" s="89">
        <v>46245</v>
      </c>
      <c r="I474" s="71" t="s">
        <v>316</v>
      </c>
      <c r="J474" s="71">
        <v>0</v>
      </c>
      <c r="K474" s="71" t="s">
        <v>302</v>
      </c>
      <c r="L474" s="71">
        <f t="shared" si="63"/>
        <v>8</v>
      </c>
      <c r="M474" s="71" t="str">
        <f>IFERROR(INDEX(KALENDER!$D$3:$D$132,MATCH(H474,KALENDER!$A$3:$A$132,0)),"Di luar periode")</f>
        <v>Hari Kerja</v>
      </c>
      <c r="N474" s="71">
        <f t="shared" si="64"/>
        <v>0</v>
      </c>
      <c r="O474" s="71">
        <f t="shared" si="65"/>
        <v>1</v>
      </c>
      <c r="P474" s="71">
        <f t="shared" si="66"/>
        <v>0</v>
      </c>
      <c r="Q474" s="71">
        <f t="shared" si="67"/>
        <v>0</v>
      </c>
      <c r="R474" s="71">
        <f t="shared" si="68"/>
        <v>0</v>
      </c>
      <c r="S474" s="71">
        <f t="shared" si="69"/>
        <v>0</v>
      </c>
      <c r="T474" s="71">
        <f t="shared" si="70"/>
        <v>0</v>
      </c>
      <c r="U474" s="71">
        <f>IF(AND(N474=1,V474=1),IF(COUNTIFS(AKTIVITAS!$B$2:$B$3052,B474,AKTIVITAS!$E$2:$E$3052,H474)&gt;0,1,0),0)</f>
        <v>0</v>
      </c>
      <c r="V474" s="71">
        <f>IFERROR(IF(AND(H474&gt;=INDEX(PEMAGANG!$J$3:$J$36,MATCH(B474,PEMAGANG!$C$3:$C$36,0)),H474&lt;=INDEX(PEMAGANG!$K$3:$K$36,MATCH(B474,PEMAGANG!$C$3:$C$36,0))),1,0),0)</f>
        <v>1</v>
      </c>
      <c r="W474" s="71">
        <f t="shared" si="71"/>
        <v>0</v>
      </c>
    </row>
    <row r="475" spans="1:23" x14ac:dyDescent="0.2">
      <c r="A475" s="71" t="s">
        <v>254</v>
      </c>
      <c r="B475" s="71" t="s">
        <v>255</v>
      </c>
      <c r="C475" s="71" t="s">
        <v>187</v>
      </c>
      <c r="D475" s="71" t="s">
        <v>256</v>
      </c>
      <c r="E475" s="71" t="s">
        <v>53</v>
      </c>
      <c r="F475" s="71" t="s">
        <v>298</v>
      </c>
      <c r="G475" s="88">
        <v>46246.3120486111</v>
      </c>
      <c r="H475" s="89">
        <v>46246</v>
      </c>
      <c r="I475" s="71" t="s">
        <v>365</v>
      </c>
      <c r="J475" s="71">
        <v>-0.999999999999996</v>
      </c>
      <c r="K475" s="71" t="s">
        <v>302</v>
      </c>
      <c r="L475" s="71">
        <f t="shared" si="63"/>
        <v>8</v>
      </c>
      <c r="M475" s="71" t="str">
        <f>IFERROR(INDEX(KALENDER!$D$3:$D$132,MATCH(H475,KALENDER!$A$3:$A$132,0)),"Di luar periode")</f>
        <v>Hari Kerja</v>
      </c>
      <c r="N475" s="71">
        <f t="shared" si="64"/>
        <v>1</v>
      </c>
      <c r="O475" s="71">
        <f t="shared" si="65"/>
        <v>1</v>
      </c>
      <c r="P475" s="71">
        <f t="shared" si="66"/>
        <v>1</v>
      </c>
      <c r="Q475" s="71">
        <f t="shared" si="67"/>
        <v>0</v>
      </c>
      <c r="R475" s="71">
        <f t="shared" si="68"/>
        <v>0</v>
      </c>
      <c r="S475" s="71">
        <f t="shared" si="69"/>
        <v>0</v>
      </c>
      <c r="T475" s="71">
        <f t="shared" si="70"/>
        <v>0</v>
      </c>
      <c r="U475" s="71">
        <f>IF(AND(N475=1,V475=1),IF(COUNTIFS(AKTIVITAS!$B$2:$B$3052,B475,AKTIVITAS!$E$2:$E$3052,H475)&gt;0,1,0),0)</f>
        <v>1</v>
      </c>
      <c r="V475" s="71">
        <f>IFERROR(IF(AND(H475&gt;=INDEX(PEMAGANG!$J$3:$J$36,MATCH(B475,PEMAGANG!$C$3:$C$36,0)),H475&lt;=INDEX(PEMAGANG!$K$3:$K$36,MATCH(B475,PEMAGANG!$C$3:$C$36,0))),1,0),0)</f>
        <v>1</v>
      </c>
      <c r="W475" s="71">
        <f t="shared" si="71"/>
        <v>1</v>
      </c>
    </row>
    <row r="476" spans="1:23" x14ac:dyDescent="0.2">
      <c r="A476" s="71" t="s">
        <v>254</v>
      </c>
      <c r="B476" s="71" t="s">
        <v>255</v>
      </c>
      <c r="C476" s="71" t="s">
        <v>187</v>
      </c>
      <c r="D476" s="71" t="s">
        <v>256</v>
      </c>
      <c r="E476" s="71" t="s">
        <v>53</v>
      </c>
      <c r="F476" s="71" t="s">
        <v>300</v>
      </c>
      <c r="G476" s="88">
        <v>46246.690057870401</v>
      </c>
      <c r="H476" s="89">
        <v>46246</v>
      </c>
      <c r="I476" s="71" t="s">
        <v>316</v>
      </c>
      <c r="J476" s="71">
        <v>0</v>
      </c>
      <c r="K476" s="71" t="s">
        <v>302</v>
      </c>
      <c r="L476" s="71">
        <f t="shared" si="63"/>
        <v>8</v>
      </c>
      <c r="M476" s="71" t="str">
        <f>IFERROR(INDEX(KALENDER!$D$3:$D$132,MATCH(H476,KALENDER!$A$3:$A$132,0)),"Di luar periode")</f>
        <v>Hari Kerja</v>
      </c>
      <c r="N476" s="71">
        <f t="shared" si="64"/>
        <v>0</v>
      </c>
      <c r="O476" s="71">
        <f t="shared" si="65"/>
        <v>1</v>
      </c>
      <c r="P476" s="71">
        <f t="shared" si="66"/>
        <v>0</v>
      </c>
      <c r="Q476" s="71">
        <f t="shared" si="67"/>
        <v>0</v>
      </c>
      <c r="R476" s="71">
        <f t="shared" si="68"/>
        <v>0</v>
      </c>
      <c r="S476" s="71">
        <f t="shared" si="69"/>
        <v>0</v>
      </c>
      <c r="T476" s="71">
        <f t="shared" si="70"/>
        <v>0</v>
      </c>
      <c r="U476" s="71">
        <f>IF(AND(N476=1,V476=1),IF(COUNTIFS(AKTIVITAS!$B$2:$B$3052,B476,AKTIVITAS!$E$2:$E$3052,H476)&gt;0,1,0),0)</f>
        <v>0</v>
      </c>
      <c r="V476" s="71">
        <f>IFERROR(IF(AND(H476&gt;=INDEX(PEMAGANG!$J$3:$J$36,MATCH(B476,PEMAGANG!$C$3:$C$36,0)),H476&lt;=INDEX(PEMAGANG!$K$3:$K$36,MATCH(B476,PEMAGANG!$C$3:$C$36,0))),1,0),0)</f>
        <v>1</v>
      </c>
      <c r="W476" s="71">
        <f t="shared" si="71"/>
        <v>0</v>
      </c>
    </row>
    <row r="477" spans="1:23" x14ac:dyDescent="0.2">
      <c r="A477" s="71" t="s">
        <v>254</v>
      </c>
      <c r="B477" s="71" t="s">
        <v>255</v>
      </c>
      <c r="C477" s="71" t="s">
        <v>187</v>
      </c>
      <c r="D477" s="71" t="s">
        <v>256</v>
      </c>
      <c r="E477" s="71" t="s">
        <v>53</v>
      </c>
      <c r="F477" s="71" t="s">
        <v>298</v>
      </c>
      <c r="G477" s="88">
        <v>46247.310497685197</v>
      </c>
      <c r="H477" s="89">
        <v>46247</v>
      </c>
      <c r="I477" s="71" t="s">
        <v>309</v>
      </c>
      <c r="J477" s="71">
        <v>-2.9999999999999898</v>
      </c>
      <c r="K477" s="71" t="s">
        <v>302</v>
      </c>
      <c r="L477" s="71">
        <f t="shared" si="63"/>
        <v>8</v>
      </c>
      <c r="M477" s="71" t="str">
        <f>IFERROR(INDEX(KALENDER!$D$3:$D$132,MATCH(H477,KALENDER!$A$3:$A$132,0)),"Di luar periode")</f>
        <v>Hari Kerja</v>
      </c>
      <c r="N477" s="71">
        <f t="shared" si="64"/>
        <v>1</v>
      </c>
      <c r="O477" s="71">
        <f t="shared" si="65"/>
        <v>1</v>
      </c>
      <c r="P477" s="71">
        <f t="shared" si="66"/>
        <v>1</v>
      </c>
      <c r="Q477" s="71">
        <f t="shared" si="67"/>
        <v>0</v>
      </c>
      <c r="R477" s="71">
        <f t="shared" si="68"/>
        <v>0</v>
      </c>
      <c r="S477" s="71">
        <f t="shared" si="69"/>
        <v>0</v>
      </c>
      <c r="T477" s="71">
        <f t="shared" si="70"/>
        <v>0</v>
      </c>
      <c r="U477" s="71">
        <f>IF(AND(N477=1,V477=1),IF(COUNTIFS(AKTIVITAS!$B$2:$B$3052,B477,AKTIVITAS!$E$2:$E$3052,H477)&gt;0,1,0),0)</f>
        <v>1</v>
      </c>
      <c r="V477" s="71">
        <f>IFERROR(IF(AND(H477&gt;=INDEX(PEMAGANG!$J$3:$J$36,MATCH(B477,PEMAGANG!$C$3:$C$36,0)),H477&lt;=INDEX(PEMAGANG!$K$3:$K$36,MATCH(B477,PEMAGANG!$C$3:$C$36,0))),1,0),0)</f>
        <v>1</v>
      </c>
      <c r="W477" s="71">
        <f t="shared" si="71"/>
        <v>1</v>
      </c>
    </row>
    <row r="478" spans="1:23" x14ac:dyDescent="0.2">
      <c r="A478" s="71" t="s">
        <v>254</v>
      </c>
      <c r="B478" s="71" t="s">
        <v>255</v>
      </c>
      <c r="C478" s="71" t="s">
        <v>187</v>
      </c>
      <c r="D478" s="71" t="s">
        <v>256</v>
      </c>
      <c r="E478" s="71" t="s">
        <v>53</v>
      </c>
      <c r="F478" s="71" t="s">
        <v>300</v>
      </c>
      <c r="G478" s="88">
        <v>46247.689293981501</v>
      </c>
      <c r="H478" s="89">
        <v>46247</v>
      </c>
      <c r="I478" s="71" t="s">
        <v>306</v>
      </c>
      <c r="J478" s="71">
        <v>0</v>
      </c>
      <c r="K478" s="71" t="s">
        <v>302</v>
      </c>
      <c r="L478" s="71">
        <f t="shared" si="63"/>
        <v>8</v>
      </c>
      <c r="M478" s="71" t="str">
        <f>IFERROR(INDEX(KALENDER!$D$3:$D$132,MATCH(H478,KALENDER!$A$3:$A$132,0)),"Di luar periode")</f>
        <v>Hari Kerja</v>
      </c>
      <c r="N478" s="71">
        <f t="shared" si="64"/>
        <v>0</v>
      </c>
      <c r="O478" s="71">
        <f t="shared" si="65"/>
        <v>1</v>
      </c>
      <c r="P478" s="71">
        <f t="shared" si="66"/>
        <v>0</v>
      </c>
      <c r="Q478" s="71">
        <f t="shared" si="67"/>
        <v>0</v>
      </c>
      <c r="R478" s="71">
        <f t="shared" si="68"/>
        <v>0</v>
      </c>
      <c r="S478" s="71">
        <f t="shared" si="69"/>
        <v>0</v>
      </c>
      <c r="T478" s="71">
        <f t="shared" si="70"/>
        <v>0</v>
      </c>
      <c r="U478" s="71">
        <f>IF(AND(N478=1,V478=1),IF(COUNTIFS(AKTIVITAS!$B$2:$B$3052,B478,AKTIVITAS!$E$2:$E$3052,H478)&gt;0,1,0),0)</f>
        <v>0</v>
      </c>
      <c r="V478" s="71">
        <f>IFERROR(IF(AND(H478&gt;=INDEX(PEMAGANG!$J$3:$J$36,MATCH(B478,PEMAGANG!$C$3:$C$36,0)),H478&lt;=INDEX(PEMAGANG!$K$3:$K$36,MATCH(B478,PEMAGANG!$C$3:$C$36,0))),1,0),0)</f>
        <v>1</v>
      </c>
      <c r="W478" s="71">
        <f t="shared" si="71"/>
        <v>0</v>
      </c>
    </row>
    <row r="479" spans="1:23" x14ac:dyDescent="0.2">
      <c r="A479" s="71" t="s">
        <v>254</v>
      </c>
      <c r="B479" s="71" t="s">
        <v>255</v>
      </c>
      <c r="C479" s="71" t="s">
        <v>187</v>
      </c>
      <c r="D479" s="71" t="s">
        <v>256</v>
      </c>
      <c r="E479" s="71" t="s">
        <v>53</v>
      </c>
      <c r="F479" s="71" t="s">
        <v>298</v>
      </c>
      <c r="G479" s="88">
        <v>46248.311990740702</v>
      </c>
      <c r="H479" s="89">
        <v>46248</v>
      </c>
      <c r="I479" s="71" t="s">
        <v>365</v>
      </c>
      <c r="J479" s="71">
        <v>-0.999999999999996</v>
      </c>
      <c r="K479" s="71" t="s">
        <v>302</v>
      </c>
      <c r="L479" s="71">
        <f t="shared" si="63"/>
        <v>8</v>
      </c>
      <c r="M479" s="71" t="str">
        <f>IFERROR(INDEX(KALENDER!$D$3:$D$132,MATCH(H479,KALENDER!$A$3:$A$132,0)),"Di luar periode")</f>
        <v>Hari Kerja</v>
      </c>
      <c r="N479" s="71">
        <f t="shared" si="64"/>
        <v>1</v>
      </c>
      <c r="O479" s="71">
        <f t="shared" si="65"/>
        <v>1</v>
      </c>
      <c r="P479" s="71">
        <f t="shared" si="66"/>
        <v>1</v>
      </c>
      <c r="Q479" s="71">
        <f t="shared" si="67"/>
        <v>0</v>
      </c>
      <c r="R479" s="71">
        <f t="shared" si="68"/>
        <v>0</v>
      </c>
      <c r="S479" s="71">
        <f t="shared" si="69"/>
        <v>0</v>
      </c>
      <c r="T479" s="71">
        <f t="shared" si="70"/>
        <v>0</v>
      </c>
      <c r="U479" s="71">
        <f>IF(AND(N479=1,V479=1),IF(COUNTIFS(AKTIVITAS!$B$2:$B$3052,B479,AKTIVITAS!$E$2:$E$3052,H479)&gt;0,1,0),0)</f>
        <v>1</v>
      </c>
      <c r="V479" s="71">
        <f>IFERROR(IF(AND(H479&gt;=INDEX(PEMAGANG!$J$3:$J$36,MATCH(B479,PEMAGANG!$C$3:$C$36,0)),H479&lt;=INDEX(PEMAGANG!$K$3:$K$36,MATCH(B479,PEMAGANG!$C$3:$C$36,0))),1,0),0)</f>
        <v>1</v>
      </c>
      <c r="W479" s="71">
        <f t="shared" si="71"/>
        <v>1</v>
      </c>
    </row>
    <row r="480" spans="1:23" x14ac:dyDescent="0.2">
      <c r="A480" s="71" t="s">
        <v>254</v>
      </c>
      <c r="B480" s="71" t="s">
        <v>255</v>
      </c>
      <c r="C480" s="71" t="s">
        <v>187</v>
      </c>
      <c r="D480" s="71" t="s">
        <v>256</v>
      </c>
      <c r="E480" s="71" t="s">
        <v>53</v>
      </c>
      <c r="F480" s="71" t="s">
        <v>300</v>
      </c>
      <c r="G480" s="88">
        <v>46248.689837963</v>
      </c>
      <c r="H480" s="89">
        <v>46248</v>
      </c>
      <c r="I480" s="71" t="s">
        <v>316</v>
      </c>
      <c r="J480" s="71">
        <v>0</v>
      </c>
      <c r="K480" s="71" t="s">
        <v>302</v>
      </c>
      <c r="L480" s="71">
        <f t="shared" si="63"/>
        <v>8</v>
      </c>
      <c r="M480" s="71" t="str">
        <f>IFERROR(INDEX(KALENDER!$D$3:$D$132,MATCH(H480,KALENDER!$A$3:$A$132,0)),"Di luar periode")</f>
        <v>Hari Kerja</v>
      </c>
      <c r="N480" s="71">
        <f t="shared" si="64"/>
        <v>0</v>
      </c>
      <c r="O480" s="71">
        <f t="shared" si="65"/>
        <v>1</v>
      </c>
      <c r="P480" s="71">
        <f t="shared" si="66"/>
        <v>0</v>
      </c>
      <c r="Q480" s="71">
        <f t="shared" si="67"/>
        <v>0</v>
      </c>
      <c r="R480" s="71">
        <f t="shared" si="68"/>
        <v>0</v>
      </c>
      <c r="S480" s="71">
        <f t="shared" si="69"/>
        <v>0</v>
      </c>
      <c r="T480" s="71">
        <f t="shared" si="70"/>
        <v>0</v>
      </c>
      <c r="U480" s="71">
        <f>IF(AND(N480=1,V480=1),IF(COUNTIFS(AKTIVITAS!$B$2:$B$3052,B480,AKTIVITAS!$E$2:$E$3052,H480)&gt;0,1,0),0)</f>
        <v>0</v>
      </c>
      <c r="V480" s="71">
        <f>IFERROR(IF(AND(H480&gt;=INDEX(PEMAGANG!$J$3:$J$36,MATCH(B480,PEMAGANG!$C$3:$C$36,0)),H480&lt;=INDEX(PEMAGANG!$K$3:$K$36,MATCH(B480,PEMAGANG!$C$3:$C$36,0))),1,0),0)</f>
        <v>1</v>
      </c>
      <c r="W480" s="71">
        <f t="shared" si="71"/>
        <v>0</v>
      </c>
    </row>
    <row r="481" spans="1:23" x14ac:dyDescent="0.2">
      <c r="A481" s="71" t="s">
        <v>254</v>
      </c>
      <c r="B481" s="71" t="s">
        <v>255</v>
      </c>
      <c r="C481" s="71" t="s">
        <v>187</v>
      </c>
      <c r="D481" s="71" t="s">
        <v>256</v>
      </c>
      <c r="E481" s="71" t="s">
        <v>53</v>
      </c>
      <c r="F481" s="71" t="s">
        <v>298</v>
      </c>
      <c r="G481" s="88">
        <v>46252.310555555603</v>
      </c>
      <c r="H481" s="89">
        <v>46252</v>
      </c>
      <c r="I481" s="71" t="s">
        <v>309</v>
      </c>
      <c r="J481" s="71">
        <v>-2.9999999999999898</v>
      </c>
      <c r="K481" s="71" t="s">
        <v>302</v>
      </c>
      <c r="L481" s="71">
        <f t="shared" si="63"/>
        <v>8</v>
      </c>
      <c r="M481" s="71" t="str">
        <f>IFERROR(INDEX(KALENDER!$D$3:$D$132,MATCH(H481,KALENDER!$A$3:$A$132,0)),"Di luar periode")</f>
        <v>Hari Kerja</v>
      </c>
      <c r="N481" s="71">
        <f t="shared" si="64"/>
        <v>1</v>
      </c>
      <c r="O481" s="71">
        <f t="shared" si="65"/>
        <v>1</v>
      </c>
      <c r="P481" s="71">
        <f t="shared" si="66"/>
        <v>1</v>
      </c>
      <c r="Q481" s="71">
        <f t="shared" si="67"/>
        <v>0</v>
      </c>
      <c r="R481" s="71">
        <f t="shared" si="68"/>
        <v>0</v>
      </c>
      <c r="S481" s="71">
        <f t="shared" si="69"/>
        <v>0</v>
      </c>
      <c r="T481" s="71">
        <f t="shared" si="70"/>
        <v>0</v>
      </c>
      <c r="U481" s="71">
        <f>IF(AND(N481=1,V481=1),IF(COUNTIFS(AKTIVITAS!$B$2:$B$3052,B481,AKTIVITAS!$E$2:$E$3052,H481)&gt;0,1,0),0)</f>
        <v>1</v>
      </c>
      <c r="V481" s="71">
        <f>IFERROR(IF(AND(H481&gt;=INDEX(PEMAGANG!$J$3:$J$36,MATCH(B481,PEMAGANG!$C$3:$C$36,0)),H481&lt;=INDEX(PEMAGANG!$K$3:$K$36,MATCH(B481,PEMAGANG!$C$3:$C$36,0))),1,0),0)</f>
        <v>1</v>
      </c>
      <c r="W481" s="71">
        <f t="shared" si="71"/>
        <v>1</v>
      </c>
    </row>
    <row r="482" spans="1:23" x14ac:dyDescent="0.2">
      <c r="A482" s="71" t="s">
        <v>254</v>
      </c>
      <c r="B482" s="71" t="s">
        <v>255</v>
      </c>
      <c r="C482" s="71" t="s">
        <v>187</v>
      </c>
      <c r="D482" s="71" t="s">
        <v>256</v>
      </c>
      <c r="E482" s="71" t="s">
        <v>53</v>
      </c>
      <c r="F482" s="71" t="s">
        <v>300</v>
      </c>
      <c r="G482" s="88">
        <v>46252.688692129603</v>
      </c>
      <c r="H482" s="89">
        <v>46252</v>
      </c>
      <c r="I482" s="71" t="s">
        <v>336</v>
      </c>
      <c r="J482" s="71">
        <v>0</v>
      </c>
      <c r="K482" s="71" t="s">
        <v>302</v>
      </c>
      <c r="L482" s="71">
        <f t="shared" si="63"/>
        <v>8</v>
      </c>
      <c r="M482" s="71" t="str">
        <f>IFERROR(INDEX(KALENDER!$D$3:$D$132,MATCH(H482,KALENDER!$A$3:$A$132,0)),"Di luar periode")</f>
        <v>Hari Kerja</v>
      </c>
      <c r="N482" s="71">
        <f t="shared" si="64"/>
        <v>0</v>
      </c>
      <c r="O482" s="71">
        <f t="shared" si="65"/>
        <v>1</v>
      </c>
      <c r="P482" s="71">
        <f t="shared" si="66"/>
        <v>0</v>
      </c>
      <c r="Q482" s="71">
        <f t="shared" si="67"/>
        <v>0</v>
      </c>
      <c r="R482" s="71">
        <f t="shared" si="68"/>
        <v>0</v>
      </c>
      <c r="S482" s="71">
        <f t="shared" si="69"/>
        <v>0</v>
      </c>
      <c r="T482" s="71">
        <f t="shared" si="70"/>
        <v>0</v>
      </c>
      <c r="U482" s="71">
        <f>IF(AND(N482=1,V482=1),IF(COUNTIFS(AKTIVITAS!$B$2:$B$3052,B482,AKTIVITAS!$E$2:$E$3052,H482)&gt;0,1,0),0)</f>
        <v>0</v>
      </c>
      <c r="V482" s="71">
        <f>IFERROR(IF(AND(H482&gt;=INDEX(PEMAGANG!$J$3:$J$36,MATCH(B482,PEMAGANG!$C$3:$C$36,0)),H482&lt;=INDEX(PEMAGANG!$K$3:$K$36,MATCH(B482,PEMAGANG!$C$3:$C$36,0))),1,0),0)</f>
        <v>1</v>
      </c>
      <c r="W482" s="71">
        <f t="shared" si="71"/>
        <v>0</v>
      </c>
    </row>
    <row r="483" spans="1:23" x14ac:dyDescent="0.2">
      <c r="A483" s="71" t="s">
        <v>254</v>
      </c>
      <c r="B483" s="71" t="s">
        <v>255</v>
      </c>
      <c r="C483" s="71" t="s">
        <v>187</v>
      </c>
      <c r="D483" s="71" t="s">
        <v>256</v>
      </c>
      <c r="E483" s="71" t="s">
        <v>53</v>
      </c>
      <c r="F483" s="71" t="s">
        <v>298</v>
      </c>
      <c r="G483" s="88">
        <v>46253.312210648197</v>
      </c>
      <c r="H483" s="89">
        <v>46253</v>
      </c>
      <c r="I483" s="71" t="s">
        <v>365</v>
      </c>
      <c r="J483" s="71">
        <v>-0.999999999999996</v>
      </c>
      <c r="K483" s="71" t="s">
        <v>302</v>
      </c>
      <c r="L483" s="71">
        <f t="shared" si="63"/>
        <v>8</v>
      </c>
      <c r="M483" s="71" t="str">
        <f>IFERROR(INDEX(KALENDER!$D$3:$D$132,MATCH(H483,KALENDER!$A$3:$A$132,0)),"Di luar periode")</f>
        <v>Hari Kerja</v>
      </c>
      <c r="N483" s="71">
        <f t="shared" si="64"/>
        <v>1</v>
      </c>
      <c r="O483" s="71">
        <f t="shared" si="65"/>
        <v>1</v>
      </c>
      <c r="P483" s="71">
        <f t="shared" si="66"/>
        <v>1</v>
      </c>
      <c r="Q483" s="71">
        <f t="shared" si="67"/>
        <v>0</v>
      </c>
      <c r="R483" s="71">
        <f t="shared" si="68"/>
        <v>0</v>
      </c>
      <c r="S483" s="71">
        <f t="shared" si="69"/>
        <v>0</v>
      </c>
      <c r="T483" s="71">
        <f t="shared" si="70"/>
        <v>0</v>
      </c>
      <c r="U483" s="71">
        <f>IF(AND(N483=1,V483=1),IF(COUNTIFS(AKTIVITAS!$B$2:$B$3052,B483,AKTIVITAS!$E$2:$E$3052,H483)&gt;0,1,0),0)</f>
        <v>1</v>
      </c>
      <c r="V483" s="71">
        <f>IFERROR(IF(AND(H483&gt;=INDEX(PEMAGANG!$J$3:$J$36,MATCH(B483,PEMAGANG!$C$3:$C$36,0)),H483&lt;=INDEX(PEMAGANG!$K$3:$K$36,MATCH(B483,PEMAGANG!$C$3:$C$36,0))),1,0),0)</f>
        <v>1</v>
      </c>
      <c r="W483" s="71">
        <f t="shared" si="71"/>
        <v>1</v>
      </c>
    </row>
    <row r="484" spans="1:23" x14ac:dyDescent="0.2">
      <c r="A484" s="71" t="s">
        <v>254</v>
      </c>
      <c r="B484" s="71" t="s">
        <v>255</v>
      </c>
      <c r="C484" s="71" t="s">
        <v>187</v>
      </c>
      <c r="D484" s="71" t="s">
        <v>256</v>
      </c>
      <c r="E484" s="71" t="s">
        <v>53</v>
      </c>
      <c r="F484" s="71" t="s">
        <v>300</v>
      </c>
      <c r="G484" s="88">
        <v>46253.689016203702</v>
      </c>
      <c r="H484" s="89">
        <v>46253</v>
      </c>
      <c r="I484" s="71" t="s">
        <v>306</v>
      </c>
      <c r="J484" s="71">
        <v>0</v>
      </c>
      <c r="K484" s="71" t="s">
        <v>302</v>
      </c>
      <c r="L484" s="71">
        <f t="shared" si="63"/>
        <v>8</v>
      </c>
      <c r="M484" s="71" t="str">
        <f>IFERROR(INDEX(KALENDER!$D$3:$D$132,MATCH(H484,KALENDER!$A$3:$A$132,0)),"Di luar periode")</f>
        <v>Hari Kerja</v>
      </c>
      <c r="N484" s="71">
        <f t="shared" si="64"/>
        <v>0</v>
      </c>
      <c r="O484" s="71">
        <f t="shared" si="65"/>
        <v>1</v>
      </c>
      <c r="P484" s="71">
        <f t="shared" si="66"/>
        <v>0</v>
      </c>
      <c r="Q484" s="71">
        <f t="shared" si="67"/>
        <v>0</v>
      </c>
      <c r="R484" s="71">
        <f t="shared" si="68"/>
        <v>0</v>
      </c>
      <c r="S484" s="71">
        <f t="shared" si="69"/>
        <v>0</v>
      </c>
      <c r="T484" s="71">
        <f t="shared" si="70"/>
        <v>0</v>
      </c>
      <c r="U484" s="71">
        <f>IF(AND(N484=1,V484=1),IF(COUNTIFS(AKTIVITAS!$B$2:$B$3052,B484,AKTIVITAS!$E$2:$E$3052,H484)&gt;0,1,0),0)</f>
        <v>0</v>
      </c>
      <c r="V484" s="71">
        <f>IFERROR(IF(AND(H484&gt;=INDEX(PEMAGANG!$J$3:$J$36,MATCH(B484,PEMAGANG!$C$3:$C$36,0)),H484&lt;=INDEX(PEMAGANG!$K$3:$K$36,MATCH(B484,PEMAGANG!$C$3:$C$36,0))),1,0),0)</f>
        <v>1</v>
      </c>
      <c r="W484" s="71">
        <f t="shared" si="71"/>
        <v>0</v>
      </c>
    </row>
    <row r="485" spans="1:23" x14ac:dyDescent="0.2">
      <c r="A485" s="71" t="s">
        <v>254</v>
      </c>
      <c r="B485" s="71" t="s">
        <v>255</v>
      </c>
      <c r="C485" s="71" t="s">
        <v>187</v>
      </c>
      <c r="D485" s="71" t="s">
        <v>256</v>
      </c>
      <c r="E485" s="71" t="s">
        <v>53</v>
      </c>
      <c r="F485" s="71" t="s">
        <v>298</v>
      </c>
      <c r="G485" s="88">
        <v>46254.311006944401</v>
      </c>
      <c r="H485" s="89">
        <v>46254</v>
      </c>
      <c r="I485" s="71" t="s">
        <v>309</v>
      </c>
      <c r="J485" s="71">
        <v>-2.9999999999999898</v>
      </c>
      <c r="K485" s="71" t="s">
        <v>302</v>
      </c>
      <c r="L485" s="71">
        <f t="shared" si="63"/>
        <v>8</v>
      </c>
      <c r="M485" s="71" t="str">
        <f>IFERROR(INDEX(KALENDER!$D$3:$D$132,MATCH(H485,KALENDER!$A$3:$A$132,0)),"Di luar periode")</f>
        <v>Hari Kerja</v>
      </c>
      <c r="N485" s="71">
        <f t="shared" si="64"/>
        <v>1</v>
      </c>
      <c r="O485" s="71">
        <f t="shared" si="65"/>
        <v>1</v>
      </c>
      <c r="P485" s="71">
        <f t="shared" si="66"/>
        <v>1</v>
      </c>
      <c r="Q485" s="71">
        <f t="shared" si="67"/>
        <v>0</v>
      </c>
      <c r="R485" s="71">
        <f t="shared" si="68"/>
        <v>0</v>
      </c>
      <c r="S485" s="71">
        <f t="shared" si="69"/>
        <v>0</v>
      </c>
      <c r="T485" s="71">
        <f t="shared" si="70"/>
        <v>0</v>
      </c>
      <c r="U485" s="71">
        <f>IF(AND(N485=1,V485=1),IF(COUNTIFS(AKTIVITAS!$B$2:$B$3052,B485,AKTIVITAS!$E$2:$E$3052,H485)&gt;0,1,0),0)</f>
        <v>1</v>
      </c>
      <c r="V485" s="71">
        <f>IFERROR(IF(AND(H485&gt;=INDEX(PEMAGANG!$J$3:$J$36,MATCH(B485,PEMAGANG!$C$3:$C$36,0)),H485&lt;=INDEX(PEMAGANG!$K$3:$K$36,MATCH(B485,PEMAGANG!$C$3:$C$36,0))),1,0),0)</f>
        <v>1</v>
      </c>
      <c r="W485" s="71">
        <f t="shared" si="71"/>
        <v>1</v>
      </c>
    </row>
    <row r="486" spans="1:23" x14ac:dyDescent="0.2">
      <c r="A486" s="71" t="s">
        <v>254</v>
      </c>
      <c r="B486" s="71" t="s">
        <v>255</v>
      </c>
      <c r="C486" s="71" t="s">
        <v>187</v>
      </c>
      <c r="D486" s="71" t="s">
        <v>256</v>
      </c>
      <c r="E486" s="71" t="s">
        <v>53</v>
      </c>
      <c r="F486" s="71" t="s">
        <v>300</v>
      </c>
      <c r="G486" s="88">
        <v>46254.688750000001</v>
      </c>
      <c r="H486" s="89">
        <v>46254</v>
      </c>
      <c r="I486" s="71" t="s">
        <v>336</v>
      </c>
      <c r="J486" s="71">
        <v>0</v>
      </c>
      <c r="K486" s="71" t="s">
        <v>302</v>
      </c>
      <c r="L486" s="71">
        <f t="shared" si="63"/>
        <v>8</v>
      </c>
      <c r="M486" s="71" t="str">
        <f>IFERROR(INDEX(KALENDER!$D$3:$D$132,MATCH(H486,KALENDER!$A$3:$A$132,0)),"Di luar periode")</f>
        <v>Hari Kerja</v>
      </c>
      <c r="N486" s="71">
        <f t="shared" si="64"/>
        <v>0</v>
      </c>
      <c r="O486" s="71">
        <f t="shared" si="65"/>
        <v>1</v>
      </c>
      <c r="P486" s="71">
        <f t="shared" si="66"/>
        <v>0</v>
      </c>
      <c r="Q486" s="71">
        <f t="shared" si="67"/>
        <v>0</v>
      </c>
      <c r="R486" s="71">
        <f t="shared" si="68"/>
        <v>0</v>
      </c>
      <c r="S486" s="71">
        <f t="shared" si="69"/>
        <v>0</v>
      </c>
      <c r="T486" s="71">
        <f t="shared" si="70"/>
        <v>0</v>
      </c>
      <c r="U486" s="71">
        <f>IF(AND(N486=1,V486=1),IF(COUNTIFS(AKTIVITAS!$B$2:$B$3052,B486,AKTIVITAS!$E$2:$E$3052,H486)&gt;0,1,0),0)</f>
        <v>0</v>
      </c>
      <c r="V486" s="71">
        <f>IFERROR(IF(AND(H486&gt;=INDEX(PEMAGANG!$J$3:$J$36,MATCH(B486,PEMAGANG!$C$3:$C$36,0)),H486&lt;=INDEX(PEMAGANG!$K$3:$K$36,MATCH(B486,PEMAGANG!$C$3:$C$36,0))),1,0),0)</f>
        <v>1</v>
      </c>
      <c r="W486" s="71">
        <f t="shared" si="71"/>
        <v>0</v>
      </c>
    </row>
    <row r="487" spans="1:23" x14ac:dyDescent="0.2">
      <c r="A487" s="71" t="s">
        <v>254</v>
      </c>
      <c r="B487" s="71" t="s">
        <v>255</v>
      </c>
      <c r="C487" s="71" t="s">
        <v>187</v>
      </c>
      <c r="D487" s="71" t="s">
        <v>256</v>
      </c>
      <c r="E487" s="71" t="s">
        <v>53</v>
      </c>
      <c r="F487" s="71" t="s">
        <v>298</v>
      </c>
      <c r="G487" s="88">
        <v>46255.313773148198</v>
      </c>
      <c r="H487" s="89">
        <v>46255</v>
      </c>
      <c r="I487" s="71" t="s">
        <v>392</v>
      </c>
      <c r="J487" s="71">
        <v>-29</v>
      </c>
      <c r="K487" s="71" t="s">
        <v>302</v>
      </c>
      <c r="L487" s="71">
        <f t="shared" si="63"/>
        <v>8</v>
      </c>
      <c r="M487" s="71" t="str">
        <f>IFERROR(INDEX(KALENDER!$D$3:$D$132,MATCH(H487,KALENDER!$A$3:$A$132,0)),"Di luar periode")</f>
        <v>Hari Kerja</v>
      </c>
      <c r="N487" s="71">
        <f t="shared" si="64"/>
        <v>1</v>
      </c>
      <c r="O487" s="71">
        <f t="shared" si="65"/>
        <v>1</v>
      </c>
      <c r="P487" s="71">
        <f t="shared" si="66"/>
        <v>1</v>
      </c>
      <c r="Q487" s="71">
        <f t="shared" si="67"/>
        <v>0</v>
      </c>
      <c r="R487" s="71">
        <f t="shared" si="68"/>
        <v>0</v>
      </c>
      <c r="S487" s="71">
        <f t="shared" si="69"/>
        <v>0</v>
      </c>
      <c r="T487" s="71">
        <f t="shared" si="70"/>
        <v>0</v>
      </c>
      <c r="U487" s="71">
        <f>IF(AND(N487=1,V487=1),IF(COUNTIFS(AKTIVITAS!$B$2:$B$3052,B487,AKTIVITAS!$E$2:$E$3052,H487)&gt;0,1,0),0)</f>
        <v>1</v>
      </c>
      <c r="V487" s="71">
        <f>IFERROR(IF(AND(H487&gt;=INDEX(PEMAGANG!$J$3:$J$36,MATCH(B487,PEMAGANG!$C$3:$C$36,0)),H487&lt;=INDEX(PEMAGANG!$K$3:$K$36,MATCH(B487,PEMAGANG!$C$3:$C$36,0))),1,0),0)</f>
        <v>1</v>
      </c>
      <c r="W487" s="71">
        <f t="shared" si="71"/>
        <v>1</v>
      </c>
    </row>
    <row r="488" spans="1:23" x14ac:dyDescent="0.2">
      <c r="A488" s="71" t="s">
        <v>254</v>
      </c>
      <c r="B488" s="71" t="s">
        <v>255</v>
      </c>
      <c r="C488" s="71" t="s">
        <v>187</v>
      </c>
      <c r="D488" s="71" t="s">
        <v>256</v>
      </c>
      <c r="E488" s="71" t="s">
        <v>53</v>
      </c>
      <c r="F488" s="71" t="s">
        <v>300</v>
      </c>
      <c r="G488" s="88">
        <v>46255.692939814799</v>
      </c>
      <c r="H488" s="89">
        <v>46255</v>
      </c>
      <c r="I488" s="71" t="s">
        <v>328</v>
      </c>
      <c r="J488" s="71">
        <v>0</v>
      </c>
      <c r="K488" s="71" t="s">
        <v>302</v>
      </c>
      <c r="L488" s="71">
        <f t="shared" si="63"/>
        <v>8</v>
      </c>
      <c r="M488" s="71" t="str">
        <f>IFERROR(INDEX(KALENDER!$D$3:$D$132,MATCH(H488,KALENDER!$A$3:$A$132,0)),"Di luar periode")</f>
        <v>Hari Kerja</v>
      </c>
      <c r="N488" s="71">
        <f t="shared" si="64"/>
        <v>0</v>
      </c>
      <c r="O488" s="71">
        <f t="shared" si="65"/>
        <v>1</v>
      </c>
      <c r="P488" s="71">
        <f t="shared" si="66"/>
        <v>0</v>
      </c>
      <c r="Q488" s="71">
        <f t="shared" si="67"/>
        <v>0</v>
      </c>
      <c r="R488" s="71">
        <f t="shared" si="68"/>
        <v>0</v>
      </c>
      <c r="S488" s="71">
        <f t="shared" si="69"/>
        <v>0</v>
      </c>
      <c r="T488" s="71">
        <f t="shared" si="70"/>
        <v>0</v>
      </c>
      <c r="U488" s="71">
        <f>IF(AND(N488=1,V488=1),IF(COUNTIFS(AKTIVITAS!$B$2:$B$3052,B488,AKTIVITAS!$E$2:$E$3052,H488)&gt;0,1,0),0)</f>
        <v>0</v>
      </c>
      <c r="V488" s="71">
        <f>IFERROR(IF(AND(H488&gt;=INDEX(PEMAGANG!$J$3:$J$36,MATCH(B488,PEMAGANG!$C$3:$C$36,0)),H488&lt;=INDEX(PEMAGANG!$K$3:$K$36,MATCH(B488,PEMAGANG!$C$3:$C$36,0))),1,0),0)</f>
        <v>1</v>
      </c>
      <c r="W488" s="71">
        <f t="shared" si="71"/>
        <v>0</v>
      </c>
    </row>
    <row r="489" spans="1:23" x14ac:dyDescent="0.2">
      <c r="A489" s="71" t="s">
        <v>188</v>
      </c>
      <c r="B489" s="71" t="s">
        <v>189</v>
      </c>
      <c r="C489" s="71" t="s">
        <v>187</v>
      </c>
      <c r="D489" s="71" t="s">
        <v>185</v>
      </c>
      <c r="E489" s="71" t="s">
        <v>47</v>
      </c>
      <c r="F489" s="71" t="s">
        <v>298</v>
      </c>
      <c r="G489" s="88">
        <v>46244.494351851899</v>
      </c>
      <c r="H489" s="89">
        <v>46244</v>
      </c>
      <c r="I489" s="71" t="s">
        <v>412</v>
      </c>
      <c r="J489" s="71">
        <v>261</v>
      </c>
      <c r="K489" s="71" t="s">
        <v>293</v>
      </c>
      <c r="L489" s="71">
        <f t="shared" si="63"/>
        <v>8</v>
      </c>
      <c r="M489" s="71" t="str">
        <f>IFERROR(INDEX(KALENDER!$D$3:$D$132,MATCH(H489,KALENDER!$A$3:$A$132,0)),"Di luar periode")</f>
        <v>Hari Kerja</v>
      </c>
      <c r="N489" s="71">
        <f t="shared" si="64"/>
        <v>1</v>
      </c>
      <c r="O489" s="71">
        <f t="shared" si="65"/>
        <v>1</v>
      </c>
      <c r="P489" s="71">
        <f t="shared" si="66"/>
        <v>1</v>
      </c>
      <c r="Q489" s="71">
        <f t="shared" si="67"/>
        <v>0</v>
      </c>
      <c r="R489" s="71">
        <f t="shared" si="68"/>
        <v>1</v>
      </c>
      <c r="S489" s="71">
        <f t="shared" si="69"/>
        <v>261</v>
      </c>
      <c r="T489" s="71">
        <f t="shared" si="70"/>
        <v>0</v>
      </c>
      <c r="U489" s="71">
        <f>IF(AND(N489=1,V489=1),IF(COUNTIFS(AKTIVITAS!$B$2:$B$3052,B489,AKTIVITAS!$E$2:$E$3052,H489)&gt;0,1,0),0)</f>
        <v>0</v>
      </c>
      <c r="V489" s="71">
        <f>IFERROR(IF(AND(H489&gt;=INDEX(PEMAGANG!$J$3:$J$36,MATCH(B489,PEMAGANG!$C$3:$C$36,0)),H489&lt;=INDEX(PEMAGANG!$K$3:$K$36,MATCH(B489,PEMAGANG!$C$3:$C$36,0))),1,0),0)</f>
        <v>1</v>
      </c>
      <c r="W489" s="71">
        <f t="shared" si="71"/>
        <v>1</v>
      </c>
    </row>
    <row r="490" spans="1:23" x14ac:dyDescent="0.2">
      <c r="A490" s="71" t="s">
        <v>188</v>
      </c>
      <c r="B490" s="71" t="s">
        <v>189</v>
      </c>
      <c r="C490" s="71" t="s">
        <v>187</v>
      </c>
      <c r="D490" s="71" t="s">
        <v>185</v>
      </c>
      <c r="E490" s="71" t="s">
        <v>47</v>
      </c>
      <c r="F490" s="71" t="s">
        <v>300</v>
      </c>
      <c r="G490" s="88">
        <v>46244.708622685197</v>
      </c>
      <c r="H490" s="89">
        <v>46244</v>
      </c>
      <c r="I490" s="71" t="s">
        <v>350</v>
      </c>
      <c r="J490" s="71">
        <v>0</v>
      </c>
      <c r="K490" s="71" t="s">
        <v>302</v>
      </c>
      <c r="L490" s="71">
        <f t="shared" si="63"/>
        <v>8</v>
      </c>
      <c r="M490" s="71" t="str">
        <f>IFERROR(INDEX(KALENDER!$D$3:$D$132,MATCH(H490,KALENDER!$A$3:$A$132,0)),"Di luar periode")</f>
        <v>Hari Kerja</v>
      </c>
      <c r="N490" s="71">
        <f t="shared" si="64"/>
        <v>0</v>
      </c>
      <c r="O490" s="71">
        <f t="shared" si="65"/>
        <v>1</v>
      </c>
      <c r="P490" s="71">
        <f t="shared" si="66"/>
        <v>0</v>
      </c>
      <c r="Q490" s="71">
        <f t="shared" si="67"/>
        <v>0</v>
      </c>
      <c r="R490" s="71">
        <f t="shared" si="68"/>
        <v>0</v>
      </c>
      <c r="S490" s="71">
        <f t="shared" si="69"/>
        <v>0</v>
      </c>
      <c r="T490" s="71">
        <f t="shared" si="70"/>
        <v>0</v>
      </c>
      <c r="U490" s="71">
        <f>IF(AND(N490=1,V490=1),IF(COUNTIFS(AKTIVITAS!$B$2:$B$3052,B490,AKTIVITAS!$E$2:$E$3052,H490)&gt;0,1,0),0)</f>
        <v>0</v>
      </c>
      <c r="V490" s="71">
        <f>IFERROR(IF(AND(H490&gt;=INDEX(PEMAGANG!$J$3:$J$36,MATCH(B490,PEMAGANG!$C$3:$C$36,0)),H490&lt;=INDEX(PEMAGANG!$K$3:$K$36,MATCH(B490,PEMAGANG!$C$3:$C$36,0))),1,0),0)</f>
        <v>1</v>
      </c>
      <c r="W490" s="71">
        <f t="shared" si="71"/>
        <v>0</v>
      </c>
    </row>
    <row r="491" spans="1:23" x14ac:dyDescent="0.2">
      <c r="A491" s="71" t="s">
        <v>188</v>
      </c>
      <c r="B491" s="71" t="s">
        <v>189</v>
      </c>
      <c r="C491" s="71" t="s">
        <v>187</v>
      </c>
      <c r="D491" s="71" t="s">
        <v>185</v>
      </c>
      <c r="E491" s="71" t="s">
        <v>47</v>
      </c>
      <c r="F491" s="71" t="s">
        <v>298</v>
      </c>
      <c r="G491" s="88">
        <v>46245.308055555601</v>
      </c>
      <c r="H491" s="89">
        <v>46245</v>
      </c>
      <c r="I491" s="71" t="s">
        <v>311</v>
      </c>
      <c r="J491" s="71">
        <v>-6.9999999999999796</v>
      </c>
      <c r="K491" s="71" t="s">
        <v>302</v>
      </c>
      <c r="L491" s="71">
        <f t="shared" si="63"/>
        <v>8</v>
      </c>
      <c r="M491" s="71" t="str">
        <f>IFERROR(INDEX(KALENDER!$D$3:$D$132,MATCH(H491,KALENDER!$A$3:$A$132,0)),"Di luar periode")</f>
        <v>Hari Kerja</v>
      </c>
      <c r="N491" s="71">
        <f t="shared" si="64"/>
        <v>1</v>
      </c>
      <c r="O491" s="71">
        <f t="shared" si="65"/>
        <v>1</v>
      </c>
      <c r="P491" s="71">
        <f t="shared" si="66"/>
        <v>1</v>
      </c>
      <c r="Q491" s="71">
        <f t="shared" si="67"/>
        <v>0</v>
      </c>
      <c r="R491" s="71">
        <f t="shared" si="68"/>
        <v>0</v>
      </c>
      <c r="S491" s="71">
        <f t="shared" si="69"/>
        <v>0</v>
      </c>
      <c r="T491" s="71">
        <f t="shared" si="70"/>
        <v>0</v>
      </c>
      <c r="U491" s="71">
        <f>IF(AND(N491=1,V491=1),IF(COUNTIFS(AKTIVITAS!$B$2:$B$3052,B491,AKTIVITAS!$E$2:$E$3052,H491)&gt;0,1,0),0)</f>
        <v>1</v>
      </c>
      <c r="V491" s="71">
        <f>IFERROR(IF(AND(H491&gt;=INDEX(PEMAGANG!$J$3:$J$36,MATCH(B491,PEMAGANG!$C$3:$C$36,0)),H491&lt;=INDEX(PEMAGANG!$K$3:$K$36,MATCH(B491,PEMAGANG!$C$3:$C$36,0))),1,0),0)</f>
        <v>1</v>
      </c>
      <c r="W491" s="71">
        <f t="shared" si="71"/>
        <v>1</v>
      </c>
    </row>
    <row r="492" spans="1:23" x14ac:dyDescent="0.2">
      <c r="A492" s="71" t="s">
        <v>188</v>
      </c>
      <c r="B492" s="71" t="s">
        <v>189</v>
      </c>
      <c r="C492" s="71" t="s">
        <v>187</v>
      </c>
      <c r="D492" s="71" t="s">
        <v>185</v>
      </c>
      <c r="E492" s="71" t="s">
        <v>47</v>
      </c>
      <c r="F492" s="71" t="s">
        <v>300</v>
      </c>
      <c r="G492" s="88">
        <v>46245.696192129602</v>
      </c>
      <c r="H492" s="89">
        <v>46245</v>
      </c>
      <c r="I492" s="71" t="s">
        <v>320</v>
      </c>
      <c r="J492" s="71">
        <v>0</v>
      </c>
      <c r="K492" s="71" t="s">
        <v>302</v>
      </c>
      <c r="L492" s="71">
        <f t="shared" si="63"/>
        <v>8</v>
      </c>
      <c r="M492" s="71" t="str">
        <f>IFERROR(INDEX(KALENDER!$D$3:$D$132,MATCH(H492,KALENDER!$A$3:$A$132,0)),"Di luar periode")</f>
        <v>Hari Kerja</v>
      </c>
      <c r="N492" s="71">
        <f t="shared" si="64"/>
        <v>0</v>
      </c>
      <c r="O492" s="71">
        <f t="shared" si="65"/>
        <v>1</v>
      </c>
      <c r="P492" s="71">
        <f t="shared" si="66"/>
        <v>0</v>
      </c>
      <c r="Q492" s="71">
        <f t="shared" si="67"/>
        <v>0</v>
      </c>
      <c r="R492" s="71">
        <f t="shared" si="68"/>
        <v>0</v>
      </c>
      <c r="S492" s="71">
        <f t="shared" si="69"/>
        <v>0</v>
      </c>
      <c r="T492" s="71">
        <f t="shared" si="70"/>
        <v>0</v>
      </c>
      <c r="U492" s="71">
        <f>IF(AND(N492=1,V492=1),IF(COUNTIFS(AKTIVITAS!$B$2:$B$3052,B492,AKTIVITAS!$E$2:$E$3052,H492)&gt;0,1,0),0)</f>
        <v>0</v>
      </c>
      <c r="V492" s="71">
        <f>IFERROR(IF(AND(H492&gt;=INDEX(PEMAGANG!$J$3:$J$36,MATCH(B492,PEMAGANG!$C$3:$C$36,0)),H492&lt;=INDEX(PEMAGANG!$K$3:$K$36,MATCH(B492,PEMAGANG!$C$3:$C$36,0))),1,0),0)</f>
        <v>1</v>
      </c>
      <c r="W492" s="71">
        <f t="shared" si="71"/>
        <v>0</v>
      </c>
    </row>
    <row r="493" spans="1:23" x14ac:dyDescent="0.2">
      <c r="A493" s="71" t="s">
        <v>188</v>
      </c>
      <c r="B493" s="71" t="s">
        <v>189</v>
      </c>
      <c r="C493" s="71" t="s">
        <v>187</v>
      </c>
      <c r="D493" s="71" t="s">
        <v>185</v>
      </c>
      <c r="E493" s="71" t="s">
        <v>47</v>
      </c>
      <c r="F493" s="71" t="s">
        <v>298</v>
      </c>
      <c r="G493" s="88">
        <v>46246.308749999997</v>
      </c>
      <c r="H493" s="89">
        <v>46246</v>
      </c>
      <c r="I493" s="71" t="s">
        <v>303</v>
      </c>
      <c r="J493" s="71">
        <v>-5.9999999999999796</v>
      </c>
      <c r="K493" s="71" t="s">
        <v>302</v>
      </c>
      <c r="L493" s="71">
        <f t="shared" si="63"/>
        <v>8</v>
      </c>
      <c r="M493" s="71" t="str">
        <f>IFERROR(INDEX(KALENDER!$D$3:$D$132,MATCH(H493,KALENDER!$A$3:$A$132,0)),"Di luar periode")</f>
        <v>Hari Kerja</v>
      </c>
      <c r="N493" s="71">
        <f t="shared" si="64"/>
        <v>1</v>
      </c>
      <c r="O493" s="71">
        <f t="shared" si="65"/>
        <v>1</v>
      </c>
      <c r="P493" s="71">
        <f t="shared" si="66"/>
        <v>1</v>
      </c>
      <c r="Q493" s="71">
        <f t="shared" si="67"/>
        <v>0</v>
      </c>
      <c r="R493" s="71">
        <f t="shared" si="68"/>
        <v>0</v>
      </c>
      <c r="S493" s="71">
        <f t="shared" si="69"/>
        <v>0</v>
      </c>
      <c r="T493" s="71">
        <f t="shared" si="70"/>
        <v>0</v>
      </c>
      <c r="U493" s="71">
        <f>IF(AND(N493=1,V493=1),IF(COUNTIFS(AKTIVITAS!$B$2:$B$3052,B493,AKTIVITAS!$E$2:$E$3052,H493)&gt;0,1,0),0)</f>
        <v>0</v>
      </c>
      <c r="V493" s="71">
        <f>IFERROR(IF(AND(H493&gt;=INDEX(PEMAGANG!$J$3:$J$36,MATCH(B493,PEMAGANG!$C$3:$C$36,0)),H493&lt;=INDEX(PEMAGANG!$K$3:$K$36,MATCH(B493,PEMAGANG!$C$3:$C$36,0))),1,0),0)</f>
        <v>1</v>
      </c>
      <c r="W493" s="71">
        <f t="shared" si="71"/>
        <v>1</v>
      </c>
    </row>
    <row r="494" spans="1:23" x14ac:dyDescent="0.2">
      <c r="A494" s="71" t="s">
        <v>188</v>
      </c>
      <c r="B494" s="71" t="s">
        <v>189</v>
      </c>
      <c r="C494" s="71" t="s">
        <v>187</v>
      </c>
      <c r="D494" s="71" t="s">
        <v>185</v>
      </c>
      <c r="E494" s="71" t="s">
        <v>47</v>
      </c>
      <c r="F494" s="71" t="s">
        <v>300</v>
      </c>
      <c r="G494" s="88">
        <v>46246.691967592596</v>
      </c>
      <c r="H494" s="89">
        <v>46246</v>
      </c>
      <c r="I494" s="71" t="s">
        <v>344</v>
      </c>
      <c r="J494" s="71">
        <v>0</v>
      </c>
      <c r="K494" s="71" t="s">
        <v>302</v>
      </c>
      <c r="L494" s="71">
        <f t="shared" si="63"/>
        <v>8</v>
      </c>
      <c r="M494" s="71" t="str">
        <f>IFERROR(INDEX(KALENDER!$D$3:$D$132,MATCH(H494,KALENDER!$A$3:$A$132,0)),"Di luar periode")</f>
        <v>Hari Kerja</v>
      </c>
      <c r="N494" s="71">
        <f t="shared" si="64"/>
        <v>0</v>
      </c>
      <c r="O494" s="71">
        <f t="shared" si="65"/>
        <v>1</v>
      </c>
      <c r="P494" s="71">
        <f t="shared" si="66"/>
        <v>0</v>
      </c>
      <c r="Q494" s="71">
        <f t="shared" si="67"/>
        <v>0</v>
      </c>
      <c r="R494" s="71">
        <f t="shared" si="68"/>
        <v>0</v>
      </c>
      <c r="S494" s="71">
        <f t="shared" si="69"/>
        <v>0</v>
      </c>
      <c r="T494" s="71">
        <f t="shared" si="70"/>
        <v>0</v>
      </c>
      <c r="U494" s="71">
        <f>IF(AND(N494=1,V494=1),IF(COUNTIFS(AKTIVITAS!$B$2:$B$3052,B494,AKTIVITAS!$E$2:$E$3052,H494)&gt;0,1,0),0)</f>
        <v>0</v>
      </c>
      <c r="V494" s="71">
        <f>IFERROR(IF(AND(H494&gt;=INDEX(PEMAGANG!$J$3:$J$36,MATCH(B494,PEMAGANG!$C$3:$C$36,0)),H494&lt;=INDEX(PEMAGANG!$K$3:$K$36,MATCH(B494,PEMAGANG!$C$3:$C$36,0))),1,0),0)</f>
        <v>1</v>
      </c>
      <c r="W494" s="71">
        <f t="shared" si="71"/>
        <v>0</v>
      </c>
    </row>
    <row r="495" spans="1:23" x14ac:dyDescent="0.2">
      <c r="A495" s="71" t="s">
        <v>188</v>
      </c>
      <c r="B495" s="71" t="s">
        <v>189</v>
      </c>
      <c r="C495" s="71" t="s">
        <v>187</v>
      </c>
      <c r="D495" s="71" t="s">
        <v>185</v>
      </c>
      <c r="E495" s="71" t="s">
        <v>47</v>
      </c>
      <c r="F495" s="71" t="s">
        <v>298</v>
      </c>
      <c r="G495" s="88">
        <v>46247.307569444398</v>
      </c>
      <c r="H495" s="89">
        <v>46247</v>
      </c>
      <c r="I495" s="71" t="s">
        <v>313</v>
      </c>
      <c r="J495" s="71">
        <v>-8.0000000000000497</v>
      </c>
      <c r="K495" s="71" t="s">
        <v>302</v>
      </c>
      <c r="L495" s="71">
        <f t="shared" si="63"/>
        <v>8</v>
      </c>
      <c r="M495" s="71" t="str">
        <f>IFERROR(INDEX(KALENDER!$D$3:$D$132,MATCH(H495,KALENDER!$A$3:$A$132,0)),"Di luar periode")</f>
        <v>Hari Kerja</v>
      </c>
      <c r="N495" s="71">
        <f t="shared" si="64"/>
        <v>1</v>
      </c>
      <c r="O495" s="71">
        <f t="shared" si="65"/>
        <v>1</v>
      </c>
      <c r="P495" s="71">
        <f t="shared" si="66"/>
        <v>1</v>
      </c>
      <c r="Q495" s="71">
        <f t="shared" si="67"/>
        <v>0</v>
      </c>
      <c r="R495" s="71">
        <f t="shared" si="68"/>
        <v>0</v>
      </c>
      <c r="S495" s="71">
        <f t="shared" si="69"/>
        <v>0</v>
      </c>
      <c r="T495" s="71">
        <f t="shared" si="70"/>
        <v>0</v>
      </c>
      <c r="U495" s="71">
        <f>IF(AND(N495=1,V495=1),IF(COUNTIFS(AKTIVITAS!$B$2:$B$3052,B495,AKTIVITAS!$E$2:$E$3052,H495)&gt;0,1,0),0)</f>
        <v>0</v>
      </c>
      <c r="V495" s="71">
        <f>IFERROR(IF(AND(H495&gt;=INDEX(PEMAGANG!$J$3:$J$36,MATCH(B495,PEMAGANG!$C$3:$C$36,0)),H495&lt;=INDEX(PEMAGANG!$K$3:$K$36,MATCH(B495,PEMAGANG!$C$3:$C$36,0))),1,0),0)</f>
        <v>1</v>
      </c>
      <c r="W495" s="71">
        <f t="shared" si="71"/>
        <v>1</v>
      </c>
    </row>
    <row r="496" spans="1:23" x14ac:dyDescent="0.2">
      <c r="A496" s="71" t="s">
        <v>188</v>
      </c>
      <c r="B496" s="71" t="s">
        <v>189</v>
      </c>
      <c r="C496" s="71" t="s">
        <v>187</v>
      </c>
      <c r="D496" s="71" t="s">
        <v>185</v>
      </c>
      <c r="E496" s="71" t="s">
        <v>47</v>
      </c>
      <c r="F496" s="71" t="s">
        <v>300</v>
      </c>
      <c r="G496" s="88">
        <v>46247.690995370402</v>
      </c>
      <c r="H496" s="89">
        <v>46247</v>
      </c>
      <c r="I496" s="71" t="s">
        <v>310</v>
      </c>
      <c r="J496" s="71">
        <v>0</v>
      </c>
      <c r="K496" s="71" t="s">
        <v>302</v>
      </c>
      <c r="L496" s="71">
        <f t="shared" si="63"/>
        <v>8</v>
      </c>
      <c r="M496" s="71" t="str">
        <f>IFERROR(INDEX(KALENDER!$D$3:$D$132,MATCH(H496,KALENDER!$A$3:$A$132,0)),"Di luar periode")</f>
        <v>Hari Kerja</v>
      </c>
      <c r="N496" s="71">
        <f t="shared" si="64"/>
        <v>0</v>
      </c>
      <c r="O496" s="71">
        <f t="shared" si="65"/>
        <v>1</v>
      </c>
      <c r="P496" s="71">
        <f t="shared" si="66"/>
        <v>0</v>
      </c>
      <c r="Q496" s="71">
        <f t="shared" si="67"/>
        <v>0</v>
      </c>
      <c r="R496" s="71">
        <f t="shared" si="68"/>
        <v>0</v>
      </c>
      <c r="S496" s="71">
        <f t="shared" si="69"/>
        <v>0</v>
      </c>
      <c r="T496" s="71">
        <f t="shared" si="70"/>
        <v>0</v>
      </c>
      <c r="U496" s="71">
        <f>IF(AND(N496=1,V496=1),IF(COUNTIFS(AKTIVITAS!$B$2:$B$3052,B496,AKTIVITAS!$E$2:$E$3052,H496)&gt;0,1,0),0)</f>
        <v>0</v>
      </c>
      <c r="V496" s="71">
        <f>IFERROR(IF(AND(H496&gt;=INDEX(PEMAGANG!$J$3:$J$36,MATCH(B496,PEMAGANG!$C$3:$C$36,0)),H496&lt;=INDEX(PEMAGANG!$K$3:$K$36,MATCH(B496,PEMAGANG!$C$3:$C$36,0))),1,0),0)</f>
        <v>1</v>
      </c>
      <c r="W496" s="71">
        <f t="shared" si="71"/>
        <v>0</v>
      </c>
    </row>
    <row r="497" spans="1:23" x14ac:dyDescent="0.2">
      <c r="A497" s="71" t="s">
        <v>188</v>
      </c>
      <c r="B497" s="71" t="s">
        <v>189</v>
      </c>
      <c r="C497" s="71" t="s">
        <v>187</v>
      </c>
      <c r="D497" s="71" t="s">
        <v>185</v>
      </c>
      <c r="E497" s="71" t="s">
        <v>47</v>
      </c>
      <c r="F497" s="71" t="s">
        <v>298</v>
      </c>
      <c r="G497" s="88">
        <v>46248.309224536999</v>
      </c>
      <c r="H497" s="89">
        <v>46248</v>
      </c>
      <c r="I497" s="71" t="s">
        <v>307</v>
      </c>
      <c r="J497" s="71">
        <v>-4.9999999999999796</v>
      </c>
      <c r="K497" s="71" t="s">
        <v>302</v>
      </c>
      <c r="L497" s="71">
        <f t="shared" si="63"/>
        <v>8</v>
      </c>
      <c r="M497" s="71" t="str">
        <f>IFERROR(INDEX(KALENDER!$D$3:$D$132,MATCH(H497,KALENDER!$A$3:$A$132,0)),"Di luar periode")</f>
        <v>Hari Kerja</v>
      </c>
      <c r="N497" s="71">
        <f t="shared" si="64"/>
        <v>1</v>
      </c>
      <c r="O497" s="71">
        <f t="shared" si="65"/>
        <v>1</v>
      </c>
      <c r="P497" s="71">
        <f t="shared" si="66"/>
        <v>1</v>
      </c>
      <c r="Q497" s="71">
        <f t="shared" si="67"/>
        <v>0</v>
      </c>
      <c r="R497" s="71">
        <f t="shared" si="68"/>
        <v>0</v>
      </c>
      <c r="S497" s="71">
        <f t="shared" si="69"/>
        <v>0</v>
      </c>
      <c r="T497" s="71">
        <f t="shared" si="70"/>
        <v>0</v>
      </c>
      <c r="U497" s="71">
        <f>IF(AND(N497=1,V497=1),IF(COUNTIFS(AKTIVITAS!$B$2:$B$3052,B497,AKTIVITAS!$E$2:$E$3052,H497)&gt;0,1,0),0)</f>
        <v>0</v>
      </c>
      <c r="V497" s="71">
        <f>IFERROR(IF(AND(H497&gt;=INDEX(PEMAGANG!$J$3:$J$36,MATCH(B497,PEMAGANG!$C$3:$C$36,0)),H497&lt;=INDEX(PEMAGANG!$K$3:$K$36,MATCH(B497,PEMAGANG!$C$3:$C$36,0))),1,0),0)</f>
        <v>1</v>
      </c>
      <c r="W497" s="71">
        <f t="shared" si="71"/>
        <v>1</v>
      </c>
    </row>
    <row r="498" spans="1:23" x14ac:dyDescent="0.2">
      <c r="A498" s="71" t="s">
        <v>188</v>
      </c>
      <c r="B498" s="71" t="s">
        <v>189</v>
      </c>
      <c r="C498" s="71" t="s">
        <v>187</v>
      </c>
      <c r="D498" s="71" t="s">
        <v>185</v>
      </c>
      <c r="E498" s="71" t="s">
        <v>47</v>
      </c>
      <c r="F498" s="71" t="s">
        <v>300</v>
      </c>
      <c r="G498" s="88">
        <v>46248.702847222201</v>
      </c>
      <c r="H498" s="89">
        <v>46248</v>
      </c>
      <c r="I498" s="71" t="s">
        <v>325</v>
      </c>
      <c r="J498" s="71">
        <v>0</v>
      </c>
      <c r="K498" s="71" t="s">
        <v>302</v>
      </c>
      <c r="L498" s="71">
        <f t="shared" si="63"/>
        <v>8</v>
      </c>
      <c r="M498" s="71" t="str">
        <f>IFERROR(INDEX(KALENDER!$D$3:$D$132,MATCH(H498,KALENDER!$A$3:$A$132,0)),"Di luar periode")</f>
        <v>Hari Kerja</v>
      </c>
      <c r="N498" s="71">
        <f t="shared" si="64"/>
        <v>0</v>
      </c>
      <c r="O498" s="71">
        <f t="shared" si="65"/>
        <v>1</v>
      </c>
      <c r="P498" s="71">
        <f t="shared" si="66"/>
        <v>0</v>
      </c>
      <c r="Q498" s="71">
        <f t="shared" si="67"/>
        <v>0</v>
      </c>
      <c r="R498" s="71">
        <f t="shared" si="68"/>
        <v>0</v>
      </c>
      <c r="S498" s="71">
        <f t="shared" si="69"/>
        <v>0</v>
      </c>
      <c r="T498" s="71">
        <f t="shared" si="70"/>
        <v>0</v>
      </c>
      <c r="U498" s="71">
        <f>IF(AND(N498=1,V498=1),IF(COUNTIFS(AKTIVITAS!$B$2:$B$3052,B498,AKTIVITAS!$E$2:$E$3052,H498)&gt;0,1,0),0)</f>
        <v>0</v>
      </c>
      <c r="V498" s="71">
        <f>IFERROR(IF(AND(H498&gt;=INDEX(PEMAGANG!$J$3:$J$36,MATCH(B498,PEMAGANG!$C$3:$C$36,0)),H498&lt;=INDEX(PEMAGANG!$K$3:$K$36,MATCH(B498,PEMAGANG!$C$3:$C$36,0))),1,0),0)</f>
        <v>1</v>
      </c>
      <c r="W498" s="71">
        <f t="shared" si="71"/>
        <v>0</v>
      </c>
    </row>
    <row r="499" spans="1:23" x14ac:dyDescent="0.2">
      <c r="A499" s="71" t="s">
        <v>188</v>
      </c>
      <c r="B499" s="71" t="s">
        <v>189</v>
      </c>
      <c r="C499" s="71" t="s">
        <v>187</v>
      </c>
      <c r="D499" s="71" t="s">
        <v>185</v>
      </c>
      <c r="E499" s="71" t="s">
        <v>47</v>
      </c>
      <c r="F499" s="71" t="s">
        <v>298</v>
      </c>
      <c r="G499" s="88">
        <v>46252.309120370403</v>
      </c>
      <c r="H499" s="89">
        <v>46252</v>
      </c>
      <c r="I499" s="71" t="s">
        <v>307</v>
      </c>
      <c r="J499" s="71">
        <v>-4.9999999999999796</v>
      </c>
      <c r="K499" s="71" t="s">
        <v>302</v>
      </c>
      <c r="L499" s="71">
        <f t="shared" si="63"/>
        <v>8</v>
      </c>
      <c r="M499" s="71" t="str">
        <f>IFERROR(INDEX(KALENDER!$D$3:$D$132,MATCH(H499,KALENDER!$A$3:$A$132,0)),"Di luar periode")</f>
        <v>Hari Kerja</v>
      </c>
      <c r="N499" s="71">
        <f t="shared" si="64"/>
        <v>1</v>
      </c>
      <c r="O499" s="71">
        <f t="shared" si="65"/>
        <v>1</v>
      </c>
      <c r="P499" s="71">
        <f t="shared" si="66"/>
        <v>1</v>
      </c>
      <c r="Q499" s="71">
        <f t="shared" si="67"/>
        <v>0</v>
      </c>
      <c r="R499" s="71">
        <f t="shared" si="68"/>
        <v>0</v>
      </c>
      <c r="S499" s="71">
        <f t="shared" si="69"/>
        <v>0</v>
      </c>
      <c r="T499" s="71">
        <f t="shared" si="70"/>
        <v>0</v>
      </c>
      <c r="U499" s="71">
        <f>IF(AND(N499=1,V499=1),IF(COUNTIFS(AKTIVITAS!$B$2:$B$3052,B499,AKTIVITAS!$E$2:$E$3052,H499)&gt;0,1,0),0)</f>
        <v>1</v>
      </c>
      <c r="V499" s="71">
        <f>IFERROR(IF(AND(H499&gt;=INDEX(PEMAGANG!$J$3:$J$36,MATCH(B499,PEMAGANG!$C$3:$C$36,0)),H499&lt;=INDEX(PEMAGANG!$K$3:$K$36,MATCH(B499,PEMAGANG!$C$3:$C$36,0))),1,0),0)</f>
        <v>1</v>
      </c>
      <c r="W499" s="71">
        <f t="shared" si="71"/>
        <v>1</v>
      </c>
    </row>
    <row r="500" spans="1:23" x14ac:dyDescent="0.2">
      <c r="A500" s="71" t="s">
        <v>188</v>
      </c>
      <c r="B500" s="71" t="s">
        <v>189</v>
      </c>
      <c r="C500" s="71" t="s">
        <v>187</v>
      </c>
      <c r="D500" s="71" t="s">
        <v>185</v>
      </c>
      <c r="E500" s="71" t="s">
        <v>47</v>
      </c>
      <c r="F500" s="71" t="s">
        <v>300</v>
      </c>
      <c r="G500" s="88">
        <v>46252.73</v>
      </c>
      <c r="H500" s="89">
        <v>46252</v>
      </c>
      <c r="I500" s="71" t="s">
        <v>413</v>
      </c>
      <c r="J500" s="71">
        <v>0</v>
      </c>
      <c r="K500" s="71" t="s">
        <v>302</v>
      </c>
      <c r="L500" s="71">
        <f t="shared" si="63"/>
        <v>8</v>
      </c>
      <c r="M500" s="71" t="str">
        <f>IFERROR(INDEX(KALENDER!$D$3:$D$132,MATCH(H500,KALENDER!$A$3:$A$132,0)),"Di luar periode")</f>
        <v>Hari Kerja</v>
      </c>
      <c r="N500" s="71">
        <f t="shared" si="64"/>
        <v>0</v>
      </c>
      <c r="O500" s="71">
        <f t="shared" si="65"/>
        <v>1</v>
      </c>
      <c r="P500" s="71">
        <f t="shared" si="66"/>
        <v>0</v>
      </c>
      <c r="Q500" s="71">
        <f t="shared" si="67"/>
        <v>0</v>
      </c>
      <c r="R500" s="71">
        <f t="shared" si="68"/>
        <v>0</v>
      </c>
      <c r="S500" s="71">
        <f t="shared" si="69"/>
        <v>0</v>
      </c>
      <c r="T500" s="71">
        <f t="shared" si="70"/>
        <v>0</v>
      </c>
      <c r="U500" s="71">
        <f>IF(AND(N500=1,V500=1),IF(COUNTIFS(AKTIVITAS!$B$2:$B$3052,B500,AKTIVITAS!$E$2:$E$3052,H500)&gt;0,1,0),0)</f>
        <v>0</v>
      </c>
      <c r="V500" s="71">
        <f>IFERROR(IF(AND(H500&gt;=INDEX(PEMAGANG!$J$3:$J$36,MATCH(B500,PEMAGANG!$C$3:$C$36,0)),H500&lt;=INDEX(PEMAGANG!$K$3:$K$36,MATCH(B500,PEMAGANG!$C$3:$C$36,0))),1,0),0)</f>
        <v>1</v>
      </c>
      <c r="W500" s="71">
        <f t="shared" si="71"/>
        <v>0</v>
      </c>
    </row>
    <row r="501" spans="1:23" x14ac:dyDescent="0.2">
      <c r="A501" s="71" t="s">
        <v>188</v>
      </c>
      <c r="B501" s="71" t="s">
        <v>189</v>
      </c>
      <c r="C501" s="71" t="s">
        <v>187</v>
      </c>
      <c r="D501" s="71" t="s">
        <v>185</v>
      </c>
      <c r="E501" s="71" t="s">
        <v>47</v>
      </c>
      <c r="F501" s="71" t="s">
        <v>298</v>
      </c>
      <c r="G501" s="88">
        <v>46253.311851851897</v>
      </c>
      <c r="H501" s="89">
        <v>46253</v>
      </c>
      <c r="I501" s="71" t="s">
        <v>365</v>
      </c>
      <c r="J501" s="71">
        <v>-0.999999999999996</v>
      </c>
      <c r="K501" s="71" t="s">
        <v>302</v>
      </c>
      <c r="L501" s="71">
        <f t="shared" si="63"/>
        <v>8</v>
      </c>
      <c r="M501" s="71" t="str">
        <f>IFERROR(INDEX(KALENDER!$D$3:$D$132,MATCH(H501,KALENDER!$A$3:$A$132,0)),"Di luar periode")</f>
        <v>Hari Kerja</v>
      </c>
      <c r="N501" s="71">
        <f t="shared" si="64"/>
        <v>1</v>
      </c>
      <c r="O501" s="71">
        <f t="shared" si="65"/>
        <v>1</v>
      </c>
      <c r="P501" s="71">
        <f t="shared" si="66"/>
        <v>1</v>
      </c>
      <c r="Q501" s="71">
        <f t="shared" si="67"/>
        <v>0</v>
      </c>
      <c r="R501" s="71">
        <f t="shared" si="68"/>
        <v>0</v>
      </c>
      <c r="S501" s="71">
        <f t="shared" si="69"/>
        <v>0</v>
      </c>
      <c r="T501" s="71">
        <f t="shared" si="70"/>
        <v>0</v>
      </c>
      <c r="U501" s="71">
        <f>IF(AND(N501=1,V501=1),IF(COUNTIFS(AKTIVITAS!$B$2:$B$3052,B501,AKTIVITAS!$E$2:$E$3052,H501)&gt;0,1,0),0)</f>
        <v>1</v>
      </c>
      <c r="V501" s="71">
        <f>IFERROR(IF(AND(H501&gt;=INDEX(PEMAGANG!$J$3:$J$36,MATCH(B501,PEMAGANG!$C$3:$C$36,0)),H501&lt;=INDEX(PEMAGANG!$K$3:$K$36,MATCH(B501,PEMAGANG!$C$3:$C$36,0))),1,0),0)</f>
        <v>1</v>
      </c>
      <c r="W501" s="71">
        <f t="shared" si="71"/>
        <v>1</v>
      </c>
    </row>
    <row r="502" spans="1:23" x14ac:dyDescent="0.2">
      <c r="A502" s="71" t="s">
        <v>188</v>
      </c>
      <c r="B502" s="71" t="s">
        <v>189</v>
      </c>
      <c r="C502" s="71" t="s">
        <v>187</v>
      </c>
      <c r="D502" s="71" t="s">
        <v>185</v>
      </c>
      <c r="E502" s="71" t="s">
        <v>47</v>
      </c>
      <c r="F502" s="71" t="s">
        <v>300</v>
      </c>
      <c r="G502" s="88">
        <v>46253.694895833301</v>
      </c>
      <c r="H502" s="89">
        <v>46253</v>
      </c>
      <c r="I502" s="71" t="s">
        <v>343</v>
      </c>
      <c r="J502" s="71">
        <v>0</v>
      </c>
      <c r="K502" s="71" t="s">
        <v>302</v>
      </c>
      <c r="L502" s="71">
        <f t="shared" si="63"/>
        <v>8</v>
      </c>
      <c r="M502" s="71" t="str">
        <f>IFERROR(INDEX(KALENDER!$D$3:$D$132,MATCH(H502,KALENDER!$A$3:$A$132,0)),"Di luar periode")</f>
        <v>Hari Kerja</v>
      </c>
      <c r="N502" s="71">
        <f t="shared" si="64"/>
        <v>0</v>
      </c>
      <c r="O502" s="71">
        <f t="shared" si="65"/>
        <v>1</v>
      </c>
      <c r="P502" s="71">
        <f t="shared" si="66"/>
        <v>0</v>
      </c>
      <c r="Q502" s="71">
        <f t="shared" si="67"/>
        <v>0</v>
      </c>
      <c r="R502" s="71">
        <f t="shared" si="68"/>
        <v>0</v>
      </c>
      <c r="S502" s="71">
        <f t="shared" si="69"/>
        <v>0</v>
      </c>
      <c r="T502" s="71">
        <f t="shared" si="70"/>
        <v>0</v>
      </c>
      <c r="U502" s="71">
        <f>IF(AND(N502=1,V502=1),IF(COUNTIFS(AKTIVITAS!$B$2:$B$3052,B502,AKTIVITAS!$E$2:$E$3052,H502)&gt;0,1,0),0)</f>
        <v>0</v>
      </c>
      <c r="V502" s="71">
        <f>IFERROR(IF(AND(H502&gt;=INDEX(PEMAGANG!$J$3:$J$36,MATCH(B502,PEMAGANG!$C$3:$C$36,0)),H502&lt;=INDEX(PEMAGANG!$K$3:$K$36,MATCH(B502,PEMAGANG!$C$3:$C$36,0))),1,0),0)</f>
        <v>1</v>
      </c>
      <c r="W502" s="71">
        <f t="shared" si="71"/>
        <v>0</v>
      </c>
    </row>
    <row r="503" spans="1:23" x14ac:dyDescent="0.2">
      <c r="A503" s="71" t="s">
        <v>188</v>
      </c>
      <c r="B503" s="71" t="s">
        <v>189</v>
      </c>
      <c r="C503" s="71" t="s">
        <v>187</v>
      </c>
      <c r="D503" s="71" t="s">
        <v>185</v>
      </c>
      <c r="E503" s="71" t="s">
        <v>47</v>
      </c>
      <c r="F503" s="71" t="s">
        <v>298</v>
      </c>
      <c r="G503" s="88">
        <v>46254.305914351899</v>
      </c>
      <c r="H503" s="89">
        <v>46254</v>
      </c>
      <c r="I503" s="71" t="s">
        <v>329</v>
      </c>
      <c r="J503" s="71">
        <v>-10</v>
      </c>
      <c r="K503" s="71" t="s">
        <v>302</v>
      </c>
      <c r="L503" s="71">
        <f t="shared" si="63"/>
        <v>8</v>
      </c>
      <c r="M503" s="71" t="str">
        <f>IFERROR(INDEX(KALENDER!$D$3:$D$132,MATCH(H503,KALENDER!$A$3:$A$132,0)),"Di luar periode")</f>
        <v>Hari Kerja</v>
      </c>
      <c r="N503" s="71">
        <f t="shared" si="64"/>
        <v>1</v>
      </c>
      <c r="O503" s="71">
        <f t="shared" si="65"/>
        <v>1</v>
      </c>
      <c r="P503" s="71">
        <f t="shared" si="66"/>
        <v>1</v>
      </c>
      <c r="Q503" s="71">
        <f t="shared" si="67"/>
        <v>0</v>
      </c>
      <c r="R503" s="71">
        <f t="shared" si="68"/>
        <v>0</v>
      </c>
      <c r="S503" s="71">
        <f t="shared" si="69"/>
        <v>0</v>
      </c>
      <c r="T503" s="71">
        <f t="shared" si="70"/>
        <v>0</v>
      </c>
      <c r="U503" s="71">
        <f>IF(AND(N503=1,V503=1),IF(COUNTIFS(AKTIVITAS!$B$2:$B$3052,B503,AKTIVITAS!$E$2:$E$3052,H503)&gt;0,1,0),0)</f>
        <v>1</v>
      </c>
      <c r="V503" s="71">
        <f>IFERROR(IF(AND(H503&gt;=INDEX(PEMAGANG!$J$3:$J$36,MATCH(B503,PEMAGANG!$C$3:$C$36,0)),H503&lt;=INDEX(PEMAGANG!$K$3:$K$36,MATCH(B503,PEMAGANG!$C$3:$C$36,0))),1,0),0)</f>
        <v>1</v>
      </c>
      <c r="W503" s="71">
        <f t="shared" si="71"/>
        <v>1</v>
      </c>
    </row>
    <row r="504" spans="1:23" x14ac:dyDescent="0.2">
      <c r="A504" s="71" t="s">
        <v>188</v>
      </c>
      <c r="B504" s="71" t="s">
        <v>189</v>
      </c>
      <c r="C504" s="71" t="s">
        <v>187</v>
      </c>
      <c r="D504" s="71" t="s">
        <v>185</v>
      </c>
      <c r="E504" s="71" t="s">
        <v>47</v>
      </c>
      <c r="F504" s="71" t="s">
        <v>300</v>
      </c>
      <c r="G504" s="88">
        <v>46254.697916666701</v>
      </c>
      <c r="H504" s="89">
        <v>46254</v>
      </c>
      <c r="I504" s="71" t="s">
        <v>318</v>
      </c>
      <c r="J504" s="71">
        <v>0</v>
      </c>
      <c r="K504" s="71" t="s">
        <v>302</v>
      </c>
      <c r="L504" s="71">
        <f t="shared" si="63"/>
        <v>8</v>
      </c>
      <c r="M504" s="71" t="str">
        <f>IFERROR(INDEX(KALENDER!$D$3:$D$132,MATCH(H504,KALENDER!$A$3:$A$132,0)),"Di luar periode")</f>
        <v>Hari Kerja</v>
      </c>
      <c r="N504" s="71">
        <f t="shared" si="64"/>
        <v>0</v>
      </c>
      <c r="O504" s="71">
        <f t="shared" si="65"/>
        <v>1</v>
      </c>
      <c r="P504" s="71">
        <f t="shared" si="66"/>
        <v>0</v>
      </c>
      <c r="Q504" s="71">
        <f t="shared" si="67"/>
        <v>0</v>
      </c>
      <c r="R504" s="71">
        <f t="shared" si="68"/>
        <v>0</v>
      </c>
      <c r="S504" s="71">
        <f t="shared" si="69"/>
        <v>0</v>
      </c>
      <c r="T504" s="71">
        <f t="shared" si="70"/>
        <v>0</v>
      </c>
      <c r="U504" s="71">
        <f>IF(AND(N504=1,V504=1),IF(COUNTIFS(AKTIVITAS!$B$2:$B$3052,B504,AKTIVITAS!$E$2:$E$3052,H504)&gt;0,1,0),0)</f>
        <v>0</v>
      </c>
      <c r="V504" s="71">
        <f>IFERROR(IF(AND(H504&gt;=INDEX(PEMAGANG!$J$3:$J$36,MATCH(B504,PEMAGANG!$C$3:$C$36,0)),H504&lt;=INDEX(PEMAGANG!$K$3:$K$36,MATCH(B504,PEMAGANG!$C$3:$C$36,0))),1,0),0)</f>
        <v>1</v>
      </c>
      <c r="W504" s="71">
        <f t="shared" si="71"/>
        <v>0</v>
      </c>
    </row>
    <row r="505" spans="1:23" x14ac:dyDescent="0.2">
      <c r="A505" s="71" t="s">
        <v>188</v>
      </c>
      <c r="B505" s="71" t="s">
        <v>189</v>
      </c>
      <c r="C505" s="71" t="s">
        <v>187</v>
      </c>
      <c r="D505" s="71" t="s">
        <v>185</v>
      </c>
      <c r="E505" s="71" t="s">
        <v>47</v>
      </c>
      <c r="F505" s="71" t="s">
        <v>298</v>
      </c>
      <c r="G505" s="88">
        <v>46255.313645833303</v>
      </c>
      <c r="H505" s="89">
        <v>46255</v>
      </c>
      <c r="I505" s="71" t="s">
        <v>392</v>
      </c>
      <c r="J505" s="71">
        <v>-29</v>
      </c>
      <c r="K505" s="71" t="s">
        <v>302</v>
      </c>
      <c r="L505" s="71">
        <f t="shared" si="63"/>
        <v>8</v>
      </c>
      <c r="M505" s="71" t="str">
        <f>IFERROR(INDEX(KALENDER!$D$3:$D$132,MATCH(H505,KALENDER!$A$3:$A$132,0)),"Di luar periode")</f>
        <v>Hari Kerja</v>
      </c>
      <c r="N505" s="71">
        <f t="shared" si="64"/>
        <v>1</v>
      </c>
      <c r="O505" s="71">
        <f t="shared" si="65"/>
        <v>1</v>
      </c>
      <c r="P505" s="71">
        <f t="shared" si="66"/>
        <v>1</v>
      </c>
      <c r="Q505" s="71">
        <f t="shared" si="67"/>
        <v>0</v>
      </c>
      <c r="R505" s="71">
        <f t="shared" si="68"/>
        <v>0</v>
      </c>
      <c r="S505" s="71">
        <f t="shared" si="69"/>
        <v>0</v>
      </c>
      <c r="T505" s="71">
        <f t="shared" si="70"/>
        <v>0</v>
      </c>
      <c r="U505" s="71">
        <f>IF(AND(N505=1,V505=1),IF(COUNTIFS(AKTIVITAS!$B$2:$B$3052,B505,AKTIVITAS!$E$2:$E$3052,H505)&gt;0,1,0),0)</f>
        <v>1</v>
      </c>
      <c r="V505" s="71">
        <f>IFERROR(IF(AND(H505&gt;=INDEX(PEMAGANG!$J$3:$J$36,MATCH(B505,PEMAGANG!$C$3:$C$36,0)),H505&lt;=INDEX(PEMAGANG!$K$3:$K$36,MATCH(B505,PEMAGANG!$C$3:$C$36,0))),1,0),0)</f>
        <v>1</v>
      </c>
      <c r="W505" s="71">
        <f t="shared" si="71"/>
        <v>1</v>
      </c>
    </row>
    <row r="506" spans="1:23" x14ac:dyDescent="0.2">
      <c r="A506" s="71" t="s">
        <v>188</v>
      </c>
      <c r="B506" s="71" t="s">
        <v>189</v>
      </c>
      <c r="C506" s="71" t="s">
        <v>187</v>
      </c>
      <c r="D506" s="71" t="s">
        <v>185</v>
      </c>
      <c r="E506" s="71" t="s">
        <v>47</v>
      </c>
      <c r="F506" s="71" t="s">
        <v>300</v>
      </c>
      <c r="G506" s="88">
        <v>46255.749930555598</v>
      </c>
      <c r="H506" s="89">
        <v>46255</v>
      </c>
      <c r="I506" s="71" t="s">
        <v>414</v>
      </c>
      <c r="J506" s="71">
        <v>0</v>
      </c>
      <c r="K506" s="71" t="s">
        <v>302</v>
      </c>
      <c r="L506" s="71">
        <f t="shared" si="63"/>
        <v>8</v>
      </c>
      <c r="M506" s="71" t="str">
        <f>IFERROR(INDEX(KALENDER!$D$3:$D$132,MATCH(H506,KALENDER!$A$3:$A$132,0)),"Di luar periode")</f>
        <v>Hari Kerja</v>
      </c>
      <c r="N506" s="71">
        <f t="shared" si="64"/>
        <v>0</v>
      </c>
      <c r="O506" s="71">
        <f t="shared" si="65"/>
        <v>1</v>
      </c>
      <c r="P506" s="71">
        <f t="shared" si="66"/>
        <v>0</v>
      </c>
      <c r="Q506" s="71">
        <f t="shared" si="67"/>
        <v>0</v>
      </c>
      <c r="R506" s="71">
        <f t="shared" si="68"/>
        <v>0</v>
      </c>
      <c r="S506" s="71">
        <f t="shared" si="69"/>
        <v>0</v>
      </c>
      <c r="T506" s="71">
        <f t="shared" si="70"/>
        <v>0</v>
      </c>
      <c r="U506" s="71">
        <f>IF(AND(N506=1,V506=1),IF(COUNTIFS(AKTIVITAS!$B$2:$B$3052,B506,AKTIVITAS!$E$2:$E$3052,H506)&gt;0,1,0),0)</f>
        <v>0</v>
      </c>
      <c r="V506" s="71">
        <f>IFERROR(IF(AND(H506&gt;=INDEX(PEMAGANG!$J$3:$J$36,MATCH(B506,PEMAGANG!$C$3:$C$36,0)),H506&lt;=INDEX(PEMAGANG!$K$3:$K$36,MATCH(B506,PEMAGANG!$C$3:$C$36,0))),1,0),0)</f>
        <v>1</v>
      </c>
      <c r="W506" s="71">
        <f t="shared" si="71"/>
        <v>0</v>
      </c>
    </row>
    <row r="507" spans="1:23" x14ac:dyDescent="0.2">
      <c r="A507" s="71" t="s">
        <v>188</v>
      </c>
      <c r="B507" s="71" t="s">
        <v>189</v>
      </c>
      <c r="C507" s="71" t="s">
        <v>187</v>
      </c>
      <c r="D507" s="71" t="s">
        <v>185</v>
      </c>
      <c r="E507" s="71" t="s">
        <v>47</v>
      </c>
      <c r="F507" s="71" t="s">
        <v>298</v>
      </c>
      <c r="G507" s="88">
        <v>46258.312199074098</v>
      </c>
      <c r="H507" s="89">
        <v>46258</v>
      </c>
      <c r="I507" s="71" t="s">
        <v>365</v>
      </c>
      <c r="J507" s="71">
        <v>-31</v>
      </c>
      <c r="K507" s="71" t="s">
        <v>302</v>
      </c>
      <c r="L507" s="71">
        <f t="shared" si="63"/>
        <v>8</v>
      </c>
      <c r="M507" s="71" t="str">
        <f>IFERROR(INDEX(KALENDER!$D$3:$D$132,MATCH(H507,KALENDER!$A$3:$A$132,0)),"Di luar periode")</f>
        <v>Hari Kerja</v>
      </c>
      <c r="N507" s="71">
        <f t="shared" si="64"/>
        <v>1</v>
      </c>
      <c r="O507" s="71">
        <f t="shared" si="65"/>
        <v>1</v>
      </c>
      <c r="P507" s="71">
        <f t="shared" si="66"/>
        <v>1</v>
      </c>
      <c r="Q507" s="71">
        <f t="shared" si="67"/>
        <v>0</v>
      </c>
      <c r="R507" s="71">
        <f t="shared" si="68"/>
        <v>0</v>
      </c>
      <c r="S507" s="71">
        <f t="shared" si="69"/>
        <v>0</v>
      </c>
      <c r="T507" s="71">
        <f t="shared" si="70"/>
        <v>0</v>
      </c>
      <c r="U507" s="71">
        <f>IF(AND(N507=1,V507=1),IF(COUNTIFS(AKTIVITAS!$B$2:$B$3052,B507,AKTIVITAS!$E$2:$E$3052,H507)&gt;0,1,0),0)</f>
        <v>1</v>
      </c>
      <c r="V507" s="71">
        <f>IFERROR(IF(AND(H507&gt;=INDEX(PEMAGANG!$J$3:$J$36,MATCH(B507,PEMAGANG!$C$3:$C$36,0)),H507&lt;=INDEX(PEMAGANG!$K$3:$K$36,MATCH(B507,PEMAGANG!$C$3:$C$36,0))),1,0),0)</f>
        <v>1</v>
      </c>
      <c r="W507" s="71">
        <f t="shared" si="71"/>
        <v>1</v>
      </c>
    </row>
    <row r="508" spans="1:23" x14ac:dyDescent="0.2">
      <c r="A508" s="71" t="s">
        <v>188</v>
      </c>
      <c r="B508" s="71" t="s">
        <v>189</v>
      </c>
      <c r="C508" s="71" t="s">
        <v>187</v>
      </c>
      <c r="D508" s="71" t="s">
        <v>185</v>
      </c>
      <c r="E508" s="71" t="s">
        <v>47</v>
      </c>
      <c r="F508" s="71" t="s">
        <v>300</v>
      </c>
      <c r="G508" s="88">
        <v>46258.727581018502</v>
      </c>
      <c r="H508" s="89">
        <v>46258</v>
      </c>
      <c r="I508" s="71" t="s">
        <v>389</v>
      </c>
      <c r="J508" s="71">
        <v>0</v>
      </c>
      <c r="K508" s="71" t="s">
        <v>302</v>
      </c>
      <c r="L508" s="71">
        <f t="shared" si="63"/>
        <v>8</v>
      </c>
      <c r="M508" s="71" t="str">
        <f>IFERROR(INDEX(KALENDER!$D$3:$D$132,MATCH(H508,KALENDER!$A$3:$A$132,0)),"Di luar periode")</f>
        <v>Hari Kerja</v>
      </c>
      <c r="N508" s="71">
        <f t="shared" si="64"/>
        <v>0</v>
      </c>
      <c r="O508" s="71">
        <f t="shared" si="65"/>
        <v>1</v>
      </c>
      <c r="P508" s="71">
        <f t="shared" si="66"/>
        <v>0</v>
      </c>
      <c r="Q508" s="71">
        <f t="shared" si="67"/>
        <v>0</v>
      </c>
      <c r="R508" s="71">
        <f t="shared" si="68"/>
        <v>0</v>
      </c>
      <c r="S508" s="71">
        <f t="shared" si="69"/>
        <v>0</v>
      </c>
      <c r="T508" s="71">
        <f t="shared" si="70"/>
        <v>0</v>
      </c>
      <c r="U508" s="71">
        <f>IF(AND(N508=1,V508=1),IF(COUNTIFS(AKTIVITAS!$B$2:$B$3052,B508,AKTIVITAS!$E$2:$E$3052,H508)&gt;0,1,0),0)</f>
        <v>0</v>
      </c>
      <c r="V508" s="71">
        <f>IFERROR(IF(AND(H508&gt;=INDEX(PEMAGANG!$J$3:$J$36,MATCH(B508,PEMAGANG!$C$3:$C$36,0)),H508&lt;=INDEX(PEMAGANG!$K$3:$K$36,MATCH(B508,PEMAGANG!$C$3:$C$36,0))),1,0),0)</f>
        <v>1</v>
      </c>
      <c r="W508" s="71">
        <f t="shared" si="71"/>
        <v>0</v>
      </c>
    </row>
    <row r="509" spans="1:23" x14ac:dyDescent="0.2">
      <c r="A509" s="71" t="s">
        <v>188</v>
      </c>
      <c r="B509" s="71" t="s">
        <v>189</v>
      </c>
      <c r="C509" s="71" t="s">
        <v>187</v>
      </c>
      <c r="D509" s="71" t="s">
        <v>185</v>
      </c>
      <c r="E509" s="71" t="s">
        <v>47</v>
      </c>
      <c r="F509" s="71" t="s">
        <v>298</v>
      </c>
      <c r="G509" s="88">
        <v>46260.307939814797</v>
      </c>
      <c r="H509" s="89">
        <v>46260</v>
      </c>
      <c r="I509" s="71" t="s">
        <v>311</v>
      </c>
      <c r="J509" s="71">
        <v>-37</v>
      </c>
      <c r="K509" s="71" t="s">
        <v>302</v>
      </c>
      <c r="L509" s="71">
        <f t="shared" si="63"/>
        <v>8</v>
      </c>
      <c r="M509" s="71" t="str">
        <f>IFERROR(INDEX(KALENDER!$D$3:$D$132,MATCH(H509,KALENDER!$A$3:$A$132,0)),"Di luar periode")</f>
        <v>Hari Kerja</v>
      </c>
      <c r="N509" s="71">
        <f t="shared" si="64"/>
        <v>1</v>
      </c>
      <c r="O509" s="71">
        <f t="shared" si="65"/>
        <v>1</v>
      </c>
      <c r="P509" s="71">
        <f t="shared" si="66"/>
        <v>1</v>
      </c>
      <c r="Q509" s="71">
        <f t="shared" si="67"/>
        <v>0</v>
      </c>
      <c r="R509" s="71">
        <f t="shared" si="68"/>
        <v>0</v>
      </c>
      <c r="S509" s="71">
        <f t="shared" si="69"/>
        <v>0</v>
      </c>
      <c r="T509" s="71">
        <f t="shared" si="70"/>
        <v>0</v>
      </c>
      <c r="U509" s="71">
        <f>IF(AND(N509=1,V509=1),IF(COUNTIFS(AKTIVITAS!$B$2:$B$3052,B509,AKTIVITAS!$E$2:$E$3052,H509)&gt;0,1,0),0)</f>
        <v>1</v>
      </c>
      <c r="V509" s="71">
        <f>IFERROR(IF(AND(H509&gt;=INDEX(PEMAGANG!$J$3:$J$36,MATCH(B509,PEMAGANG!$C$3:$C$36,0)),H509&lt;=INDEX(PEMAGANG!$K$3:$K$36,MATCH(B509,PEMAGANG!$C$3:$C$36,0))),1,0),0)</f>
        <v>1</v>
      </c>
      <c r="W509" s="71">
        <f t="shared" si="71"/>
        <v>1</v>
      </c>
    </row>
    <row r="510" spans="1:23" x14ac:dyDescent="0.2">
      <c r="A510" s="71" t="s">
        <v>188</v>
      </c>
      <c r="B510" s="71" t="s">
        <v>189</v>
      </c>
      <c r="C510" s="71" t="s">
        <v>187</v>
      </c>
      <c r="D510" s="71" t="s">
        <v>185</v>
      </c>
      <c r="E510" s="71" t="s">
        <v>47</v>
      </c>
      <c r="F510" s="71" t="s">
        <v>300</v>
      </c>
      <c r="G510" s="88">
        <v>46260.689872685201</v>
      </c>
      <c r="H510" s="89">
        <v>46260</v>
      </c>
      <c r="I510" s="71" t="s">
        <v>316</v>
      </c>
      <c r="J510" s="71">
        <v>0</v>
      </c>
      <c r="K510" s="71" t="s">
        <v>302</v>
      </c>
      <c r="L510" s="71">
        <f t="shared" si="63"/>
        <v>8</v>
      </c>
      <c r="M510" s="71" t="str">
        <f>IFERROR(INDEX(KALENDER!$D$3:$D$132,MATCH(H510,KALENDER!$A$3:$A$132,0)),"Di luar periode")</f>
        <v>Hari Kerja</v>
      </c>
      <c r="N510" s="71">
        <f t="shared" si="64"/>
        <v>0</v>
      </c>
      <c r="O510" s="71">
        <f t="shared" si="65"/>
        <v>1</v>
      </c>
      <c r="P510" s="71">
        <f t="shared" si="66"/>
        <v>0</v>
      </c>
      <c r="Q510" s="71">
        <f t="shared" si="67"/>
        <v>0</v>
      </c>
      <c r="R510" s="71">
        <f t="shared" si="68"/>
        <v>0</v>
      </c>
      <c r="S510" s="71">
        <f t="shared" si="69"/>
        <v>0</v>
      </c>
      <c r="T510" s="71">
        <f t="shared" si="70"/>
        <v>0</v>
      </c>
      <c r="U510" s="71">
        <f>IF(AND(N510=1,V510=1),IF(COUNTIFS(AKTIVITAS!$B$2:$B$3052,B510,AKTIVITAS!$E$2:$E$3052,H510)&gt;0,1,0),0)</f>
        <v>0</v>
      </c>
      <c r="V510" s="71">
        <f>IFERROR(IF(AND(H510&gt;=INDEX(PEMAGANG!$J$3:$J$36,MATCH(B510,PEMAGANG!$C$3:$C$36,0)),H510&lt;=INDEX(PEMAGANG!$K$3:$K$36,MATCH(B510,PEMAGANG!$C$3:$C$36,0))),1,0),0)</f>
        <v>1</v>
      </c>
      <c r="W510" s="71">
        <f t="shared" si="71"/>
        <v>0</v>
      </c>
    </row>
    <row r="511" spans="1:23" x14ac:dyDescent="0.2">
      <c r="A511" s="71" t="s">
        <v>188</v>
      </c>
      <c r="B511" s="71" t="s">
        <v>189</v>
      </c>
      <c r="C511" s="71" t="s">
        <v>187</v>
      </c>
      <c r="D511" s="71" t="s">
        <v>185</v>
      </c>
      <c r="E511" s="71" t="s">
        <v>47</v>
      </c>
      <c r="F511" s="71" t="s">
        <v>298</v>
      </c>
      <c r="G511" s="88">
        <v>46261.307858796303</v>
      </c>
      <c r="H511" s="89">
        <v>46261</v>
      </c>
      <c r="I511" s="71" t="s">
        <v>311</v>
      </c>
      <c r="J511" s="71">
        <v>-37</v>
      </c>
      <c r="K511" s="71" t="s">
        <v>302</v>
      </c>
      <c r="L511" s="71">
        <f t="shared" si="63"/>
        <v>8</v>
      </c>
      <c r="M511" s="71" t="str">
        <f>IFERROR(INDEX(KALENDER!$D$3:$D$132,MATCH(H511,KALENDER!$A$3:$A$132,0)),"Di luar periode")</f>
        <v>Hari Kerja</v>
      </c>
      <c r="N511" s="71">
        <f t="shared" si="64"/>
        <v>1</v>
      </c>
      <c r="O511" s="71">
        <f t="shared" si="65"/>
        <v>1</v>
      </c>
      <c r="P511" s="71">
        <f t="shared" si="66"/>
        <v>1</v>
      </c>
      <c r="Q511" s="71">
        <f t="shared" si="67"/>
        <v>0</v>
      </c>
      <c r="R511" s="71">
        <f t="shared" si="68"/>
        <v>0</v>
      </c>
      <c r="S511" s="71">
        <f t="shared" si="69"/>
        <v>0</v>
      </c>
      <c r="T511" s="71">
        <f t="shared" si="70"/>
        <v>0</v>
      </c>
      <c r="U511" s="71">
        <f>IF(AND(N511=1,V511=1),IF(COUNTIFS(AKTIVITAS!$B$2:$B$3052,B511,AKTIVITAS!$E$2:$E$3052,H511)&gt;0,1,0),0)</f>
        <v>1</v>
      </c>
      <c r="V511" s="71">
        <f>IFERROR(IF(AND(H511&gt;=INDEX(PEMAGANG!$J$3:$J$36,MATCH(B511,PEMAGANG!$C$3:$C$36,0)),H511&lt;=INDEX(PEMAGANG!$K$3:$K$36,MATCH(B511,PEMAGANG!$C$3:$C$36,0))),1,0),0)</f>
        <v>1</v>
      </c>
      <c r="W511" s="71">
        <f t="shared" si="71"/>
        <v>1</v>
      </c>
    </row>
    <row r="512" spans="1:23" x14ac:dyDescent="0.2">
      <c r="A512" s="71" t="s">
        <v>188</v>
      </c>
      <c r="B512" s="71" t="s">
        <v>189</v>
      </c>
      <c r="C512" s="71" t="s">
        <v>187</v>
      </c>
      <c r="D512" s="71" t="s">
        <v>185</v>
      </c>
      <c r="E512" s="71" t="s">
        <v>47</v>
      </c>
      <c r="F512" s="71" t="s">
        <v>300</v>
      </c>
      <c r="G512" s="88">
        <v>46261.694085648203</v>
      </c>
      <c r="H512" s="89">
        <v>46261</v>
      </c>
      <c r="I512" s="71" t="s">
        <v>308</v>
      </c>
      <c r="J512" s="71">
        <v>0</v>
      </c>
      <c r="K512" s="71" t="s">
        <v>302</v>
      </c>
      <c r="L512" s="71">
        <f t="shared" si="63"/>
        <v>8</v>
      </c>
      <c r="M512" s="71" t="str">
        <f>IFERROR(INDEX(KALENDER!$D$3:$D$132,MATCH(H512,KALENDER!$A$3:$A$132,0)),"Di luar periode")</f>
        <v>Hari Kerja</v>
      </c>
      <c r="N512" s="71">
        <f t="shared" si="64"/>
        <v>0</v>
      </c>
      <c r="O512" s="71">
        <f t="shared" si="65"/>
        <v>1</v>
      </c>
      <c r="P512" s="71">
        <f t="shared" si="66"/>
        <v>0</v>
      </c>
      <c r="Q512" s="71">
        <f t="shared" si="67"/>
        <v>0</v>
      </c>
      <c r="R512" s="71">
        <f t="shared" si="68"/>
        <v>0</v>
      </c>
      <c r="S512" s="71">
        <f t="shared" si="69"/>
        <v>0</v>
      </c>
      <c r="T512" s="71">
        <f t="shared" si="70"/>
        <v>0</v>
      </c>
      <c r="U512" s="71">
        <f>IF(AND(N512=1,V512=1),IF(COUNTIFS(AKTIVITAS!$B$2:$B$3052,B512,AKTIVITAS!$E$2:$E$3052,H512)&gt;0,1,0),0)</f>
        <v>0</v>
      </c>
      <c r="V512" s="71">
        <f>IFERROR(IF(AND(H512&gt;=INDEX(PEMAGANG!$J$3:$J$36,MATCH(B512,PEMAGANG!$C$3:$C$36,0)),H512&lt;=INDEX(PEMAGANG!$K$3:$K$36,MATCH(B512,PEMAGANG!$C$3:$C$36,0))),1,0),0)</f>
        <v>1</v>
      </c>
      <c r="W512" s="71">
        <f t="shared" si="71"/>
        <v>0</v>
      </c>
    </row>
    <row r="513" spans="1:23" x14ac:dyDescent="0.2">
      <c r="A513" s="71" t="s">
        <v>188</v>
      </c>
      <c r="B513" s="71" t="s">
        <v>189</v>
      </c>
      <c r="C513" s="71" t="s">
        <v>187</v>
      </c>
      <c r="D513" s="71" t="s">
        <v>185</v>
      </c>
      <c r="E513" s="71" t="s">
        <v>47</v>
      </c>
      <c r="F513" s="71" t="s">
        <v>298</v>
      </c>
      <c r="G513" s="88">
        <v>46262.3114236111</v>
      </c>
      <c r="H513" s="89">
        <v>46262</v>
      </c>
      <c r="I513" s="71" t="s">
        <v>377</v>
      </c>
      <c r="J513" s="71">
        <v>-32</v>
      </c>
      <c r="K513" s="71" t="s">
        <v>302</v>
      </c>
      <c r="L513" s="71">
        <f t="shared" si="63"/>
        <v>8</v>
      </c>
      <c r="M513" s="71" t="str">
        <f>IFERROR(INDEX(KALENDER!$D$3:$D$132,MATCH(H513,KALENDER!$A$3:$A$132,0)),"Di luar periode")</f>
        <v>Hari Kerja</v>
      </c>
      <c r="N513" s="71">
        <f t="shared" si="64"/>
        <v>1</v>
      </c>
      <c r="O513" s="71">
        <f t="shared" si="65"/>
        <v>1</v>
      </c>
      <c r="P513" s="71">
        <f t="shared" si="66"/>
        <v>1</v>
      </c>
      <c r="Q513" s="71">
        <f t="shared" si="67"/>
        <v>0</v>
      </c>
      <c r="R513" s="71">
        <f t="shared" si="68"/>
        <v>0</v>
      </c>
      <c r="S513" s="71">
        <f t="shared" si="69"/>
        <v>0</v>
      </c>
      <c r="T513" s="71">
        <f t="shared" si="70"/>
        <v>0</v>
      </c>
      <c r="U513" s="71">
        <f>IF(AND(N513=1,V513=1),IF(COUNTIFS(AKTIVITAS!$B$2:$B$3052,B513,AKTIVITAS!$E$2:$E$3052,H513)&gt;0,1,0),0)</f>
        <v>1</v>
      </c>
      <c r="V513" s="71">
        <f>IFERROR(IF(AND(H513&gt;=INDEX(PEMAGANG!$J$3:$J$36,MATCH(B513,PEMAGANG!$C$3:$C$36,0)),H513&lt;=INDEX(PEMAGANG!$K$3:$K$36,MATCH(B513,PEMAGANG!$C$3:$C$36,0))),1,0),0)</f>
        <v>1</v>
      </c>
      <c r="W513" s="71">
        <f t="shared" si="71"/>
        <v>1</v>
      </c>
    </row>
    <row r="514" spans="1:23" x14ac:dyDescent="0.2">
      <c r="A514" s="71" t="s">
        <v>188</v>
      </c>
      <c r="B514" s="71" t="s">
        <v>189</v>
      </c>
      <c r="C514" s="71" t="s">
        <v>187</v>
      </c>
      <c r="D514" s="71" t="s">
        <v>185</v>
      </c>
      <c r="E514" s="71" t="s">
        <v>47</v>
      </c>
      <c r="F514" s="71" t="s">
        <v>300</v>
      </c>
      <c r="G514" s="88">
        <v>46262.733599537001</v>
      </c>
      <c r="H514" s="89">
        <v>46262</v>
      </c>
      <c r="I514" s="71" t="s">
        <v>415</v>
      </c>
      <c r="J514" s="71">
        <v>0</v>
      </c>
      <c r="K514" s="71" t="s">
        <v>302</v>
      </c>
      <c r="L514" s="71">
        <f t="shared" ref="L514:L577" si="72">MONTH(H514)</f>
        <v>8</v>
      </c>
      <c r="M514" s="71" t="str">
        <f>IFERROR(INDEX(KALENDER!$D$3:$D$132,MATCH(H514,KALENDER!$A$3:$A$132,0)),"Di luar periode")</f>
        <v>Hari Kerja</v>
      </c>
      <c r="N514" s="71">
        <f t="shared" ref="N514:N577" si="73">IF(AND(B514=B513,H514=H513),0,1)</f>
        <v>0</v>
      </c>
      <c r="O514" s="71">
        <f t="shared" ref="O514:O577" si="74">IF(N514=1,0,O513)+IF(F514="MASUK",1,0)</f>
        <v>1</v>
      </c>
      <c r="P514" s="71">
        <f t="shared" ref="P514:P577" si="75">IF(AND(N514=1,M514="Hari Kerja",V514=1),1,0)</f>
        <v>0</v>
      </c>
      <c r="Q514" s="71">
        <f t="shared" ref="Q514:Q577" si="76">IF(AND(N514=1,OR(M514&lt;&gt;"Hari Kerja",V514=0)),1,0)</f>
        <v>0</v>
      </c>
      <c r="R514" s="71">
        <f t="shared" ref="R514:R577" si="77">IF(AND(F514="MASUK",O514=1,N(J514)&gt;0,V514=1),1,0)</f>
        <v>0</v>
      </c>
      <c r="S514" s="71">
        <f t="shared" ref="S514:S577" si="78">R514*N(J514)</f>
        <v>0</v>
      </c>
      <c r="T514" s="71">
        <f t="shared" ref="T514:T577" si="79">IF(AND(N514=1,V514=1),IF(AND(COUNTIFS($B$2:$B$4094,B514,$H$2:$H$4094,H514,$F$2:$F$4094,"MASUK")&gt;0,COUNTIFS($B$2:$B$4094,B514,$H$2:$H$4094,H514,$F$2:$F$4094,"PULANG")=0),1,0),0)</f>
        <v>0</v>
      </c>
      <c r="U514" s="71">
        <f>IF(AND(N514=1,V514=1),IF(COUNTIFS(AKTIVITAS!$B$2:$B$3052,B514,AKTIVITAS!$E$2:$E$3052,H514)&gt;0,1,0),0)</f>
        <v>0</v>
      </c>
      <c r="V514" s="71">
        <f>IFERROR(IF(AND(H514&gt;=INDEX(PEMAGANG!$J$3:$J$36,MATCH(B514,PEMAGANG!$C$3:$C$36,0)),H514&lt;=INDEX(PEMAGANG!$K$3:$K$36,MATCH(B514,PEMAGANG!$C$3:$C$36,0))),1,0),0)</f>
        <v>1</v>
      </c>
      <c r="W514" s="71">
        <f t="shared" ref="W514:W577" si="80">N514*V514</f>
        <v>0</v>
      </c>
    </row>
    <row r="515" spans="1:23" x14ac:dyDescent="0.2">
      <c r="A515" s="71" t="s">
        <v>188</v>
      </c>
      <c r="B515" s="71" t="s">
        <v>189</v>
      </c>
      <c r="C515" s="71" t="s">
        <v>187</v>
      </c>
      <c r="D515" s="71" t="s">
        <v>185</v>
      </c>
      <c r="E515" s="71" t="s">
        <v>47</v>
      </c>
      <c r="F515" s="71" t="s">
        <v>298</v>
      </c>
      <c r="G515" s="88">
        <v>46265.301747685196</v>
      </c>
      <c r="H515" s="89">
        <v>46265</v>
      </c>
      <c r="I515" s="71" t="s">
        <v>416</v>
      </c>
      <c r="J515" s="71">
        <v>-46</v>
      </c>
      <c r="K515" s="71" t="s">
        <v>302</v>
      </c>
      <c r="L515" s="71">
        <f t="shared" si="72"/>
        <v>8</v>
      </c>
      <c r="M515" s="71" t="str">
        <f>IFERROR(INDEX(KALENDER!$D$3:$D$132,MATCH(H515,KALENDER!$A$3:$A$132,0)),"Di luar periode")</f>
        <v>Hari Kerja</v>
      </c>
      <c r="N515" s="71">
        <f t="shared" si="73"/>
        <v>1</v>
      </c>
      <c r="O515" s="71">
        <f t="shared" si="74"/>
        <v>1</v>
      </c>
      <c r="P515" s="71">
        <f t="shared" si="75"/>
        <v>1</v>
      </c>
      <c r="Q515" s="71">
        <f t="shared" si="76"/>
        <v>0</v>
      </c>
      <c r="R515" s="71">
        <f t="shared" si="77"/>
        <v>0</v>
      </c>
      <c r="S515" s="71">
        <f t="shared" si="78"/>
        <v>0</v>
      </c>
      <c r="T515" s="71">
        <f t="shared" si="79"/>
        <v>0</v>
      </c>
      <c r="U515" s="71">
        <f>IF(AND(N515=1,V515=1),IF(COUNTIFS(AKTIVITAS!$B$2:$B$3052,B515,AKTIVITAS!$E$2:$E$3052,H515)&gt;0,1,0),0)</f>
        <v>1</v>
      </c>
      <c r="V515" s="71">
        <f>IFERROR(IF(AND(H515&gt;=INDEX(PEMAGANG!$J$3:$J$36,MATCH(B515,PEMAGANG!$C$3:$C$36,0)),H515&lt;=INDEX(PEMAGANG!$K$3:$K$36,MATCH(B515,PEMAGANG!$C$3:$C$36,0))),1,0),0)</f>
        <v>1</v>
      </c>
      <c r="W515" s="71">
        <f t="shared" si="80"/>
        <v>1</v>
      </c>
    </row>
    <row r="516" spans="1:23" x14ac:dyDescent="0.2">
      <c r="A516" s="71" t="s">
        <v>188</v>
      </c>
      <c r="B516" s="71" t="s">
        <v>189</v>
      </c>
      <c r="C516" s="71" t="s">
        <v>187</v>
      </c>
      <c r="D516" s="71" t="s">
        <v>185</v>
      </c>
      <c r="E516" s="71" t="s">
        <v>47</v>
      </c>
      <c r="F516" s="71" t="s">
        <v>300</v>
      </c>
      <c r="G516" s="88">
        <v>46265.697673611103</v>
      </c>
      <c r="H516" s="89">
        <v>46265</v>
      </c>
      <c r="I516" s="71" t="s">
        <v>312</v>
      </c>
      <c r="J516" s="71">
        <v>0</v>
      </c>
      <c r="K516" s="71" t="s">
        <v>302</v>
      </c>
      <c r="L516" s="71">
        <f t="shared" si="72"/>
        <v>8</v>
      </c>
      <c r="M516" s="71" t="str">
        <f>IFERROR(INDEX(KALENDER!$D$3:$D$132,MATCH(H516,KALENDER!$A$3:$A$132,0)),"Di luar periode")</f>
        <v>Hari Kerja</v>
      </c>
      <c r="N516" s="71">
        <f t="shared" si="73"/>
        <v>0</v>
      </c>
      <c r="O516" s="71">
        <f t="shared" si="74"/>
        <v>1</v>
      </c>
      <c r="P516" s="71">
        <f t="shared" si="75"/>
        <v>0</v>
      </c>
      <c r="Q516" s="71">
        <f t="shared" si="76"/>
        <v>0</v>
      </c>
      <c r="R516" s="71">
        <f t="shared" si="77"/>
        <v>0</v>
      </c>
      <c r="S516" s="71">
        <f t="shared" si="78"/>
        <v>0</v>
      </c>
      <c r="T516" s="71">
        <f t="shared" si="79"/>
        <v>0</v>
      </c>
      <c r="U516" s="71">
        <f>IF(AND(N516=1,V516=1),IF(COUNTIFS(AKTIVITAS!$B$2:$B$3052,B516,AKTIVITAS!$E$2:$E$3052,H516)&gt;0,1,0),0)</f>
        <v>0</v>
      </c>
      <c r="V516" s="71">
        <f>IFERROR(IF(AND(H516&gt;=INDEX(PEMAGANG!$J$3:$J$36,MATCH(B516,PEMAGANG!$C$3:$C$36,0)),H516&lt;=INDEX(PEMAGANG!$K$3:$K$36,MATCH(B516,PEMAGANG!$C$3:$C$36,0))),1,0),0)</f>
        <v>1</v>
      </c>
      <c r="W516" s="71">
        <f t="shared" si="80"/>
        <v>0</v>
      </c>
    </row>
    <row r="517" spans="1:23" x14ac:dyDescent="0.2">
      <c r="A517" s="71" t="s">
        <v>188</v>
      </c>
      <c r="B517" s="71" t="s">
        <v>189</v>
      </c>
      <c r="C517" s="71" t="s">
        <v>187</v>
      </c>
      <c r="D517" s="71" t="s">
        <v>185</v>
      </c>
      <c r="E517" s="71" t="s">
        <v>47</v>
      </c>
      <c r="F517" s="71" t="s">
        <v>298</v>
      </c>
      <c r="G517" s="88">
        <v>46266.312777777799</v>
      </c>
      <c r="H517" s="89">
        <v>46266</v>
      </c>
      <c r="I517" s="71" t="s">
        <v>335</v>
      </c>
      <c r="J517" s="71">
        <v>-30</v>
      </c>
      <c r="K517" s="71" t="s">
        <v>302</v>
      </c>
      <c r="L517" s="71">
        <f t="shared" si="72"/>
        <v>9</v>
      </c>
      <c r="M517" s="71" t="str">
        <f>IFERROR(INDEX(KALENDER!$D$3:$D$132,MATCH(H517,KALENDER!$A$3:$A$132,0)),"Di luar periode")</f>
        <v>Hari Kerja</v>
      </c>
      <c r="N517" s="71">
        <f t="shared" si="73"/>
        <v>1</v>
      </c>
      <c r="O517" s="71">
        <f t="shared" si="74"/>
        <v>1</v>
      </c>
      <c r="P517" s="71">
        <f t="shared" si="75"/>
        <v>1</v>
      </c>
      <c r="Q517" s="71">
        <f t="shared" si="76"/>
        <v>0</v>
      </c>
      <c r="R517" s="71">
        <f t="shared" si="77"/>
        <v>0</v>
      </c>
      <c r="S517" s="71">
        <f t="shared" si="78"/>
        <v>0</v>
      </c>
      <c r="T517" s="71">
        <f t="shared" si="79"/>
        <v>0</v>
      </c>
      <c r="U517" s="71">
        <f>IF(AND(N517=1,V517=1),IF(COUNTIFS(AKTIVITAS!$B$2:$B$3052,B517,AKTIVITAS!$E$2:$E$3052,H517)&gt;0,1,0),0)</f>
        <v>1</v>
      </c>
      <c r="V517" s="71">
        <f>IFERROR(IF(AND(H517&gt;=INDEX(PEMAGANG!$J$3:$J$36,MATCH(B517,PEMAGANG!$C$3:$C$36,0)),H517&lt;=INDEX(PEMAGANG!$K$3:$K$36,MATCH(B517,PEMAGANG!$C$3:$C$36,0))),1,0),0)</f>
        <v>1</v>
      </c>
      <c r="W517" s="71">
        <f t="shared" si="80"/>
        <v>1</v>
      </c>
    </row>
    <row r="518" spans="1:23" x14ac:dyDescent="0.2">
      <c r="A518" s="71" t="s">
        <v>188</v>
      </c>
      <c r="B518" s="71" t="s">
        <v>189</v>
      </c>
      <c r="C518" s="71" t="s">
        <v>187</v>
      </c>
      <c r="D518" s="71" t="s">
        <v>185</v>
      </c>
      <c r="E518" s="71" t="s">
        <v>47</v>
      </c>
      <c r="F518" s="71" t="s">
        <v>300</v>
      </c>
      <c r="G518" s="88">
        <v>46266.689895833297</v>
      </c>
      <c r="H518" s="89">
        <v>46266</v>
      </c>
      <c r="I518" s="71" t="s">
        <v>316</v>
      </c>
      <c r="J518" s="71">
        <v>0</v>
      </c>
      <c r="K518" s="71" t="s">
        <v>302</v>
      </c>
      <c r="L518" s="71">
        <f t="shared" si="72"/>
        <v>9</v>
      </c>
      <c r="M518" s="71" t="str">
        <f>IFERROR(INDEX(KALENDER!$D$3:$D$132,MATCH(H518,KALENDER!$A$3:$A$132,0)),"Di luar periode")</f>
        <v>Hari Kerja</v>
      </c>
      <c r="N518" s="71">
        <f t="shared" si="73"/>
        <v>0</v>
      </c>
      <c r="O518" s="71">
        <f t="shared" si="74"/>
        <v>1</v>
      </c>
      <c r="P518" s="71">
        <f t="shared" si="75"/>
        <v>0</v>
      </c>
      <c r="Q518" s="71">
        <f t="shared" si="76"/>
        <v>0</v>
      </c>
      <c r="R518" s="71">
        <f t="shared" si="77"/>
        <v>0</v>
      </c>
      <c r="S518" s="71">
        <f t="shared" si="78"/>
        <v>0</v>
      </c>
      <c r="T518" s="71">
        <f t="shared" si="79"/>
        <v>0</v>
      </c>
      <c r="U518" s="71">
        <f>IF(AND(N518=1,V518=1),IF(COUNTIFS(AKTIVITAS!$B$2:$B$3052,B518,AKTIVITAS!$E$2:$E$3052,H518)&gt;0,1,0),0)</f>
        <v>0</v>
      </c>
      <c r="V518" s="71">
        <f>IFERROR(IF(AND(H518&gt;=INDEX(PEMAGANG!$J$3:$J$36,MATCH(B518,PEMAGANG!$C$3:$C$36,0)),H518&lt;=INDEX(PEMAGANG!$K$3:$K$36,MATCH(B518,PEMAGANG!$C$3:$C$36,0))),1,0),0)</f>
        <v>1</v>
      </c>
      <c r="W518" s="71">
        <f t="shared" si="80"/>
        <v>0</v>
      </c>
    </row>
    <row r="519" spans="1:23" x14ac:dyDescent="0.2">
      <c r="A519" s="71" t="s">
        <v>188</v>
      </c>
      <c r="B519" s="71" t="s">
        <v>189</v>
      </c>
      <c r="C519" s="71" t="s">
        <v>187</v>
      </c>
      <c r="D519" s="71" t="s">
        <v>185</v>
      </c>
      <c r="E519" s="71" t="s">
        <v>47</v>
      </c>
      <c r="F519" s="71" t="s">
        <v>298</v>
      </c>
      <c r="G519" s="88">
        <v>46267.303622685198</v>
      </c>
      <c r="H519" s="89">
        <v>46267</v>
      </c>
      <c r="I519" s="71" t="s">
        <v>331</v>
      </c>
      <c r="J519" s="71">
        <v>-43</v>
      </c>
      <c r="K519" s="71" t="s">
        <v>302</v>
      </c>
      <c r="L519" s="71">
        <f t="shared" si="72"/>
        <v>9</v>
      </c>
      <c r="M519" s="71" t="str">
        <f>IFERROR(INDEX(KALENDER!$D$3:$D$132,MATCH(H519,KALENDER!$A$3:$A$132,0)),"Di luar periode")</f>
        <v>Hari Kerja</v>
      </c>
      <c r="N519" s="71">
        <f t="shared" si="73"/>
        <v>1</v>
      </c>
      <c r="O519" s="71">
        <f t="shared" si="74"/>
        <v>1</v>
      </c>
      <c r="P519" s="71">
        <f t="shared" si="75"/>
        <v>1</v>
      </c>
      <c r="Q519" s="71">
        <f t="shared" si="76"/>
        <v>0</v>
      </c>
      <c r="R519" s="71">
        <f t="shared" si="77"/>
        <v>0</v>
      </c>
      <c r="S519" s="71">
        <f t="shared" si="78"/>
        <v>0</v>
      </c>
      <c r="T519" s="71">
        <f t="shared" si="79"/>
        <v>0</v>
      </c>
      <c r="U519" s="71">
        <f>IF(AND(N519=1,V519=1),IF(COUNTIFS(AKTIVITAS!$B$2:$B$3052,B519,AKTIVITAS!$E$2:$E$3052,H519)&gt;0,1,0),0)</f>
        <v>1</v>
      </c>
      <c r="V519" s="71">
        <f>IFERROR(IF(AND(H519&gt;=INDEX(PEMAGANG!$J$3:$J$36,MATCH(B519,PEMAGANG!$C$3:$C$36,0)),H519&lt;=INDEX(PEMAGANG!$K$3:$K$36,MATCH(B519,PEMAGANG!$C$3:$C$36,0))),1,0),0)</f>
        <v>1</v>
      </c>
      <c r="W519" s="71">
        <f t="shared" si="80"/>
        <v>1</v>
      </c>
    </row>
    <row r="520" spans="1:23" x14ac:dyDescent="0.2">
      <c r="A520" s="71" t="s">
        <v>188</v>
      </c>
      <c r="B520" s="71" t="s">
        <v>189</v>
      </c>
      <c r="C520" s="71" t="s">
        <v>187</v>
      </c>
      <c r="D520" s="71" t="s">
        <v>185</v>
      </c>
      <c r="E520" s="71" t="s">
        <v>47</v>
      </c>
      <c r="F520" s="71" t="s">
        <v>300</v>
      </c>
      <c r="G520" s="88">
        <v>46267.692673611098</v>
      </c>
      <c r="H520" s="89">
        <v>46267</v>
      </c>
      <c r="I520" s="71" t="s">
        <v>328</v>
      </c>
      <c r="J520" s="71">
        <v>0</v>
      </c>
      <c r="K520" s="71" t="s">
        <v>302</v>
      </c>
      <c r="L520" s="71">
        <f t="shared" si="72"/>
        <v>9</v>
      </c>
      <c r="M520" s="71" t="str">
        <f>IFERROR(INDEX(KALENDER!$D$3:$D$132,MATCH(H520,KALENDER!$A$3:$A$132,0)),"Di luar periode")</f>
        <v>Hari Kerja</v>
      </c>
      <c r="N520" s="71">
        <f t="shared" si="73"/>
        <v>0</v>
      </c>
      <c r="O520" s="71">
        <f t="shared" si="74"/>
        <v>1</v>
      </c>
      <c r="P520" s="71">
        <f t="shared" si="75"/>
        <v>0</v>
      </c>
      <c r="Q520" s="71">
        <f t="shared" si="76"/>
        <v>0</v>
      </c>
      <c r="R520" s="71">
        <f t="shared" si="77"/>
        <v>0</v>
      </c>
      <c r="S520" s="71">
        <f t="shared" si="78"/>
        <v>0</v>
      </c>
      <c r="T520" s="71">
        <f t="shared" si="79"/>
        <v>0</v>
      </c>
      <c r="U520" s="71">
        <f>IF(AND(N520=1,V520=1),IF(COUNTIFS(AKTIVITAS!$B$2:$B$3052,B520,AKTIVITAS!$E$2:$E$3052,H520)&gt;0,1,0),0)</f>
        <v>0</v>
      </c>
      <c r="V520" s="71">
        <f>IFERROR(IF(AND(H520&gt;=INDEX(PEMAGANG!$J$3:$J$36,MATCH(B520,PEMAGANG!$C$3:$C$36,0)),H520&lt;=INDEX(PEMAGANG!$K$3:$K$36,MATCH(B520,PEMAGANG!$C$3:$C$36,0))),1,0),0)</f>
        <v>1</v>
      </c>
      <c r="W520" s="71">
        <f t="shared" si="80"/>
        <v>0</v>
      </c>
    </row>
    <row r="521" spans="1:23" x14ac:dyDescent="0.2">
      <c r="A521" s="71" t="s">
        <v>188</v>
      </c>
      <c r="B521" s="71" t="s">
        <v>189</v>
      </c>
      <c r="C521" s="71" t="s">
        <v>187</v>
      </c>
      <c r="D521" s="71" t="s">
        <v>185</v>
      </c>
      <c r="E521" s="71" t="s">
        <v>47</v>
      </c>
      <c r="F521" s="71" t="s">
        <v>298</v>
      </c>
      <c r="G521" s="88">
        <v>46268.3102083333</v>
      </c>
      <c r="H521" s="89">
        <v>46268</v>
      </c>
      <c r="I521" s="71" t="s">
        <v>315</v>
      </c>
      <c r="J521" s="71">
        <v>-34</v>
      </c>
      <c r="K521" s="71" t="s">
        <v>302</v>
      </c>
      <c r="L521" s="71">
        <f t="shared" si="72"/>
        <v>9</v>
      </c>
      <c r="M521" s="71" t="str">
        <f>IFERROR(INDEX(KALENDER!$D$3:$D$132,MATCH(H521,KALENDER!$A$3:$A$132,0)),"Di luar periode")</f>
        <v>Hari Kerja</v>
      </c>
      <c r="N521" s="71">
        <f t="shared" si="73"/>
        <v>1</v>
      </c>
      <c r="O521" s="71">
        <f t="shared" si="74"/>
        <v>1</v>
      </c>
      <c r="P521" s="71">
        <f t="shared" si="75"/>
        <v>1</v>
      </c>
      <c r="Q521" s="71">
        <f t="shared" si="76"/>
        <v>0</v>
      </c>
      <c r="R521" s="71">
        <f t="shared" si="77"/>
        <v>0</v>
      </c>
      <c r="S521" s="71">
        <f t="shared" si="78"/>
        <v>0</v>
      </c>
      <c r="T521" s="71">
        <f t="shared" si="79"/>
        <v>0</v>
      </c>
      <c r="U521" s="71">
        <f>IF(AND(N521=1,V521=1),IF(COUNTIFS(AKTIVITAS!$B$2:$B$3052,B521,AKTIVITAS!$E$2:$E$3052,H521)&gt;0,1,0),0)</f>
        <v>1</v>
      </c>
      <c r="V521" s="71">
        <f>IFERROR(IF(AND(H521&gt;=INDEX(PEMAGANG!$J$3:$J$36,MATCH(B521,PEMAGANG!$C$3:$C$36,0)),H521&lt;=INDEX(PEMAGANG!$K$3:$K$36,MATCH(B521,PEMAGANG!$C$3:$C$36,0))),1,0),0)</f>
        <v>1</v>
      </c>
      <c r="W521" s="71">
        <f t="shared" si="80"/>
        <v>1</v>
      </c>
    </row>
    <row r="522" spans="1:23" x14ac:dyDescent="0.2">
      <c r="A522" s="71" t="s">
        <v>188</v>
      </c>
      <c r="B522" s="71" t="s">
        <v>189</v>
      </c>
      <c r="C522" s="71" t="s">
        <v>187</v>
      </c>
      <c r="D522" s="71" t="s">
        <v>185</v>
      </c>
      <c r="E522" s="71" t="s">
        <v>47</v>
      </c>
      <c r="F522" s="71" t="s">
        <v>300</v>
      </c>
      <c r="G522" s="88">
        <v>46268.697812500002</v>
      </c>
      <c r="H522" s="89">
        <v>46268</v>
      </c>
      <c r="I522" s="71" t="s">
        <v>312</v>
      </c>
      <c r="J522" s="71">
        <v>0</v>
      </c>
      <c r="K522" s="71" t="s">
        <v>302</v>
      </c>
      <c r="L522" s="71">
        <f t="shared" si="72"/>
        <v>9</v>
      </c>
      <c r="M522" s="71" t="str">
        <f>IFERROR(INDEX(KALENDER!$D$3:$D$132,MATCH(H522,KALENDER!$A$3:$A$132,0)),"Di luar periode")</f>
        <v>Hari Kerja</v>
      </c>
      <c r="N522" s="71">
        <f t="shared" si="73"/>
        <v>0</v>
      </c>
      <c r="O522" s="71">
        <f t="shared" si="74"/>
        <v>1</v>
      </c>
      <c r="P522" s="71">
        <f t="shared" si="75"/>
        <v>0</v>
      </c>
      <c r="Q522" s="71">
        <f t="shared" si="76"/>
        <v>0</v>
      </c>
      <c r="R522" s="71">
        <f t="shared" si="77"/>
        <v>0</v>
      </c>
      <c r="S522" s="71">
        <f t="shared" si="78"/>
        <v>0</v>
      </c>
      <c r="T522" s="71">
        <f t="shared" si="79"/>
        <v>0</v>
      </c>
      <c r="U522" s="71">
        <f>IF(AND(N522=1,V522=1),IF(COUNTIFS(AKTIVITAS!$B$2:$B$3052,B522,AKTIVITAS!$E$2:$E$3052,H522)&gt;0,1,0),0)</f>
        <v>0</v>
      </c>
      <c r="V522" s="71">
        <f>IFERROR(IF(AND(H522&gt;=INDEX(PEMAGANG!$J$3:$J$36,MATCH(B522,PEMAGANG!$C$3:$C$36,0)),H522&lt;=INDEX(PEMAGANG!$K$3:$K$36,MATCH(B522,PEMAGANG!$C$3:$C$36,0))),1,0),0)</f>
        <v>1</v>
      </c>
      <c r="W522" s="71">
        <f t="shared" si="80"/>
        <v>0</v>
      </c>
    </row>
    <row r="523" spans="1:23" x14ac:dyDescent="0.2">
      <c r="A523" s="71" t="s">
        <v>188</v>
      </c>
      <c r="B523" s="71" t="s">
        <v>189</v>
      </c>
      <c r="C523" s="71" t="s">
        <v>187</v>
      </c>
      <c r="D523" s="71" t="s">
        <v>185</v>
      </c>
      <c r="E523" s="71" t="s">
        <v>47</v>
      </c>
      <c r="F523" s="71" t="s">
        <v>300</v>
      </c>
      <c r="G523" s="88">
        <v>46269.693055555603</v>
      </c>
      <c r="H523" s="89">
        <v>46269</v>
      </c>
      <c r="I523" s="71" t="s">
        <v>317</v>
      </c>
      <c r="J523" s="71">
        <v>0</v>
      </c>
      <c r="K523" s="71" t="s">
        <v>302</v>
      </c>
      <c r="L523" s="71">
        <f t="shared" si="72"/>
        <v>9</v>
      </c>
      <c r="M523" s="71" t="str">
        <f>IFERROR(INDEX(KALENDER!$D$3:$D$132,MATCH(H523,KALENDER!$A$3:$A$132,0)),"Di luar periode")</f>
        <v>Hari Kerja</v>
      </c>
      <c r="N523" s="71">
        <f t="shared" si="73"/>
        <v>1</v>
      </c>
      <c r="O523" s="71">
        <f t="shared" si="74"/>
        <v>0</v>
      </c>
      <c r="P523" s="71">
        <f t="shared" si="75"/>
        <v>1</v>
      </c>
      <c r="Q523" s="71">
        <f t="shared" si="76"/>
        <v>0</v>
      </c>
      <c r="R523" s="71">
        <f t="shared" si="77"/>
        <v>0</v>
      </c>
      <c r="S523" s="71">
        <f t="shared" si="78"/>
        <v>0</v>
      </c>
      <c r="T523" s="71">
        <f t="shared" si="79"/>
        <v>0</v>
      </c>
      <c r="U523" s="71">
        <f>IF(AND(N523=1,V523=1),IF(COUNTIFS(AKTIVITAS!$B$2:$B$3052,B523,AKTIVITAS!$E$2:$E$3052,H523)&gt;0,1,0),0)</f>
        <v>1</v>
      </c>
      <c r="V523" s="71">
        <f>IFERROR(IF(AND(H523&gt;=INDEX(PEMAGANG!$J$3:$J$36,MATCH(B523,PEMAGANG!$C$3:$C$36,0)),H523&lt;=INDEX(PEMAGANG!$K$3:$K$36,MATCH(B523,PEMAGANG!$C$3:$C$36,0))),1,0),0)</f>
        <v>1</v>
      </c>
      <c r="W523" s="71">
        <f t="shared" si="80"/>
        <v>1</v>
      </c>
    </row>
    <row r="524" spans="1:23" x14ac:dyDescent="0.2">
      <c r="A524" s="71" t="s">
        <v>188</v>
      </c>
      <c r="B524" s="71" t="s">
        <v>189</v>
      </c>
      <c r="C524" s="71" t="s">
        <v>187</v>
      </c>
      <c r="D524" s="71" t="s">
        <v>185</v>
      </c>
      <c r="E524" s="71" t="s">
        <v>47</v>
      </c>
      <c r="F524" s="71" t="s">
        <v>298</v>
      </c>
      <c r="G524" s="88">
        <v>46272.310462963003</v>
      </c>
      <c r="H524" s="89">
        <v>46272</v>
      </c>
      <c r="I524" s="71" t="s">
        <v>309</v>
      </c>
      <c r="J524" s="71">
        <v>-33</v>
      </c>
      <c r="K524" s="71" t="s">
        <v>302</v>
      </c>
      <c r="L524" s="71">
        <f t="shared" si="72"/>
        <v>9</v>
      </c>
      <c r="M524" s="71" t="str">
        <f>IFERROR(INDEX(KALENDER!$D$3:$D$132,MATCH(H524,KALENDER!$A$3:$A$132,0)),"Di luar periode")</f>
        <v>Hari Kerja</v>
      </c>
      <c r="N524" s="71">
        <f t="shared" si="73"/>
        <v>1</v>
      </c>
      <c r="O524" s="71">
        <f t="shared" si="74"/>
        <v>1</v>
      </c>
      <c r="P524" s="71">
        <f t="shared" si="75"/>
        <v>1</v>
      </c>
      <c r="Q524" s="71">
        <f t="shared" si="76"/>
        <v>0</v>
      </c>
      <c r="R524" s="71">
        <f t="shared" si="77"/>
        <v>0</v>
      </c>
      <c r="S524" s="71">
        <f t="shared" si="78"/>
        <v>0</v>
      </c>
      <c r="T524" s="71">
        <f t="shared" si="79"/>
        <v>0</v>
      </c>
      <c r="U524" s="71">
        <f>IF(AND(N524=1,V524=1),IF(COUNTIFS(AKTIVITAS!$B$2:$B$3052,B524,AKTIVITAS!$E$2:$E$3052,H524)&gt;0,1,0),0)</f>
        <v>0</v>
      </c>
      <c r="V524" s="71">
        <f>IFERROR(IF(AND(H524&gt;=INDEX(PEMAGANG!$J$3:$J$36,MATCH(B524,PEMAGANG!$C$3:$C$36,0)),H524&lt;=INDEX(PEMAGANG!$K$3:$K$36,MATCH(B524,PEMAGANG!$C$3:$C$36,0))),1,0),0)</f>
        <v>1</v>
      </c>
      <c r="W524" s="71">
        <f t="shared" si="80"/>
        <v>1</v>
      </c>
    </row>
    <row r="525" spans="1:23" x14ac:dyDescent="0.2">
      <c r="A525" s="71" t="s">
        <v>188</v>
      </c>
      <c r="B525" s="71" t="s">
        <v>189</v>
      </c>
      <c r="C525" s="71" t="s">
        <v>187</v>
      </c>
      <c r="D525" s="71" t="s">
        <v>185</v>
      </c>
      <c r="E525" s="71" t="s">
        <v>47</v>
      </c>
      <c r="F525" s="71" t="s">
        <v>300</v>
      </c>
      <c r="G525" s="88">
        <v>46272.720543981501</v>
      </c>
      <c r="H525" s="89">
        <v>46272</v>
      </c>
      <c r="I525" s="71" t="s">
        <v>405</v>
      </c>
      <c r="J525" s="71">
        <v>0</v>
      </c>
      <c r="K525" s="71" t="s">
        <v>302</v>
      </c>
      <c r="L525" s="71">
        <f t="shared" si="72"/>
        <v>9</v>
      </c>
      <c r="M525" s="71" t="str">
        <f>IFERROR(INDEX(KALENDER!$D$3:$D$132,MATCH(H525,KALENDER!$A$3:$A$132,0)),"Di luar periode")</f>
        <v>Hari Kerja</v>
      </c>
      <c r="N525" s="71">
        <f t="shared" si="73"/>
        <v>0</v>
      </c>
      <c r="O525" s="71">
        <f t="shared" si="74"/>
        <v>1</v>
      </c>
      <c r="P525" s="71">
        <f t="shared" si="75"/>
        <v>0</v>
      </c>
      <c r="Q525" s="71">
        <f t="shared" si="76"/>
        <v>0</v>
      </c>
      <c r="R525" s="71">
        <f t="shared" si="77"/>
        <v>0</v>
      </c>
      <c r="S525" s="71">
        <f t="shared" si="78"/>
        <v>0</v>
      </c>
      <c r="T525" s="71">
        <f t="shared" si="79"/>
        <v>0</v>
      </c>
      <c r="U525" s="71">
        <f>IF(AND(N525=1,V525=1),IF(COUNTIFS(AKTIVITAS!$B$2:$B$3052,B525,AKTIVITAS!$E$2:$E$3052,H525)&gt;0,1,0),0)</f>
        <v>0</v>
      </c>
      <c r="V525" s="71">
        <f>IFERROR(IF(AND(H525&gt;=INDEX(PEMAGANG!$J$3:$J$36,MATCH(B525,PEMAGANG!$C$3:$C$36,0)),H525&lt;=INDEX(PEMAGANG!$K$3:$K$36,MATCH(B525,PEMAGANG!$C$3:$C$36,0))),1,0),0)</f>
        <v>1</v>
      </c>
      <c r="W525" s="71">
        <f t="shared" si="80"/>
        <v>0</v>
      </c>
    </row>
    <row r="526" spans="1:23" x14ac:dyDescent="0.2">
      <c r="A526" s="71" t="s">
        <v>188</v>
      </c>
      <c r="B526" s="71" t="s">
        <v>189</v>
      </c>
      <c r="C526" s="71" t="s">
        <v>187</v>
      </c>
      <c r="D526" s="71" t="s">
        <v>185</v>
      </c>
      <c r="E526" s="71" t="s">
        <v>47</v>
      </c>
      <c r="F526" s="71" t="s">
        <v>298</v>
      </c>
      <c r="G526" s="88">
        <v>46273.309282407397</v>
      </c>
      <c r="H526" s="89">
        <v>46273</v>
      </c>
      <c r="I526" s="71" t="s">
        <v>307</v>
      </c>
      <c r="J526" s="71">
        <v>-35</v>
      </c>
      <c r="K526" s="71" t="s">
        <v>302</v>
      </c>
      <c r="L526" s="71">
        <f t="shared" si="72"/>
        <v>9</v>
      </c>
      <c r="M526" s="71" t="str">
        <f>IFERROR(INDEX(KALENDER!$D$3:$D$132,MATCH(H526,KALENDER!$A$3:$A$132,0)),"Di luar periode")</f>
        <v>Hari Kerja</v>
      </c>
      <c r="N526" s="71">
        <f t="shared" si="73"/>
        <v>1</v>
      </c>
      <c r="O526" s="71">
        <f t="shared" si="74"/>
        <v>1</v>
      </c>
      <c r="P526" s="71">
        <f t="shared" si="75"/>
        <v>1</v>
      </c>
      <c r="Q526" s="71">
        <f t="shared" si="76"/>
        <v>0</v>
      </c>
      <c r="R526" s="71">
        <f t="shared" si="77"/>
        <v>0</v>
      </c>
      <c r="S526" s="71">
        <f t="shared" si="78"/>
        <v>0</v>
      </c>
      <c r="T526" s="71">
        <f t="shared" si="79"/>
        <v>0</v>
      </c>
      <c r="U526" s="71">
        <f>IF(AND(N526=1,V526=1),IF(COUNTIFS(AKTIVITAS!$B$2:$B$3052,B526,AKTIVITAS!$E$2:$E$3052,H526)&gt;0,1,0),0)</f>
        <v>1</v>
      </c>
      <c r="V526" s="71">
        <f>IFERROR(IF(AND(H526&gt;=INDEX(PEMAGANG!$J$3:$J$36,MATCH(B526,PEMAGANG!$C$3:$C$36,0)),H526&lt;=INDEX(PEMAGANG!$K$3:$K$36,MATCH(B526,PEMAGANG!$C$3:$C$36,0))),1,0),0)</f>
        <v>1</v>
      </c>
      <c r="W526" s="71">
        <f t="shared" si="80"/>
        <v>1</v>
      </c>
    </row>
    <row r="527" spans="1:23" x14ac:dyDescent="0.2">
      <c r="A527" s="71" t="s">
        <v>188</v>
      </c>
      <c r="B527" s="71" t="s">
        <v>189</v>
      </c>
      <c r="C527" s="71" t="s">
        <v>187</v>
      </c>
      <c r="D527" s="71" t="s">
        <v>185</v>
      </c>
      <c r="E527" s="71" t="s">
        <v>47</v>
      </c>
      <c r="F527" s="71" t="s">
        <v>300</v>
      </c>
      <c r="G527" s="88">
        <v>46273.702615740702</v>
      </c>
      <c r="H527" s="89">
        <v>46273</v>
      </c>
      <c r="I527" s="71" t="s">
        <v>323</v>
      </c>
      <c r="J527" s="71">
        <v>0</v>
      </c>
      <c r="K527" s="71" t="s">
        <v>302</v>
      </c>
      <c r="L527" s="71">
        <f t="shared" si="72"/>
        <v>9</v>
      </c>
      <c r="M527" s="71" t="str">
        <f>IFERROR(INDEX(KALENDER!$D$3:$D$132,MATCH(H527,KALENDER!$A$3:$A$132,0)),"Di luar periode")</f>
        <v>Hari Kerja</v>
      </c>
      <c r="N527" s="71">
        <f t="shared" si="73"/>
        <v>0</v>
      </c>
      <c r="O527" s="71">
        <f t="shared" si="74"/>
        <v>1</v>
      </c>
      <c r="P527" s="71">
        <f t="shared" si="75"/>
        <v>0</v>
      </c>
      <c r="Q527" s="71">
        <f t="shared" si="76"/>
        <v>0</v>
      </c>
      <c r="R527" s="71">
        <f t="shared" si="77"/>
        <v>0</v>
      </c>
      <c r="S527" s="71">
        <f t="shared" si="78"/>
        <v>0</v>
      </c>
      <c r="T527" s="71">
        <f t="shared" si="79"/>
        <v>0</v>
      </c>
      <c r="U527" s="71">
        <f>IF(AND(N527=1,V527=1),IF(COUNTIFS(AKTIVITAS!$B$2:$B$3052,B527,AKTIVITAS!$E$2:$E$3052,H527)&gt;0,1,0),0)</f>
        <v>0</v>
      </c>
      <c r="V527" s="71">
        <f>IFERROR(IF(AND(H527&gt;=INDEX(PEMAGANG!$J$3:$J$36,MATCH(B527,PEMAGANG!$C$3:$C$36,0)),H527&lt;=INDEX(PEMAGANG!$K$3:$K$36,MATCH(B527,PEMAGANG!$C$3:$C$36,0))),1,0),0)</f>
        <v>1</v>
      </c>
      <c r="W527" s="71">
        <f t="shared" si="80"/>
        <v>0</v>
      </c>
    </row>
    <row r="528" spans="1:23" x14ac:dyDescent="0.2">
      <c r="A528" s="71" t="s">
        <v>188</v>
      </c>
      <c r="B528" s="71" t="s">
        <v>189</v>
      </c>
      <c r="C528" s="71" t="s">
        <v>187</v>
      </c>
      <c r="D528" s="71" t="s">
        <v>185</v>
      </c>
      <c r="E528" s="71" t="s">
        <v>47</v>
      </c>
      <c r="F528" s="71" t="s">
        <v>298</v>
      </c>
      <c r="G528" s="88">
        <v>46274.314224537004</v>
      </c>
      <c r="H528" s="89">
        <v>46274</v>
      </c>
      <c r="I528" s="71" t="s">
        <v>338</v>
      </c>
      <c r="J528" s="71">
        <v>-28</v>
      </c>
      <c r="K528" s="71" t="s">
        <v>302</v>
      </c>
      <c r="L528" s="71">
        <f t="shared" si="72"/>
        <v>9</v>
      </c>
      <c r="M528" s="71" t="str">
        <f>IFERROR(INDEX(KALENDER!$D$3:$D$132,MATCH(H528,KALENDER!$A$3:$A$132,0)),"Di luar periode")</f>
        <v>Hari Kerja</v>
      </c>
      <c r="N528" s="71">
        <f t="shared" si="73"/>
        <v>1</v>
      </c>
      <c r="O528" s="71">
        <f t="shared" si="74"/>
        <v>1</v>
      </c>
      <c r="P528" s="71">
        <f t="shared" si="75"/>
        <v>1</v>
      </c>
      <c r="Q528" s="71">
        <f t="shared" si="76"/>
        <v>0</v>
      </c>
      <c r="R528" s="71">
        <f t="shared" si="77"/>
        <v>0</v>
      </c>
      <c r="S528" s="71">
        <f t="shared" si="78"/>
        <v>0</v>
      </c>
      <c r="T528" s="71">
        <f t="shared" si="79"/>
        <v>1</v>
      </c>
      <c r="U528" s="71">
        <f>IF(AND(N528=1,V528=1),IF(COUNTIFS(AKTIVITAS!$B$2:$B$3052,B528,AKTIVITAS!$E$2:$E$3052,H528)&gt;0,1,0),0)</f>
        <v>0</v>
      </c>
      <c r="V528" s="71">
        <f>IFERROR(IF(AND(H528&gt;=INDEX(PEMAGANG!$J$3:$J$36,MATCH(B528,PEMAGANG!$C$3:$C$36,0)),H528&lt;=INDEX(PEMAGANG!$K$3:$K$36,MATCH(B528,PEMAGANG!$C$3:$C$36,0))),1,0),0)</f>
        <v>1</v>
      </c>
      <c r="W528" s="71">
        <f t="shared" si="80"/>
        <v>1</v>
      </c>
    </row>
    <row r="529" spans="1:23" x14ac:dyDescent="0.2">
      <c r="A529" s="71" t="s">
        <v>188</v>
      </c>
      <c r="B529" s="71" t="s">
        <v>189</v>
      </c>
      <c r="C529" s="71" t="s">
        <v>187</v>
      </c>
      <c r="D529" s="71" t="s">
        <v>185</v>
      </c>
      <c r="E529" s="71" t="s">
        <v>47</v>
      </c>
      <c r="F529" s="71" t="s">
        <v>298</v>
      </c>
      <c r="G529" s="88">
        <v>46274.314224537004</v>
      </c>
      <c r="H529" s="89">
        <v>46274</v>
      </c>
      <c r="I529" s="71" t="s">
        <v>338</v>
      </c>
      <c r="J529" s="71">
        <v>1.99999999999999</v>
      </c>
      <c r="K529" s="71" t="s">
        <v>293</v>
      </c>
      <c r="L529" s="71">
        <f t="shared" si="72"/>
        <v>9</v>
      </c>
      <c r="M529" s="71" t="str">
        <f>IFERROR(INDEX(KALENDER!$D$3:$D$132,MATCH(H529,KALENDER!$A$3:$A$132,0)),"Di luar periode")</f>
        <v>Hari Kerja</v>
      </c>
      <c r="N529" s="71">
        <f t="shared" si="73"/>
        <v>0</v>
      </c>
      <c r="O529" s="71">
        <f t="shared" si="74"/>
        <v>2</v>
      </c>
      <c r="P529" s="71">
        <f t="shared" si="75"/>
        <v>0</v>
      </c>
      <c r="Q529" s="71">
        <f t="shared" si="76"/>
        <v>0</v>
      </c>
      <c r="R529" s="71">
        <f t="shared" si="77"/>
        <v>0</v>
      </c>
      <c r="S529" s="71">
        <f t="shared" si="78"/>
        <v>0</v>
      </c>
      <c r="T529" s="71">
        <f t="shared" si="79"/>
        <v>0</v>
      </c>
      <c r="U529" s="71">
        <f>IF(AND(N529=1,V529=1),IF(COUNTIFS(AKTIVITAS!$B$2:$B$3052,B529,AKTIVITAS!$E$2:$E$3052,H529)&gt;0,1,0),0)</f>
        <v>0</v>
      </c>
      <c r="V529" s="71">
        <f>IFERROR(IF(AND(H529&gt;=INDEX(PEMAGANG!$J$3:$J$36,MATCH(B529,PEMAGANG!$C$3:$C$36,0)),H529&lt;=INDEX(PEMAGANG!$K$3:$K$36,MATCH(B529,PEMAGANG!$C$3:$C$36,0))),1,0),0)</f>
        <v>1</v>
      </c>
      <c r="W529" s="71">
        <f t="shared" si="80"/>
        <v>0</v>
      </c>
    </row>
    <row r="530" spans="1:23" x14ac:dyDescent="0.2">
      <c r="A530" s="71" t="s">
        <v>188</v>
      </c>
      <c r="B530" s="71" t="s">
        <v>189</v>
      </c>
      <c r="C530" s="71" t="s">
        <v>187</v>
      </c>
      <c r="D530" s="71" t="s">
        <v>185</v>
      </c>
      <c r="E530" s="71" t="s">
        <v>47</v>
      </c>
      <c r="F530" s="71" t="s">
        <v>298</v>
      </c>
      <c r="G530" s="88">
        <v>46275.308587963002</v>
      </c>
      <c r="H530" s="89">
        <v>46275</v>
      </c>
      <c r="I530" s="71" t="s">
        <v>303</v>
      </c>
      <c r="J530" s="71">
        <v>-36</v>
      </c>
      <c r="K530" s="71" t="s">
        <v>302</v>
      </c>
      <c r="L530" s="71">
        <f t="shared" si="72"/>
        <v>9</v>
      </c>
      <c r="M530" s="71" t="str">
        <f>IFERROR(INDEX(KALENDER!$D$3:$D$132,MATCH(H530,KALENDER!$A$3:$A$132,0)),"Di luar periode")</f>
        <v>Hari Kerja</v>
      </c>
      <c r="N530" s="71">
        <f t="shared" si="73"/>
        <v>1</v>
      </c>
      <c r="O530" s="71">
        <f t="shared" si="74"/>
        <v>1</v>
      </c>
      <c r="P530" s="71">
        <f t="shared" si="75"/>
        <v>1</v>
      </c>
      <c r="Q530" s="71">
        <f t="shared" si="76"/>
        <v>0</v>
      </c>
      <c r="R530" s="71">
        <f t="shared" si="77"/>
        <v>0</v>
      </c>
      <c r="S530" s="71">
        <f t="shared" si="78"/>
        <v>0</v>
      </c>
      <c r="T530" s="71">
        <f t="shared" si="79"/>
        <v>0</v>
      </c>
      <c r="U530" s="71">
        <f>IF(AND(N530=1,V530=1),IF(COUNTIFS(AKTIVITAS!$B$2:$B$3052,B530,AKTIVITAS!$E$2:$E$3052,H530)&gt;0,1,0),0)</f>
        <v>1</v>
      </c>
      <c r="V530" s="71">
        <f>IFERROR(IF(AND(H530&gt;=INDEX(PEMAGANG!$J$3:$J$36,MATCH(B530,PEMAGANG!$C$3:$C$36,0)),H530&lt;=INDEX(PEMAGANG!$K$3:$K$36,MATCH(B530,PEMAGANG!$C$3:$C$36,0))),1,0),0)</f>
        <v>1</v>
      </c>
      <c r="W530" s="71">
        <f t="shared" si="80"/>
        <v>1</v>
      </c>
    </row>
    <row r="531" spans="1:23" x14ac:dyDescent="0.2">
      <c r="A531" s="71" t="s">
        <v>188</v>
      </c>
      <c r="B531" s="71" t="s">
        <v>189</v>
      </c>
      <c r="C531" s="71" t="s">
        <v>187</v>
      </c>
      <c r="D531" s="71" t="s">
        <v>185</v>
      </c>
      <c r="E531" s="71" t="s">
        <v>47</v>
      </c>
      <c r="F531" s="71" t="s">
        <v>298</v>
      </c>
      <c r="G531" s="88">
        <v>46275.308587963002</v>
      </c>
      <c r="H531" s="89">
        <v>46275</v>
      </c>
      <c r="I531" s="71" t="s">
        <v>303</v>
      </c>
      <c r="J531" s="71">
        <v>-5.9999999999999796</v>
      </c>
      <c r="K531" s="71" t="s">
        <v>302</v>
      </c>
      <c r="L531" s="71">
        <f t="shared" si="72"/>
        <v>9</v>
      </c>
      <c r="M531" s="71" t="str">
        <f>IFERROR(INDEX(KALENDER!$D$3:$D$132,MATCH(H531,KALENDER!$A$3:$A$132,0)),"Di luar periode")</f>
        <v>Hari Kerja</v>
      </c>
      <c r="N531" s="71">
        <f t="shared" si="73"/>
        <v>0</v>
      </c>
      <c r="O531" s="71">
        <f t="shared" si="74"/>
        <v>2</v>
      </c>
      <c r="P531" s="71">
        <f t="shared" si="75"/>
        <v>0</v>
      </c>
      <c r="Q531" s="71">
        <f t="shared" si="76"/>
        <v>0</v>
      </c>
      <c r="R531" s="71">
        <f t="shared" si="77"/>
        <v>0</v>
      </c>
      <c r="S531" s="71">
        <f t="shared" si="78"/>
        <v>0</v>
      </c>
      <c r="T531" s="71">
        <f t="shared" si="79"/>
        <v>0</v>
      </c>
      <c r="U531" s="71">
        <f>IF(AND(N531=1,V531=1),IF(COUNTIFS(AKTIVITAS!$B$2:$B$3052,B531,AKTIVITAS!$E$2:$E$3052,H531)&gt;0,1,0),0)</f>
        <v>0</v>
      </c>
      <c r="V531" s="71">
        <f>IFERROR(IF(AND(H531&gt;=INDEX(PEMAGANG!$J$3:$J$36,MATCH(B531,PEMAGANG!$C$3:$C$36,0)),H531&lt;=INDEX(PEMAGANG!$K$3:$K$36,MATCH(B531,PEMAGANG!$C$3:$C$36,0))),1,0),0)</f>
        <v>1</v>
      </c>
      <c r="W531" s="71">
        <f t="shared" si="80"/>
        <v>0</v>
      </c>
    </row>
    <row r="532" spans="1:23" x14ac:dyDescent="0.2">
      <c r="A532" s="71" t="s">
        <v>188</v>
      </c>
      <c r="B532" s="71" t="s">
        <v>189</v>
      </c>
      <c r="C532" s="71" t="s">
        <v>187</v>
      </c>
      <c r="D532" s="71" t="s">
        <v>185</v>
      </c>
      <c r="E532" s="71" t="s">
        <v>47</v>
      </c>
      <c r="F532" s="71" t="s">
        <v>300</v>
      </c>
      <c r="G532" s="88">
        <v>46275.689675925903</v>
      </c>
      <c r="H532" s="89">
        <v>46275</v>
      </c>
      <c r="I532" s="71" t="s">
        <v>316</v>
      </c>
      <c r="J532" s="71">
        <v>0</v>
      </c>
      <c r="K532" s="71" t="s">
        <v>302</v>
      </c>
      <c r="L532" s="71">
        <f t="shared" si="72"/>
        <v>9</v>
      </c>
      <c r="M532" s="71" t="str">
        <f>IFERROR(INDEX(KALENDER!$D$3:$D$132,MATCH(H532,KALENDER!$A$3:$A$132,0)),"Di luar periode")</f>
        <v>Hari Kerja</v>
      </c>
      <c r="N532" s="71">
        <f t="shared" si="73"/>
        <v>0</v>
      </c>
      <c r="O532" s="71">
        <f t="shared" si="74"/>
        <v>2</v>
      </c>
      <c r="P532" s="71">
        <f t="shared" si="75"/>
        <v>0</v>
      </c>
      <c r="Q532" s="71">
        <f t="shared" si="76"/>
        <v>0</v>
      </c>
      <c r="R532" s="71">
        <f t="shared" si="77"/>
        <v>0</v>
      </c>
      <c r="S532" s="71">
        <f t="shared" si="78"/>
        <v>0</v>
      </c>
      <c r="T532" s="71">
        <f t="shared" si="79"/>
        <v>0</v>
      </c>
      <c r="U532" s="71">
        <f>IF(AND(N532=1,V532=1),IF(COUNTIFS(AKTIVITAS!$B$2:$B$3052,B532,AKTIVITAS!$E$2:$E$3052,H532)&gt;0,1,0),0)</f>
        <v>0</v>
      </c>
      <c r="V532" s="71">
        <f>IFERROR(IF(AND(H532&gt;=INDEX(PEMAGANG!$J$3:$J$36,MATCH(B532,PEMAGANG!$C$3:$C$36,0)),H532&lt;=INDEX(PEMAGANG!$K$3:$K$36,MATCH(B532,PEMAGANG!$C$3:$C$36,0))),1,0),0)</f>
        <v>1</v>
      </c>
      <c r="W532" s="71">
        <f t="shared" si="80"/>
        <v>0</v>
      </c>
    </row>
    <row r="533" spans="1:23" x14ac:dyDescent="0.2">
      <c r="A533" s="71" t="s">
        <v>188</v>
      </c>
      <c r="B533" s="71" t="s">
        <v>189</v>
      </c>
      <c r="C533" s="71" t="s">
        <v>187</v>
      </c>
      <c r="D533" s="71" t="s">
        <v>185</v>
      </c>
      <c r="E533" s="71" t="s">
        <v>47</v>
      </c>
      <c r="F533" s="71" t="s">
        <v>298</v>
      </c>
      <c r="G533" s="88">
        <v>46276.307500000003</v>
      </c>
      <c r="H533" s="89">
        <v>46276</v>
      </c>
      <c r="I533" s="71" t="s">
        <v>313</v>
      </c>
      <c r="J533" s="71">
        <v>-8.0000000000000497</v>
      </c>
      <c r="K533" s="71" t="s">
        <v>302</v>
      </c>
      <c r="L533" s="71">
        <f t="shared" si="72"/>
        <v>9</v>
      </c>
      <c r="M533" s="71" t="str">
        <f>IFERROR(INDEX(KALENDER!$D$3:$D$132,MATCH(H533,KALENDER!$A$3:$A$132,0)),"Di luar periode")</f>
        <v>Hari Kerja</v>
      </c>
      <c r="N533" s="71">
        <f t="shared" si="73"/>
        <v>1</v>
      </c>
      <c r="O533" s="71">
        <f t="shared" si="74"/>
        <v>1</v>
      </c>
      <c r="P533" s="71">
        <f t="shared" si="75"/>
        <v>1</v>
      </c>
      <c r="Q533" s="71">
        <f t="shared" si="76"/>
        <v>0</v>
      </c>
      <c r="R533" s="71">
        <f t="shared" si="77"/>
        <v>0</v>
      </c>
      <c r="S533" s="71">
        <f t="shared" si="78"/>
        <v>0</v>
      </c>
      <c r="T533" s="71">
        <f t="shared" si="79"/>
        <v>1</v>
      </c>
      <c r="U533" s="71">
        <f>IF(AND(N533=1,V533=1),IF(COUNTIFS(AKTIVITAS!$B$2:$B$3052,B533,AKTIVITAS!$E$2:$E$3052,H533)&gt;0,1,0),0)</f>
        <v>0</v>
      </c>
      <c r="V533" s="71">
        <f>IFERROR(IF(AND(H533&gt;=INDEX(PEMAGANG!$J$3:$J$36,MATCH(B533,PEMAGANG!$C$3:$C$36,0)),H533&lt;=INDEX(PEMAGANG!$K$3:$K$36,MATCH(B533,PEMAGANG!$C$3:$C$36,0))),1,0),0)</f>
        <v>1</v>
      </c>
      <c r="W533" s="71">
        <f t="shared" si="80"/>
        <v>1</v>
      </c>
    </row>
    <row r="534" spans="1:23" x14ac:dyDescent="0.2">
      <c r="A534" s="71" t="s">
        <v>188</v>
      </c>
      <c r="B534" s="71" t="s">
        <v>189</v>
      </c>
      <c r="C534" s="71" t="s">
        <v>187</v>
      </c>
      <c r="D534" s="71" t="s">
        <v>185</v>
      </c>
      <c r="E534" s="71" t="s">
        <v>47</v>
      </c>
      <c r="F534" s="71" t="s">
        <v>298</v>
      </c>
      <c r="G534" s="88">
        <v>46279.313599537003</v>
      </c>
      <c r="H534" s="89">
        <v>46279</v>
      </c>
      <c r="I534" s="71" t="s">
        <v>392</v>
      </c>
      <c r="J534" s="71">
        <v>0.999999999999996</v>
      </c>
      <c r="K534" s="71" t="s">
        <v>293</v>
      </c>
      <c r="L534" s="71">
        <f t="shared" si="72"/>
        <v>9</v>
      </c>
      <c r="M534" s="71" t="str">
        <f>IFERROR(INDEX(KALENDER!$D$3:$D$132,MATCH(H534,KALENDER!$A$3:$A$132,0)),"Di luar periode")</f>
        <v>Hari Kerja</v>
      </c>
      <c r="N534" s="71">
        <f t="shared" si="73"/>
        <v>1</v>
      </c>
      <c r="O534" s="71">
        <f t="shared" si="74"/>
        <v>1</v>
      </c>
      <c r="P534" s="71">
        <f t="shared" si="75"/>
        <v>1</v>
      </c>
      <c r="Q534" s="71">
        <f t="shared" si="76"/>
        <v>0</v>
      </c>
      <c r="R534" s="71">
        <f t="shared" si="77"/>
        <v>1</v>
      </c>
      <c r="S534" s="71">
        <f t="shared" si="78"/>
        <v>0.999999999999996</v>
      </c>
      <c r="T534" s="71">
        <f t="shared" si="79"/>
        <v>0</v>
      </c>
      <c r="U534" s="71">
        <f>IF(AND(N534=1,V534=1),IF(COUNTIFS(AKTIVITAS!$B$2:$B$3052,B534,AKTIVITAS!$E$2:$E$3052,H534)&gt;0,1,0),0)</f>
        <v>1</v>
      </c>
      <c r="V534" s="71">
        <f>IFERROR(IF(AND(H534&gt;=INDEX(PEMAGANG!$J$3:$J$36,MATCH(B534,PEMAGANG!$C$3:$C$36,0)),H534&lt;=INDEX(PEMAGANG!$K$3:$K$36,MATCH(B534,PEMAGANG!$C$3:$C$36,0))),1,0),0)</f>
        <v>1</v>
      </c>
      <c r="W534" s="71">
        <f t="shared" si="80"/>
        <v>1</v>
      </c>
    </row>
    <row r="535" spans="1:23" x14ac:dyDescent="0.2">
      <c r="A535" s="71" t="s">
        <v>188</v>
      </c>
      <c r="B535" s="71" t="s">
        <v>189</v>
      </c>
      <c r="C535" s="71" t="s">
        <v>187</v>
      </c>
      <c r="D535" s="71" t="s">
        <v>185</v>
      </c>
      <c r="E535" s="71" t="s">
        <v>47</v>
      </c>
      <c r="F535" s="71" t="s">
        <v>300</v>
      </c>
      <c r="G535" s="88">
        <v>46279.701967592599</v>
      </c>
      <c r="H535" s="89">
        <v>46279</v>
      </c>
      <c r="I535" s="71" t="s">
        <v>334</v>
      </c>
      <c r="J535" s="71">
        <v>0</v>
      </c>
      <c r="K535" s="71" t="s">
        <v>302</v>
      </c>
      <c r="L535" s="71">
        <f t="shared" si="72"/>
        <v>9</v>
      </c>
      <c r="M535" s="71" t="str">
        <f>IFERROR(INDEX(KALENDER!$D$3:$D$132,MATCH(H535,KALENDER!$A$3:$A$132,0)),"Di luar periode")</f>
        <v>Hari Kerja</v>
      </c>
      <c r="N535" s="71">
        <f t="shared" si="73"/>
        <v>0</v>
      </c>
      <c r="O535" s="71">
        <f t="shared" si="74"/>
        <v>1</v>
      </c>
      <c r="P535" s="71">
        <f t="shared" si="75"/>
        <v>0</v>
      </c>
      <c r="Q535" s="71">
        <f t="shared" si="76"/>
        <v>0</v>
      </c>
      <c r="R535" s="71">
        <f t="shared" si="77"/>
        <v>0</v>
      </c>
      <c r="S535" s="71">
        <f t="shared" si="78"/>
        <v>0</v>
      </c>
      <c r="T535" s="71">
        <f t="shared" si="79"/>
        <v>0</v>
      </c>
      <c r="U535" s="71">
        <f>IF(AND(N535=1,V535=1),IF(COUNTIFS(AKTIVITAS!$B$2:$B$3052,B535,AKTIVITAS!$E$2:$E$3052,H535)&gt;0,1,0),0)</f>
        <v>0</v>
      </c>
      <c r="V535" s="71">
        <f>IFERROR(IF(AND(H535&gt;=INDEX(PEMAGANG!$J$3:$J$36,MATCH(B535,PEMAGANG!$C$3:$C$36,0)),H535&lt;=INDEX(PEMAGANG!$K$3:$K$36,MATCH(B535,PEMAGANG!$C$3:$C$36,0))),1,0),0)</f>
        <v>1</v>
      </c>
      <c r="W535" s="71">
        <f t="shared" si="80"/>
        <v>0</v>
      </c>
    </row>
    <row r="536" spans="1:23" x14ac:dyDescent="0.2">
      <c r="A536" s="71" t="s">
        <v>188</v>
      </c>
      <c r="B536" s="71" t="s">
        <v>189</v>
      </c>
      <c r="C536" s="71" t="s">
        <v>187</v>
      </c>
      <c r="D536" s="71" t="s">
        <v>185</v>
      </c>
      <c r="E536" s="71" t="s">
        <v>47</v>
      </c>
      <c r="F536" s="71" t="s">
        <v>298</v>
      </c>
      <c r="G536" s="88">
        <v>46280.301689814798</v>
      </c>
      <c r="H536" s="89">
        <v>46280</v>
      </c>
      <c r="I536" s="71" t="s">
        <v>416</v>
      </c>
      <c r="J536" s="71">
        <v>-16</v>
      </c>
      <c r="K536" s="71" t="s">
        <v>302</v>
      </c>
      <c r="L536" s="71">
        <f t="shared" si="72"/>
        <v>9</v>
      </c>
      <c r="M536" s="71" t="str">
        <f>IFERROR(INDEX(KALENDER!$D$3:$D$132,MATCH(H536,KALENDER!$A$3:$A$132,0)),"Di luar periode")</f>
        <v>Hari Kerja</v>
      </c>
      <c r="N536" s="71">
        <f t="shared" si="73"/>
        <v>1</v>
      </c>
      <c r="O536" s="71">
        <f t="shared" si="74"/>
        <v>1</v>
      </c>
      <c r="P536" s="71">
        <f t="shared" si="75"/>
        <v>1</v>
      </c>
      <c r="Q536" s="71">
        <f t="shared" si="76"/>
        <v>0</v>
      </c>
      <c r="R536" s="71">
        <f t="shared" si="77"/>
        <v>0</v>
      </c>
      <c r="S536" s="71">
        <f t="shared" si="78"/>
        <v>0</v>
      </c>
      <c r="T536" s="71">
        <f t="shared" si="79"/>
        <v>0</v>
      </c>
      <c r="U536" s="71">
        <f>IF(AND(N536=1,V536=1),IF(COUNTIFS(AKTIVITAS!$B$2:$B$3052,B536,AKTIVITAS!$E$2:$E$3052,H536)&gt;0,1,0),0)</f>
        <v>1</v>
      </c>
      <c r="V536" s="71">
        <f>IFERROR(IF(AND(H536&gt;=INDEX(PEMAGANG!$J$3:$J$36,MATCH(B536,PEMAGANG!$C$3:$C$36,0)),H536&lt;=INDEX(PEMAGANG!$K$3:$K$36,MATCH(B536,PEMAGANG!$C$3:$C$36,0))),1,0),0)</f>
        <v>1</v>
      </c>
      <c r="W536" s="71">
        <f t="shared" si="80"/>
        <v>1</v>
      </c>
    </row>
    <row r="537" spans="1:23" x14ac:dyDescent="0.2">
      <c r="A537" s="71" t="s">
        <v>188</v>
      </c>
      <c r="B537" s="71" t="s">
        <v>189</v>
      </c>
      <c r="C537" s="71" t="s">
        <v>187</v>
      </c>
      <c r="D537" s="71" t="s">
        <v>185</v>
      </c>
      <c r="E537" s="71" t="s">
        <v>47</v>
      </c>
      <c r="F537" s="71" t="s">
        <v>300</v>
      </c>
      <c r="G537" s="88">
        <v>46280.722187500003</v>
      </c>
      <c r="H537" s="89">
        <v>46280</v>
      </c>
      <c r="I537" s="71" t="s">
        <v>382</v>
      </c>
      <c r="J537" s="71">
        <v>0</v>
      </c>
      <c r="K537" s="71" t="s">
        <v>302</v>
      </c>
      <c r="L537" s="71">
        <f t="shared" si="72"/>
        <v>9</v>
      </c>
      <c r="M537" s="71" t="str">
        <f>IFERROR(INDEX(KALENDER!$D$3:$D$132,MATCH(H537,KALENDER!$A$3:$A$132,0)),"Di luar periode")</f>
        <v>Hari Kerja</v>
      </c>
      <c r="N537" s="71">
        <f t="shared" si="73"/>
        <v>0</v>
      </c>
      <c r="O537" s="71">
        <f t="shared" si="74"/>
        <v>1</v>
      </c>
      <c r="P537" s="71">
        <f t="shared" si="75"/>
        <v>0</v>
      </c>
      <c r="Q537" s="71">
        <f t="shared" si="76"/>
        <v>0</v>
      </c>
      <c r="R537" s="71">
        <f t="shared" si="77"/>
        <v>0</v>
      </c>
      <c r="S537" s="71">
        <f t="shared" si="78"/>
        <v>0</v>
      </c>
      <c r="T537" s="71">
        <f t="shared" si="79"/>
        <v>0</v>
      </c>
      <c r="U537" s="71">
        <f>IF(AND(N537=1,V537=1),IF(COUNTIFS(AKTIVITAS!$B$2:$B$3052,B537,AKTIVITAS!$E$2:$E$3052,H537)&gt;0,1,0),0)</f>
        <v>0</v>
      </c>
      <c r="V537" s="71">
        <f>IFERROR(IF(AND(H537&gt;=INDEX(PEMAGANG!$J$3:$J$36,MATCH(B537,PEMAGANG!$C$3:$C$36,0)),H537&lt;=INDEX(PEMAGANG!$K$3:$K$36,MATCH(B537,PEMAGANG!$C$3:$C$36,0))),1,0),0)</f>
        <v>1</v>
      </c>
      <c r="W537" s="71">
        <f t="shared" si="80"/>
        <v>0</v>
      </c>
    </row>
    <row r="538" spans="1:23" x14ac:dyDescent="0.2">
      <c r="A538" s="71" t="s">
        <v>188</v>
      </c>
      <c r="B538" s="71" t="s">
        <v>189</v>
      </c>
      <c r="C538" s="71" t="s">
        <v>187</v>
      </c>
      <c r="D538" s="71" t="s">
        <v>185</v>
      </c>
      <c r="E538" s="71" t="s">
        <v>47</v>
      </c>
      <c r="F538" s="71" t="s">
        <v>298</v>
      </c>
      <c r="G538" s="88">
        <v>46281.306111111102</v>
      </c>
      <c r="H538" s="89">
        <v>46281</v>
      </c>
      <c r="I538" s="71" t="s">
        <v>329</v>
      </c>
      <c r="J538" s="71">
        <v>-10</v>
      </c>
      <c r="K538" s="71" t="s">
        <v>302</v>
      </c>
      <c r="L538" s="71">
        <f t="shared" si="72"/>
        <v>9</v>
      </c>
      <c r="M538" s="71" t="str">
        <f>IFERROR(INDEX(KALENDER!$D$3:$D$132,MATCH(H538,KALENDER!$A$3:$A$132,0)),"Di luar periode")</f>
        <v>Hari Kerja</v>
      </c>
      <c r="N538" s="71">
        <f t="shared" si="73"/>
        <v>1</v>
      </c>
      <c r="O538" s="71">
        <f t="shared" si="74"/>
        <v>1</v>
      </c>
      <c r="P538" s="71">
        <f t="shared" si="75"/>
        <v>1</v>
      </c>
      <c r="Q538" s="71">
        <f t="shared" si="76"/>
        <v>0</v>
      </c>
      <c r="R538" s="71">
        <f t="shared" si="77"/>
        <v>0</v>
      </c>
      <c r="S538" s="71">
        <f t="shared" si="78"/>
        <v>0</v>
      </c>
      <c r="T538" s="71">
        <f t="shared" si="79"/>
        <v>0</v>
      </c>
      <c r="U538" s="71">
        <f>IF(AND(N538=1,V538=1),IF(COUNTIFS(AKTIVITAS!$B$2:$B$3052,B538,AKTIVITAS!$E$2:$E$3052,H538)&gt;0,1,0),0)</f>
        <v>1</v>
      </c>
      <c r="V538" s="71">
        <f>IFERROR(IF(AND(H538&gt;=INDEX(PEMAGANG!$J$3:$J$36,MATCH(B538,PEMAGANG!$C$3:$C$36,0)),H538&lt;=INDEX(PEMAGANG!$K$3:$K$36,MATCH(B538,PEMAGANG!$C$3:$C$36,0))),1,0),0)</f>
        <v>1</v>
      </c>
      <c r="W538" s="71">
        <f t="shared" si="80"/>
        <v>1</v>
      </c>
    </row>
    <row r="539" spans="1:23" x14ac:dyDescent="0.2">
      <c r="A539" s="71" t="s">
        <v>188</v>
      </c>
      <c r="B539" s="71" t="s">
        <v>189</v>
      </c>
      <c r="C539" s="71" t="s">
        <v>187</v>
      </c>
      <c r="D539" s="71" t="s">
        <v>185</v>
      </c>
      <c r="E539" s="71" t="s">
        <v>47</v>
      </c>
      <c r="F539" s="71" t="s">
        <v>300</v>
      </c>
      <c r="G539" s="88">
        <v>46281.692164351902</v>
      </c>
      <c r="H539" s="89">
        <v>46281</v>
      </c>
      <c r="I539" s="71" t="s">
        <v>344</v>
      </c>
      <c r="J539" s="71">
        <v>0</v>
      </c>
      <c r="K539" s="71" t="s">
        <v>302</v>
      </c>
      <c r="L539" s="71">
        <f t="shared" si="72"/>
        <v>9</v>
      </c>
      <c r="M539" s="71" t="str">
        <f>IFERROR(INDEX(KALENDER!$D$3:$D$132,MATCH(H539,KALENDER!$A$3:$A$132,0)),"Di luar periode")</f>
        <v>Hari Kerja</v>
      </c>
      <c r="N539" s="71">
        <f t="shared" si="73"/>
        <v>0</v>
      </c>
      <c r="O539" s="71">
        <f t="shared" si="74"/>
        <v>1</v>
      </c>
      <c r="P539" s="71">
        <f t="shared" si="75"/>
        <v>0</v>
      </c>
      <c r="Q539" s="71">
        <f t="shared" si="76"/>
        <v>0</v>
      </c>
      <c r="R539" s="71">
        <f t="shared" si="77"/>
        <v>0</v>
      </c>
      <c r="S539" s="71">
        <f t="shared" si="78"/>
        <v>0</v>
      </c>
      <c r="T539" s="71">
        <f t="shared" si="79"/>
        <v>0</v>
      </c>
      <c r="U539" s="71">
        <f>IF(AND(N539=1,V539=1),IF(COUNTIFS(AKTIVITAS!$B$2:$B$3052,B539,AKTIVITAS!$E$2:$E$3052,H539)&gt;0,1,0),0)</f>
        <v>0</v>
      </c>
      <c r="V539" s="71">
        <f>IFERROR(IF(AND(H539&gt;=INDEX(PEMAGANG!$J$3:$J$36,MATCH(B539,PEMAGANG!$C$3:$C$36,0)),H539&lt;=INDEX(PEMAGANG!$K$3:$K$36,MATCH(B539,PEMAGANG!$C$3:$C$36,0))),1,0),0)</f>
        <v>1</v>
      </c>
      <c r="W539" s="71">
        <f t="shared" si="80"/>
        <v>0</v>
      </c>
    </row>
    <row r="540" spans="1:23" x14ac:dyDescent="0.2">
      <c r="A540" s="71" t="s">
        <v>188</v>
      </c>
      <c r="B540" s="71" t="s">
        <v>189</v>
      </c>
      <c r="C540" s="71" t="s">
        <v>187</v>
      </c>
      <c r="D540" s="71" t="s">
        <v>185</v>
      </c>
      <c r="E540" s="71" t="s">
        <v>47</v>
      </c>
      <c r="F540" s="71" t="s">
        <v>298</v>
      </c>
      <c r="G540" s="88">
        <v>46282.312210648197</v>
      </c>
      <c r="H540" s="89">
        <v>46282</v>
      </c>
      <c r="I540" s="71" t="s">
        <v>365</v>
      </c>
      <c r="J540" s="71">
        <v>-0.999999999999996</v>
      </c>
      <c r="K540" s="71" t="s">
        <v>302</v>
      </c>
      <c r="L540" s="71">
        <f t="shared" si="72"/>
        <v>9</v>
      </c>
      <c r="M540" s="71" t="str">
        <f>IFERROR(INDEX(KALENDER!$D$3:$D$132,MATCH(H540,KALENDER!$A$3:$A$132,0)),"Di luar periode")</f>
        <v>Hari Kerja</v>
      </c>
      <c r="N540" s="71">
        <f t="shared" si="73"/>
        <v>1</v>
      </c>
      <c r="O540" s="71">
        <f t="shared" si="74"/>
        <v>1</v>
      </c>
      <c r="P540" s="71">
        <f t="shared" si="75"/>
        <v>1</v>
      </c>
      <c r="Q540" s="71">
        <f t="shared" si="76"/>
        <v>0</v>
      </c>
      <c r="R540" s="71">
        <f t="shared" si="77"/>
        <v>0</v>
      </c>
      <c r="S540" s="71">
        <f t="shared" si="78"/>
        <v>0</v>
      </c>
      <c r="T540" s="71">
        <f t="shared" si="79"/>
        <v>0</v>
      </c>
      <c r="U540" s="71">
        <f>IF(AND(N540=1,V540=1),IF(COUNTIFS(AKTIVITAS!$B$2:$B$3052,B540,AKTIVITAS!$E$2:$E$3052,H540)&gt;0,1,0),0)</f>
        <v>1</v>
      </c>
      <c r="V540" s="71">
        <f>IFERROR(IF(AND(H540&gt;=INDEX(PEMAGANG!$J$3:$J$36,MATCH(B540,PEMAGANG!$C$3:$C$36,0)),H540&lt;=INDEX(PEMAGANG!$K$3:$K$36,MATCH(B540,PEMAGANG!$C$3:$C$36,0))),1,0),0)</f>
        <v>1</v>
      </c>
      <c r="W540" s="71">
        <f t="shared" si="80"/>
        <v>1</v>
      </c>
    </row>
    <row r="541" spans="1:23" x14ac:dyDescent="0.2">
      <c r="A541" s="71" t="s">
        <v>188</v>
      </c>
      <c r="B541" s="71" t="s">
        <v>189</v>
      </c>
      <c r="C541" s="71" t="s">
        <v>187</v>
      </c>
      <c r="D541" s="71" t="s">
        <v>185</v>
      </c>
      <c r="E541" s="71" t="s">
        <v>47</v>
      </c>
      <c r="F541" s="71" t="s">
        <v>300</v>
      </c>
      <c r="G541" s="88">
        <v>46282.690949074102</v>
      </c>
      <c r="H541" s="89">
        <v>46282</v>
      </c>
      <c r="I541" s="71" t="s">
        <v>314</v>
      </c>
      <c r="J541" s="71">
        <v>0</v>
      </c>
      <c r="K541" s="71" t="s">
        <v>302</v>
      </c>
      <c r="L541" s="71">
        <f t="shared" si="72"/>
        <v>9</v>
      </c>
      <c r="M541" s="71" t="str">
        <f>IFERROR(INDEX(KALENDER!$D$3:$D$132,MATCH(H541,KALENDER!$A$3:$A$132,0)),"Di luar periode")</f>
        <v>Hari Kerja</v>
      </c>
      <c r="N541" s="71">
        <f t="shared" si="73"/>
        <v>0</v>
      </c>
      <c r="O541" s="71">
        <f t="shared" si="74"/>
        <v>1</v>
      </c>
      <c r="P541" s="71">
        <f t="shared" si="75"/>
        <v>0</v>
      </c>
      <c r="Q541" s="71">
        <f t="shared" si="76"/>
        <v>0</v>
      </c>
      <c r="R541" s="71">
        <f t="shared" si="77"/>
        <v>0</v>
      </c>
      <c r="S541" s="71">
        <f t="shared" si="78"/>
        <v>0</v>
      </c>
      <c r="T541" s="71">
        <f t="shared" si="79"/>
        <v>0</v>
      </c>
      <c r="U541" s="71">
        <f>IF(AND(N541=1,V541=1),IF(COUNTIFS(AKTIVITAS!$B$2:$B$3052,B541,AKTIVITAS!$E$2:$E$3052,H541)&gt;0,1,0),0)</f>
        <v>0</v>
      </c>
      <c r="V541" s="71">
        <f>IFERROR(IF(AND(H541&gt;=INDEX(PEMAGANG!$J$3:$J$36,MATCH(B541,PEMAGANG!$C$3:$C$36,0)),H541&lt;=INDEX(PEMAGANG!$K$3:$K$36,MATCH(B541,PEMAGANG!$C$3:$C$36,0))),1,0),0)</f>
        <v>1</v>
      </c>
      <c r="W541" s="71">
        <f t="shared" si="80"/>
        <v>0</v>
      </c>
    </row>
    <row r="542" spans="1:23" x14ac:dyDescent="0.2">
      <c r="A542" s="71" t="s">
        <v>188</v>
      </c>
      <c r="B542" s="71" t="s">
        <v>189</v>
      </c>
      <c r="C542" s="71" t="s">
        <v>187</v>
      </c>
      <c r="D542" s="71" t="s">
        <v>185</v>
      </c>
      <c r="E542" s="71" t="s">
        <v>47</v>
      </c>
      <c r="F542" s="71" t="s">
        <v>298</v>
      </c>
      <c r="G542" s="88">
        <v>46283.315671296303</v>
      </c>
      <c r="H542" s="89">
        <v>46283</v>
      </c>
      <c r="I542" s="71" t="s">
        <v>373</v>
      </c>
      <c r="J542" s="71">
        <v>3.9999999999999898</v>
      </c>
      <c r="K542" s="71" t="s">
        <v>293</v>
      </c>
      <c r="L542" s="71">
        <f t="shared" si="72"/>
        <v>9</v>
      </c>
      <c r="M542" s="71" t="str">
        <f>IFERROR(INDEX(KALENDER!$D$3:$D$132,MATCH(H542,KALENDER!$A$3:$A$132,0)),"Di luar periode")</f>
        <v>Hari Kerja</v>
      </c>
      <c r="N542" s="71">
        <f t="shared" si="73"/>
        <v>1</v>
      </c>
      <c r="O542" s="71">
        <f t="shared" si="74"/>
        <v>1</v>
      </c>
      <c r="P542" s="71">
        <f t="shared" si="75"/>
        <v>1</v>
      </c>
      <c r="Q542" s="71">
        <f t="shared" si="76"/>
        <v>0</v>
      </c>
      <c r="R542" s="71">
        <f t="shared" si="77"/>
        <v>1</v>
      </c>
      <c r="S542" s="71">
        <f t="shared" si="78"/>
        <v>3.9999999999999898</v>
      </c>
      <c r="T542" s="71">
        <f t="shared" si="79"/>
        <v>0</v>
      </c>
      <c r="U542" s="71">
        <f>IF(AND(N542=1,V542=1),IF(COUNTIFS(AKTIVITAS!$B$2:$B$3052,B542,AKTIVITAS!$E$2:$E$3052,H542)&gt;0,1,0),0)</f>
        <v>1</v>
      </c>
      <c r="V542" s="71">
        <f>IFERROR(IF(AND(H542&gt;=INDEX(PEMAGANG!$J$3:$J$36,MATCH(B542,PEMAGANG!$C$3:$C$36,0)),H542&lt;=INDEX(PEMAGANG!$K$3:$K$36,MATCH(B542,PEMAGANG!$C$3:$C$36,0))),1,0),0)</f>
        <v>1</v>
      </c>
      <c r="W542" s="71">
        <f t="shared" si="80"/>
        <v>1</v>
      </c>
    </row>
    <row r="543" spans="1:23" x14ac:dyDescent="0.2">
      <c r="A543" s="71" t="s">
        <v>188</v>
      </c>
      <c r="B543" s="71" t="s">
        <v>189</v>
      </c>
      <c r="C543" s="71" t="s">
        <v>187</v>
      </c>
      <c r="D543" s="71" t="s">
        <v>185</v>
      </c>
      <c r="E543" s="71" t="s">
        <v>47</v>
      </c>
      <c r="F543" s="71" t="s">
        <v>300</v>
      </c>
      <c r="G543" s="88">
        <v>46283.709328703699</v>
      </c>
      <c r="H543" s="89">
        <v>46283</v>
      </c>
      <c r="I543" s="71" t="s">
        <v>333</v>
      </c>
      <c r="J543" s="71">
        <v>0</v>
      </c>
      <c r="K543" s="71" t="s">
        <v>302</v>
      </c>
      <c r="L543" s="71">
        <f t="shared" si="72"/>
        <v>9</v>
      </c>
      <c r="M543" s="71" t="str">
        <f>IFERROR(INDEX(KALENDER!$D$3:$D$132,MATCH(H543,KALENDER!$A$3:$A$132,0)),"Di luar periode")</f>
        <v>Hari Kerja</v>
      </c>
      <c r="N543" s="71">
        <f t="shared" si="73"/>
        <v>0</v>
      </c>
      <c r="O543" s="71">
        <f t="shared" si="74"/>
        <v>1</v>
      </c>
      <c r="P543" s="71">
        <f t="shared" si="75"/>
        <v>0</v>
      </c>
      <c r="Q543" s="71">
        <f t="shared" si="76"/>
        <v>0</v>
      </c>
      <c r="R543" s="71">
        <f t="shared" si="77"/>
        <v>0</v>
      </c>
      <c r="S543" s="71">
        <f t="shared" si="78"/>
        <v>0</v>
      </c>
      <c r="T543" s="71">
        <f t="shared" si="79"/>
        <v>0</v>
      </c>
      <c r="U543" s="71">
        <f>IF(AND(N543=1,V543=1),IF(COUNTIFS(AKTIVITAS!$B$2:$B$3052,B543,AKTIVITAS!$E$2:$E$3052,H543)&gt;0,1,0),0)</f>
        <v>0</v>
      </c>
      <c r="V543" s="71">
        <f>IFERROR(IF(AND(H543&gt;=INDEX(PEMAGANG!$J$3:$J$36,MATCH(B543,PEMAGANG!$C$3:$C$36,0)),H543&lt;=INDEX(PEMAGANG!$K$3:$K$36,MATCH(B543,PEMAGANG!$C$3:$C$36,0))),1,0),0)</f>
        <v>1</v>
      </c>
      <c r="W543" s="71">
        <f t="shared" si="80"/>
        <v>0</v>
      </c>
    </row>
    <row r="544" spans="1:23" x14ac:dyDescent="0.2">
      <c r="A544" s="71" t="s">
        <v>188</v>
      </c>
      <c r="B544" s="71" t="s">
        <v>189</v>
      </c>
      <c r="C544" s="71" t="s">
        <v>187</v>
      </c>
      <c r="D544" s="71" t="s">
        <v>185</v>
      </c>
      <c r="E544" s="71" t="s">
        <v>47</v>
      </c>
      <c r="F544" s="71" t="s">
        <v>298</v>
      </c>
      <c r="G544" s="88">
        <v>46286.304062499999</v>
      </c>
      <c r="H544" s="89">
        <v>46286</v>
      </c>
      <c r="I544" s="71" t="s">
        <v>331</v>
      </c>
      <c r="J544" s="71">
        <v>-13</v>
      </c>
      <c r="K544" s="71" t="s">
        <v>302</v>
      </c>
      <c r="L544" s="71">
        <f t="shared" si="72"/>
        <v>9</v>
      </c>
      <c r="M544" s="71" t="str">
        <f>IFERROR(INDEX(KALENDER!$D$3:$D$132,MATCH(H544,KALENDER!$A$3:$A$132,0)),"Di luar periode")</f>
        <v>Hari Kerja</v>
      </c>
      <c r="N544" s="71">
        <f t="shared" si="73"/>
        <v>1</v>
      </c>
      <c r="O544" s="71">
        <f t="shared" si="74"/>
        <v>1</v>
      </c>
      <c r="P544" s="71">
        <f t="shared" si="75"/>
        <v>1</v>
      </c>
      <c r="Q544" s="71">
        <f t="shared" si="76"/>
        <v>0</v>
      </c>
      <c r="R544" s="71">
        <f t="shared" si="77"/>
        <v>0</v>
      </c>
      <c r="S544" s="71">
        <f t="shared" si="78"/>
        <v>0</v>
      </c>
      <c r="T544" s="71">
        <f t="shared" si="79"/>
        <v>0</v>
      </c>
      <c r="U544" s="71">
        <f>IF(AND(N544=1,V544=1),IF(COUNTIFS(AKTIVITAS!$B$2:$B$3052,B544,AKTIVITAS!$E$2:$E$3052,H544)&gt;0,1,0),0)</f>
        <v>1</v>
      </c>
      <c r="V544" s="71">
        <f>IFERROR(IF(AND(H544&gt;=INDEX(PEMAGANG!$J$3:$J$36,MATCH(B544,PEMAGANG!$C$3:$C$36,0)),H544&lt;=INDEX(PEMAGANG!$K$3:$K$36,MATCH(B544,PEMAGANG!$C$3:$C$36,0))),1,0),0)</f>
        <v>1</v>
      </c>
      <c r="W544" s="71">
        <f t="shared" si="80"/>
        <v>1</v>
      </c>
    </row>
    <row r="545" spans="1:23" x14ac:dyDescent="0.2">
      <c r="A545" s="71" t="s">
        <v>188</v>
      </c>
      <c r="B545" s="71" t="s">
        <v>189</v>
      </c>
      <c r="C545" s="71" t="s">
        <v>187</v>
      </c>
      <c r="D545" s="71" t="s">
        <v>185</v>
      </c>
      <c r="E545" s="71" t="s">
        <v>47</v>
      </c>
      <c r="F545" s="71" t="s">
        <v>300</v>
      </c>
      <c r="G545" s="88">
        <v>46286.689699074101</v>
      </c>
      <c r="H545" s="89">
        <v>46286</v>
      </c>
      <c r="I545" s="71" t="s">
        <v>316</v>
      </c>
      <c r="J545" s="71">
        <v>0</v>
      </c>
      <c r="K545" s="71" t="s">
        <v>302</v>
      </c>
      <c r="L545" s="71">
        <f t="shared" si="72"/>
        <v>9</v>
      </c>
      <c r="M545" s="71" t="str">
        <f>IFERROR(INDEX(KALENDER!$D$3:$D$132,MATCH(H545,KALENDER!$A$3:$A$132,0)),"Di luar periode")</f>
        <v>Hari Kerja</v>
      </c>
      <c r="N545" s="71">
        <f t="shared" si="73"/>
        <v>0</v>
      </c>
      <c r="O545" s="71">
        <f t="shared" si="74"/>
        <v>1</v>
      </c>
      <c r="P545" s="71">
        <f t="shared" si="75"/>
        <v>0</v>
      </c>
      <c r="Q545" s="71">
        <f t="shared" si="76"/>
        <v>0</v>
      </c>
      <c r="R545" s="71">
        <f t="shared" si="77"/>
        <v>0</v>
      </c>
      <c r="S545" s="71">
        <f t="shared" si="78"/>
        <v>0</v>
      </c>
      <c r="T545" s="71">
        <f t="shared" si="79"/>
        <v>0</v>
      </c>
      <c r="U545" s="71">
        <f>IF(AND(N545=1,V545=1),IF(COUNTIFS(AKTIVITAS!$B$2:$B$3052,B545,AKTIVITAS!$E$2:$E$3052,H545)&gt;0,1,0),0)</f>
        <v>0</v>
      </c>
      <c r="V545" s="71">
        <f>IFERROR(IF(AND(H545&gt;=INDEX(PEMAGANG!$J$3:$J$36,MATCH(B545,PEMAGANG!$C$3:$C$36,0)),H545&lt;=INDEX(PEMAGANG!$K$3:$K$36,MATCH(B545,PEMAGANG!$C$3:$C$36,0))),1,0),0)</f>
        <v>1</v>
      </c>
      <c r="W545" s="71">
        <f t="shared" si="80"/>
        <v>0</v>
      </c>
    </row>
    <row r="546" spans="1:23" x14ac:dyDescent="0.2">
      <c r="A546" s="71" t="s">
        <v>188</v>
      </c>
      <c r="B546" s="71" t="s">
        <v>189</v>
      </c>
      <c r="C546" s="71" t="s">
        <v>187</v>
      </c>
      <c r="D546" s="71" t="s">
        <v>185</v>
      </c>
      <c r="E546" s="71" t="s">
        <v>47</v>
      </c>
      <c r="F546" s="71" t="s">
        <v>298</v>
      </c>
      <c r="G546" s="88">
        <v>46287.312037037002</v>
      </c>
      <c r="H546" s="89">
        <v>46287</v>
      </c>
      <c r="I546" s="71" t="s">
        <v>365</v>
      </c>
      <c r="J546" s="71">
        <v>-0.999999999999996</v>
      </c>
      <c r="K546" s="71" t="s">
        <v>302</v>
      </c>
      <c r="L546" s="71">
        <f t="shared" si="72"/>
        <v>9</v>
      </c>
      <c r="M546" s="71" t="str">
        <f>IFERROR(INDEX(KALENDER!$D$3:$D$132,MATCH(H546,KALENDER!$A$3:$A$132,0)),"Di luar periode")</f>
        <v>Hari Kerja</v>
      </c>
      <c r="N546" s="71">
        <f t="shared" si="73"/>
        <v>1</v>
      </c>
      <c r="O546" s="71">
        <f t="shared" si="74"/>
        <v>1</v>
      </c>
      <c r="P546" s="71">
        <f t="shared" si="75"/>
        <v>1</v>
      </c>
      <c r="Q546" s="71">
        <f t="shared" si="76"/>
        <v>0</v>
      </c>
      <c r="R546" s="71">
        <f t="shared" si="77"/>
        <v>0</v>
      </c>
      <c r="S546" s="71">
        <f t="shared" si="78"/>
        <v>0</v>
      </c>
      <c r="T546" s="71">
        <f t="shared" si="79"/>
        <v>0</v>
      </c>
      <c r="U546" s="71">
        <f>IF(AND(N546=1,V546=1),IF(COUNTIFS(AKTIVITAS!$B$2:$B$3052,B546,AKTIVITAS!$E$2:$E$3052,H546)&gt;0,1,0),0)</f>
        <v>1</v>
      </c>
      <c r="V546" s="71">
        <f>IFERROR(IF(AND(H546&gt;=INDEX(PEMAGANG!$J$3:$J$36,MATCH(B546,PEMAGANG!$C$3:$C$36,0)),H546&lt;=INDEX(PEMAGANG!$K$3:$K$36,MATCH(B546,PEMAGANG!$C$3:$C$36,0))),1,0),0)</f>
        <v>1</v>
      </c>
      <c r="W546" s="71">
        <f t="shared" si="80"/>
        <v>1</v>
      </c>
    </row>
    <row r="547" spans="1:23" x14ac:dyDescent="0.2">
      <c r="A547" s="71" t="s">
        <v>188</v>
      </c>
      <c r="B547" s="71" t="s">
        <v>189</v>
      </c>
      <c r="C547" s="71" t="s">
        <v>187</v>
      </c>
      <c r="D547" s="71" t="s">
        <v>185</v>
      </c>
      <c r="E547" s="71" t="s">
        <v>47</v>
      </c>
      <c r="F547" s="71" t="s">
        <v>300</v>
      </c>
      <c r="G547" s="88">
        <v>46287.723738425899</v>
      </c>
      <c r="H547" s="89">
        <v>46287</v>
      </c>
      <c r="I547" s="71" t="s">
        <v>385</v>
      </c>
      <c r="J547" s="71">
        <v>0</v>
      </c>
      <c r="K547" s="71" t="s">
        <v>302</v>
      </c>
      <c r="L547" s="71">
        <f t="shared" si="72"/>
        <v>9</v>
      </c>
      <c r="M547" s="71" t="str">
        <f>IFERROR(INDEX(KALENDER!$D$3:$D$132,MATCH(H547,KALENDER!$A$3:$A$132,0)),"Di luar periode")</f>
        <v>Hari Kerja</v>
      </c>
      <c r="N547" s="71">
        <f t="shared" si="73"/>
        <v>0</v>
      </c>
      <c r="O547" s="71">
        <f t="shared" si="74"/>
        <v>1</v>
      </c>
      <c r="P547" s="71">
        <f t="shared" si="75"/>
        <v>0</v>
      </c>
      <c r="Q547" s="71">
        <f t="shared" si="76"/>
        <v>0</v>
      </c>
      <c r="R547" s="71">
        <f t="shared" si="77"/>
        <v>0</v>
      </c>
      <c r="S547" s="71">
        <f t="shared" si="78"/>
        <v>0</v>
      </c>
      <c r="T547" s="71">
        <f t="shared" si="79"/>
        <v>0</v>
      </c>
      <c r="U547" s="71">
        <f>IF(AND(N547=1,V547=1),IF(COUNTIFS(AKTIVITAS!$B$2:$B$3052,B547,AKTIVITAS!$E$2:$E$3052,H547)&gt;0,1,0),0)</f>
        <v>0</v>
      </c>
      <c r="V547" s="71">
        <f>IFERROR(IF(AND(H547&gt;=INDEX(PEMAGANG!$J$3:$J$36,MATCH(B547,PEMAGANG!$C$3:$C$36,0)),H547&lt;=INDEX(PEMAGANG!$K$3:$K$36,MATCH(B547,PEMAGANG!$C$3:$C$36,0))),1,0),0)</f>
        <v>1</v>
      </c>
      <c r="W547" s="71">
        <f t="shared" si="80"/>
        <v>0</v>
      </c>
    </row>
    <row r="548" spans="1:23" x14ac:dyDescent="0.2">
      <c r="A548" s="71" t="s">
        <v>188</v>
      </c>
      <c r="B548" s="71" t="s">
        <v>189</v>
      </c>
      <c r="C548" s="71" t="s">
        <v>187</v>
      </c>
      <c r="D548" s="71" t="s">
        <v>185</v>
      </c>
      <c r="E548" s="71" t="s">
        <v>47</v>
      </c>
      <c r="F548" s="71" t="s">
        <v>298</v>
      </c>
      <c r="G548" s="88">
        <v>46288.310914351903</v>
      </c>
      <c r="H548" s="89">
        <v>46288</v>
      </c>
      <c r="I548" s="71" t="s">
        <v>309</v>
      </c>
      <c r="J548" s="71">
        <v>-2.9999999999999898</v>
      </c>
      <c r="K548" s="71" t="s">
        <v>302</v>
      </c>
      <c r="L548" s="71">
        <f t="shared" si="72"/>
        <v>9</v>
      </c>
      <c r="M548" s="71" t="str">
        <f>IFERROR(INDEX(KALENDER!$D$3:$D$132,MATCH(H548,KALENDER!$A$3:$A$132,0)),"Di luar periode")</f>
        <v>Hari Kerja</v>
      </c>
      <c r="N548" s="71">
        <f t="shared" si="73"/>
        <v>1</v>
      </c>
      <c r="O548" s="71">
        <f t="shared" si="74"/>
        <v>1</v>
      </c>
      <c r="P548" s="71">
        <f t="shared" si="75"/>
        <v>1</v>
      </c>
      <c r="Q548" s="71">
        <f t="shared" si="76"/>
        <v>0</v>
      </c>
      <c r="R548" s="71">
        <f t="shared" si="77"/>
        <v>0</v>
      </c>
      <c r="S548" s="71">
        <f t="shared" si="78"/>
        <v>0</v>
      </c>
      <c r="T548" s="71">
        <f t="shared" si="79"/>
        <v>0</v>
      </c>
      <c r="U548" s="71">
        <f>IF(AND(N548=1,V548=1),IF(COUNTIFS(AKTIVITAS!$B$2:$B$3052,B548,AKTIVITAS!$E$2:$E$3052,H548)&gt;0,1,0),0)</f>
        <v>1</v>
      </c>
      <c r="V548" s="71">
        <f>IFERROR(IF(AND(H548&gt;=INDEX(PEMAGANG!$J$3:$J$36,MATCH(B548,PEMAGANG!$C$3:$C$36,0)),H548&lt;=INDEX(PEMAGANG!$K$3:$K$36,MATCH(B548,PEMAGANG!$C$3:$C$36,0))),1,0),0)</f>
        <v>1</v>
      </c>
      <c r="W548" s="71">
        <f t="shared" si="80"/>
        <v>1</v>
      </c>
    </row>
    <row r="549" spans="1:23" x14ac:dyDescent="0.2">
      <c r="A549" s="71" t="s">
        <v>188</v>
      </c>
      <c r="B549" s="71" t="s">
        <v>189</v>
      </c>
      <c r="C549" s="71" t="s">
        <v>187</v>
      </c>
      <c r="D549" s="71" t="s">
        <v>185</v>
      </c>
      <c r="E549" s="71" t="s">
        <v>47</v>
      </c>
      <c r="F549" s="71" t="s">
        <v>300</v>
      </c>
      <c r="G549" s="88">
        <v>46288.691238425898</v>
      </c>
      <c r="H549" s="89">
        <v>46288</v>
      </c>
      <c r="I549" s="71" t="s">
        <v>310</v>
      </c>
      <c r="J549" s="71">
        <v>0</v>
      </c>
      <c r="K549" s="71" t="s">
        <v>302</v>
      </c>
      <c r="L549" s="71">
        <f t="shared" si="72"/>
        <v>9</v>
      </c>
      <c r="M549" s="71" t="str">
        <f>IFERROR(INDEX(KALENDER!$D$3:$D$132,MATCH(H549,KALENDER!$A$3:$A$132,0)),"Di luar periode")</f>
        <v>Hari Kerja</v>
      </c>
      <c r="N549" s="71">
        <f t="shared" si="73"/>
        <v>0</v>
      </c>
      <c r="O549" s="71">
        <f t="shared" si="74"/>
        <v>1</v>
      </c>
      <c r="P549" s="71">
        <f t="shared" si="75"/>
        <v>0</v>
      </c>
      <c r="Q549" s="71">
        <f t="shared" si="76"/>
        <v>0</v>
      </c>
      <c r="R549" s="71">
        <f t="shared" si="77"/>
        <v>0</v>
      </c>
      <c r="S549" s="71">
        <f t="shared" si="78"/>
        <v>0</v>
      </c>
      <c r="T549" s="71">
        <f t="shared" si="79"/>
        <v>0</v>
      </c>
      <c r="U549" s="71">
        <f>IF(AND(N549=1,V549=1),IF(COUNTIFS(AKTIVITAS!$B$2:$B$3052,B549,AKTIVITAS!$E$2:$E$3052,H549)&gt;0,1,0),0)</f>
        <v>0</v>
      </c>
      <c r="V549" s="71">
        <f>IFERROR(IF(AND(H549&gt;=INDEX(PEMAGANG!$J$3:$J$36,MATCH(B549,PEMAGANG!$C$3:$C$36,0)),H549&lt;=INDEX(PEMAGANG!$K$3:$K$36,MATCH(B549,PEMAGANG!$C$3:$C$36,0))),1,0),0)</f>
        <v>1</v>
      </c>
      <c r="W549" s="71">
        <f t="shared" si="80"/>
        <v>0</v>
      </c>
    </row>
    <row r="550" spans="1:23" x14ac:dyDescent="0.2">
      <c r="A550" s="71" t="s">
        <v>188</v>
      </c>
      <c r="B550" s="71" t="s">
        <v>189</v>
      </c>
      <c r="C550" s="71" t="s">
        <v>187</v>
      </c>
      <c r="D550" s="71" t="s">
        <v>185</v>
      </c>
      <c r="E550" s="71" t="s">
        <v>47</v>
      </c>
      <c r="F550" s="71" t="s">
        <v>298</v>
      </c>
      <c r="G550" s="88">
        <v>46289.308159722197</v>
      </c>
      <c r="H550" s="89">
        <v>46289</v>
      </c>
      <c r="I550" s="71" t="s">
        <v>311</v>
      </c>
      <c r="J550" s="71">
        <v>-6.9999999999999796</v>
      </c>
      <c r="K550" s="71" t="s">
        <v>302</v>
      </c>
      <c r="L550" s="71">
        <f t="shared" si="72"/>
        <v>9</v>
      </c>
      <c r="M550" s="71" t="str">
        <f>IFERROR(INDEX(KALENDER!$D$3:$D$132,MATCH(H550,KALENDER!$A$3:$A$132,0)),"Di luar periode")</f>
        <v>Hari Kerja</v>
      </c>
      <c r="N550" s="71">
        <f t="shared" si="73"/>
        <v>1</v>
      </c>
      <c r="O550" s="71">
        <f t="shared" si="74"/>
        <v>1</v>
      </c>
      <c r="P550" s="71">
        <f t="shared" si="75"/>
        <v>1</v>
      </c>
      <c r="Q550" s="71">
        <f t="shared" si="76"/>
        <v>0</v>
      </c>
      <c r="R550" s="71">
        <f t="shared" si="77"/>
        <v>0</v>
      </c>
      <c r="S550" s="71">
        <f t="shared" si="78"/>
        <v>0</v>
      </c>
      <c r="T550" s="71">
        <f t="shared" si="79"/>
        <v>0</v>
      </c>
      <c r="U550" s="71">
        <f>IF(AND(N550=1,V550=1),IF(COUNTIFS(AKTIVITAS!$B$2:$B$3052,B550,AKTIVITAS!$E$2:$E$3052,H550)&gt;0,1,0),0)</f>
        <v>0</v>
      </c>
      <c r="V550" s="71">
        <f>IFERROR(IF(AND(H550&gt;=INDEX(PEMAGANG!$J$3:$J$36,MATCH(B550,PEMAGANG!$C$3:$C$36,0)),H550&lt;=INDEX(PEMAGANG!$K$3:$K$36,MATCH(B550,PEMAGANG!$C$3:$C$36,0))),1,0),0)</f>
        <v>1</v>
      </c>
      <c r="W550" s="71">
        <f t="shared" si="80"/>
        <v>1</v>
      </c>
    </row>
    <row r="551" spans="1:23" x14ac:dyDescent="0.2">
      <c r="A551" s="71" t="s">
        <v>188</v>
      </c>
      <c r="B551" s="71" t="s">
        <v>189</v>
      </c>
      <c r="C551" s="71" t="s">
        <v>187</v>
      </c>
      <c r="D551" s="71" t="s">
        <v>185</v>
      </c>
      <c r="E551" s="71" t="s">
        <v>47</v>
      </c>
      <c r="F551" s="71" t="s">
        <v>300</v>
      </c>
      <c r="G551" s="88">
        <v>46289.727141203701</v>
      </c>
      <c r="H551" s="89">
        <v>46289</v>
      </c>
      <c r="I551" s="71" t="s">
        <v>389</v>
      </c>
      <c r="J551" s="71">
        <v>0</v>
      </c>
      <c r="K551" s="71" t="s">
        <v>302</v>
      </c>
      <c r="L551" s="71">
        <f t="shared" si="72"/>
        <v>9</v>
      </c>
      <c r="M551" s="71" t="str">
        <f>IFERROR(INDEX(KALENDER!$D$3:$D$132,MATCH(H551,KALENDER!$A$3:$A$132,0)),"Di luar periode")</f>
        <v>Hari Kerja</v>
      </c>
      <c r="N551" s="71">
        <f t="shared" si="73"/>
        <v>0</v>
      </c>
      <c r="O551" s="71">
        <f t="shared" si="74"/>
        <v>1</v>
      </c>
      <c r="P551" s="71">
        <f t="shared" si="75"/>
        <v>0</v>
      </c>
      <c r="Q551" s="71">
        <f t="shared" si="76"/>
        <v>0</v>
      </c>
      <c r="R551" s="71">
        <f t="shared" si="77"/>
        <v>0</v>
      </c>
      <c r="S551" s="71">
        <f t="shared" si="78"/>
        <v>0</v>
      </c>
      <c r="T551" s="71">
        <f t="shared" si="79"/>
        <v>0</v>
      </c>
      <c r="U551" s="71">
        <f>IF(AND(N551=1,V551=1),IF(COUNTIFS(AKTIVITAS!$B$2:$B$3052,B551,AKTIVITAS!$E$2:$E$3052,H551)&gt;0,1,0),0)</f>
        <v>0</v>
      </c>
      <c r="V551" s="71">
        <f>IFERROR(IF(AND(H551&gt;=INDEX(PEMAGANG!$J$3:$J$36,MATCH(B551,PEMAGANG!$C$3:$C$36,0)),H551&lt;=INDEX(PEMAGANG!$K$3:$K$36,MATCH(B551,PEMAGANG!$C$3:$C$36,0))),1,0),0)</f>
        <v>1</v>
      </c>
      <c r="W551" s="71">
        <f t="shared" si="80"/>
        <v>0</v>
      </c>
    </row>
    <row r="552" spans="1:23" x14ac:dyDescent="0.2">
      <c r="A552" s="71" t="s">
        <v>188</v>
      </c>
      <c r="B552" s="71" t="s">
        <v>189</v>
      </c>
      <c r="C552" s="71" t="s">
        <v>187</v>
      </c>
      <c r="D552" s="71" t="s">
        <v>185</v>
      </c>
      <c r="E552" s="71" t="s">
        <v>47</v>
      </c>
      <c r="F552" s="71" t="s">
        <v>298</v>
      </c>
      <c r="G552" s="88">
        <v>46290.309606481504</v>
      </c>
      <c r="H552" s="89">
        <v>46290</v>
      </c>
      <c r="I552" s="71" t="s">
        <v>307</v>
      </c>
      <c r="J552" s="71">
        <v>-4.9999999999999796</v>
      </c>
      <c r="K552" s="71" t="s">
        <v>302</v>
      </c>
      <c r="L552" s="71">
        <f t="shared" si="72"/>
        <v>9</v>
      </c>
      <c r="M552" s="71" t="str">
        <f>IFERROR(INDEX(KALENDER!$D$3:$D$132,MATCH(H552,KALENDER!$A$3:$A$132,0)),"Di luar periode")</f>
        <v>Hari Kerja</v>
      </c>
      <c r="N552" s="71">
        <f t="shared" si="73"/>
        <v>1</v>
      </c>
      <c r="O552" s="71">
        <f t="shared" si="74"/>
        <v>1</v>
      </c>
      <c r="P552" s="71">
        <f t="shared" si="75"/>
        <v>1</v>
      </c>
      <c r="Q552" s="71">
        <f t="shared" si="76"/>
        <v>0</v>
      </c>
      <c r="R552" s="71">
        <f t="shared" si="77"/>
        <v>0</v>
      </c>
      <c r="S552" s="71">
        <f t="shared" si="78"/>
        <v>0</v>
      </c>
      <c r="T552" s="71">
        <f t="shared" si="79"/>
        <v>0</v>
      </c>
      <c r="U552" s="71">
        <f>IF(AND(N552=1,V552=1),IF(COUNTIFS(AKTIVITAS!$B$2:$B$3052,B552,AKTIVITAS!$E$2:$E$3052,H552)&gt;0,1,0),0)</f>
        <v>1</v>
      </c>
      <c r="V552" s="71">
        <f>IFERROR(IF(AND(H552&gt;=INDEX(PEMAGANG!$J$3:$J$36,MATCH(B552,PEMAGANG!$C$3:$C$36,0)),H552&lt;=INDEX(PEMAGANG!$K$3:$K$36,MATCH(B552,PEMAGANG!$C$3:$C$36,0))),1,0),0)</f>
        <v>1</v>
      </c>
      <c r="W552" s="71">
        <f t="shared" si="80"/>
        <v>1</v>
      </c>
    </row>
    <row r="553" spans="1:23" x14ac:dyDescent="0.2">
      <c r="A553" s="71" t="s">
        <v>188</v>
      </c>
      <c r="B553" s="71" t="s">
        <v>189</v>
      </c>
      <c r="C553" s="71" t="s">
        <v>187</v>
      </c>
      <c r="D553" s="71" t="s">
        <v>185</v>
      </c>
      <c r="E553" s="71" t="s">
        <v>47</v>
      </c>
      <c r="F553" s="71" t="s">
        <v>300</v>
      </c>
      <c r="G553" s="88">
        <v>46290.6980555556</v>
      </c>
      <c r="H553" s="89">
        <v>46290</v>
      </c>
      <c r="I553" s="71" t="s">
        <v>318</v>
      </c>
      <c r="J553" s="71">
        <v>0</v>
      </c>
      <c r="K553" s="71" t="s">
        <v>302</v>
      </c>
      <c r="L553" s="71">
        <f t="shared" si="72"/>
        <v>9</v>
      </c>
      <c r="M553" s="71" t="str">
        <f>IFERROR(INDEX(KALENDER!$D$3:$D$132,MATCH(H553,KALENDER!$A$3:$A$132,0)),"Di luar periode")</f>
        <v>Hari Kerja</v>
      </c>
      <c r="N553" s="71">
        <f t="shared" si="73"/>
        <v>0</v>
      </c>
      <c r="O553" s="71">
        <f t="shared" si="74"/>
        <v>1</v>
      </c>
      <c r="P553" s="71">
        <f t="shared" si="75"/>
        <v>0</v>
      </c>
      <c r="Q553" s="71">
        <f t="shared" si="76"/>
        <v>0</v>
      </c>
      <c r="R553" s="71">
        <f t="shared" si="77"/>
        <v>0</v>
      </c>
      <c r="S553" s="71">
        <f t="shared" si="78"/>
        <v>0</v>
      </c>
      <c r="T553" s="71">
        <f t="shared" si="79"/>
        <v>0</v>
      </c>
      <c r="U553" s="71">
        <f>IF(AND(N553=1,V553=1),IF(COUNTIFS(AKTIVITAS!$B$2:$B$3052,B553,AKTIVITAS!$E$2:$E$3052,H553)&gt;0,1,0),0)</f>
        <v>0</v>
      </c>
      <c r="V553" s="71">
        <f>IFERROR(IF(AND(H553&gt;=INDEX(PEMAGANG!$J$3:$J$36,MATCH(B553,PEMAGANG!$C$3:$C$36,0)),H553&lt;=INDEX(PEMAGANG!$K$3:$K$36,MATCH(B553,PEMAGANG!$C$3:$C$36,0))),1,0),0)</f>
        <v>1</v>
      </c>
      <c r="W553" s="71">
        <f t="shared" si="80"/>
        <v>0</v>
      </c>
    </row>
    <row r="554" spans="1:23" x14ac:dyDescent="0.2">
      <c r="A554" s="71" t="s">
        <v>188</v>
      </c>
      <c r="B554" s="71" t="s">
        <v>189</v>
      </c>
      <c r="C554" s="71" t="s">
        <v>187</v>
      </c>
      <c r="D554" s="71" t="s">
        <v>185</v>
      </c>
      <c r="E554" s="71" t="s">
        <v>47</v>
      </c>
      <c r="F554" s="71" t="s">
        <v>298</v>
      </c>
      <c r="G554" s="88">
        <v>46293.310995370397</v>
      </c>
      <c r="H554" s="89">
        <v>46293</v>
      </c>
      <c r="I554" s="71" t="s">
        <v>309</v>
      </c>
      <c r="J554" s="71">
        <v>-2.9999999999999898</v>
      </c>
      <c r="K554" s="71" t="s">
        <v>302</v>
      </c>
      <c r="L554" s="71">
        <f t="shared" si="72"/>
        <v>9</v>
      </c>
      <c r="M554" s="71" t="str">
        <f>IFERROR(INDEX(KALENDER!$D$3:$D$132,MATCH(H554,KALENDER!$A$3:$A$132,0)),"Di luar periode")</f>
        <v>Hari Kerja</v>
      </c>
      <c r="N554" s="71">
        <f t="shared" si="73"/>
        <v>1</v>
      </c>
      <c r="O554" s="71">
        <f t="shared" si="74"/>
        <v>1</v>
      </c>
      <c r="P554" s="71">
        <f t="shared" si="75"/>
        <v>1</v>
      </c>
      <c r="Q554" s="71">
        <f t="shared" si="76"/>
        <v>0</v>
      </c>
      <c r="R554" s="71">
        <f t="shared" si="77"/>
        <v>0</v>
      </c>
      <c r="S554" s="71">
        <f t="shared" si="78"/>
        <v>0</v>
      </c>
      <c r="T554" s="71">
        <f t="shared" si="79"/>
        <v>0</v>
      </c>
      <c r="U554" s="71">
        <f>IF(AND(N554=1,V554=1),IF(COUNTIFS(AKTIVITAS!$B$2:$B$3052,B554,AKTIVITAS!$E$2:$E$3052,H554)&gt;0,1,0),0)</f>
        <v>1</v>
      </c>
      <c r="V554" s="71">
        <f>IFERROR(IF(AND(H554&gt;=INDEX(PEMAGANG!$J$3:$J$36,MATCH(B554,PEMAGANG!$C$3:$C$36,0)),H554&lt;=INDEX(PEMAGANG!$K$3:$K$36,MATCH(B554,PEMAGANG!$C$3:$C$36,0))),1,0),0)</f>
        <v>1</v>
      </c>
      <c r="W554" s="71">
        <f t="shared" si="80"/>
        <v>1</v>
      </c>
    </row>
    <row r="555" spans="1:23" x14ac:dyDescent="0.2">
      <c r="A555" s="71" t="s">
        <v>188</v>
      </c>
      <c r="B555" s="71" t="s">
        <v>189</v>
      </c>
      <c r="C555" s="71" t="s">
        <v>187</v>
      </c>
      <c r="D555" s="71" t="s">
        <v>185</v>
      </c>
      <c r="E555" s="71" t="s">
        <v>47</v>
      </c>
      <c r="F555" s="71" t="s">
        <v>300</v>
      </c>
      <c r="G555" s="88">
        <v>46293.6951736111</v>
      </c>
      <c r="H555" s="89">
        <v>46293</v>
      </c>
      <c r="I555" s="71" t="s">
        <v>319</v>
      </c>
      <c r="J555" s="71">
        <v>0</v>
      </c>
      <c r="K555" s="71" t="s">
        <v>302</v>
      </c>
      <c r="L555" s="71">
        <f t="shared" si="72"/>
        <v>9</v>
      </c>
      <c r="M555" s="71" t="str">
        <f>IFERROR(INDEX(KALENDER!$D$3:$D$132,MATCH(H555,KALENDER!$A$3:$A$132,0)),"Di luar periode")</f>
        <v>Hari Kerja</v>
      </c>
      <c r="N555" s="71">
        <f t="shared" si="73"/>
        <v>0</v>
      </c>
      <c r="O555" s="71">
        <f t="shared" si="74"/>
        <v>1</v>
      </c>
      <c r="P555" s="71">
        <f t="shared" si="75"/>
        <v>0</v>
      </c>
      <c r="Q555" s="71">
        <f t="shared" si="76"/>
        <v>0</v>
      </c>
      <c r="R555" s="71">
        <f t="shared" si="77"/>
        <v>0</v>
      </c>
      <c r="S555" s="71">
        <f t="shared" si="78"/>
        <v>0</v>
      </c>
      <c r="T555" s="71">
        <f t="shared" si="79"/>
        <v>0</v>
      </c>
      <c r="U555" s="71">
        <f>IF(AND(N555=1,V555=1),IF(COUNTIFS(AKTIVITAS!$B$2:$B$3052,B555,AKTIVITAS!$E$2:$E$3052,H555)&gt;0,1,0),0)</f>
        <v>0</v>
      </c>
      <c r="V555" s="71">
        <f>IFERROR(IF(AND(H555&gt;=INDEX(PEMAGANG!$J$3:$J$36,MATCH(B555,PEMAGANG!$C$3:$C$36,0)),H555&lt;=INDEX(PEMAGANG!$K$3:$K$36,MATCH(B555,PEMAGANG!$C$3:$C$36,0))),1,0),0)</f>
        <v>1</v>
      </c>
      <c r="W555" s="71">
        <f t="shared" si="80"/>
        <v>0</v>
      </c>
    </row>
    <row r="556" spans="1:23" x14ac:dyDescent="0.2">
      <c r="A556" s="71" t="s">
        <v>188</v>
      </c>
      <c r="B556" s="71" t="s">
        <v>189</v>
      </c>
      <c r="C556" s="71" t="s">
        <v>187</v>
      </c>
      <c r="D556" s="71" t="s">
        <v>185</v>
      </c>
      <c r="E556" s="71" t="s">
        <v>47</v>
      </c>
      <c r="F556" s="71" t="s">
        <v>298</v>
      </c>
      <c r="G556" s="88">
        <v>46294.311481481498</v>
      </c>
      <c r="H556" s="89">
        <v>46294</v>
      </c>
      <c r="I556" s="71" t="s">
        <v>377</v>
      </c>
      <c r="J556" s="71">
        <v>-1.99999999999999</v>
      </c>
      <c r="K556" s="71" t="s">
        <v>302</v>
      </c>
      <c r="L556" s="71">
        <f t="shared" si="72"/>
        <v>9</v>
      </c>
      <c r="M556" s="71" t="str">
        <f>IFERROR(INDEX(KALENDER!$D$3:$D$132,MATCH(H556,KALENDER!$A$3:$A$132,0)),"Di luar periode")</f>
        <v>Hari Kerja</v>
      </c>
      <c r="N556" s="71">
        <f t="shared" si="73"/>
        <v>1</v>
      </c>
      <c r="O556" s="71">
        <f t="shared" si="74"/>
        <v>1</v>
      </c>
      <c r="P556" s="71">
        <f t="shared" si="75"/>
        <v>1</v>
      </c>
      <c r="Q556" s="71">
        <f t="shared" si="76"/>
        <v>0</v>
      </c>
      <c r="R556" s="71">
        <f t="shared" si="77"/>
        <v>0</v>
      </c>
      <c r="S556" s="71">
        <f t="shared" si="78"/>
        <v>0</v>
      </c>
      <c r="T556" s="71">
        <f t="shared" si="79"/>
        <v>0</v>
      </c>
      <c r="U556" s="71">
        <f>IF(AND(N556=1,V556=1),IF(COUNTIFS(AKTIVITAS!$B$2:$B$3052,B556,AKTIVITAS!$E$2:$E$3052,H556)&gt;0,1,0),0)</f>
        <v>1</v>
      </c>
      <c r="V556" s="71">
        <f>IFERROR(IF(AND(H556&gt;=INDEX(PEMAGANG!$J$3:$J$36,MATCH(B556,PEMAGANG!$C$3:$C$36,0)),H556&lt;=INDEX(PEMAGANG!$K$3:$K$36,MATCH(B556,PEMAGANG!$C$3:$C$36,0))),1,0),0)</f>
        <v>1</v>
      </c>
      <c r="W556" s="71">
        <f t="shared" si="80"/>
        <v>1</v>
      </c>
    </row>
    <row r="557" spans="1:23" x14ac:dyDescent="0.2">
      <c r="A557" s="71" t="s">
        <v>188</v>
      </c>
      <c r="B557" s="71" t="s">
        <v>189</v>
      </c>
      <c r="C557" s="71" t="s">
        <v>187</v>
      </c>
      <c r="D557" s="71" t="s">
        <v>185</v>
      </c>
      <c r="E557" s="71" t="s">
        <v>47</v>
      </c>
      <c r="F557" s="71" t="s">
        <v>300</v>
      </c>
      <c r="G557" s="88">
        <v>46294.761412036998</v>
      </c>
      <c r="H557" s="89">
        <v>46294</v>
      </c>
      <c r="I557" s="71" t="s">
        <v>417</v>
      </c>
      <c r="J557" s="71">
        <v>0</v>
      </c>
      <c r="K557" s="71" t="s">
        <v>302</v>
      </c>
      <c r="L557" s="71">
        <f t="shared" si="72"/>
        <v>9</v>
      </c>
      <c r="M557" s="71" t="str">
        <f>IFERROR(INDEX(KALENDER!$D$3:$D$132,MATCH(H557,KALENDER!$A$3:$A$132,0)),"Di luar periode")</f>
        <v>Hari Kerja</v>
      </c>
      <c r="N557" s="71">
        <f t="shared" si="73"/>
        <v>0</v>
      </c>
      <c r="O557" s="71">
        <f t="shared" si="74"/>
        <v>1</v>
      </c>
      <c r="P557" s="71">
        <f t="shared" si="75"/>
        <v>0</v>
      </c>
      <c r="Q557" s="71">
        <f t="shared" si="76"/>
        <v>0</v>
      </c>
      <c r="R557" s="71">
        <f t="shared" si="77"/>
        <v>0</v>
      </c>
      <c r="S557" s="71">
        <f t="shared" si="78"/>
        <v>0</v>
      </c>
      <c r="T557" s="71">
        <f t="shared" si="79"/>
        <v>0</v>
      </c>
      <c r="U557" s="71">
        <f>IF(AND(N557=1,V557=1),IF(COUNTIFS(AKTIVITAS!$B$2:$B$3052,B557,AKTIVITAS!$E$2:$E$3052,H557)&gt;0,1,0),0)</f>
        <v>0</v>
      </c>
      <c r="V557" s="71">
        <f>IFERROR(IF(AND(H557&gt;=INDEX(PEMAGANG!$J$3:$J$36,MATCH(B557,PEMAGANG!$C$3:$C$36,0)),H557&lt;=INDEX(PEMAGANG!$K$3:$K$36,MATCH(B557,PEMAGANG!$C$3:$C$36,0))),1,0),0)</f>
        <v>1</v>
      </c>
      <c r="W557" s="71">
        <f t="shared" si="80"/>
        <v>0</v>
      </c>
    </row>
    <row r="558" spans="1:23" x14ac:dyDescent="0.2">
      <c r="A558" s="71" t="s">
        <v>188</v>
      </c>
      <c r="B558" s="71" t="s">
        <v>189</v>
      </c>
      <c r="C558" s="71" t="s">
        <v>187</v>
      </c>
      <c r="D558" s="71" t="s">
        <v>185</v>
      </c>
      <c r="E558" s="71" t="s">
        <v>47</v>
      </c>
      <c r="F558" s="71" t="s">
        <v>298</v>
      </c>
      <c r="G558" s="88">
        <v>46295.316087963001</v>
      </c>
      <c r="H558" s="89">
        <v>46295</v>
      </c>
      <c r="I558" s="71" t="s">
        <v>339</v>
      </c>
      <c r="J558" s="71">
        <v>4.9999999999999796</v>
      </c>
      <c r="K558" s="71" t="s">
        <v>293</v>
      </c>
      <c r="L558" s="71">
        <f t="shared" si="72"/>
        <v>9</v>
      </c>
      <c r="M558" s="71" t="str">
        <f>IFERROR(INDEX(KALENDER!$D$3:$D$132,MATCH(H558,KALENDER!$A$3:$A$132,0)),"Di luar periode")</f>
        <v>Hari Kerja</v>
      </c>
      <c r="N558" s="71">
        <f t="shared" si="73"/>
        <v>1</v>
      </c>
      <c r="O558" s="71">
        <f t="shared" si="74"/>
        <v>1</v>
      </c>
      <c r="P558" s="71">
        <f t="shared" si="75"/>
        <v>1</v>
      </c>
      <c r="Q558" s="71">
        <f t="shared" si="76"/>
        <v>0</v>
      </c>
      <c r="R558" s="71">
        <f t="shared" si="77"/>
        <v>1</v>
      </c>
      <c r="S558" s="71">
        <f t="shared" si="78"/>
        <v>4.9999999999999796</v>
      </c>
      <c r="T558" s="71">
        <f t="shared" si="79"/>
        <v>0</v>
      </c>
      <c r="U558" s="71">
        <f>IF(AND(N558=1,V558=1),IF(COUNTIFS(AKTIVITAS!$B$2:$B$3052,B558,AKTIVITAS!$E$2:$E$3052,H558)&gt;0,1,0),0)</f>
        <v>1</v>
      </c>
      <c r="V558" s="71">
        <f>IFERROR(IF(AND(H558&gt;=INDEX(PEMAGANG!$J$3:$J$36,MATCH(B558,PEMAGANG!$C$3:$C$36,0)),H558&lt;=INDEX(PEMAGANG!$K$3:$K$36,MATCH(B558,PEMAGANG!$C$3:$C$36,0))),1,0),0)</f>
        <v>1</v>
      </c>
      <c r="W558" s="71">
        <f t="shared" si="80"/>
        <v>1</v>
      </c>
    </row>
    <row r="559" spans="1:23" x14ac:dyDescent="0.2">
      <c r="A559" s="71" t="s">
        <v>188</v>
      </c>
      <c r="B559" s="71" t="s">
        <v>189</v>
      </c>
      <c r="C559" s="71" t="s">
        <v>187</v>
      </c>
      <c r="D559" s="71" t="s">
        <v>185</v>
      </c>
      <c r="E559" s="71" t="s">
        <v>47</v>
      </c>
      <c r="F559" s="71" t="s">
        <v>300</v>
      </c>
      <c r="G559" s="88">
        <v>46295.735289351898</v>
      </c>
      <c r="H559" s="89">
        <v>46295</v>
      </c>
      <c r="I559" s="71" t="s">
        <v>418</v>
      </c>
      <c r="J559" s="71">
        <v>0</v>
      </c>
      <c r="K559" s="71" t="s">
        <v>302</v>
      </c>
      <c r="L559" s="71">
        <f t="shared" si="72"/>
        <v>9</v>
      </c>
      <c r="M559" s="71" t="str">
        <f>IFERROR(INDEX(KALENDER!$D$3:$D$132,MATCH(H559,KALENDER!$A$3:$A$132,0)),"Di luar periode")</f>
        <v>Hari Kerja</v>
      </c>
      <c r="N559" s="71">
        <f t="shared" si="73"/>
        <v>0</v>
      </c>
      <c r="O559" s="71">
        <f t="shared" si="74"/>
        <v>1</v>
      </c>
      <c r="P559" s="71">
        <f t="shared" si="75"/>
        <v>0</v>
      </c>
      <c r="Q559" s="71">
        <f t="shared" si="76"/>
        <v>0</v>
      </c>
      <c r="R559" s="71">
        <f t="shared" si="77"/>
        <v>0</v>
      </c>
      <c r="S559" s="71">
        <f t="shared" si="78"/>
        <v>0</v>
      </c>
      <c r="T559" s="71">
        <f t="shared" si="79"/>
        <v>0</v>
      </c>
      <c r="U559" s="71">
        <f>IF(AND(N559=1,V559=1),IF(COUNTIFS(AKTIVITAS!$B$2:$B$3052,B559,AKTIVITAS!$E$2:$E$3052,H559)&gt;0,1,0),0)</f>
        <v>0</v>
      </c>
      <c r="V559" s="71">
        <f>IFERROR(IF(AND(H559&gt;=INDEX(PEMAGANG!$J$3:$J$36,MATCH(B559,PEMAGANG!$C$3:$C$36,0)),H559&lt;=INDEX(PEMAGANG!$K$3:$K$36,MATCH(B559,PEMAGANG!$C$3:$C$36,0))),1,0),0)</f>
        <v>1</v>
      </c>
      <c r="W559" s="71">
        <f t="shared" si="80"/>
        <v>0</v>
      </c>
    </row>
    <row r="560" spans="1:23" x14ac:dyDescent="0.2">
      <c r="A560" s="71" t="s">
        <v>419</v>
      </c>
      <c r="B560" s="71" t="s">
        <v>420</v>
      </c>
      <c r="C560" s="71" t="s">
        <v>187</v>
      </c>
      <c r="D560" s="71" t="s">
        <v>421</v>
      </c>
      <c r="E560" s="71" t="s">
        <v>422</v>
      </c>
      <c r="F560" s="71" t="s">
        <v>298</v>
      </c>
      <c r="G560" s="88">
        <v>46219.258437500001</v>
      </c>
      <c r="H560" s="89">
        <v>46219</v>
      </c>
      <c r="I560" s="71" t="s">
        <v>423</v>
      </c>
      <c r="J560" s="71">
        <v>-108</v>
      </c>
      <c r="K560" s="71" t="s">
        <v>302</v>
      </c>
      <c r="L560" s="71">
        <f t="shared" si="72"/>
        <v>7</v>
      </c>
      <c r="M560" s="71" t="str">
        <f>IFERROR(INDEX(KALENDER!$D$3:$D$132,MATCH(H560,KALENDER!$A$3:$A$132,0)),"Di luar periode")</f>
        <v>Hari Kerja</v>
      </c>
      <c r="N560" s="71">
        <f t="shared" si="73"/>
        <v>1</v>
      </c>
      <c r="O560" s="71">
        <f t="shared" si="74"/>
        <v>1</v>
      </c>
      <c r="P560" s="71">
        <f t="shared" si="75"/>
        <v>0</v>
      </c>
      <c r="Q560" s="71">
        <f t="shared" si="76"/>
        <v>1</v>
      </c>
      <c r="R560" s="71">
        <f t="shared" si="77"/>
        <v>0</v>
      </c>
      <c r="S560" s="71">
        <f t="shared" si="78"/>
        <v>0</v>
      </c>
      <c r="T560" s="71">
        <f t="shared" si="79"/>
        <v>0</v>
      </c>
      <c r="U560" s="71">
        <f>IF(AND(N560=1,V560=1),IF(COUNTIFS(AKTIVITAS!$B$2:$B$3052,B560,AKTIVITAS!$E$2:$E$3052,H560)&gt;0,1,0),0)</f>
        <v>0</v>
      </c>
      <c r="V560" s="71">
        <f>IFERROR(IF(AND(H560&gt;=INDEX(PEMAGANG!$J$3:$J$36,MATCH(B560,PEMAGANG!$C$3:$C$36,0)),H560&lt;=INDEX(PEMAGANG!$K$3:$K$36,MATCH(B560,PEMAGANG!$C$3:$C$36,0))),1,0),0)</f>
        <v>0</v>
      </c>
      <c r="W560" s="71">
        <f t="shared" si="80"/>
        <v>0</v>
      </c>
    </row>
    <row r="561" spans="1:23" x14ac:dyDescent="0.2">
      <c r="A561" s="71" t="s">
        <v>419</v>
      </c>
      <c r="B561" s="71" t="s">
        <v>420</v>
      </c>
      <c r="C561" s="71" t="s">
        <v>187</v>
      </c>
      <c r="D561" s="71" t="s">
        <v>421</v>
      </c>
      <c r="E561" s="71" t="s">
        <v>422</v>
      </c>
      <c r="F561" s="71" t="s">
        <v>300</v>
      </c>
      <c r="G561" s="88">
        <v>46219.7676967593</v>
      </c>
      <c r="H561" s="89">
        <v>46219</v>
      </c>
      <c r="I561" s="71" t="s">
        <v>424</v>
      </c>
      <c r="J561" s="71">
        <v>0</v>
      </c>
      <c r="K561" s="71" t="s">
        <v>302</v>
      </c>
      <c r="L561" s="71">
        <f t="shared" si="72"/>
        <v>7</v>
      </c>
      <c r="M561" s="71" t="str">
        <f>IFERROR(INDEX(KALENDER!$D$3:$D$132,MATCH(H561,KALENDER!$A$3:$A$132,0)),"Di luar periode")</f>
        <v>Hari Kerja</v>
      </c>
      <c r="N561" s="71">
        <f t="shared" si="73"/>
        <v>0</v>
      </c>
      <c r="O561" s="71">
        <f t="shared" si="74"/>
        <v>1</v>
      </c>
      <c r="P561" s="71">
        <f t="shared" si="75"/>
        <v>0</v>
      </c>
      <c r="Q561" s="71">
        <f t="shared" si="76"/>
        <v>0</v>
      </c>
      <c r="R561" s="71">
        <f t="shared" si="77"/>
        <v>0</v>
      </c>
      <c r="S561" s="71">
        <f t="shared" si="78"/>
        <v>0</v>
      </c>
      <c r="T561" s="71">
        <f t="shared" si="79"/>
        <v>0</v>
      </c>
      <c r="U561" s="71">
        <f>IF(AND(N561=1,V561=1),IF(COUNTIFS(AKTIVITAS!$B$2:$B$3052,B561,AKTIVITAS!$E$2:$E$3052,H561)&gt;0,1,0),0)</f>
        <v>0</v>
      </c>
      <c r="V561" s="71">
        <f>IFERROR(IF(AND(H561&gt;=INDEX(PEMAGANG!$J$3:$J$36,MATCH(B561,PEMAGANG!$C$3:$C$36,0)),H561&lt;=INDEX(PEMAGANG!$K$3:$K$36,MATCH(B561,PEMAGANG!$C$3:$C$36,0))),1,0),0)</f>
        <v>0</v>
      </c>
      <c r="W561" s="71">
        <f t="shared" si="80"/>
        <v>0</v>
      </c>
    </row>
    <row r="562" spans="1:23" x14ac:dyDescent="0.2">
      <c r="A562" s="71" t="s">
        <v>419</v>
      </c>
      <c r="B562" s="71" t="s">
        <v>420</v>
      </c>
      <c r="C562" s="71" t="s">
        <v>187</v>
      </c>
      <c r="D562" s="71" t="s">
        <v>421</v>
      </c>
      <c r="E562" s="71" t="s">
        <v>422</v>
      </c>
      <c r="F562" s="71" t="s">
        <v>298</v>
      </c>
      <c r="G562" s="88">
        <v>46220.267523148199</v>
      </c>
      <c r="H562" s="89">
        <v>46220</v>
      </c>
      <c r="I562" s="71" t="s">
        <v>425</v>
      </c>
      <c r="J562" s="71">
        <v>-95</v>
      </c>
      <c r="K562" s="71" t="s">
        <v>302</v>
      </c>
      <c r="L562" s="71">
        <f t="shared" si="72"/>
        <v>7</v>
      </c>
      <c r="M562" s="71" t="str">
        <f>IFERROR(INDEX(KALENDER!$D$3:$D$132,MATCH(H562,KALENDER!$A$3:$A$132,0)),"Di luar periode")</f>
        <v>Hari Kerja</v>
      </c>
      <c r="N562" s="71">
        <f t="shared" si="73"/>
        <v>1</v>
      </c>
      <c r="O562" s="71">
        <f t="shared" si="74"/>
        <v>1</v>
      </c>
      <c r="P562" s="71">
        <f t="shared" si="75"/>
        <v>0</v>
      </c>
      <c r="Q562" s="71">
        <f t="shared" si="76"/>
        <v>1</v>
      </c>
      <c r="R562" s="71">
        <f t="shared" si="77"/>
        <v>0</v>
      </c>
      <c r="S562" s="71">
        <f t="shared" si="78"/>
        <v>0</v>
      </c>
      <c r="T562" s="71">
        <f t="shared" si="79"/>
        <v>0</v>
      </c>
      <c r="U562" s="71">
        <f>IF(AND(N562=1,V562=1),IF(COUNTIFS(AKTIVITAS!$B$2:$B$3052,B562,AKTIVITAS!$E$2:$E$3052,H562)&gt;0,1,0),0)</f>
        <v>0</v>
      </c>
      <c r="V562" s="71">
        <f>IFERROR(IF(AND(H562&gt;=INDEX(PEMAGANG!$J$3:$J$36,MATCH(B562,PEMAGANG!$C$3:$C$36,0)),H562&lt;=INDEX(PEMAGANG!$K$3:$K$36,MATCH(B562,PEMAGANG!$C$3:$C$36,0))),1,0),0)</f>
        <v>0</v>
      </c>
      <c r="W562" s="71">
        <f t="shared" si="80"/>
        <v>0</v>
      </c>
    </row>
    <row r="563" spans="1:23" x14ac:dyDescent="0.2">
      <c r="A563" s="71" t="s">
        <v>419</v>
      </c>
      <c r="B563" s="71" t="s">
        <v>420</v>
      </c>
      <c r="C563" s="71" t="s">
        <v>187</v>
      </c>
      <c r="D563" s="71" t="s">
        <v>421</v>
      </c>
      <c r="E563" s="71" t="s">
        <v>422</v>
      </c>
      <c r="F563" s="71" t="s">
        <v>300</v>
      </c>
      <c r="G563" s="88">
        <v>46220.767442129603</v>
      </c>
      <c r="H563" s="89">
        <v>46220</v>
      </c>
      <c r="I563" s="71" t="s">
        <v>424</v>
      </c>
      <c r="J563" s="71">
        <v>0</v>
      </c>
      <c r="K563" s="71" t="s">
        <v>302</v>
      </c>
      <c r="L563" s="71">
        <f t="shared" si="72"/>
        <v>7</v>
      </c>
      <c r="M563" s="71" t="str">
        <f>IFERROR(INDEX(KALENDER!$D$3:$D$132,MATCH(H563,KALENDER!$A$3:$A$132,0)),"Di luar periode")</f>
        <v>Hari Kerja</v>
      </c>
      <c r="N563" s="71">
        <f t="shared" si="73"/>
        <v>0</v>
      </c>
      <c r="O563" s="71">
        <f t="shared" si="74"/>
        <v>1</v>
      </c>
      <c r="P563" s="71">
        <f t="shared" si="75"/>
        <v>0</v>
      </c>
      <c r="Q563" s="71">
        <f t="shared" si="76"/>
        <v>0</v>
      </c>
      <c r="R563" s="71">
        <f t="shared" si="77"/>
        <v>0</v>
      </c>
      <c r="S563" s="71">
        <f t="shared" si="78"/>
        <v>0</v>
      </c>
      <c r="T563" s="71">
        <f t="shared" si="79"/>
        <v>0</v>
      </c>
      <c r="U563" s="71">
        <f>IF(AND(N563=1,V563=1),IF(COUNTIFS(AKTIVITAS!$B$2:$B$3052,B563,AKTIVITAS!$E$2:$E$3052,H563)&gt;0,1,0),0)</f>
        <v>0</v>
      </c>
      <c r="V563" s="71">
        <f>IFERROR(IF(AND(H563&gt;=INDEX(PEMAGANG!$J$3:$J$36,MATCH(B563,PEMAGANG!$C$3:$C$36,0)),H563&lt;=INDEX(PEMAGANG!$K$3:$K$36,MATCH(B563,PEMAGANG!$C$3:$C$36,0))),1,0),0)</f>
        <v>0</v>
      </c>
      <c r="W563" s="71">
        <f t="shared" si="80"/>
        <v>0</v>
      </c>
    </row>
    <row r="564" spans="1:23" x14ac:dyDescent="0.2">
      <c r="A564" s="71" t="s">
        <v>419</v>
      </c>
      <c r="B564" s="71" t="s">
        <v>420</v>
      </c>
      <c r="C564" s="71" t="s">
        <v>187</v>
      </c>
      <c r="D564" s="71" t="s">
        <v>421</v>
      </c>
      <c r="E564" s="71" t="s">
        <v>422</v>
      </c>
      <c r="F564" s="71" t="s">
        <v>298</v>
      </c>
      <c r="G564" s="88">
        <v>46223.260231481501</v>
      </c>
      <c r="H564" s="89">
        <v>46223</v>
      </c>
      <c r="I564" s="71" t="s">
        <v>426</v>
      </c>
      <c r="J564" s="71">
        <v>-106</v>
      </c>
      <c r="K564" s="71" t="s">
        <v>302</v>
      </c>
      <c r="L564" s="71">
        <f t="shared" si="72"/>
        <v>7</v>
      </c>
      <c r="M564" s="71" t="str">
        <f>IFERROR(INDEX(KALENDER!$D$3:$D$132,MATCH(H564,KALENDER!$A$3:$A$132,0)),"Di luar periode")</f>
        <v>Hari Kerja</v>
      </c>
      <c r="N564" s="71">
        <f t="shared" si="73"/>
        <v>1</v>
      </c>
      <c r="O564" s="71">
        <f t="shared" si="74"/>
        <v>1</v>
      </c>
      <c r="P564" s="71">
        <f t="shared" si="75"/>
        <v>0</v>
      </c>
      <c r="Q564" s="71">
        <f t="shared" si="76"/>
        <v>1</v>
      </c>
      <c r="R564" s="71">
        <f t="shared" si="77"/>
        <v>0</v>
      </c>
      <c r="S564" s="71">
        <f t="shared" si="78"/>
        <v>0</v>
      </c>
      <c r="T564" s="71">
        <f t="shared" si="79"/>
        <v>0</v>
      </c>
      <c r="U564" s="71">
        <f>IF(AND(N564=1,V564=1),IF(COUNTIFS(AKTIVITAS!$B$2:$B$3052,B564,AKTIVITAS!$E$2:$E$3052,H564)&gt;0,1,0),0)</f>
        <v>0</v>
      </c>
      <c r="V564" s="71">
        <f>IFERROR(IF(AND(H564&gt;=INDEX(PEMAGANG!$J$3:$J$36,MATCH(B564,PEMAGANG!$C$3:$C$36,0)),H564&lt;=INDEX(PEMAGANG!$K$3:$K$36,MATCH(B564,PEMAGANG!$C$3:$C$36,0))),1,0),0)</f>
        <v>0</v>
      </c>
      <c r="W564" s="71">
        <f t="shared" si="80"/>
        <v>0</v>
      </c>
    </row>
    <row r="565" spans="1:23" x14ac:dyDescent="0.2">
      <c r="A565" s="71" t="s">
        <v>419</v>
      </c>
      <c r="B565" s="71" t="s">
        <v>420</v>
      </c>
      <c r="C565" s="71" t="s">
        <v>187</v>
      </c>
      <c r="D565" s="71" t="s">
        <v>421</v>
      </c>
      <c r="E565" s="71" t="s">
        <v>422</v>
      </c>
      <c r="F565" s="71" t="s">
        <v>300</v>
      </c>
      <c r="G565" s="88">
        <v>46223.766192129602</v>
      </c>
      <c r="H565" s="89">
        <v>46223</v>
      </c>
      <c r="I565" s="71" t="s">
        <v>427</v>
      </c>
      <c r="J565" s="71">
        <v>0</v>
      </c>
      <c r="K565" s="71" t="s">
        <v>302</v>
      </c>
      <c r="L565" s="71">
        <f t="shared" si="72"/>
        <v>7</v>
      </c>
      <c r="M565" s="71" t="str">
        <f>IFERROR(INDEX(KALENDER!$D$3:$D$132,MATCH(H565,KALENDER!$A$3:$A$132,0)),"Di luar periode")</f>
        <v>Hari Kerja</v>
      </c>
      <c r="N565" s="71">
        <f t="shared" si="73"/>
        <v>0</v>
      </c>
      <c r="O565" s="71">
        <f t="shared" si="74"/>
        <v>1</v>
      </c>
      <c r="P565" s="71">
        <f t="shared" si="75"/>
        <v>0</v>
      </c>
      <c r="Q565" s="71">
        <f t="shared" si="76"/>
        <v>0</v>
      </c>
      <c r="R565" s="71">
        <f t="shared" si="77"/>
        <v>0</v>
      </c>
      <c r="S565" s="71">
        <f t="shared" si="78"/>
        <v>0</v>
      </c>
      <c r="T565" s="71">
        <f t="shared" si="79"/>
        <v>0</v>
      </c>
      <c r="U565" s="71">
        <f>IF(AND(N565=1,V565=1),IF(COUNTIFS(AKTIVITAS!$B$2:$B$3052,B565,AKTIVITAS!$E$2:$E$3052,H565)&gt;0,1,0),0)</f>
        <v>0</v>
      </c>
      <c r="V565" s="71">
        <f>IFERROR(IF(AND(H565&gt;=INDEX(PEMAGANG!$J$3:$J$36,MATCH(B565,PEMAGANG!$C$3:$C$36,0)),H565&lt;=INDEX(PEMAGANG!$K$3:$K$36,MATCH(B565,PEMAGANG!$C$3:$C$36,0))),1,0),0)</f>
        <v>0</v>
      </c>
      <c r="W565" s="71">
        <f t="shared" si="80"/>
        <v>0</v>
      </c>
    </row>
    <row r="566" spans="1:23" x14ac:dyDescent="0.2">
      <c r="A566" s="71" t="s">
        <v>419</v>
      </c>
      <c r="B566" s="71" t="s">
        <v>420</v>
      </c>
      <c r="C566" s="71" t="s">
        <v>187</v>
      </c>
      <c r="D566" s="71" t="s">
        <v>421</v>
      </c>
      <c r="E566" s="71" t="s">
        <v>422</v>
      </c>
      <c r="F566" s="71" t="s">
        <v>298</v>
      </c>
      <c r="G566" s="88">
        <v>46224.261736111097</v>
      </c>
      <c r="H566" s="89">
        <v>46224</v>
      </c>
      <c r="I566" s="71" t="s">
        <v>428</v>
      </c>
      <c r="J566" s="71">
        <v>-104</v>
      </c>
      <c r="K566" s="71" t="s">
        <v>302</v>
      </c>
      <c r="L566" s="71">
        <f t="shared" si="72"/>
        <v>7</v>
      </c>
      <c r="M566" s="71" t="str">
        <f>IFERROR(INDEX(KALENDER!$D$3:$D$132,MATCH(H566,KALENDER!$A$3:$A$132,0)),"Di luar periode")</f>
        <v>Hari Kerja</v>
      </c>
      <c r="N566" s="71">
        <f t="shared" si="73"/>
        <v>1</v>
      </c>
      <c r="O566" s="71">
        <f t="shared" si="74"/>
        <v>1</v>
      </c>
      <c r="P566" s="71">
        <f t="shared" si="75"/>
        <v>0</v>
      </c>
      <c r="Q566" s="71">
        <f t="shared" si="76"/>
        <v>1</v>
      </c>
      <c r="R566" s="71">
        <f t="shared" si="77"/>
        <v>0</v>
      </c>
      <c r="S566" s="71">
        <f t="shared" si="78"/>
        <v>0</v>
      </c>
      <c r="T566" s="71">
        <f t="shared" si="79"/>
        <v>0</v>
      </c>
      <c r="U566" s="71">
        <f>IF(AND(N566=1,V566=1),IF(COUNTIFS(AKTIVITAS!$B$2:$B$3052,B566,AKTIVITAS!$E$2:$E$3052,H566)&gt;0,1,0),0)</f>
        <v>0</v>
      </c>
      <c r="V566" s="71">
        <f>IFERROR(IF(AND(H566&gt;=INDEX(PEMAGANG!$J$3:$J$36,MATCH(B566,PEMAGANG!$C$3:$C$36,0)),H566&lt;=INDEX(PEMAGANG!$K$3:$K$36,MATCH(B566,PEMAGANG!$C$3:$C$36,0))),1,0),0)</f>
        <v>0</v>
      </c>
      <c r="W566" s="71">
        <f t="shared" si="80"/>
        <v>0</v>
      </c>
    </row>
    <row r="567" spans="1:23" x14ac:dyDescent="0.2">
      <c r="A567" s="71" t="s">
        <v>419</v>
      </c>
      <c r="B567" s="71" t="s">
        <v>420</v>
      </c>
      <c r="C567" s="71" t="s">
        <v>187</v>
      </c>
      <c r="D567" s="71" t="s">
        <v>421</v>
      </c>
      <c r="E567" s="71" t="s">
        <v>422</v>
      </c>
      <c r="F567" s="71" t="s">
        <v>300</v>
      </c>
      <c r="G567" s="88">
        <v>46224.774814814802</v>
      </c>
      <c r="H567" s="89">
        <v>46224</v>
      </c>
      <c r="I567" s="71" t="s">
        <v>429</v>
      </c>
      <c r="J567" s="71">
        <v>0</v>
      </c>
      <c r="K567" s="71" t="s">
        <v>302</v>
      </c>
      <c r="L567" s="71">
        <f t="shared" si="72"/>
        <v>7</v>
      </c>
      <c r="M567" s="71" t="str">
        <f>IFERROR(INDEX(KALENDER!$D$3:$D$132,MATCH(H567,KALENDER!$A$3:$A$132,0)),"Di luar periode")</f>
        <v>Hari Kerja</v>
      </c>
      <c r="N567" s="71">
        <f t="shared" si="73"/>
        <v>0</v>
      </c>
      <c r="O567" s="71">
        <f t="shared" si="74"/>
        <v>1</v>
      </c>
      <c r="P567" s="71">
        <f t="shared" si="75"/>
        <v>0</v>
      </c>
      <c r="Q567" s="71">
        <f t="shared" si="76"/>
        <v>0</v>
      </c>
      <c r="R567" s="71">
        <f t="shared" si="77"/>
        <v>0</v>
      </c>
      <c r="S567" s="71">
        <f t="shared" si="78"/>
        <v>0</v>
      </c>
      <c r="T567" s="71">
        <f t="shared" si="79"/>
        <v>0</v>
      </c>
      <c r="U567" s="71">
        <f>IF(AND(N567=1,V567=1),IF(COUNTIFS(AKTIVITAS!$B$2:$B$3052,B567,AKTIVITAS!$E$2:$E$3052,H567)&gt;0,1,0),0)</f>
        <v>0</v>
      </c>
      <c r="V567" s="71">
        <f>IFERROR(IF(AND(H567&gt;=INDEX(PEMAGANG!$J$3:$J$36,MATCH(B567,PEMAGANG!$C$3:$C$36,0)),H567&lt;=INDEX(PEMAGANG!$K$3:$K$36,MATCH(B567,PEMAGANG!$C$3:$C$36,0))),1,0),0)</f>
        <v>0</v>
      </c>
      <c r="W567" s="71">
        <f t="shared" si="80"/>
        <v>0</v>
      </c>
    </row>
    <row r="568" spans="1:23" x14ac:dyDescent="0.2">
      <c r="A568" s="71" t="s">
        <v>419</v>
      </c>
      <c r="B568" s="71" t="s">
        <v>420</v>
      </c>
      <c r="C568" s="71" t="s">
        <v>187</v>
      </c>
      <c r="D568" s="71" t="s">
        <v>421</v>
      </c>
      <c r="E568" s="71" t="s">
        <v>422</v>
      </c>
      <c r="F568" s="71" t="s">
        <v>298</v>
      </c>
      <c r="G568" s="88">
        <v>46225.258460648198</v>
      </c>
      <c r="H568" s="89">
        <v>46225</v>
      </c>
      <c r="I568" s="71" t="s">
        <v>423</v>
      </c>
      <c r="J568" s="71">
        <v>-108</v>
      </c>
      <c r="K568" s="71" t="s">
        <v>302</v>
      </c>
      <c r="L568" s="71">
        <f t="shared" si="72"/>
        <v>7</v>
      </c>
      <c r="M568" s="71" t="str">
        <f>IFERROR(INDEX(KALENDER!$D$3:$D$132,MATCH(H568,KALENDER!$A$3:$A$132,0)),"Di luar periode")</f>
        <v>WFH</v>
      </c>
      <c r="N568" s="71">
        <f t="shared" si="73"/>
        <v>1</v>
      </c>
      <c r="O568" s="71">
        <f t="shared" si="74"/>
        <v>1</v>
      </c>
      <c r="P568" s="71">
        <f t="shared" si="75"/>
        <v>0</v>
      </c>
      <c r="Q568" s="71">
        <f t="shared" si="76"/>
        <v>1</v>
      </c>
      <c r="R568" s="71">
        <f t="shared" si="77"/>
        <v>0</v>
      </c>
      <c r="S568" s="71">
        <f t="shared" si="78"/>
        <v>0</v>
      </c>
      <c r="T568" s="71">
        <f t="shared" si="79"/>
        <v>0</v>
      </c>
      <c r="U568" s="71">
        <f>IF(AND(N568=1,V568=1),IF(COUNTIFS(AKTIVITAS!$B$2:$B$3052,B568,AKTIVITAS!$E$2:$E$3052,H568)&gt;0,1,0),0)</f>
        <v>0</v>
      </c>
      <c r="V568" s="71">
        <f>IFERROR(IF(AND(H568&gt;=INDEX(PEMAGANG!$J$3:$J$36,MATCH(B568,PEMAGANG!$C$3:$C$36,0)),H568&lt;=INDEX(PEMAGANG!$K$3:$K$36,MATCH(B568,PEMAGANG!$C$3:$C$36,0))),1,0),0)</f>
        <v>0</v>
      </c>
      <c r="W568" s="71">
        <f t="shared" si="80"/>
        <v>0</v>
      </c>
    </row>
    <row r="569" spans="1:23" x14ac:dyDescent="0.2">
      <c r="A569" s="71" t="s">
        <v>419</v>
      </c>
      <c r="B569" s="71" t="s">
        <v>420</v>
      </c>
      <c r="C569" s="71" t="s">
        <v>187</v>
      </c>
      <c r="D569" s="71" t="s">
        <v>421</v>
      </c>
      <c r="E569" s="71" t="s">
        <v>422</v>
      </c>
      <c r="F569" s="71" t="s">
        <v>300</v>
      </c>
      <c r="G569" s="88">
        <v>46225.763368055603</v>
      </c>
      <c r="H569" s="89">
        <v>46225</v>
      </c>
      <c r="I569" s="71" t="s">
        <v>430</v>
      </c>
      <c r="J569" s="71">
        <v>0</v>
      </c>
      <c r="K569" s="71" t="s">
        <v>302</v>
      </c>
      <c r="L569" s="71">
        <f t="shared" si="72"/>
        <v>7</v>
      </c>
      <c r="M569" s="71" t="str">
        <f>IFERROR(INDEX(KALENDER!$D$3:$D$132,MATCH(H569,KALENDER!$A$3:$A$132,0)),"Di luar periode")</f>
        <v>WFH</v>
      </c>
      <c r="N569" s="71">
        <f t="shared" si="73"/>
        <v>0</v>
      </c>
      <c r="O569" s="71">
        <f t="shared" si="74"/>
        <v>1</v>
      </c>
      <c r="P569" s="71">
        <f t="shared" si="75"/>
        <v>0</v>
      </c>
      <c r="Q569" s="71">
        <f t="shared" si="76"/>
        <v>0</v>
      </c>
      <c r="R569" s="71">
        <f t="shared" si="77"/>
        <v>0</v>
      </c>
      <c r="S569" s="71">
        <f t="shared" si="78"/>
        <v>0</v>
      </c>
      <c r="T569" s="71">
        <f t="shared" si="79"/>
        <v>0</v>
      </c>
      <c r="U569" s="71">
        <f>IF(AND(N569=1,V569=1),IF(COUNTIFS(AKTIVITAS!$B$2:$B$3052,B569,AKTIVITAS!$E$2:$E$3052,H569)&gt;0,1,0),0)</f>
        <v>0</v>
      </c>
      <c r="V569" s="71">
        <f>IFERROR(IF(AND(H569&gt;=INDEX(PEMAGANG!$J$3:$J$36,MATCH(B569,PEMAGANG!$C$3:$C$36,0)),H569&lt;=INDEX(PEMAGANG!$K$3:$K$36,MATCH(B569,PEMAGANG!$C$3:$C$36,0))),1,0),0)</f>
        <v>0</v>
      </c>
      <c r="W569" s="71">
        <f t="shared" si="80"/>
        <v>0</v>
      </c>
    </row>
    <row r="570" spans="1:23" x14ac:dyDescent="0.2">
      <c r="A570" s="71" t="s">
        <v>419</v>
      </c>
      <c r="B570" s="71" t="s">
        <v>420</v>
      </c>
      <c r="C570" s="71" t="s">
        <v>187</v>
      </c>
      <c r="D570" s="71" t="s">
        <v>421</v>
      </c>
      <c r="E570" s="71" t="s">
        <v>422</v>
      </c>
      <c r="F570" s="71" t="s">
        <v>298</v>
      </c>
      <c r="G570" s="88">
        <v>46226.263055555602</v>
      </c>
      <c r="H570" s="89">
        <v>46226</v>
      </c>
      <c r="I570" s="71" t="s">
        <v>431</v>
      </c>
      <c r="J570" s="71">
        <v>-102</v>
      </c>
      <c r="K570" s="71" t="s">
        <v>302</v>
      </c>
      <c r="L570" s="71">
        <f t="shared" si="72"/>
        <v>7</v>
      </c>
      <c r="M570" s="71" t="str">
        <f>IFERROR(INDEX(KALENDER!$D$3:$D$132,MATCH(H570,KALENDER!$A$3:$A$132,0)),"Di luar periode")</f>
        <v>Hari Kerja</v>
      </c>
      <c r="N570" s="71">
        <f t="shared" si="73"/>
        <v>1</v>
      </c>
      <c r="O570" s="71">
        <f t="shared" si="74"/>
        <v>1</v>
      </c>
      <c r="P570" s="71">
        <f t="shared" si="75"/>
        <v>0</v>
      </c>
      <c r="Q570" s="71">
        <f t="shared" si="76"/>
        <v>1</v>
      </c>
      <c r="R570" s="71">
        <f t="shared" si="77"/>
        <v>0</v>
      </c>
      <c r="S570" s="71">
        <f t="shared" si="78"/>
        <v>0</v>
      </c>
      <c r="T570" s="71">
        <f t="shared" si="79"/>
        <v>0</v>
      </c>
      <c r="U570" s="71">
        <f>IF(AND(N570=1,V570=1),IF(COUNTIFS(AKTIVITAS!$B$2:$B$3052,B570,AKTIVITAS!$E$2:$E$3052,H570)&gt;0,1,0),0)</f>
        <v>0</v>
      </c>
      <c r="V570" s="71">
        <f>IFERROR(IF(AND(H570&gt;=INDEX(PEMAGANG!$J$3:$J$36,MATCH(B570,PEMAGANG!$C$3:$C$36,0)),H570&lt;=INDEX(PEMAGANG!$K$3:$K$36,MATCH(B570,PEMAGANG!$C$3:$C$36,0))),1,0),0)</f>
        <v>0</v>
      </c>
      <c r="W570" s="71">
        <f t="shared" si="80"/>
        <v>0</v>
      </c>
    </row>
    <row r="571" spans="1:23" x14ac:dyDescent="0.2">
      <c r="A571" s="71" t="s">
        <v>419</v>
      </c>
      <c r="B571" s="71" t="s">
        <v>420</v>
      </c>
      <c r="C571" s="71" t="s">
        <v>187</v>
      </c>
      <c r="D571" s="71" t="s">
        <v>421</v>
      </c>
      <c r="E571" s="71" t="s">
        <v>422</v>
      </c>
      <c r="F571" s="71" t="s">
        <v>300</v>
      </c>
      <c r="G571" s="88">
        <v>46226.7671990741</v>
      </c>
      <c r="H571" s="89">
        <v>46226</v>
      </c>
      <c r="I571" s="71" t="s">
        <v>359</v>
      </c>
      <c r="J571" s="71">
        <v>0</v>
      </c>
      <c r="K571" s="71" t="s">
        <v>302</v>
      </c>
      <c r="L571" s="71">
        <f t="shared" si="72"/>
        <v>7</v>
      </c>
      <c r="M571" s="71" t="str">
        <f>IFERROR(INDEX(KALENDER!$D$3:$D$132,MATCH(H571,KALENDER!$A$3:$A$132,0)),"Di luar periode")</f>
        <v>Hari Kerja</v>
      </c>
      <c r="N571" s="71">
        <f t="shared" si="73"/>
        <v>0</v>
      </c>
      <c r="O571" s="71">
        <f t="shared" si="74"/>
        <v>1</v>
      </c>
      <c r="P571" s="71">
        <f t="shared" si="75"/>
        <v>0</v>
      </c>
      <c r="Q571" s="71">
        <f t="shared" si="76"/>
        <v>0</v>
      </c>
      <c r="R571" s="71">
        <f t="shared" si="77"/>
        <v>0</v>
      </c>
      <c r="S571" s="71">
        <f t="shared" si="78"/>
        <v>0</v>
      </c>
      <c r="T571" s="71">
        <f t="shared" si="79"/>
        <v>0</v>
      </c>
      <c r="U571" s="71">
        <f>IF(AND(N571=1,V571=1),IF(COUNTIFS(AKTIVITAS!$B$2:$B$3052,B571,AKTIVITAS!$E$2:$E$3052,H571)&gt;0,1,0),0)</f>
        <v>0</v>
      </c>
      <c r="V571" s="71">
        <f>IFERROR(IF(AND(H571&gt;=INDEX(PEMAGANG!$J$3:$J$36,MATCH(B571,PEMAGANG!$C$3:$C$36,0)),H571&lt;=INDEX(PEMAGANG!$K$3:$K$36,MATCH(B571,PEMAGANG!$C$3:$C$36,0))),1,0),0)</f>
        <v>0</v>
      </c>
      <c r="W571" s="71">
        <f t="shared" si="80"/>
        <v>0</v>
      </c>
    </row>
    <row r="572" spans="1:23" x14ac:dyDescent="0.2">
      <c r="A572" s="71" t="s">
        <v>419</v>
      </c>
      <c r="B572" s="71" t="s">
        <v>420</v>
      </c>
      <c r="C572" s="71" t="s">
        <v>187</v>
      </c>
      <c r="D572" s="71" t="s">
        <v>421</v>
      </c>
      <c r="E572" s="71" t="s">
        <v>422</v>
      </c>
      <c r="F572" s="71" t="s">
        <v>298</v>
      </c>
      <c r="G572" s="88">
        <v>46227.261192129597</v>
      </c>
      <c r="H572" s="89">
        <v>46227</v>
      </c>
      <c r="I572" s="71" t="s">
        <v>428</v>
      </c>
      <c r="J572" s="71">
        <v>-104</v>
      </c>
      <c r="K572" s="71" t="s">
        <v>302</v>
      </c>
      <c r="L572" s="71">
        <f t="shared" si="72"/>
        <v>7</v>
      </c>
      <c r="M572" s="71" t="str">
        <f>IFERROR(INDEX(KALENDER!$D$3:$D$132,MATCH(H572,KALENDER!$A$3:$A$132,0)),"Di luar periode")</f>
        <v>Hari Kerja</v>
      </c>
      <c r="N572" s="71">
        <f t="shared" si="73"/>
        <v>1</v>
      </c>
      <c r="O572" s="71">
        <f t="shared" si="74"/>
        <v>1</v>
      </c>
      <c r="P572" s="71">
        <f t="shared" si="75"/>
        <v>0</v>
      </c>
      <c r="Q572" s="71">
        <f t="shared" si="76"/>
        <v>1</v>
      </c>
      <c r="R572" s="71">
        <f t="shared" si="77"/>
        <v>0</v>
      </c>
      <c r="S572" s="71">
        <f t="shared" si="78"/>
        <v>0</v>
      </c>
      <c r="T572" s="71">
        <f t="shared" si="79"/>
        <v>0</v>
      </c>
      <c r="U572" s="71">
        <f>IF(AND(N572=1,V572=1),IF(COUNTIFS(AKTIVITAS!$B$2:$B$3052,B572,AKTIVITAS!$E$2:$E$3052,H572)&gt;0,1,0),0)</f>
        <v>0</v>
      </c>
      <c r="V572" s="71">
        <f>IFERROR(IF(AND(H572&gt;=INDEX(PEMAGANG!$J$3:$J$36,MATCH(B572,PEMAGANG!$C$3:$C$36,0)),H572&lt;=INDEX(PEMAGANG!$K$3:$K$36,MATCH(B572,PEMAGANG!$C$3:$C$36,0))),1,0),0)</f>
        <v>0</v>
      </c>
      <c r="W572" s="71">
        <f t="shared" si="80"/>
        <v>0</v>
      </c>
    </row>
    <row r="573" spans="1:23" x14ac:dyDescent="0.2">
      <c r="A573" s="71" t="s">
        <v>419</v>
      </c>
      <c r="B573" s="71" t="s">
        <v>420</v>
      </c>
      <c r="C573" s="71" t="s">
        <v>187</v>
      </c>
      <c r="D573" s="71" t="s">
        <v>421</v>
      </c>
      <c r="E573" s="71" t="s">
        <v>422</v>
      </c>
      <c r="F573" s="71" t="s">
        <v>300</v>
      </c>
      <c r="G573" s="88">
        <v>46227.751770833303</v>
      </c>
      <c r="H573" s="89">
        <v>46227</v>
      </c>
      <c r="I573" s="71" t="s">
        <v>432</v>
      </c>
      <c r="J573" s="71">
        <v>0</v>
      </c>
      <c r="K573" s="71" t="s">
        <v>302</v>
      </c>
      <c r="L573" s="71">
        <f t="shared" si="72"/>
        <v>7</v>
      </c>
      <c r="M573" s="71" t="str">
        <f>IFERROR(INDEX(KALENDER!$D$3:$D$132,MATCH(H573,KALENDER!$A$3:$A$132,0)),"Di luar periode")</f>
        <v>Hari Kerja</v>
      </c>
      <c r="N573" s="71">
        <f t="shared" si="73"/>
        <v>0</v>
      </c>
      <c r="O573" s="71">
        <f t="shared" si="74"/>
        <v>1</v>
      </c>
      <c r="P573" s="71">
        <f t="shared" si="75"/>
        <v>0</v>
      </c>
      <c r="Q573" s="71">
        <f t="shared" si="76"/>
        <v>0</v>
      </c>
      <c r="R573" s="71">
        <f t="shared" si="77"/>
        <v>0</v>
      </c>
      <c r="S573" s="71">
        <f t="shared" si="78"/>
        <v>0</v>
      </c>
      <c r="T573" s="71">
        <f t="shared" si="79"/>
        <v>0</v>
      </c>
      <c r="U573" s="71">
        <f>IF(AND(N573=1,V573=1),IF(COUNTIFS(AKTIVITAS!$B$2:$B$3052,B573,AKTIVITAS!$E$2:$E$3052,H573)&gt;0,1,0),0)</f>
        <v>0</v>
      </c>
      <c r="V573" s="71">
        <f>IFERROR(IF(AND(H573&gt;=INDEX(PEMAGANG!$J$3:$J$36,MATCH(B573,PEMAGANG!$C$3:$C$36,0)),H573&lt;=INDEX(PEMAGANG!$K$3:$K$36,MATCH(B573,PEMAGANG!$C$3:$C$36,0))),1,0),0)</f>
        <v>0</v>
      </c>
      <c r="W573" s="71">
        <f t="shared" si="80"/>
        <v>0</v>
      </c>
    </row>
    <row r="574" spans="1:23" x14ac:dyDescent="0.2">
      <c r="A574" s="71" t="s">
        <v>419</v>
      </c>
      <c r="B574" s="71" t="s">
        <v>420</v>
      </c>
      <c r="C574" s="71" t="s">
        <v>187</v>
      </c>
      <c r="D574" s="71" t="s">
        <v>421</v>
      </c>
      <c r="E574" s="71" t="s">
        <v>422</v>
      </c>
      <c r="F574" s="71" t="s">
        <v>298</v>
      </c>
      <c r="G574" s="88">
        <v>46230.2506712963</v>
      </c>
      <c r="H574" s="89">
        <v>46230</v>
      </c>
      <c r="I574" s="71" t="s">
        <v>433</v>
      </c>
      <c r="J574" s="71">
        <v>-120</v>
      </c>
      <c r="K574" s="71" t="s">
        <v>302</v>
      </c>
      <c r="L574" s="71">
        <f t="shared" si="72"/>
        <v>7</v>
      </c>
      <c r="M574" s="71" t="str">
        <f>IFERROR(INDEX(KALENDER!$D$3:$D$132,MATCH(H574,KALENDER!$A$3:$A$132,0)),"Di luar periode")</f>
        <v>Hari Kerja</v>
      </c>
      <c r="N574" s="71">
        <f t="shared" si="73"/>
        <v>1</v>
      </c>
      <c r="O574" s="71">
        <f t="shared" si="74"/>
        <v>1</v>
      </c>
      <c r="P574" s="71">
        <f t="shared" si="75"/>
        <v>0</v>
      </c>
      <c r="Q574" s="71">
        <f t="shared" si="76"/>
        <v>1</v>
      </c>
      <c r="R574" s="71">
        <f t="shared" si="77"/>
        <v>0</v>
      </c>
      <c r="S574" s="71">
        <f t="shared" si="78"/>
        <v>0</v>
      </c>
      <c r="T574" s="71">
        <f t="shared" si="79"/>
        <v>0</v>
      </c>
      <c r="U574" s="71">
        <f>IF(AND(N574=1,V574=1),IF(COUNTIFS(AKTIVITAS!$B$2:$B$3052,B574,AKTIVITAS!$E$2:$E$3052,H574)&gt;0,1,0),0)</f>
        <v>0</v>
      </c>
      <c r="V574" s="71">
        <f>IFERROR(IF(AND(H574&gt;=INDEX(PEMAGANG!$J$3:$J$36,MATCH(B574,PEMAGANG!$C$3:$C$36,0)),H574&lt;=INDEX(PEMAGANG!$K$3:$K$36,MATCH(B574,PEMAGANG!$C$3:$C$36,0))),1,0),0)</f>
        <v>0</v>
      </c>
      <c r="W574" s="71">
        <f t="shared" si="80"/>
        <v>0</v>
      </c>
    </row>
    <row r="575" spans="1:23" x14ac:dyDescent="0.2">
      <c r="A575" s="71" t="s">
        <v>419</v>
      </c>
      <c r="B575" s="71" t="s">
        <v>420</v>
      </c>
      <c r="C575" s="71" t="s">
        <v>187</v>
      </c>
      <c r="D575" s="71" t="s">
        <v>421</v>
      </c>
      <c r="E575" s="71" t="s">
        <v>422</v>
      </c>
      <c r="F575" s="71" t="s">
        <v>300</v>
      </c>
      <c r="G575" s="88">
        <v>46230.7644097222</v>
      </c>
      <c r="H575" s="89">
        <v>46230</v>
      </c>
      <c r="I575" s="71" t="s">
        <v>372</v>
      </c>
      <c r="J575" s="71">
        <v>0</v>
      </c>
      <c r="K575" s="71" t="s">
        <v>302</v>
      </c>
      <c r="L575" s="71">
        <f t="shared" si="72"/>
        <v>7</v>
      </c>
      <c r="M575" s="71" t="str">
        <f>IFERROR(INDEX(KALENDER!$D$3:$D$132,MATCH(H575,KALENDER!$A$3:$A$132,0)),"Di luar periode")</f>
        <v>Hari Kerja</v>
      </c>
      <c r="N575" s="71">
        <f t="shared" si="73"/>
        <v>0</v>
      </c>
      <c r="O575" s="71">
        <f t="shared" si="74"/>
        <v>1</v>
      </c>
      <c r="P575" s="71">
        <f t="shared" si="75"/>
        <v>0</v>
      </c>
      <c r="Q575" s="71">
        <f t="shared" si="76"/>
        <v>0</v>
      </c>
      <c r="R575" s="71">
        <f t="shared" si="77"/>
        <v>0</v>
      </c>
      <c r="S575" s="71">
        <f t="shared" si="78"/>
        <v>0</v>
      </c>
      <c r="T575" s="71">
        <f t="shared" si="79"/>
        <v>0</v>
      </c>
      <c r="U575" s="71">
        <f>IF(AND(N575=1,V575=1),IF(COUNTIFS(AKTIVITAS!$B$2:$B$3052,B575,AKTIVITAS!$E$2:$E$3052,H575)&gt;0,1,0),0)</f>
        <v>0</v>
      </c>
      <c r="V575" s="71">
        <f>IFERROR(IF(AND(H575&gt;=INDEX(PEMAGANG!$J$3:$J$36,MATCH(B575,PEMAGANG!$C$3:$C$36,0)),H575&lt;=INDEX(PEMAGANG!$K$3:$K$36,MATCH(B575,PEMAGANG!$C$3:$C$36,0))),1,0),0)</f>
        <v>0</v>
      </c>
      <c r="W575" s="71">
        <f t="shared" si="80"/>
        <v>0</v>
      </c>
    </row>
    <row r="576" spans="1:23" x14ac:dyDescent="0.2">
      <c r="A576" s="71" t="s">
        <v>419</v>
      </c>
      <c r="B576" s="71" t="s">
        <v>420</v>
      </c>
      <c r="C576" s="71" t="s">
        <v>187</v>
      </c>
      <c r="D576" s="71" t="s">
        <v>421</v>
      </c>
      <c r="E576" s="71" t="s">
        <v>422</v>
      </c>
      <c r="F576" s="71" t="s">
        <v>298</v>
      </c>
      <c r="G576" s="88">
        <v>46231.261111111096</v>
      </c>
      <c r="H576" s="89">
        <v>46231</v>
      </c>
      <c r="I576" s="71" t="s">
        <v>428</v>
      </c>
      <c r="J576" s="71">
        <v>-104</v>
      </c>
      <c r="K576" s="71" t="s">
        <v>302</v>
      </c>
      <c r="L576" s="71">
        <f t="shared" si="72"/>
        <v>7</v>
      </c>
      <c r="M576" s="71" t="str">
        <f>IFERROR(INDEX(KALENDER!$D$3:$D$132,MATCH(H576,KALENDER!$A$3:$A$132,0)),"Di luar periode")</f>
        <v>Hari Kerja</v>
      </c>
      <c r="N576" s="71">
        <f t="shared" si="73"/>
        <v>1</v>
      </c>
      <c r="O576" s="71">
        <f t="shared" si="74"/>
        <v>1</v>
      </c>
      <c r="P576" s="71">
        <f t="shared" si="75"/>
        <v>0</v>
      </c>
      <c r="Q576" s="71">
        <f t="shared" si="76"/>
        <v>1</v>
      </c>
      <c r="R576" s="71">
        <f t="shared" si="77"/>
        <v>0</v>
      </c>
      <c r="S576" s="71">
        <f t="shared" si="78"/>
        <v>0</v>
      </c>
      <c r="T576" s="71">
        <f t="shared" si="79"/>
        <v>0</v>
      </c>
      <c r="U576" s="71">
        <f>IF(AND(N576=1,V576=1),IF(COUNTIFS(AKTIVITAS!$B$2:$B$3052,B576,AKTIVITAS!$E$2:$E$3052,H576)&gt;0,1,0),0)</f>
        <v>0</v>
      </c>
      <c r="V576" s="71">
        <f>IFERROR(IF(AND(H576&gt;=INDEX(PEMAGANG!$J$3:$J$36,MATCH(B576,PEMAGANG!$C$3:$C$36,0)),H576&lt;=INDEX(PEMAGANG!$K$3:$K$36,MATCH(B576,PEMAGANG!$C$3:$C$36,0))),1,0),0)</f>
        <v>0</v>
      </c>
      <c r="W576" s="71">
        <f t="shared" si="80"/>
        <v>0</v>
      </c>
    </row>
    <row r="577" spans="1:23" x14ac:dyDescent="0.2">
      <c r="A577" s="71" t="s">
        <v>419</v>
      </c>
      <c r="B577" s="71" t="s">
        <v>420</v>
      </c>
      <c r="C577" s="71" t="s">
        <v>187</v>
      </c>
      <c r="D577" s="71" t="s">
        <v>421</v>
      </c>
      <c r="E577" s="71" t="s">
        <v>422</v>
      </c>
      <c r="F577" s="71" t="s">
        <v>300</v>
      </c>
      <c r="G577" s="88">
        <v>46231.766655092601</v>
      </c>
      <c r="H577" s="89">
        <v>46231</v>
      </c>
      <c r="I577" s="71" t="s">
        <v>427</v>
      </c>
      <c r="J577" s="71">
        <v>0</v>
      </c>
      <c r="K577" s="71" t="s">
        <v>302</v>
      </c>
      <c r="L577" s="71">
        <f t="shared" si="72"/>
        <v>7</v>
      </c>
      <c r="M577" s="71" t="str">
        <f>IFERROR(INDEX(KALENDER!$D$3:$D$132,MATCH(H577,KALENDER!$A$3:$A$132,0)),"Di luar periode")</f>
        <v>Hari Kerja</v>
      </c>
      <c r="N577" s="71">
        <f t="shared" si="73"/>
        <v>0</v>
      </c>
      <c r="O577" s="71">
        <f t="shared" si="74"/>
        <v>1</v>
      </c>
      <c r="P577" s="71">
        <f t="shared" si="75"/>
        <v>0</v>
      </c>
      <c r="Q577" s="71">
        <f t="shared" si="76"/>
        <v>0</v>
      </c>
      <c r="R577" s="71">
        <f t="shared" si="77"/>
        <v>0</v>
      </c>
      <c r="S577" s="71">
        <f t="shared" si="78"/>
        <v>0</v>
      </c>
      <c r="T577" s="71">
        <f t="shared" si="79"/>
        <v>0</v>
      </c>
      <c r="U577" s="71">
        <f>IF(AND(N577=1,V577=1),IF(COUNTIFS(AKTIVITAS!$B$2:$B$3052,B577,AKTIVITAS!$E$2:$E$3052,H577)&gt;0,1,0),0)</f>
        <v>0</v>
      </c>
      <c r="V577" s="71">
        <f>IFERROR(IF(AND(H577&gt;=INDEX(PEMAGANG!$J$3:$J$36,MATCH(B577,PEMAGANG!$C$3:$C$36,0)),H577&lt;=INDEX(PEMAGANG!$K$3:$K$36,MATCH(B577,PEMAGANG!$C$3:$C$36,0))),1,0),0)</f>
        <v>0</v>
      </c>
      <c r="W577" s="71">
        <f t="shared" si="80"/>
        <v>0</v>
      </c>
    </row>
    <row r="578" spans="1:23" x14ac:dyDescent="0.2">
      <c r="A578" s="71" t="s">
        <v>419</v>
      </c>
      <c r="B578" s="71" t="s">
        <v>420</v>
      </c>
      <c r="C578" s="71" t="s">
        <v>187</v>
      </c>
      <c r="D578" s="71" t="s">
        <v>421</v>
      </c>
      <c r="E578" s="71" t="s">
        <v>422</v>
      </c>
      <c r="F578" s="71" t="s">
        <v>298</v>
      </c>
      <c r="G578" s="88">
        <v>46232.259837963</v>
      </c>
      <c r="H578" s="89">
        <v>46232</v>
      </c>
      <c r="I578" s="71" t="s">
        <v>426</v>
      </c>
      <c r="J578" s="71">
        <v>-106</v>
      </c>
      <c r="K578" s="71" t="s">
        <v>302</v>
      </c>
      <c r="L578" s="71">
        <f t="shared" ref="L578:L641" si="81">MONTH(H578)</f>
        <v>7</v>
      </c>
      <c r="M578" s="71" t="str">
        <f>IFERROR(INDEX(KALENDER!$D$3:$D$132,MATCH(H578,KALENDER!$A$3:$A$132,0)),"Di luar periode")</f>
        <v>WFH</v>
      </c>
      <c r="N578" s="71">
        <f t="shared" ref="N578:N641" si="82">IF(AND(B578=B577,H578=H577),0,1)</f>
        <v>1</v>
      </c>
      <c r="O578" s="71">
        <f t="shared" ref="O578:O641" si="83">IF(N578=1,0,O577)+IF(F578="MASUK",1,0)</f>
        <v>1</v>
      </c>
      <c r="P578" s="71">
        <f t="shared" ref="P578:P641" si="84">IF(AND(N578=1,M578="Hari Kerja",V578=1),1,0)</f>
        <v>0</v>
      </c>
      <c r="Q578" s="71">
        <f t="shared" ref="Q578:Q641" si="85">IF(AND(N578=1,OR(M578&lt;&gt;"Hari Kerja",V578=0)),1,0)</f>
        <v>1</v>
      </c>
      <c r="R578" s="71">
        <f t="shared" ref="R578:R641" si="86">IF(AND(F578="MASUK",O578=1,N(J578)&gt;0,V578=1),1,0)</f>
        <v>0</v>
      </c>
      <c r="S578" s="71">
        <f t="shared" ref="S578:S641" si="87">R578*N(J578)</f>
        <v>0</v>
      </c>
      <c r="T578" s="71">
        <f t="shared" ref="T578:T641" si="88">IF(AND(N578=1,V578=1),IF(AND(COUNTIFS($B$2:$B$4094,B578,$H$2:$H$4094,H578,$F$2:$F$4094,"MASUK")&gt;0,COUNTIFS($B$2:$B$4094,B578,$H$2:$H$4094,H578,$F$2:$F$4094,"PULANG")=0),1,0),0)</f>
        <v>0</v>
      </c>
      <c r="U578" s="71">
        <f>IF(AND(N578=1,V578=1),IF(COUNTIFS(AKTIVITAS!$B$2:$B$3052,B578,AKTIVITAS!$E$2:$E$3052,H578)&gt;0,1,0),0)</f>
        <v>0</v>
      </c>
      <c r="V578" s="71">
        <f>IFERROR(IF(AND(H578&gt;=INDEX(PEMAGANG!$J$3:$J$36,MATCH(B578,PEMAGANG!$C$3:$C$36,0)),H578&lt;=INDEX(PEMAGANG!$K$3:$K$36,MATCH(B578,PEMAGANG!$C$3:$C$36,0))),1,0),0)</f>
        <v>0</v>
      </c>
      <c r="W578" s="71">
        <f t="shared" ref="W578:W641" si="89">N578*V578</f>
        <v>0</v>
      </c>
    </row>
    <row r="579" spans="1:23" x14ac:dyDescent="0.2">
      <c r="A579" s="71" t="s">
        <v>419</v>
      </c>
      <c r="B579" s="71" t="s">
        <v>420</v>
      </c>
      <c r="C579" s="71" t="s">
        <v>187</v>
      </c>
      <c r="D579" s="71" t="s">
        <v>421</v>
      </c>
      <c r="E579" s="71" t="s">
        <v>422</v>
      </c>
      <c r="F579" s="71" t="s">
        <v>300</v>
      </c>
      <c r="G579" s="88">
        <v>46232.7653125</v>
      </c>
      <c r="H579" s="89">
        <v>46232</v>
      </c>
      <c r="I579" s="71" t="s">
        <v>434</v>
      </c>
      <c r="J579" s="71">
        <v>0</v>
      </c>
      <c r="K579" s="71" t="s">
        <v>302</v>
      </c>
      <c r="L579" s="71">
        <f t="shared" si="81"/>
        <v>7</v>
      </c>
      <c r="M579" s="71" t="str">
        <f>IFERROR(INDEX(KALENDER!$D$3:$D$132,MATCH(H579,KALENDER!$A$3:$A$132,0)),"Di luar periode")</f>
        <v>WFH</v>
      </c>
      <c r="N579" s="71">
        <f t="shared" si="82"/>
        <v>0</v>
      </c>
      <c r="O579" s="71">
        <f t="shared" si="83"/>
        <v>1</v>
      </c>
      <c r="P579" s="71">
        <f t="shared" si="84"/>
        <v>0</v>
      </c>
      <c r="Q579" s="71">
        <f t="shared" si="85"/>
        <v>0</v>
      </c>
      <c r="R579" s="71">
        <f t="shared" si="86"/>
        <v>0</v>
      </c>
      <c r="S579" s="71">
        <f t="shared" si="87"/>
        <v>0</v>
      </c>
      <c r="T579" s="71">
        <f t="shared" si="88"/>
        <v>0</v>
      </c>
      <c r="U579" s="71">
        <f>IF(AND(N579=1,V579=1),IF(COUNTIFS(AKTIVITAS!$B$2:$B$3052,B579,AKTIVITAS!$E$2:$E$3052,H579)&gt;0,1,0),0)</f>
        <v>0</v>
      </c>
      <c r="V579" s="71">
        <f>IFERROR(IF(AND(H579&gt;=INDEX(PEMAGANG!$J$3:$J$36,MATCH(B579,PEMAGANG!$C$3:$C$36,0)),H579&lt;=INDEX(PEMAGANG!$K$3:$K$36,MATCH(B579,PEMAGANG!$C$3:$C$36,0))),1,0),0)</f>
        <v>0</v>
      </c>
      <c r="W579" s="71">
        <f t="shared" si="89"/>
        <v>0</v>
      </c>
    </row>
    <row r="580" spans="1:23" x14ac:dyDescent="0.2">
      <c r="A580" s="71" t="s">
        <v>419</v>
      </c>
      <c r="B580" s="71" t="s">
        <v>420</v>
      </c>
      <c r="C580" s="71" t="s">
        <v>187</v>
      </c>
      <c r="D580" s="71" t="s">
        <v>421</v>
      </c>
      <c r="E580" s="71" t="s">
        <v>422</v>
      </c>
      <c r="F580" s="71" t="s">
        <v>298</v>
      </c>
      <c r="G580" s="88">
        <v>46233.260706018496</v>
      </c>
      <c r="H580" s="89">
        <v>46233</v>
      </c>
      <c r="I580" s="71" t="s">
        <v>435</v>
      </c>
      <c r="J580" s="71">
        <v>-105</v>
      </c>
      <c r="K580" s="71" t="s">
        <v>302</v>
      </c>
      <c r="L580" s="71">
        <f t="shared" si="81"/>
        <v>7</v>
      </c>
      <c r="M580" s="71" t="str">
        <f>IFERROR(INDEX(KALENDER!$D$3:$D$132,MATCH(H580,KALENDER!$A$3:$A$132,0)),"Di luar periode")</f>
        <v>Hari Kerja</v>
      </c>
      <c r="N580" s="71">
        <f t="shared" si="82"/>
        <v>1</v>
      </c>
      <c r="O580" s="71">
        <f t="shared" si="83"/>
        <v>1</v>
      </c>
      <c r="P580" s="71">
        <f t="shared" si="84"/>
        <v>0</v>
      </c>
      <c r="Q580" s="71">
        <f t="shared" si="85"/>
        <v>1</v>
      </c>
      <c r="R580" s="71">
        <f t="shared" si="86"/>
        <v>0</v>
      </c>
      <c r="S580" s="71">
        <f t="shared" si="87"/>
        <v>0</v>
      </c>
      <c r="T580" s="71">
        <f t="shared" si="88"/>
        <v>0</v>
      </c>
      <c r="U580" s="71">
        <f>IF(AND(N580=1,V580=1),IF(COUNTIFS(AKTIVITAS!$B$2:$B$3052,B580,AKTIVITAS!$E$2:$E$3052,H580)&gt;0,1,0),0)</f>
        <v>0</v>
      </c>
      <c r="V580" s="71">
        <f>IFERROR(IF(AND(H580&gt;=INDEX(PEMAGANG!$J$3:$J$36,MATCH(B580,PEMAGANG!$C$3:$C$36,0)),H580&lt;=INDEX(PEMAGANG!$K$3:$K$36,MATCH(B580,PEMAGANG!$C$3:$C$36,0))),1,0),0)</f>
        <v>0</v>
      </c>
      <c r="W580" s="71">
        <f t="shared" si="89"/>
        <v>0</v>
      </c>
    </row>
    <row r="581" spans="1:23" x14ac:dyDescent="0.2">
      <c r="A581" s="71" t="s">
        <v>419</v>
      </c>
      <c r="B581" s="71" t="s">
        <v>420</v>
      </c>
      <c r="C581" s="71" t="s">
        <v>187</v>
      </c>
      <c r="D581" s="71" t="s">
        <v>421</v>
      </c>
      <c r="E581" s="71" t="s">
        <v>422</v>
      </c>
      <c r="F581" s="71" t="s">
        <v>300</v>
      </c>
      <c r="G581" s="88">
        <v>46233.7733449074</v>
      </c>
      <c r="H581" s="89">
        <v>46233</v>
      </c>
      <c r="I581" s="71" t="s">
        <v>356</v>
      </c>
      <c r="J581" s="71">
        <v>0</v>
      </c>
      <c r="K581" s="71" t="s">
        <v>302</v>
      </c>
      <c r="L581" s="71">
        <f t="shared" si="81"/>
        <v>7</v>
      </c>
      <c r="M581" s="71" t="str">
        <f>IFERROR(INDEX(KALENDER!$D$3:$D$132,MATCH(H581,KALENDER!$A$3:$A$132,0)),"Di luar periode")</f>
        <v>Hari Kerja</v>
      </c>
      <c r="N581" s="71">
        <f t="shared" si="82"/>
        <v>0</v>
      </c>
      <c r="O581" s="71">
        <f t="shared" si="83"/>
        <v>1</v>
      </c>
      <c r="P581" s="71">
        <f t="shared" si="84"/>
        <v>0</v>
      </c>
      <c r="Q581" s="71">
        <f t="shared" si="85"/>
        <v>0</v>
      </c>
      <c r="R581" s="71">
        <f t="shared" si="86"/>
        <v>0</v>
      </c>
      <c r="S581" s="71">
        <f t="shared" si="87"/>
        <v>0</v>
      </c>
      <c r="T581" s="71">
        <f t="shared" si="88"/>
        <v>0</v>
      </c>
      <c r="U581" s="71">
        <f>IF(AND(N581=1,V581=1),IF(COUNTIFS(AKTIVITAS!$B$2:$B$3052,B581,AKTIVITAS!$E$2:$E$3052,H581)&gt;0,1,0),0)</f>
        <v>0</v>
      </c>
      <c r="V581" s="71">
        <f>IFERROR(IF(AND(H581&gt;=INDEX(PEMAGANG!$J$3:$J$36,MATCH(B581,PEMAGANG!$C$3:$C$36,0)),H581&lt;=INDEX(PEMAGANG!$K$3:$K$36,MATCH(B581,PEMAGANG!$C$3:$C$36,0))),1,0),0)</f>
        <v>0</v>
      </c>
      <c r="W581" s="71">
        <f t="shared" si="89"/>
        <v>0</v>
      </c>
    </row>
    <row r="582" spans="1:23" x14ac:dyDescent="0.2">
      <c r="A582" s="71" t="s">
        <v>419</v>
      </c>
      <c r="B582" s="71" t="s">
        <v>420</v>
      </c>
      <c r="C582" s="71" t="s">
        <v>187</v>
      </c>
      <c r="D582" s="71" t="s">
        <v>421</v>
      </c>
      <c r="E582" s="71" t="s">
        <v>422</v>
      </c>
      <c r="F582" s="71" t="s">
        <v>298</v>
      </c>
      <c r="G582" s="88">
        <v>46234.258738425902</v>
      </c>
      <c r="H582" s="89">
        <v>46234</v>
      </c>
      <c r="I582" s="71" t="s">
        <v>423</v>
      </c>
      <c r="J582" s="71">
        <v>-108</v>
      </c>
      <c r="K582" s="71" t="s">
        <v>302</v>
      </c>
      <c r="L582" s="71">
        <f t="shared" si="81"/>
        <v>7</v>
      </c>
      <c r="M582" s="71" t="str">
        <f>IFERROR(INDEX(KALENDER!$D$3:$D$132,MATCH(H582,KALENDER!$A$3:$A$132,0)),"Di luar periode")</f>
        <v>Hari Kerja</v>
      </c>
      <c r="N582" s="71">
        <f t="shared" si="82"/>
        <v>1</v>
      </c>
      <c r="O582" s="71">
        <f t="shared" si="83"/>
        <v>1</v>
      </c>
      <c r="P582" s="71">
        <f t="shared" si="84"/>
        <v>0</v>
      </c>
      <c r="Q582" s="71">
        <f t="shared" si="85"/>
        <v>1</v>
      </c>
      <c r="R582" s="71">
        <f t="shared" si="86"/>
        <v>0</v>
      </c>
      <c r="S582" s="71">
        <f t="shared" si="87"/>
        <v>0</v>
      </c>
      <c r="T582" s="71">
        <f t="shared" si="88"/>
        <v>0</v>
      </c>
      <c r="U582" s="71">
        <f>IF(AND(N582=1,V582=1),IF(COUNTIFS(AKTIVITAS!$B$2:$B$3052,B582,AKTIVITAS!$E$2:$E$3052,H582)&gt;0,1,0),0)</f>
        <v>0</v>
      </c>
      <c r="V582" s="71">
        <f>IFERROR(IF(AND(H582&gt;=INDEX(PEMAGANG!$J$3:$J$36,MATCH(B582,PEMAGANG!$C$3:$C$36,0)),H582&lt;=INDEX(PEMAGANG!$K$3:$K$36,MATCH(B582,PEMAGANG!$C$3:$C$36,0))),1,0),0)</f>
        <v>0</v>
      </c>
      <c r="W582" s="71">
        <f t="shared" si="89"/>
        <v>0</v>
      </c>
    </row>
    <row r="583" spans="1:23" x14ac:dyDescent="0.2">
      <c r="A583" s="71" t="s">
        <v>419</v>
      </c>
      <c r="B583" s="71" t="s">
        <v>420</v>
      </c>
      <c r="C583" s="71" t="s">
        <v>187</v>
      </c>
      <c r="D583" s="71" t="s">
        <v>421</v>
      </c>
      <c r="E583" s="71" t="s">
        <v>422</v>
      </c>
      <c r="F583" s="71" t="s">
        <v>300</v>
      </c>
      <c r="G583" s="88">
        <v>46234.709942129601</v>
      </c>
      <c r="H583" s="89">
        <v>46234</v>
      </c>
      <c r="I583" s="71" t="s">
        <v>436</v>
      </c>
      <c r="J583" s="71">
        <v>0</v>
      </c>
      <c r="K583" s="71" t="s">
        <v>302</v>
      </c>
      <c r="L583" s="71">
        <f t="shared" si="81"/>
        <v>7</v>
      </c>
      <c r="M583" s="71" t="str">
        <f>IFERROR(INDEX(KALENDER!$D$3:$D$132,MATCH(H583,KALENDER!$A$3:$A$132,0)),"Di luar periode")</f>
        <v>Hari Kerja</v>
      </c>
      <c r="N583" s="71">
        <f t="shared" si="82"/>
        <v>0</v>
      </c>
      <c r="O583" s="71">
        <f t="shared" si="83"/>
        <v>1</v>
      </c>
      <c r="P583" s="71">
        <f t="shared" si="84"/>
        <v>0</v>
      </c>
      <c r="Q583" s="71">
        <f t="shared" si="85"/>
        <v>0</v>
      </c>
      <c r="R583" s="71">
        <f t="shared" si="86"/>
        <v>0</v>
      </c>
      <c r="S583" s="71">
        <f t="shared" si="87"/>
        <v>0</v>
      </c>
      <c r="T583" s="71">
        <f t="shared" si="88"/>
        <v>0</v>
      </c>
      <c r="U583" s="71">
        <f>IF(AND(N583=1,V583=1),IF(COUNTIFS(AKTIVITAS!$B$2:$B$3052,B583,AKTIVITAS!$E$2:$E$3052,H583)&gt;0,1,0),0)</f>
        <v>0</v>
      </c>
      <c r="V583" s="71">
        <f>IFERROR(IF(AND(H583&gt;=INDEX(PEMAGANG!$J$3:$J$36,MATCH(B583,PEMAGANG!$C$3:$C$36,0)),H583&lt;=INDEX(PEMAGANG!$K$3:$K$36,MATCH(B583,PEMAGANG!$C$3:$C$36,0))),1,0),0)</f>
        <v>0</v>
      </c>
      <c r="W583" s="71">
        <f t="shared" si="89"/>
        <v>0</v>
      </c>
    </row>
    <row r="584" spans="1:23" x14ac:dyDescent="0.2">
      <c r="A584" s="71" t="s">
        <v>419</v>
      </c>
      <c r="B584" s="71" t="s">
        <v>420</v>
      </c>
      <c r="C584" s="71" t="s">
        <v>187</v>
      </c>
      <c r="D584" s="71" t="s">
        <v>421</v>
      </c>
      <c r="E584" s="71" t="s">
        <v>422</v>
      </c>
      <c r="F584" s="71" t="s">
        <v>298</v>
      </c>
      <c r="G584" s="88">
        <v>46237.247916666704</v>
      </c>
      <c r="H584" s="89">
        <v>46237</v>
      </c>
      <c r="I584" s="71" t="s">
        <v>437</v>
      </c>
      <c r="J584" s="71">
        <v>-123</v>
      </c>
      <c r="K584" s="71" t="s">
        <v>302</v>
      </c>
      <c r="L584" s="71">
        <f t="shared" si="81"/>
        <v>8</v>
      </c>
      <c r="M584" s="71" t="str">
        <f>IFERROR(INDEX(KALENDER!$D$3:$D$132,MATCH(H584,KALENDER!$A$3:$A$132,0)),"Di luar periode")</f>
        <v>Hari Kerja</v>
      </c>
      <c r="N584" s="71">
        <f t="shared" si="82"/>
        <v>1</v>
      </c>
      <c r="O584" s="71">
        <f t="shared" si="83"/>
        <v>1</v>
      </c>
      <c r="P584" s="71">
        <f t="shared" si="84"/>
        <v>0</v>
      </c>
      <c r="Q584" s="71">
        <f t="shared" si="85"/>
        <v>1</v>
      </c>
      <c r="R584" s="71">
        <f t="shared" si="86"/>
        <v>0</v>
      </c>
      <c r="S584" s="71">
        <f t="shared" si="87"/>
        <v>0</v>
      </c>
      <c r="T584" s="71">
        <f t="shared" si="88"/>
        <v>0</v>
      </c>
      <c r="U584" s="71">
        <f>IF(AND(N584=1,V584=1),IF(COUNTIFS(AKTIVITAS!$B$2:$B$3052,B584,AKTIVITAS!$E$2:$E$3052,H584)&gt;0,1,0),0)</f>
        <v>0</v>
      </c>
      <c r="V584" s="71">
        <f>IFERROR(IF(AND(H584&gt;=INDEX(PEMAGANG!$J$3:$J$36,MATCH(B584,PEMAGANG!$C$3:$C$36,0)),H584&lt;=INDEX(PEMAGANG!$K$3:$K$36,MATCH(B584,PEMAGANG!$C$3:$C$36,0))),1,0),0)</f>
        <v>0</v>
      </c>
      <c r="W584" s="71">
        <f t="shared" si="89"/>
        <v>0</v>
      </c>
    </row>
    <row r="585" spans="1:23" x14ac:dyDescent="0.2">
      <c r="A585" s="71" t="s">
        <v>419</v>
      </c>
      <c r="B585" s="71" t="s">
        <v>420</v>
      </c>
      <c r="C585" s="71" t="s">
        <v>187</v>
      </c>
      <c r="D585" s="71" t="s">
        <v>421</v>
      </c>
      <c r="E585" s="71" t="s">
        <v>422</v>
      </c>
      <c r="F585" s="71" t="s">
        <v>300</v>
      </c>
      <c r="G585" s="88">
        <v>46237.7635532407</v>
      </c>
      <c r="H585" s="89">
        <v>46237</v>
      </c>
      <c r="I585" s="71" t="s">
        <v>430</v>
      </c>
      <c r="J585" s="71">
        <v>0</v>
      </c>
      <c r="K585" s="71" t="s">
        <v>302</v>
      </c>
      <c r="L585" s="71">
        <f t="shared" si="81"/>
        <v>8</v>
      </c>
      <c r="M585" s="71" t="str">
        <f>IFERROR(INDEX(KALENDER!$D$3:$D$132,MATCH(H585,KALENDER!$A$3:$A$132,0)),"Di luar periode")</f>
        <v>Hari Kerja</v>
      </c>
      <c r="N585" s="71">
        <f t="shared" si="82"/>
        <v>0</v>
      </c>
      <c r="O585" s="71">
        <f t="shared" si="83"/>
        <v>1</v>
      </c>
      <c r="P585" s="71">
        <f t="shared" si="84"/>
        <v>0</v>
      </c>
      <c r="Q585" s="71">
        <f t="shared" si="85"/>
        <v>0</v>
      </c>
      <c r="R585" s="71">
        <f t="shared" si="86"/>
        <v>0</v>
      </c>
      <c r="S585" s="71">
        <f t="shared" si="87"/>
        <v>0</v>
      </c>
      <c r="T585" s="71">
        <f t="shared" si="88"/>
        <v>0</v>
      </c>
      <c r="U585" s="71">
        <f>IF(AND(N585=1,V585=1),IF(COUNTIFS(AKTIVITAS!$B$2:$B$3052,B585,AKTIVITAS!$E$2:$E$3052,H585)&gt;0,1,0),0)</f>
        <v>0</v>
      </c>
      <c r="V585" s="71">
        <f>IFERROR(IF(AND(H585&gt;=INDEX(PEMAGANG!$J$3:$J$36,MATCH(B585,PEMAGANG!$C$3:$C$36,0)),H585&lt;=INDEX(PEMAGANG!$K$3:$K$36,MATCH(B585,PEMAGANG!$C$3:$C$36,0))),1,0),0)</f>
        <v>0</v>
      </c>
      <c r="W585" s="71">
        <f t="shared" si="89"/>
        <v>0</v>
      </c>
    </row>
    <row r="586" spans="1:23" x14ac:dyDescent="0.2">
      <c r="A586" s="71" t="s">
        <v>419</v>
      </c>
      <c r="B586" s="71" t="s">
        <v>420</v>
      </c>
      <c r="C586" s="71" t="s">
        <v>187</v>
      </c>
      <c r="D586" s="71" t="s">
        <v>421</v>
      </c>
      <c r="E586" s="71" t="s">
        <v>422</v>
      </c>
      <c r="F586" s="71" t="s">
        <v>298</v>
      </c>
      <c r="G586" s="88">
        <v>46238.2643634259</v>
      </c>
      <c r="H586" s="89">
        <v>46238</v>
      </c>
      <c r="I586" s="71" t="s">
        <v>438</v>
      </c>
      <c r="J586" s="71">
        <v>-100</v>
      </c>
      <c r="K586" s="71" t="s">
        <v>302</v>
      </c>
      <c r="L586" s="71">
        <f t="shared" si="81"/>
        <v>8</v>
      </c>
      <c r="M586" s="71" t="str">
        <f>IFERROR(INDEX(KALENDER!$D$3:$D$132,MATCH(H586,KALENDER!$A$3:$A$132,0)),"Di luar periode")</f>
        <v>Hari Kerja</v>
      </c>
      <c r="N586" s="71">
        <f t="shared" si="82"/>
        <v>1</v>
      </c>
      <c r="O586" s="71">
        <f t="shared" si="83"/>
        <v>1</v>
      </c>
      <c r="P586" s="71">
        <f t="shared" si="84"/>
        <v>0</v>
      </c>
      <c r="Q586" s="71">
        <f t="shared" si="85"/>
        <v>1</v>
      </c>
      <c r="R586" s="71">
        <f t="shared" si="86"/>
        <v>0</v>
      </c>
      <c r="S586" s="71">
        <f t="shared" si="87"/>
        <v>0</v>
      </c>
      <c r="T586" s="71">
        <f t="shared" si="88"/>
        <v>0</v>
      </c>
      <c r="U586" s="71">
        <f>IF(AND(N586=1,V586=1),IF(COUNTIFS(AKTIVITAS!$B$2:$B$3052,B586,AKTIVITAS!$E$2:$E$3052,H586)&gt;0,1,0),0)</f>
        <v>0</v>
      </c>
      <c r="V586" s="71">
        <f>IFERROR(IF(AND(H586&gt;=INDEX(PEMAGANG!$J$3:$J$36,MATCH(B586,PEMAGANG!$C$3:$C$36,0)),H586&lt;=INDEX(PEMAGANG!$K$3:$K$36,MATCH(B586,PEMAGANG!$C$3:$C$36,0))),1,0),0)</f>
        <v>0</v>
      </c>
      <c r="W586" s="71">
        <f t="shared" si="89"/>
        <v>0</v>
      </c>
    </row>
    <row r="587" spans="1:23" x14ac:dyDescent="0.2">
      <c r="A587" s="71" t="s">
        <v>419</v>
      </c>
      <c r="B587" s="71" t="s">
        <v>420</v>
      </c>
      <c r="C587" s="71" t="s">
        <v>187</v>
      </c>
      <c r="D587" s="71" t="s">
        <v>421</v>
      </c>
      <c r="E587" s="71" t="s">
        <v>422</v>
      </c>
      <c r="F587" s="71" t="s">
        <v>300</v>
      </c>
      <c r="G587" s="88">
        <v>46238.763611111099</v>
      </c>
      <c r="H587" s="89">
        <v>46238</v>
      </c>
      <c r="I587" s="71" t="s">
        <v>430</v>
      </c>
      <c r="J587" s="71">
        <v>0</v>
      </c>
      <c r="K587" s="71" t="s">
        <v>302</v>
      </c>
      <c r="L587" s="71">
        <f t="shared" si="81"/>
        <v>8</v>
      </c>
      <c r="M587" s="71" t="str">
        <f>IFERROR(INDEX(KALENDER!$D$3:$D$132,MATCH(H587,KALENDER!$A$3:$A$132,0)),"Di luar periode")</f>
        <v>Hari Kerja</v>
      </c>
      <c r="N587" s="71">
        <f t="shared" si="82"/>
        <v>0</v>
      </c>
      <c r="O587" s="71">
        <f t="shared" si="83"/>
        <v>1</v>
      </c>
      <c r="P587" s="71">
        <f t="shared" si="84"/>
        <v>0</v>
      </c>
      <c r="Q587" s="71">
        <f t="shared" si="85"/>
        <v>0</v>
      </c>
      <c r="R587" s="71">
        <f t="shared" si="86"/>
        <v>0</v>
      </c>
      <c r="S587" s="71">
        <f t="shared" si="87"/>
        <v>0</v>
      </c>
      <c r="T587" s="71">
        <f t="shared" si="88"/>
        <v>0</v>
      </c>
      <c r="U587" s="71">
        <f>IF(AND(N587=1,V587=1),IF(COUNTIFS(AKTIVITAS!$B$2:$B$3052,B587,AKTIVITAS!$E$2:$E$3052,H587)&gt;0,1,0),0)</f>
        <v>0</v>
      </c>
      <c r="V587" s="71">
        <f>IFERROR(IF(AND(H587&gt;=INDEX(PEMAGANG!$J$3:$J$36,MATCH(B587,PEMAGANG!$C$3:$C$36,0)),H587&lt;=INDEX(PEMAGANG!$K$3:$K$36,MATCH(B587,PEMAGANG!$C$3:$C$36,0))),1,0),0)</f>
        <v>0</v>
      </c>
      <c r="W587" s="71">
        <f t="shared" si="89"/>
        <v>0</v>
      </c>
    </row>
    <row r="588" spans="1:23" x14ac:dyDescent="0.2">
      <c r="A588" s="71" t="s">
        <v>419</v>
      </c>
      <c r="B588" s="71" t="s">
        <v>420</v>
      </c>
      <c r="C588" s="71" t="s">
        <v>187</v>
      </c>
      <c r="D588" s="71" t="s">
        <v>421</v>
      </c>
      <c r="E588" s="71" t="s">
        <v>422</v>
      </c>
      <c r="F588" s="71" t="s">
        <v>298</v>
      </c>
      <c r="G588" s="88">
        <v>46239.2597453704</v>
      </c>
      <c r="H588" s="89">
        <v>46239</v>
      </c>
      <c r="I588" s="71" t="s">
        <v>426</v>
      </c>
      <c r="J588" s="71">
        <v>-106</v>
      </c>
      <c r="K588" s="71" t="s">
        <v>302</v>
      </c>
      <c r="L588" s="71">
        <f t="shared" si="81"/>
        <v>8</v>
      </c>
      <c r="M588" s="71" t="str">
        <f>IFERROR(INDEX(KALENDER!$D$3:$D$132,MATCH(H588,KALENDER!$A$3:$A$132,0)),"Di luar periode")</f>
        <v>Hari Kerja</v>
      </c>
      <c r="N588" s="71">
        <f t="shared" si="82"/>
        <v>1</v>
      </c>
      <c r="O588" s="71">
        <f t="shared" si="83"/>
        <v>1</v>
      </c>
      <c r="P588" s="71">
        <f t="shared" si="84"/>
        <v>0</v>
      </c>
      <c r="Q588" s="71">
        <f t="shared" si="85"/>
        <v>1</v>
      </c>
      <c r="R588" s="71">
        <f t="shared" si="86"/>
        <v>0</v>
      </c>
      <c r="S588" s="71">
        <f t="shared" si="87"/>
        <v>0</v>
      </c>
      <c r="T588" s="71">
        <f t="shared" si="88"/>
        <v>0</v>
      </c>
      <c r="U588" s="71">
        <f>IF(AND(N588=1,V588=1),IF(COUNTIFS(AKTIVITAS!$B$2:$B$3052,B588,AKTIVITAS!$E$2:$E$3052,H588)&gt;0,1,0),0)</f>
        <v>0</v>
      </c>
      <c r="V588" s="71">
        <f>IFERROR(IF(AND(H588&gt;=INDEX(PEMAGANG!$J$3:$J$36,MATCH(B588,PEMAGANG!$C$3:$C$36,0)),H588&lt;=INDEX(PEMAGANG!$K$3:$K$36,MATCH(B588,PEMAGANG!$C$3:$C$36,0))),1,0),0)</f>
        <v>0</v>
      </c>
      <c r="W588" s="71">
        <f t="shared" si="89"/>
        <v>0</v>
      </c>
    </row>
    <row r="589" spans="1:23" x14ac:dyDescent="0.2">
      <c r="A589" s="71" t="s">
        <v>419</v>
      </c>
      <c r="B589" s="71" t="s">
        <v>420</v>
      </c>
      <c r="C589" s="71" t="s">
        <v>187</v>
      </c>
      <c r="D589" s="71" t="s">
        <v>421</v>
      </c>
      <c r="E589" s="71" t="s">
        <v>422</v>
      </c>
      <c r="F589" s="71" t="s">
        <v>300</v>
      </c>
      <c r="G589" s="88">
        <v>46239.7597916667</v>
      </c>
      <c r="H589" s="89">
        <v>46239</v>
      </c>
      <c r="I589" s="71" t="s">
        <v>439</v>
      </c>
      <c r="J589" s="71">
        <v>0</v>
      </c>
      <c r="K589" s="71" t="s">
        <v>302</v>
      </c>
      <c r="L589" s="71">
        <f t="shared" si="81"/>
        <v>8</v>
      </c>
      <c r="M589" s="71" t="str">
        <f>IFERROR(INDEX(KALENDER!$D$3:$D$132,MATCH(H589,KALENDER!$A$3:$A$132,0)),"Di luar periode")</f>
        <v>Hari Kerja</v>
      </c>
      <c r="N589" s="71">
        <f t="shared" si="82"/>
        <v>0</v>
      </c>
      <c r="O589" s="71">
        <f t="shared" si="83"/>
        <v>1</v>
      </c>
      <c r="P589" s="71">
        <f t="shared" si="84"/>
        <v>0</v>
      </c>
      <c r="Q589" s="71">
        <f t="shared" si="85"/>
        <v>0</v>
      </c>
      <c r="R589" s="71">
        <f t="shared" si="86"/>
        <v>0</v>
      </c>
      <c r="S589" s="71">
        <f t="shared" si="87"/>
        <v>0</v>
      </c>
      <c r="T589" s="71">
        <f t="shared" si="88"/>
        <v>0</v>
      </c>
      <c r="U589" s="71">
        <f>IF(AND(N589=1,V589=1),IF(COUNTIFS(AKTIVITAS!$B$2:$B$3052,B589,AKTIVITAS!$E$2:$E$3052,H589)&gt;0,1,0),0)</f>
        <v>0</v>
      </c>
      <c r="V589" s="71">
        <f>IFERROR(IF(AND(H589&gt;=INDEX(PEMAGANG!$J$3:$J$36,MATCH(B589,PEMAGANG!$C$3:$C$36,0)),H589&lt;=INDEX(PEMAGANG!$K$3:$K$36,MATCH(B589,PEMAGANG!$C$3:$C$36,0))),1,0),0)</f>
        <v>0</v>
      </c>
      <c r="W589" s="71">
        <f t="shared" si="89"/>
        <v>0</v>
      </c>
    </row>
    <row r="590" spans="1:23" x14ac:dyDescent="0.2">
      <c r="A590" s="71" t="s">
        <v>419</v>
      </c>
      <c r="B590" s="71" t="s">
        <v>420</v>
      </c>
      <c r="C590" s="71" t="s">
        <v>187</v>
      </c>
      <c r="D590" s="71" t="s">
        <v>421</v>
      </c>
      <c r="E590" s="71" t="s">
        <v>422</v>
      </c>
      <c r="F590" s="71" t="s">
        <v>298</v>
      </c>
      <c r="G590" s="88">
        <v>46240.262245370403</v>
      </c>
      <c r="H590" s="89">
        <v>46240</v>
      </c>
      <c r="I590" s="71" t="s">
        <v>440</v>
      </c>
      <c r="J590" s="71">
        <v>-103</v>
      </c>
      <c r="K590" s="71" t="s">
        <v>302</v>
      </c>
      <c r="L590" s="71">
        <f t="shared" si="81"/>
        <v>8</v>
      </c>
      <c r="M590" s="71" t="str">
        <f>IFERROR(INDEX(KALENDER!$D$3:$D$132,MATCH(H590,KALENDER!$A$3:$A$132,0)),"Di luar periode")</f>
        <v>Hari Kerja</v>
      </c>
      <c r="N590" s="71">
        <f t="shared" si="82"/>
        <v>1</v>
      </c>
      <c r="O590" s="71">
        <f t="shared" si="83"/>
        <v>1</v>
      </c>
      <c r="P590" s="71">
        <f t="shared" si="84"/>
        <v>0</v>
      </c>
      <c r="Q590" s="71">
        <f t="shared" si="85"/>
        <v>1</v>
      </c>
      <c r="R590" s="71">
        <f t="shared" si="86"/>
        <v>0</v>
      </c>
      <c r="S590" s="71">
        <f t="shared" si="87"/>
        <v>0</v>
      </c>
      <c r="T590" s="71">
        <f t="shared" si="88"/>
        <v>0</v>
      </c>
      <c r="U590" s="71">
        <f>IF(AND(N590=1,V590=1),IF(COUNTIFS(AKTIVITAS!$B$2:$B$3052,B590,AKTIVITAS!$E$2:$E$3052,H590)&gt;0,1,0),0)</f>
        <v>0</v>
      </c>
      <c r="V590" s="71">
        <f>IFERROR(IF(AND(H590&gt;=INDEX(PEMAGANG!$J$3:$J$36,MATCH(B590,PEMAGANG!$C$3:$C$36,0)),H590&lt;=INDEX(PEMAGANG!$K$3:$K$36,MATCH(B590,PEMAGANG!$C$3:$C$36,0))),1,0),0)</f>
        <v>0</v>
      </c>
      <c r="W590" s="71">
        <f t="shared" si="89"/>
        <v>0</v>
      </c>
    </row>
    <row r="591" spans="1:23" x14ac:dyDescent="0.2">
      <c r="A591" s="71" t="s">
        <v>419</v>
      </c>
      <c r="B591" s="71" t="s">
        <v>420</v>
      </c>
      <c r="C591" s="71" t="s">
        <v>187</v>
      </c>
      <c r="D591" s="71" t="s">
        <v>421</v>
      </c>
      <c r="E591" s="71" t="s">
        <v>422</v>
      </c>
      <c r="F591" s="71" t="s">
        <v>300</v>
      </c>
      <c r="G591" s="88">
        <v>46240.757465277798</v>
      </c>
      <c r="H591" s="89">
        <v>46240</v>
      </c>
      <c r="I591" s="71" t="s">
        <v>441</v>
      </c>
      <c r="J591" s="71">
        <v>0</v>
      </c>
      <c r="K591" s="71" t="s">
        <v>302</v>
      </c>
      <c r="L591" s="71">
        <f t="shared" si="81"/>
        <v>8</v>
      </c>
      <c r="M591" s="71" t="str">
        <f>IFERROR(INDEX(KALENDER!$D$3:$D$132,MATCH(H591,KALENDER!$A$3:$A$132,0)),"Di luar periode")</f>
        <v>Hari Kerja</v>
      </c>
      <c r="N591" s="71">
        <f t="shared" si="82"/>
        <v>0</v>
      </c>
      <c r="O591" s="71">
        <f t="shared" si="83"/>
        <v>1</v>
      </c>
      <c r="P591" s="71">
        <f t="shared" si="84"/>
        <v>0</v>
      </c>
      <c r="Q591" s="71">
        <f t="shared" si="85"/>
        <v>0</v>
      </c>
      <c r="R591" s="71">
        <f t="shared" si="86"/>
        <v>0</v>
      </c>
      <c r="S591" s="71">
        <f t="shared" si="87"/>
        <v>0</v>
      </c>
      <c r="T591" s="71">
        <f t="shared" si="88"/>
        <v>0</v>
      </c>
      <c r="U591" s="71">
        <f>IF(AND(N591=1,V591=1),IF(COUNTIFS(AKTIVITAS!$B$2:$B$3052,B591,AKTIVITAS!$E$2:$E$3052,H591)&gt;0,1,0),0)</f>
        <v>0</v>
      </c>
      <c r="V591" s="71">
        <f>IFERROR(IF(AND(H591&gt;=INDEX(PEMAGANG!$J$3:$J$36,MATCH(B591,PEMAGANG!$C$3:$C$36,0)),H591&lt;=INDEX(PEMAGANG!$K$3:$K$36,MATCH(B591,PEMAGANG!$C$3:$C$36,0))),1,0),0)</f>
        <v>0</v>
      </c>
      <c r="W591" s="71">
        <f t="shared" si="89"/>
        <v>0</v>
      </c>
    </row>
    <row r="592" spans="1:23" x14ac:dyDescent="0.2">
      <c r="A592" s="71" t="s">
        <v>419</v>
      </c>
      <c r="B592" s="71" t="s">
        <v>420</v>
      </c>
      <c r="C592" s="71" t="s">
        <v>187</v>
      </c>
      <c r="D592" s="71" t="s">
        <v>421</v>
      </c>
      <c r="E592" s="71" t="s">
        <v>422</v>
      </c>
      <c r="F592" s="71" t="s">
        <v>298</v>
      </c>
      <c r="G592" s="88">
        <v>46241.261631944399</v>
      </c>
      <c r="H592" s="89">
        <v>46241</v>
      </c>
      <c r="I592" s="71" t="s">
        <v>428</v>
      </c>
      <c r="J592" s="71">
        <v>-104</v>
      </c>
      <c r="K592" s="71" t="s">
        <v>302</v>
      </c>
      <c r="L592" s="71">
        <f t="shared" si="81"/>
        <v>8</v>
      </c>
      <c r="M592" s="71" t="str">
        <f>IFERROR(INDEX(KALENDER!$D$3:$D$132,MATCH(H592,KALENDER!$A$3:$A$132,0)),"Di luar periode")</f>
        <v>Hari Kerja</v>
      </c>
      <c r="N592" s="71">
        <f t="shared" si="82"/>
        <v>1</v>
      </c>
      <c r="O592" s="71">
        <f t="shared" si="83"/>
        <v>1</v>
      </c>
      <c r="P592" s="71">
        <f t="shared" si="84"/>
        <v>0</v>
      </c>
      <c r="Q592" s="71">
        <f t="shared" si="85"/>
        <v>1</v>
      </c>
      <c r="R592" s="71">
        <f t="shared" si="86"/>
        <v>0</v>
      </c>
      <c r="S592" s="71">
        <f t="shared" si="87"/>
        <v>0</v>
      </c>
      <c r="T592" s="71">
        <f t="shared" si="88"/>
        <v>0</v>
      </c>
      <c r="U592" s="71">
        <f>IF(AND(N592=1,V592=1),IF(COUNTIFS(AKTIVITAS!$B$2:$B$3052,B592,AKTIVITAS!$E$2:$E$3052,H592)&gt;0,1,0),0)</f>
        <v>0</v>
      </c>
      <c r="V592" s="71">
        <f>IFERROR(IF(AND(H592&gt;=INDEX(PEMAGANG!$J$3:$J$36,MATCH(B592,PEMAGANG!$C$3:$C$36,0)),H592&lt;=INDEX(PEMAGANG!$K$3:$K$36,MATCH(B592,PEMAGANG!$C$3:$C$36,0))),1,0),0)</f>
        <v>0</v>
      </c>
      <c r="W592" s="71">
        <f t="shared" si="89"/>
        <v>0</v>
      </c>
    </row>
    <row r="593" spans="1:23" x14ac:dyDescent="0.2">
      <c r="A593" s="71" t="s">
        <v>419</v>
      </c>
      <c r="B593" s="71" t="s">
        <v>420</v>
      </c>
      <c r="C593" s="71" t="s">
        <v>187</v>
      </c>
      <c r="D593" s="71" t="s">
        <v>421</v>
      </c>
      <c r="E593" s="71" t="s">
        <v>422</v>
      </c>
      <c r="F593" s="71" t="s">
        <v>300</v>
      </c>
      <c r="G593" s="88">
        <v>46241.709733796299</v>
      </c>
      <c r="H593" s="89">
        <v>46241</v>
      </c>
      <c r="I593" s="71" t="s">
        <v>436</v>
      </c>
      <c r="J593" s="71">
        <v>0</v>
      </c>
      <c r="K593" s="71" t="s">
        <v>302</v>
      </c>
      <c r="L593" s="71">
        <f t="shared" si="81"/>
        <v>8</v>
      </c>
      <c r="M593" s="71" t="str">
        <f>IFERROR(INDEX(KALENDER!$D$3:$D$132,MATCH(H593,KALENDER!$A$3:$A$132,0)),"Di luar periode")</f>
        <v>Hari Kerja</v>
      </c>
      <c r="N593" s="71">
        <f t="shared" si="82"/>
        <v>0</v>
      </c>
      <c r="O593" s="71">
        <f t="shared" si="83"/>
        <v>1</v>
      </c>
      <c r="P593" s="71">
        <f t="shared" si="84"/>
        <v>0</v>
      </c>
      <c r="Q593" s="71">
        <f t="shared" si="85"/>
        <v>0</v>
      </c>
      <c r="R593" s="71">
        <f t="shared" si="86"/>
        <v>0</v>
      </c>
      <c r="S593" s="71">
        <f t="shared" si="87"/>
        <v>0</v>
      </c>
      <c r="T593" s="71">
        <f t="shared" si="88"/>
        <v>0</v>
      </c>
      <c r="U593" s="71">
        <f>IF(AND(N593=1,V593=1),IF(COUNTIFS(AKTIVITAS!$B$2:$B$3052,B593,AKTIVITAS!$E$2:$E$3052,H593)&gt;0,1,0),0)</f>
        <v>0</v>
      </c>
      <c r="V593" s="71">
        <f>IFERROR(IF(AND(H593&gt;=INDEX(PEMAGANG!$J$3:$J$36,MATCH(B593,PEMAGANG!$C$3:$C$36,0)),H593&lt;=INDEX(PEMAGANG!$K$3:$K$36,MATCH(B593,PEMAGANG!$C$3:$C$36,0))),1,0),0)</f>
        <v>0</v>
      </c>
      <c r="W593" s="71">
        <f t="shared" si="89"/>
        <v>0</v>
      </c>
    </row>
    <row r="594" spans="1:23" x14ac:dyDescent="0.2">
      <c r="A594" s="71" t="s">
        <v>419</v>
      </c>
      <c r="B594" s="71" t="s">
        <v>420</v>
      </c>
      <c r="C594" s="71" t="s">
        <v>187</v>
      </c>
      <c r="D594" s="71" t="s">
        <v>421</v>
      </c>
      <c r="E594" s="71" t="s">
        <v>422</v>
      </c>
      <c r="F594" s="71" t="s">
        <v>298</v>
      </c>
      <c r="G594" s="88">
        <v>46244.254050925898</v>
      </c>
      <c r="H594" s="89">
        <v>46244</v>
      </c>
      <c r="I594" s="71" t="s">
        <v>442</v>
      </c>
      <c r="J594" s="71">
        <v>-115</v>
      </c>
      <c r="K594" s="71" t="s">
        <v>302</v>
      </c>
      <c r="L594" s="71">
        <f t="shared" si="81"/>
        <v>8</v>
      </c>
      <c r="M594" s="71" t="str">
        <f>IFERROR(INDEX(KALENDER!$D$3:$D$132,MATCH(H594,KALENDER!$A$3:$A$132,0)),"Di luar periode")</f>
        <v>Hari Kerja</v>
      </c>
      <c r="N594" s="71">
        <f t="shared" si="82"/>
        <v>1</v>
      </c>
      <c r="O594" s="71">
        <f t="shared" si="83"/>
        <v>1</v>
      </c>
      <c r="P594" s="71">
        <f t="shared" si="84"/>
        <v>0</v>
      </c>
      <c r="Q594" s="71">
        <f t="shared" si="85"/>
        <v>1</v>
      </c>
      <c r="R594" s="71">
        <f t="shared" si="86"/>
        <v>0</v>
      </c>
      <c r="S594" s="71">
        <f t="shared" si="87"/>
        <v>0</v>
      </c>
      <c r="T594" s="71">
        <f t="shared" si="88"/>
        <v>0</v>
      </c>
      <c r="U594" s="71">
        <f>IF(AND(N594=1,V594=1),IF(COUNTIFS(AKTIVITAS!$B$2:$B$3052,B594,AKTIVITAS!$E$2:$E$3052,H594)&gt;0,1,0),0)</f>
        <v>0</v>
      </c>
      <c r="V594" s="71">
        <f>IFERROR(IF(AND(H594&gt;=INDEX(PEMAGANG!$J$3:$J$36,MATCH(B594,PEMAGANG!$C$3:$C$36,0)),H594&lt;=INDEX(PEMAGANG!$K$3:$K$36,MATCH(B594,PEMAGANG!$C$3:$C$36,0))),1,0),0)</f>
        <v>0</v>
      </c>
      <c r="W594" s="71">
        <f t="shared" si="89"/>
        <v>0</v>
      </c>
    </row>
    <row r="595" spans="1:23" x14ac:dyDescent="0.2">
      <c r="A595" s="71" t="s">
        <v>419</v>
      </c>
      <c r="B595" s="71" t="s">
        <v>420</v>
      </c>
      <c r="C595" s="71" t="s">
        <v>187</v>
      </c>
      <c r="D595" s="71" t="s">
        <v>421</v>
      </c>
      <c r="E595" s="71" t="s">
        <v>422</v>
      </c>
      <c r="F595" s="71" t="s">
        <v>300</v>
      </c>
      <c r="G595" s="88">
        <v>46244.761539351901</v>
      </c>
      <c r="H595" s="89">
        <v>46244</v>
      </c>
      <c r="I595" s="71" t="s">
        <v>417</v>
      </c>
      <c r="J595" s="71">
        <v>0</v>
      </c>
      <c r="K595" s="71" t="s">
        <v>302</v>
      </c>
      <c r="L595" s="71">
        <f t="shared" si="81"/>
        <v>8</v>
      </c>
      <c r="M595" s="71" t="str">
        <f>IFERROR(INDEX(KALENDER!$D$3:$D$132,MATCH(H595,KALENDER!$A$3:$A$132,0)),"Di luar periode")</f>
        <v>Hari Kerja</v>
      </c>
      <c r="N595" s="71">
        <f t="shared" si="82"/>
        <v>0</v>
      </c>
      <c r="O595" s="71">
        <f t="shared" si="83"/>
        <v>1</v>
      </c>
      <c r="P595" s="71">
        <f t="shared" si="84"/>
        <v>0</v>
      </c>
      <c r="Q595" s="71">
        <f t="shared" si="85"/>
        <v>0</v>
      </c>
      <c r="R595" s="71">
        <f t="shared" si="86"/>
        <v>0</v>
      </c>
      <c r="S595" s="71">
        <f t="shared" si="87"/>
        <v>0</v>
      </c>
      <c r="T595" s="71">
        <f t="shared" si="88"/>
        <v>0</v>
      </c>
      <c r="U595" s="71">
        <f>IF(AND(N595=1,V595=1),IF(COUNTIFS(AKTIVITAS!$B$2:$B$3052,B595,AKTIVITAS!$E$2:$E$3052,H595)&gt;0,1,0),0)</f>
        <v>0</v>
      </c>
      <c r="V595" s="71">
        <f>IFERROR(IF(AND(H595&gt;=INDEX(PEMAGANG!$J$3:$J$36,MATCH(B595,PEMAGANG!$C$3:$C$36,0)),H595&lt;=INDEX(PEMAGANG!$K$3:$K$36,MATCH(B595,PEMAGANG!$C$3:$C$36,0))),1,0),0)</f>
        <v>0</v>
      </c>
      <c r="W595" s="71">
        <f t="shared" si="89"/>
        <v>0</v>
      </c>
    </row>
    <row r="596" spans="1:23" x14ac:dyDescent="0.2">
      <c r="A596" s="71" t="s">
        <v>419</v>
      </c>
      <c r="B596" s="71" t="s">
        <v>420</v>
      </c>
      <c r="C596" s="71" t="s">
        <v>187</v>
      </c>
      <c r="D596" s="71" t="s">
        <v>421</v>
      </c>
      <c r="E596" s="71" t="s">
        <v>422</v>
      </c>
      <c r="F596" s="71" t="s">
        <v>298</v>
      </c>
      <c r="G596" s="88">
        <v>46245.258865740703</v>
      </c>
      <c r="H596" s="89">
        <v>46245</v>
      </c>
      <c r="I596" s="71" t="s">
        <v>423</v>
      </c>
      <c r="J596" s="71">
        <v>-108</v>
      </c>
      <c r="K596" s="71" t="s">
        <v>302</v>
      </c>
      <c r="L596" s="71">
        <f t="shared" si="81"/>
        <v>8</v>
      </c>
      <c r="M596" s="71" t="str">
        <f>IFERROR(INDEX(KALENDER!$D$3:$D$132,MATCH(H596,KALENDER!$A$3:$A$132,0)),"Di luar periode")</f>
        <v>Hari Kerja</v>
      </c>
      <c r="N596" s="71">
        <f t="shared" si="82"/>
        <v>1</v>
      </c>
      <c r="O596" s="71">
        <f t="shared" si="83"/>
        <v>1</v>
      </c>
      <c r="P596" s="71">
        <f t="shared" si="84"/>
        <v>0</v>
      </c>
      <c r="Q596" s="71">
        <f t="shared" si="85"/>
        <v>1</v>
      </c>
      <c r="R596" s="71">
        <f t="shared" si="86"/>
        <v>0</v>
      </c>
      <c r="S596" s="71">
        <f t="shared" si="87"/>
        <v>0</v>
      </c>
      <c r="T596" s="71">
        <f t="shared" si="88"/>
        <v>0</v>
      </c>
      <c r="U596" s="71">
        <f>IF(AND(N596=1,V596=1),IF(COUNTIFS(AKTIVITAS!$B$2:$B$3052,B596,AKTIVITAS!$E$2:$E$3052,H596)&gt;0,1,0),0)</f>
        <v>0</v>
      </c>
      <c r="V596" s="71">
        <f>IFERROR(IF(AND(H596&gt;=INDEX(PEMAGANG!$J$3:$J$36,MATCH(B596,PEMAGANG!$C$3:$C$36,0)),H596&lt;=INDEX(PEMAGANG!$K$3:$K$36,MATCH(B596,PEMAGANG!$C$3:$C$36,0))),1,0),0)</f>
        <v>0</v>
      </c>
      <c r="W596" s="71">
        <f t="shared" si="89"/>
        <v>0</v>
      </c>
    </row>
    <row r="597" spans="1:23" x14ac:dyDescent="0.2">
      <c r="A597" s="71" t="s">
        <v>419</v>
      </c>
      <c r="B597" s="71" t="s">
        <v>420</v>
      </c>
      <c r="C597" s="71" t="s">
        <v>187</v>
      </c>
      <c r="D597" s="71" t="s">
        <v>421</v>
      </c>
      <c r="E597" s="71" t="s">
        <v>422</v>
      </c>
      <c r="F597" s="71" t="s">
        <v>300</v>
      </c>
      <c r="G597" s="88">
        <v>46245.766446759299</v>
      </c>
      <c r="H597" s="89">
        <v>46245</v>
      </c>
      <c r="I597" s="71" t="s">
        <v>427</v>
      </c>
      <c r="J597" s="71">
        <v>0</v>
      </c>
      <c r="K597" s="71" t="s">
        <v>302</v>
      </c>
      <c r="L597" s="71">
        <f t="shared" si="81"/>
        <v>8</v>
      </c>
      <c r="M597" s="71" t="str">
        <f>IFERROR(INDEX(KALENDER!$D$3:$D$132,MATCH(H597,KALENDER!$A$3:$A$132,0)),"Di luar periode")</f>
        <v>Hari Kerja</v>
      </c>
      <c r="N597" s="71">
        <f t="shared" si="82"/>
        <v>0</v>
      </c>
      <c r="O597" s="71">
        <f t="shared" si="83"/>
        <v>1</v>
      </c>
      <c r="P597" s="71">
        <f t="shared" si="84"/>
        <v>0</v>
      </c>
      <c r="Q597" s="71">
        <f t="shared" si="85"/>
        <v>0</v>
      </c>
      <c r="R597" s="71">
        <f t="shared" si="86"/>
        <v>0</v>
      </c>
      <c r="S597" s="71">
        <f t="shared" si="87"/>
        <v>0</v>
      </c>
      <c r="T597" s="71">
        <f t="shared" si="88"/>
        <v>0</v>
      </c>
      <c r="U597" s="71">
        <f>IF(AND(N597=1,V597=1),IF(COUNTIFS(AKTIVITAS!$B$2:$B$3052,B597,AKTIVITAS!$E$2:$E$3052,H597)&gt;0,1,0),0)</f>
        <v>0</v>
      </c>
      <c r="V597" s="71">
        <f>IFERROR(IF(AND(H597&gt;=INDEX(PEMAGANG!$J$3:$J$36,MATCH(B597,PEMAGANG!$C$3:$C$36,0)),H597&lt;=INDEX(PEMAGANG!$K$3:$K$36,MATCH(B597,PEMAGANG!$C$3:$C$36,0))),1,0),0)</f>
        <v>0</v>
      </c>
      <c r="W597" s="71">
        <f t="shared" si="89"/>
        <v>0</v>
      </c>
    </row>
    <row r="598" spans="1:23" x14ac:dyDescent="0.2">
      <c r="A598" s="71" t="s">
        <v>419</v>
      </c>
      <c r="B598" s="71" t="s">
        <v>420</v>
      </c>
      <c r="C598" s="71" t="s">
        <v>187</v>
      </c>
      <c r="D598" s="71" t="s">
        <v>421</v>
      </c>
      <c r="E598" s="71" t="s">
        <v>422</v>
      </c>
      <c r="F598" s="71" t="s">
        <v>298</v>
      </c>
      <c r="G598" s="88">
        <v>46246.263946759304</v>
      </c>
      <c r="H598" s="89">
        <v>46246</v>
      </c>
      <c r="I598" s="71" t="s">
        <v>438</v>
      </c>
      <c r="J598" s="71">
        <v>-100</v>
      </c>
      <c r="K598" s="71" t="s">
        <v>302</v>
      </c>
      <c r="L598" s="71">
        <f t="shared" si="81"/>
        <v>8</v>
      </c>
      <c r="M598" s="71" t="str">
        <f>IFERROR(INDEX(KALENDER!$D$3:$D$132,MATCH(H598,KALENDER!$A$3:$A$132,0)),"Di luar periode")</f>
        <v>Hari Kerja</v>
      </c>
      <c r="N598" s="71">
        <f t="shared" si="82"/>
        <v>1</v>
      </c>
      <c r="O598" s="71">
        <f t="shared" si="83"/>
        <v>1</v>
      </c>
      <c r="P598" s="71">
        <f t="shared" si="84"/>
        <v>0</v>
      </c>
      <c r="Q598" s="71">
        <f t="shared" si="85"/>
        <v>1</v>
      </c>
      <c r="R598" s="71">
        <f t="shared" si="86"/>
        <v>0</v>
      </c>
      <c r="S598" s="71">
        <f t="shared" si="87"/>
        <v>0</v>
      </c>
      <c r="T598" s="71">
        <f t="shared" si="88"/>
        <v>0</v>
      </c>
      <c r="U598" s="71">
        <f>IF(AND(N598=1,V598=1),IF(COUNTIFS(AKTIVITAS!$B$2:$B$3052,B598,AKTIVITAS!$E$2:$E$3052,H598)&gt;0,1,0),0)</f>
        <v>0</v>
      </c>
      <c r="V598" s="71">
        <f>IFERROR(IF(AND(H598&gt;=INDEX(PEMAGANG!$J$3:$J$36,MATCH(B598,PEMAGANG!$C$3:$C$36,0)),H598&lt;=INDEX(PEMAGANG!$K$3:$K$36,MATCH(B598,PEMAGANG!$C$3:$C$36,0))),1,0),0)</f>
        <v>0</v>
      </c>
      <c r="W598" s="71">
        <f t="shared" si="89"/>
        <v>0</v>
      </c>
    </row>
    <row r="599" spans="1:23" x14ac:dyDescent="0.2">
      <c r="A599" s="71" t="s">
        <v>419</v>
      </c>
      <c r="B599" s="71" t="s">
        <v>420</v>
      </c>
      <c r="C599" s="71" t="s">
        <v>187</v>
      </c>
      <c r="D599" s="71" t="s">
        <v>421</v>
      </c>
      <c r="E599" s="71" t="s">
        <v>422</v>
      </c>
      <c r="F599" s="71" t="s">
        <v>300</v>
      </c>
      <c r="G599" s="88">
        <v>46246.763402777797</v>
      </c>
      <c r="H599" s="89">
        <v>46246</v>
      </c>
      <c r="I599" s="71" t="s">
        <v>430</v>
      </c>
      <c r="J599" s="71">
        <v>0</v>
      </c>
      <c r="K599" s="71" t="s">
        <v>302</v>
      </c>
      <c r="L599" s="71">
        <f t="shared" si="81"/>
        <v>8</v>
      </c>
      <c r="M599" s="71" t="str">
        <f>IFERROR(INDEX(KALENDER!$D$3:$D$132,MATCH(H599,KALENDER!$A$3:$A$132,0)),"Di luar periode")</f>
        <v>Hari Kerja</v>
      </c>
      <c r="N599" s="71">
        <f t="shared" si="82"/>
        <v>0</v>
      </c>
      <c r="O599" s="71">
        <f t="shared" si="83"/>
        <v>1</v>
      </c>
      <c r="P599" s="71">
        <f t="shared" si="84"/>
        <v>0</v>
      </c>
      <c r="Q599" s="71">
        <f t="shared" si="85"/>
        <v>0</v>
      </c>
      <c r="R599" s="71">
        <f t="shared" si="86"/>
        <v>0</v>
      </c>
      <c r="S599" s="71">
        <f t="shared" si="87"/>
        <v>0</v>
      </c>
      <c r="T599" s="71">
        <f t="shared" si="88"/>
        <v>0</v>
      </c>
      <c r="U599" s="71">
        <f>IF(AND(N599=1,V599=1),IF(COUNTIFS(AKTIVITAS!$B$2:$B$3052,B599,AKTIVITAS!$E$2:$E$3052,H599)&gt;0,1,0),0)</f>
        <v>0</v>
      </c>
      <c r="V599" s="71">
        <f>IFERROR(IF(AND(H599&gt;=INDEX(PEMAGANG!$J$3:$J$36,MATCH(B599,PEMAGANG!$C$3:$C$36,0)),H599&lt;=INDEX(PEMAGANG!$K$3:$K$36,MATCH(B599,PEMAGANG!$C$3:$C$36,0))),1,0),0)</f>
        <v>0</v>
      </c>
      <c r="W599" s="71">
        <f t="shared" si="89"/>
        <v>0</v>
      </c>
    </row>
    <row r="600" spans="1:23" x14ac:dyDescent="0.2">
      <c r="A600" s="71" t="s">
        <v>419</v>
      </c>
      <c r="B600" s="71" t="s">
        <v>420</v>
      </c>
      <c r="C600" s="71" t="s">
        <v>187</v>
      </c>
      <c r="D600" s="71" t="s">
        <v>421</v>
      </c>
      <c r="E600" s="71" t="s">
        <v>422</v>
      </c>
      <c r="F600" s="71" t="s">
        <v>298</v>
      </c>
      <c r="G600" s="88">
        <v>46247.268298611103</v>
      </c>
      <c r="H600" s="89">
        <v>46247</v>
      </c>
      <c r="I600" s="71" t="s">
        <v>443</v>
      </c>
      <c r="J600" s="71">
        <v>-94</v>
      </c>
      <c r="K600" s="71" t="s">
        <v>302</v>
      </c>
      <c r="L600" s="71">
        <f t="shared" si="81"/>
        <v>8</v>
      </c>
      <c r="M600" s="71" t="str">
        <f>IFERROR(INDEX(KALENDER!$D$3:$D$132,MATCH(H600,KALENDER!$A$3:$A$132,0)),"Di luar periode")</f>
        <v>Hari Kerja</v>
      </c>
      <c r="N600" s="71">
        <f t="shared" si="82"/>
        <v>1</v>
      </c>
      <c r="O600" s="71">
        <f t="shared" si="83"/>
        <v>1</v>
      </c>
      <c r="P600" s="71">
        <f t="shared" si="84"/>
        <v>0</v>
      </c>
      <c r="Q600" s="71">
        <f t="shared" si="85"/>
        <v>1</v>
      </c>
      <c r="R600" s="71">
        <f t="shared" si="86"/>
        <v>0</v>
      </c>
      <c r="S600" s="71">
        <f t="shared" si="87"/>
        <v>0</v>
      </c>
      <c r="T600" s="71">
        <f t="shared" si="88"/>
        <v>0</v>
      </c>
      <c r="U600" s="71">
        <f>IF(AND(N600=1,V600=1),IF(COUNTIFS(AKTIVITAS!$B$2:$B$3052,B600,AKTIVITAS!$E$2:$E$3052,H600)&gt;0,1,0),0)</f>
        <v>0</v>
      </c>
      <c r="V600" s="71">
        <f>IFERROR(IF(AND(H600&gt;=INDEX(PEMAGANG!$J$3:$J$36,MATCH(B600,PEMAGANG!$C$3:$C$36,0)),H600&lt;=INDEX(PEMAGANG!$K$3:$K$36,MATCH(B600,PEMAGANG!$C$3:$C$36,0))),1,0),0)</f>
        <v>0</v>
      </c>
      <c r="W600" s="71">
        <f t="shared" si="89"/>
        <v>0</v>
      </c>
    </row>
    <row r="601" spans="1:23" x14ac:dyDescent="0.2">
      <c r="A601" s="71" t="s">
        <v>419</v>
      </c>
      <c r="B601" s="71" t="s">
        <v>420</v>
      </c>
      <c r="C601" s="71" t="s">
        <v>187</v>
      </c>
      <c r="D601" s="71" t="s">
        <v>421</v>
      </c>
      <c r="E601" s="71" t="s">
        <v>422</v>
      </c>
      <c r="F601" s="71" t="s">
        <v>300</v>
      </c>
      <c r="G601" s="88">
        <v>46247.756805555597</v>
      </c>
      <c r="H601" s="89">
        <v>46247</v>
      </c>
      <c r="I601" s="71" t="s">
        <v>444</v>
      </c>
      <c r="J601" s="71">
        <v>0</v>
      </c>
      <c r="K601" s="71" t="s">
        <v>302</v>
      </c>
      <c r="L601" s="71">
        <f t="shared" si="81"/>
        <v>8</v>
      </c>
      <c r="M601" s="71" t="str">
        <f>IFERROR(INDEX(KALENDER!$D$3:$D$132,MATCH(H601,KALENDER!$A$3:$A$132,0)),"Di luar periode")</f>
        <v>Hari Kerja</v>
      </c>
      <c r="N601" s="71">
        <f t="shared" si="82"/>
        <v>0</v>
      </c>
      <c r="O601" s="71">
        <f t="shared" si="83"/>
        <v>1</v>
      </c>
      <c r="P601" s="71">
        <f t="shared" si="84"/>
        <v>0</v>
      </c>
      <c r="Q601" s="71">
        <f t="shared" si="85"/>
        <v>0</v>
      </c>
      <c r="R601" s="71">
        <f t="shared" si="86"/>
        <v>0</v>
      </c>
      <c r="S601" s="71">
        <f t="shared" si="87"/>
        <v>0</v>
      </c>
      <c r="T601" s="71">
        <f t="shared" si="88"/>
        <v>0</v>
      </c>
      <c r="U601" s="71">
        <f>IF(AND(N601=1,V601=1),IF(COUNTIFS(AKTIVITAS!$B$2:$B$3052,B601,AKTIVITAS!$E$2:$E$3052,H601)&gt;0,1,0),0)</f>
        <v>0</v>
      </c>
      <c r="V601" s="71">
        <f>IFERROR(IF(AND(H601&gt;=INDEX(PEMAGANG!$J$3:$J$36,MATCH(B601,PEMAGANG!$C$3:$C$36,0)),H601&lt;=INDEX(PEMAGANG!$K$3:$K$36,MATCH(B601,PEMAGANG!$C$3:$C$36,0))),1,0),0)</f>
        <v>0</v>
      </c>
      <c r="W601" s="71">
        <f t="shared" si="89"/>
        <v>0</v>
      </c>
    </row>
    <row r="602" spans="1:23" x14ac:dyDescent="0.2">
      <c r="A602" s="71" t="s">
        <v>419</v>
      </c>
      <c r="B602" s="71" t="s">
        <v>420</v>
      </c>
      <c r="C602" s="71" t="s">
        <v>187</v>
      </c>
      <c r="D602" s="71" t="s">
        <v>421</v>
      </c>
      <c r="E602" s="71" t="s">
        <v>422</v>
      </c>
      <c r="F602" s="71" t="s">
        <v>298</v>
      </c>
      <c r="G602" s="88">
        <v>46248.2660300926</v>
      </c>
      <c r="H602" s="89">
        <v>46248</v>
      </c>
      <c r="I602" s="71" t="s">
        <v>445</v>
      </c>
      <c r="J602" s="71">
        <v>-97</v>
      </c>
      <c r="K602" s="71" t="s">
        <v>302</v>
      </c>
      <c r="L602" s="71">
        <f t="shared" si="81"/>
        <v>8</v>
      </c>
      <c r="M602" s="71" t="str">
        <f>IFERROR(INDEX(KALENDER!$D$3:$D$132,MATCH(H602,KALENDER!$A$3:$A$132,0)),"Di luar periode")</f>
        <v>Hari Kerja</v>
      </c>
      <c r="N602" s="71">
        <f t="shared" si="82"/>
        <v>1</v>
      </c>
      <c r="O602" s="71">
        <f t="shared" si="83"/>
        <v>1</v>
      </c>
      <c r="P602" s="71">
        <f t="shared" si="84"/>
        <v>0</v>
      </c>
      <c r="Q602" s="71">
        <f t="shared" si="85"/>
        <v>1</v>
      </c>
      <c r="R602" s="71">
        <f t="shared" si="86"/>
        <v>0</v>
      </c>
      <c r="S602" s="71">
        <f t="shared" si="87"/>
        <v>0</v>
      </c>
      <c r="T602" s="71">
        <f t="shared" si="88"/>
        <v>0</v>
      </c>
      <c r="U602" s="71">
        <f>IF(AND(N602=1,V602=1),IF(COUNTIFS(AKTIVITAS!$B$2:$B$3052,B602,AKTIVITAS!$E$2:$E$3052,H602)&gt;0,1,0),0)</f>
        <v>0</v>
      </c>
      <c r="V602" s="71">
        <f>IFERROR(IF(AND(H602&gt;=INDEX(PEMAGANG!$J$3:$J$36,MATCH(B602,PEMAGANG!$C$3:$C$36,0)),H602&lt;=INDEX(PEMAGANG!$K$3:$K$36,MATCH(B602,PEMAGANG!$C$3:$C$36,0))),1,0),0)</f>
        <v>0</v>
      </c>
      <c r="W602" s="71">
        <f t="shared" si="89"/>
        <v>0</v>
      </c>
    </row>
    <row r="603" spans="1:23" x14ac:dyDescent="0.2">
      <c r="A603" s="71" t="s">
        <v>419</v>
      </c>
      <c r="B603" s="71" t="s">
        <v>420</v>
      </c>
      <c r="C603" s="71" t="s">
        <v>187</v>
      </c>
      <c r="D603" s="71" t="s">
        <v>421</v>
      </c>
      <c r="E603" s="71" t="s">
        <v>422</v>
      </c>
      <c r="F603" s="71" t="s">
        <v>300</v>
      </c>
      <c r="G603" s="88">
        <v>46248.708912037</v>
      </c>
      <c r="H603" s="89">
        <v>46248</v>
      </c>
      <c r="I603" s="71" t="s">
        <v>350</v>
      </c>
      <c r="J603" s="71">
        <v>0</v>
      </c>
      <c r="K603" s="71" t="s">
        <v>302</v>
      </c>
      <c r="L603" s="71">
        <f t="shared" si="81"/>
        <v>8</v>
      </c>
      <c r="M603" s="71" t="str">
        <f>IFERROR(INDEX(KALENDER!$D$3:$D$132,MATCH(H603,KALENDER!$A$3:$A$132,0)),"Di luar periode")</f>
        <v>Hari Kerja</v>
      </c>
      <c r="N603" s="71">
        <f t="shared" si="82"/>
        <v>0</v>
      </c>
      <c r="O603" s="71">
        <f t="shared" si="83"/>
        <v>1</v>
      </c>
      <c r="P603" s="71">
        <f t="shared" si="84"/>
        <v>0</v>
      </c>
      <c r="Q603" s="71">
        <f t="shared" si="85"/>
        <v>0</v>
      </c>
      <c r="R603" s="71">
        <f t="shared" si="86"/>
        <v>0</v>
      </c>
      <c r="S603" s="71">
        <f t="shared" si="87"/>
        <v>0</v>
      </c>
      <c r="T603" s="71">
        <f t="shared" si="88"/>
        <v>0</v>
      </c>
      <c r="U603" s="71">
        <f>IF(AND(N603=1,V603=1),IF(COUNTIFS(AKTIVITAS!$B$2:$B$3052,B603,AKTIVITAS!$E$2:$E$3052,H603)&gt;0,1,0),0)</f>
        <v>0</v>
      </c>
      <c r="V603" s="71">
        <f>IFERROR(IF(AND(H603&gt;=INDEX(PEMAGANG!$J$3:$J$36,MATCH(B603,PEMAGANG!$C$3:$C$36,0)),H603&lt;=INDEX(PEMAGANG!$K$3:$K$36,MATCH(B603,PEMAGANG!$C$3:$C$36,0))),1,0),0)</f>
        <v>0</v>
      </c>
      <c r="W603" s="71">
        <f t="shared" si="89"/>
        <v>0</v>
      </c>
    </row>
    <row r="604" spans="1:23" x14ac:dyDescent="0.2">
      <c r="A604" s="71" t="s">
        <v>419</v>
      </c>
      <c r="B604" s="71" t="s">
        <v>420</v>
      </c>
      <c r="C604" s="71" t="s">
        <v>187</v>
      </c>
      <c r="D604" s="71" t="s">
        <v>421</v>
      </c>
      <c r="E604" s="71" t="s">
        <v>422</v>
      </c>
      <c r="F604" s="71" t="s">
        <v>298</v>
      </c>
      <c r="G604" s="88">
        <v>46252.244629629597</v>
      </c>
      <c r="H604" s="89">
        <v>46252</v>
      </c>
      <c r="I604" s="71" t="s">
        <v>446</v>
      </c>
      <c r="J604" s="71">
        <v>-128</v>
      </c>
      <c r="K604" s="71" t="s">
        <v>302</v>
      </c>
      <c r="L604" s="71">
        <f t="shared" si="81"/>
        <v>8</v>
      </c>
      <c r="M604" s="71" t="str">
        <f>IFERROR(INDEX(KALENDER!$D$3:$D$132,MATCH(H604,KALENDER!$A$3:$A$132,0)),"Di luar periode")</f>
        <v>Hari Kerja</v>
      </c>
      <c r="N604" s="71">
        <f t="shared" si="82"/>
        <v>1</v>
      </c>
      <c r="O604" s="71">
        <f t="shared" si="83"/>
        <v>1</v>
      </c>
      <c r="P604" s="71">
        <f t="shared" si="84"/>
        <v>0</v>
      </c>
      <c r="Q604" s="71">
        <f t="shared" si="85"/>
        <v>1</v>
      </c>
      <c r="R604" s="71">
        <f t="shared" si="86"/>
        <v>0</v>
      </c>
      <c r="S604" s="71">
        <f t="shared" si="87"/>
        <v>0</v>
      </c>
      <c r="T604" s="71">
        <f t="shared" si="88"/>
        <v>0</v>
      </c>
      <c r="U604" s="71">
        <f>IF(AND(N604=1,V604=1),IF(COUNTIFS(AKTIVITAS!$B$2:$B$3052,B604,AKTIVITAS!$E$2:$E$3052,H604)&gt;0,1,0),0)</f>
        <v>0</v>
      </c>
      <c r="V604" s="71">
        <f>IFERROR(IF(AND(H604&gt;=INDEX(PEMAGANG!$J$3:$J$36,MATCH(B604,PEMAGANG!$C$3:$C$36,0)),H604&lt;=INDEX(PEMAGANG!$K$3:$K$36,MATCH(B604,PEMAGANG!$C$3:$C$36,0))),1,0),0)</f>
        <v>0</v>
      </c>
      <c r="W604" s="71">
        <f t="shared" si="89"/>
        <v>0</v>
      </c>
    </row>
    <row r="605" spans="1:23" x14ac:dyDescent="0.2">
      <c r="A605" s="71" t="s">
        <v>419</v>
      </c>
      <c r="B605" s="71" t="s">
        <v>420</v>
      </c>
      <c r="C605" s="71" t="s">
        <v>187</v>
      </c>
      <c r="D605" s="71" t="s">
        <v>421</v>
      </c>
      <c r="E605" s="71" t="s">
        <v>422</v>
      </c>
      <c r="F605" s="71" t="s">
        <v>300</v>
      </c>
      <c r="G605" s="88">
        <v>46252.752037036997</v>
      </c>
      <c r="H605" s="89">
        <v>46252</v>
      </c>
      <c r="I605" s="71" t="s">
        <v>432</v>
      </c>
      <c r="J605" s="71">
        <v>0</v>
      </c>
      <c r="K605" s="71" t="s">
        <v>302</v>
      </c>
      <c r="L605" s="71">
        <f t="shared" si="81"/>
        <v>8</v>
      </c>
      <c r="M605" s="71" t="str">
        <f>IFERROR(INDEX(KALENDER!$D$3:$D$132,MATCH(H605,KALENDER!$A$3:$A$132,0)),"Di luar periode")</f>
        <v>Hari Kerja</v>
      </c>
      <c r="N605" s="71">
        <f t="shared" si="82"/>
        <v>0</v>
      </c>
      <c r="O605" s="71">
        <f t="shared" si="83"/>
        <v>1</v>
      </c>
      <c r="P605" s="71">
        <f t="shared" si="84"/>
        <v>0</v>
      </c>
      <c r="Q605" s="71">
        <f t="shared" si="85"/>
        <v>0</v>
      </c>
      <c r="R605" s="71">
        <f t="shared" si="86"/>
        <v>0</v>
      </c>
      <c r="S605" s="71">
        <f t="shared" si="87"/>
        <v>0</v>
      </c>
      <c r="T605" s="71">
        <f t="shared" si="88"/>
        <v>0</v>
      </c>
      <c r="U605" s="71">
        <f>IF(AND(N605=1,V605=1),IF(COUNTIFS(AKTIVITAS!$B$2:$B$3052,B605,AKTIVITAS!$E$2:$E$3052,H605)&gt;0,1,0),0)</f>
        <v>0</v>
      </c>
      <c r="V605" s="71">
        <f>IFERROR(IF(AND(H605&gt;=INDEX(PEMAGANG!$J$3:$J$36,MATCH(B605,PEMAGANG!$C$3:$C$36,0)),H605&lt;=INDEX(PEMAGANG!$K$3:$K$36,MATCH(B605,PEMAGANG!$C$3:$C$36,0))),1,0),0)</f>
        <v>0</v>
      </c>
      <c r="W605" s="71">
        <f t="shared" si="89"/>
        <v>0</v>
      </c>
    </row>
    <row r="606" spans="1:23" x14ac:dyDescent="0.2">
      <c r="A606" s="71" t="s">
        <v>419</v>
      </c>
      <c r="B606" s="71" t="s">
        <v>420</v>
      </c>
      <c r="C606" s="71" t="s">
        <v>187</v>
      </c>
      <c r="D606" s="71" t="s">
        <v>421</v>
      </c>
      <c r="E606" s="71" t="s">
        <v>422</v>
      </c>
      <c r="F606" s="71" t="s">
        <v>298</v>
      </c>
      <c r="G606" s="88">
        <v>46253.268356481502</v>
      </c>
      <c r="H606" s="89">
        <v>46253</v>
      </c>
      <c r="I606" s="71" t="s">
        <v>443</v>
      </c>
      <c r="J606" s="71">
        <v>-94</v>
      </c>
      <c r="K606" s="71" t="s">
        <v>302</v>
      </c>
      <c r="L606" s="71">
        <f t="shared" si="81"/>
        <v>8</v>
      </c>
      <c r="M606" s="71" t="str">
        <f>IFERROR(INDEX(KALENDER!$D$3:$D$132,MATCH(H606,KALENDER!$A$3:$A$132,0)),"Di luar periode")</f>
        <v>Hari Kerja</v>
      </c>
      <c r="N606" s="71">
        <f t="shared" si="82"/>
        <v>1</v>
      </c>
      <c r="O606" s="71">
        <f t="shared" si="83"/>
        <v>1</v>
      </c>
      <c r="P606" s="71">
        <f t="shared" si="84"/>
        <v>0</v>
      </c>
      <c r="Q606" s="71">
        <f t="shared" si="85"/>
        <v>1</v>
      </c>
      <c r="R606" s="71">
        <f t="shared" si="86"/>
        <v>0</v>
      </c>
      <c r="S606" s="71">
        <f t="shared" si="87"/>
        <v>0</v>
      </c>
      <c r="T606" s="71">
        <f t="shared" si="88"/>
        <v>0</v>
      </c>
      <c r="U606" s="71">
        <f>IF(AND(N606=1,V606=1),IF(COUNTIFS(AKTIVITAS!$B$2:$B$3052,B606,AKTIVITAS!$E$2:$E$3052,H606)&gt;0,1,0),0)</f>
        <v>0</v>
      </c>
      <c r="V606" s="71">
        <f>IFERROR(IF(AND(H606&gt;=INDEX(PEMAGANG!$J$3:$J$36,MATCH(B606,PEMAGANG!$C$3:$C$36,0)),H606&lt;=INDEX(PEMAGANG!$K$3:$K$36,MATCH(B606,PEMAGANG!$C$3:$C$36,0))),1,0),0)</f>
        <v>0</v>
      </c>
      <c r="W606" s="71">
        <f t="shared" si="89"/>
        <v>0</v>
      </c>
    </row>
    <row r="607" spans="1:23" x14ac:dyDescent="0.2">
      <c r="A607" s="71" t="s">
        <v>419</v>
      </c>
      <c r="B607" s="71" t="s">
        <v>420</v>
      </c>
      <c r="C607" s="71" t="s">
        <v>187</v>
      </c>
      <c r="D607" s="71" t="s">
        <v>421</v>
      </c>
      <c r="E607" s="71" t="s">
        <v>422</v>
      </c>
      <c r="F607" s="71" t="s">
        <v>300</v>
      </c>
      <c r="G607" s="88">
        <v>46253.806400463</v>
      </c>
      <c r="H607" s="89">
        <v>46253</v>
      </c>
      <c r="I607" s="71" t="s">
        <v>447</v>
      </c>
      <c r="J607" s="71">
        <v>0</v>
      </c>
      <c r="K607" s="71" t="s">
        <v>302</v>
      </c>
      <c r="L607" s="71">
        <f t="shared" si="81"/>
        <v>8</v>
      </c>
      <c r="M607" s="71" t="str">
        <f>IFERROR(INDEX(KALENDER!$D$3:$D$132,MATCH(H607,KALENDER!$A$3:$A$132,0)),"Di luar periode")</f>
        <v>Hari Kerja</v>
      </c>
      <c r="N607" s="71">
        <f t="shared" si="82"/>
        <v>0</v>
      </c>
      <c r="O607" s="71">
        <f t="shared" si="83"/>
        <v>1</v>
      </c>
      <c r="P607" s="71">
        <f t="shared" si="84"/>
        <v>0</v>
      </c>
      <c r="Q607" s="71">
        <f t="shared" si="85"/>
        <v>0</v>
      </c>
      <c r="R607" s="71">
        <f t="shared" si="86"/>
        <v>0</v>
      </c>
      <c r="S607" s="71">
        <f t="shared" si="87"/>
        <v>0</v>
      </c>
      <c r="T607" s="71">
        <f t="shared" si="88"/>
        <v>0</v>
      </c>
      <c r="U607" s="71">
        <f>IF(AND(N607=1,V607=1),IF(COUNTIFS(AKTIVITAS!$B$2:$B$3052,B607,AKTIVITAS!$E$2:$E$3052,H607)&gt;0,1,0),0)</f>
        <v>0</v>
      </c>
      <c r="V607" s="71">
        <f>IFERROR(IF(AND(H607&gt;=INDEX(PEMAGANG!$J$3:$J$36,MATCH(B607,PEMAGANG!$C$3:$C$36,0)),H607&lt;=INDEX(PEMAGANG!$K$3:$K$36,MATCH(B607,PEMAGANG!$C$3:$C$36,0))),1,0),0)</f>
        <v>0</v>
      </c>
      <c r="W607" s="71">
        <f t="shared" si="89"/>
        <v>0</v>
      </c>
    </row>
    <row r="608" spans="1:23" x14ac:dyDescent="0.2">
      <c r="A608" s="71" t="s">
        <v>419</v>
      </c>
      <c r="B608" s="71" t="s">
        <v>420</v>
      </c>
      <c r="C608" s="71" t="s">
        <v>187</v>
      </c>
      <c r="D608" s="71" t="s">
        <v>421</v>
      </c>
      <c r="E608" s="71" t="s">
        <v>422</v>
      </c>
      <c r="F608" s="71" t="s">
        <v>298</v>
      </c>
      <c r="G608" s="88">
        <v>46254.264675925901</v>
      </c>
      <c r="H608" s="89">
        <v>46254</v>
      </c>
      <c r="I608" s="71" t="s">
        <v>448</v>
      </c>
      <c r="J608" s="71">
        <v>-99</v>
      </c>
      <c r="K608" s="71" t="s">
        <v>302</v>
      </c>
      <c r="L608" s="71">
        <f t="shared" si="81"/>
        <v>8</v>
      </c>
      <c r="M608" s="71" t="str">
        <f>IFERROR(INDEX(KALENDER!$D$3:$D$132,MATCH(H608,KALENDER!$A$3:$A$132,0)),"Di luar periode")</f>
        <v>Hari Kerja</v>
      </c>
      <c r="N608" s="71">
        <f t="shared" si="82"/>
        <v>1</v>
      </c>
      <c r="O608" s="71">
        <f t="shared" si="83"/>
        <v>1</v>
      </c>
      <c r="P608" s="71">
        <f t="shared" si="84"/>
        <v>0</v>
      </c>
      <c r="Q608" s="71">
        <f t="shared" si="85"/>
        <v>1</v>
      </c>
      <c r="R608" s="71">
        <f t="shared" si="86"/>
        <v>0</v>
      </c>
      <c r="S608" s="71">
        <f t="shared" si="87"/>
        <v>0</v>
      </c>
      <c r="T608" s="71">
        <f t="shared" si="88"/>
        <v>0</v>
      </c>
      <c r="U608" s="71">
        <f>IF(AND(N608=1,V608=1),IF(COUNTIFS(AKTIVITAS!$B$2:$B$3052,B608,AKTIVITAS!$E$2:$E$3052,H608)&gt;0,1,0),0)</f>
        <v>0</v>
      </c>
      <c r="V608" s="71">
        <f>IFERROR(IF(AND(H608&gt;=INDEX(PEMAGANG!$J$3:$J$36,MATCH(B608,PEMAGANG!$C$3:$C$36,0)),H608&lt;=INDEX(PEMAGANG!$K$3:$K$36,MATCH(B608,PEMAGANG!$C$3:$C$36,0))),1,0),0)</f>
        <v>0</v>
      </c>
      <c r="W608" s="71">
        <f t="shared" si="89"/>
        <v>0</v>
      </c>
    </row>
    <row r="609" spans="1:23" x14ac:dyDescent="0.2">
      <c r="A609" s="71" t="s">
        <v>419</v>
      </c>
      <c r="B609" s="71" t="s">
        <v>420</v>
      </c>
      <c r="C609" s="71" t="s">
        <v>187</v>
      </c>
      <c r="D609" s="71" t="s">
        <v>421</v>
      </c>
      <c r="E609" s="71" t="s">
        <v>422</v>
      </c>
      <c r="F609" s="71" t="s">
        <v>300</v>
      </c>
      <c r="G609" s="88">
        <v>46254.794548611098</v>
      </c>
      <c r="H609" s="89">
        <v>46254</v>
      </c>
      <c r="I609" s="71" t="s">
        <v>449</v>
      </c>
      <c r="J609" s="71">
        <v>0</v>
      </c>
      <c r="K609" s="71" t="s">
        <v>302</v>
      </c>
      <c r="L609" s="71">
        <f t="shared" si="81"/>
        <v>8</v>
      </c>
      <c r="M609" s="71" t="str">
        <f>IFERROR(INDEX(KALENDER!$D$3:$D$132,MATCH(H609,KALENDER!$A$3:$A$132,0)),"Di luar periode")</f>
        <v>Hari Kerja</v>
      </c>
      <c r="N609" s="71">
        <f t="shared" si="82"/>
        <v>0</v>
      </c>
      <c r="O609" s="71">
        <f t="shared" si="83"/>
        <v>1</v>
      </c>
      <c r="P609" s="71">
        <f t="shared" si="84"/>
        <v>0</v>
      </c>
      <c r="Q609" s="71">
        <f t="shared" si="85"/>
        <v>0</v>
      </c>
      <c r="R609" s="71">
        <f t="shared" si="86"/>
        <v>0</v>
      </c>
      <c r="S609" s="71">
        <f t="shared" si="87"/>
        <v>0</v>
      </c>
      <c r="T609" s="71">
        <f t="shared" si="88"/>
        <v>0</v>
      </c>
      <c r="U609" s="71">
        <f>IF(AND(N609=1,V609=1),IF(COUNTIFS(AKTIVITAS!$B$2:$B$3052,B609,AKTIVITAS!$E$2:$E$3052,H609)&gt;0,1,0),0)</f>
        <v>0</v>
      </c>
      <c r="V609" s="71">
        <f>IFERROR(IF(AND(H609&gt;=INDEX(PEMAGANG!$J$3:$J$36,MATCH(B609,PEMAGANG!$C$3:$C$36,0)),H609&lt;=INDEX(PEMAGANG!$K$3:$K$36,MATCH(B609,PEMAGANG!$C$3:$C$36,0))),1,0),0)</f>
        <v>0</v>
      </c>
      <c r="W609" s="71">
        <f t="shared" si="89"/>
        <v>0</v>
      </c>
    </row>
    <row r="610" spans="1:23" x14ac:dyDescent="0.2">
      <c r="A610" s="71" t="s">
        <v>419</v>
      </c>
      <c r="B610" s="71" t="s">
        <v>420</v>
      </c>
      <c r="C610" s="71" t="s">
        <v>187</v>
      </c>
      <c r="D610" s="71" t="s">
        <v>421</v>
      </c>
      <c r="E610" s="71" t="s">
        <v>422</v>
      </c>
      <c r="F610" s="71" t="s">
        <v>298</v>
      </c>
      <c r="G610" s="88">
        <v>46255.260092592602</v>
      </c>
      <c r="H610" s="89">
        <v>46255</v>
      </c>
      <c r="I610" s="71" t="s">
        <v>426</v>
      </c>
      <c r="J610" s="71">
        <v>-106</v>
      </c>
      <c r="K610" s="71" t="s">
        <v>302</v>
      </c>
      <c r="L610" s="71">
        <f t="shared" si="81"/>
        <v>8</v>
      </c>
      <c r="M610" s="71" t="str">
        <f>IFERROR(INDEX(KALENDER!$D$3:$D$132,MATCH(H610,KALENDER!$A$3:$A$132,0)),"Di luar periode")</f>
        <v>Hari Kerja</v>
      </c>
      <c r="N610" s="71">
        <f t="shared" si="82"/>
        <v>1</v>
      </c>
      <c r="O610" s="71">
        <f t="shared" si="83"/>
        <v>1</v>
      </c>
      <c r="P610" s="71">
        <f t="shared" si="84"/>
        <v>0</v>
      </c>
      <c r="Q610" s="71">
        <f t="shared" si="85"/>
        <v>1</v>
      </c>
      <c r="R610" s="71">
        <f t="shared" si="86"/>
        <v>0</v>
      </c>
      <c r="S610" s="71">
        <f t="shared" si="87"/>
        <v>0</v>
      </c>
      <c r="T610" s="71">
        <f t="shared" si="88"/>
        <v>0</v>
      </c>
      <c r="U610" s="71">
        <f>IF(AND(N610=1,V610=1),IF(COUNTIFS(AKTIVITAS!$B$2:$B$3052,B610,AKTIVITAS!$E$2:$E$3052,H610)&gt;0,1,0),0)</f>
        <v>0</v>
      </c>
      <c r="V610" s="71">
        <f>IFERROR(IF(AND(H610&gt;=INDEX(PEMAGANG!$J$3:$J$36,MATCH(B610,PEMAGANG!$C$3:$C$36,0)),H610&lt;=INDEX(PEMAGANG!$K$3:$K$36,MATCH(B610,PEMAGANG!$C$3:$C$36,0))),1,0),0)</f>
        <v>0</v>
      </c>
      <c r="W610" s="71">
        <f t="shared" si="89"/>
        <v>0</v>
      </c>
    </row>
    <row r="611" spans="1:23" x14ac:dyDescent="0.2">
      <c r="A611" s="71" t="s">
        <v>419</v>
      </c>
      <c r="B611" s="71" t="s">
        <v>420</v>
      </c>
      <c r="C611" s="71" t="s">
        <v>187</v>
      </c>
      <c r="D611" s="71" t="s">
        <v>421</v>
      </c>
      <c r="E611" s="71" t="s">
        <v>422</v>
      </c>
      <c r="F611" s="71" t="s">
        <v>300</v>
      </c>
      <c r="G611" s="88">
        <v>46255.711041666698</v>
      </c>
      <c r="H611" s="89">
        <v>46255</v>
      </c>
      <c r="I611" s="71" t="s">
        <v>450</v>
      </c>
      <c r="J611" s="71">
        <v>0</v>
      </c>
      <c r="K611" s="71" t="s">
        <v>302</v>
      </c>
      <c r="L611" s="71">
        <f t="shared" si="81"/>
        <v>8</v>
      </c>
      <c r="M611" s="71" t="str">
        <f>IFERROR(INDEX(KALENDER!$D$3:$D$132,MATCH(H611,KALENDER!$A$3:$A$132,0)),"Di luar periode")</f>
        <v>Hari Kerja</v>
      </c>
      <c r="N611" s="71">
        <f t="shared" si="82"/>
        <v>0</v>
      </c>
      <c r="O611" s="71">
        <f t="shared" si="83"/>
        <v>1</v>
      </c>
      <c r="P611" s="71">
        <f t="shared" si="84"/>
        <v>0</v>
      </c>
      <c r="Q611" s="71">
        <f t="shared" si="85"/>
        <v>0</v>
      </c>
      <c r="R611" s="71">
        <f t="shared" si="86"/>
        <v>0</v>
      </c>
      <c r="S611" s="71">
        <f t="shared" si="87"/>
        <v>0</v>
      </c>
      <c r="T611" s="71">
        <f t="shared" si="88"/>
        <v>0</v>
      </c>
      <c r="U611" s="71">
        <f>IF(AND(N611=1,V611=1),IF(COUNTIFS(AKTIVITAS!$B$2:$B$3052,B611,AKTIVITAS!$E$2:$E$3052,H611)&gt;0,1,0),0)</f>
        <v>0</v>
      </c>
      <c r="V611" s="71">
        <f>IFERROR(IF(AND(H611&gt;=INDEX(PEMAGANG!$J$3:$J$36,MATCH(B611,PEMAGANG!$C$3:$C$36,0)),H611&lt;=INDEX(PEMAGANG!$K$3:$K$36,MATCH(B611,PEMAGANG!$C$3:$C$36,0))),1,0),0)</f>
        <v>0</v>
      </c>
      <c r="W611" s="71">
        <f t="shared" si="89"/>
        <v>0</v>
      </c>
    </row>
    <row r="612" spans="1:23" x14ac:dyDescent="0.2">
      <c r="A612" s="71" t="s">
        <v>419</v>
      </c>
      <c r="B612" s="71" t="s">
        <v>420</v>
      </c>
      <c r="C612" s="71" t="s">
        <v>187</v>
      </c>
      <c r="D612" s="71" t="s">
        <v>421</v>
      </c>
      <c r="E612" s="71" t="s">
        <v>422</v>
      </c>
      <c r="F612" s="71" t="s">
        <v>298</v>
      </c>
      <c r="G612" s="88">
        <v>46258.249525462998</v>
      </c>
      <c r="H612" s="89">
        <v>46258</v>
      </c>
      <c r="I612" s="71" t="s">
        <v>451</v>
      </c>
      <c r="J612" s="71">
        <v>-121</v>
      </c>
      <c r="K612" s="71" t="s">
        <v>302</v>
      </c>
      <c r="L612" s="71">
        <f t="shared" si="81"/>
        <v>8</v>
      </c>
      <c r="M612" s="71" t="str">
        <f>IFERROR(INDEX(KALENDER!$D$3:$D$132,MATCH(H612,KALENDER!$A$3:$A$132,0)),"Di luar periode")</f>
        <v>Hari Kerja</v>
      </c>
      <c r="N612" s="71">
        <f t="shared" si="82"/>
        <v>1</v>
      </c>
      <c r="O612" s="71">
        <f t="shared" si="83"/>
        <v>1</v>
      </c>
      <c r="P612" s="71">
        <f t="shared" si="84"/>
        <v>0</v>
      </c>
      <c r="Q612" s="71">
        <f t="shared" si="85"/>
        <v>1</v>
      </c>
      <c r="R612" s="71">
        <f t="shared" si="86"/>
        <v>0</v>
      </c>
      <c r="S612" s="71">
        <f t="shared" si="87"/>
        <v>0</v>
      </c>
      <c r="T612" s="71">
        <f t="shared" si="88"/>
        <v>0</v>
      </c>
      <c r="U612" s="71">
        <f>IF(AND(N612=1,V612=1),IF(COUNTIFS(AKTIVITAS!$B$2:$B$3052,B612,AKTIVITAS!$E$2:$E$3052,H612)&gt;0,1,0),0)</f>
        <v>0</v>
      </c>
      <c r="V612" s="71">
        <f>IFERROR(IF(AND(H612&gt;=INDEX(PEMAGANG!$J$3:$J$36,MATCH(B612,PEMAGANG!$C$3:$C$36,0)),H612&lt;=INDEX(PEMAGANG!$K$3:$K$36,MATCH(B612,PEMAGANG!$C$3:$C$36,0))),1,0),0)</f>
        <v>0</v>
      </c>
      <c r="W612" s="71">
        <f t="shared" si="89"/>
        <v>0</v>
      </c>
    </row>
    <row r="613" spans="1:23" x14ac:dyDescent="0.2">
      <c r="A613" s="71" t="s">
        <v>419</v>
      </c>
      <c r="B613" s="71" t="s">
        <v>420</v>
      </c>
      <c r="C613" s="71" t="s">
        <v>187</v>
      </c>
      <c r="D613" s="71" t="s">
        <v>421</v>
      </c>
      <c r="E613" s="71" t="s">
        <v>422</v>
      </c>
      <c r="F613" s="71" t="s">
        <v>300</v>
      </c>
      <c r="G613" s="88">
        <v>46258.774837962999</v>
      </c>
      <c r="H613" s="89">
        <v>46258</v>
      </c>
      <c r="I613" s="71" t="s">
        <v>429</v>
      </c>
      <c r="J613" s="71">
        <v>0</v>
      </c>
      <c r="K613" s="71" t="s">
        <v>302</v>
      </c>
      <c r="L613" s="71">
        <f t="shared" si="81"/>
        <v>8</v>
      </c>
      <c r="M613" s="71" t="str">
        <f>IFERROR(INDEX(KALENDER!$D$3:$D$132,MATCH(H613,KALENDER!$A$3:$A$132,0)),"Di luar periode")</f>
        <v>Hari Kerja</v>
      </c>
      <c r="N613" s="71">
        <f t="shared" si="82"/>
        <v>0</v>
      </c>
      <c r="O613" s="71">
        <f t="shared" si="83"/>
        <v>1</v>
      </c>
      <c r="P613" s="71">
        <f t="shared" si="84"/>
        <v>0</v>
      </c>
      <c r="Q613" s="71">
        <f t="shared" si="85"/>
        <v>0</v>
      </c>
      <c r="R613" s="71">
        <f t="shared" si="86"/>
        <v>0</v>
      </c>
      <c r="S613" s="71">
        <f t="shared" si="87"/>
        <v>0</v>
      </c>
      <c r="T613" s="71">
        <f t="shared" si="88"/>
        <v>0</v>
      </c>
      <c r="U613" s="71">
        <f>IF(AND(N613=1,V613=1),IF(COUNTIFS(AKTIVITAS!$B$2:$B$3052,B613,AKTIVITAS!$E$2:$E$3052,H613)&gt;0,1,0),0)</f>
        <v>0</v>
      </c>
      <c r="V613" s="71">
        <f>IFERROR(IF(AND(H613&gt;=INDEX(PEMAGANG!$J$3:$J$36,MATCH(B613,PEMAGANG!$C$3:$C$36,0)),H613&lt;=INDEX(PEMAGANG!$K$3:$K$36,MATCH(B613,PEMAGANG!$C$3:$C$36,0))),1,0),0)</f>
        <v>0</v>
      </c>
      <c r="W613" s="71">
        <f t="shared" si="89"/>
        <v>0</v>
      </c>
    </row>
    <row r="614" spans="1:23" x14ac:dyDescent="0.2">
      <c r="A614" s="71" t="s">
        <v>419</v>
      </c>
      <c r="B614" s="71" t="s">
        <v>420</v>
      </c>
      <c r="C614" s="71" t="s">
        <v>187</v>
      </c>
      <c r="D614" s="71" t="s">
        <v>421</v>
      </c>
      <c r="E614" s="71" t="s">
        <v>422</v>
      </c>
      <c r="F614" s="71" t="s">
        <v>298</v>
      </c>
      <c r="G614" s="88">
        <v>46260.266643518502</v>
      </c>
      <c r="H614" s="89">
        <v>46260</v>
      </c>
      <c r="I614" s="71" t="s">
        <v>445</v>
      </c>
      <c r="J614" s="71">
        <v>-97</v>
      </c>
      <c r="K614" s="71" t="s">
        <v>302</v>
      </c>
      <c r="L614" s="71">
        <f t="shared" si="81"/>
        <v>8</v>
      </c>
      <c r="M614" s="71" t="str">
        <f>IFERROR(INDEX(KALENDER!$D$3:$D$132,MATCH(H614,KALENDER!$A$3:$A$132,0)),"Di luar periode")</f>
        <v>Hari Kerja</v>
      </c>
      <c r="N614" s="71">
        <f t="shared" si="82"/>
        <v>1</v>
      </c>
      <c r="O614" s="71">
        <f t="shared" si="83"/>
        <v>1</v>
      </c>
      <c r="P614" s="71">
        <f t="shared" si="84"/>
        <v>0</v>
      </c>
      <c r="Q614" s="71">
        <f t="shared" si="85"/>
        <v>1</v>
      </c>
      <c r="R614" s="71">
        <f t="shared" si="86"/>
        <v>0</v>
      </c>
      <c r="S614" s="71">
        <f t="shared" si="87"/>
        <v>0</v>
      </c>
      <c r="T614" s="71">
        <f t="shared" si="88"/>
        <v>0</v>
      </c>
      <c r="U614" s="71">
        <f>IF(AND(N614=1,V614=1),IF(COUNTIFS(AKTIVITAS!$B$2:$B$3052,B614,AKTIVITAS!$E$2:$E$3052,H614)&gt;0,1,0),0)</f>
        <v>0</v>
      </c>
      <c r="V614" s="71">
        <f>IFERROR(IF(AND(H614&gt;=INDEX(PEMAGANG!$J$3:$J$36,MATCH(B614,PEMAGANG!$C$3:$C$36,0)),H614&lt;=INDEX(PEMAGANG!$K$3:$K$36,MATCH(B614,PEMAGANG!$C$3:$C$36,0))),1,0),0)</f>
        <v>0</v>
      </c>
      <c r="W614" s="71">
        <f t="shared" si="89"/>
        <v>0</v>
      </c>
    </row>
    <row r="615" spans="1:23" x14ac:dyDescent="0.2">
      <c r="A615" s="71" t="s">
        <v>419</v>
      </c>
      <c r="B615" s="71" t="s">
        <v>420</v>
      </c>
      <c r="C615" s="71" t="s">
        <v>187</v>
      </c>
      <c r="D615" s="71" t="s">
        <v>421</v>
      </c>
      <c r="E615" s="71" t="s">
        <v>422</v>
      </c>
      <c r="F615" s="71" t="s">
        <v>300</v>
      </c>
      <c r="G615" s="88">
        <v>46260.761620370402</v>
      </c>
      <c r="H615" s="89">
        <v>46260</v>
      </c>
      <c r="I615" s="71" t="s">
        <v>417</v>
      </c>
      <c r="J615" s="71">
        <v>0</v>
      </c>
      <c r="K615" s="71" t="s">
        <v>302</v>
      </c>
      <c r="L615" s="71">
        <f t="shared" si="81"/>
        <v>8</v>
      </c>
      <c r="M615" s="71" t="str">
        <f>IFERROR(INDEX(KALENDER!$D$3:$D$132,MATCH(H615,KALENDER!$A$3:$A$132,0)),"Di luar periode")</f>
        <v>Hari Kerja</v>
      </c>
      <c r="N615" s="71">
        <f t="shared" si="82"/>
        <v>0</v>
      </c>
      <c r="O615" s="71">
        <f t="shared" si="83"/>
        <v>1</v>
      </c>
      <c r="P615" s="71">
        <f t="shared" si="84"/>
        <v>0</v>
      </c>
      <c r="Q615" s="71">
        <f t="shared" si="85"/>
        <v>0</v>
      </c>
      <c r="R615" s="71">
        <f t="shared" si="86"/>
        <v>0</v>
      </c>
      <c r="S615" s="71">
        <f t="shared" si="87"/>
        <v>0</v>
      </c>
      <c r="T615" s="71">
        <f t="shared" si="88"/>
        <v>0</v>
      </c>
      <c r="U615" s="71">
        <f>IF(AND(N615=1,V615=1),IF(COUNTIFS(AKTIVITAS!$B$2:$B$3052,B615,AKTIVITAS!$E$2:$E$3052,H615)&gt;0,1,0),0)</f>
        <v>0</v>
      </c>
      <c r="V615" s="71">
        <f>IFERROR(IF(AND(H615&gt;=INDEX(PEMAGANG!$J$3:$J$36,MATCH(B615,PEMAGANG!$C$3:$C$36,0)),H615&lt;=INDEX(PEMAGANG!$K$3:$K$36,MATCH(B615,PEMAGANG!$C$3:$C$36,0))),1,0),0)</f>
        <v>0</v>
      </c>
      <c r="W615" s="71">
        <f t="shared" si="89"/>
        <v>0</v>
      </c>
    </row>
    <row r="616" spans="1:23" x14ac:dyDescent="0.2">
      <c r="A616" s="71" t="s">
        <v>419</v>
      </c>
      <c r="B616" s="71" t="s">
        <v>420</v>
      </c>
      <c r="C616" s="71" t="s">
        <v>187</v>
      </c>
      <c r="D616" s="71" t="s">
        <v>421</v>
      </c>
      <c r="E616" s="71" t="s">
        <v>422</v>
      </c>
      <c r="F616" s="71" t="s">
        <v>298</v>
      </c>
      <c r="G616" s="88">
        <v>46261.265104166698</v>
      </c>
      <c r="H616" s="89">
        <v>46261</v>
      </c>
      <c r="I616" s="71" t="s">
        <v>448</v>
      </c>
      <c r="J616" s="71">
        <v>-99</v>
      </c>
      <c r="K616" s="71" t="s">
        <v>302</v>
      </c>
      <c r="L616" s="71">
        <f t="shared" si="81"/>
        <v>8</v>
      </c>
      <c r="M616" s="71" t="str">
        <f>IFERROR(INDEX(KALENDER!$D$3:$D$132,MATCH(H616,KALENDER!$A$3:$A$132,0)),"Di luar periode")</f>
        <v>Hari Kerja</v>
      </c>
      <c r="N616" s="71">
        <f t="shared" si="82"/>
        <v>1</v>
      </c>
      <c r="O616" s="71">
        <f t="shared" si="83"/>
        <v>1</v>
      </c>
      <c r="P616" s="71">
        <f t="shared" si="84"/>
        <v>0</v>
      </c>
      <c r="Q616" s="71">
        <f t="shared" si="85"/>
        <v>1</v>
      </c>
      <c r="R616" s="71">
        <f t="shared" si="86"/>
        <v>0</v>
      </c>
      <c r="S616" s="71">
        <f t="shared" si="87"/>
        <v>0</v>
      </c>
      <c r="T616" s="71">
        <f t="shared" si="88"/>
        <v>0</v>
      </c>
      <c r="U616" s="71">
        <f>IF(AND(N616=1,V616=1),IF(COUNTIFS(AKTIVITAS!$B$2:$B$3052,B616,AKTIVITAS!$E$2:$E$3052,H616)&gt;0,1,0),0)</f>
        <v>0</v>
      </c>
      <c r="V616" s="71">
        <f>IFERROR(IF(AND(H616&gt;=INDEX(PEMAGANG!$J$3:$J$36,MATCH(B616,PEMAGANG!$C$3:$C$36,0)),H616&lt;=INDEX(PEMAGANG!$K$3:$K$36,MATCH(B616,PEMAGANG!$C$3:$C$36,0))),1,0),0)</f>
        <v>0</v>
      </c>
      <c r="W616" s="71">
        <f t="shared" si="89"/>
        <v>0</v>
      </c>
    </row>
    <row r="617" spans="1:23" x14ac:dyDescent="0.2">
      <c r="A617" s="71" t="s">
        <v>419</v>
      </c>
      <c r="B617" s="71" t="s">
        <v>420</v>
      </c>
      <c r="C617" s="71" t="s">
        <v>187</v>
      </c>
      <c r="D617" s="71" t="s">
        <v>421</v>
      </c>
      <c r="E617" s="71" t="s">
        <v>422</v>
      </c>
      <c r="F617" s="71" t="s">
        <v>300</v>
      </c>
      <c r="G617" s="88">
        <v>46261.769317129598</v>
      </c>
      <c r="H617" s="89">
        <v>46261</v>
      </c>
      <c r="I617" s="71" t="s">
        <v>452</v>
      </c>
      <c r="J617" s="71">
        <v>0</v>
      </c>
      <c r="K617" s="71" t="s">
        <v>302</v>
      </c>
      <c r="L617" s="71">
        <f t="shared" si="81"/>
        <v>8</v>
      </c>
      <c r="M617" s="71" t="str">
        <f>IFERROR(INDEX(KALENDER!$D$3:$D$132,MATCH(H617,KALENDER!$A$3:$A$132,0)),"Di luar periode")</f>
        <v>Hari Kerja</v>
      </c>
      <c r="N617" s="71">
        <f t="shared" si="82"/>
        <v>0</v>
      </c>
      <c r="O617" s="71">
        <f t="shared" si="83"/>
        <v>1</v>
      </c>
      <c r="P617" s="71">
        <f t="shared" si="84"/>
        <v>0</v>
      </c>
      <c r="Q617" s="71">
        <f t="shared" si="85"/>
        <v>0</v>
      </c>
      <c r="R617" s="71">
        <f t="shared" si="86"/>
        <v>0</v>
      </c>
      <c r="S617" s="71">
        <f t="shared" si="87"/>
        <v>0</v>
      </c>
      <c r="T617" s="71">
        <f t="shared" si="88"/>
        <v>0</v>
      </c>
      <c r="U617" s="71">
        <f>IF(AND(N617=1,V617=1),IF(COUNTIFS(AKTIVITAS!$B$2:$B$3052,B617,AKTIVITAS!$E$2:$E$3052,H617)&gt;0,1,0),0)</f>
        <v>0</v>
      </c>
      <c r="V617" s="71">
        <f>IFERROR(IF(AND(H617&gt;=INDEX(PEMAGANG!$J$3:$J$36,MATCH(B617,PEMAGANG!$C$3:$C$36,0)),H617&lt;=INDEX(PEMAGANG!$K$3:$K$36,MATCH(B617,PEMAGANG!$C$3:$C$36,0))),1,0),0)</f>
        <v>0</v>
      </c>
      <c r="W617" s="71">
        <f t="shared" si="89"/>
        <v>0</v>
      </c>
    </row>
    <row r="618" spans="1:23" x14ac:dyDescent="0.2">
      <c r="A618" s="71" t="s">
        <v>419</v>
      </c>
      <c r="B618" s="71" t="s">
        <v>420</v>
      </c>
      <c r="C618" s="71" t="s">
        <v>187</v>
      </c>
      <c r="D618" s="71" t="s">
        <v>421</v>
      </c>
      <c r="E618" s="71" t="s">
        <v>422</v>
      </c>
      <c r="F618" s="71" t="s">
        <v>298</v>
      </c>
      <c r="G618" s="88">
        <v>46262.272685185198</v>
      </c>
      <c r="H618" s="89">
        <v>46262</v>
      </c>
      <c r="I618" s="71" t="s">
        <v>453</v>
      </c>
      <c r="J618" s="71">
        <v>-88</v>
      </c>
      <c r="K618" s="71" t="s">
        <v>302</v>
      </c>
      <c r="L618" s="71">
        <f t="shared" si="81"/>
        <v>8</v>
      </c>
      <c r="M618" s="71" t="str">
        <f>IFERROR(INDEX(KALENDER!$D$3:$D$132,MATCH(H618,KALENDER!$A$3:$A$132,0)),"Di luar periode")</f>
        <v>Hari Kerja</v>
      </c>
      <c r="N618" s="71">
        <f t="shared" si="82"/>
        <v>1</v>
      </c>
      <c r="O618" s="71">
        <f t="shared" si="83"/>
        <v>1</v>
      </c>
      <c r="P618" s="71">
        <f t="shared" si="84"/>
        <v>0</v>
      </c>
      <c r="Q618" s="71">
        <f t="shared" si="85"/>
        <v>1</v>
      </c>
      <c r="R618" s="71">
        <f t="shared" si="86"/>
        <v>0</v>
      </c>
      <c r="S618" s="71">
        <f t="shared" si="87"/>
        <v>0</v>
      </c>
      <c r="T618" s="71">
        <f t="shared" si="88"/>
        <v>0</v>
      </c>
      <c r="U618" s="71">
        <f>IF(AND(N618=1,V618=1),IF(COUNTIFS(AKTIVITAS!$B$2:$B$3052,B618,AKTIVITAS!$E$2:$E$3052,H618)&gt;0,1,0),0)</f>
        <v>0</v>
      </c>
      <c r="V618" s="71">
        <f>IFERROR(IF(AND(H618&gt;=INDEX(PEMAGANG!$J$3:$J$36,MATCH(B618,PEMAGANG!$C$3:$C$36,0)),H618&lt;=INDEX(PEMAGANG!$K$3:$K$36,MATCH(B618,PEMAGANG!$C$3:$C$36,0))),1,0),0)</f>
        <v>0</v>
      </c>
      <c r="W618" s="71">
        <f t="shared" si="89"/>
        <v>0</v>
      </c>
    </row>
    <row r="619" spans="1:23" x14ac:dyDescent="0.2">
      <c r="A619" s="71" t="s">
        <v>419</v>
      </c>
      <c r="B619" s="71" t="s">
        <v>420</v>
      </c>
      <c r="C619" s="71" t="s">
        <v>187</v>
      </c>
      <c r="D619" s="71" t="s">
        <v>421</v>
      </c>
      <c r="E619" s="71" t="s">
        <v>422</v>
      </c>
      <c r="F619" s="71" t="s">
        <v>300</v>
      </c>
      <c r="G619" s="88">
        <v>46262.7368518519</v>
      </c>
      <c r="H619" s="89">
        <v>46262</v>
      </c>
      <c r="I619" s="71" t="s">
        <v>454</v>
      </c>
      <c r="J619" s="71">
        <v>0</v>
      </c>
      <c r="K619" s="71" t="s">
        <v>302</v>
      </c>
      <c r="L619" s="71">
        <f t="shared" si="81"/>
        <v>8</v>
      </c>
      <c r="M619" s="71" t="str">
        <f>IFERROR(INDEX(KALENDER!$D$3:$D$132,MATCH(H619,KALENDER!$A$3:$A$132,0)),"Di luar periode")</f>
        <v>Hari Kerja</v>
      </c>
      <c r="N619" s="71">
        <f t="shared" si="82"/>
        <v>0</v>
      </c>
      <c r="O619" s="71">
        <f t="shared" si="83"/>
        <v>1</v>
      </c>
      <c r="P619" s="71">
        <f t="shared" si="84"/>
        <v>0</v>
      </c>
      <c r="Q619" s="71">
        <f t="shared" si="85"/>
        <v>0</v>
      </c>
      <c r="R619" s="71">
        <f t="shared" si="86"/>
        <v>0</v>
      </c>
      <c r="S619" s="71">
        <f t="shared" si="87"/>
        <v>0</v>
      </c>
      <c r="T619" s="71">
        <f t="shared" si="88"/>
        <v>0</v>
      </c>
      <c r="U619" s="71">
        <f>IF(AND(N619=1,V619=1),IF(COUNTIFS(AKTIVITAS!$B$2:$B$3052,B619,AKTIVITAS!$E$2:$E$3052,H619)&gt;0,1,0),0)</f>
        <v>0</v>
      </c>
      <c r="V619" s="71">
        <f>IFERROR(IF(AND(H619&gt;=INDEX(PEMAGANG!$J$3:$J$36,MATCH(B619,PEMAGANG!$C$3:$C$36,0)),H619&lt;=INDEX(PEMAGANG!$K$3:$K$36,MATCH(B619,PEMAGANG!$C$3:$C$36,0))),1,0),0)</f>
        <v>0</v>
      </c>
      <c r="W619" s="71">
        <f t="shared" si="89"/>
        <v>0</v>
      </c>
    </row>
    <row r="620" spans="1:23" x14ac:dyDescent="0.2">
      <c r="A620" s="71" t="s">
        <v>419</v>
      </c>
      <c r="B620" s="71" t="s">
        <v>420</v>
      </c>
      <c r="C620" s="71" t="s">
        <v>187</v>
      </c>
      <c r="D620" s="71" t="s">
        <v>421</v>
      </c>
      <c r="E620" s="71" t="s">
        <v>422</v>
      </c>
      <c r="F620" s="71" t="s">
        <v>298</v>
      </c>
      <c r="G620" s="88">
        <v>46265.244490740697</v>
      </c>
      <c r="H620" s="89">
        <v>46265</v>
      </c>
      <c r="I620" s="71" t="s">
        <v>446</v>
      </c>
      <c r="J620" s="71">
        <v>-128</v>
      </c>
      <c r="K620" s="71" t="s">
        <v>302</v>
      </c>
      <c r="L620" s="71">
        <f t="shared" si="81"/>
        <v>8</v>
      </c>
      <c r="M620" s="71" t="str">
        <f>IFERROR(INDEX(KALENDER!$D$3:$D$132,MATCH(H620,KALENDER!$A$3:$A$132,0)),"Di luar periode")</f>
        <v>Hari Kerja</v>
      </c>
      <c r="N620" s="71">
        <f t="shared" si="82"/>
        <v>1</v>
      </c>
      <c r="O620" s="71">
        <f t="shared" si="83"/>
        <v>1</v>
      </c>
      <c r="P620" s="71">
        <f t="shared" si="84"/>
        <v>0</v>
      </c>
      <c r="Q620" s="71">
        <f t="shared" si="85"/>
        <v>1</v>
      </c>
      <c r="R620" s="71">
        <f t="shared" si="86"/>
        <v>0</v>
      </c>
      <c r="S620" s="71">
        <f t="shared" si="87"/>
        <v>0</v>
      </c>
      <c r="T620" s="71">
        <f t="shared" si="88"/>
        <v>0</v>
      </c>
      <c r="U620" s="71">
        <f>IF(AND(N620=1,V620=1),IF(COUNTIFS(AKTIVITAS!$B$2:$B$3052,B620,AKTIVITAS!$E$2:$E$3052,H620)&gt;0,1,0),0)</f>
        <v>0</v>
      </c>
      <c r="V620" s="71">
        <f>IFERROR(IF(AND(H620&gt;=INDEX(PEMAGANG!$J$3:$J$36,MATCH(B620,PEMAGANG!$C$3:$C$36,0)),H620&lt;=INDEX(PEMAGANG!$K$3:$K$36,MATCH(B620,PEMAGANG!$C$3:$C$36,0))),1,0),0)</f>
        <v>0</v>
      </c>
      <c r="W620" s="71">
        <f t="shared" si="89"/>
        <v>0</v>
      </c>
    </row>
    <row r="621" spans="1:23" x14ac:dyDescent="0.2">
      <c r="A621" s="71" t="s">
        <v>419</v>
      </c>
      <c r="B621" s="71" t="s">
        <v>420</v>
      </c>
      <c r="C621" s="71" t="s">
        <v>187</v>
      </c>
      <c r="D621" s="71" t="s">
        <v>421</v>
      </c>
      <c r="E621" s="71" t="s">
        <v>422</v>
      </c>
      <c r="F621" s="71" t="s">
        <v>300</v>
      </c>
      <c r="G621" s="88">
        <v>46265.7680092593</v>
      </c>
      <c r="H621" s="89">
        <v>46265</v>
      </c>
      <c r="I621" s="71" t="s">
        <v>424</v>
      </c>
      <c r="J621" s="71">
        <v>0</v>
      </c>
      <c r="K621" s="71" t="s">
        <v>302</v>
      </c>
      <c r="L621" s="71">
        <f t="shared" si="81"/>
        <v>8</v>
      </c>
      <c r="M621" s="71" t="str">
        <f>IFERROR(INDEX(KALENDER!$D$3:$D$132,MATCH(H621,KALENDER!$A$3:$A$132,0)),"Di luar periode")</f>
        <v>Hari Kerja</v>
      </c>
      <c r="N621" s="71">
        <f t="shared" si="82"/>
        <v>0</v>
      </c>
      <c r="O621" s="71">
        <f t="shared" si="83"/>
        <v>1</v>
      </c>
      <c r="P621" s="71">
        <f t="shared" si="84"/>
        <v>0</v>
      </c>
      <c r="Q621" s="71">
        <f t="shared" si="85"/>
        <v>0</v>
      </c>
      <c r="R621" s="71">
        <f t="shared" si="86"/>
        <v>0</v>
      </c>
      <c r="S621" s="71">
        <f t="shared" si="87"/>
        <v>0</v>
      </c>
      <c r="T621" s="71">
        <f t="shared" si="88"/>
        <v>0</v>
      </c>
      <c r="U621" s="71">
        <f>IF(AND(N621=1,V621=1),IF(COUNTIFS(AKTIVITAS!$B$2:$B$3052,B621,AKTIVITAS!$E$2:$E$3052,H621)&gt;0,1,0),0)</f>
        <v>0</v>
      </c>
      <c r="V621" s="71">
        <f>IFERROR(IF(AND(H621&gt;=INDEX(PEMAGANG!$J$3:$J$36,MATCH(B621,PEMAGANG!$C$3:$C$36,0)),H621&lt;=INDEX(PEMAGANG!$K$3:$K$36,MATCH(B621,PEMAGANG!$C$3:$C$36,0))),1,0),0)</f>
        <v>0</v>
      </c>
      <c r="W621" s="71">
        <f t="shared" si="89"/>
        <v>0</v>
      </c>
    </row>
    <row r="622" spans="1:23" x14ac:dyDescent="0.2">
      <c r="A622" s="71" t="s">
        <v>419</v>
      </c>
      <c r="B622" s="71" t="s">
        <v>420</v>
      </c>
      <c r="C622" s="71" t="s">
        <v>187</v>
      </c>
      <c r="D622" s="71" t="s">
        <v>421</v>
      </c>
      <c r="E622" s="71" t="s">
        <v>422</v>
      </c>
      <c r="F622" s="71" t="s">
        <v>298</v>
      </c>
      <c r="G622" s="88">
        <v>46266.262326388904</v>
      </c>
      <c r="H622" s="89">
        <v>46266</v>
      </c>
      <c r="I622" s="71" t="s">
        <v>440</v>
      </c>
      <c r="J622" s="71">
        <v>-103</v>
      </c>
      <c r="K622" s="71" t="s">
        <v>302</v>
      </c>
      <c r="L622" s="71">
        <f t="shared" si="81"/>
        <v>9</v>
      </c>
      <c r="M622" s="71" t="str">
        <f>IFERROR(INDEX(KALENDER!$D$3:$D$132,MATCH(H622,KALENDER!$A$3:$A$132,0)),"Di luar periode")</f>
        <v>Hari Kerja</v>
      </c>
      <c r="N622" s="71">
        <f t="shared" si="82"/>
        <v>1</v>
      </c>
      <c r="O622" s="71">
        <f t="shared" si="83"/>
        <v>1</v>
      </c>
      <c r="P622" s="71">
        <f t="shared" si="84"/>
        <v>0</v>
      </c>
      <c r="Q622" s="71">
        <f t="shared" si="85"/>
        <v>1</v>
      </c>
      <c r="R622" s="71">
        <f t="shared" si="86"/>
        <v>0</v>
      </c>
      <c r="S622" s="71">
        <f t="shared" si="87"/>
        <v>0</v>
      </c>
      <c r="T622" s="71">
        <f t="shared" si="88"/>
        <v>0</v>
      </c>
      <c r="U622" s="71">
        <f>IF(AND(N622=1,V622=1),IF(COUNTIFS(AKTIVITAS!$B$2:$B$3052,B622,AKTIVITAS!$E$2:$E$3052,H622)&gt;0,1,0),0)</f>
        <v>0</v>
      </c>
      <c r="V622" s="71">
        <f>IFERROR(IF(AND(H622&gt;=INDEX(PEMAGANG!$J$3:$J$36,MATCH(B622,PEMAGANG!$C$3:$C$36,0)),H622&lt;=INDEX(PEMAGANG!$K$3:$K$36,MATCH(B622,PEMAGANG!$C$3:$C$36,0))),1,0),0)</f>
        <v>0</v>
      </c>
      <c r="W622" s="71">
        <f t="shared" si="89"/>
        <v>0</v>
      </c>
    </row>
    <row r="623" spans="1:23" x14ac:dyDescent="0.2">
      <c r="A623" s="71" t="s">
        <v>419</v>
      </c>
      <c r="B623" s="71" t="s">
        <v>420</v>
      </c>
      <c r="C623" s="71" t="s">
        <v>187</v>
      </c>
      <c r="D623" s="71" t="s">
        <v>421</v>
      </c>
      <c r="E623" s="71" t="s">
        <v>422</v>
      </c>
      <c r="F623" s="71" t="s">
        <v>300</v>
      </c>
      <c r="G623" s="88">
        <v>46266.827106481498</v>
      </c>
      <c r="H623" s="89">
        <v>46266</v>
      </c>
      <c r="I623" s="71" t="s">
        <v>455</v>
      </c>
      <c r="J623" s="71">
        <v>0</v>
      </c>
      <c r="K623" s="71" t="s">
        <v>302</v>
      </c>
      <c r="L623" s="71">
        <f t="shared" si="81"/>
        <v>9</v>
      </c>
      <c r="M623" s="71" t="str">
        <f>IFERROR(INDEX(KALENDER!$D$3:$D$132,MATCH(H623,KALENDER!$A$3:$A$132,0)),"Di luar periode")</f>
        <v>Hari Kerja</v>
      </c>
      <c r="N623" s="71">
        <f t="shared" si="82"/>
        <v>0</v>
      </c>
      <c r="O623" s="71">
        <f t="shared" si="83"/>
        <v>1</v>
      </c>
      <c r="P623" s="71">
        <f t="shared" si="84"/>
        <v>0</v>
      </c>
      <c r="Q623" s="71">
        <f t="shared" si="85"/>
        <v>0</v>
      </c>
      <c r="R623" s="71">
        <f t="shared" si="86"/>
        <v>0</v>
      </c>
      <c r="S623" s="71">
        <f t="shared" si="87"/>
        <v>0</v>
      </c>
      <c r="T623" s="71">
        <f t="shared" si="88"/>
        <v>0</v>
      </c>
      <c r="U623" s="71">
        <f>IF(AND(N623=1,V623=1),IF(COUNTIFS(AKTIVITAS!$B$2:$B$3052,B623,AKTIVITAS!$E$2:$E$3052,H623)&gt;0,1,0),0)</f>
        <v>0</v>
      </c>
      <c r="V623" s="71">
        <f>IFERROR(IF(AND(H623&gt;=INDEX(PEMAGANG!$J$3:$J$36,MATCH(B623,PEMAGANG!$C$3:$C$36,0)),H623&lt;=INDEX(PEMAGANG!$K$3:$K$36,MATCH(B623,PEMAGANG!$C$3:$C$36,0))),1,0),0)</f>
        <v>0</v>
      </c>
      <c r="W623" s="71">
        <f t="shared" si="89"/>
        <v>0</v>
      </c>
    </row>
    <row r="624" spans="1:23" x14ac:dyDescent="0.2">
      <c r="A624" s="71" t="s">
        <v>419</v>
      </c>
      <c r="B624" s="71" t="s">
        <v>420</v>
      </c>
      <c r="C624" s="71" t="s">
        <v>187</v>
      </c>
      <c r="D624" s="71" t="s">
        <v>421</v>
      </c>
      <c r="E624" s="71" t="s">
        <v>422</v>
      </c>
      <c r="F624" s="71" t="s">
        <v>298</v>
      </c>
      <c r="G624" s="88">
        <v>46267.2591203704</v>
      </c>
      <c r="H624" s="89">
        <v>46267</v>
      </c>
      <c r="I624" s="71" t="s">
        <v>456</v>
      </c>
      <c r="J624" s="71">
        <v>-107</v>
      </c>
      <c r="K624" s="71" t="s">
        <v>302</v>
      </c>
      <c r="L624" s="71">
        <f t="shared" si="81"/>
        <v>9</v>
      </c>
      <c r="M624" s="71" t="str">
        <f>IFERROR(INDEX(KALENDER!$D$3:$D$132,MATCH(H624,KALENDER!$A$3:$A$132,0)),"Di luar periode")</f>
        <v>Hari Kerja</v>
      </c>
      <c r="N624" s="71">
        <f t="shared" si="82"/>
        <v>1</v>
      </c>
      <c r="O624" s="71">
        <f t="shared" si="83"/>
        <v>1</v>
      </c>
      <c r="P624" s="71">
        <f t="shared" si="84"/>
        <v>0</v>
      </c>
      <c r="Q624" s="71">
        <f t="shared" si="85"/>
        <v>1</v>
      </c>
      <c r="R624" s="71">
        <f t="shared" si="86"/>
        <v>0</v>
      </c>
      <c r="S624" s="71">
        <f t="shared" si="87"/>
        <v>0</v>
      </c>
      <c r="T624" s="71">
        <f t="shared" si="88"/>
        <v>0</v>
      </c>
      <c r="U624" s="71">
        <f>IF(AND(N624=1,V624=1),IF(COUNTIFS(AKTIVITAS!$B$2:$B$3052,B624,AKTIVITAS!$E$2:$E$3052,H624)&gt;0,1,0),0)</f>
        <v>0</v>
      </c>
      <c r="V624" s="71">
        <f>IFERROR(IF(AND(H624&gt;=INDEX(PEMAGANG!$J$3:$J$36,MATCH(B624,PEMAGANG!$C$3:$C$36,0)),H624&lt;=INDEX(PEMAGANG!$K$3:$K$36,MATCH(B624,PEMAGANG!$C$3:$C$36,0))),1,0),0)</f>
        <v>0</v>
      </c>
      <c r="W624" s="71">
        <f t="shared" si="89"/>
        <v>0</v>
      </c>
    </row>
    <row r="625" spans="1:23" x14ac:dyDescent="0.2">
      <c r="A625" s="71" t="s">
        <v>419</v>
      </c>
      <c r="B625" s="71" t="s">
        <v>420</v>
      </c>
      <c r="C625" s="71" t="s">
        <v>187</v>
      </c>
      <c r="D625" s="71" t="s">
        <v>421</v>
      </c>
      <c r="E625" s="71" t="s">
        <v>422</v>
      </c>
      <c r="F625" s="71" t="s">
        <v>300</v>
      </c>
      <c r="G625" s="88">
        <v>46267.764062499999</v>
      </c>
      <c r="H625" s="89">
        <v>46267</v>
      </c>
      <c r="I625" s="71" t="s">
        <v>372</v>
      </c>
      <c r="J625" s="71">
        <v>0</v>
      </c>
      <c r="K625" s="71" t="s">
        <v>302</v>
      </c>
      <c r="L625" s="71">
        <f t="shared" si="81"/>
        <v>9</v>
      </c>
      <c r="M625" s="71" t="str">
        <f>IFERROR(INDEX(KALENDER!$D$3:$D$132,MATCH(H625,KALENDER!$A$3:$A$132,0)),"Di luar periode")</f>
        <v>Hari Kerja</v>
      </c>
      <c r="N625" s="71">
        <f t="shared" si="82"/>
        <v>0</v>
      </c>
      <c r="O625" s="71">
        <f t="shared" si="83"/>
        <v>1</v>
      </c>
      <c r="P625" s="71">
        <f t="shared" si="84"/>
        <v>0</v>
      </c>
      <c r="Q625" s="71">
        <f t="shared" si="85"/>
        <v>0</v>
      </c>
      <c r="R625" s="71">
        <f t="shared" si="86"/>
        <v>0</v>
      </c>
      <c r="S625" s="71">
        <f t="shared" si="87"/>
        <v>0</v>
      </c>
      <c r="T625" s="71">
        <f t="shared" si="88"/>
        <v>0</v>
      </c>
      <c r="U625" s="71">
        <f>IF(AND(N625=1,V625=1),IF(COUNTIFS(AKTIVITAS!$B$2:$B$3052,B625,AKTIVITAS!$E$2:$E$3052,H625)&gt;0,1,0),0)</f>
        <v>0</v>
      </c>
      <c r="V625" s="71">
        <f>IFERROR(IF(AND(H625&gt;=INDEX(PEMAGANG!$J$3:$J$36,MATCH(B625,PEMAGANG!$C$3:$C$36,0)),H625&lt;=INDEX(PEMAGANG!$K$3:$K$36,MATCH(B625,PEMAGANG!$C$3:$C$36,0))),1,0),0)</f>
        <v>0</v>
      </c>
      <c r="W625" s="71">
        <f t="shared" si="89"/>
        <v>0</v>
      </c>
    </row>
    <row r="626" spans="1:23" x14ac:dyDescent="0.2">
      <c r="A626" s="71" t="s">
        <v>419</v>
      </c>
      <c r="B626" s="71" t="s">
        <v>420</v>
      </c>
      <c r="C626" s="71" t="s">
        <v>187</v>
      </c>
      <c r="D626" s="71" t="s">
        <v>421</v>
      </c>
      <c r="E626" s="71" t="s">
        <v>422</v>
      </c>
      <c r="F626" s="71" t="s">
        <v>298</v>
      </c>
      <c r="G626" s="88">
        <v>46268.256388888898</v>
      </c>
      <c r="H626" s="89">
        <v>46268</v>
      </c>
      <c r="I626" s="71" t="s">
        <v>457</v>
      </c>
      <c r="J626" s="71">
        <v>-111</v>
      </c>
      <c r="K626" s="71" t="s">
        <v>302</v>
      </c>
      <c r="L626" s="71">
        <f t="shared" si="81"/>
        <v>9</v>
      </c>
      <c r="M626" s="71" t="str">
        <f>IFERROR(INDEX(KALENDER!$D$3:$D$132,MATCH(H626,KALENDER!$A$3:$A$132,0)),"Di luar periode")</f>
        <v>Hari Kerja</v>
      </c>
      <c r="N626" s="71">
        <f t="shared" si="82"/>
        <v>1</v>
      </c>
      <c r="O626" s="71">
        <f t="shared" si="83"/>
        <v>1</v>
      </c>
      <c r="P626" s="71">
        <f t="shared" si="84"/>
        <v>0</v>
      </c>
      <c r="Q626" s="71">
        <f t="shared" si="85"/>
        <v>1</v>
      </c>
      <c r="R626" s="71">
        <f t="shared" si="86"/>
        <v>0</v>
      </c>
      <c r="S626" s="71">
        <f t="shared" si="87"/>
        <v>0</v>
      </c>
      <c r="T626" s="71">
        <f t="shared" si="88"/>
        <v>0</v>
      </c>
      <c r="U626" s="71">
        <f>IF(AND(N626=1,V626=1),IF(COUNTIFS(AKTIVITAS!$B$2:$B$3052,B626,AKTIVITAS!$E$2:$E$3052,H626)&gt;0,1,0),0)</f>
        <v>0</v>
      </c>
      <c r="V626" s="71">
        <f>IFERROR(IF(AND(H626&gt;=INDEX(PEMAGANG!$J$3:$J$36,MATCH(B626,PEMAGANG!$C$3:$C$36,0)),H626&lt;=INDEX(PEMAGANG!$K$3:$K$36,MATCH(B626,PEMAGANG!$C$3:$C$36,0))),1,0),0)</f>
        <v>0</v>
      </c>
      <c r="W626" s="71">
        <f t="shared" si="89"/>
        <v>0</v>
      </c>
    </row>
    <row r="627" spans="1:23" x14ac:dyDescent="0.2">
      <c r="A627" s="71" t="s">
        <v>419</v>
      </c>
      <c r="B627" s="71" t="s">
        <v>420</v>
      </c>
      <c r="C627" s="71" t="s">
        <v>187</v>
      </c>
      <c r="D627" s="71" t="s">
        <v>421</v>
      </c>
      <c r="E627" s="71" t="s">
        <v>422</v>
      </c>
      <c r="F627" s="71" t="s">
        <v>300</v>
      </c>
      <c r="G627" s="88">
        <v>46268.811921296299</v>
      </c>
      <c r="H627" s="89">
        <v>46268</v>
      </c>
      <c r="I627" s="71" t="s">
        <v>458</v>
      </c>
      <c r="J627" s="71">
        <v>0</v>
      </c>
      <c r="K627" s="71" t="s">
        <v>302</v>
      </c>
      <c r="L627" s="71">
        <f t="shared" si="81"/>
        <v>9</v>
      </c>
      <c r="M627" s="71" t="str">
        <f>IFERROR(INDEX(KALENDER!$D$3:$D$132,MATCH(H627,KALENDER!$A$3:$A$132,0)),"Di luar periode")</f>
        <v>Hari Kerja</v>
      </c>
      <c r="N627" s="71">
        <f t="shared" si="82"/>
        <v>0</v>
      </c>
      <c r="O627" s="71">
        <f t="shared" si="83"/>
        <v>1</v>
      </c>
      <c r="P627" s="71">
        <f t="shared" si="84"/>
        <v>0</v>
      </c>
      <c r="Q627" s="71">
        <f t="shared" si="85"/>
        <v>0</v>
      </c>
      <c r="R627" s="71">
        <f t="shared" si="86"/>
        <v>0</v>
      </c>
      <c r="S627" s="71">
        <f t="shared" si="87"/>
        <v>0</v>
      </c>
      <c r="T627" s="71">
        <f t="shared" si="88"/>
        <v>0</v>
      </c>
      <c r="U627" s="71">
        <f>IF(AND(N627=1,V627=1),IF(COUNTIFS(AKTIVITAS!$B$2:$B$3052,B627,AKTIVITAS!$E$2:$E$3052,H627)&gt;0,1,0),0)</f>
        <v>0</v>
      </c>
      <c r="V627" s="71">
        <f>IFERROR(IF(AND(H627&gt;=INDEX(PEMAGANG!$J$3:$J$36,MATCH(B627,PEMAGANG!$C$3:$C$36,0)),H627&lt;=INDEX(PEMAGANG!$K$3:$K$36,MATCH(B627,PEMAGANG!$C$3:$C$36,0))),1,0),0)</f>
        <v>0</v>
      </c>
      <c r="W627" s="71">
        <f t="shared" si="89"/>
        <v>0</v>
      </c>
    </row>
    <row r="628" spans="1:23" x14ac:dyDescent="0.2">
      <c r="A628" s="71" t="s">
        <v>419</v>
      </c>
      <c r="B628" s="71" t="s">
        <v>420</v>
      </c>
      <c r="C628" s="71" t="s">
        <v>187</v>
      </c>
      <c r="D628" s="71" t="s">
        <v>421</v>
      </c>
      <c r="E628" s="71" t="s">
        <v>422</v>
      </c>
      <c r="F628" s="71" t="s">
        <v>298</v>
      </c>
      <c r="G628" s="88">
        <v>46269.2526967593</v>
      </c>
      <c r="H628" s="89">
        <v>46269</v>
      </c>
      <c r="I628" s="71" t="s">
        <v>459</v>
      </c>
      <c r="J628" s="71">
        <v>-117</v>
      </c>
      <c r="K628" s="71" t="s">
        <v>302</v>
      </c>
      <c r="L628" s="71">
        <f t="shared" si="81"/>
        <v>9</v>
      </c>
      <c r="M628" s="71" t="str">
        <f>IFERROR(INDEX(KALENDER!$D$3:$D$132,MATCH(H628,KALENDER!$A$3:$A$132,0)),"Di luar periode")</f>
        <v>Hari Kerja</v>
      </c>
      <c r="N628" s="71">
        <f t="shared" si="82"/>
        <v>1</v>
      </c>
      <c r="O628" s="71">
        <f t="shared" si="83"/>
        <v>1</v>
      </c>
      <c r="P628" s="71">
        <f t="shared" si="84"/>
        <v>0</v>
      </c>
      <c r="Q628" s="71">
        <f t="shared" si="85"/>
        <v>1</v>
      </c>
      <c r="R628" s="71">
        <f t="shared" si="86"/>
        <v>0</v>
      </c>
      <c r="S628" s="71">
        <f t="shared" si="87"/>
        <v>0</v>
      </c>
      <c r="T628" s="71">
        <f t="shared" si="88"/>
        <v>0</v>
      </c>
      <c r="U628" s="71">
        <f>IF(AND(N628=1,V628=1),IF(COUNTIFS(AKTIVITAS!$B$2:$B$3052,B628,AKTIVITAS!$E$2:$E$3052,H628)&gt;0,1,0),0)</f>
        <v>0</v>
      </c>
      <c r="V628" s="71">
        <f>IFERROR(IF(AND(H628&gt;=INDEX(PEMAGANG!$J$3:$J$36,MATCH(B628,PEMAGANG!$C$3:$C$36,0)),H628&lt;=INDEX(PEMAGANG!$K$3:$K$36,MATCH(B628,PEMAGANG!$C$3:$C$36,0))),1,0),0)</f>
        <v>0</v>
      </c>
      <c r="W628" s="71">
        <f t="shared" si="89"/>
        <v>0</v>
      </c>
    </row>
    <row r="629" spans="1:23" x14ac:dyDescent="0.2">
      <c r="A629" s="71" t="s">
        <v>419</v>
      </c>
      <c r="B629" s="71" t="s">
        <v>420</v>
      </c>
      <c r="C629" s="71" t="s">
        <v>187</v>
      </c>
      <c r="D629" s="71" t="s">
        <v>421</v>
      </c>
      <c r="E629" s="71" t="s">
        <v>422</v>
      </c>
      <c r="F629" s="71" t="s">
        <v>300</v>
      </c>
      <c r="G629" s="88">
        <v>46269.754849536999</v>
      </c>
      <c r="H629" s="89">
        <v>46269</v>
      </c>
      <c r="I629" s="71" t="s">
        <v>460</v>
      </c>
      <c r="J629" s="71">
        <v>0</v>
      </c>
      <c r="K629" s="71" t="s">
        <v>302</v>
      </c>
      <c r="L629" s="71">
        <f t="shared" si="81"/>
        <v>9</v>
      </c>
      <c r="M629" s="71" t="str">
        <f>IFERROR(INDEX(KALENDER!$D$3:$D$132,MATCH(H629,KALENDER!$A$3:$A$132,0)),"Di luar periode")</f>
        <v>Hari Kerja</v>
      </c>
      <c r="N629" s="71">
        <f t="shared" si="82"/>
        <v>0</v>
      </c>
      <c r="O629" s="71">
        <f t="shared" si="83"/>
        <v>1</v>
      </c>
      <c r="P629" s="71">
        <f t="shared" si="84"/>
        <v>0</v>
      </c>
      <c r="Q629" s="71">
        <f t="shared" si="85"/>
        <v>0</v>
      </c>
      <c r="R629" s="71">
        <f t="shared" si="86"/>
        <v>0</v>
      </c>
      <c r="S629" s="71">
        <f t="shared" si="87"/>
        <v>0</v>
      </c>
      <c r="T629" s="71">
        <f t="shared" si="88"/>
        <v>0</v>
      </c>
      <c r="U629" s="71">
        <f>IF(AND(N629=1,V629=1),IF(COUNTIFS(AKTIVITAS!$B$2:$B$3052,B629,AKTIVITAS!$E$2:$E$3052,H629)&gt;0,1,0),0)</f>
        <v>0</v>
      </c>
      <c r="V629" s="71">
        <f>IFERROR(IF(AND(H629&gt;=INDEX(PEMAGANG!$J$3:$J$36,MATCH(B629,PEMAGANG!$C$3:$C$36,0)),H629&lt;=INDEX(PEMAGANG!$K$3:$K$36,MATCH(B629,PEMAGANG!$C$3:$C$36,0))),1,0),0)</f>
        <v>0</v>
      </c>
      <c r="W629" s="71">
        <f t="shared" si="89"/>
        <v>0</v>
      </c>
    </row>
    <row r="630" spans="1:23" x14ac:dyDescent="0.2">
      <c r="A630" s="71" t="s">
        <v>419</v>
      </c>
      <c r="B630" s="71" t="s">
        <v>420</v>
      </c>
      <c r="C630" s="71" t="s">
        <v>187</v>
      </c>
      <c r="D630" s="71" t="s">
        <v>421</v>
      </c>
      <c r="E630" s="71" t="s">
        <v>422</v>
      </c>
      <c r="F630" s="71" t="s">
        <v>298</v>
      </c>
      <c r="G630" s="88">
        <v>46272.244606481501</v>
      </c>
      <c r="H630" s="89">
        <v>46272</v>
      </c>
      <c r="I630" s="71" t="s">
        <v>446</v>
      </c>
      <c r="J630" s="71">
        <v>-128</v>
      </c>
      <c r="K630" s="71" t="s">
        <v>302</v>
      </c>
      <c r="L630" s="71">
        <f t="shared" si="81"/>
        <v>9</v>
      </c>
      <c r="M630" s="71" t="str">
        <f>IFERROR(INDEX(KALENDER!$D$3:$D$132,MATCH(H630,KALENDER!$A$3:$A$132,0)),"Di luar periode")</f>
        <v>Hari Kerja</v>
      </c>
      <c r="N630" s="71">
        <f t="shared" si="82"/>
        <v>1</v>
      </c>
      <c r="O630" s="71">
        <f t="shared" si="83"/>
        <v>1</v>
      </c>
      <c r="P630" s="71">
        <f t="shared" si="84"/>
        <v>0</v>
      </c>
      <c r="Q630" s="71">
        <f t="shared" si="85"/>
        <v>1</v>
      </c>
      <c r="R630" s="71">
        <f t="shared" si="86"/>
        <v>0</v>
      </c>
      <c r="S630" s="71">
        <f t="shared" si="87"/>
        <v>0</v>
      </c>
      <c r="T630" s="71">
        <f t="shared" si="88"/>
        <v>0</v>
      </c>
      <c r="U630" s="71">
        <f>IF(AND(N630=1,V630=1),IF(COUNTIFS(AKTIVITAS!$B$2:$B$3052,B630,AKTIVITAS!$E$2:$E$3052,H630)&gt;0,1,0),0)</f>
        <v>0</v>
      </c>
      <c r="V630" s="71">
        <f>IFERROR(IF(AND(H630&gt;=INDEX(PEMAGANG!$J$3:$J$36,MATCH(B630,PEMAGANG!$C$3:$C$36,0)),H630&lt;=INDEX(PEMAGANG!$K$3:$K$36,MATCH(B630,PEMAGANG!$C$3:$C$36,0))),1,0),0)</f>
        <v>0</v>
      </c>
      <c r="W630" s="71">
        <f t="shared" si="89"/>
        <v>0</v>
      </c>
    </row>
    <row r="631" spans="1:23" x14ac:dyDescent="0.2">
      <c r="A631" s="71" t="s">
        <v>419</v>
      </c>
      <c r="B631" s="71" t="s">
        <v>420</v>
      </c>
      <c r="C631" s="71" t="s">
        <v>187</v>
      </c>
      <c r="D631" s="71" t="s">
        <v>421</v>
      </c>
      <c r="E631" s="71" t="s">
        <v>422</v>
      </c>
      <c r="F631" s="71" t="s">
        <v>300</v>
      </c>
      <c r="G631" s="88">
        <v>46272.771064814799</v>
      </c>
      <c r="H631" s="89">
        <v>46272</v>
      </c>
      <c r="I631" s="71" t="s">
        <v>360</v>
      </c>
      <c r="J631" s="71">
        <v>0</v>
      </c>
      <c r="K631" s="71" t="s">
        <v>302</v>
      </c>
      <c r="L631" s="71">
        <f t="shared" si="81"/>
        <v>9</v>
      </c>
      <c r="M631" s="71" t="str">
        <f>IFERROR(INDEX(KALENDER!$D$3:$D$132,MATCH(H631,KALENDER!$A$3:$A$132,0)),"Di luar periode")</f>
        <v>Hari Kerja</v>
      </c>
      <c r="N631" s="71">
        <f t="shared" si="82"/>
        <v>0</v>
      </c>
      <c r="O631" s="71">
        <f t="shared" si="83"/>
        <v>1</v>
      </c>
      <c r="P631" s="71">
        <f t="shared" si="84"/>
        <v>0</v>
      </c>
      <c r="Q631" s="71">
        <f t="shared" si="85"/>
        <v>0</v>
      </c>
      <c r="R631" s="71">
        <f t="shared" si="86"/>
        <v>0</v>
      </c>
      <c r="S631" s="71">
        <f t="shared" si="87"/>
        <v>0</v>
      </c>
      <c r="T631" s="71">
        <f t="shared" si="88"/>
        <v>0</v>
      </c>
      <c r="U631" s="71">
        <f>IF(AND(N631=1,V631=1),IF(COUNTIFS(AKTIVITAS!$B$2:$B$3052,B631,AKTIVITAS!$E$2:$E$3052,H631)&gt;0,1,0),0)</f>
        <v>0</v>
      </c>
      <c r="V631" s="71">
        <f>IFERROR(IF(AND(H631&gt;=INDEX(PEMAGANG!$J$3:$J$36,MATCH(B631,PEMAGANG!$C$3:$C$36,0)),H631&lt;=INDEX(PEMAGANG!$K$3:$K$36,MATCH(B631,PEMAGANG!$C$3:$C$36,0))),1,0),0)</f>
        <v>0</v>
      </c>
      <c r="W631" s="71">
        <f t="shared" si="89"/>
        <v>0</v>
      </c>
    </row>
    <row r="632" spans="1:23" x14ac:dyDescent="0.2">
      <c r="A632" s="71" t="s">
        <v>419</v>
      </c>
      <c r="B632" s="71" t="s">
        <v>420</v>
      </c>
      <c r="C632" s="71" t="s">
        <v>187</v>
      </c>
      <c r="D632" s="71" t="s">
        <v>421</v>
      </c>
      <c r="E632" s="71" t="s">
        <v>422</v>
      </c>
      <c r="F632" s="71" t="s">
        <v>298</v>
      </c>
      <c r="G632" s="88">
        <v>46273.309108796297</v>
      </c>
      <c r="H632" s="89">
        <v>46273</v>
      </c>
      <c r="I632" s="71" t="s">
        <v>307</v>
      </c>
      <c r="J632" s="71">
        <v>-35</v>
      </c>
      <c r="K632" s="71" t="s">
        <v>302</v>
      </c>
      <c r="L632" s="71">
        <f t="shared" si="81"/>
        <v>9</v>
      </c>
      <c r="M632" s="71" t="str">
        <f>IFERROR(INDEX(KALENDER!$D$3:$D$132,MATCH(H632,KALENDER!$A$3:$A$132,0)),"Di luar periode")</f>
        <v>Hari Kerja</v>
      </c>
      <c r="N632" s="71">
        <f t="shared" si="82"/>
        <v>1</v>
      </c>
      <c r="O632" s="71">
        <f t="shared" si="83"/>
        <v>1</v>
      </c>
      <c r="P632" s="71">
        <f t="shared" si="84"/>
        <v>0</v>
      </c>
      <c r="Q632" s="71">
        <f t="shared" si="85"/>
        <v>1</v>
      </c>
      <c r="R632" s="71">
        <f t="shared" si="86"/>
        <v>0</v>
      </c>
      <c r="S632" s="71">
        <f t="shared" si="87"/>
        <v>0</v>
      </c>
      <c r="T632" s="71">
        <f t="shared" si="88"/>
        <v>0</v>
      </c>
      <c r="U632" s="71">
        <f>IF(AND(N632=1,V632=1),IF(COUNTIFS(AKTIVITAS!$B$2:$B$3052,B632,AKTIVITAS!$E$2:$E$3052,H632)&gt;0,1,0),0)</f>
        <v>0</v>
      </c>
      <c r="V632" s="71">
        <f>IFERROR(IF(AND(H632&gt;=INDEX(PEMAGANG!$J$3:$J$36,MATCH(B632,PEMAGANG!$C$3:$C$36,0)),H632&lt;=INDEX(PEMAGANG!$K$3:$K$36,MATCH(B632,PEMAGANG!$C$3:$C$36,0))),1,0),0)</f>
        <v>0</v>
      </c>
      <c r="W632" s="71">
        <f t="shared" si="89"/>
        <v>0</v>
      </c>
    </row>
    <row r="633" spans="1:23" x14ac:dyDescent="0.2">
      <c r="A633" s="71" t="s">
        <v>419</v>
      </c>
      <c r="B633" s="71" t="s">
        <v>420</v>
      </c>
      <c r="C633" s="71" t="s">
        <v>187</v>
      </c>
      <c r="D633" s="71" t="s">
        <v>421</v>
      </c>
      <c r="E633" s="71" t="s">
        <v>422</v>
      </c>
      <c r="F633" s="71" t="s">
        <v>300</v>
      </c>
      <c r="G633" s="88">
        <v>46273.772731481498</v>
      </c>
      <c r="H633" s="89">
        <v>46273</v>
      </c>
      <c r="I633" s="71" t="s">
        <v>461</v>
      </c>
      <c r="J633" s="71">
        <v>0</v>
      </c>
      <c r="K633" s="71" t="s">
        <v>302</v>
      </c>
      <c r="L633" s="71">
        <f t="shared" si="81"/>
        <v>9</v>
      </c>
      <c r="M633" s="71" t="str">
        <f>IFERROR(INDEX(KALENDER!$D$3:$D$132,MATCH(H633,KALENDER!$A$3:$A$132,0)),"Di luar periode")</f>
        <v>Hari Kerja</v>
      </c>
      <c r="N633" s="71">
        <f t="shared" si="82"/>
        <v>0</v>
      </c>
      <c r="O633" s="71">
        <f t="shared" si="83"/>
        <v>1</v>
      </c>
      <c r="P633" s="71">
        <f t="shared" si="84"/>
        <v>0</v>
      </c>
      <c r="Q633" s="71">
        <f t="shared" si="85"/>
        <v>0</v>
      </c>
      <c r="R633" s="71">
        <f t="shared" si="86"/>
        <v>0</v>
      </c>
      <c r="S633" s="71">
        <f t="shared" si="87"/>
        <v>0</v>
      </c>
      <c r="T633" s="71">
        <f t="shared" si="88"/>
        <v>0</v>
      </c>
      <c r="U633" s="71">
        <f>IF(AND(N633=1,V633=1),IF(COUNTIFS(AKTIVITAS!$B$2:$B$3052,B633,AKTIVITAS!$E$2:$E$3052,H633)&gt;0,1,0),0)</f>
        <v>0</v>
      </c>
      <c r="V633" s="71">
        <f>IFERROR(IF(AND(H633&gt;=INDEX(PEMAGANG!$J$3:$J$36,MATCH(B633,PEMAGANG!$C$3:$C$36,0)),H633&lt;=INDEX(PEMAGANG!$K$3:$K$36,MATCH(B633,PEMAGANG!$C$3:$C$36,0))),1,0),0)</f>
        <v>0</v>
      </c>
      <c r="W633" s="71">
        <f t="shared" si="89"/>
        <v>0</v>
      </c>
    </row>
    <row r="634" spans="1:23" x14ac:dyDescent="0.2">
      <c r="A634" s="71" t="s">
        <v>419</v>
      </c>
      <c r="B634" s="71" t="s">
        <v>420</v>
      </c>
      <c r="C634" s="71" t="s">
        <v>187</v>
      </c>
      <c r="D634" s="71" t="s">
        <v>421</v>
      </c>
      <c r="E634" s="71" t="s">
        <v>422</v>
      </c>
      <c r="F634" s="71" t="s">
        <v>298</v>
      </c>
      <c r="G634" s="88">
        <v>46274.2944907407</v>
      </c>
      <c r="H634" s="89">
        <v>46274</v>
      </c>
      <c r="I634" s="71" t="s">
        <v>411</v>
      </c>
      <c r="J634" s="71">
        <v>-56</v>
      </c>
      <c r="K634" s="71" t="s">
        <v>302</v>
      </c>
      <c r="L634" s="71">
        <f t="shared" si="81"/>
        <v>9</v>
      </c>
      <c r="M634" s="71" t="str">
        <f>IFERROR(INDEX(KALENDER!$D$3:$D$132,MATCH(H634,KALENDER!$A$3:$A$132,0)),"Di luar periode")</f>
        <v>Hari Kerja</v>
      </c>
      <c r="N634" s="71">
        <f t="shared" si="82"/>
        <v>1</v>
      </c>
      <c r="O634" s="71">
        <f t="shared" si="83"/>
        <v>1</v>
      </c>
      <c r="P634" s="71">
        <f t="shared" si="84"/>
        <v>0</v>
      </c>
      <c r="Q634" s="71">
        <f t="shared" si="85"/>
        <v>1</v>
      </c>
      <c r="R634" s="71">
        <f t="shared" si="86"/>
        <v>0</v>
      </c>
      <c r="S634" s="71">
        <f t="shared" si="87"/>
        <v>0</v>
      </c>
      <c r="T634" s="71">
        <f t="shared" si="88"/>
        <v>0</v>
      </c>
      <c r="U634" s="71">
        <f>IF(AND(N634=1,V634=1),IF(COUNTIFS(AKTIVITAS!$B$2:$B$3052,B634,AKTIVITAS!$E$2:$E$3052,H634)&gt;0,1,0),0)</f>
        <v>0</v>
      </c>
      <c r="V634" s="71">
        <f>IFERROR(IF(AND(H634&gt;=INDEX(PEMAGANG!$J$3:$J$36,MATCH(B634,PEMAGANG!$C$3:$C$36,0)),H634&lt;=INDEX(PEMAGANG!$K$3:$K$36,MATCH(B634,PEMAGANG!$C$3:$C$36,0))),1,0),0)</f>
        <v>0</v>
      </c>
      <c r="W634" s="71">
        <f t="shared" si="89"/>
        <v>0</v>
      </c>
    </row>
    <row r="635" spans="1:23" x14ac:dyDescent="0.2">
      <c r="A635" s="71" t="s">
        <v>419</v>
      </c>
      <c r="B635" s="71" t="s">
        <v>420</v>
      </c>
      <c r="C635" s="71" t="s">
        <v>187</v>
      </c>
      <c r="D635" s="71" t="s">
        <v>421</v>
      </c>
      <c r="E635" s="71" t="s">
        <v>422</v>
      </c>
      <c r="F635" s="71" t="s">
        <v>300</v>
      </c>
      <c r="G635" s="88">
        <v>46274.771932870397</v>
      </c>
      <c r="H635" s="89">
        <v>46274</v>
      </c>
      <c r="I635" s="71" t="s">
        <v>361</v>
      </c>
      <c r="J635" s="71">
        <v>0</v>
      </c>
      <c r="K635" s="71" t="s">
        <v>302</v>
      </c>
      <c r="L635" s="71">
        <f t="shared" si="81"/>
        <v>9</v>
      </c>
      <c r="M635" s="71" t="str">
        <f>IFERROR(INDEX(KALENDER!$D$3:$D$132,MATCH(H635,KALENDER!$A$3:$A$132,0)),"Di luar periode")</f>
        <v>Hari Kerja</v>
      </c>
      <c r="N635" s="71">
        <f t="shared" si="82"/>
        <v>0</v>
      </c>
      <c r="O635" s="71">
        <f t="shared" si="83"/>
        <v>1</v>
      </c>
      <c r="P635" s="71">
        <f t="shared" si="84"/>
        <v>0</v>
      </c>
      <c r="Q635" s="71">
        <f t="shared" si="85"/>
        <v>0</v>
      </c>
      <c r="R635" s="71">
        <f t="shared" si="86"/>
        <v>0</v>
      </c>
      <c r="S635" s="71">
        <f t="shared" si="87"/>
        <v>0</v>
      </c>
      <c r="T635" s="71">
        <f t="shared" si="88"/>
        <v>0</v>
      </c>
      <c r="U635" s="71">
        <f>IF(AND(N635=1,V635=1),IF(COUNTIFS(AKTIVITAS!$B$2:$B$3052,B635,AKTIVITAS!$E$2:$E$3052,H635)&gt;0,1,0),0)</f>
        <v>0</v>
      </c>
      <c r="V635" s="71">
        <f>IFERROR(IF(AND(H635&gt;=INDEX(PEMAGANG!$J$3:$J$36,MATCH(B635,PEMAGANG!$C$3:$C$36,0)),H635&lt;=INDEX(PEMAGANG!$K$3:$K$36,MATCH(B635,PEMAGANG!$C$3:$C$36,0))),1,0),0)</f>
        <v>0</v>
      </c>
      <c r="W635" s="71">
        <f t="shared" si="89"/>
        <v>0</v>
      </c>
    </row>
    <row r="636" spans="1:23" x14ac:dyDescent="0.2">
      <c r="A636" s="71" t="s">
        <v>419</v>
      </c>
      <c r="B636" s="71" t="s">
        <v>420</v>
      </c>
      <c r="C636" s="71" t="s">
        <v>187</v>
      </c>
      <c r="D636" s="71" t="s">
        <v>421</v>
      </c>
      <c r="E636" s="71" t="s">
        <v>422</v>
      </c>
      <c r="F636" s="71" t="s">
        <v>298</v>
      </c>
      <c r="G636" s="88">
        <v>46275.2625694444</v>
      </c>
      <c r="H636" s="89">
        <v>46275</v>
      </c>
      <c r="I636" s="71" t="s">
        <v>431</v>
      </c>
      <c r="J636" s="71">
        <v>-102</v>
      </c>
      <c r="K636" s="71" t="s">
        <v>302</v>
      </c>
      <c r="L636" s="71">
        <f t="shared" si="81"/>
        <v>9</v>
      </c>
      <c r="M636" s="71" t="str">
        <f>IFERROR(INDEX(KALENDER!$D$3:$D$132,MATCH(H636,KALENDER!$A$3:$A$132,0)),"Di luar periode")</f>
        <v>Hari Kerja</v>
      </c>
      <c r="N636" s="71">
        <f t="shared" si="82"/>
        <v>1</v>
      </c>
      <c r="O636" s="71">
        <f t="shared" si="83"/>
        <v>1</v>
      </c>
      <c r="P636" s="71">
        <f t="shared" si="84"/>
        <v>0</v>
      </c>
      <c r="Q636" s="71">
        <f t="shared" si="85"/>
        <v>1</v>
      </c>
      <c r="R636" s="71">
        <f t="shared" si="86"/>
        <v>0</v>
      </c>
      <c r="S636" s="71">
        <f t="shared" si="87"/>
        <v>0</v>
      </c>
      <c r="T636" s="71">
        <f t="shared" si="88"/>
        <v>0</v>
      </c>
      <c r="U636" s="71">
        <f>IF(AND(N636=1,V636=1),IF(COUNTIFS(AKTIVITAS!$B$2:$B$3052,B636,AKTIVITAS!$E$2:$E$3052,H636)&gt;0,1,0),0)</f>
        <v>0</v>
      </c>
      <c r="V636" s="71">
        <f>IFERROR(IF(AND(H636&gt;=INDEX(PEMAGANG!$J$3:$J$36,MATCH(B636,PEMAGANG!$C$3:$C$36,0)),H636&lt;=INDEX(PEMAGANG!$K$3:$K$36,MATCH(B636,PEMAGANG!$C$3:$C$36,0))),1,0),0)</f>
        <v>0</v>
      </c>
      <c r="W636" s="71">
        <f t="shared" si="89"/>
        <v>0</v>
      </c>
    </row>
    <row r="637" spans="1:23" x14ac:dyDescent="0.2">
      <c r="A637" s="71" t="s">
        <v>419</v>
      </c>
      <c r="B637" s="71" t="s">
        <v>420</v>
      </c>
      <c r="C637" s="71" t="s">
        <v>187</v>
      </c>
      <c r="D637" s="71" t="s">
        <v>421</v>
      </c>
      <c r="E637" s="71" t="s">
        <v>422</v>
      </c>
      <c r="F637" s="71" t="s">
        <v>298</v>
      </c>
      <c r="G637" s="88">
        <v>46275.2625694444</v>
      </c>
      <c r="H637" s="89">
        <v>46275</v>
      </c>
      <c r="I637" s="71" t="s">
        <v>431</v>
      </c>
      <c r="J637" s="71">
        <v>-72</v>
      </c>
      <c r="K637" s="71" t="s">
        <v>302</v>
      </c>
      <c r="L637" s="71">
        <f t="shared" si="81"/>
        <v>9</v>
      </c>
      <c r="M637" s="71" t="str">
        <f>IFERROR(INDEX(KALENDER!$D$3:$D$132,MATCH(H637,KALENDER!$A$3:$A$132,0)),"Di luar periode")</f>
        <v>Hari Kerja</v>
      </c>
      <c r="N637" s="71">
        <f t="shared" si="82"/>
        <v>0</v>
      </c>
      <c r="O637" s="71">
        <f t="shared" si="83"/>
        <v>2</v>
      </c>
      <c r="P637" s="71">
        <f t="shared" si="84"/>
        <v>0</v>
      </c>
      <c r="Q637" s="71">
        <f t="shared" si="85"/>
        <v>0</v>
      </c>
      <c r="R637" s="71">
        <f t="shared" si="86"/>
        <v>0</v>
      </c>
      <c r="S637" s="71">
        <f t="shared" si="87"/>
        <v>0</v>
      </c>
      <c r="T637" s="71">
        <f t="shared" si="88"/>
        <v>0</v>
      </c>
      <c r="U637" s="71">
        <f>IF(AND(N637=1,V637=1),IF(COUNTIFS(AKTIVITAS!$B$2:$B$3052,B637,AKTIVITAS!$E$2:$E$3052,H637)&gt;0,1,0),0)</f>
        <v>0</v>
      </c>
      <c r="V637" s="71">
        <f>IFERROR(IF(AND(H637&gt;=INDEX(PEMAGANG!$J$3:$J$36,MATCH(B637,PEMAGANG!$C$3:$C$36,0)),H637&lt;=INDEX(PEMAGANG!$K$3:$K$36,MATCH(B637,PEMAGANG!$C$3:$C$36,0))),1,0),0)</f>
        <v>0</v>
      </c>
      <c r="W637" s="71">
        <f t="shared" si="89"/>
        <v>0</v>
      </c>
    </row>
    <row r="638" spans="1:23" x14ac:dyDescent="0.2">
      <c r="A638" s="71" t="s">
        <v>419</v>
      </c>
      <c r="B638" s="71" t="s">
        <v>420</v>
      </c>
      <c r="C638" s="71" t="s">
        <v>187</v>
      </c>
      <c r="D638" s="71" t="s">
        <v>421</v>
      </c>
      <c r="E638" s="71" t="s">
        <v>422</v>
      </c>
      <c r="F638" s="71" t="s">
        <v>300</v>
      </c>
      <c r="G638" s="88">
        <v>46275.768703703703</v>
      </c>
      <c r="H638" s="89">
        <v>46275</v>
      </c>
      <c r="I638" s="71" t="s">
        <v>462</v>
      </c>
      <c r="J638" s="71">
        <v>0</v>
      </c>
      <c r="K638" s="71" t="s">
        <v>302</v>
      </c>
      <c r="L638" s="71">
        <f t="shared" si="81"/>
        <v>9</v>
      </c>
      <c r="M638" s="71" t="str">
        <f>IFERROR(INDEX(KALENDER!$D$3:$D$132,MATCH(H638,KALENDER!$A$3:$A$132,0)),"Di luar periode")</f>
        <v>Hari Kerja</v>
      </c>
      <c r="N638" s="71">
        <f t="shared" si="82"/>
        <v>0</v>
      </c>
      <c r="O638" s="71">
        <f t="shared" si="83"/>
        <v>2</v>
      </c>
      <c r="P638" s="71">
        <f t="shared" si="84"/>
        <v>0</v>
      </c>
      <c r="Q638" s="71">
        <f t="shared" si="85"/>
        <v>0</v>
      </c>
      <c r="R638" s="71">
        <f t="shared" si="86"/>
        <v>0</v>
      </c>
      <c r="S638" s="71">
        <f t="shared" si="87"/>
        <v>0</v>
      </c>
      <c r="T638" s="71">
        <f t="shared" si="88"/>
        <v>0</v>
      </c>
      <c r="U638" s="71">
        <f>IF(AND(N638=1,V638=1),IF(COUNTIFS(AKTIVITAS!$B$2:$B$3052,B638,AKTIVITAS!$E$2:$E$3052,H638)&gt;0,1,0),0)</f>
        <v>0</v>
      </c>
      <c r="V638" s="71">
        <f>IFERROR(IF(AND(H638&gt;=INDEX(PEMAGANG!$J$3:$J$36,MATCH(B638,PEMAGANG!$C$3:$C$36,0)),H638&lt;=INDEX(PEMAGANG!$K$3:$K$36,MATCH(B638,PEMAGANG!$C$3:$C$36,0))),1,0),0)</f>
        <v>0</v>
      </c>
      <c r="W638" s="71">
        <f t="shared" si="89"/>
        <v>0</v>
      </c>
    </row>
    <row r="639" spans="1:23" x14ac:dyDescent="0.2">
      <c r="A639" s="71" t="s">
        <v>419</v>
      </c>
      <c r="B639" s="71" t="s">
        <v>420</v>
      </c>
      <c r="C639" s="71" t="s">
        <v>187</v>
      </c>
      <c r="D639" s="71" t="s">
        <v>421</v>
      </c>
      <c r="E639" s="71" t="s">
        <v>422</v>
      </c>
      <c r="F639" s="71" t="s">
        <v>298</v>
      </c>
      <c r="G639" s="88">
        <v>46276.259594907402</v>
      </c>
      <c r="H639" s="89">
        <v>46276</v>
      </c>
      <c r="I639" s="71" t="s">
        <v>456</v>
      </c>
      <c r="J639" s="71">
        <v>-77</v>
      </c>
      <c r="K639" s="71" t="s">
        <v>302</v>
      </c>
      <c r="L639" s="71">
        <f t="shared" si="81"/>
        <v>9</v>
      </c>
      <c r="M639" s="71" t="str">
        <f>IFERROR(INDEX(KALENDER!$D$3:$D$132,MATCH(H639,KALENDER!$A$3:$A$132,0)),"Di luar periode")</f>
        <v>Hari Kerja</v>
      </c>
      <c r="N639" s="71">
        <f t="shared" si="82"/>
        <v>1</v>
      </c>
      <c r="O639" s="71">
        <f t="shared" si="83"/>
        <v>1</v>
      </c>
      <c r="P639" s="71">
        <f t="shared" si="84"/>
        <v>0</v>
      </c>
      <c r="Q639" s="71">
        <f t="shared" si="85"/>
        <v>1</v>
      </c>
      <c r="R639" s="71">
        <f t="shared" si="86"/>
        <v>0</v>
      </c>
      <c r="S639" s="71">
        <f t="shared" si="87"/>
        <v>0</v>
      </c>
      <c r="T639" s="71">
        <f t="shared" si="88"/>
        <v>0</v>
      </c>
      <c r="U639" s="71">
        <f>IF(AND(N639=1,V639=1),IF(COUNTIFS(AKTIVITAS!$B$2:$B$3052,B639,AKTIVITAS!$E$2:$E$3052,H639)&gt;0,1,0),0)</f>
        <v>0</v>
      </c>
      <c r="V639" s="71">
        <f>IFERROR(IF(AND(H639&gt;=INDEX(PEMAGANG!$J$3:$J$36,MATCH(B639,PEMAGANG!$C$3:$C$36,0)),H639&lt;=INDEX(PEMAGANG!$K$3:$K$36,MATCH(B639,PEMAGANG!$C$3:$C$36,0))),1,0),0)</f>
        <v>0</v>
      </c>
      <c r="W639" s="71">
        <f t="shared" si="89"/>
        <v>0</v>
      </c>
    </row>
    <row r="640" spans="1:23" x14ac:dyDescent="0.2">
      <c r="A640" s="71" t="s">
        <v>419</v>
      </c>
      <c r="B640" s="71" t="s">
        <v>420</v>
      </c>
      <c r="C640" s="71" t="s">
        <v>187</v>
      </c>
      <c r="D640" s="71" t="s">
        <v>421</v>
      </c>
      <c r="E640" s="71" t="s">
        <v>422</v>
      </c>
      <c r="F640" s="71" t="s">
        <v>300</v>
      </c>
      <c r="G640" s="88">
        <v>46276.709178240701</v>
      </c>
      <c r="H640" s="89">
        <v>46276</v>
      </c>
      <c r="I640" s="71" t="s">
        <v>333</v>
      </c>
      <c r="J640" s="71">
        <v>0</v>
      </c>
      <c r="K640" s="71" t="s">
        <v>302</v>
      </c>
      <c r="L640" s="71">
        <f t="shared" si="81"/>
        <v>9</v>
      </c>
      <c r="M640" s="71" t="str">
        <f>IFERROR(INDEX(KALENDER!$D$3:$D$132,MATCH(H640,KALENDER!$A$3:$A$132,0)),"Di luar periode")</f>
        <v>Hari Kerja</v>
      </c>
      <c r="N640" s="71">
        <f t="shared" si="82"/>
        <v>0</v>
      </c>
      <c r="O640" s="71">
        <f t="shared" si="83"/>
        <v>1</v>
      </c>
      <c r="P640" s="71">
        <f t="shared" si="84"/>
        <v>0</v>
      </c>
      <c r="Q640" s="71">
        <f t="shared" si="85"/>
        <v>0</v>
      </c>
      <c r="R640" s="71">
        <f t="shared" si="86"/>
        <v>0</v>
      </c>
      <c r="S640" s="71">
        <f t="shared" si="87"/>
        <v>0</v>
      </c>
      <c r="T640" s="71">
        <f t="shared" si="88"/>
        <v>0</v>
      </c>
      <c r="U640" s="71">
        <f>IF(AND(N640=1,V640=1),IF(COUNTIFS(AKTIVITAS!$B$2:$B$3052,B640,AKTIVITAS!$E$2:$E$3052,H640)&gt;0,1,0),0)</f>
        <v>0</v>
      </c>
      <c r="V640" s="71">
        <f>IFERROR(IF(AND(H640&gt;=INDEX(PEMAGANG!$J$3:$J$36,MATCH(B640,PEMAGANG!$C$3:$C$36,0)),H640&lt;=INDEX(PEMAGANG!$K$3:$K$36,MATCH(B640,PEMAGANG!$C$3:$C$36,0))),1,0),0)</f>
        <v>0</v>
      </c>
      <c r="W640" s="71">
        <f t="shared" si="89"/>
        <v>0</v>
      </c>
    </row>
    <row r="641" spans="1:23" x14ac:dyDescent="0.2">
      <c r="A641" s="71" t="s">
        <v>419</v>
      </c>
      <c r="B641" s="71" t="s">
        <v>420</v>
      </c>
      <c r="C641" s="71" t="s">
        <v>187</v>
      </c>
      <c r="D641" s="71" t="s">
        <v>421</v>
      </c>
      <c r="E641" s="71" t="s">
        <v>422</v>
      </c>
      <c r="F641" s="71" t="s">
        <v>298</v>
      </c>
      <c r="G641" s="88">
        <v>46279.253761574102</v>
      </c>
      <c r="H641" s="89">
        <v>46279</v>
      </c>
      <c r="I641" s="71" t="s">
        <v>442</v>
      </c>
      <c r="J641" s="71">
        <v>-85</v>
      </c>
      <c r="K641" s="71" t="s">
        <v>302</v>
      </c>
      <c r="L641" s="71">
        <f t="shared" si="81"/>
        <v>9</v>
      </c>
      <c r="M641" s="71" t="str">
        <f>IFERROR(INDEX(KALENDER!$D$3:$D$132,MATCH(H641,KALENDER!$A$3:$A$132,0)),"Di luar periode")</f>
        <v>Hari Kerja</v>
      </c>
      <c r="N641" s="71">
        <f t="shared" si="82"/>
        <v>1</v>
      </c>
      <c r="O641" s="71">
        <f t="shared" si="83"/>
        <v>1</v>
      </c>
      <c r="P641" s="71">
        <f t="shared" si="84"/>
        <v>0</v>
      </c>
      <c r="Q641" s="71">
        <f t="shared" si="85"/>
        <v>1</v>
      </c>
      <c r="R641" s="71">
        <f t="shared" si="86"/>
        <v>0</v>
      </c>
      <c r="S641" s="71">
        <f t="shared" si="87"/>
        <v>0</v>
      </c>
      <c r="T641" s="71">
        <f t="shared" si="88"/>
        <v>0</v>
      </c>
      <c r="U641" s="71">
        <f>IF(AND(N641=1,V641=1),IF(COUNTIFS(AKTIVITAS!$B$2:$B$3052,B641,AKTIVITAS!$E$2:$E$3052,H641)&gt;0,1,0),0)</f>
        <v>0</v>
      </c>
      <c r="V641" s="71">
        <f>IFERROR(IF(AND(H641&gt;=INDEX(PEMAGANG!$J$3:$J$36,MATCH(B641,PEMAGANG!$C$3:$C$36,0)),H641&lt;=INDEX(PEMAGANG!$K$3:$K$36,MATCH(B641,PEMAGANG!$C$3:$C$36,0))),1,0),0)</f>
        <v>0</v>
      </c>
      <c r="W641" s="71">
        <f t="shared" si="89"/>
        <v>0</v>
      </c>
    </row>
    <row r="642" spans="1:23" x14ac:dyDescent="0.2">
      <c r="A642" s="71" t="s">
        <v>419</v>
      </c>
      <c r="B642" s="71" t="s">
        <v>420</v>
      </c>
      <c r="C642" s="71" t="s">
        <v>187</v>
      </c>
      <c r="D642" s="71" t="s">
        <v>421</v>
      </c>
      <c r="E642" s="71" t="s">
        <v>422</v>
      </c>
      <c r="F642" s="71" t="s">
        <v>300</v>
      </c>
      <c r="G642" s="88">
        <v>46279.774398148198</v>
      </c>
      <c r="H642" s="89">
        <v>46279</v>
      </c>
      <c r="I642" s="71" t="s">
        <v>429</v>
      </c>
      <c r="J642" s="71">
        <v>0</v>
      </c>
      <c r="K642" s="71" t="s">
        <v>302</v>
      </c>
      <c r="L642" s="71">
        <f t="shared" ref="L642:L705" si="90">MONTH(H642)</f>
        <v>9</v>
      </c>
      <c r="M642" s="71" t="str">
        <f>IFERROR(INDEX(KALENDER!$D$3:$D$132,MATCH(H642,KALENDER!$A$3:$A$132,0)),"Di luar periode")</f>
        <v>Hari Kerja</v>
      </c>
      <c r="N642" s="71">
        <f t="shared" ref="N642:N705" si="91">IF(AND(B642=B641,H642=H641),0,1)</f>
        <v>0</v>
      </c>
      <c r="O642" s="71">
        <f t="shared" ref="O642:O705" si="92">IF(N642=1,0,O641)+IF(F642="MASUK",1,0)</f>
        <v>1</v>
      </c>
      <c r="P642" s="71">
        <f t="shared" ref="P642:P705" si="93">IF(AND(N642=1,M642="Hari Kerja",V642=1),1,0)</f>
        <v>0</v>
      </c>
      <c r="Q642" s="71">
        <f t="shared" ref="Q642:Q705" si="94">IF(AND(N642=1,OR(M642&lt;&gt;"Hari Kerja",V642=0)),1,0)</f>
        <v>0</v>
      </c>
      <c r="R642" s="71">
        <f t="shared" ref="R642:R705" si="95">IF(AND(F642="MASUK",O642=1,N(J642)&gt;0,V642=1),1,0)</f>
        <v>0</v>
      </c>
      <c r="S642" s="71">
        <f t="shared" ref="S642:S705" si="96">R642*N(J642)</f>
        <v>0</v>
      </c>
      <c r="T642" s="71">
        <f t="shared" ref="T642:T705" si="97">IF(AND(N642=1,V642=1),IF(AND(COUNTIFS($B$2:$B$4094,B642,$H$2:$H$4094,H642,$F$2:$F$4094,"MASUK")&gt;0,COUNTIFS($B$2:$B$4094,B642,$H$2:$H$4094,H642,$F$2:$F$4094,"PULANG")=0),1,0),0)</f>
        <v>0</v>
      </c>
      <c r="U642" s="71">
        <f>IF(AND(N642=1,V642=1),IF(COUNTIFS(AKTIVITAS!$B$2:$B$3052,B642,AKTIVITAS!$E$2:$E$3052,H642)&gt;0,1,0),0)</f>
        <v>0</v>
      </c>
      <c r="V642" s="71">
        <f>IFERROR(IF(AND(H642&gt;=INDEX(PEMAGANG!$J$3:$J$36,MATCH(B642,PEMAGANG!$C$3:$C$36,0)),H642&lt;=INDEX(PEMAGANG!$K$3:$K$36,MATCH(B642,PEMAGANG!$C$3:$C$36,0))),1,0),0)</f>
        <v>0</v>
      </c>
      <c r="W642" s="71">
        <f t="shared" ref="W642:W705" si="98">N642*V642</f>
        <v>0</v>
      </c>
    </row>
    <row r="643" spans="1:23" x14ac:dyDescent="0.2">
      <c r="A643" s="71" t="s">
        <v>419</v>
      </c>
      <c r="B643" s="71" t="s">
        <v>420</v>
      </c>
      <c r="C643" s="71" t="s">
        <v>187</v>
      </c>
      <c r="D643" s="71" t="s">
        <v>421</v>
      </c>
      <c r="E643" s="71" t="s">
        <v>422</v>
      </c>
      <c r="F643" s="71" t="s">
        <v>298</v>
      </c>
      <c r="G643" s="88">
        <v>46280.2582638889</v>
      </c>
      <c r="H643" s="89">
        <v>46280</v>
      </c>
      <c r="I643" s="71" t="s">
        <v>463</v>
      </c>
      <c r="J643" s="71">
        <v>-79</v>
      </c>
      <c r="K643" s="71" t="s">
        <v>302</v>
      </c>
      <c r="L643" s="71">
        <f t="shared" si="90"/>
        <v>9</v>
      </c>
      <c r="M643" s="71" t="str">
        <f>IFERROR(INDEX(KALENDER!$D$3:$D$132,MATCH(H643,KALENDER!$A$3:$A$132,0)),"Di luar periode")</f>
        <v>Hari Kerja</v>
      </c>
      <c r="N643" s="71">
        <f t="shared" si="91"/>
        <v>1</v>
      </c>
      <c r="O643" s="71">
        <f t="shared" si="92"/>
        <v>1</v>
      </c>
      <c r="P643" s="71">
        <f t="shared" si="93"/>
        <v>0</v>
      </c>
      <c r="Q643" s="71">
        <f t="shared" si="94"/>
        <v>1</v>
      </c>
      <c r="R643" s="71">
        <f t="shared" si="95"/>
        <v>0</v>
      </c>
      <c r="S643" s="71">
        <f t="shared" si="96"/>
        <v>0</v>
      </c>
      <c r="T643" s="71">
        <f t="shared" si="97"/>
        <v>0</v>
      </c>
      <c r="U643" s="71">
        <f>IF(AND(N643=1,V643=1),IF(COUNTIFS(AKTIVITAS!$B$2:$B$3052,B643,AKTIVITAS!$E$2:$E$3052,H643)&gt;0,1,0),0)</f>
        <v>0</v>
      </c>
      <c r="V643" s="71">
        <f>IFERROR(IF(AND(H643&gt;=INDEX(PEMAGANG!$J$3:$J$36,MATCH(B643,PEMAGANG!$C$3:$C$36,0)),H643&lt;=INDEX(PEMAGANG!$K$3:$K$36,MATCH(B643,PEMAGANG!$C$3:$C$36,0))),1,0),0)</f>
        <v>0</v>
      </c>
      <c r="W643" s="71">
        <f t="shared" si="98"/>
        <v>0</v>
      </c>
    </row>
    <row r="644" spans="1:23" x14ac:dyDescent="0.2">
      <c r="A644" s="71" t="s">
        <v>419</v>
      </c>
      <c r="B644" s="71" t="s">
        <v>420</v>
      </c>
      <c r="C644" s="71" t="s">
        <v>187</v>
      </c>
      <c r="D644" s="71" t="s">
        <v>421</v>
      </c>
      <c r="E644" s="71" t="s">
        <v>422</v>
      </c>
      <c r="F644" s="71" t="s">
        <v>300</v>
      </c>
      <c r="G644" s="88">
        <v>46280.762291666702</v>
      </c>
      <c r="H644" s="89">
        <v>46280</v>
      </c>
      <c r="I644" s="71" t="s">
        <v>464</v>
      </c>
      <c r="J644" s="71">
        <v>0</v>
      </c>
      <c r="K644" s="71" t="s">
        <v>302</v>
      </c>
      <c r="L644" s="71">
        <f t="shared" si="90"/>
        <v>9</v>
      </c>
      <c r="M644" s="71" t="str">
        <f>IFERROR(INDEX(KALENDER!$D$3:$D$132,MATCH(H644,KALENDER!$A$3:$A$132,0)),"Di luar periode")</f>
        <v>Hari Kerja</v>
      </c>
      <c r="N644" s="71">
        <f t="shared" si="91"/>
        <v>0</v>
      </c>
      <c r="O644" s="71">
        <f t="shared" si="92"/>
        <v>1</v>
      </c>
      <c r="P644" s="71">
        <f t="shared" si="93"/>
        <v>0</v>
      </c>
      <c r="Q644" s="71">
        <f t="shared" si="94"/>
        <v>0</v>
      </c>
      <c r="R644" s="71">
        <f t="shared" si="95"/>
        <v>0</v>
      </c>
      <c r="S644" s="71">
        <f t="shared" si="96"/>
        <v>0</v>
      </c>
      <c r="T644" s="71">
        <f t="shared" si="97"/>
        <v>0</v>
      </c>
      <c r="U644" s="71">
        <f>IF(AND(N644=1,V644=1),IF(COUNTIFS(AKTIVITAS!$B$2:$B$3052,B644,AKTIVITAS!$E$2:$E$3052,H644)&gt;0,1,0),0)</f>
        <v>0</v>
      </c>
      <c r="V644" s="71">
        <f>IFERROR(IF(AND(H644&gt;=INDEX(PEMAGANG!$J$3:$J$36,MATCH(B644,PEMAGANG!$C$3:$C$36,0)),H644&lt;=INDEX(PEMAGANG!$K$3:$K$36,MATCH(B644,PEMAGANG!$C$3:$C$36,0))),1,0),0)</f>
        <v>0</v>
      </c>
      <c r="W644" s="71">
        <f t="shared" si="98"/>
        <v>0</v>
      </c>
    </row>
    <row r="645" spans="1:23" x14ac:dyDescent="0.2">
      <c r="A645" s="71" t="s">
        <v>419</v>
      </c>
      <c r="B645" s="71" t="s">
        <v>420</v>
      </c>
      <c r="C645" s="71" t="s">
        <v>187</v>
      </c>
      <c r="D645" s="71" t="s">
        <v>421</v>
      </c>
      <c r="E645" s="71" t="s">
        <v>422</v>
      </c>
      <c r="F645" s="71" t="s">
        <v>298</v>
      </c>
      <c r="G645" s="88">
        <v>46281.255254629599</v>
      </c>
      <c r="H645" s="89">
        <v>46281</v>
      </c>
      <c r="I645" s="71" t="s">
        <v>465</v>
      </c>
      <c r="J645" s="71">
        <v>-83</v>
      </c>
      <c r="K645" s="71" t="s">
        <v>302</v>
      </c>
      <c r="L645" s="71">
        <f t="shared" si="90"/>
        <v>9</v>
      </c>
      <c r="M645" s="71" t="str">
        <f>IFERROR(INDEX(KALENDER!$D$3:$D$132,MATCH(H645,KALENDER!$A$3:$A$132,0)),"Di luar periode")</f>
        <v>Hari Kerja</v>
      </c>
      <c r="N645" s="71">
        <f t="shared" si="91"/>
        <v>1</v>
      </c>
      <c r="O645" s="71">
        <f t="shared" si="92"/>
        <v>1</v>
      </c>
      <c r="P645" s="71">
        <f t="shared" si="93"/>
        <v>0</v>
      </c>
      <c r="Q645" s="71">
        <f t="shared" si="94"/>
        <v>1</v>
      </c>
      <c r="R645" s="71">
        <f t="shared" si="95"/>
        <v>0</v>
      </c>
      <c r="S645" s="71">
        <f t="shared" si="96"/>
        <v>0</v>
      </c>
      <c r="T645" s="71">
        <f t="shared" si="97"/>
        <v>0</v>
      </c>
      <c r="U645" s="71">
        <f>IF(AND(N645=1,V645=1),IF(COUNTIFS(AKTIVITAS!$B$2:$B$3052,B645,AKTIVITAS!$E$2:$E$3052,H645)&gt;0,1,0),0)</f>
        <v>0</v>
      </c>
      <c r="V645" s="71">
        <f>IFERROR(IF(AND(H645&gt;=INDEX(PEMAGANG!$J$3:$J$36,MATCH(B645,PEMAGANG!$C$3:$C$36,0)),H645&lt;=INDEX(PEMAGANG!$K$3:$K$36,MATCH(B645,PEMAGANG!$C$3:$C$36,0))),1,0),0)</f>
        <v>0</v>
      </c>
      <c r="W645" s="71">
        <f t="shared" si="98"/>
        <v>0</v>
      </c>
    </row>
    <row r="646" spans="1:23" x14ac:dyDescent="0.2">
      <c r="A646" s="71" t="s">
        <v>419</v>
      </c>
      <c r="B646" s="71" t="s">
        <v>420</v>
      </c>
      <c r="C646" s="71" t="s">
        <v>187</v>
      </c>
      <c r="D646" s="71" t="s">
        <v>421</v>
      </c>
      <c r="E646" s="71" t="s">
        <v>422</v>
      </c>
      <c r="F646" s="71" t="s">
        <v>300</v>
      </c>
      <c r="G646" s="88">
        <v>46281.7508564815</v>
      </c>
      <c r="H646" s="89">
        <v>46281</v>
      </c>
      <c r="I646" s="71" t="s">
        <v>393</v>
      </c>
      <c r="J646" s="71">
        <v>0</v>
      </c>
      <c r="K646" s="71" t="s">
        <v>302</v>
      </c>
      <c r="L646" s="71">
        <f t="shared" si="90"/>
        <v>9</v>
      </c>
      <c r="M646" s="71" t="str">
        <f>IFERROR(INDEX(KALENDER!$D$3:$D$132,MATCH(H646,KALENDER!$A$3:$A$132,0)),"Di luar periode")</f>
        <v>Hari Kerja</v>
      </c>
      <c r="N646" s="71">
        <f t="shared" si="91"/>
        <v>0</v>
      </c>
      <c r="O646" s="71">
        <f t="shared" si="92"/>
        <v>1</v>
      </c>
      <c r="P646" s="71">
        <f t="shared" si="93"/>
        <v>0</v>
      </c>
      <c r="Q646" s="71">
        <f t="shared" si="94"/>
        <v>0</v>
      </c>
      <c r="R646" s="71">
        <f t="shared" si="95"/>
        <v>0</v>
      </c>
      <c r="S646" s="71">
        <f t="shared" si="96"/>
        <v>0</v>
      </c>
      <c r="T646" s="71">
        <f t="shared" si="97"/>
        <v>0</v>
      </c>
      <c r="U646" s="71">
        <f>IF(AND(N646=1,V646=1),IF(COUNTIFS(AKTIVITAS!$B$2:$B$3052,B646,AKTIVITAS!$E$2:$E$3052,H646)&gt;0,1,0),0)</f>
        <v>0</v>
      </c>
      <c r="V646" s="71">
        <f>IFERROR(IF(AND(H646&gt;=INDEX(PEMAGANG!$J$3:$J$36,MATCH(B646,PEMAGANG!$C$3:$C$36,0)),H646&lt;=INDEX(PEMAGANG!$K$3:$K$36,MATCH(B646,PEMAGANG!$C$3:$C$36,0))),1,0),0)</f>
        <v>0</v>
      </c>
      <c r="W646" s="71">
        <f t="shared" si="98"/>
        <v>0</v>
      </c>
    </row>
    <row r="647" spans="1:23" x14ac:dyDescent="0.2">
      <c r="A647" s="71" t="s">
        <v>419</v>
      </c>
      <c r="B647" s="71" t="s">
        <v>420</v>
      </c>
      <c r="C647" s="71" t="s">
        <v>187</v>
      </c>
      <c r="D647" s="71" t="s">
        <v>421</v>
      </c>
      <c r="E647" s="71" t="s">
        <v>422</v>
      </c>
      <c r="F647" s="71" t="s">
        <v>300</v>
      </c>
      <c r="G647" s="88">
        <v>46282.757800925901</v>
      </c>
      <c r="H647" s="89">
        <v>46282</v>
      </c>
      <c r="I647" s="71" t="s">
        <v>380</v>
      </c>
      <c r="J647" s="71">
        <v>0</v>
      </c>
      <c r="K647" s="71" t="s">
        <v>302</v>
      </c>
      <c r="L647" s="71">
        <f t="shared" si="90"/>
        <v>9</v>
      </c>
      <c r="M647" s="71" t="str">
        <f>IFERROR(INDEX(KALENDER!$D$3:$D$132,MATCH(H647,KALENDER!$A$3:$A$132,0)),"Di luar periode")</f>
        <v>Hari Kerja</v>
      </c>
      <c r="N647" s="71">
        <f t="shared" si="91"/>
        <v>1</v>
      </c>
      <c r="O647" s="71">
        <f t="shared" si="92"/>
        <v>0</v>
      </c>
      <c r="P647" s="71">
        <f t="shared" si="93"/>
        <v>0</v>
      </c>
      <c r="Q647" s="71">
        <f t="shared" si="94"/>
        <v>1</v>
      </c>
      <c r="R647" s="71">
        <f t="shared" si="95"/>
        <v>0</v>
      </c>
      <c r="S647" s="71">
        <f t="shared" si="96"/>
        <v>0</v>
      </c>
      <c r="T647" s="71">
        <f t="shared" si="97"/>
        <v>0</v>
      </c>
      <c r="U647" s="71">
        <f>IF(AND(N647=1,V647=1),IF(COUNTIFS(AKTIVITAS!$B$2:$B$3052,B647,AKTIVITAS!$E$2:$E$3052,H647)&gt;0,1,0),0)</f>
        <v>0</v>
      </c>
      <c r="V647" s="71">
        <f>IFERROR(IF(AND(H647&gt;=INDEX(PEMAGANG!$J$3:$J$36,MATCH(B647,PEMAGANG!$C$3:$C$36,0)),H647&lt;=INDEX(PEMAGANG!$K$3:$K$36,MATCH(B647,PEMAGANG!$C$3:$C$36,0))),1,0),0)</f>
        <v>0</v>
      </c>
      <c r="W647" s="71">
        <f t="shared" si="98"/>
        <v>0</v>
      </c>
    </row>
    <row r="648" spans="1:23" x14ac:dyDescent="0.2">
      <c r="A648" s="71" t="s">
        <v>419</v>
      </c>
      <c r="B648" s="71" t="s">
        <v>420</v>
      </c>
      <c r="C648" s="71" t="s">
        <v>187</v>
      </c>
      <c r="D648" s="71" t="s">
        <v>421</v>
      </c>
      <c r="E648" s="71" t="s">
        <v>422</v>
      </c>
      <c r="F648" s="71" t="s">
        <v>298</v>
      </c>
      <c r="G648" s="88">
        <v>46283.258553240703</v>
      </c>
      <c r="H648" s="89">
        <v>46283</v>
      </c>
      <c r="I648" s="71" t="s">
        <v>423</v>
      </c>
      <c r="J648" s="71">
        <v>-78</v>
      </c>
      <c r="K648" s="71" t="s">
        <v>302</v>
      </c>
      <c r="L648" s="71">
        <f t="shared" si="90"/>
        <v>9</v>
      </c>
      <c r="M648" s="71" t="str">
        <f>IFERROR(INDEX(KALENDER!$D$3:$D$132,MATCH(H648,KALENDER!$A$3:$A$132,0)),"Di luar periode")</f>
        <v>Hari Kerja</v>
      </c>
      <c r="N648" s="71">
        <f t="shared" si="91"/>
        <v>1</v>
      </c>
      <c r="O648" s="71">
        <f t="shared" si="92"/>
        <v>1</v>
      </c>
      <c r="P648" s="71">
        <f t="shared" si="93"/>
        <v>0</v>
      </c>
      <c r="Q648" s="71">
        <f t="shared" si="94"/>
        <v>1</v>
      </c>
      <c r="R648" s="71">
        <f t="shared" si="95"/>
        <v>0</v>
      </c>
      <c r="S648" s="71">
        <f t="shared" si="96"/>
        <v>0</v>
      </c>
      <c r="T648" s="71">
        <f t="shared" si="97"/>
        <v>0</v>
      </c>
      <c r="U648" s="71">
        <f>IF(AND(N648=1,V648=1),IF(COUNTIFS(AKTIVITAS!$B$2:$B$3052,B648,AKTIVITAS!$E$2:$E$3052,H648)&gt;0,1,0),0)</f>
        <v>0</v>
      </c>
      <c r="V648" s="71">
        <f>IFERROR(IF(AND(H648&gt;=INDEX(PEMAGANG!$J$3:$J$36,MATCH(B648,PEMAGANG!$C$3:$C$36,0)),H648&lt;=INDEX(PEMAGANG!$K$3:$K$36,MATCH(B648,PEMAGANG!$C$3:$C$36,0))),1,0),0)</f>
        <v>0</v>
      </c>
      <c r="W648" s="71">
        <f t="shared" si="98"/>
        <v>0</v>
      </c>
    </row>
    <row r="649" spans="1:23" x14ac:dyDescent="0.2">
      <c r="A649" s="71" t="s">
        <v>419</v>
      </c>
      <c r="B649" s="71" t="s">
        <v>420</v>
      </c>
      <c r="C649" s="71" t="s">
        <v>187</v>
      </c>
      <c r="D649" s="71" t="s">
        <v>421</v>
      </c>
      <c r="E649" s="71" t="s">
        <v>422</v>
      </c>
      <c r="F649" s="71" t="s">
        <v>300</v>
      </c>
      <c r="G649" s="88">
        <v>46283.713275463</v>
      </c>
      <c r="H649" s="89">
        <v>46283</v>
      </c>
      <c r="I649" s="71" t="s">
        <v>324</v>
      </c>
      <c r="J649" s="71">
        <v>0</v>
      </c>
      <c r="K649" s="71" t="s">
        <v>302</v>
      </c>
      <c r="L649" s="71">
        <f t="shared" si="90"/>
        <v>9</v>
      </c>
      <c r="M649" s="71" t="str">
        <f>IFERROR(INDEX(KALENDER!$D$3:$D$132,MATCH(H649,KALENDER!$A$3:$A$132,0)),"Di luar periode")</f>
        <v>Hari Kerja</v>
      </c>
      <c r="N649" s="71">
        <f t="shared" si="91"/>
        <v>0</v>
      </c>
      <c r="O649" s="71">
        <f t="shared" si="92"/>
        <v>1</v>
      </c>
      <c r="P649" s="71">
        <f t="shared" si="93"/>
        <v>0</v>
      </c>
      <c r="Q649" s="71">
        <f t="shared" si="94"/>
        <v>0</v>
      </c>
      <c r="R649" s="71">
        <f t="shared" si="95"/>
        <v>0</v>
      </c>
      <c r="S649" s="71">
        <f t="shared" si="96"/>
        <v>0</v>
      </c>
      <c r="T649" s="71">
        <f t="shared" si="97"/>
        <v>0</v>
      </c>
      <c r="U649" s="71">
        <f>IF(AND(N649=1,V649=1),IF(COUNTIFS(AKTIVITAS!$B$2:$B$3052,B649,AKTIVITAS!$E$2:$E$3052,H649)&gt;0,1,0),0)</f>
        <v>0</v>
      </c>
      <c r="V649" s="71">
        <f>IFERROR(IF(AND(H649&gt;=INDEX(PEMAGANG!$J$3:$J$36,MATCH(B649,PEMAGANG!$C$3:$C$36,0)),H649&lt;=INDEX(PEMAGANG!$K$3:$K$36,MATCH(B649,PEMAGANG!$C$3:$C$36,0))),1,0),0)</f>
        <v>0</v>
      </c>
      <c r="W649" s="71">
        <f t="shared" si="98"/>
        <v>0</v>
      </c>
    </row>
    <row r="650" spans="1:23" x14ac:dyDescent="0.2">
      <c r="A650" s="71" t="s">
        <v>419</v>
      </c>
      <c r="B650" s="71" t="s">
        <v>420</v>
      </c>
      <c r="C650" s="71" t="s">
        <v>187</v>
      </c>
      <c r="D650" s="71" t="s">
        <v>421</v>
      </c>
      <c r="E650" s="71" t="s">
        <v>422</v>
      </c>
      <c r="F650" s="71" t="s">
        <v>298</v>
      </c>
      <c r="G650" s="88">
        <v>46287.251435185201</v>
      </c>
      <c r="H650" s="89">
        <v>46287</v>
      </c>
      <c r="I650" s="71" t="s">
        <v>466</v>
      </c>
      <c r="J650" s="71">
        <v>-88</v>
      </c>
      <c r="K650" s="71" t="s">
        <v>302</v>
      </c>
      <c r="L650" s="71">
        <f t="shared" si="90"/>
        <v>9</v>
      </c>
      <c r="M650" s="71" t="str">
        <f>IFERROR(INDEX(KALENDER!$D$3:$D$132,MATCH(H650,KALENDER!$A$3:$A$132,0)),"Di luar periode")</f>
        <v>Hari Kerja</v>
      </c>
      <c r="N650" s="71">
        <f t="shared" si="91"/>
        <v>1</v>
      </c>
      <c r="O650" s="71">
        <f t="shared" si="92"/>
        <v>1</v>
      </c>
      <c r="P650" s="71">
        <f t="shared" si="93"/>
        <v>0</v>
      </c>
      <c r="Q650" s="71">
        <f t="shared" si="94"/>
        <v>1</v>
      </c>
      <c r="R650" s="71">
        <f t="shared" si="95"/>
        <v>0</v>
      </c>
      <c r="S650" s="71">
        <f t="shared" si="96"/>
        <v>0</v>
      </c>
      <c r="T650" s="71">
        <f t="shared" si="97"/>
        <v>0</v>
      </c>
      <c r="U650" s="71">
        <f>IF(AND(N650=1,V650=1),IF(COUNTIFS(AKTIVITAS!$B$2:$B$3052,B650,AKTIVITAS!$E$2:$E$3052,H650)&gt;0,1,0),0)</f>
        <v>0</v>
      </c>
      <c r="V650" s="71">
        <f>IFERROR(IF(AND(H650&gt;=INDEX(PEMAGANG!$J$3:$J$36,MATCH(B650,PEMAGANG!$C$3:$C$36,0)),H650&lt;=INDEX(PEMAGANG!$K$3:$K$36,MATCH(B650,PEMAGANG!$C$3:$C$36,0))),1,0),0)</f>
        <v>0</v>
      </c>
      <c r="W650" s="71">
        <f t="shared" si="98"/>
        <v>0</v>
      </c>
    </row>
    <row r="651" spans="1:23" x14ac:dyDescent="0.2">
      <c r="A651" s="71" t="s">
        <v>419</v>
      </c>
      <c r="B651" s="71" t="s">
        <v>420</v>
      </c>
      <c r="C651" s="71" t="s">
        <v>187</v>
      </c>
      <c r="D651" s="71" t="s">
        <v>421</v>
      </c>
      <c r="E651" s="71" t="s">
        <v>422</v>
      </c>
      <c r="F651" s="71" t="s">
        <v>298</v>
      </c>
      <c r="G651" s="88">
        <v>46287.251539351899</v>
      </c>
      <c r="H651" s="89">
        <v>46287</v>
      </c>
      <c r="I651" s="71" t="s">
        <v>466</v>
      </c>
      <c r="J651" s="71">
        <v>-88</v>
      </c>
      <c r="K651" s="71" t="s">
        <v>302</v>
      </c>
      <c r="L651" s="71">
        <f t="shared" si="90"/>
        <v>9</v>
      </c>
      <c r="M651" s="71" t="str">
        <f>IFERROR(INDEX(KALENDER!$D$3:$D$132,MATCH(H651,KALENDER!$A$3:$A$132,0)),"Di luar periode")</f>
        <v>Hari Kerja</v>
      </c>
      <c r="N651" s="71">
        <f t="shared" si="91"/>
        <v>0</v>
      </c>
      <c r="O651" s="71">
        <f t="shared" si="92"/>
        <v>2</v>
      </c>
      <c r="P651" s="71">
        <f t="shared" si="93"/>
        <v>0</v>
      </c>
      <c r="Q651" s="71">
        <f t="shared" si="94"/>
        <v>0</v>
      </c>
      <c r="R651" s="71">
        <f t="shared" si="95"/>
        <v>0</v>
      </c>
      <c r="S651" s="71">
        <f t="shared" si="96"/>
        <v>0</v>
      </c>
      <c r="T651" s="71">
        <f t="shared" si="97"/>
        <v>0</v>
      </c>
      <c r="U651" s="71">
        <f>IF(AND(N651=1,V651=1),IF(COUNTIFS(AKTIVITAS!$B$2:$B$3052,B651,AKTIVITAS!$E$2:$E$3052,H651)&gt;0,1,0),0)</f>
        <v>0</v>
      </c>
      <c r="V651" s="71">
        <f>IFERROR(IF(AND(H651&gt;=INDEX(PEMAGANG!$J$3:$J$36,MATCH(B651,PEMAGANG!$C$3:$C$36,0)),H651&lt;=INDEX(PEMAGANG!$K$3:$K$36,MATCH(B651,PEMAGANG!$C$3:$C$36,0))),1,0),0)</f>
        <v>0</v>
      </c>
      <c r="W651" s="71">
        <f t="shared" si="98"/>
        <v>0</v>
      </c>
    </row>
    <row r="652" spans="1:23" x14ac:dyDescent="0.2">
      <c r="A652" s="71" t="s">
        <v>419</v>
      </c>
      <c r="B652" s="71" t="s">
        <v>420</v>
      </c>
      <c r="C652" s="71" t="s">
        <v>187</v>
      </c>
      <c r="D652" s="71" t="s">
        <v>421</v>
      </c>
      <c r="E652" s="71" t="s">
        <v>422</v>
      </c>
      <c r="F652" s="71" t="s">
        <v>298</v>
      </c>
      <c r="G652" s="88">
        <v>46287.2516203704</v>
      </c>
      <c r="H652" s="89">
        <v>46287</v>
      </c>
      <c r="I652" s="71" t="s">
        <v>466</v>
      </c>
      <c r="J652" s="71">
        <v>-88</v>
      </c>
      <c r="K652" s="71" t="s">
        <v>302</v>
      </c>
      <c r="L652" s="71">
        <f t="shared" si="90"/>
        <v>9</v>
      </c>
      <c r="M652" s="71" t="str">
        <f>IFERROR(INDEX(KALENDER!$D$3:$D$132,MATCH(H652,KALENDER!$A$3:$A$132,0)),"Di luar periode")</f>
        <v>Hari Kerja</v>
      </c>
      <c r="N652" s="71">
        <f t="shared" si="91"/>
        <v>0</v>
      </c>
      <c r="O652" s="71">
        <f t="shared" si="92"/>
        <v>3</v>
      </c>
      <c r="P652" s="71">
        <f t="shared" si="93"/>
        <v>0</v>
      </c>
      <c r="Q652" s="71">
        <f t="shared" si="94"/>
        <v>0</v>
      </c>
      <c r="R652" s="71">
        <f t="shared" si="95"/>
        <v>0</v>
      </c>
      <c r="S652" s="71">
        <f t="shared" si="96"/>
        <v>0</v>
      </c>
      <c r="T652" s="71">
        <f t="shared" si="97"/>
        <v>0</v>
      </c>
      <c r="U652" s="71">
        <f>IF(AND(N652=1,V652=1),IF(COUNTIFS(AKTIVITAS!$B$2:$B$3052,B652,AKTIVITAS!$E$2:$E$3052,H652)&gt;0,1,0),0)</f>
        <v>0</v>
      </c>
      <c r="V652" s="71">
        <f>IFERROR(IF(AND(H652&gt;=INDEX(PEMAGANG!$J$3:$J$36,MATCH(B652,PEMAGANG!$C$3:$C$36,0)),H652&lt;=INDEX(PEMAGANG!$K$3:$K$36,MATCH(B652,PEMAGANG!$C$3:$C$36,0))),1,0),0)</f>
        <v>0</v>
      </c>
      <c r="W652" s="71">
        <f t="shared" si="98"/>
        <v>0</v>
      </c>
    </row>
    <row r="653" spans="1:23" x14ac:dyDescent="0.2">
      <c r="A653" s="71" t="s">
        <v>419</v>
      </c>
      <c r="B653" s="71" t="s">
        <v>420</v>
      </c>
      <c r="C653" s="71" t="s">
        <v>187</v>
      </c>
      <c r="D653" s="71" t="s">
        <v>421</v>
      </c>
      <c r="E653" s="71" t="s">
        <v>422</v>
      </c>
      <c r="F653" s="71" t="s">
        <v>298</v>
      </c>
      <c r="G653" s="88">
        <v>46287.251643518503</v>
      </c>
      <c r="H653" s="89">
        <v>46287</v>
      </c>
      <c r="I653" s="71" t="s">
        <v>466</v>
      </c>
      <c r="J653" s="71">
        <v>-88</v>
      </c>
      <c r="K653" s="71" t="s">
        <v>302</v>
      </c>
      <c r="L653" s="71">
        <f t="shared" si="90"/>
        <v>9</v>
      </c>
      <c r="M653" s="71" t="str">
        <f>IFERROR(INDEX(KALENDER!$D$3:$D$132,MATCH(H653,KALENDER!$A$3:$A$132,0)),"Di luar periode")</f>
        <v>Hari Kerja</v>
      </c>
      <c r="N653" s="71">
        <f t="shared" si="91"/>
        <v>0</v>
      </c>
      <c r="O653" s="71">
        <f t="shared" si="92"/>
        <v>4</v>
      </c>
      <c r="P653" s="71">
        <f t="shared" si="93"/>
        <v>0</v>
      </c>
      <c r="Q653" s="71">
        <f t="shared" si="94"/>
        <v>0</v>
      </c>
      <c r="R653" s="71">
        <f t="shared" si="95"/>
        <v>0</v>
      </c>
      <c r="S653" s="71">
        <f t="shared" si="96"/>
        <v>0</v>
      </c>
      <c r="T653" s="71">
        <f t="shared" si="97"/>
        <v>0</v>
      </c>
      <c r="U653" s="71">
        <f>IF(AND(N653=1,V653=1),IF(COUNTIFS(AKTIVITAS!$B$2:$B$3052,B653,AKTIVITAS!$E$2:$E$3052,H653)&gt;0,1,0),0)</f>
        <v>0</v>
      </c>
      <c r="V653" s="71">
        <f>IFERROR(IF(AND(H653&gt;=INDEX(PEMAGANG!$J$3:$J$36,MATCH(B653,PEMAGANG!$C$3:$C$36,0)),H653&lt;=INDEX(PEMAGANG!$K$3:$K$36,MATCH(B653,PEMAGANG!$C$3:$C$36,0))),1,0),0)</f>
        <v>0</v>
      </c>
      <c r="W653" s="71">
        <f t="shared" si="98"/>
        <v>0</v>
      </c>
    </row>
    <row r="654" spans="1:23" x14ac:dyDescent="0.2">
      <c r="A654" s="71" t="s">
        <v>419</v>
      </c>
      <c r="B654" s="71" t="s">
        <v>420</v>
      </c>
      <c r="C654" s="71" t="s">
        <v>187</v>
      </c>
      <c r="D654" s="71" t="s">
        <v>421</v>
      </c>
      <c r="E654" s="71" t="s">
        <v>422</v>
      </c>
      <c r="F654" s="71" t="s">
        <v>298</v>
      </c>
      <c r="G654" s="88">
        <v>46287.251712963</v>
      </c>
      <c r="H654" s="89">
        <v>46287</v>
      </c>
      <c r="I654" s="71" t="s">
        <v>466</v>
      </c>
      <c r="J654" s="71">
        <v>-88</v>
      </c>
      <c r="K654" s="71" t="s">
        <v>302</v>
      </c>
      <c r="L654" s="71">
        <f t="shared" si="90"/>
        <v>9</v>
      </c>
      <c r="M654" s="71" t="str">
        <f>IFERROR(INDEX(KALENDER!$D$3:$D$132,MATCH(H654,KALENDER!$A$3:$A$132,0)),"Di luar periode")</f>
        <v>Hari Kerja</v>
      </c>
      <c r="N654" s="71">
        <f t="shared" si="91"/>
        <v>0</v>
      </c>
      <c r="O654" s="71">
        <f t="shared" si="92"/>
        <v>5</v>
      </c>
      <c r="P654" s="71">
        <f t="shared" si="93"/>
        <v>0</v>
      </c>
      <c r="Q654" s="71">
        <f t="shared" si="94"/>
        <v>0</v>
      </c>
      <c r="R654" s="71">
        <f t="shared" si="95"/>
        <v>0</v>
      </c>
      <c r="S654" s="71">
        <f t="shared" si="96"/>
        <v>0</v>
      </c>
      <c r="T654" s="71">
        <f t="shared" si="97"/>
        <v>0</v>
      </c>
      <c r="U654" s="71">
        <f>IF(AND(N654=1,V654=1),IF(COUNTIFS(AKTIVITAS!$B$2:$B$3052,B654,AKTIVITAS!$E$2:$E$3052,H654)&gt;0,1,0),0)</f>
        <v>0</v>
      </c>
      <c r="V654" s="71">
        <f>IFERROR(IF(AND(H654&gt;=INDEX(PEMAGANG!$J$3:$J$36,MATCH(B654,PEMAGANG!$C$3:$C$36,0)),H654&lt;=INDEX(PEMAGANG!$K$3:$K$36,MATCH(B654,PEMAGANG!$C$3:$C$36,0))),1,0),0)</f>
        <v>0</v>
      </c>
      <c r="W654" s="71">
        <f t="shared" si="98"/>
        <v>0</v>
      </c>
    </row>
    <row r="655" spans="1:23" x14ac:dyDescent="0.2">
      <c r="A655" s="71" t="s">
        <v>419</v>
      </c>
      <c r="B655" s="71" t="s">
        <v>420</v>
      </c>
      <c r="C655" s="71" t="s">
        <v>187</v>
      </c>
      <c r="D655" s="71" t="s">
        <v>421</v>
      </c>
      <c r="E655" s="71" t="s">
        <v>422</v>
      </c>
      <c r="F655" s="71" t="s">
        <v>298</v>
      </c>
      <c r="G655" s="88">
        <v>46287.251782407402</v>
      </c>
      <c r="H655" s="89">
        <v>46287</v>
      </c>
      <c r="I655" s="71" t="s">
        <v>466</v>
      </c>
      <c r="J655" s="71">
        <v>-88</v>
      </c>
      <c r="K655" s="71" t="s">
        <v>302</v>
      </c>
      <c r="L655" s="71">
        <f t="shared" si="90"/>
        <v>9</v>
      </c>
      <c r="M655" s="71" t="str">
        <f>IFERROR(INDEX(KALENDER!$D$3:$D$132,MATCH(H655,KALENDER!$A$3:$A$132,0)),"Di luar periode")</f>
        <v>Hari Kerja</v>
      </c>
      <c r="N655" s="71">
        <f t="shared" si="91"/>
        <v>0</v>
      </c>
      <c r="O655" s="71">
        <f t="shared" si="92"/>
        <v>6</v>
      </c>
      <c r="P655" s="71">
        <f t="shared" si="93"/>
        <v>0</v>
      </c>
      <c r="Q655" s="71">
        <f t="shared" si="94"/>
        <v>0</v>
      </c>
      <c r="R655" s="71">
        <f t="shared" si="95"/>
        <v>0</v>
      </c>
      <c r="S655" s="71">
        <f t="shared" si="96"/>
        <v>0</v>
      </c>
      <c r="T655" s="71">
        <f t="shared" si="97"/>
        <v>0</v>
      </c>
      <c r="U655" s="71">
        <f>IF(AND(N655=1,V655=1),IF(COUNTIFS(AKTIVITAS!$B$2:$B$3052,B655,AKTIVITAS!$E$2:$E$3052,H655)&gt;0,1,0),0)</f>
        <v>0</v>
      </c>
      <c r="V655" s="71">
        <f>IFERROR(IF(AND(H655&gt;=INDEX(PEMAGANG!$J$3:$J$36,MATCH(B655,PEMAGANG!$C$3:$C$36,0)),H655&lt;=INDEX(PEMAGANG!$K$3:$K$36,MATCH(B655,PEMAGANG!$C$3:$C$36,0))),1,0),0)</f>
        <v>0</v>
      </c>
      <c r="W655" s="71">
        <f t="shared" si="98"/>
        <v>0</v>
      </c>
    </row>
    <row r="656" spans="1:23" x14ac:dyDescent="0.2">
      <c r="A656" s="71" t="s">
        <v>419</v>
      </c>
      <c r="B656" s="71" t="s">
        <v>420</v>
      </c>
      <c r="C656" s="71" t="s">
        <v>187</v>
      </c>
      <c r="D656" s="71" t="s">
        <v>421</v>
      </c>
      <c r="E656" s="71" t="s">
        <v>422</v>
      </c>
      <c r="F656" s="71" t="s">
        <v>298</v>
      </c>
      <c r="G656" s="88">
        <v>46287.251863425903</v>
      </c>
      <c r="H656" s="89">
        <v>46287</v>
      </c>
      <c r="I656" s="71" t="s">
        <v>466</v>
      </c>
      <c r="J656" s="71">
        <v>-88</v>
      </c>
      <c r="K656" s="71" t="s">
        <v>302</v>
      </c>
      <c r="L656" s="71">
        <f t="shared" si="90"/>
        <v>9</v>
      </c>
      <c r="M656" s="71" t="str">
        <f>IFERROR(INDEX(KALENDER!$D$3:$D$132,MATCH(H656,KALENDER!$A$3:$A$132,0)),"Di luar periode")</f>
        <v>Hari Kerja</v>
      </c>
      <c r="N656" s="71">
        <f t="shared" si="91"/>
        <v>0</v>
      </c>
      <c r="O656" s="71">
        <f t="shared" si="92"/>
        <v>7</v>
      </c>
      <c r="P656" s="71">
        <f t="shared" si="93"/>
        <v>0</v>
      </c>
      <c r="Q656" s="71">
        <f t="shared" si="94"/>
        <v>0</v>
      </c>
      <c r="R656" s="71">
        <f t="shared" si="95"/>
        <v>0</v>
      </c>
      <c r="S656" s="71">
        <f t="shared" si="96"/>
        <v>0</v>
      </c>
      <c r="T656" s="71">
        <f t="shared" si="97"/>
        <v>0</v>
      </c>
      <c r="U656" s="71">
        <f>IF(AND(N656=1,V656=1),IF(COUNTIFS(AKTIVITAS!$B$2:$B$3052,B656,AKTIVITAS!$E$2:$E$3052,H656)&gt;0,1,0),0)</f>
        <v>0</v>
      </c>
      <c r="V656" s="71">
        <f>IFERROR(IF(AND(H656&gt;=INDEX(PEMAGANG!$J$3:$J$36,MATCH(B656,PEMAGANG!$C$3:$C$36,0)),H656&lt;=INDEX(PEMAGANG!$K$3:$K$36,MATCH(B656,PEMAGANG!$C$3:$C$36,0))),1,0),0)</f>
        <v>0</v>
      </c>
      <c r="W656" s="71">
        <f t="shared" si="98"/>
        <v>0</v>
      </c>
    </row>
    <row r="657" spans="1:23" x14ac:dyDescent="0.2">
      <c r="A657" s="71" t="s">
        <v>419</v>
      </c>
      <c r="B657" s="71" t="s">
        <v>420</v>
      </c>
      <c r="C657" s="71" t="s">
        <v>187</v>
      </c>
      <c r="D657" s="71" t="s">
        <v>421</v>
      </c>
      <c r="E657" s="71" t="s">
        <v>422</v>
      </c>
      <c r="F657" s="71" t="s">
        <v>300</v>
      </c>
      <c r="G657" s="88">
        <v>46287.770775463003</v>
      </c>
      <c r="H657" s="89">
        <v>46287</v>
      </c>
      <c r="I657" s="71" t="s">
        <v>352</v>
      </c>
      <c r="J657" s="71">
        <v>0</v>
      </c>
      <c r="K657" s="71" t="s">
        <v>302</v>
      </c>
      <c r="L657" s="71">
        <f t="shared" si="90"/>
        <v>9</v>
      </c>
      <c r="M657" s="71" t="str">
        <f>IFERROR(INDEX(KALENDER!$D$3:$D$132,MATCH(H657,KALENDER!$A$3:$A$132,0)),"Di luar periode")</f>
        <v>Hari Kerja</v>
      </c>
      <c r="N657" s="71">
        <f t="shared" si="91"/>
        <v>0</v>
      </c>
      <c r="O657" s="71">
        <f t="shared" si="92"/>
        <v>7</v>
      </c>
      <c r="P657" s="71">
        <f t="shared" si="93"/>
        <v>0</v>
      </c>
      <c r="Q657" s="71">
        <f t="shared" si="94"/>
        <v>0</v>
      </c>
      <c r="R657" s="71">
        <f t="shared" si="95"/>
        <v>0</v>
      </c>
      <c r="S657" s="71">
        <f t="shared" si="96"/>
        <v>0</v>
      </c>
      <c r="T657" s="71">
        <f t="shared" si="97"/>
        <v>0</v>
      </c>
      <c r="U657" s="71">
        <f>IF(AND(N657=1,V657=1),IF(COUNTIFS(AKTIVITAS!$B$2:$B$3052,B657,AKTIVITAS!$E$2:$E$3052,H657)&gt;0,1,0),0)</f>
        <v>0</v>
      </c>
      <c r="V657" s="71">
        <f>IFERROR(IF(AND(H657&gt;=INDEX(PEMAGANG!$J$3:$J$36,MATCH(B657,PEMAGANG!$C$3:$C$36,0)),H657&lt;=INDEX(PEMAGANG!$K$3:$K$36,MATCH(B657,PEMAGANG!$C$3:$C$36,0))),1,0),0)</f>
        <v>0</v>
      </c>
      <c r="W657" s="71">
        <f t="shared" si="98"/>
        <v>0</v>
      </c>
    </row>
    <row r="658" spans="1:23" x14ac:dyDescent="0.2">
      <c r="A658" s="71" t="s">
        <v>419</v>
      </c>
      <c r="B658" s="71" t="s">
        <v>420</v>
      </c>
      <c r="C658" s="71" t="s">
        <v>187</v>
      </c>
      <c r="D658" s="71" t="s">
        <v>421</v>
      </c>
      <c r="E658" s="71" t="s">
        <v>422</v>
      </c>
      <c r="F658" s="71" t="s">
        <v>298</v>
      </c>
      <c r="G658" s="88">
        <v>46288.263414351903</v>
      </c>
      <c r="H658" s="89">
        <v>46288</v>
      </c>
      <c r="I658" s="71" t="s">
        <v>467</v>
      </c>
      <c r="J658" s="71">
        <v>-71</v>
      </c>
      <c r="K658" s="71" t="s">
        <v>302</v>
      </c>
      <c r="L658" s="71">
        <f t="shared" si="90"/>
        <v>9</v>
      </c>
      <c r="M658" s="71" t="str">
        <f>IFERROR(INDEX(KALENDER!$D$3:$D$132,MATCH(H658,KALENDER!$A$3:$A$132,0)),"Di luar periode")</f>
        <v>Hari Kerja</v>
      </c>
      <c r="N658" s="71">
        <f t="shared" si="91"/>
        <v>1</v>
      </c>
      <c r="O658" s="71">
        <f t="shared" si="92"/>
        <v>1</v>
      </c>
      <c r="P658" s="71">
        <f t="shared" si="93"/>
        <v>0</v>
      </c>
      <c r="Q658" s="71">
        <f t="shared" si="94"/>
        <v>1</v>
      </c>
      <c r="R658" s="71">
        <f t="shared" si="95"/>
        <v>0</v>
      </c>
      <c r="S658" s="71">
        <f t="shared" si="96"/>
        <v>0</v>
      </c>
      <c r="T658" s="71">
        <f t="shared" si="97"/>
        <v>0</v>
      </c>
      <c r="U658" s="71">
        <f>IF(AND(N658=1,V658=1),IF(COUNTIFS(AKTIVITAS!$B$2:$B$3052,B658,AKTIVITAS!$E$2:$E$3052,H658)&gt;0,1,0),0)</f>
        <v>0</v>
      </c>
      <c r="V658" s="71">
        <f>IFERROR(IF(AND(H658&gt;=INDEX(PEMAGANG!$J$3:$J$36,MATCH(B658,PEMAGANG!$C$3:$C$36,0)),H658&lt;=INDEX(PEMAGANG!$K$3:$K$36,MATCH(B658,PEMAGANG!$C$3:$C$36,0))),1,0),0)</f>
        <v>0</v>
      </c>
      <c r="W658" s="71">
        <f t="shared" si="98"/>
        <v>0</v>
      </c>
    </row>
    <row r="659" spans="1:23" x14ac:dyDescent="0.2">
      <c r="A659" s="71" t="s">
        <v>419</v>
      </c>
      <c r="B659" s="71" t="s">
        <v>420</v>
      </c>
      <c r="C659" s="71" t="s">
        <v>187</v>
      </c>
      <c r="D659" s="71" t="s">
        <v>421</v>
      </c>
      <c r="E659" s="71" t="s">
        <v>422</v>
      </c>
      <c r="F659" s="71" t="s">
        <v>300</v>
      </c>
      <c r="G659" s="88">
        <v>46288.752881944398</v>
      </c>
      <c r="H659" s="89">
        <v>46288</v>
      </c>
      <c r="I659" s="71" t="s">
        <v>468</v>
      </c>
      <c r="J659" s="71">
        <v>0</v>
      </c>
      <c r="K659" s="71" t="s">
        <v>302</v>
      </c>
      <c r="L659" s="71">
        <f t="shared" si="90"/>
        <v>9</v>
      </c>
      <c r="M659" s="71" t="str">
        <f>IFERROR(INDEX(KALENDER!$D$3:$D$132,MATCH(H659,KALENDER!$A$3:$A$132,0)),"Di luar periode")</f>
        <v>Hari Kerja</v>
      </c>
      <c r="N659" s="71">
        <f t="shared" si="91"/>
        <v>0</v>
      </c>
      <c r="O659" s="71">
        <f t="shared" si="92"/>
        <v>1</v>
      </c>
      <c r="P659" s="71">
        <f t="shared" si="93"/>
        <v>0</v>
      </c>
      <c r="Q659" s="71">
        <f t="shared" si="94"/>
        <v>0</v>
      </c>
      <c r="R659" s="71">
        <f t="shared" si="95"/>
        <v>0</v>
      </c>
      <c r="S659" s="71">
        <f t="shared" si="96"/>
        <v>0</v>
      </c>
      <c r="T659" s="71">
        <f t="shared" si="97"/>
        <v>0</v>
      </c>
      <c r="U659" s="71">
        <f>IF(AND(N659=1,V659=1),IF(COUNTIFS(AKTIVITAS!$B$2:$B$3052,B659,AKTIVITAS!$E$2:$E$3052,H659)&gt;0,1,0),0)</f>
        <v>0</v>
      </c>
      <c r="V659" s="71">
        <f>IFERROR(IF(AND(H659&gt;=INDEX(PEMAGANG!$J$3:$J$36,MATCH(B659,PEMAGANG!$C$3:$C$36,0)),H659&lt;=INDEX(PEMAGANG!$K$3:$K$36,MATCH(B659,PEMAGANG!$C$3:$C$36,0))),1,0),0)</f>
        <v>0</v>
      </c>
      <c r="W659" s="71">
        <f t="shared" si="98"/>
        <v>0</v>
      </c>
    </row>
    <row r="660" spans="1:23" x14ac:dyDescent="0.2">
      <c r="A660" s="71" t="s">
        <v>419</v>
      </c>
      <c r="B660" s="71" t="s">
        <v>420</v>
      </c>
      <c r="C660" s="71" t="s">
        <v>187</v>
      </c>
      <c r="D660" s="71" t="s">
        <v>421</v>
      </c>
      <c r="E660" s="71" t="s">
        <v>422</v>
      </c>
      <c r="F660" s="71" t="s">
        <v>298</v>
      </c>
      <c r="G660" s="88">
        <v>46289.262013888903</v>
      </c>
      <c r="H660" s="89">
        <v>46289</v>
      </c>
      <c r="I660" s="71" t="s">
        <v>440</v>
      </c>
      <c r="J660" s="71">
        <v>-73</v>
      </c>
      <c r="K660" s="71" t="s">
        <v>302</v>
      </c>
      <c r="L660" s="71">
        <f t="shared" si="90"/>
        <v>9</v>
      </c>
      <c r="M660" s="71" t="str">
        <f>IFERROR(INDEX(KALENDER!$D$3:$D$132,MATCH(H660,KALENDER!$A$3:$A$132,0)),"Di luar periode")</f>
        <v>Hari Kerja</v>
      </c>
      <c r="N660" s="71">
        <f t="shared" si="91"/>
        <v>1</v>
      </c>
      <c r="O660" s="71">
        <f t="shared" si="92"/>
        <v>1</v>
      </c>
      <c r="P660" s="71">
        <f t="shared" si="93"/>
        <v>0</v>
      </c>
      <c r="Q660" s="71">
        <f t="shared" si="94"/>
        <v>1</v>
      </c>
      <c r="R660" s="71">
        <f t="shared" si="95"/>
        <v>0</v>
      </c>
      <c r="S660" s="71">
        <f t="shared" si="96"/>
        <v>0</v>
      </c>
      <c r="T660" s="71">
        <f t="shared" si="97"/>
        <v>0</v>
      </c>
      <c r="U660" s="71">
        <f>IF(AND(N660=1,V660=1),IF(COUNTIFS(AKTIVITAS!$B$2:$B$3052,B660,AKTIVITAS!$E$2:$E$3052,H660)&gt;0,1,0),0)</f>
        <v>0</v>
      </c>
      <c r="V660" s="71">
        <f>IFERROR(IF(AND(H660&gt;=INDEX(PEMAGANG!$J$3:$J$36,MATCH(B660,PEMAGANG!$C$3:$C$36,0)),H660&lt;=INDEX(PEMAGANG!$K$3:$K$36,MATCH(B660,PEMAGANG!$C$3:$C$36,0))),1,0),0)</f>
        <v>0</v>
      </c>
      <c r="W660" s="71">
        <f t="shared" si="98"/>
        <v>0</v>
      </c>
    </row>
    <row r="661" spans="1:23" x14ac:dyDescent="0.2">
      <c r="A661" s="71" t="s">
        <v>419</v>
      </c>
      <c r="B661" s="71" t="s">
        <v>420</v>
      </c>
      <c r="C661" s="71" t="s">
        <v>187</v>
      </c>
      <c r="D661" s="71" t="s">
        <v>421</v>
      </c>
      <c r="E661" s="71" t="s">
        <v>422</v>
      </c>
      <c r="F661" s="71" t="s">
        <v>300</v>
      </c>
      <c r="G661" s="88">
        <v>46289.755682870396</v>
      </c>
      <c r="H661" s="89">
        <v>46289</v>
      </c>
      <c r="I661" s="71" t="s">
        <v>469</v>
      </c>
      <c r="J661" s="71">
        <v>0</v>
      </c>
      <c r="K661" s="71" t="s">
        <v>302</v>
      </c>
      <c r="L661" s="71">
        <f t="shared" si="90"/>
        <v>9</v>
      </c>
      <c r="M661" s="71" t="str">
        <f>IFERROR(INDEX(KALENDER!$D$3:$D$132,MATCH(H661,KALENDER!$A$3:$A$132,0)),"Di luar periode")</f>
        <v>Hari Kerja</v>
      </c>
      <c r="N661" s="71">
        <f t="shared" si="91"/>
        <v>0</v>
      </c>
      <c r="O661" s="71">
        <f t="shared" si="92"/>
        <v>1</v>
      </c>
      <c r="P661" s="71">
        <f t="shared" si="93"/>
        <v>0</v>
      </c>
      <c r="Q661" s="71">
        <f t="shared" si="94"/>
        <v>0</v>
      </c>
      <c r="R661" s="71">
        <f t="shared" si="95"/>
        <v>0</v>
      </c>
      <c r="S661" s="71">
        <f t="shared" si="96"/>
        <v>0</v>
      </c>
      <c r="T661" s="71">
        <f t="shared" si="97"/>
        <v>0</v>
      </c>
      <c r="U661" s="71">
        <f>IF(AND(N661=1,V661=1),IF(COUNTIFS(AKTIVITAS!$B$2:$B$3052,B661,AKTIVITAS!$E$2:$E$3052,H661)&gt;0,1,0),0)</f>
        <v>0</v>
      </c>
      <c r="V661" s="71">
        <f>IFERROR(IF(AND(H661&gt;=INDEX(PEMAGANG!$J$3:$J$36,MATCH(B661,PEMAGANG!$C$3:$C$36,0)),H661&lt;=INDEX(PEMAGANG!$K$3:$K$36,MATCH(B661,PEMAGANG!$C$3:$C$36,0))),1,0),0)</f>
        <v>0</v>
      </c>
      <c r="W661" s="71">
        <f t="shared" si="98"/>
        <v>0</v>
      </c>
    </row>
    <row r="662" spans="1:23" x14ac:dyDescent="0.2">
      <c r="A662" s="71" t="s">
        <v>419</v>
      </c>
      <c r="B662" s="71" t="s">
        <v>420</v>
      </c>
      <c r="C662" s="71" t="s">
        <v>187</v>
      </c>
      <c r="D662" s="71" t="s">
        <v>421</v>
      </c>
      <c r="E662" s="71" t="s">
        <v>422</v>
      </c>
      <c r="F662" s="71" t="s">
        <v>298</v>
      </c>
      <c r="G662" s="88">
        <v>46290.2649074074</v>
      </c>
      <c r="H662" s="89">
        <v>46290</v>
      </c>
      <c r="I662" s="71" t="s">
        <v>448</v>
      </c>
      <c r="J662" s="71">
        <v>-69</v>
      </c>
      <c r="K662" s="71" t="s">
        <v>302</v>
      </c>
      <c r="L662" s="71">
        <f t="shared" si="90"/>
        <v>9</v>
      </c>
      <c r="M662" s="71" t="str">
        <f>IFERROR(INDEX(KALENDER!$D$3:$D$132,MATCH(H662,KALENDER!$A$3:$A$132,0)),"Di luar periode")</f>
        <v>Hari Kerja</v>
      </c>
      <c r="N662" s="71">
        <f t="shared" si="91"/>
        <v>1</v>
      </c>
      <c r="O662" s="71">
        <f t="shared" si="92"/>
        <v>1</v>
      </c>
      <c r="P662" s="71">
        <f t="shared" si="93"/>
        <v>0</v>
      </c>
      <c r="Q662" s="71">
        <f t="shared" si="94"/>
        <v>1</v>
      </c>
      <c r="R662" s="71">
        <f t="shared" si="95"/>
        <v>0</v>
      </c>
      <c r="S662" s="71">
        <f t="shared" si="96"/>
        <v>0</v>
      </c>
      <c r="T662" s="71">
        <f t="shared" si="97"/>
        <v>0</v>
      </c>
      <c r="U662" s="71">
        <f>IF(AND(N662=1,V662=1),IF(COUNTIFS(AKTIVITAS!$B$2:$B$3052,B662,AKTIVITAS!$E$2:$E$3052,H662)&gt;0,1,0),0)</f>
        <v>0</v>
      </c>
      <c r="V662" s="71">
        <f>IFERROR(IF(AND(H662&gt;=INDEX(PEMAGANG!$J$3:$J$36,MATCH(B662,PEMAGANG!$C$3:$C$36,0)),H662&lt;=INDEX(PEMAGANG!$K$3:$K$36,MATCH(B662,PEMAGANG!$C$3:$C$36,0))),1,0),0)</f>
        <v>0</v>
      </c>
      <c r="W662" s="71">
        <f t="shared" si="98"/>
        <v>0</v>
      </c>
    </row>
    <row r="663" spans="1:23" x14ac:dyDescent="0.2">
      <c r="A663" s="71" t="s">
        <v>419</v>
      </c>
      <c r="B663" s="71" t="s">
        <v>420</v>
      </c>
      <c r="C663" s="71" t="s">
        <v>187</v>
      </c>
      <c r="D663" s="71" t="s">
        <v>421</v>
      </c>
      <c r="E663" s="71" t="s">
        <v>422</v>
      </c>
      <c r="F663" s="71" t="s">
        <v>300</v>
      </c>
      <c r="G663" s="88">
        <v>46290.709479166697</v>
      </c>
      <c r="H663" s="89">
        <v>46290</v>
      </c>
      <c r="I663" s="71" t="s">
        <v>333</v>
      </c>
      <c r="J663" s="71">
        <v>0</v>
      </c>
      <c r="K663" s="71" t="s">
        <v>302</v>
      </c>
      <c r="L663" s="71">
        <f t="shared" si="90"/>
        <v>9</v>
      </c>
      <c r="M663" s="71" t="str">
        <f>IFERROR(INDEX(KALENDER!$D$3:$D$132,MATCH(H663,KALENDER!$A$3:$A$132,0)),"Di luar periode")</f>
        <v>Hari Kerja</v>
      </c>
      <c r="N663" s="71">
        <f t="shared" si="91"/>
        <v>0</v>
      </c>
      <c r="O663" s="71">
        <f t="shared" si="92"/>
        <v>1</v>
      </c>
      <c r="P663" s="71">
        <f t="shared" si="93"/>
        <v>0</v>
      </c>
      <c r="Q663" s="71">
        <f t="shared" si="94"/>
        <v>0</v>
      </c>
      <c r="R663" s="71">
        <f t="shared" si="95"/>
        <v>0</v>
      </c>
      <c r="S663" s="71">
        <f t="shared" si="96"/>
        <v>0</v>
      </c>
      <c r="T663" s="71">
        <f t="shared" si="97"/>
        <v>0</v>
      </c>
      <c r="U663" s="71">
        <f>IF(AND(N663=1,V663=1),IF(COUNTIFS(AKTIVITAS!$B$2:$B$3052,B663,AKTIVITAS!$E$2:$E$3052,H663)&gt;0,1,0),0)</f>
        <v>0</v>
      </c>
      <c r="V663" s="71">
        <f>IFERROR(IF(AND(H663&gt;=INDEX(PEMAGANG!$J$3:$J$36,MATCH(B663,PEMAGANG!$C$3:$C$36,0)),H663&lt;=INDEX(PEMAGANG!$K$3:$K$36,MATCH(B663,PEMAGANG!$C$3:$C$36,0))),1,0),0)</f>
        <v>0</v>
      </c>
      <c r="W663" s="71">
        <f t="shared" si="98"/>
        <v>0</v>
      </c>
    </row>
    <row r="664" spans="1:23" x14ac:dyDescent="0.2">
      <c r="A664" s="71" t="s">
        <v>419</v>
      </c>
      <c r="B664" s="71" t="s">
        <v>420</v>
      </c>
      <c r="C664" s="71" t="s">
        <v>187</v>
      </c>
      <c r="D664" s="71" t="s">
        <v>421</v>
      </c>
      <c r="E664" s="71" t="s">
        <v>422</v>
      </c>
      <c r="F664" s="71" t="s">
        <v>298</v>
      </c>
      <c r="G664" s="88">
        <v>46293.251145833303</v>
      </c>
      <c r="H664" s="89">
        <v>46293</v>
      </c>
      <c r="I664" s="71" t="s">
        <v>470</v>
      </c>
      <c r="J664" s="71">
        <v>-89</v>
      </c>
      <c r="K664" s="71" t="s">
        <v>302</v>
      </c>
      <c r="L664" s="71">
        <f t="shared" si="90"/>
        <v>9</v>
      </c>
      <c r="M664" s="71" t="str">
        <f>IFERROR(INDEX(KALENDER!$D$3:$D$132,MATCH(H664,KALENDER!$A$3:$A$132,0)),"Di luar periode")</f>
        <v>Hari Kerja</v>
      </c>
      <c r="N664" s="71">
        <f t="shared" si="91"/>
        <v>1</v>
      </c>
      <c r="O664" s="71">
        <f t="shared" si="92"/>
        <v>1</v>
      </c>
      <c r="P664" s="71">
        <f t="shared" si="93"/>
        <v>0</v>
      </c>
      <c r="Q664" s="71">
        <f t="shared" si="94"/>
        <v>1</v>
      </c>
      <c r="R664" s="71">
        <f t="shared" si="95"/>
        <v>0</v>
      </c>
      <c r="S664" s="71">
        <f t="shared" si="96"/>
        <v>0</v>
      </c>
      <c r="T664" s="71">
        <f t="shared" si="97"/>
        <v>0</v>
      </c>
      <c r="U664" s="71">
        <f>IF(AND(N664=1,V664=1),IF(COUNTIFS(AKTIVITAS!$B$2:$B$3052,B664,AKTIVITAS!$E$2:$E$3052,H664)&gt;0,1,0),0)</f>
        <v>0</v>
      </c>
      <c r="V664" s="71">
        <f>IFERROR(IF(AND(H664&gt;=INDEX(PEMAGANG!$J$3:$J$36,MATCH(B664,PEMAGANG!$C$3:$C$36,0)),H664&lt;=INDEX(PEMAGANG!$K$3:$K$36,MATCH(B664,PEMAGANG!$C$3:$C$36,0))),1,0),0)</f>
        <v>0</v>
      </c>
      <c r="W664" s="71">
        <f t="shared" si="98"/>
        <v>0</v>
      </c>
    </row>
    <row r="665" spans="1:23" x14ac:dyDescent="0.2">
      <c r="A665" s="71" t="s">
        <v>419</v>
      </c>
      <c r="B665" s="71" t="s">
        <v>420</v>
      </c>
      <c r="C665" s="71" t="s">
        <v>187</v>
      </c>
      <c r="D665" s="71" t="s">
        <v>421</v>
      </c>
      <c r="E665" s="71" t="s">
        <v>422</v>
      </c>
      <c r="F665" s="71" t="s">
        <v>300</v>
      </c>
      <c r="G665" s="88">
        <v>46293.759571759299</v>
      </c>
      <c r="H665" s="89">
        <v>46293</v>
      </c>
      <c r="I665" s="71" t="s">
        <v>471</v>
      </c>
      <c r="J665" s="71">
        <v>0</v>
      </c>
      <c r="K665" s="71" t="s">
        <v>302</v>
      </c>
      <c r="L665" s="71">
        <f t="shared" si="90"/>
        <v>9</v>
      </c>
      <c r="M665" s="71" t="str">
        <f>IFERROR(INDEX(KALENDER!$D$3:$D$132,MATCH(H665,KALENDER!$A$3:$A$132,0)),"Di luar periode")</f>
        <v>Hari Kerja</v>
      </c>
      <c r="N665" s="71">
        <f t="shared" si="91"/>
        <v>0</v>
      </c>
      <c r="O665" s="71">
        <f t="shared" si="92"/>
        <v>1</v>
      </c>
      <c r="P665" s="71">
        <f t="shared" si="93"/>
        <v>0</v>
      </c>
      <c r="Q665" s="71">
        <f t="shared" si="94"/>
        <v>0</v>
      </c>
      <c r="R665" s="71">
        <f t="shared" si="95"/>
        <v>0</v>
      </c>
      <c r="S665" s="71">
        <f t="shared" si="96"/>
        <v>0</v>
      </c>
      <c r="T665" s="71">
        <f t="shared" si="97"/>
        <v>0</v>
      </c>
      <c r="U665" s="71">
        <f>IF(AND(N665=1,V665=1),IF(COUNTIFS(AKTIVITAS!$B$2:$B$3052,B665,AKTIVITAS!$E$2:$E$3052,H665)&gt;0,1,0),0)</f>
        <v>0</v>
      </c>
      <c r="V665" s="71">
        <f>IFERROR(IF(AND(H665&gt;=INDEX(PEMAGANG!$J$3:$J$36,MATCH(B665,PEMAGANG!$C$3:$C$36,0)),H665&lt;=INDEX(PEMAGANG!$K$3:$K$36,MATCH(B665,PEMAGANG!$C$3:$C$36,0))),1,0),0)</f>
        <v>0</v>
      </c>
      <c r="W665" s="71">
        <f t="shared" si="98"/>
        <v>0</v>
      </c>
    </row>
    <row r="666" spans="1:23" x14ac:dyDescent="0.2">
      <c r="A666" s="71" t="s">
        <v>419</v>
      </c>
      <c r="B666" s="71" t="s">
        <v>420</v>
      </c>
      <c r="C666" s="71" t="s">
        <v>187</v>
      </c>
      <c r="D666" s="71" t="s">
        <v>421</v>
      </c>
      <c r="E666" s="71" t="s">
        <v>422</v>
      </c>
      <c r="F666" s="71" t="s">
        <v>298</v>
      </c>
      <c r="G666" s="88">
        <v>46294.258518518502</v>
      </c>
      <c r="H666" s="89">
        <v>46294</v>
      </c>
      <c r="I666" s="71" t="s">
        <v>423</v>
      </c>
      <c r="J666" s="71">
        <v>-78</v>
      </c>
      <c r="K666" s="71" t="s">
        <v>302</v>
      </c>
      <c r="L666" s="71">
        <f t="shared" si="90"/>
        <v>9</v>
      </c>
      <c r="M666" s="71" t="str">
        <f>IFERROR(INDEX(KALENDER!$D$3:$D$132,MATCH(H666,KALENDER!$A$3:$A$132,0)),"Di luar periode")</f>
        <v>Hari Kerja</v>
      </c>
      <c r="N666" s="71">
        <f t="shared" si="91"/>
        <v>1</v>
      </c>
      <c r="O666" s="71">
        <f t="shared" si="92"/>
        <v>1</v>
      </c>
      <c r="P666" s="71">
        <f t="shared" si="93"/>
        <v>0</v>
      </c>
      <c r="Q666" s="71">
        <f t="shared" si="94"/>
        <v>1</v>
      </c>
      <c r="R666" s="71">
        <f t="shared" si="95"/>
        <v>0</v>
      </c>
      <c r="S666" s="71">
        <f t="shared" si="96"/>
        <v>0</v>
      </c>
      <c r="T666" s="71">
        <f t="shared" si="97"/>
        <v>0</v>
      </c>
      <c r="U666" s="71">
        <f>IF(AND(N666=1,V666=1),IF(COUNTIFS(AKTIVITAS!$B$2:$B$3052,B666,AKTIVITAS!$E$2:$E$3052,H666)&gt;0,1,0),0)</f>
        <v>0</v>
      </c>
      <c r="V666" s="71">
        <f>IFERROR(IF(AND(H666&gt;=INDEX(PEMAGANG!$J$3:$J$36,MATCH(B666,PEMAGANG!$C$3:$C$36,0)),H666&lt;=INDEX(PEMAGANG!$K$3:$K$36,MATCH(B666,PEMAGANG!$C$3:$C$36,0))),1,0),0)</f>
        <v>0</v>
      </c>
      <c r="W666" s="71">
        <f t="shared" si="98"/>
        <v>0</v>
      </c>
    </row>
    <row r="667" spans="1:23" x14ac:dyDescent="0.2">
      <c r="A667" s="71" t="s">
        <v>419</v>
      </c>
      <c r="B667" s="71" t="s">
        <v>420</v>
      </c>
      <c r="C667" s="71" t="s">
        <v>187</v>
      </c>
      <c r="D667" s="71" t="s">
        <v>421</v>
      </c>
      <c r="E667" s="71" t="s">
        <v>422</v>
      </c>
      <c r="F667" s="71" t="s">
        <v>300</v>
      </c>
      <c r="G667" s="88">
        <v>46294.768020833297</v>
      </c>
      <c r="H667" s="89">
        <v>46294</v>
      </c>
      <c r="I667" s="71" t="s">
        <v>424</v>
      </c>
      <c r="J667" s="71">
        <v>0</v>
      </c>
      <c r="K667" s="71" t="s">
        <v>302</v>
      </c>
      <c r="L667" s="71">
        <f t="shared" si="90"/>
        <v>9</v>
      </c>
      <c r="M667" s="71" t="str">
        <f>IFERROR(INDEX(KALENDER!$D$3:$D$132,MATCH(H667,KALENDER!$A$3:$A$132,0)),"Di luar periode")</f>
        <v>Hari Kerja</v>
      </c>
      <c r="N667" s="71">
        <f t="shared" si="91"/>
        <v>0</v>
      </c>
      <c r="O667" s="71">
        <f t="shared" si="92"/>
        <v>1</v>
      </c>
      <c r="P667" s="71">
        <f t="shared" si="93"/>
        <v>0</v>
      </c>
      <c r="Q667" s="71">
        <f t="shared" si="94"/>
        <v>0</v>
      </c>
      <c r="R667" s="71">
        <f t="shared" si="95"/>
        <v>0</v>
      </c>
      <c r="S667" s="71">
        <f t="shared" si="96"/>
        <v>0</v>
      </c>
      <c r="T667" s="71">
        <f t="shared" si="97"/>
        <v>0</v>
      </c>
      <c r="U667" s="71">
        <f>IF(AND(N667=1,V667=1),IF(COUNTIFS(AKTIVITAS!$B$2:$B$3052,B667,AKTIVITAS!$E$2:$E$3052,H667)&gt;0,1,0),0)</f>
        <v>0</v>
      </c>
      <c r="V667" s="71">
        <f>IFERROR(IF(AND(H667&gt;=INDEX(PEMAGANG!$J$3:$J$36,MATCH(B667,PEMAGANG!$C$3:$C$36,0)),H667&lt;=INDEX(PEMAGANG!$K$3:$K$36,MATCH(B667,PEMAGANG!$C$3:$C$36,0))),1,0),0)</f>
        <v>0</v>
      </c>
      <c r="W667" s="71">
        <f t="shared" si="98"/>
        <v>0</v>
      </c>
    </row>
    <row r="668" spans="1:23" x14ac:dyDescent="0.2">
      <c r="A668" s="71" t="s">
        <v>419</v>
      </c>
      <c r="B668" s="71" t="s">
        <v>420</v>
      </c>
      <c r="C668" s="71" t="s">
        <v>187</v>
      </c>
      <c r="D668" s="71" t="s">
        <v>421</v>
      </c>
      <c r="E668" s="71" t="s">
        <v>422</v>
      </c>
      <c r="F668" s="71" t="s">
        <v>298</v>
      </c>
      <c r="G668" s="88">
        <v>46295.260173611103</v>
      </c>
      <c r="H668" s="89">
        <v>46295</v>
      </c>
      <c r="I668" s="71" t="s">
        <v>426</v>
      </c>
      <c r="J668" s="71">
        <v>-76</v>
      </c>
      <c r="K668" s="71" t="s">
        <v>302</v>
      </c>
      <c r="L668" s="71">
        <f t="shared" si="90"/>
        <v>9</v>
      </c>
      <c r="M668" s="71" t="str">
        <f>IFERROR(INDEX(KALENDER!$D$3:$D$132,MATCH(H668,KALENDER!$A$3:$A$132,0)),"Di luar periode")</f>
        <v>Hari Kerja</v>
      </c>
      <c r="N668" s="71">
        <f t="shared" si="91"/>
        <v>1</v>
      </c>
      <c r="O668" s="71">
        <f t="shared" si="92"/>
        <v>1</v>
      </c>
      <c r="P668" s="71">
        <f t="shared" si="93"/>
        <v>0</v>
      </c>
      <c r="Q668" s="71">
        <f t="shared" si="94"/>
        <v>1</v>
      </c>
      <c r="R668" s="71">
        <f t="shared" si="95"/>
        <v>0</v>
      </c>
      <c r="S668" s="71">
        <f t="shared" si="96"/>
        <v>0</v>
      </c>
      <c r="T668" s="71">
        <f t="shared" si="97"/>
        <v>0</v>
      </c>
      <c r="U668" s="71">
        <f>IF(AND(N668=1,V668=1),IF(COUNTIFS(AKTIVITAS!$B$2:$B$3052,B668,AKTIVITAS!$E$2:$E$3052,H668)&gt;0,1,0),0)</f>
        <v>0</v>
      </c>
      <c r="V668" s="71">
        <f>IFERROR(IF(AND(H668&gt;=INDEX(PEMAGANG!$J$3:$J$36,MATCH(B668,PEMAGANG!$C$3:$C$36,0)),H668&lt;=INDEX(PEMAGANG!$K$3:$K$36,MATCH(B668,PEMAGANG!$C$3:$C$36,0))),1,0),0)</f>
        <v>0</v>
      </c>
      <c r="W668" s="71">
        <f t="shared" si="98"/>
        <v>0</v>
      </c>
    </row>
    <row r="669" spans="1:23" x14ac:dyDescent="0.2">
      <c r="A669" s="71" t="s">
        <v>419</v>
      </c>
      <c r="B669" s="71" t="s">
        <v>420</v>
      </c>
      <c r="C669" s="71" t="s">
        <v>187</v>
      </c>
      <c r="D669" s="71" t="s">
        <v>421</v>
      </c>
      <c r="E669" s="71" t="s">
        <v>422</v>
      </c>
      <c r="F669" s="71" t="s">
        <v>300</v>
      </c>
      <c r="G669" s="88">
        <v>46295.755995370397</v>
      </c>
      <c r="H669" s="89">
        <v>46295</v>
      </c>
      <c r="I669" s="71" t="s">
        <v>469</v>
      </c>
      <c r="J669" s="71">
        <v>0</v>
      </c>
      <c r="K669" s="71" t="s">
        <v>302</v>
      </c>
      <c r="L669" s="71">
        <f t="shared" si="90"/>
        <v>9</v>
      </c>
      <c r="M669" s="71" t="str">
        <f>IFERROR(INDEX(KALENDER!$D$3:$D$132,MATCH(H669,KALENDER!$A$3:$A$132,0)),"Di luar periode")</f>
        <v>Hari Kerja</v>
      </c>
      <c r="N669" s="71">
        <f t="shared" si="91"/>
        <v>0</v>
      </c>
      <c r="O669" s="71">
        <f t="shared" si="92"/>
        <v>1</v>
      </c>
      <c r="P669" s="71">
        <f t="shared" si="93"/>
        <v>0</v>
      </c>
      <c r="Q669" s="71">
        <f t="shared" si="94"/>
        <v>0</v>
      </c>
      <c r="R669" s="71">
        <f t="shared" si="95"/>
        <v>0</v>
      </c>
      <c r="S669" s="71">
        <f t="shared" si="96"/>
        <v>0</v>
      </c>
      <c r="T669" s="71">
        <f t="shared" si="97"/>
        <v>0</v>
      </c>
      <c r="U669" s="71">
        <f>IF(AND(N669=1,V669=1),IF(COUNTIFS(AKTIVITAS!$B$2:$B$3052,B669,AKTIVITAS!$E$2:$E$3052,H669)&gt;0,1,0),0)</f>
        <v>0</v>
      </c>
      <c r="V669" s="71">
        <f>IFERROR(IF(AND(H669&gt;=INDEX(PEMAGANG!$J$3:$J$36,MATCH(B669,PEMAGANG!$C$3:$C$36,0)),H669&lt;=INDEX(PEMAGANG!$K$3:$K$36,MATCH(B669,PEMAGANG!$C$3:$C$36,0))),1,0),0)</f>
        <v>0</v>
      </c>
      <c r="W669" s="71">
        <f t="shared" si="98"/>
        <v>0</v>
      </c>
    </row>
    <row r="670" spans="1:23" x14ac:dyDescent="0.2">
      <c r="A670" s="71" t="s">
        <v>243</v>
      </c>
      <c r="B670" s="71" t="s">
        <v>244</v>
      </c>
      <c r="C670" s="71" t="s">
        <v>187</v>
      </c>
      <c r="D670" s="71" t="s">
        <v>245</v>
      </c>
      <c r="E670" s="71" t="s">
        <v>43</v>
      </c>
      <c r="F670" s="71" t="s">
        <v>298</v>
      </c>
      <c r="G670" s="88">
        <v>46279.453136574099</v>
      </c>
      <c r="H670" s="89">
        <v>46279</v>
      </c>
      <c r="I670" s="71" t="s">
        <v>472</v>
      </c>
      <c r="J670" s="71">
        <v>202</v>
      </c>
      <c r="K670" s="71" t="s">
        <v>293</v>
      </c>
      <c r="L670" s="71">
        <f t="shared" si="90"/>
        <v>9</v>
      </c>
      <c r="M670" s="71" t="str">
        <f>IFERROR(INDEX(KALENDER!$D$3:$D$132,MATCH(H670,KALENDER!$A$3:$A$132,0)),"Di luar periode")</f>
        <v>Hari Kerja</v>
      </c>
      <c r="N670" s="71">
        <f t="shared" si="91"/>
        <v>1</v>
      </c>
      <c r="O670" s="71">
        <f t="shared" si="92"/>
        <v>1</v>
      </c>
      <c r="P670" s="71">
        <f t="shared" si="93"/>
        <v>1</v>
      </c>
      <c r="Q670" s="71">
        <f t="shared" si="94"/>
        <v>0</v>
      </c>
      <c r="R670" s="71">
        <f t="shared" si="95"/>
        <v>1</v>
      </c>
      <c r="S670" s="71">
        <f t="shared" si="96"/>
        <v>202</v>
      </c>
      <c r="T670" s="71">
        <f t="shared" si="97"/>
        <v>0</v>
      </c>
      <c r="U670" s="71">
        <f>IF(AND(N670=1,V670=1),IF(COUNTIFS(AKTIVITAS!$B$2:$B$3052,B670,AKTIVITAS!$E$2:$E$3052,H670)&gt;0,1,0),0)</f>
        <v>1</v>
      </c>
      <c r="V670" s="71">
        <f>IFERROR(IF(AND(H670&gt;=INDEX(PEMAGANG!$J$3:$J$36,MATCH(B670,PEMAGANG!$C$3:$C$36,0)),H670&lt;=INDEX(PEMAGANG!$K$3:$K$36,MATCH(B670,PEMAGANG!$C$3:$C$36,0))),1,0),0)</f>
        <v>1</v>
      </c>
      <c r="W670" s="71">
        <f t="shared" si="98"/>
        <v>1</v>
      </c>
    </row>
    <row r="671" spans="1:23" x14ac:dyDescent="0.2">
      <c r="A671" s="71" t="s">
        <v>243</v>
      </c>
      <c r="B671" s="71" t="s">
        <v>244</v>
      </c>
      <c r="C671" s="71" t="s">
        <v>187</v>
      </c>
      <c r="D671" s="71" t="s">
        <v>245</v>
      </c>
      <c r="E671" s="71" t="s">
        <v>43</v>
      </c>
      <c r="F671" s="71" t="s">
        <v>300</v>
      </c>
      <c r="G671" s="88">
        <v>46279.694513888899</v>
      </c>
      <c r="H671" s="89">
        <v>46279</v>
      </c>
      <c r="I671" s="71" t="s">
        <v>343</v>
      </c>
      <c r="J671" s="71">
        <v>0</v>
      </c>
      <c r="K671" s="71" t="s">
        <v>302</v>
      </c>
      <c r="L671" s="71">
        <f t="shared" si="90"/>
        <v>9</v>
      </c>
      <c r="M671" s="71" t="str">
        <f>IFERROR(INDEX(KALENDER!$D$3:$D$132,MATCH(H671,KALENDER!$A$3:$A$132,0)),"Di luar periode")</f>
        <v>Hari Kerja</v>
      </c>
      <c r="N671" s="71">
        <f t="shared" si="91"/>
        <v>0</v>
      </c>
      <c r="O671" s="71">
        <f t="shared" si="92"/>
        <v>1</v>
      </c>
      <c r="P671" s="71">
        <f t="shared" si="93"/>
        <v>0</v>
      </c>
      <c r="Q671" s="71">
        <f t="shared" si="94"/>
        <v>0</v>
      </c>
      <c r="R671" s="71">
        <f t="shared" si="95"/>
        <v>0</v>
      </c>
      <c r="S671" s="71">
        <f t="shared" si="96"/>
        <v>0</v>
      </c>
      <c r="T671" s="71">
        <f t="shared" si="97"/>
        <v>0</v>
      </c>
      <c r="U671" s="71">
        <f>IF(AND(N671=1,V671=1),IF(COUNTIFS(AKTIVITAS!$B$2:$B$3052,B671,AKTIVITAS!$E$2:$E$3052,H671)&gt;0,1,0),0)</f>
        <v>0</v>
      </c>
      <c r="V671" s="71">
        <f>IFERROR(IF(AND(H671&gt;=INDEX(PEMAGANG!$J$3:$J$36,MATCH(B671,PEMAGANG!$C$3:$C$36,0)),H671&lt;=INDEX(PEMAGANG!$K$3:$K$36,MATCH(B671,PEMAGANG!$C$3:$C$36,0))),1,0),0)</f>
        <v>1</v>
      </c>
      <c r="W671" s="71">
        <f t="shared" si="98"/>
        <v>0</v>
      </c>
    </row>
    <row r="672" spans="1:23" x14ac:dyDescent="0.2">
      <c r="A672" s="71" t="s">
        <v>243</v>
      </c>
      <c r="B672" s="71" t="s">
        <v>244</v>
      </c>
      <c r="C672" s="71" t="s">
        <v>187</v>
      </c>
      <c r="D672" s="71" t="s">
        <v>245</v>
      </c>
      <c r="E672" s="71" t="s">
        <v>43</v>
      </c>
      <c r="F672" s="71" t="s">
        <v>298</v>
      </c>
      <c r="G672" s="88">
        <v>46280.295057870397</v>
      </c>
      <c r="H672" s="89">
        <v>46280</v>
      </c>
      <c r="I672" s="71" t="s">
        <v>411</v>
      </c>
      <c r="J672" s="71">
        <v>-26</v>
      </c>
      <c r="K672" s="71" t="s">
        <v>302</v>
      </c>
      <c r="L672" s="71">
        <f t="shared" si="90"/>
        <v>9</v>
      </c>
      <c r="M672" s="71" t="str">
        <f>IFERROR(INDEX(KALENDER!$D$3:$D$132,MATCH(H672,KALENDER!$A$3:$A$132,0)),"Di luar periode")</f>
        <v>Hari Kerja</v>
      </c>
      <c r="N672" s="71">
        <f t="shared" si="91"/>
        <v>1</v>
      </c>
      <c r="O672" s="71">
        <f t="shared" si="92"/>
        <v>1</v>
      </c>
      <c r="P672" s="71">
        <f t="shared" si="93"/>
        <v>1</v>
      </c>
      <c r="Q672" s="71">
        <f t="shared" si="94"/>
        <v>0</v>
      </c>
      <c r="R672" s="71">
        <f t="shared" si="95"/>
        <v>0</v>
      </c>
      <c r="S672" s="71">
        <f t="shared" si="96"/>
        <v>0</v>
      </c>
      <c r="T672" s="71">
        <f t="shared" si="97"/>
        <v>0</v>
      </c>
      <c r="U672" s="71">
        <f>IF(AND(N672=1,V672=1),IF(COUNTIFS(AKTIVITAS!$B$2:$B$3052,B672,AKTIVITAS!$E$2:$E$3052,H672)&gt;0,1,0),0)</f>
        <v>1</v>
      </c>
      <c r="V672" s="71">
        <f>IFERROR(IF(AND(H672&gt;=INDEX(PEMAGANG!$J$3:$J$36,MATCH(B672,PEMAGANG!$C$3:$C$36,0)),H672&lt;=INDEX(PEMAGANG!$K$3:$K$36,MATCH(B672,PEMAGANG!$C$3:$C$36,0))),1,0),0)</f>
        <v>1</v>
      </c>
      <c r="W672" s="71">
        <f t="shared" si="98"/>
        <v>1</v>
      </c>
    </row>
    <row r="673" spans="1:23" x14ac:dyDescent="0.2">
      <c r="A673" s="71" t="s">
        <v>243</v>
      </c>
      <c r="B673" s="71" t="s">
        <v>244</v>
      </c>
      <c r="C673" s="71" t="s">
        <v>187</v>
      </c>
      <c r="D673" s="71" t="s">
        <v>245</v>
      </c>
      <c r="E673" s="71" t="s">
        <v>43</v>
      </c>
      <c r="F673" s="71" t="s">
        <v>300</v>
      </c>
      <c r="G673" s="88">
        <v>46280.689490740697</v>
      </c>
      <c r="H673" s="89">
        <v>46280</v>
      </c>
      <c r="I673" s="71" t="s">
        <v>306</v>
      </c>
      <c r="J673" s="71">
        <v>0</v>
      </c>
      <c r="K673" s="71" t="s">
        <v>302</v>
      </c>
      <c r="L673" s="71">
        <f t="shared" si="90"/>
        <v>9</v>
      </c>
      <c r="M673" s="71" t="str">
        <f>IFERROR(INDEX(KALENDER!$D$3:$D$132,MATCH(H673,KALENDER!$A$3:$A$132,0)),"Di luar periode")</f>
        <v>Hari Kerja</v>
      </c>
      <c r="N673" s="71">
        <f t="shared" si="91"/>
        <v>0</v>
      </c>
      <c r="O673" s="71">
        <f t="shared" si="92"/>
        <v>1</v>
      </c>
      <c r="P673" s="71">
        <f t="shared" si="93"/>
        <v>0</v>
      </c>
      <c r="Q673" s="71">
        <f t="shared" si="94"/>
        <v>0</v>
      </c>
      <c r="R673" s="71">
        <f t="shared" si="95"/>
        <v>0</v>
      </c>
      <c r="S673" s="71">
        <f t="shared" si="96"/>
        <v>0</v>
      </c>
      <c r="T673" s="71">
        <f t="shared" si="97"/>
        <v>0</v>
      </c>
      <c r="U673" s="71">
        <f>IF(AND(N673=1,V673=1),IF(COUNTIFS(AKTIVITAS!$B$2:$B$3052,B673,AKTIVITAS!$E$2:$E$3052,H673)&gt;0,1,0),0)</f>
        <v>0</v>
      </c>
      <c r="V673" s="71">
        <f>IFERROR(IF(AND(H673&gt;=INDEX(PEMAGANG!$J$3:$J$36,MATCH(B673,PEMAGANG!$C$3:$C$36,0)),H673&lt;=INDEX(PEMAGANG!$K$3:$K$36,MATCH(B673,PEMAGANG!$C$3:$C$36,0))),1,0),0)</f>
        <v>1</v>
      </c>
      <c r="W673" s="71">
        <f t="shared" si="98"/>
        <v>0</v>
      </c>
    </row>
    <row r="674" spans="1:23" x14ac:dyDescent="0.2">
      <c r="A674" s="71" t="s">
        <v>243</v>
      </c>
      <c r="B674" s="71" t="s">
        <v>244</v>
      </c>
      <c r="C674" s="71" t="s">
        <v>187</v>
      </c>
      <c r="D674" s="71" t="s">
        <v>245</v>
      </c>
      <c r="E674" s="71" t="s">
        <v>43</v>
      </c>
      <c r="F674" s="71" t="s">
        <v>298</v>
      </c>
      <c r="G674" s="88">
        <v>46281.305462962999</v>
      </c>
      <c r="H674" s="89">
        <v>46281</v>
      </c>
      <c r="I674" s="71" t="s">
        <v>321</v>
      </c>
      <c r="J674" s="71">
        <v>-11</v>
      </c>
      <c r="K674" s="71" t="s">
        <v>302</v>
      </c>
      <c r="L674" s="71">
        <f t="shared" si="90"/>
        <v>9</v>
      </c>
      <c r="M674" s="71" t="str">
        <f>IFERROR(INDEX(KALENDER!$D$3:$D$132,MATCH(H674,KALENDER!$A$3:$A$132,0)),"Di luar periode")</f>
        <v>Hari Kerja</v>
      </c>
      <c r="N674" s="71">
        <f t="shared" si="91"/>
        <v>1</v>
      </c>
      <c r="O674" s="71">
        <f t="shared" si="92"/>
        <v>1</v>
      </c>
      <c r="P674" s="71">
        <f t="shared" si="93"/>
        <v>1</v>
      </c>
      <c r="Q674" s="71">
        <f t="shared" si="94"/>
        <v>0</v>
      </c>
      <c r="R674" s="71">
        <f t="shared" si="95"/>
        <v>0</v>
      </c>
      <c r="S674" s="71">
        <f t="shared" si="96"/>
        <v>0</v>
      </c>
      <c r="T674" s="71">
        <f t="shared" si="97"/>
        <v>0</v>
      </c>
      <c r="U674" s="71">
        <f>IF(AND(N674=1,V674=1),IF(COUNTIFS(AKTIVITAS!$B$2:$B$3052,B674,AKTIVITAS!$E$2:$E$3052,H674)&gt;0,1,0),0)</f>
        <v>1</v>
      </c>
      <c r="V674" s="71">
        <f>IFERROR(IF(AND(H674&gt;=INDEX(PEMAGANG!$J$3:$J$36,MATCH(B674,PEMAGANG!$C$3:$C$36,0)),H674&lt;=INDEX(PEMAGANG!$K$3:$K$36,MATCH(B674,PEMAGANG!$C$3:$C$36,0))),1,0),0)</f>
        <v>1</v>
      </c>
      <c r="W674" s="71">
        <f t="shared" si="98"/>
        <v>1</v>
      </c>
    </row>
    <row r="675" spans="1:23" x14ac:dyDescent="0.2">
      <c r="A675" s="71" t="s">
        <v>243</v>
      </c>
      <c r="B675" s="71" t="s">
        <v>244</v>
      </c>
      <c r="C675" s="71" t="s">
        <v>187</v>
      </c>
      <c r="D675" s="71" t="s">
        <v>245</v>
      </c>
      <c r="E675" s="71" t="s">
        <v>43</v>
      </c>
      <c r="F675" s="71" t="s">
        <v>300</v>
      </c>
      <c r="G675" s="88">
        <v>46281.698229166701</v>
      </c>
      <c r="H675" s="89">
        <v>46281</v>
      </c>
      <c r="I675" s="71" t="s">
        <v>318</v>
      </c>
      <c r="J675" s="71">
        <v>0</v>
      </c>
      <c r="K675" s="71" t="s">
        <v>302</v>
      </c>
      <c r="L675" s="71">
        <f t="shared" si="90"/>
        <v>9</v>
      </c>
      <c r="M675" s="71" t="str">
        <f>IFERROR(INDEX(KALENDER!$D$3:$D$132,MATCH(H675,KALENDER!$A$3:$A$132,0)),"Di luar periode")</f>
        <v>Hari Kerja</v>
      </c>
      <c r="N675" s="71">
        <f t="shared" si="91"/>
        <v>0</v>
      </c>
      <c r="O675" s="71">
        <f t="shared" si="92"/>
        <v>1</v>
      </c>
      <c r="P675" s="71">
        <f t="shared" si="93"/>
        <v>0</v>
      </c>
      <c r="Q675" s="71">
        <f t="shared" si="94"/>
        <v>0</v>
      </c>
      <c r="R675" s="71">
        <f t="shared" si="95"/>
        <v>0</v>
      </c>
      <c r="S675" s="71">
        <f t="shared" si="96"/>
        <v>0</v>
      </c>
      <c r="T675" s="71">
        <f t="shared" si="97"/>
        <v>0</v>
      </c>
      <c r="U675" s="71">
        <f>IF(AND(N675=1,V675=1),IF(COUNTIFS(AKTIVITAS!$B$2:$B$3052,B675,AKTIVITAS!$E$2:$E$3052,H675)&gt;0,1,0),0)</f>
        <v>0</v>
      </c>
      <c r="V675" s="71">
        <f>IFERROR(IF(AND(H675&gt;=INDEX(PEMAGANG!$J$3:$J$36,MATCH(B675,PEMAGANG!$C$3:$C$36,0)),H675&lt;=INDEX(PEMAGANG!$K$3:$K$36,MATCH(B675,PEMAGANG!$C$3:$C$36,0))),1,0),0)</f>
        <v>1</v>
      </c>
      <c r="W675" s="71">
        <f t="shared" si="98"/>
        <v>0</v>
      </c>
    </row>
    <row r="676" spans="1:23" x14ac:dyDescent="0.2">
      <c r="A676" s="71" t="s">
        <v>243</v>
      </c>
      <c r="B676" s="71" t="s">
        <v>244</v>
      </c>
      <c r="C676" s="71" t="s">
        <v>187</v>
      </c>
      <c r="D676" s="71" t="s">
        <v>245</v>
      </c>
      <c r="E676" s="71" t="s">
        <v>43</v>
      </c>
      <c r="F676" s="71" t="s">
        <v>298</v>
      </c>
      <c r="G676" s="88">
        <v>46282.308993055602</v>
      </c>
      <c r="H676" s="89">
        <v>46282</v>
      </c>
      <c r="I676" s="71" t="s">
        <v>303</v>
      </c>
      <c r="J676" s="71">
        <v>-5.9999999999999796</v>
      </c>
      <c r="K676" s="71" t="s">
        <v>302</v>
      </c>
      <c r="L676" s="71">
        <f t="shared" si="90"/>
        <v>9</v>
      </c>
      <c r="M676" s="71" t="str">
        <f>IFERROR(INDEX(KALENDER!$D$3:$D$132,MATCH(H676,KALENDER!$A$3:$A$132,0)),"Di luar periode")</f>
        <v>Hari Kerja</v>
      </c>
      <c r="N676" s="71">
        <f t="shared" si="91"/>
        <v>1</v>
      </c>
      <c r="O676" s="71">
        <f t="shared" si="92"/>
        <v>1</v>
      </c>
      <c r="P676" s="71">
        <f t="shared" si="93"/>
        <v>1</v>
      </c>
      <c r="Q676" s="71">
        <f t="shared" si="94"/>
        <v>0</v>
      </c>
      <c r="R676" s="71">
        <f t="shared" si="95"/>
        <v>0</v>
      </c>
      <c r="S676" s="71">
        <f t="shared" si="96"/>
        <v>0</v>
      </c>
      <c r="T676" s="71">
        <f t="shared" si="97"/>
        <v>0</v>
      </c>
      <c r="U676" s="71">
        <f>IF(AND(N676=1,V676=1),IF(COUNTIFS(AKTIVITAS!$B$2:$B$3052,B676,AKTIVITAS!$E$2:$E$3052,H676)&gt;0,1,0),0)</f>
        <v>1</v>
      </c>
      <c r="V676" s="71">
        <f>IFERROR(IF(AND(H676&gt;=INDEX(PEMAGANG!$J$3:$J$36,MATCH(B676,PEMAGANG!$C$3:$C$36,0)),H676&lt;=INDEX(PEMAGANG!$K$3:$K$36,MATCH(B676,PEMAGANG!$C$3:$C$36,0))),1,0),0)</f>
        <v>1</v>
      </c>
      <c r="W676" s="71">
        <f t="shared" si="98"/>
        <v>1</v>
      </c>
    </row>
    <row r="677" spans="1:23" x14ac:dyDescent="0.2">
      <c r="A677" s="71" t="s">
        <v>243</v>
      </c>
      <c r="B677" s="71" t="s">
        <v>244</v>
      </c>
      <c r="C677" s="71" t="s">
        <v>187</v>
      </c>
      <c r="D677" s="71" t="s">
        <v>245</v>
      </c>
      <c r="E677" s="71" t="s">
        <v>43</v>
      </c>
      <c r="F677" s="71" t="s">
        <v>300</v>
      </c>
      <c r="G677" s="88">
        <v>46282.689004629603</v>
      </c>
      <c r="H677" s="89">
        <v>46282</v>
      </c>
      <c r="I677" s="71" t="s">
        <v>306</v>
      </c>
      <c r="J677" s="71">
        <v>0</v>
      </c>
      <c r="K677" s="71" t="s">
        <v>302</v>
      </c>
      <c r="L677" s="71">
        <f t="shared" si="90"/>
        <v>9</v>
      </c>
      <c r="M677" s="71" t="str">
        <f>IFERROR(INDEX(KALENDER!$D$3:$D$132,MATCH(H677,KALENDER!$A$3:$A$132,0)),"Di luar periode")</f>
        <v>Hari Kerja</v>
      </c>
      <c r="N677" s="71">
        <f t="shared" si="91"/>
        <v>0</v>
      </c>
      <c r="O677" s="71">
        <f t="shared" si="92"/>
        <v>1</v>
      </c>
      <c r="P677" s="71">
        <f t="shared" si="93"/>
        <v>0</v>
      </c>
      <c r="Q677" s="71">
        <f t="shared" si="94"/>
        <v>0</v>
      </c>
      <c r="R677" s="71">
        <f t="shared" si="95"/>
        <v>0</v>
      </c>
      <c r="S677" s="71">
        <f t="shared" si="96"/>
        <v>0</v>
      </c>
      <c r="T677" s="71">
        <f t="shared" si="97"/>
        <v>0</v>
      </c>
      <c r="U677" s="71">
        <f>IF(AND(N677=1,V677=1),IF(COUNTIFS(AKTIVITAS!$B$2:$B$3052,B677,AKTIVITAS!$E$2:$E$3052,H677)&gt;0,1,0),0)</f>
        <v>0</v>
      </c>
      <c r="V677" s="71">
        <f>IFERROR(IF(AND(H677&gt;=INDEX(PEMAGANG!$J$3:$J$36,MATCH(B677,PEMAGANG!$C$3:$C$36,0)),H677&lt;=INDEX(PEMAGANG!$K$3:$K$36,MATCH(B677,PEMAGANG!$C$3:$C$36,0))),1,0),0)</f>
        <v>1</v>
      </c>
      <c r="W677" s="71">
        <f t="shared" si="98"/>
        <v>0</v>
      </c>
    </row>
    <row r="678" spans="1:23" x14ac:dyDescent="0.2">
      <c r="A678" s="71" t="s">
        <v>243</v>
      </c>
      <c r="B678" s="71" t="s">
        <v>244</v>
      </c>
      <c r="C678" s="71" t="s">
        <v>187</v>
      </c>
      <c r="D678" s="71" t="s">
        <v>245</v>
      </c>
      <c r="E678" s="71" t="s">
        <v>43</v>
      </c>
      <c r="F678" s="71" t="s">
        <v>298</v>
      </c>
      <c r="G678" s="88">
        <v>46283.307141203702</v>
      </c>
      <c r="H678" s="89">
        <v>46283</v>
      </c>
      <c r="I678" s="71" t="s">
        <v>313</v>
      </c>
      <c r="J678" s="71">
        <v>-8.0000000000000497</v>
      </c>
      <c r="K678" s="71" t="s">
        <v>302</v>
      </c>
      <c r="L678" s="71">
        <f t="shared" si="90"/>
        <v>9</v>
      </c>
      <c r="M678" s="71" t="str">
        <f>IFERROR(INDEX(KALENDER!$D$3:$D$132,MATCH(H678,KALENDER!$A$3:$A$132,0)),"Di luar periode")</f>
        <v>Hari Kerja</v>
      </c>
      <c r="N678" s="71">
        <f t="shared" si="91"/>
        <v>1</v>
      </c>
      <c r="O678" s="71">
        <f t="shared" si="92"/>
        <v>1</v>
      </c>
      <c r="P678" s="71">
        <f t="shared" si="93"/>
        <v>1</v>
      </c>
      <c r="Q678" s="71">
        <f t="shared" si="94"/>
        <v>0</v>
      </c>
      <c r="R678" s="71">
        <f t="shared" si="95"/>
        <v>0</v>
      </c>
      <c r="S678" s="71">
        <f t="shared" si="96"/>
        <v>0</v>
      </c>
      <c r="T678" s="71">
        <f t="shared" si="97"/>
        <v>0</v>
      </c>
      <c r="U678" s="71">
        <f>IF(AND(N678=1,V678=1),IF(COUNTIFS(AKTIVITAS!$B$2:$B$3052,B678,AKTIVITAS!$E$2:$E$3052,H678)&gt;0,1,0),0)</f>
        <v>1</v>
      </c>
      <c r="V678" s="71">
        <f>IFERROR(IF(AND(H678&gt;=INDEX(PEMAGANG!$J$3:$J$36,MATCH(B678,PEMAGANG!$C$3:$C$36,0)),H678&lt;=INDEX(PEMAGANG!$K$3:$K$36,MATCH(B678,PEMAGANG!$C$3:$C$36,0))),1,0),0)</f>
        <v>1</v>
      </c>
      <c r="W678" s="71">
        <f t="shared" si="98"/>
        <v>1</v>
      </c>
    </row>
    <row r="679" spans="1:23" x14ac:dyDescent="0.2">
      <c r="A679" s="71" t="s">
        <v>243</v>
      </c>
      <c r="B679" s="71" t="s">
        <v>244</v>
      </c>
      <c r="C679" s="71" t="s">
        <v>187</v>
      </c>
      <c r="D679" s="71" t="s">
        <v>245</v>
      </c>
      <c r="E679" s="71" t="s">
        <v>43</v>
      </c>
      <c r="F679" s="71" t="s">
        <v>300</v>
      </c>
      <c r="G679" s="88">
        <v>46283.717974537001</v>
      </c>
      <c r="H679" s="89">
        <v>46283</v>
      </c>
      <c r="I679" s="71" t="s">
        <v>369</v>
      </c>
      <c r="J679" s="71">
        <v>0</v>
      </c>
      <c r="K679" s="71" t="s">
        <v>302</v>
      </c>
      <c r="L679" s="71">
        <f t="shared" si="90"/>
        <v>9</v>
      </c>
      <c r="M679" s="71" t="str">
        <f>IFERROR(INDEX(KALENDER!$D$3:$D$132,MATCH(H679,KALENDER!$A$3:$A$132,0)),"Di luar periode")</f>
        <v>Hari Kerja</v>
      </c>
      <c r="N679" s="71">
        <f t="shared" si="91"/>
        <v>0</v>
      </c>
      <c r="O679" s="71">
        <f t="shared" si="92"/>
        <v>1</v>
      </c>
      <c r="P679" s="71">
        <f t="shared" si="93"/>
        <v>0</v>
      </c>
      <c r="Q679" s="71">
        <f t="shared" si="94"/>
        <v>0</v>
      </c>
      <c r="R679" s="71">
        <f t="shared" si="95"/>
        <v>0</v>
      </c>
      <c r="S679" s="71">
        <f t="shared" si="96"/>
        <v>0</v>
      </c>
      <c r="T679" s="71">
        <f t="shared" si="97"/>
        <v>0</v>
      </c>
      <c r="U679" s="71">
        <f>IF(AND(N679=1,V679=1),IF(COUNTIFS(AKTIVITAS!$B$2:$B$3052,B679,AKTIVITAS!$E$2:$E$3052,H679)&gt;0,1,0),0)</f>
        <v>0</v>
      </c>
      <c r="V679" s="71">
        <f>IFERROR(IF(AND(H679&gt;=INDEX(PEMAGANG!$J$3:$J$36,MATCH(B679,PEMAGANG!$C$3:$C$36,0)),H679&lt;=INDEX(PEMAGANG!$K$3:$K$36,MATCH(B679,PEMAGANG!$C$3:$C$36,0))),1,0),0)</f>
        <v>1</v>
      </c>
      <c r="W679" s="71">
        <f t="shared" si="98"/>
        <v>0</v>
      </c>
    </row>
    <row r="680" spans="1:23" x14ac:dyDescent="0.2">
      <c r="A680" s="71" t="s">
        <v>243</v>
      </c>
      <c r="B680" s="71" t="s">
        <v>244</v>
      </c>
      <c r="C680" s="71" t="s">
        <v>187</v>
      </c>
      <c r="D680" s="71" t="s">
        <v>245</v>
      </c>
      <c r="E680" s="71" t="s">
        <v>43</v>
      </c>
      <c r="F680" s="71" t="s">
        <v>298</v>
      </c>
      <c r="G680" s="88">
        <v>46286.303668981498</v>
      </c>
      <c r="H680" s="89">
        <v>46286</v>
      </c>
      <c r="I680" s="71" t="s">
        <v>331</v>
      </c>
      <c r="J680" s="71">
        <v>-13</v>
      </c>
      <c r="K680" s="71" t="s">
        <v>302</v>
      </c>
      <c r="L680" s="71">
        <f t="shared" si="90"/>
        <v>9</v>
      </c>
      <c r="M680" s="71" t="str">
        <f>IFERROR(INDEX(KALENDER!$D$3:$D$132,MATCH(H680,KALENDER!$A$3:$A$132,0)),"Di luar periode")</f>
        <v>Hari Kerja</v>
      </c>
      <c r="N680" s="71">
        <f t="shared" si="91"/>
        <v>1</v>
      </c>
      <c r="O680" s="71">
        <f t="shared" si="92"/>
        <v>1</v>
      </c>
      <c r="P680" s="71">
        <f t="shared" si="93"/>
        <v>1</v>
      </c>
      <c r="Q680" s="71">
        <f t="shared" si="94"/>
        <v>0</v>
      </c>
      <c r="R680" s="71">
        <f t="shared" si="95"/>
        <v>0</v>
      </c>
      <c r="S680" s="71">
        <f t="shared" si="96"/>
        <v>0</v>
      </c>
      <c r="T680" s="71">
        <f t="shared" si="97"/>
        <v>0</v>
      </c>
      <c r="U680" s="71">
        <f>IF(AND(N680=1,V680=1),IF(COUNTIFS(AKTIVITAS!$B$2:$B$3052,B680,AKTIVITAS!$E$2:$E$3052,H680)&gt;0,1,0),0)</f>
        <v>1</v>
      </c>
      <c r="V680" s="71">
        <f>IFERROR(IF(AND(H680&gt;=INDEX(PEMAGANG!$J$3:$J$36,MATCH(B680,PEMAGANG!$C$3:$C$36,0)),H680&lt;=INDEX(PEMAGANG!$K$3:$K$36,MATCH(B680,PEMAGANG!$C$3:$C$36,0))),1,0),0)</f>
        <v>1</v>
      </c>
      <c r="W680" s="71">
        <f t="shared" si="98"/>
        <v>1</v>
      </c>
    </row>
    <row r="681" spans="1:23" x14ac:dyDescent="0.2">
      <c r="A681" s="71" t="s">
        <v>243</v>
      </c>
      <c r="B681" s="71" t="s">
        <v>244</v>
      </c>
      <c r="C681" s="71" t="s">
        <v>187</v>
      </c>
      <c r="D681" s="71" t="s">
        <v>245</v>
      </c>
      <c r="E681" s="71" t="s">
        <v>43</v>
      </c>
      <c r="F681" s="71" t="s">
        <v>300</v>
      </c>
      <c r="G681" s="88">
        <v>46286.721377314803</v>
      </c>
      <c r="H681" s="89">
        <v>46286</v>
      </c>
      <c r="I681" s="71" t="s">
        <v>473</v>
      </c>
      <c r="J681" s="71">
        <v>0</v>
      </c>
      <c r="K681" s="71" t="s">
        <v>302</v>
      </c>
      <c r="L681" s="71">
        <f t="shared" si="90"/>
        <v>9</v>
      </c>
      <c r="M681" s="71" t="str">
        <f>IFERROR(INDEX(KALENDER!$D$3:$D$132,MATCH(H681,KALENDER!$A$3:$A$132,0)),"Di luar periode")</f>
        <v>Hari Kerja</v>
      </c>
      <c r="N681" s="71">
        <f t="shared" si="91"/>
        <v>0</v>
      </c>
      <c r="O681" s="71">
        <f t="shared" si="92"/>
        <v>1</v>
      </c>
      <c r="P681" s="71">
        <f t="shared" si="93"/>
        <v>0</v>
      </c>
      <c r="Q681" s="71">
        <f t="shared" si="94"/>
        <v>0</v>
      </c>
      <c r="R681" s="71">
        <f t="shared" si="95"/>
        <v>0</v>
      </c>
      <c r="S681" s="71">
        <f t="shared" si="96"/>
        <v>0</v>
      </c>
      <c r="T681" s="71">
        <f t="shared" si="97"/>
        <v>0</v>
      </c>
      <c r="U681" s="71">
        <f>IF(AND(N681=1,V681=1),IF(COUNTIFS(AKTIVITAS!$B$2:$B$3052,B681,AKTIVITAS!$E$2:$E$3052,H681)&gt;0,1,0),0)</f>
        <v>0</v>
      </c>
      <c r="V681" s="71">
        <f>IFERROR(IF(AND(H681&gt;=INDEX(PEMAGANG!$J$3:$J$36,MATCH(B681,PEMAGANG!$C$3:$C$36,0)),H681&lt;=INDEX(PEMAGANG!$K$3:$K$36,MATCH(B681,PEMAGANG!$C$3:$C$36,0))),1,0),0)</f>
        <v>1</v>
      </c>
      <c r="W681" s="71">
        <f t="shared" si="98"/>
        <v>0</v>
      </c>
    </row>
    <row r="682" spans="1:23" x14ac:dyDescent="0.2">
      <c r="A682" s="71" t="s">
        <v>243</v>
      </c>
      <c r="B682" s="71" t="s">
        <v>244</v>
      </c>
      <c r="C682" s="71" t="s">
        <v>187</v>
      </c>
      <c r="D682" s="71" t="s">
        <v>245</v>
      </c>
      <c r="E682" s="71" t="s">
        <v>43</v>
      </c>
      <c r="F682" s="71" t="s">
        <v>298</v>
      </c>
      <c r="G682" s="88">
        <v>46287.304050925901</v>
      </c>
      <c r="H682" s="89">
        <v>46287</v>
      </c>
      <c r="I682" s="71" t="s">
        <v>331</v>
      </c>
      <c r="J682" s="71">
        <v>-13</v>
      </c>
      <c r="K682" s="71" t="s">
        <v>302</v>
      </c>
      <c r="L682" s="71">
        <f t="shared" si="90"/>
        <v>9</v>
      </c>
      <c r="M682" s="71" t="str">
        <f>IFERROR(INDEX(KALENDER!$D$3:$D$132,MATCH(H682,KALENDER!$A$3:$A$132,0)),"Di luar periode")</f>
        <v>Hari Kerja</v>
      </c>
      <c r="N682" s="71">
        <f t="shared" si="91"/>
        <v>1</v>
      </c>
      <c r="O682" s="71">
        <f t="shared" si="92"/>
        <v>1</v>
      </c>
      <c r="P682" s="71">
        <f t="shared" si="93"/>
        <v>1</v>
      </c>
      <c r="Q682" s="71">
        <f t="shared" si="94"/>
        <v>0</v>
      </c>
      <c r="R682" s="71">
        <f t="shared" si="95"/>
        <v>0</v>
      </c>
      <c r="S682" s="71">
        <f t="shared" si="96"/>
        <v>0</v>
      </c>
      <c r="T682" s="71">
        <f t="shared" si="97"/>
        <v>0</v>
      </c>
      <c r="U682" s="71">
        <f>IF(AND(N682=1,V682=1),IF(COUNTIFS(AKTIVITAS!$B$2:$B$3052,B682,AKTIVITAS!$E$2:$E$3052,H682)&gt;0,1,0),0)</f>
        <v>1</v>
      </c>
      <c r="V682" s="71">
        <f>IFERROR(IF(AND(H682&gt;=INDEX(PEMAGANG!$J$3:$J$36,MATCH(B682,PEMAGANG!$C$3:$C$36,0)),H682&lt;=INDEX(PEMAGANG!$K$3:$K$36,MATCH(B682,PEMAGANG!$C$3:$C$36,0))),1,0),0)</f>
        <v>1</v>
      </c>
      <c r="W682" s="71">
        <f t="shared" si="98"/>
        <v>1</v>
      </c>
    </row>
    <row r="683" spans="1:23" x14ac:dyDescent="0.2">
      <c r="A683" s="71" t="s">
        <v>243</v>
      </c>
      <c r="B683" s="71" t="s">
        <v>244</v>
      </c>
      <c r="C683" s="71" t="s">
        <v>187</v>
      </c>
      <c r="D683" s="71" t="s">
        <v>245</v>
      </c>
      <c r="E683" s="71" t="s">
        <v>43</v>
      </c>
      <c r="F683" s="71" t="s">
        <v>300</v>
      </c>
      <c r="G683" s="88">
        <v>46287.6896180556</v>
      </c>
      <c r="H683" s="89">
        <v>46287</v>
      </c>
      <c r="I683" s="71" t="s">
        <v>316</v>
      </c>
      <c r="J683" s="71">
        <v>0</v>
      </c>
      <c r="K683" s="71" t="s">
        <v>302</v>
      </c>
      <c r="L683" s="71">
        <f t="shared" si="90"/>
        <v>9</v>
      </c>
      <c r="M683" s="71" t="str">
        <f>IFERROR(INDEX(KALENDER!$D$3:$D$132,MATCH(H683,KALENDER!$A$3:$A$132,0)),"Di luar periode")</f>
        <v>Hari Kerja</v>
      </c>
      <c r="N683" s="71">
        <f t="shared" si="91"/>
        <v>0</v>
      </c>
      <c r="O683" s="71">
        <f t="shared" si="92"/>
        <v>1</v>
      </c>
      <c r="P683" s="71">
        <f t="shared" si="93"/>
        <v>0</v>
      </c>
      <c r="Q683" s="71">
        <f t="shared" si="94"/>
        <v>0</v>
      </c>
      <c r="R683" s="71">
        <f t="shared" si="95"/>
        <v>0</v>
      </c>
      <c r="S683" s="71">
        <f t="shared" si="96"/>
        <v>0</v>
      </c>
      <c r="T683" s="71">
        <f t="shared" si="97"/>
        <v>0</v>
      </c>
      <c r="U683" s="71">
        <f>IF(AND(N683=1,V683=1),IF(COUNTIFS(AKTIVITAS!$B$2:$B$3052,B683,AKTIVITAS!$E$2:$E$3052,H683)&gt;0,1,0),0)</f>
        <v>0</v>
      </c>
      <c r="V683" s="71">
        <f>IFERROR(IF(AND(H683&gt;=INDEX(PEMAGANG!$J$3:$J$36,MATCH(B683,PEMAGANG!$C$3:$C$36,0)),H683&lt;=INDEX(PEMAGANG!$K$3:$K$36,MATCH(B683,PEMAGANG!$C$3:$C$36,0))),1,0),0)</f>
        <v>1</v>
      </c>
      <c r="W683" s="71">
        <f t="shared" si="98"/>
        <v>0</v>
      </c>
    </row>
    <row r="684" spans="1:23" x14ac:dyDescent="0.2">
      <c r="A684" s="71" t="s">
        <v>243</v>
      </c>
      <c r="B684" s="71" t="s">
        <v>244</v>
      </c>
      <c r="C684" s="71" t="s">
        <v>187</v>
      </c>
      <c r="D684" s="71" t="s">
        <v>245</v>
      </c>
      <c r="E684" s="71" t="s">
        <v>43</v>
      </c>
      <c r="F684" s="71" t="s">
        <v>298</v>
      </c>
      <c r="G684" s="88">
        <v>46288.305509259299</v>
      </c>
      <c r="H684" s="89">
        <v>46288</v>
      </c>
      <c r="I684" s="71" t="s">
        <v>321</v>
      </c>
      <c r="J684" s="71">
        <v>-11</v>
      </c>
      <c r="K684" s="71" t="s">
        <v>302</v>
      </c>
      <c r="L684" s="71">
        <f t="shared" si="90"/>
        <v>9</v>
      </c>
      <c r="M684" s="71" t="str">
        <f>IFERROR(INDEX(KALENDER!$D$3:$D$132,MATCH(H684,KALENDER!$A$3:$A$132,0)),"Di luar periode")</f>
        <v>Hari Kerja</v>
      </c>
      <c r="N684" s="71">
        <f t="shared" si="91"/>
        <v>1</v>
      </c>
      <c r="O684" s="71">
        <f t="shared" si="92"/>
        <v>1</v>
      </c>
      <c r="P684" s="71">
        <f t="shared" si="93"/>
        <v>1</v>
      </c>
      <c r="Q684" s="71">
        <f t="shared" si="94"/>
        <v>0</v>
      </c>
      <c r="R684" s="71">
        <f t="shared" si="95"/>
        <v>0</v>
      </c>
      <c r="S684" s="71">
        <f t="shared" si="96"/>
        <v>0</v>
      </c>
      <c r="T684" s="71">
        <f t="shared" si="97"/>
        <v>0</v>
      </c>
      <c r="U684" s="71">
        <f>IF(AND(N684=1,V684=1),IF(COUNTIFS(AKTIVITAS!$B$2:$B$3052,B684,AKTIVITAS!$E$2:$E$3052,H684)&gt;0,1,0),0)</f>
        <v>1</v>
      </c>
      <c r="V684" s="71">
        <f>IFERROR(IF(AND(H684&gt;=INDEX(PEMAGANG!$J$3:$J$36,MATCH(B684,PEMAGANG!$C$3:$C$36,0)),H684&lt;=INDEX(PEMAGANG!$K$3:$K$36,MATCH(B684,PEMAGANG!$C$3:$C$36,0))),1,0),0)</f>
        <v>1</v>
      </c>
      <c r="W684" s="71">
        <f t="shared" si="98"/>
        <v>1</v>
      </c>
    </row>
    <row r="685" spans="1:23" x14ac:dyDescent="0.2">
      <c r="A685" s="71" t="s">
        <v>243</v>
      </c>
      <c r="B685" s="71" t="s">
        <v>244</v>
      </c>
      <c r="C685" s="71" t="s">
        <v>187</v>
      </c>
      <c r="D685" s="71" t="s">
        <v>245</v>
      </c>
      <c r="E685" s="71" t="s">
        <v>43</v>
      </c>
      <c r="F685" s="71" t="s">
        <v>300</v>
      </c>
      <c r="G685" s="88">
        <v>46288.689108796301</v>
      </c>
      <c r="H685" s="89">
        <v>46288</v>
      </c>
      <c r="I685" s="71" t="s">
        <v>306</v>
      </c>
      <c r="J685" s="71">
        <v>0</v>
      </c>
      <c r="K685" s="71" t="s">
        <v>302</v>
      </c>
      <c r="L685" s="71">
        <f t="shared" si="90"/>
        <v>9</v>
      </c>
      <c r="M685" s="71" t="str">
        <f>IFERROR(INDEX(KALENDER!$D$3:$D$132,MATCH(H685,KALENDER!$A$3:$A$132,0)),"Di luar periode")</f>
        <v>Hari Kerja</v>
      </c>
      <c r="N685" s="71">
        <f t="shared" si="91"/>
        <v>0</v>
      </c>
      <c r="O685" s="71">
        <f t="shared" si="92"/>
        <v>1</v>
      </c>
      <c r="P685" s="71">
        <f t="shared" si="93"/>
        <v>0</v>
      </c>
      <c r="Q685" s="71">
        <f t="shared" si="94"/>
        <v>0</v>
      </c>
      <c r="R685" s="71">
        <f t="shared" si="95"/>
        <v>0</v>
      </c>
      <c r="S685" s="71">
        <f t="shared" si="96"/>
        <v>0</v>
      </c>
      <c r="T685" s="71">
        <f t="shared" si="97"/>
        <v>0</v>
      </c>
      <c r="U685" s="71">
        <f>IF(AND(N685=1,V685=1),IF(COUNTIFS(AKTIVITAS!$B$2:$B$3052,B685,AKTIVITAS!$E$2:$E$3052,H685)&gt;0,1,0),0)</f>
        <v>0</v>
      </c>
      <c r="V685" s="71">
        <f>IFERROR(IF(AND(H685&gt;=INDEX(PEMAGANG!$J$3:$J$36,MATCH(B685,PEMAGANG!$C$3:$C$36,0)),H685&lt;=INDEX(PEMAGANG!$K$3:$K$36,MATCH(B685,PEMAGANG!$C$3:$C$36,0))),1,0),0)</f>
        <v>1</v>
      </c>
      <c r="W685" s="71">
        <f t="shared" si="98"/>
        <v>0</v>
      </c>
    </row>
    <row r="686" spans="1:23" x14ac:dyDescent="0.2">
      <c r="A686" s="71" t="s">
        <v>243</v>
      </c>
      <c r="B686" s="71" t="s">
        <v>244</v>
      </c>
      <c r="C686" s="71" t="s">
        <v>187</v>
      </c>
      <c r="D686" s="71" t="s">
        <v>245</v>
      </c>
      <c r="E686" s="71" t="s">
        <v>43</v>
      </c>
      <c r="F686" s="71" t="s">
        <v>298</v>
      </c>
      <c r="G686" s="88">
        <v>46289.304305555597</v>
      </c>
      <c r="H686" s="89">
        <v>46289</v>
      </c>
      <c r="I686" s="71" t="s">
        <v>326</v>
      </c>
      <c r="J686" s="71">
        <v>-12</v>
      </c>
      <c r="K686" s="71" t="s">
        <v>302</v>
      </c>
      <c r="L686" s="71">
        <f t="shared" si="90"/>
        <v>9</v>
      </c>
      <c r="M686" s="71" t="str">
        <f>IFERROR(INDEX(KALENDER!$D$3:$D$132,MATCH(H686,KALENDER!$A$3:$A$132,0)),"Di luar periode")</f>
        <v>Hari Kerja</v>
      </c>
      <c r="N686" s="71">
        <f t="shared" si="91"/>
        <v>1</v>
      </c>
      <c r="O686" s="71">
        <f t="shared" si="92"/>
        <v>1</v>
      </c>
      <c r="P686" s="71">
        <f t="shared" si="93"/>
        <v>1</v>
      </c>
      <c r="Q686" s="71">
        <f t="shared" si="94"/>
        <v>0</v>
      </c>
      <c r="R686" s="71">
        <f t="shared" si="95"/>
        <v>0</v>
      </c>
      <c r="S686" s="71">
        <f t="shared" si="96"/>
        <v>0</v>
      </c>
      <c r="T686" s="71">
        <f t="shared" si="97"/>
        <v>0</v>
      </c>
      <c r="U686" s="71">
        <f>IF(AND(N686=1,V686=1),IF(COUNTIFS(AKTIVITAS!$B$2:$B$3052,B686,AKTIVITAS!$E$2:$E$3052,H686)&gt;0,1,0),0)</f>
        <v>1</v>
      </c>
      <c r="V686" s="71">
        <f>IFERROR(IF(AND(H686&gt;=INDEX(PEMAGANG!$J$3:$J$36,MATCH(B686,PEMAGANG!$C$3:$C$36,0)),H686&lt;=INDEX(PEMAGANG!$K$3:$K$36,MATCH(B686,PEMAGANG!$C$3:$C$36,0))),1,0),0)</f>
        <v>1</v>
      </c>
      <c r="W686" s="71">
        <f t="shared" si="98"/>
        <v>1</v>
      </c>
    </row>
    <row r="687" spans="1:23" x14ac:dyDescent="0.2">
      <c r="A687" s="71" t="s">
        <v>243</v>
      </c>
      <c r="B687" s="71" t="s">
        <v>244</v>
      </c>
      <c r="C687" s="71" t="s">
        <v>187</v>
      </c>
      <c r="D687" s="71" t="s">
        <v>245</v>
      </c>
      <c r="E687" s="71" t="s">
        <v>43</v>
      </c>
      <c r="F687" s="71" t="s">
        <v>300</v>
      </c>
      <c r="G687" s="88">
        <v>46289.689317129603</v>
      </c>
      <c r="H687" s="89">
        <v>46289</v>
      </c>
      <c r="I687" s="71" t="s">
        <v>306</v>
      </c>
      <c r="J687" s="71">
        <v>0</v>
      </c>
      <c r="K687" s="71" t="s">
        <v>302</v>
      </c>
      <c r="L687" s="71">
        <f t="shared" si="90"/>
        <v>9</v>
      </c>
      <c r="M687" s="71" t="str">
        <f>IFERROR(INDEX(KALENDER!$D$3:$D$132,MATCH(H687,KALENDER!$A$3:$A$132,0)),"Di luar periode")</f>
        <v>Hari Kerja</v>
      </c>
      <c r="N687" s="71">
        <f t="shared" si="91"/>
        <v>0</v>
      </c>
      <c r="O687" s="71">
        <f t="shared" si="92"/>
        <v>1</v>
      </c>
      <c r="P687" s="71">
        <f t="shared" si="93"/>
        <v>0</v>
      </c>
      <c r="Q687" s="71">
        <f t="shared" si="94"/>
        <v>0</v>
      </c>
      <c r="R687" s="71">
        <f t="shared" si="95"/>
        <v>0</v>
      </c>
      <c r="S687" s="71">
        <f t="shared" si="96"/>
        <v>0</v>
      </c>
      <c r="T687" s="71">
        <f t="shared" si="97"/>
        <v>0</v>
      </c>
      <c r="U687" s="71">
        <f>IF(AND(N687=1,V687=1),IF(COUNTIFS(AKTIVITAS!$B$2:$B$3052,B687,AKTIVITAS!$E$2:$E$3052,H687)&gt;0,1,0),0)</f>
        <v>0</v>
      </c>
      <c r="V687" s="71">
        <f>IFERROR(IF(AND(H687&gt;=INDEX(PEMAGANG!$J$3:$J$36,MATCH(B687,PEMAGANG!$C$3:$C$36,0)),H687&lt;=INDEX(PEMAGANG!$K$3:$K$36,MATCH(B687,PEMAGANG!$C$3:$C$36,0))),1,0),0)</f>
        <v>1</v>
      </c>
      <c r="W687" s="71">
        <f t="shared" si="98"/>
        <v>0</v>
      </c>
    </row>
    <row r="688" spans="1:23" x14ac:dyDescent="0.2">
      <c r="A688" s="71" t="s">
        <v>243</v>
      </c>
      <c r="B688" s="71" t="s">
        <v>244</v>
      </c>
      <c r="C688" s="71" t="s">
        <v>187</v>
      </c>
      <c r="D688" s="71" t="s">
        <v>245</v>
      </c>
      <c r="E688" s="71" t="s">
        <v>43</v>
      </c>
      <c r="F688" s="71" t="s">
        <v>298</v>
      </c>
      <c r="G688" s="88">
        <v>46290.304456018501</v>
      </c>
      <c r="H688" s="89">
        <v>46290</v>
      </c>
      <c r="I688" s="71" t="s">
        <v>326</v>
      </c>
      <c r="J688" s="71">
        <v>-12</v>
      </c>
      <c r="K688" s="71" t="s">
        <v>302</v>
      </c>
      <c r="L688" s="71">
        <f t="shared" si="90"/>
        <v>9</v>
      </c>
      <c r="M688" s="71" t="str">
        <f>IFERROR(INDEX(KALENDER!$D$3:$D$132,MATCH(H688,KALENDER!$A$3:$A$132,0)),"Di luar periode")</f>
        <v>Hari Kerja</v>
      </c>
      <c r="N688" s="71">
        <f t="shared" si="91"/>
        <v>1</v>
      </c>
      <c r="O688" s="71">
        <f t="shared" si="92"/>
        <v>1</v>
      </c>
      <c r="P688" s="71">
        <f t="shared" si="93"/>
        <v>1</v>
      </c>
      <c r="Q688" s="71">
        <f t="shared" si="94"/>
        <v>0</v>
      </c>
      <c r="R688" s="71">
        <f t="shared" si="95"/>
        <v>0</v>
      </c>
      <c r="S688" s="71">
        <f t="shared" si="96"/>
        <v>0</v>
      </c>
      <c r="T688" s="71">
        <f t="shared" si="97"/>
        <v>0</v>
      </c>
      <c r="U688" s="71">
        <f>IF(AND(N688=1,V688=1),IF(COUNTIFS(AKTIVITAS!$B$2:$B$3052,B688,AKTIVITAS!$E$2:$E$3052,H688)&gt;0,1,0),0)</f>
        <v>1</v>
      </c>
      <c r="V688" s="71">
        <f>IFERROR(IF(AND(H688&gt;=INDEX(PEMAGANG!$J$3:$J$36,MATCH(B688,PEMAGANG!$C$3:$C$36,0)),H688&lt;=INDEX(PEMAGANG!$K$3:$K$36,MATCH(B688,PEMAGANG!$C$3:$C$36,0))),1,0),0)</f>
        <v>1</v>
      </c>
      <c r="W688" s="71">
        <f t="shared" si="98"/>
        <v>1</v>
      </c>
    </row>
    <row r="689" spans="1:23" x14ac:dyDescent="0.2">
      <c r="A689" s="71" t="s">
        <v>243</v>
      </c>
      <c r="B689" s="71" t="s">
        <v>244</v>
      </c>
      <c r="C689" s="71" t="s">
        <v>187</v>
      </c>
      <c r="D689" s="71" t="s">
        <v>245</v>
      </c>
      <c r="E689" s="71" t="s">
        <v>43</v>
      </c>
      <c r="F689" s="71" t="s">
        <v>300</v>
      </c>
      <c r="G689" s="88">
        <v>46290.690381944398</v>
      </c>
      <c r="H689" s="89">
        <v>46290</v>
      </c>
      <c r="I689" s="71" t="s">
        <v>314</v>
      </c>
      <c r="J689" s="71">
        <v>0</v>
      </c>
      <c r="K689" s="71" t="s">
        <v>302</v>
      </c>
      <c r="L689" s="71">
        <f t="shared" si="90"/>
        <v>9</v>
      </c>
      <c r="M689" s="71" t="str">
        <f>IFERROR(INDEX(KALENDER!$D$3:$D$132,MATCH(H689,KALENDER!$A$3:$A$132,0)),"Di luar periode")</f>
        <v>Hari Kerja</v>
      </c>
      <c r="N689" s="71">
        <f t="shared" si="91"/>
        <v>0</v>
      </c>
      <c r="O689" s="71">
        <f t="shared" si="92"/>
        <v>1</v>
      </c>
      <c r="P689" s="71">
        <f t="shared" si="93"/>
        <v>0</v>
      </c>
      <c r="Q689" s="71">
        <f t="shared" si="94"/>
        <v>0</v>
      </c>
      <c r="R689" s="71">
        <f t="shared" si="95"/>
        <v>0</v>
      </c>
      <c r="S689" s="71">
        <f t="shared" si="96"/>
        <v>0</v>
      </c>
      <c r="T689" s="71">
        <f t="shared" si="97"/>
        <v>0</v>
      </c>
      <c r="U689" s="71">
        <f>IF(AND(N689=1,V689=1),IF(COUNTIFS(AKTIVITAS!$B$2:$B$3052,B689,AKTIVITAS!$E$2:$E$3052,H689)&gt;0,1,0),0)</f>
        <v>0</v>
      </c>
      <c r="V689" s="71">
        <f>IFERROR(IF(AND(H689&gt;=INDEX(PEMAGANG!$J$3:$J$36,MATCH(B689,PEMAGANG!$C$3:$C$36,0)),H689&lt;=INDEX(PEMAGANG!$K$3:$K$36,MATCH(B689,PEMAGANG!$C$3:$C$36,0))),1,0),0)</f>
        <v>1</v>
      </c>
      <c r="W689" s="71">
        <f t="shared" si="98"/>
        <v>0</v>
      </c>
    </row>
    <row r="690" spans="1:23" x14ac:dyDescent="0.2">
      <c r="A690" s="71" t="s">
        <v>243</v>
      </c>
      <c r="B690" s="71" t="s">
        <v>244</v>
      </c>
      <c r="C690" s="71" t="s">
        <v>187</v>
      </c>
      <c r="D690" s="71" t="s">
        <v>245</v>
      </c>
      <c r="E690" s="71" t="s">
        <v>43</v>
      </c>
      <c r="F690" s="71" t="s">
        <v>298</v>
      </c>
      <c r="G690" s="88">
        <v>46293.305393518502</v>
      </c>
      <c r="H690" s="89">
        <v>46293</v>
      </c>
      <c r="I690" s="71" t="s">
        <v>321</v>
      </c>
      <c r="J690" s="71">
        <v>-11</v>
      </c>
      <c r="K690" s="71" t="s">
        <v>302</v>
      </c>
      <c r="L690" s="71">
        <f t="shared" si="90"/>
        <v>9</v>
      </c>
      <c r="M690" s="71" t="str">
        <f>IFERROR(INDEX(KALENDER!$D$3:$D$132,MATCH(H690,KALENDER!$A$3:$A$132,0)),"Di luar periode")</f>
        <v>Hari Kerja</v>
      </c>
      <c r="N690" s="71">
        <f t="shared" si="91"/>
        <v>1</v>
      </c>
      <c r="O690" s="71">
        <f t="shared" si="92"/>
        <v>1</v>
      </c>
      <c r="P690" s="71">
        <f t="shared" si="93"/>
        <v>1</v>
      </c>
      <c r="Q690" s="71">
        <f t="shared" si="94"/>
        <v>0</v>
      </c>
      <c r="R690" s="71">
        <f t="shared" si="95"/>
        <v>0</v>
      </c>
      <c r="S690" s="71">
        <f t="shared" si="96"/>
        <v>0</v>
      </c>
      <c r="T690" s="71">
        <f t="shared" si="97"/>
        <v>0</v>
      </c>
      <c r="U690" s="71">
        <f>IF(AND(N690=1,V690=1),IF(COUNTIFS(AKTIVITAS!$B$2:$B$3052,B690,AKTIVITAS!$E$2:$E$3052,H690)&gt;0,1,0),0)</f>
        <v>1</v>
      </c>
      <c r="V690" s="71">
        <f>IFERROR(IF(AND(H690&gt;=INDEX(PEMAGANG!$J$3:$J$36,MATCH(B690,PEMAGANG!$C$3:$C$36,0)),H690&lt;=INDEX(PEMAGANG!$K$3:$K$36,MATCH(B690,PEMAGANG!$C$3:$C$36,0))),1,0),0)</f>
        <v>1</v>
      </c>
      <c r="W690" s="71">
        <f t="shared" si="98"/>
        <v>1</v>
      </c>
    </row>
    <row r="691" spans="1:23" x14ac:dyDescent="0.2">
      <c r="A691" s="71" t="s">
        <v>243</v>
      </c>
      <c r="B691" s="71" t="s">
        <v>244</v>
      </c>
      <c r="C691" s="71" t="s">
        <v>187</v>
      </c>
      <c r="D691" s="71" t="s">
        <v>245</v>
      </c>
      <c r="E691" s="71" t="s">
        <v>43</v>
      </c>
      <c r="F691" s="71" t="s">
        <v>300</v>
      </c>
      <c r="G691" s="88">
        <v>46293.706157407403</v>
      </c>
      <c r="H691" s="89">
        <v>46293</v>
      </c>
      <c r="I691" s="71" t="s">
        <v>474</v>
      </c>
      <c r="J691" s="71">
        <v>0</v>
      </c>
      <c r="K691" s="71" t="s">
        <v>302</v>
      </c>
      <c r="L691" s="71">
        <f t="shared" si="90"/>
        <v>9</v>
      </c>
      <c r="M691" s="71" t="str">
        <f>IFERROR(INDEX(KALENDER!$D$3:$D$132,MATCH(H691,KALENDER!$A$3:$A$132,0)),"Di luar periode")</f>
        <v>Hari Kerja</v>
      </c>
      <c r="N691" s="71">
        <f t="shared" si="91"/>
        <v>0</v>
      </c>
      <c r="O691" s="71">
        <f t="shared" si="92"/>
        <v>1</v>
      </c>
      <c r="P691" s="71">
        <f t="shared" si="93"/>
        <v>0</v>
      </c>
      <c r="Q691" s="71">
        <f t="shared" si="94"/>
        <v>0</v>
      </c>
      <c r="R691" s="71">
        <f t="shared" si="95"/>
        <v>0</v>
      </c>
      <c r="S691" s="71">
        <f t="shared" si="96"/>
        <v>0</v>
      </c>
      <c r="T691" s="71">
        <f t="shared" si="97"/>
        <v>0</v>
      </c>
      <c r="U691" s="71">
        <f>IF(AND(N691=1,V691=1),IF(COUNTIFS(AKTIVITAS!$B$2:$B$3052,B691,AKTIVITAS!$E$2:$E$3052,H691)&gt;0,1,0),0)</f>
        <v>0</v>
      </c>
      <c r="V691" s="71">
        <f>IFERROR(IF(AND(H691&gt;=INDEX(PEMAGANG!$J$3:$J$36,MATCH(B691,PEMAGANG!$C$3:$C$36,0)),H691&lt;=INDEX(PEMAGANG!$K$3:$K$36,MATCH(B691,PEMAGANG!$C$3:$C$36,0))),1,0),0)</f>
        <v>1</v>
      </c>
      <c r="W691" s="71">
        <f t="shared" si="98"/>
        <v>0</v>
      </c>
    </row>
    <row r="692" spans="1:23" x14ac:dyDescent="0.2">
      <c r="A692" s="71" t="s">
        <v>243</v>
      </c>
      <c r="B692" s="71" t="s">
        <v>244</v>
      </c>
      <c r="C692" s="71" t="s">
        <v>187</v>
      </c>
      <c r="D692" s="71" t="s">
        <v>245</v>
      </c>
      <c r="E692" s="71" t="s">
        <v>43</v>
      </c>
      <c r="F692" s="71" t="s">
        <v>298</v>
      </c>
      <c r="G692" s="88">
        <v>46294.302557870396</v>
      </c>
      <c r="H692" s="89">
        <v>46294</v>
      </c>
      <c r="I692" s="71" t="s">
        <v>370</v>
      </c>
      <c r="J692" s="71">
        <v>-15</v>
      </c>
      <c r="K692" s="71" t="s">
        <v>302</v>
      </c>
      <c r="L692" s="71">
        <f t="shared" si="90"/>
        <v>9</v>
      </c>
      <c r="M692" s="71" t="str">
        <f>IFERROR(INDEX(KALENDER!$D$3:$D$132,MATCH(H692,KALENDER!$A$3:$A$132,0)),"Di luar periode")</f>
        <v>Hari Kerja</v>
      </c>
      <c r="N692" s="71">
        <f t="shared" si="91"/>
        <v>1</v>
      </c>
      <c r="O692" s="71">
        <f t="shared" si="92"/>
        <v>1</v>
      </c>
      <c r="P692" s="71">
        <f t="shared" si="93"/>
        <v>1</v>
      </c>
      <c r="Q692" s="71">
        <f t="shared" si="94"/>
        <v>0</v>
      </c>
      <c r="R692" s="71">
        <f t="shared" si="95"/>
        <v>0</v>
      </c>
      <c r="S692" s="71">
        <f t="shared" si="96"/>
        <v>0</v>
      </c>
      <c r="T692" s="71">
        <f t="shared" si="97"/>
        <v>0</v>
      </c>
      <c r="U692" s="71">
        <f>IF(AND(N692=1,V692=1),IF(COUNTIFS(AKTIVITAS!$B$2:$B$3052,B692,AKTIVITAS!$E$2:$E$3052,H692)&gt;0,1,0),0)</f>
        <v>1</v>
      </c>
      <c r="V692" s="71">
        <f>IFERROR(IF(AND(H692&gt;=INDEX(PEMAGANG!$J$3:$J$36,MATCH(B692,PEMAGANG!$C$3:$C$36,0)),H692&lt;=INDEX(PEMAGANG!$K$3:$K$36,MATCH(B692,PEMAGANG!$C$3:$C$36,0))),1,0),0)</f>
        <v>1</v>
      </c>
      <c r="W692" s="71">
        <f t="shared" si="98"/>
        <v>1</v>
      </c>
    </row>
    <row r="693" spans="1:23" x14ac:dyDescent="0.2">
      <c r="A693" s="71" t="s">
        <v>243</v>
      </c>
      <c r="B693" s="71" t="s">
        <v>244</v>
      </c>
      <c r="C693" s="71" t="s">
        <v>187</v>
      </c>
      <c r="D693" s="71" t="s">
        <v>245</v>
      </c>
      <c r="E693" s="71" t="s">
        <v>43</v>
      </c>
      <c r="F693" s="71" t="s">
        <v>300</v>
      </c>
      <c r="G693" s="88">
        <v>46294.690104166701</v>
      </c>
      <c r="H693" s="89">
        <v>46294</v>
      </c>
      <c r="I693" s="71" t="s">
        <v>316</v>
      </c>
      <c r="J693" s="71">
        <v>0</v>
      </c>
      <c r="K693" s="71" t="s">
        <v>302</v>
      </c>
      <c r="L693" s="71">
        <f t="shared" si="90"/>
        <v>9</v>
      </c>
      <c r="M693" s="71" t="str">
        <f>IFERROR(INDEX(KALENDER!$D$3:$D$132,MATCH(H693,KALENDER!$A$3:$A$132,0)),"Di luar periode")</f>
        <v>Hari Kerja</v>
      </c>
      <c r="N693" s="71">
        <f t="shared" si="91"/>
        <v>0</v>
      </c>
      <c r="O693" s="71">
        <f t="shared" si="92"/>
        <v>1</v>
      </c>
      <c r="P693" s="71">
        <f t="shared" si="93"/>
        <v>0</v>
      </c>
      <c r="Q693" s="71">
        <f t="shared" si="94"/>
        <v>0</v>
      </c>
      <c r="R693" s="71">
        <f t="shared" si="95"/>
        <v>0</v>
      </c>
      <c r="S693" s="71">
        <f t="shared" si="96"/>
        <v>0</v>
      </c>
      <c r="T693" s="71">
        <f t="shared" si="97"/>
        <v>0</v>
      </c>
      <c r="U693" s="71">
        <f>IF(AND(N693=1,V693=1),IF(COUNTIFS(AKTIVITAS!$B$2:$B$3052,B693,AKTIVITAS!$E$2:$E$3052,H693)&gt;0,1,0),0)</f>
        <v>0</v>
      </c>
      <c r="V693" s="71">
        <f>IFERROR(IF(AND(H693&gt;=INDEX(PEMAGANG!$J$3:$J$36,MATCH(B693,PEMAGANG!$C$3:$C$36,0)),H693&lt;=INDEX(PEMAGANG!$K$3:$K$36,MATCH(B693,PEMAGANG!$C$3:$C$36,0))),1,0),0)</f>
        <v>1</v>
      </c>
      <c r="W693" s="71">
        <f t="shared" si="98"/>
        <v>0</v>
      </c>
    </row>
    <row r="694" spans="1:23" x14ac:dyDescent="0.2">
      <c r="A694" s="71" t="s">
        <v>243</v>
      </c>
      <c r="B694" s="71" t="s">
        <v>244</v>
      </c>
      <c r="C694" s="71" t="s">
        <v>187</v>
      </c>
      <c r="D694" s="71" t="s">
        <v>245</v>
      </c>
      <c r="E694" s="71" t="s">
        <v>43</v>
      </c>
      <c r="F694" s="71" t="s">
        <v>298</v>
      </c>
      <c r="G694" s="88">
        <v>46295.304155092599</v>
      </c>
      <c r="H694" s="89">
        <v>46295</v>
      </c>
      <c r="I694" s="71" t="s">
        <v>331</v>
      </c>
      <c r="J694" s="71">
        <v>-13</v>
      </c>
      <c r="K694" s="71" t="s">
        <v>302</v>
      </c>
      <c r="L694" s="71">
        <f t="shared" si="90"/>
        <v>9</v>
      </c>
      <c r="M694" s="71" t="str">
        <f>IFERROR(INDEX(KALENDER!$D$3:$D$132,MATCH(H694,KALENDER!$A$3:$A$132,0)),"Di luar periode")</f>
        <v>Hari Kerja</v>
      </c>
      <c r="N694" s="71">
        <f t="shared" si="91"/>
        <v>1</v>
      </c>
      <c r="O694" s="71">
        <f t="shared" si="92"/>
        <v>1</v>
      </c>
      <c r="P694" s="71">
        <f t="shared" si="93"/>
        <v>1</v>
      </c>
      <c r="Q694" s="71">
        <f t="shared" si="94"/>
        <v>0</v>
      </c>
      <c r="R694" s="71">
        <f t="shared" si="95"/>
        <v>0</v>
      </c>
      <c r="S694" s="71">
        <f t="shared" si="96"/>
        <v>0</v>
      </c>
      <c r="T694" s="71">
        <f t="shared" si="97"/>
        <v>0</v>
      </c>
      <c r="U694" s="71">
        <f>IF(AND(N694=1,V694=1),IF(COUNTIFS(AKTIVITAS!$B$2:$B$3052,B694,AKTIVITAS!$E$2:$E$3052,H694)&gt;0,1,0),0)</f>
        <v>1</v>
      </c>
      <c r="V694" s="71">
        <f>IFERROR(IF(AND(H694&gt;=INDEX(PEMAGANG!$J$3:$J$36,MATCH(B694,PEMAGANG!$C$3:$C$36,0)),H694&lt;=INDEX(PEMAGANG!$K$3:$K$36,MATCH(B694,PEMAGANG!$C$3:$C$36,0))),1,0),0)</f>
        <v>1</v>
      </c>
      <c r="W694" s="71">
        <f t="shared" si="98"/>
        <v>1</v>
      </c>
    </row>
    <row r="695" spans="1:23" x14ac:dyDescent="0.2">
      <c r="A695" s="71" t="s">
        <v>243</v>
      </c>
      <c r="B695" s="71" t="s">
        <v>244</v>
      </c>
      <c r="C695" s="71" t="s">
        <v>187</v>
      </c>
      <c r="D695" s="71" t="s">
        <v>245</v>
      </c>
      <c r="E695" s="71" t="s">
        <v>43</v>
      </c>
      <c r="F695" s="71" t="s">
        <v>300</v>
      </c>
      <c r="G695" s="88">
        <v>46295.690370370401</v>
      </c>
      <c r="H695" s="89">
        <v>46295</v>
      </c>
      <c r="I695" s="71" t="s">
        <v>314</v>
      </c>
      <c r="J695" s="71">
        <v>0</v>
      </c>
      <c r="K695" s="71" t="s">
        <v>302</v>
      </c>
      <c r="L695" s="71">
        <f t="shared" si="90"/>
        <v>9</v>
      </c>
      <c r="M695" s="71" t="str">
        <f>IFERROR(INDEX(KALENDER!$D$3:$D$132,MATCH(H695,KALENDER!$A$3:$A$132,0)),"Di luar periode")</f>
        <v>Hari Kerja</v>
      </c>
      <c r="N695" s="71">
        <f t="shared" si="91"/>
        <v>0</v>
      </c>
      <c r="O695" s="71">
        <f t="shared" si="92"/>
        <v>1</v>
      </c>
      <c r="P695" s="71">
        <f t="shared" si="93"/>
        <v>0</v>
      </c>
      <c r="Q695" s="71">
        <f t="shared" si="94"/>
        <v>0</v>
      </c>
      <c r="R695" s="71">
        <f t="shared" si="95"/>
        <v>0</v>
      </c>
      <c r="S695" s="71">
        <f t="shared" si="96"/>
        <v>0</v>
      </c>
      <c r="T695" s="71">
        <f t="shared" si="97"/>
        <v>0</v>
      </c>
      <c r="U695" s="71">
        <f>IF(AND(N695=1,V695=1),IF(COUNTIFS(AKTIVITAS!$B$2:$B$3052,B695,AKTIVITAS!$E$2:$E$3052,H695)&gt;0,1,0),0)</f>
        <v>0</v>
      </c>
      <c r="V695" s="71">
        <f>IFERROR(IF(AND(H695&gt;=INDEX(PEMAGANG!$J$3:$J$36,MATCH(B695,PEMAGANG!$C$3:$C$36,0)),H695&lt;=INDEX(PEMAGANG!$K$3:$K$36,MATCH(B695,PEMAGANG!$C$3:$C$36,0))),1,0),0)</f>
        <v>1</v>
      </c>
      <c r="W695" s="71">
        <f t="shared" si="98"/>
        <v>0</v>
      </c>
    </row>
    <row r="696" spans="1:23" x14ac:dyDescent="0.2">
      <c r="A696" s="71" t="s">
        <v>191</v>
      </c>
      <c r="B696" s="71" t="s">
        <v>192</v>
      </c>
      <c r="C696" s="71" t="s">
        <v>187</v>
      </c>
      <c r="D696" s="71" t="s">
        <v>185</v>
      </c>
      <c r="E696" s="71" t="s">
        <v>47</v>
      </c>
      <c r="F696" s="71" t="s">
        <v>298</v>
      </c>
      <c r="G696" s="88">
        <v>46244.494548611103</v>
      </c>
      <c r="H696" s="89">
        <v>46244</v>
      </c>
      <c r="I696" s="71" t="s">
        <v>299</v>
      </c>
      <c r="J696" s="71">
        <v>262</v>
      </c>
      <c r="K696" s="71" t="s">
        <v>293</v>
      </c>
      <c r="L696" s="71">
        <f t="shared" si="90"/>
        <v>8</v>
      </c>
      <c r="M696" s="71" t="str">
        <f>IFERROR(INDEX(KALENDER!$D$3:$D$132,MATCH(H696,KALENDER!$A$3:$A$132,0)),"Di luar periode")</f>
        <v>Hari Kerja</v>
      </c>
      <c r="N696" s="71">
        <f t="shared" si="91"/>
        <v>1</v>
      </c>
      <c r="O696" s="71">
        <f t="shared" si="92"/>
        <v>1</v>
      </c>
      <c r="P696" s="71">
        <f t="shared" si="93"/>
        <v>1</v>
      </c>
      <c r="Q696" s="71">
        <f t="shared" si="94"/>
        <v>0</v>
      </c>
      <c r="R696" s="71">
        <f t="shared" si="95"/>
        <v>1</v>
      </c>
      <c r="S696" s="71">
        <f t="shared" si="96"/>
        <v>262</v>
      </c>
      <c r="T696" s="71">
        <f t="shared" si="97"/>
        <v>0</v>
      </c>
      <c r="U696" s="71">
        <f>IF(AND(N696=1,V696=1),IF(COUNTIFS(AKTIVITAS!$B$2:$B$3052,B696,AKTIVITAS!$E$2:$E$3052,H696)&gt;0,1,0),0)</f>
        <v>0</v>
      </c>
      <c r="V696" s="71">
        <f>IFERROR(IF(AND(H696&gt;=INDEX(PEMAGANG!$J$3:$J$36,MATCH(B696,PEMAGANG!$C$3:$C$36,0)),H696&lt;=INDEX(PEMAGANG!$K$3:$K$36,MATCH(B696,PEMAGANG!$C$3:$C$36,0))),1,0),0)</f>
        <v>1</v>
      </c>
      <c r="W696" s="71">
        <f t="shared" si="98"/>
        <v>1</v>
      </c>
    </row>
    <row r="697" spans="1:23" x14ac:dyDescent="0.2">
      <c r="A697" s="71" t="s">
        <v>191</v>
      </c>
      <c r="B697" s="71" t="s">
        <v>192</v>
      </c>
      <c r="C697" s="71" t="s">
        <v>187</v>
      </c>
      <c r="D697" s="71" t="s">
        <v>185</v>
      </c>
      <c r="E697" s="71" t="s">
        <v>47</v>
      </c>
      <c r="F697" s="71" t="s">
        <v>300</v>
      </c>
      <c r="G697" s="88">
        <v>46244.690254629597</v>
      </c>
      <c r="H697" s="89">
        <v>46244</v>
      </c>
      <c r="I697" s="71" t="s">
        <v>316</v>
      </c>
      <c r="J697" s="71">
        <v>0</v>
      </c>
      <c r="K697" s="71" t="s">
        <v>302</v>
      </c>
      <c r="L697" s="71">
        <f t="shared" si="90"/>
        <v>8</v>
      </c>
      <c r="M697" s="71" t="str">
        <f>IFERROR(INDEX(KALENDER!$D$3:$D$132,MATCH(H697,KALENDER!$A$3:$A$132,0)),"Di luar periode")</f>
        <v>Hari Kerja</v>
      </c>
      <c r="N697" s="71">
        <f t="shared" si="91"/>
        <v>0</v>
      </c>
      <c r="O697" s="71">
        <f t="shared" si="92"/>
        <v>1</v>
      </c>
      <c r="P697" s="71">
        <f t="shared" si="93"/>
        <v>0</v>
      </c>
      <c r="Q697" s="71">
        <f t="shared" si="94"/>
        <v>0</v>
      </c>
      <c r="R697" s="71">
        <f t="shared" si="95"/>
        <v>0</v>
      </c>
      <c r="S697" s="71">
        <f t="shared" si="96"/>
        <v>0</v>
      </c>
      <c r="T697" s="71">
        <f t="shared" si="97"/>
        <v>0</v>
      </c>
      <c r="U697" s="71">
        <f>IF(AND(N697=1,V697=1),IF(COUNTIFS(AKTIVITAS!$B$2:$B$3052,B697,AKTIVITAS!$E$2:$E$3052,H697)&gt;0,1,0),0)</f>
        <v>0</v>
      </c>
      <c r="V697" s="71">
        <f>IFERROR(IF(AND(H697&gt;=INDEX(PEMAGANG!$J$3:$J$36,MATCH(B697,PEMAGANG!$C$3:$C$36,0)),H697&lt;=INDEX(PEMAGANG!$K$3:$K$36,MATCH(B697,PEMAGANG!$C$3:$C$36,0))),1,0),0)</f>
        <v>1</v>
      </c>
      <c r="W697" s="71">
        <f t="shared" si="98"/>
        <v>0</v>
      </c>
    </row>
    <row r="698" spans="1:23" x14ac:dyDescent="0.2">
      <c r="A698" s="71" t="s">
        <v>191</v>
      </c>
      <c r="B698" s="71" t="s">
        <v>192</v>
      </c>
      <c r="C698" s="71" t="s">
        <v>187</v>
      </c>
      <c r="D698" s="71" t="s">
        <v>185</v>
      </c>
      <c r="E698" s="71" t="s">
        <v>47</v>
      </c>
      <c r="F698" s="71" t="s">
        <v>298</v>
      </c>
      <c r="G698" s="88">
        <v>46245.309583333299</v>
      </c>
      <c r="H698" s="89">
        <v>46245</v>
      </c>
      <c r="I698" s="71" t="s">
        <v>307</v>
      </c>
      <c r="J698" s="71">
        <v>-4.9999999999999796</v>
      </c>
      <c r="K698" s="71" t="s">
        <v>302</v>
      </c>
      <c r="L698" s="71">
        <f t="shared" si="90"/>
        <v>8</v>
      </c>
      <c r="M698" s="71" t="str">
        <f>IFERROR(INDEX(KALENDER!$D$3:$D$132,MATCH(H698,KALENDER!$A$3:$A$132,0)),"Di luar periode")</f>
        <v>Hari Kerja</v>
      </c>
      <c r="N698" s="71">
        <f t="shared" si="91"/>
        <v>1</v>
      </c>
      <c r="O698" s="71">
        <f t="shared" si="92"/>
        <v>1</v>
      </c>
      <c r="P698" s="71">
        <f t="shared" si="93"/>
        <v>1</v>
      </c>
      <c r="Q698" s="71">
        <f t="shared" si="94"/>
        <v>0</v>
      </c>
      <c r="R698" s="71">
        <f t="shared" si="95"/>
        <v>0</v>
      </c>
      <c r="S698" s="71">
        <f t="shared" si="96"/>
        <v>0</v>
      </c>
      <c r="T698" s="71">
        <f t="shared" si="97"/>
        <v>0</v>
      </c>
      <c r="U698" s="71">
        <f>IF(AND(N698=1,V698=1),IF(COUNTIFS(AKTIVITAS!$B$2:$B$3052,B698,AKTIVITAS!$E$2:$E$3052,H698)&gt;0,1,0),0)</f>
        <v>0</v>
      </c>
      <c r="V698" s="71">
        <f>IFERROR(IF(AND(H698&gt;=INDEX(PEMAGANG!$J$3:$J$36,MATCH(B698,PEMAGANG!$C$3:$C$36,0)),H698&lt;=INDEX(PEMAGANG!$K$3:$K$36,MATCH(B698,PEMAGANG!$C$3:$C$36,0))),1,0),0)</f>
        <v>1</v>
      </c>
      <c r="W698" s="71">
        <f t="shared" si="98"/>
        <v>1</v>
      </c>
    </row>
    <row r="699" spans="1:23" x14ac:dyDescent="0.2">
      <c r="A699" s="71" t="s">
        <v>191</v>
      </c>
      <c r="B699" s="71" t="s">
        <v>192</v>
      </c>
      <c r="C699" s="71" t="s">
        <v>187</v>
      </c>
      <c r="D699" s="71" t="s">
        <v>185</v>
      </c>
      <c r="E699" s="71" t="s">
        <v>47</v>
      </c>
      <c r="F699" s="71" t="s">
        <v>300</v>
      </c>
      <c r="G699" s="88">
        <v>46245.699814814798</v>
      </c>
      <c r="H699" s="89">
        <v>46245</v>
      </c>
      <c r="I699" s="71" t="s">
        <v>337</v>
      </c>
      <c r="J699" s="71">
        <v>0</v>
      </c>
      <c r="K699" s="71" t="s">
        <v>302</v>
      </c>
      <c r="L699" s="71">
        <f t="shared" si="90"/>
        <v>8</v>
      </c>
      <c r="M699" s="71" t="str">
        <f>IFERROR(INDEX(KALENDER!$D$3:$D$132,MATCH(H699,KALENDER!$A$3:$A$132,0)),"Di luar periode")</f>
        <v>Hari Kerja</v>
      </c>
      <c r="N699" s="71">
        <f t="shared" si="91"/>
        <v>0</v>
      </c>
      <c r="O699" s="71">
        <f t="shared" si="92"/>
        <v>1</v>
      </c>
      <c r="P699" s="71">
        <f t="shared" si="93"/>
        <v>0</v>
      </c>
      <c r="Q699" s="71">
        <f t="shared" si="94"/>
        <v>0</v>
      </c>
      <c r="R699" s="71">
        <f t="shared" si="95"/>
        <v>0</v>
      </c>
      <c r="S699" s="71">
        <f t="shared" si="96"/>
        <v>0</v>
      </c>
      <c r="T699" s="71">
        <f t="shared" si="97"/>
        <v>0</v>
      </c>
      <c r="U699" s="71">
        <f>IF(AND(N699=1,V699=1),IF(COUNTIFS(AKTIVITAS!$B$2:$B$3052,B699,AKTIVITAS!$E$2:$E$3052,H699)&gt;0,1,0),0)</f>
        <v>0</v>
      </c>
      <c r="V699" s="71">
        <f>IFERROR(IF(AND(H699&gt;=INDEX(PEMAGANG!$J$3:$J$36,MATCH(B699,PEMAGANG!$C$3:$C$36,0)),H699&lt;=INDEX(PEMAGANG!$K$3:$K$36,MATCH(B699,PEMAGANG!$C$3:$C$36,0))),1,0),0)</f>
        <v>1</v>
      </c>
      <c r="W699" s="71">
        <f t="shared" si="98"/>
        <v>0</v>
      </c>
    </row>
    <row r="700" spans="1:23" x14ac:dyDescent="0.2">
      <c r="A700" s="71" t="s">
        <v>191</v>
      </c>
      <c r="B700" s="71" t="s">
        <v>192</v>
      </c>
      <c r="C700" s="71" t="s">
        <v>187</v>
      </c>
      <c r="D700" s="71" t="s">
        <v>185</v>
      </c>
      <c r="E700" s="71" t="s">
        <v>47</v>
      </c>
      <c r="F700" s="71" t="s">
        <v>298</v>
      </c>
      <c r="G700" s="88">
        <v>46246.307754629597</v>
      </c>
      <c r="H700" s="89">
        <v>46246</v>
      </c>
      <c r="I700" s="71" t="s">
        <v>311</v>
      </c>
      <c r="J700" s="71">
        <v>-6.9999999999999796</v>
      </c>
      <c r="K700" s="71" t="s">
        <v>302</v>
      </c>
      <c r="L700" s="71">
        <f t="shared" si="90"/>
        <v>8</v>
      </c>
      <c r="M700" s="71" t="str">
        <f>IFERROR(INDEX(KALENDER!$D$3:$D$132,MATCH(H700,KALENDER!$A$3:$A$132,0)),"Di luar periode")</f>
        <v>Hari Kerja</v>
      </c>
      <c r="N700" s="71">
        <f t="shared" si="91"/>
        <v>1</v>
      </c>
      <c r="O700" s="71">
        <f t="shared" si="92"/>
        <v>1</v>
      </c>
      <c r="P700" s="71">
        <f t="shared" si="93"/>
        <v>1</v>
      </c>
      <c r="Q700" s="71">
        <f t="shared" si="94"/>
        <v>0</v>
      </c>
      <c r="R700" s="71">
        <f t="shared" si="95"/>
        <v>0</v>
      </c>
      <c r="S700" s="71">
        <f t="shared" si="96"/>
        <v>0</v>
      </c>
      <c r="T700" s="71">
        <f t="shared" si="97"/>
        <v>0</v>
      </c>
      <c r="U700" s="71">
        <f>IF(AND(N700=1,V700=1),IF(COUNTIFS(AKTIVITAS!$B$2:$B$3052,B700,AKTIVITAS!$E$2:$E$3052,H700)&gt;0,1,0),0)</f>
        <v>0</v>
      </c>
      <c r="V700" s="71">
        <f>IFERROR(IF(AND(H700&gt;=INDEX(PEMAGANG!$J$3:$J$36,MATCH(B700,PEMAGANG!$C$3:$C$36,0)),H700&lt;=INDEX(PEMAGANG!$K$3:$K$36,MATCH(B700,PEMAGANG!$C$3:$C$36,0))),1,0),0)</f>
        <v>1</v>
      </c>
      <c r="W700" s="71">
        <f t="shared" si="98"/>
        <v>1</v>
      </c>
    </row>
    <row r="701" spans="1:23" x14ac:dyDescent="0.2">
      <c r="A701" s="71" t="s">
        <v>191</v>
      </c>
      <c r="B701" s="71" t="s">
        <v>192</v>
      </c>
      <c r="C701" s="71" t="s">
        <v>187</v>
      </c>
      <c r="D701" s="71" t="s">
        <v>185</v>
      </c>
      <c r="E701" s="71" t="s">
        <v>47</v>
      </c>
      <c r="F701" s="71" t="s">
        <v>300</v>
      </c>
      <c r="G701" s="88">
        <v>46246.693298611099</v>
      </c>
      <c r="H701" s="89">
        <v>46246</v>
      </c>
      <c r="I701" s="71" t="s">
        <v>317</v>
      </c>
      <c r="J701" s="71">
        <v>0</v>
      </c>
      <c r="K701" s="71" t="s">
        <v>302</v>
      </c>
      <c r="L701" s="71">
        <f t="shared" si="90"/>
        <v>8</v>
      </c>
      <c r="M701" s="71" t="str">
        <f>IFERROR(INDEX(KALENDER!$D$3:$D$132,MATCH(H701,KALENDER!$A$3:$A$132,0)),"Di luar periode")</f>
        <v>Hari Kerja</v>
      </c>
      <c r="N701" s="71">
        <f t="shared" si="91"/>
        <v>0</v>
      </c>
      <c r="O701" s="71">
        <f t="shared" si="92"/>
        <v>1</v>
      </c>
      <c r="P701" s="71">
        <f t="shared" si="93"/>
        <v>0</v>
      </c>
      <c r="Q701" s="71">
        <f t="shared" si="94"/>
        <v>0</v>
      </c>
      <c r="R701" s="71">
        <f t="shared" si="95"/>
        <v>0</v>
      </c>
      <c r="S701" s="71">
        <f t="shared" si="96"/>
        <v>0</v>
      </c>
      <c r="T701" s="71">
        <f t="shared" si="97"/>
        <v>0</v>
      </c>
      <c r="U701" s="71">
        <f>IF(AND(N701=1,V701=1),IF(COUNTIFS(AKTIVITAS!$B$2:$B$3052,B701,AKTIVITAS!$E$2:$E$3052,H701)&gt;0,1,0),0)</f>
        <v>0</v>
      </c>
      <c r="V701" s="71">
        <f>IFERROR(IF(AND(H701&gt;=INDEX(PEMAGANG!$J$3:$J$36,MATCH(B701,PEMAGANG!$C$3:$C$36,0)),H701&lt;=INDEX(PEMAGANG!$K$3:$K$36,MATCH(B701,PEMAGANG!$C$3:$C$36,0))),1,0),0)</f>
        <v>1</v>
      </c>
      <c r="W701" s="71">
        <f t="shared" si="98"/>
        <v>0</v>
      </c>
    </row>
    <row r="702" spans="1:23" x14ac:dyDescent="0.2">
      <c r="A702" s="71" t="s">
        <v>191</v>
      </c>
      <c r="B702" s="71" t="s">
        <v>192</v>
      </c>
      <c r="C702" s="71" t="s">
        <v>187</v>
      </c>
      <c r="D702" s="71" t="s">
        <v>185</v>
      </c>
      <c r="E702" s="71" t="s">
        <v>47</v>
      </c>
      <c r="F702" s="71" t="s">
        <v>298</v>
      </c>
      <c r="G702" s="88">
        <v>46247.307152777801</v>
      </c>
      <c r="H702" s="89">
        <v>46247</v>
      </c>
      <c r="I702" s="71" t="s">
        <v>313</v>
      </c>
      <c r="J702" s="71">
        <v>-8.0000000000000497</v>
      </c>
      <c r="K702" s="71" t="s">
        <v>302</v>
      </c>
      <c r="L702" s="71">
        <f t="shared" si="90"/>
        <v>8</v>
      </c>
      <c r="M702" s="71" t="str">
        <f>IFERROR(INDEX(KALENDER!$D$3:$D$132,MATCH(H702,KALENDER!$A$3:$A$132,0)),"Di luar periode")</f>
        <v>Hari Kerja</v>
      </c>
      <c r="N702" s="71">
        <f t="shared" si="91"/>
        <v>1</v>
      </c>
      <c r="O702" s="71">
        <f t="shared" si="92"/>
        <v>1</v>
      </c>
      <c r="P702" s="71">
        <f t="shared" si="93"/>
        <v>1</v>
      </c>
      <c r="Q702" s="71">
        <f t="shared" si="94"/>
        <v>0</v>
      </c>
      <c r="R702" s="71">
        <f t="shared" si="95"/>
        <v>0</v>
      </c>
      <c r="S702" s="71">
        <f t="shared" si="96"/>
        <v>0</v>
      </c>
      <c r="T702" s="71">
        <f t="shared" si="97"/>
        <v>0</v>
      </c>
      <c r="U702" s="71">
        <f>IF(AND(N702=1,V702=1),IF(COUNTIFS(AKTIVITAS!$B$2:$B$3052,B702,AKTIVITAS!$E$2:$E$3052,H702)&gt;0,1,0),0)</f>
        <v>0</v>
      </c>
      <c r="V702" s="71">
        <f>IFERROR(IF(AND(H702&gt;=INDEX(PEMAGANG!$J$3:$J$36,MATCH(B702,PEMAGANG!$C$3:$C$36,0)),H702&lt;=INDEX(PEMAGANG!$K$3:$K$36,MATCH(B702,PEMAGANG!$C$3:$C$36,0))),1,0),0)</f>
        <v>1</v>
      </c>
      <c r="W702" s="71">
        <f t="shared" si="98"/>
        <v>1</v>
      </c>
    </row>
    <row r="703" spans="1:23" x14ac:dyDescent="0.2">
      <c r="A703" s="71" t="s">
        <v>191</v>
      </c>
      <c r="B703" s="71" t="s">
        <v>192</v>
      </c>
      <c r="C703" s="71" t="s">
        <v>187</v>
      </c>
      <c r="D703" s="71" t="s">
        <v>185</v>
      </c>
      <c r="E703" s="71" t="s">
        <v>47</v>
      </c>
      <c r="F703" s="71" t="s">
        <v>300</v>
      </c>
      <c r="G703" s="88">
        <v>46247.701631944401</v>
      </c>
      <c r="H703" s="89">
        <v>46247</v>
      </c>
      <c r="I703" s="71" t="s">
        <v>334</v>
      </c>
      <c r="J703" s="71">
        <v>0</v>
      </c>
      <c r="K703" s="71" t="s">
        <v>302</v>
      </c>
      <c r="L703" s="71">
        <f t="shared" si="90"/>
        <v>8</v>
      </c>
      <c r="M703" s="71" t="str">
        <f>IFERROR(INDEX(KALENDER!$D$3:$D$132,MATCH(H703,KALENDER!$A$3:$A$132,0)),"Di luar periode")</f>
        <v>Hari Kerja</v>
      </c>
      <c r="N703" s="71">
        <f t="shared" si="91"/>
        <v>0</v>
      </c>
      <c r="O703" s="71">
        <f t="shared" si="92"/>
        <v>1</v>
      </c>
      <c r="P703" s="71">
        <f t="shared" si="93"/>
        <v>0</v>
      </c>
      <c r="Q703" s="71">
        <f t="shared" si="94"/>
        <v>0</v>
      </c>
      <c r="R703" s="71">
        <f t="shared" si="95"/>
        <v>0</v>
      </c>
      <c r="S703" s="71">
        <f t="shared" si="96"/>
        <v>0</v>
      </c>
      <c r="T703" s="71">
        <f t="shared" si="97"/>
        <v>0</v>
      </c>
      <c r="U703" s="71">
        <f>IF(AND(N703=1,V703=1),IF(COUNTIFS(AKTIVITAS!$B$2:$B$3052,B703,AKTIVITAS!$E$2:$E$3052,H703)&gt;0,1,0),0)</f>
        <v>0</v>
      </c>
      <c r="V703" s="71">
        <f>IFERROR(IF(AND(H703&gt;=INDEX(PEMAGANG!$J$3:$J$36,MATCH(B703,PEMAGANG!$C$3:$C$36,0)),H703&lt;=INDEX(PEMAGANG!$K$3:$K$36,MATCH(B703,PEMAGANG!$C$3:$C$36,0))),1,0),0)</f>
        <v>1</v>
      </c>
      <c r="W703" s="71">
        <f t="shared" si="98"/>
        <v>0</v>
      </c>
    </row>
    <row r="704" spans="1:23" x14ac:dyDescent="0.2">
      <c r="A704" s="71" t="s">
        <v>191</v>
      </c>
      <c r="B704" s="71" t="s">
        <v>192</v>
      </c>
      <c r="C704" s="71" t="s">
        <v>187</v>
      </c>
      <c r="D704" s="71" t="s">
        <v>185</v>
      </c>
      <c r="E704" s="71" t="s">
        <v>47</v>
      </c>
      <c r="F704" s="71" t="s">
        <v>298</v>
      </c>
      <c r="G704" s="88">
        <v>46248.309050925898</v>
      </c>
      <c r="H704" s="89">
        <v>46248</v>
      </c>
      <c r="I704" s="71" t="s">
        <v>307</v>
      </c>
      <c r="J704" s="71">
        <v>-4.9999999999999796</v>
      </c>
      <c r="K704" s="71" t="s">
        <v>302</v>
      </c>
      <c r="L704" s="71">
        <f t="shared" si="90"/>
        <v>8</v>
      </c>
      <c r="M704" s="71" t="str">
        <f>IFERROR(INDEX(KALENDER!$D$3:$D$132,MATCH(H704,KALENDER!$A$3:$A$132,0)),"Di luar periode")</f>
        <v>Hari Kerja</v>
      </c>
      <c r="N704" s="71">
        <f t="shared" si="91"/>
        <v>1</v>
      </c>
      <c r="O704" s="71">
        <f t="shared" si="92"/>
        <v>1</v>
      </c>
      <c r="P704" s="71">
        <f t="shared" si="93"/>
        <v>1</v>
      </c>
      <c r="Q704" s="71">
        <f t="shared" si="94"/>
        <v>0</v>
      </c>
      <c r="R704" s="71">
        <f t="shared" si="95"/>
        <v>0</v>
      </c>
      <c r="S704" s="71">
        <f t="shared" si="96"/>
        <v>0</v>
      </c>
      <c r="T704" s="71">
        <f t="shared" si="97"/>
        <v>0</v>
      </c>
      <c r="U704" s="71">
        <f>IF(AND(N704=1,V704=1),IF(COUNTIFS(AKTIVITAS!$B$2:$B$3052,B704,AKTIVITAS!$E$2:$E$3052,H704)&gt;0,1,0),0)</f>
        <v>0</v>
      </c>
      <c r="V704" s="71">
        <f>IFERROR(IF(AND(H704&gt;=INDEX(PEMAGANG!$J$3:$J$36,MATCH(B704,PEMAGANG!$C$3:$C$36,0)),H704&lt;=INDEX(PEMAGANG!$K$3:$K$36,MATCH(B704,PEMAGANG!$C$3:$C$36,0))),1,0),0)</f>
        <v>1</v>
      </c>
      <c r="W704" s="71">
        <f t="shared" si="98"/>
        <v>1</v>
      </c>
    </row>
    <row r="705" spans="1:23" x14ac:dyDescent="0.2">
      <c r="A705" s="71" t="s">
        <v>191</v>
      </c>
      <c r="B705" s="71" t="s">
        <v>192</v>
      </c>
      <c r="C705" s="71" t="s">
        <v>187</v>
      </c>
      <c r="D705" s="71" t="s">
        <v>185</v>
      </c>
      <c r="E705" s="71" t="s">
        <v>47</v>
      </c>
      <c r="F705" s="71" t="s">
        <v>300</v>
      </c>
      <c r="G705" s="88">
        <v>46248.708657407398</v>
      </c>
      <c r="H705" s="89">
        <v>46248</v>
      </c>
      <c r="I705" s="71" t="s">
        <v>350</v>
      </c>
      <c r="J705" s="71">
        <v>0</v>
      </c>
      <c r="K705" s="71" t="s">
        <v>302</v>
      </c>
      <c r="L705" s="71">
        <f t="shared" si="90"/>
        <v>8</v>
      </c>
      <c r="M705" s="71" t="str">
        <f>IFERROR(INDEX(KALENDER!$D$3:$D$132,MATCH(H705,KALENDER!$A$3:$A$132,0)),"Di luar periode")</f>
        <v>Hari Kerja</v>
      </c>
      <c r="N705" s="71">
        <f t="shared" si="91"/>
        <v>0</v>
      </c>
      <c r="O705" s="71">
        <f t="shared" si="92"/>
        <v>1</v>
      </c>
      <c r="P705" s="71">
        <f t="shared" si="93"/>
        <v>0</v>
      </c>
      <c r="Q705" s="71">
        <f t="shared" si="94"/>
        <v>0</v>
      </c>
      <c r="R705" s="71">
        <f t="shared" si="95"/>
        <v>0</v>
      </c>
      <c r="S705" s="71">
        <f t="shared" si="96"/>
        <v>0</v>
      </c>
      <c r="T705" s="71">
        <f t="shared" si="97"/>
        <v>0</v>
      </c>
      <c r="U705" s="71">
        <f>IF(AND(N705=1,V705=1),IF(COUNTIFS(AKTIVITAS!$B$2:$B$3052,B705,AKTIVITAS!$E$2:$E$3052,H705)&gt;0,1,0),0)</f>
        <v>0</v>
      </c>
      <c r="V705" s="71">
        <f>IFERROR(IF(AND(H705&gt;=INDEX(PEMAGANG!$J$3:$J$36,MATCH(B705,PEMAGANG!$C$3:$C$36,0)),H705&lt;=INDEX(PEMAGANG!$K$3:$K$36,MATCH(B705,PEMAGANG!$C$3:$C$36,0))),1,0),0)</f>
        <v>1</v>
      </c>
      <c r="W705" s="71">
        <f t="shared" si="98"/>
        <v>0</v>
      </c>
    </row>
    <row r="706" spans="1:23" x14ac:dyDescent="0.2">
      <c r="A706" s="71" t="s">
        <v>191</v>
      </c>
      <c r="B706" s="71" t="s">
        <v>192</v>
      </c>
      <c r="C706" s="71" t="s">
        <v>187</v>
      </c>
      <c r="D706" s="71" t="s">
        <v>185</v>
      </c>
      <c r="E706" s="71" t="s">
        <v>47</v>
      </c>
      <c r="F706" s="71" t="s">
        <v>298</v>
      </c>
      <c r="G706" s="88">
        <v>46252.307256944398</v>
      </c>
      <c r="H706" s="89">
        <v>46252</v>
      </c>
      <c r="I706" s="71" t="s">
        <v>313</v>
      </c>
      <c r="J706" s="71">
        <v>-8.0000000000000497</v>
      </c>
      <c r="K706" s="71" t="s">
        <v>302</v>
      </c>
      <c r="L706" s="71">
        <f t="shared" ref="L706:L769" si="99">MONTH(H706)</f>
        <v>8</v>
      </c>
      <c r="M706" s="71" t="str">
        <f>IFERROR(INDEX(KALENDER!$D$3:$D$132,MATCH(H706,KALENDER!$A$3:$A$132,0)),"Di luar periode")</f>
        <v>Hari Kerja</v>
      </c>
      <c r="N706" s="71">
        <f t="shared" ref="N706:N769" si="100">IF(AND(B706=B705,H706=H705),0,1)</f>
        <v>1</v>
      </c>
      <c r="O706" s="71">
        <f t="shared" ref="O706:O769" si="101">IF(N706=1,0,O705)+IF(F706="MASUK",1,0)</f>
        <v>1</v>
      </c>
      <c r="P706" s="71">
        <f t="shared" ref="P706:P769" si="102">IF(AND(N706=1,M706="Hari Kerja",V706=1),1,0)</f>
        <v>1</v>
      </c>
      <c r="Q706" s="71">
        <f t="shared" ref="Q706:Q769" si="103">IF(AND(N706=1,OR(M706&lt;&gt;"Hari Kerja",V706=0)),1,0)</f>
        <v>0</v>
      </c>
      <c r="R706" s="71">
        <f t="shared" ref="R706:R769" si="104">IF(AND(F706="MASUK",O706=1,N(J706)&gt;0,V706=1),1,0)</f>
        <v>0</v>
      </c>
      <c r="S706" s="71">
        <f t="shared" ref="S706:S769" si="105">R706*N(J706)</f>
        <v>0</v>
      </c>
      <c r="T706" s="71">
        <f t="shared" ref="T706:T769" si="106">IF(AND(N706=1,V706=1),IF(AND(COUNTIFS($B$2:$B$4094,B706,$H$2:$H$4094,H706,$F$2:$F$4094,"MASUK")&gt;0,COUNTIFS($B$2:$B$4094,B706,$H$2:$H$4094,H706,$F$2:$F$4094,"PULANG")=0),1,0),0)</f>
        <v>0</v>
      </c>
      <c r="U706" s="71">
        <f>IF(AND(N706=1,V706=1),IF(COUNTIFS(AKTIVITAS!$B$2:$B$3052,B706,AKTIVITAS!$E$2:$E$3052,H706)&gt;0,1,0),0)</f>
        <v>1</v>
      </c>
      <c r="V706" s="71">
        <f>IFERROR(IF(AND(H706&gt;=INDEX(PEMAGANG!$J$3:$J$36,MATCH(B706,PEMAGANG!$C$3:$C$36,0)),H706&lt;=INDEX(PEMAGANG!$K$3:$K$36,MATCH(B706,PEMAGANG!$C$3:$C$36,0))),1,0),0)</f>
        <v>1</v>
      </c>
      <c r="W706" s="71">
        <f t="shared" ref="W706:W769" si="107">N706*V706</f>
        <v>1</v>
      </c>
    </row>
    <row r="707" spans="1:23" x14ac:dyDescent="0.2">
      <c r="A707" s="71" t="s">
        <v>191</v>
      </c>
      <c r="B707" s="71" t="s">
        <v>192</v>
      </c>
      <c r="C707" s="71" t="s">
        <v>187</v>
      </c>
      <c r="D707" s="71" t="s">
        <v>185</v>
      </c>
      <c r="E707" s="71" t="s">
        <v>47</v>
      </c>
      <c r="F707" s="71" t="s">
        <v>300</v>
      </c>
      <c r="G707" s="88">
        <v>46252.743599537003</v>
      </c>
      <c r="H707" s="89">
        <v>46252</v>
      </c>
      <c r="I707" s="71" t="s">
        <v>397</v>
      </c>
      <c r="J707" s="71">
        <v>0</v>
      </c>
      <c r="K707" s="71" t="s">
        <v>302</v>
      </c>
      <c r="L707" s="71">
        <f t="shared" si="99"/>
        <v>8</v>
      </c>
      <c r="M707" s="71" t="str">
        <f>IFERROR(INDEX(KALENDER!$D$3:$D$132,MATCH(H707,KALENDER!$A$3:$A$132,0)),"Di luar periode")</f>
        <v>Hari Kerja</v>
      </c>
      <c r="N707" s="71">
        <f t="shared" si="100"/>
        <v>0</v>
      </c>
      <c r="O707" s="71">
        <f t="shared" si="101"/>
        <v>1</v>
      </c>
      <c r="P707" s="71">
        <f t="shared" si="102"/>
        <v>0</v>
      </c>
      <c r="Q707" s="71">
        <f t="shared" si="103"/>
        <v>0</v>
      </c>
      <c r="R707" s="71">
        <f t="shared" si="104"/>
        <v>0</v>
      </c>
      <c r="S707" s="71">
        <f t="shared" si="105"/>
        <v>0</v>
      </c>
      <c r="T707" s="71">
        <f t="shared" si="106"/>
        <v>0</v>
      </c>
      <c r="U707" s="71">
        <f>IF(AND(N707=1,V707=1),IF(COUNTIFS(AKTIVITAS!$B$2:$B$3052,B707,AKTIVITAS!$E$2:$E$3052,H707)&gt;0,1,0),0)</f>
        <v>0</v>
      </c>
      <c r="V707" s="71">
        <f>IFERROR(IF(AND(H707&gt;=INDEX(PEMAGANG!$J$3:$J$36,MATCH(B707,PEMAGANG!$C$3:$C$36,0)),H707&lt;=INDEX(PEMAGANG!$K$3:$K$36,MATCH(B707,PEMAGANG!$C$3:$C$36,0))),1,0),0)</f>
        <v>1</v>
      </c>
      <c r="W707" s="71">
        <f t="shared" si="107"/>
        <v>0</v>
      </c>
    </row>
    <row r="708" spans="1:23" x14ac:dyDescent="0.2">
      <c r="A708" s="71" t="s">
        <v>191</v>
      </c>
      <c r="B708" s="71" t="s">
        <v>192</v>
      </c>
      <c r="C708" s="71" t="s">
        <v>187</v>
      </c>
      <c r="D708" s="71" t="s">
        <v>185</v>
      </c>
      <c r="E708" s="71" t="s">
        <v>47</v>
      </c>
      <c r="F708" s="71" t="s">
        <v>298</v>
      </c>
      <c r="G708" s="88">
        <v>46253.308206018497</v>
      </c>
      <c r="H708" s="89">
        <v>46253</v>
      </c>
      <c r="I708" s="71" t="s">
        <v>311</v>
      </c>
      <c r="J708" s="71">
        <v>-6.9999999999999796</v>
      </c>
      <c r="K708" s="71" t="s">
        <v>302</v>
      </c>
      <c r="L708" s="71">
        <f t="shared" si="99"/>
        <v>8</v>
      </c>
      <c r="M708" s="71" t="str">
        <f>IFERROR(INDEX(KALENDER!$D$3:$D$132,MATCH(H708,KALENDER!$A$3:$A$132,0)),"Di luar periode")</f>
        <v>Hari Kerja</v>
      </c>
      <c r="N708" s="71">
        <f t="shared" si="100"/>
        <v>1</v>
      </c>
      <c r="O708" s="71">
        <f t="shared" si="101"/>
        <v>1</v>
      </c>
      <c r="P708" s="71">
        <f t="shared" si="102"/>
        <v>1</v>
      </c>
      <c r="Q708" s="71">
        <f t="shared" si="103"/>
        <v>0</v>
      </c>
      <c r="R708" s="71">
        <f t="shared" si="104"/>
        <v>0</v>
      </c>
      <c r="S708" s="71">
        <f t="shared" si="105"/>
        <v>0</v>
      </c>
      <c r="T708" s="71">
        <f t="shared" si="106"/>
        <v>0</v>
      </c>
      <c r="U708" s="71">
        <f>IF(AND(N708=1,V708=1),IF(COUNTIFS(AKTIVITAS!$B$2:$B$3052,B708,AKTIVITAS!$E$2:$E$3052,H708)&gt;0,1,0),0)</f>
        <v>1</v>
      </c>
      <c r="V708" s="71">
        <f>IFERROR(IF(AND(H708&gt;=INDEX(PEMAGANG!$J$3:$J$36,MATCH(B708,PEMAGANG!$C$3:$C$36,0)),H708&lt;=INDEX(PEMAGANG!$K$3:$K$36,MATCH(B708,PEMAGANG!$C$3:$C$36,0))),1,0),0)</f>
        <v>1</v>
      </c>
      <c r="W708" s="71">
        <f t="shared" si="107"/>
        <v>1</v>
      </c>
    </row>
    <row r="709" spans="1:23" x14ac:dyDescent="0.2">
      <c r="A709" s="71" t="s">
        <v>191</v>
      </c>
      <c r="B709" s="71" t="s">
        <v>192</v>
      </c>
      <c r="C709" s="71" t="s">
        <v>187</v>
      </c>
      <c r="D709" s="71" t="s">
        <v>185</v>
      </c>
      <c r="E709" s="71" t="s">
        <v>47</v>
      </c>
      <c r="F709" s="71" t="s">
        <v>300</v>
      </c>
      <c r="G709" s="88">
        <v>46253.690995370402</v>
      </c>
      <c r="H709" s="89">
        <v>46253</v>
      </c>
      <c r="I709" s="71" t="s">
        <v>310</v>
      </c>
      <c r="J709" s="71">
        <v>0</v>
      </c>
      <c r="K709" s="71" t="s">
        <v>302</v>
      </c>
      <c r="L709" s="71">
        <f t="shared" si="99"/>
        <v>8</v>
      </c>
      <c r="M709" s="71" t="str">
        <f>IFERROR(INDEX(KALENDER!$D$3:$D$132,MATCH(H709,KALENDER!$A$3:$A$132,0)),"Di luar periode")</f>
        <v>Hari Kerja</v>
      </c>
      <c r="N709" s="71">
        <f t="shared" si="100"/>
        <v>0</v>
      </c>
      <c r="O709" s="71">
        <f t="shared" si="101"/>
        <v>1</v>
      </c>
      <c r="P709" s="71">
        <f t="shared" si="102"/>
        <v>0</v>
      </c>
      <c r="Q709" s="71">
        <f t="shared" si="103"/>
        <v>0</v>
      </c>
      <c r="R709" s="71">
        <f t="shared" si="104"/>
        <v>0</v>
      </c>
      <c r="S709" s="71">
        <f t="shared" si="105"/>
        <v>0</v>
      </c>
      <c r="T709" s="71">
        <f t="shared" si="106"/>
        <v>0</v>
      </c>
      <c r="U709" s="71">
        <f>IF(AND(N709=1,V709=1),IF(COUNTIFS(AKTIVITAS!$B$2:$B$3052,B709,AKTIVITAS!$E$2:$E$3052,H709)&gt;0,1,0),0)</f>
        <v>0</v>
      </c>
      <c r="V709" s="71">
        <f>IFERROR(IF(AND(H709&gt;=INDEX(PEMAGANG!$J$3:$J$36,MATCH(B709,PEMAGANG!$C$3:$C$36,0)),H709&lt;=INDEX(PEMAGANG!$K$3:$K$36,MATCH(B709,PEMAGANG!$C$3:$C$36,0))),1,0),0)</f>
        <v>1</v>
      </c>
      <c r="W709" s="71">
        <f t="shared" si="107"/>
        <v>0</v>
      </c>
    </row>
    <row r="710" spans="1:23" x14ac:dyDescent="0.2">
      <c r="A710" s="71" t="s">
        <v>191</v>
      </c>
      <c r="B710" s="71" t="s">
        <v>192</v>
      </c>
      <c r="C710" s="71" t="s">
        <v>187</v>
      </c>
      <c r="D710" s="71" t="s">
        <v>185</v>
      </c>
      <c r="E710" s="71" t="s">
        <v>47</v>
      </c>
      <c r="F710" s="71" t="s">
        <v>298</v>
      </c>
      <c r="G710" s="88">
        <v>46254.307581018496</v>
      </c>
      <c r="H710" s="89">
        <v>46254</v>
      </c>
      <c r="I710" s="71" t="s">
        <v>313</v>
      </c>
      <c r="J710" s="71">
        <v>-8.0000000000000497</v>
      </c>
      <c r="K710" s="71" t="s">
        <v>302</v>
      </c>
      <c r="L710" s="71">
        <f t="shared" si="99"/>
        <v>8</v>
      </c>
      <c r="M710" s="71" t="str">
        <f>IFERROR(INDEX(KALENDER!$D$3:$D$132,MATCH(H710,KALENDER!$A$3:$A$132,0)),"Di luar periode")</f>
        <v>Hari Kerja</v>
      </c>
      <c r="N710" s="71">
        <f t="shared" si="100"/>
        <v>1</v>
      </c>
      <c r="O710" s="71">
        <f t="shared" si="101"/>
        <v>1</v>
      </c>
      <c r="P710" s="71">
        <f t="shared" si="102"/>
        <v>1</v>
      </c>
      <c r="Q710" s="71">
        <f t="shared" si="103"/>
        <v>0</v>
      </c>
      <c r="R710" s="71">
        <f t="shared" si="104"/>
        <v>0</v>
      </c>
      <c r="S710" s="71">
        <f t="shared" si="105"/>
        <v>0</v>
      </c>
      <c r="T710" s="71">
        <f t="shared" si="106"/>
        <v>0</v>
      </c>
      <c r="U710" s="71">
        <f>IF(AND(N710=1,V710=1),IF(COUNTIFS(AKTIVITAS!$B$2:$B$3052,B710,AKTIVITAS!$E$2:$E$3052,H710)&gt;0,1,0),0)</f>
        <v>1</v>
      </c>
      <c r="V710" s="71">
        <f>IFERROR(IF(AND(H710&gt;=INDEX(PEMAGANG!$J$3:$J$36,MATCH(B710,PEMAGANG!$C$3:$C$36,0)),H710&lt;=INDEX(PEMAGANG!$K$3:$K$36,MATCH(B710,PEMAGANG!$C$3:$C$36,0))),1,0),0)</f>
        <v>1</v>
      </c>
      <c r="W710" s="71">
        <f t="shared" si="107"/>
        <v>1</v>
      </c>
    </row>
    <row r="711" spans="1:23" x14ac:dyDescent="0.2">
      <c r="A711" s="71" t="s">
        <v>191</v>
      </c>
      <c r="B711" s="71" t="s">
        <v>192</v>
      </c>
      <c r="C711" s="71" t="s">
        <v>187</v>
      </c>
      <c r="D711" s="71" t="s">
        <v>185</v>
      </c>
      <c r="E711" s="71" t="s">
        <v>47</v>
      </c>
      <c r="F711" s="71" t="s">
        <v>300</v>
      </c>
      <c r="G711" s="88">
        <v>46254.691319444399</v>
      </c>
      <c r="H711" s="89">
        <v>46254</v>
      </c>
      <c r="I711" s="71" t="s">
        <v>310</v>
      </c>
      <c r="J711" s="71">
        <v>0</v>
      </c>
      <c r="K711" s="71" t="s">
        <v>302</v>
      </c>
      <c r="L711" s="71">
        <f t="shared" si="99"/>
        <v>8</v>
      </c>
      <c r="M711" s="71" t="str">
        <f>IFERROR(INDEX(KALENDER!$D$3:$D$132,MATCH(H711,KALENDER!$A$3:$A$132,0)),"Di luar periode")</f>
        <v>Hari Kerja</v>
      </c>
      <c r="N711" s="71">
        <f t="shared" si="100"/>
        <v>0</v>
      </c>
      <c r="O711" s="71">
        <f t="shared" si="101"/>
        <v>1</v>
      </c>
      <c r="P711" s="71">
        <f t="shared" si="102"/>
        <v>0</v>
      </c>
      <c r="Q711" s="71">
        <f t="shared" si="103"/>
        <v>0</v>
      </c>
      <c r="R711" s="71">
        <f t="shared" si="104"/>
        <v>0</v>
      </c>
      <c r="S711" s="71">
        <f t="shared" si="105"/>
        <v>0</v>
      </c>
      <c r="T711" s="71">
        <f t="shared" si="106"/>
        <v>0</v>
      </c>
      <c r="U711" s="71">
        <f>IF(AND(N711=1,V711=1),IF(COUNTIFS(AKTIVITAS!$B$2:$B$3052,B711,AKTIVITAS!$E$2:$E$3052,H711)&gt;0,1,0),0)</f>
        <v>0</v>
      </c>
      <c r="V711" s="71">
        <f>IFERROR(IF(AND(H711&gt;=INDEX(PEMAGANG!$J$3:$J$36,MATCH(B711,PEMAGANG!$C$3:$C$36,0)),H711&lt;=INDEX(PEMAGANG!$K$3:$K$36,MATCH(B711,PEMAGANG!$C$3:$C$36,0))),1,0),0)</f>
        <v>1</v>
      </c>
      <c r="W711" s="71">
        <f t="shared" si="107"/>
        <v>0</v>
      </c>
    </row>
    <row r="712" spans="1:23" x14ac:dyDescent="0.2">
      <c r="A712" s="71" t="s">
        <v>191</v>
      </c>
      <c r="B712" s="71" t="s">
        <v>192</v>
      </c>
      <c r="C712" s="71" t="s">
        <v>187</v>
      </c>
      <c r="D712" s="71" t="s">
        <v>185</v>
      </c>
      <c r="E712" s="71" t="s">
        <v>47</v>
      </c>
      <c r="F712" s="71" t="s">
        <v>300</v>
      </c>
      <c r="G712" s="88">
        <v>46255.308194444398</v>
      </c>
      <c r="H712" s="89">
        <v>46255</v>
      </c>
      <c r="I712" s="71" t="s">
        <v>311</v>
      </c>
      <c r="J712" s="71">
        <v>0</v>
      </c>
      <c r="K712" s="71" t="s">
        <v>302</v>
      </c>
      <c r="L712" s="71">
        <f t="shared" si="99"/>
        <v>8</v>
      </c>
      <c r="M712" s="71" t="str">
        <f>IFERROR(INDEX(KALENDER!$D$3:$D$132,MATCH(H712,KALENDER!$A$3:$A$132,0)),"Di luar periode")</f>
        <v>Hari Kerja</v>
      </c>
      <c r="N712" s="71">
        <f t="shared" si="100"/>
        <v>1</v>
      </c>
      <c r="O712" s="71">
        <f t="shared" si="101"/>
        <v>0</v>
      </c>
      <c r="P712" s="71">
        <f t="shared" si="102"/>
        <v>1</v>
      </c>
      <c r="Q712" s="71">
        <f t="shared" si="103"/>
        <v>0</v>
      </c>
      <c r="R712" s="71">
        <f t="shared" si="104"/>
        <v>0</v>
      </c>
      <c r="S712" s="71">
        <f t="shared" si="105"/>
        <v>0</v>
      </c>
      <c r="T712" s="71">
        <f t="shared" si="106"/>
        <v>0</v>
      </c>
      <c r="U712" s="71">
        <f>IF(AND(N712=1,V712=1),IF(COUNTIFS(AKTIVITAS!$B$2:$B$3052,B712,AKTIVITAS!$E$2:$E$3052,H712)&gt;0,1,0),0)</f>
        <v>1</v>
      </c>
      <c r="V712" s="71">
        <f>IFERROR(IF(AND(H712&gt;=INDEX(PEMAGANG!$J$3:$J$36,MATCH(B712,PEMAGANG!$C$3:$C$36,0)),H712&lt;=INDEX(PEMAGANG!$K$3:$K$36,MATCH(B712,PEMAGANG!$C$3:$C$36,0))),1,0),0)</f>
        <v>1</v>
      </c>
      <c r="W712" s="71">
        <f t="shared" si="107"/>
        <v>1</v>
      </c>
    </row>
    <row r="713" spans="1:23" x14ac:dyDescent="0.2">
      <c r="A713" s="71" t="s">
        <v>191</v>
      </c>
      <c r="B713" s="71" t="s">
        <v>192</v>
      </c>
      <c r="C713" s="71" t="s">
        <v>187</v>
      </c>
      <c r="D713" s="71" t="s">
        <v>185</v>
      </c>
      <c r="E713" s="71" t="s">
        <v>47</v>
      </c>
      <c r="F713" s="71" t="s">
        <v>298</v>
      </c>
      <c r="G713" s="88">
        <v>46255.308379629598</v>
      </c>
      <c r="H713" s="89">
        <v>46255</v>
      </c>
      <c r="I713" s="71" t="s">
        <v>303</v>
      </c>
      <c r="J713" s="71">
        <v>-36</v>
      </c>
      <c r="K713" s="71" t="s">
        <v>302</v>
      </c>
      <c r="L713" s="71">
        <f t="shared" si="99"/>
        <v>8</v>
      </c>
      <c r="M713" s="71" t="str">
        <f>IFERROR(INDEX(KALENDER!$D$3:$D$132,MATCH(H713,KALENDER!$A$3:$A$132,0)),"Di luar periode")</f>
        <v>Hari Kerja</v>
      </c>
      <c r="N713" s="71">
        <f t="shared" si="100"/>
        <v>0</v>
      </c>
      <c r="O713" s="71">
        <f t="shared" si="101"/>
        <v>1</v>
      </c>
      <c r="P713" s="71">
        <f t="shared" si="102"/>
        <v>0</v>
      </c>
      <c r="Q713" s="71">
        <f t="shared" si="103"/>
        <v>0</v>
      </c>
      <c r="R713" s="71">
        <f t="shared" si="104"/>
        <v>0</v>
      </c>
      <c r="S713" s="71">
        <f t="shared" si="105"/>
        <v>0</v>
      </c>
      <c r="T713" s="71">
        <f t="shared" si="106"/>
        <v>0</v>
      </c>
      <c r="U713" s="71">
        <f>IF(AND(N713=1,V713=1),IF(COUNTIFS(AKTIVITAS!$B$2:$B$3052,B713,AKTIVITAS!$E$2:$E$3052,H713)&gt;0,1,0),0)</f>
        <v>0</v>
      </c>
      <c r="V713" s="71">
        <f>IFERROR(IF(AND(H713&gt;=INDEX(PEMAGANG!$J$3:$J$36,MATCH(B713,PEMAGANG!$C$3:$C$36,0)),H713&lt;=INDEX(PEMAGANG!$K$3:$K$36,MATCH(B713,PEMAGANG!$C$3:$C$36,0))),1,0),0)</f>
        <v>1</v>
      </c>
      <c r="W713" s="71">
        <f t="shared" si="107"/>
        <v>0</v>
      </c>
    </row>
    <row r="714" spans="1:23" x14ac:dyDescent="0.2">
      <c r="A714" s="71" t="s">
        <v>191</v>
      </c>
      <c r="B714" s="71" t="s">
        <v>192</v>
      </c>
      <c r="C714" s="71" t="s">
        <v>187</v>
      </c>
      <c r="D714" s="71" t="s">
        <v>185</v>
      </c>
      <c r="E714" s="71" t="s">
        <v>47</v>
      </c>
      <c r="F714" s="71" t="s">
        <v>298</v>
      </c>
      <c r="G714" s="88">
        <v>46258.3123611111</v>
      </c>
      <c r="H714" s="89">
        <v>46258</v>
      </c>
      <c r="I714" s="71" t="s">
        <v>365</v>
      </c>
      <c r="J714" s="71">
        <v>-31</v>
      </c>
      <c r="K714" s="71" t="s">
        <v>302</v>
      </c>
      <c r="L714" s="71">
        <f t="shared" si="99"/>
        <v>8</v>
      </c>
      <c r="M714" s="71" t="str">
        <f>IFERROR(INDEX(KALENDER!$D$3:$D$132,MATCH(H714,KALENDER!$A$3:$A$132,0)),"Di luar periode")</f>
        <v>Hari Kerja</v>
      </c>
      <c r="N714" s="71">
        <f t="shared" si="100"/>
        <v>1</v>
      </c>
      <c r="O714" s="71">
        <f t="shared" si="101"/>
        <v>1</v>
      </c>
      <c r="P714" s="71">
        <f t="shared" si="102"/>
        <v>1</v>
      </c>
      <c r="Q714" s="71">
        <f t="shared" si="103"/>
        <v>0</v>
      </c>
      <c r="R714" s="71">
        <f t="shared" si="104"/>
        <v>0</v>
      </c>
      <c r="S714" s="71">
        <f t="shared" si="105"/>
        <v>0</v>
      </c>
      <c r="T714" s="71">
        <f t="shared" si="106"/>
        <v>0</v>
      </c>
      <c r="U714" s="71">
        <f>IF(AND(N714=1,V714=1),IF(COUNTIFS(AKTIVITAS!$B$2:$B$3052,B714,AKTIVITAS!$E$2:$E$3052,H714)&gt;0,1,0),0)</f>
        <v>1</v>
      </c>
      <c r="V714" s="71">
        <f>IFERROR(IF(AND(H714&gt;=INDEX(PEMAGANG!$J$3:$J$36,MATCH(B714,PEMAGANG!$C$3:$C$36,0)),H714&lt;=INDEX(PEMAGANG!$K$3:$K$36,MATCH(B714,PEMAGANG!$C$3:$C$36,0))),1,0),0)</f>
        <v>1</v>
      </c>
      <c r="W714" s="71">
        <f t="shared" si="107"/>
        <v>1</v>
      </c>
    </row>
    <row r="715" spans="1:23" x14ac:dyDescent="0.2">
      <c r="A715" s="71" t="s">
        <v>191</v>
      </c>
      <c r="B715" s="71" t="s">
        <v>192</v>
      </c>
      <c r="C715" s="71" t="s">
        <v>187</v>
      </c>
      <c r="D715" s="71" t="s">
        <v>185</v>
      </c>
      <c r="E715" s="71" t="s">
        <v>47</v>
      </c>
      <c r="F715" s="71" t="s">
        <v>300</v>
      </c>
      <c r="G715" s="88">
        <v>46258.699571759302</v>
      </c>
      <c r="H715" s="89">
        <v>46258</v>
      </c>
      <c r="I715" s="71" t="s">
        <v>337</v>
      </c>
      <c r="J715" s="71">
        <v>0</v>
      </c>
      <c r="K715" s="71" t="s">
        <v>302</v>
      </c>
      <c r="L715" s="71">
        <f t="shared" si="99"/>
        <v>8</v>
      </c>
      <c r="M715" s="71" t="str">
        <f>IFERROR(INDEX(KALENDER!$D$3:$D$132,MATCH(H715,KALENDER!$A$3:$A$132,0)),"Di luar periode")</f>
        <v>Hari Kerja</v>
      </c>
      <c r="N715" s="71">
        <f t="shared" si="100"/>
        <v>0</v>
      </c>
      <c r="O715" s="71">
        <f t="shared" si="101"/>
        <v>1</v>
      </c>
      <c r="P715" s="71">
        <f t="shared" si="102"/>
        <v>0</v>
      </c>
      <c r="Q715" s="71">
        <f t="shared" si="103"/>
        <v>0</v>
      </c>
      <c r="R715" s="71">
        <f t="shared" si="104"/>
        <v>0</v>
      </c>
      <c r="S715" s="71">
        <f t="shared" si="105"/>
        <v>0</v>
      </c>
      <c r="T715" s="71">
        <f t="shared" si="106"/>
        <v>0</v>
      </c>
      <c r="U715" s="71">
        <f>IF(AND(N715=1,V715=1),IF(COUNTIFS(AKTIVITAS!$B$2:$B$3052,B715,AKTIVITAS!$E$2:$E$3052,H715)&gt;0,1,0),0)</f>
        <v>0</v>
      </c>
      <c r="V715" s="71">
        <f>IFERROR(IF(AND(H715&gt;=INDEX(PEMAGANG!$J$3:$J$36,MATCH(B715,PEMAGANG!$C$3:$C$36,0)),H715&lt;=INDEX(PEMAGANG!$K$3:$K$36,MATCH(B715,PEMAGANG!$C$3:$C$36,0))),1,0),0)</f>
        <v>1</v>
      </c>
      <c r="W715" s="71">
        <f t="shared" si="107"/>
        <v>0</v>
      </c>
    </row>
    <row r="716" spans="1:23" x14ac:dyDescent="0.2">
      <c r="A716" s="71" t="s">
        <v>191</v>
      </c>
      <c r="B716" s="71" t="s">
        <v>192</v>
      </c>
      <c r="C716" s="71" t="s">
        <v>187</v>
      </c>
      <c r="D716" s="71" t="s">
        <v>185</v>
      </c>
      <c r="E716" s="71" t="s">
        <v>47</v>
      </c>
      <c r="F716" s="71" t="s">
        <v>298</v>
      </c>
      <c r="G716" s="88">
        <v>46261.308958333299</v>
      </c>
      <c r="H716" s="89">
        <v>46261</v>
      </c>
      <c r="I716" s="71" t="s">
        <v>303</v>
      </c>
      <c r="J716" s="71">
        <v>-36</v>
      </c>
      <c r="K716" s="71" t="s">
        <v>302</v>
      </c>
      <c r="L716" s="71">
        <f t="shared" si="99"/>
        <v>8</v>
      </c>
      <c r="M716" s="71" t="str">
        <f>IFERROR(INDEX(KALENDER!$D$3:$D$132,MATCH(H716,KALENDER!$A$3:$A$132,0)),"Di luar periode")</f>
        <v>Hari Kerja</v>
      </c>
      <c r="N716" s="71">
        <f t="shared" si="100"/>
        <v>1</v>
      </c>
      <c r="O716" s="71">
        <f t="shared" si="101"/>
        <v>1</v>
      </c>
      <c r="P716" s="71">
        <f t="shared" si="102"/>
        <v>1</v>
      </c>
      <c r="Q716" s="71">
        <f t="shared" si="103"/>
        <v>0</v>
      </c>
      <c r="R716" s="71">
        <f t="shared" si="104"/>
        <v>0</v>
      </c>
      <c r="S716" s="71">
        <f t="shared" si="105"/>
        <v>0</v>
      </c>
      <c r="T716" s="71">
        <f t="shared" si="106"/>
        <v>0</v>
      </c>
      <c r="U716" s="71">
        <f>IF(AND(N716=1,V716=1),IF(COUNTIFS(AKTIVITAS!$B$2:$B$3052,B716,AKTIVITAS!$E$2:$E$3052,H716)&gt;0,1,0),0)</f>
        <v>1</v>
      </c>
      <c r="V716" s="71">
        <f>IFERROR(IF(AND(H716&gt;=INDEX(PEMAGANG!$J$3:$J$36,MATCH(B716,PEMAGANG!$C$3:$C$36,0)),H716&lt;=INDEX(PEMAGANG!$K$3:$K$36,MATCH(B716,PEMAGANG!$C$3:$C$36,0))),1,0),0)</f>
        <v>1</v>
      </c>
      <c r="W716" s="71">
        <f t="shared" si="107"/>
        <v>1</v>
      </c>
    </row>
    <row r="717" spans="1:23" x14ac:dyDescent="0.2">
      <c r="A717" s="71" t="s">
        <v>191</v>
      </c>
      <c r="B717" s="71" t="s">
        <v>192</v>
      </c>
      <c r="C717" s="71" t="s">
        <v>187</v>
      </c>
      <c r="D717" s="71" t="s">
        <v>185</v>
      </c>
      <c r="E717" s="71" t="s">
        <v>47</v>
      </c>
      <c r="F717" s="71" t="s">
        <v>300</v>
      </c>
      <c r="G717" s="88">
        <v>46261.691053240698</v>
      </c>
      <c r="H717" s="89">
        <v>46261</v>
      </c>
      <c r="I717" s="71" t="s">
        <v>310</v>
      </c>
      <c r="J717" s="71">
        <v>0</v>
      </c>
      <c r="K717" s="71" t="s">
        <v>302</v>
      </c>
      <c r="L717" s="71">
        <f t="shared" si="99"/>
        <v>8</v>
      </c>
      <c r="M717" s="71" t="str">
        <f>IFERROR(INDEX(KALENDER!$D$3:$D$132,MATCH(H717,KALENDER!$A$3:$A$132,0)),"Di luar periode")</f>
        <v>Hari Kerja</v>
      </c>
      <c r="N717" s="71">
        <f t="shared" si="100"/>
        <v>0</v>
      </c>
      <c r="O717" s="71">
        <f t="shared" si="101"/>
        <v>1</v>
      </c>
      <c r="P717" s="71">
        <f t="shared" si="102"/>
        <v>0</v>
      </c>
      <c r="Q717" s="71">
        <f t="shared" si="103"/>
        <v>0</v>
      </c>
      <c r="R717" s="71">
        <f t="shared" si="104"/>
        <v>0</v>
      </c>
      <c r="S717" s="71">
        <f t="shared" si="105"/>
        <v>0</v>
      </c>
      <c r="T717" s="71">
        <f t="shared" si="106"/>
        <v>0</v>
      </c>
      <c r="U717" s="71">
        <f>IF(AND(N717=1,V717=1),IF(COUNTIFS(AKTIVITAS!$B$2:$B$3052,B717,AKTIVITAS!$E$2:$E$3052,H717)&gt;0,1,0),0)</f>
        <v>0</v>
      </c>
      <c r="V717" s="71">
        <f>IFERROR(IF(AND(H717&gt;=INDEX(PEMAGANG!$J$3:$J$36,MATCH(B717,PEMAGANG!$C$3:$C$36,0)),H717&lt;=INDEX(PEMAGANG!$K$3:$K$36,MATCH(B717,PEMAGANG!$C$3:$C$36,0))),1,0),0)</f>
        <v>1</v>
      </c>
      <c r="W717" s="71">
        <f t="shared" si="107"/>
        <v>0</v>
      </c>
    </row>
    <row r="718" spans="1:23" x14ac:dyDescent="0.2">
      <c r="A718" s="71" t="s">
        <v>191</v>
      </c>
      <c r="B718" s="71" t="s">
        <v>192</v>
      </c>
      <c r="C718" s="71" t="s">
        <v>187</v>
      </c>
      <c r="D718" s="71" t="s">
        <v>185</v>
      </c>
      <c r="E718" s="71" t="s">
        <v>47</v>
      </c>
      <c r="F718" s="71" t="s">
        <v>298</v>
      </c>
      <c r="G718" s="88">
        <v>46262.313032407401</v>
      </c>
      <c r="H718" s="89">
        <v>46262</v>
      </c>
      <c r="I718" s="71" t="s">
        <v>335</v>
      </c>
      <c r="J718" s="71">
        <v>-30</v>
      </c>
      <c r="K718" s="71" t="s">
        <v>302</v>
      </c>
      <c r="L718" s="71">
        <f t="shared" si="99"/>
        <v>8</v>
      </c>
      <c r="M718" s="71" t="str">
        <f>IFERROR(INDEX(KALENDER!$D$3:$D$132,MATCH(H718,KALENDER!$A$3:$A$132,0)),"Di luar periode")</f>
        <v>Hari Kerja</v>
      </c>
      <c r="N718" s="71">
        <f t="shared" si="100"/>
        <v>1</v>
      </c>
      <c r="O718" s="71">
        <f t="shared" si="101"/>
        <v>1</v>
      </c>
      <c r="P718" s="71">
        <f t="shared" si="102"/>
        <v>1</v>
      </c>
      <c r="Q718" s="71">
        <f t="shared" si="103"/>
        <v>0</v>
      </c>
      <c r="R718" s="71">
        <f t="shared" si="104"/>
        <v>0</v>
      </c>
      <c r="S718" s="71">
        <f t="shared" si="105"/>
        <v>0</v>
      </c>
      <c r="T718" s="71">
        <f t="shared" si="106"/>
        <v>0</v>
      </c>
      <c r="U718" s="71">
        <f>IF(AND(N718=1,V718=1),IF(COUNTIFS(AKTIVITAS!$B$2:$B$3052,B718,AKTIVITAS!$E$2:$E$3052,H718)&gt;0,1,0),0)</f>
        <v>1</v>
      </c>
      <c r="V718" s="71">
        <f>IFERROR(IF(AND(H718&gt;=INDEX(PEMAGANG!$J$3:$J$36,MATCH(B718,PEMAGANG!$C$3:$C$36,0)),H718&lt;=INDEX(PEMAGANG!$K$3:$K$36,MATCH(B718,PEMAGANG!$C$3:$C$36,0))),1,0),0)</f>
        <v>1</v>
      </c>
      <c r="W718" s="71">
        <f t="shared" si="107"/>
        <v>1</v>
      </c>
    </row>
    <row r="719" spans="1:23" x14ac:dyDescent="0.2">
      <c r="A719" s="71" t="s">
        <v>191</v>
      </c>
      <c r="B719" s="71" t="s">
        <v>192</v>
      </c>
      <c r="C719" s="71" t="s">
        <v>187</v>
      </c>
      <c r="D719" s="71" t="s">
        <v>185</v>
      </c>
      <c r="E719" s="71" t="s">
        <v>47</v>
      </c>
      <c r="F719" s="71" t="s">
        <v>300</v>
      </c>
      <c r="G719" s="88">
        <v>46262.731446759302</v>
      </c>
      <c r="H719" s="89">
        <v>46262</v>
      </c>
      <c r="I719" s="71" t="s">
        <v>404</v>
      </c>
      <c r="J719" s="71">
        <v>0</v>
      </c>
      <c r="K719" s="71" t="s">
        <v>302</v>
      </c>
      <c r="L719" s="71">
        <f t="shared" si="99"/>
        <v>8</v>
      </c>
      <c r="M719" s="71" t="str">
        <f>IFERROR(INDEX(KALENDER!$D$3:$D$132,MATCH(H719,KALENDER!$A$3:$A$132,0)),"Di luar periode")</f>
        <v>Hari Kerja</v>
      </c>
      <c r="N719" s="71">
        <f t="shared" si="100"/>
        <v>0</v>
      </c>
      <c r="O719" s="71">
        <f t="shared" si="101"/>
        <v>1</v>
      </c>
      <c r="P719" s="71">
        <f t="shared" si="102"/>
        <v>0</v>
      </c>
      <c r="Q719" s="71">
        <f t="shared" si="103"/>
        <v>0</v>
      </c>
      <c r="R719" s="71">
        <f t="shared" si="104"/>
        <v>0</v>
      </c>
      <c r="S719" s="71">
        <f t="shared" si="105"/>
        <v>0</v>
      </c>
      <c r="T719" s="71">
        <f t="shared" si="106"/>
        <v>0</v>
      </c>
      <c r="U719" s="71">
        <f>IF(AND(N719=1,V719=1),IF(COUNTIFS(AKTIVITAS!$B$2:$B$3052,B719,AKTIVITAS!$E$2:$E$3052,H719)&gt;0,1,0),0)</f>
        <v>0</v>
      </c>
      <c r="V719" s="71">
        <f>IFERROR(IF(AND(H719&gt;=INDEX(PEMAGANG!$J$3:$J$36,MATCH(B719,PEMAGANG!$C$3:$C$36,0)),H719&lt;=INDEX(PEMAGANG!$K$3:$K$36,MATCH(B719,PEMAGANG!$C$3:$C$36,0))),1,0),0)</f>
        <v>1</v>
      </c>
      <c r="W719" s="71">
        <f t="shared" si="107"/>
        <v>0</v>
      </c>
    </row>
    <row r="720" spans="1:23" x14ac:dyDescent="0.2">
      <c r="A720" s="71" t="s">
        <v>191</v>
      </c>
      <c r="B720" s="71" t="s">
        <v>192</v>
      </c>
      <c r="C720" s="71" t="s">
        <v>187</v>
      </c>
      <c r="D720" s="71" t="s">
        <v>185</v>
      </c>
      <c r="E720" s="71" t="s">
        <v>47</v>
      </c>
      <c r="F720" s="71" t="s">
        <v>298</v>
      </c>
      <c r="G720" s="88">
        <v>46265.312152777798</v>
      </c>
      <c r="H720" s="89">
        <v>46265</v>
      </c>
      <c r="I720" s="71" t="s">
        <v>365</v>
      </c>
      <c r="J720" s="71">
        <v>-31</v>
      </c>
      <c r="K720" s="71" t="s">
        <v>302</v>
      </c>
      <c r="L720" s="71">
        <f t="shared" si="99"/>
        <v>8</v>
      </c>
      <c r="M720" s="71" t="str">
        <f>IFERROR(INDEX(KALENDER!$D$3:$D$132,MATCH(H720,KALENDER!$A$3:$A$132,0)),"Di luar periode")</f>
        <v>Hari Kerja</v>
      </c>
      <c r="N720" s="71">
        <f t="shared" si="100"/>
        <v>1</v>
      </c>
      <c r="O720" s="71">
        <f t="shared" si="101"/>
        <v>1</v>
      </c>
      <c r="P720" s="71">
        <f t="shared" si="102"/>
        <v>1</v>
      </c>
      <c r="Q720" s="71">
        <f t="shared" si="103"/>
        <v>0</v>
      </c>
      <c r="R720" s="71">
        <f t="shared" si="104"/>
        <v>0</v>
      </c>
      <c r="S720" s="71">
        <f t="shared" si="105"/>
        <v>0</v>
      </c>
      <c r="T720" s="71">
        <f t="shared" si="106"/>
        <v>0</v>
      </c>
      <c r="U720" s="71">
        <f>IF(AND(N720=1,V720=1),IF(COUNTIFS(AKTIVITAS!$B$2:$B$3052,B720,AKTIVITAS!$E$2:$E$3052,H720)&gt;0,1,0),0)</f>
        <v>1</v>
      </c>
      <c r="V720" s="71">
        <f>IFERROR(IF(AND(H720&gt;=INDEX(PEMAGANG!$J$3:$J$36,MATCH(B720,PEMAGANG!$C$3:$C$36,0)),H720&lt;=INDEX(PEMAGANG!$K$3:$K$36,MATCH(B720,PEMAGANG!$C$3:$C$36,0))),1,0),0)</f>
        <v>1</v>
      </c>
      <c r="W720" s="71">
        <f t="shared" si="107"/>
        <v>1</v>
      </c>
    </row>
    <row r="721" spans="1:23" x14ac:dyDescent="0.2">
      <c r="A721" s="71" t="s">
        <v>191</v>
      </c>
      <c r="B721" s="71" t="s">
        <v>192</v>
      </c>
      <c r="C721" s="71" t="s">
        <v>187</v>
      </c>
      <c r="D721" s="71" t="s">
        <v>185</v>
      </c>
      <c r="E721" s="71" t="s">
        <v>47</v>
      </c>
      <c r="F721" s="71" t="s">
        <v>300</v>
      </c>
      <c r="G721" s="88">
        <v>46265.688738425903</v>
      </c>
      <c r="H721" s="89">
        <v>46265</v>
      </c>
      <c r="I721" s="71" t="s">
        <v>336</v>
      </c>
      <c r="J721" s="71">
        <v>0</v>
      </c>
      <c r="K721" s="71" t="s">
        <v>302</v>
      </c>
      <c r="L721" s="71">
        <f t="shared" si="99"/>
        <v>8</v>
      </c>
      <c r="M721" s="71" t="str">
        <f>IFERROR(INDEX(KALENDER!$D$3:$D$132,MATCH(H721,KALENDER!$A$3:$A$132,0)),"Di luar periode")</f>
        <v>Hari Kerja</v>
      </c>
      <c r="N721" s="71">
        <f t="shared" si="100"/>
        <v>0</v>
      </c>
      <c r="O721" s="71">
        <f t="shared" si="101"/>
        <v>1</v>
      </c>
      <c r="P721" s="71">
        <f t="shared" si="102"/>
        <v>0</v>
      </c>
      <c r="Q721" s="71">
        <f t="shared" si="103"/>
        <v>0</v>
      </c>
      <c r="R721" s="71">
        <f t="shared" si="104"/>
        <v>0</v>
      </c>
      <c r="S721" s="71">
        <f t="shared" si="105"/>
        <v>0</v>
      </c>
      <c r="T721" s="71">
        <f t="shared" si="106"/>
        <v>0</v>
      </c>
      <c r="U721" s="71">
        <f>IF(AND(N721=1,V721=1),IF(COUNTIFS(AKTIVITAS!$B$2:$B$3052,B721,AKTIVITAS!$E$2:$E$3052,H721)&gt;0,1,0),0)</f>
        <v>0</v>
      </c>
      <c r="V721" s="71">
        <f>IFERROR(IF(AND(H721&gt;=INDEX(PEMAGANG!$J$3:$J$36,MATCH(B721,PEMAGANG!$C$3:$C$36,0)),H721&lt;=INDEX(PEMAGANG!$K$3:$K$36,MATCH(B721,PEMAGANG!$C$3:$C$36,0))),1,0),0)</f>
        <v>1</v>
      </c>
      <c r="W721" s="71">
        <f t="shared" si="107"/>
        <v>0</v>
      </c>
    </row>
    <row r="722" spans="1:23" x14ac:dyDescent="0.2">
      <c r="A722" s="71" t="s">
        <v>191</v>
      </c>
      <c r="B722" s="71" t="s">
        <v>192</v>
      </c>
      <c r="C722" s="71" t="s">
        <v>187</v>
      </c>
      <c r="D722" s="71" t="s">
        <v>185</v>
      </c>
      <c r="E722" s="71" t="s">
        <v>47</v>
      </c>
      <c r="F722" s="71" t="s">
        <v>298</v>
      </c>
      <c r="G722" s="88">
        <v>46266.315254629597</v>
      </c>
      <c r="H722" s="89">
        <v>46266</v>
      </c>
      <c r="I722" s="71" t="s">
        <v>383</v>
      </c>
      <c r="J722" s="71">
        <v>-27</v>
      </c>
      <c r="K722" s="71" t="s">
        <v>302</v>
      </c>
      <c r="L722" s="71">
        <f t="shared" si="99"/>
        <v>9</v>
      </c>
      <c r="M722" s="71" t="str">
        <f>IFERROR(INDEX(KALENDER!$D$3:$D$132,MATCH(H722,KALENDER!$A$3:$A$132,0)),"Di luar periode")</f>
        <v>Hari Kerja</v>
      </c>
      <c r="N722" s="71">
        <f t="shared" si="100"/>
        <v>1</v>
      </c>
      <c r="O722" s="71">
        <f t="shared" si="101"/>
        <v>1</v>
      </c>
      <c r="P722" s="71">
        <f t="shared" si="102"/>
        <v>1</v>
      </c>
      <c r="Q722" s="71">
        <f t="shared" si="103"/>
        <v>0</v>
      </c>
      <c r="R722" s="71">
        <f t="shared" si="104"/>
        <v>0</v>
      </c>
      <c r="S722" s="71">
        <f t="shared" si="105"/>
        <v>0</v>
      </c>
      <c r="T722" s="71">
        <f t="shared" si="106"/>
        <v>1</v>
      </c>
      <c r="U722" s="71">
        <f>IF(AND(N722=1,V722=1),IF(COUNTIFS(AKTIVITAS!$B$2:$B$3052,B722,AKTIVITAS!$E$2:$E$3052,H722)&gt;0,1,0),0)</f>
        <v>1</v>
      </c>
      <c r="V722" s="71">
        <f>IFERROR(IF(AND(H722&gt;=INDEX(PEMAGANG!$J$3:$J$36,MATCH(B722,PEMAGANG!$C$3:$C$36,0)),H722&lt;=INDEX(PEMAGANG!$K$3:$K$36,MATCH(B722,PEMAGANG!$C$3:$C$36,0))),1,0),0)</f>
        <v>1</v>
      </c>
      <c r="W722" s="71">
        <f t="shared" si="107"/>
        <v>1</v>
      </c>
    </row>
    <row r="723" spans="1:23" x14ac:dyDescent="0.2">
      <c r="A723" s="71" t="s">
        <v>191</v>
      </c>
      <c r="B723" s="71" t="s">
        <v>192</v>
      </c>
      <c r="C723" s="71" t="s">
        <v>187</v>
      </c>
      <c r="D723" s="71" t="s">
        <v>185</v>
      </c>
      <c r="E723" s="71" t="s">
        <v>47</v>
      </c>
      <c r="F723" s="71" t="s">
        <v>298</v>
      </c>
      <c r="G723" s="88">
        <v>46267.3042361111</v>
      </c>
      <c r="H723" s="89">
        <v>46267</v>
      </c>
      <c r="I723" s="71" t="s">
        <v>326</v>
      </c>
      <c r="J723" s="71">
        <v>-42</v>
      </c>
      <c r="K723" s="71" t="s">
        <v>302</v>
      </c>
      <c r="L723" s="71">
        <f t="shared" si="99"/>
        <v>9</v>
      </c>
      <c r="M723" s="71" t="str">
        <f>IFERROR(INDEX(KALENDER!$D$3:$D$132,MATCH(H723,KALENDER!$A$3:$A$132,0)),"Di luar periode")</f>
        <v>Hari Kerja</v>
      </c>
      <c r="N723" s="71">
        <f t="shared" si="100"/>
        <v>1</v>
      </c>
      <c r="O723" s="71">
        <f t="shared" si="101"/>
        <v>1</v>
      </c>
      <c r="P723" s="71">
        <f t="shared" si="102"/>
        <v>1</v>
      </c>
      <c r="Q723" s="71">
        <f t="shared" si="103"/>
        <v>0</v>
      </c>
      <c r="R723" s="71">
        <f t="shared" si="104"/>
        <v>0</v>
      </c>
      <c r="S723" s="71">
        <f t="shared" si="105"/>
        <v>0</v>
      </c>
      <c r="T723" s="71">
        <f t="shared" si="106"/>
        <v>0</v>
      </c>
      <c r="U723" s="71">
        <f>IF(AND(N723=1,V723=1),IF(COUNTIFS(AKTIVITAS!$B$2:$B$3052,B723,AKTIVITAS!$E$2:$E$3052,H723)&gt;0,1,0),0)</f>
        <v>1</v>
      </c>
      <c r="V723" s="71">
        <f>IFERROR(IF(AND(H723&gt;=INDEX(PEMAGANG!$J$3:$J$36,MATCH(B723,PEMAGANG!$C$3:$C$36,0)),H723&lt;=INDEX(PEMAGANG!$K$3:$K$36,MATCH(B723,PEMAGANG!$C$3:$C$36,0))),1,0),0)</f>
        <v>1</v>
      </c>
      <c r="W723" s="71">
        <f t="shared" si="107"/>
        <v>1</v>
      </c>
    </row>
    <row r="724" spans="1:23" x14ac:dyDescent="0.2">
      <c r="A724" s="71" t="s">
        <v>191</v>
      </c>
      <c r="B724" s="71" t="s">
        <v>192</v>
      </c>
      <c r="C724" s="71" t="s">
        <v>187</v>
      </c>
      <c r="D724" s="71" t="s">
        <v>185</v>
      </c>
      <c r="E724" s="71" t="s">
        <v>47</v>
      </c>
      <c r="F724" s="71" t="s">
        <v>300</v>
      </c>
      <c r="G724" s="88">
        <v>46267.693171296298</v>
      </c>
      <c r="H724" s="89">
        <v>46267</v>
      </c>
      <c r="I724" s="71" t="s">
        <v>317</v>
      </c>
      <c r="J724" s="71">
        <v>0</v>
      </c>
      <c r="K724" s="71" t="s">
        <v>302</v>
      </c>
      <c r="L724" s="71">
        <f t="shared" si="99"/>
        <v>9</v>
      </c>
      <c r="M724" s="71" t="str">
        <f>IFERROR(INDEX(KALENDER!$D$3:$D$132,MATCH(H724,KALENDER!$A$3:$A$132,0)),"Di luar periode")</f>
        <v>Hari Kerja</v>
      </c>
      <c r="N724" s="71">
        <f t="shared" si="100"/>
        <v>0</v>
      </c>
      <c r="O724" s="71">
        <f t="shared" si="101"/>
        <v>1</v>
      </c>
      <c r="P724" s="71">
        <f t="shared" si="102"/>
        <v>0</v>
      </c>
      <c r="Q724" s="71">
        <f t="shared" si="103"/>
        <v>0</v>
      </c>
      <c r="R724" s="71">
        <f t="shared" si="104"/>
        <v>0</v>
      </c>
      <c r="S724" s="71">
        <f t="shared" si="105"/>
        <v>0</v>
      </c>
      <c r="T724" s="71">
        <f t="shared" si="106"/>
        <v>0</v>
      </c>
      <c r="U724" s="71">
        <f>IF(AND(N724=1,V724=1),IF(COUNTIFS(AKTIVITAS!$B$2:$B$3052,B724,AKTIVITAS!$E$2:$E$3052,H724)&gt;0,1,0),0)</f>
        <v>0</v>
      </c>
      <c r="V724" s="71">
        <f>IFERROR(IF(AND(H724&gt;=INDEX(PEMAGANG!$J$3:$J$36,MATCH(B724,PEMAGANG!$C$3:$C$36,0)),H724&lt;=INDEX(PEMAGANG!$K$3:$K$36,MATCH(B724,PEMAGANG!$C$3:$C$36,0))),1,0),0)</f>
        <v>1</v>
      </c>
      <c r="W724" s="71">
        <f t="shared" si="107"/>
        <v>0</v>
      </c>
    </row>
    <row r="725" spans="1:23" x14ac:dyDescent="0.2">
      <c r="A725" s="71" t="s">
        <v>191</v>
      </c>
      <c r="B725" s="71" t="s">
        <v>192</v>
      </c>
      <c r="C725" s="71" t="s">
        <v>187</v>
      </c>
      <c r="D725" s="71" t="s">
        <v>185</v>
      </c>
      <c r="E725" s="71" t="s">
        <v>47</v>
      </c>
      <c r="F725" s="71" t="s">
        <v>298</v>
      </c>
      <c r="G725" s="88">
        <v>46268.308402777802</v>
      </c>
      <c r="H725" s="89">
        <v>46268</v>
      </c>
      <c r="I725" s="71" t="s">
        <v>303</v>
      </c>
      <c r="J725" s="71">
        <v>-36</v>
      </c>
      <c r="K725" s="71" t="s">
        <v>302</v>
      </c>
      <c r="L725" s="71">
        <f t="shared" si="99"/>
        <v>9</v>
      </c>
      <c r="M725" s="71" t="str">
        <f>IFERROR(INDEX(KALENDER!$D$3:$D$132,MATCH(H725,KALENDER!$A$3:$A$132,0)),"Di luar periode")</f>
        <v>Hari Kerja</v>
      </c>
      <c r="N725" s="71">
        <f t="shared" si="100"/>
        <v>1</v>
      </c>
      <c r="O725" s="71">
        <f t="shared" si="101"/>
        <v>1</v>
      </c>
      <c r="P725" s="71">
        <f t="shared" si="102"/>
        <v>1</v>
      </c>
      <c r="Q725" s="71">
        <f t="shared" si="103"/>
        <v>0</v>
      </c>
      <c r="R725" s="71">
        <f t="shared" si="104"/>
        <v>0</v>
      </c>
      <c r="S725" s="71">
        <f t="shared" si="105"/>
        <v>0</v>
      </c>
      <c r="T725" s="71">
        <f t="shared" si="106"/>
        <v>0</v>
      </c>
      <c r="U725" s="71">
        <f>IF(AND(N725=1,V725=1),IF(COUNTIFS(AKTIVITAS!$B$2:$B$3052,B725,AKTIVITAS!$E$2:$E$3052,H725)&gt;0,1,0),0)</f>
        <v>1</v>
      </c>
      <c r="V725" s="71">
        <f>IFERROR(IF(AND(H725&gt;=INDEX(PEMAGANG!$J$3:$J$36,MATCH(B725,PEMAGANG!$C$3:$C$36,0)),H725&lt;=INDEX(PEMAGANG!$K$3:$K$36,MATCH(B725,PEMAGANG!$C$3:$C$36,0))),1,0),0)</f>
        <v>1</v>
      </c>
      <c r="W725" s="71">
        <f t="shared" si="107"/>
        <v>1</v>
      </c>
    </row>
    <row r="726" spans="1:23" x14ac:dyDescent="0.2">
      <c r="A726" s="71" t="s">
        <v>191</v>
      </c>
      <c r="B726" s="71" t="s">
        <v>192</v>
      </c>
      <c r="C726" s="71" t="s">
        <v>187</v>
      </c>
      <c r="D726" s="71" t="s">
        <v>185</v>
      </c>
      <c r="E726" s="71" t="s">
        <v>47</v>
      </c>
      <c r="F726" s="71" t="s">
        <v>300</v>
      </c>
      <c r="G726" s="88">
        <v>46268.691388888903</v>
      </c>
      <c r="H726" s="89">
        <v>46268</v>
      </c>
      <c r="I726" s="71" t="s">
        <v>310</v>
      </c>
      <c r="J726" s="71">
        <v>0</v>
      </c>
      <c r="K726" s="71" t="s">
        <v>302</v>
      </c>
      <c r="L726" s="71">
        <f t="shared" si="99"/>
        <v>9</v>
      </c>
      <c r="M726" s="71" t="str">
        <f>IFERROR(INDEX(KALENDER!$D$3:$D$132,MATCH(H726,KALENDER!$A$3:$A$132,0)),"Di luar periode")</f>
        <v>Hari Kerja</v>
      </c>
      <c r="N726" s="71">
        <f t="shared" si="100"/>
        <v>0</v>
      </c>
      <c r="O726" s="71">
        <f t="shared" si="101"/>
        <v>1</v>
      </c>
      <c r="P726" s="71">
        <f t="shared" si="102"/>
        <v>0</v>
      </c>
      <c r="Q726" s="71">
        <f t="shared" si="103"/>
        <v>0</v>
      </c>
      <c r="R726" s="71">
        <f t="shared" si="104"/>
        <v>0</v>
      </c>
      <c r="S726" s="71">
        <f t="shared" si="105"/>
        <v>0</v>
      </c>
      <c r="T726" s="71">
        <f t="shared" si="106"/>
        <v>0</v>
      </c>
      <c r="U726" s="71">
        <f>IF(AND(N726=1,V726=1),IF(COUNTIFS(AKTIVITAS!$B$2:$B$3052,B726,AKTIVITAS!$E$2:$E$3052,H726)&gt;0,1,0),0)</f>
        <v>0</v>
      </c>
      <c r="V726" s="71">
        <f>IFERROR(IF(AND(H726&gt;=INDEX(PEMAGANG!$J$3:$J$36,MATCH(B726,PEMAGANG!$C$3:$C$36,0)),H726&lt;=INDEX(PEMAGANG!$K$3:$K$36,MATCH(B726,PEMAGANG!$C$3:$C$36,0))),1,0),0)</f>
        <v>1</v>
      </c>
      <c r="W726" s="71">
        <f t="shared" si="107"/>
        <v>0</v>
      </c>
    </row>
    <row r="727" spans="1:23" x14ac:dyDescent="0.2">
      <c r="A727" s="71" t="s">
        <v>191</v>
      </c>
      <c r="B727" s="71" t="s">
        <v>192</v>
      </c>
      <c r="C727" s="71" t="s">
        <v>187</v>
      </c>
      <c r="D727" s="71" t="s">
        <v>185</v>
      </c>
      <c r="E727" s="71" t="s">
        <v>47</v>
      </c>
      <c r="F727" s="71" t="s">
        <v>300</v>
      </c>
      <c r="G727" s="88">
        <v>46269.720983796302</v>
      </c>
      <c r="H727" s="89">
        <v>46269</v>
      </c>
      <c r="I727" s="71" t="s">
        <v>473</v>
      </c>
      <c r="J727" s="71">
        <v>0</v>
      </c>
      <c r="K727" s="71" t="s">
        <v>302</v>
      </c>
      <c r="L727" s="71">
        <f t="shared" si="99"/>
        <v>9</v>
      </c>
      <c r="M727" s="71" t="str">
        <f>IFERROR(INDEX(KALENDER!$D$3:$D$132,MATCH(H727,KALENDER!$A$3:$A$132,0)),"Di luar periode")</f>
        <v>Hari Kerja</v>
      </c>
      <c r="N727" s="71">
        <f t="shared" si="100"/>
        <v>1</v>
      </c>
      <c r="O727" s="71">
        <f t="shared" si="101"/>
        <v>0</v>
      </c>
      <c r="P727" s="71">
        <f t="shared" si="102"/>
        <v>1</v>
      </c>
      <c r="Q727" s="71">
        <f t="shared" si="103"/>
        <v>0</v>
      </c>
      <c r="R727" s="71">
        <f t="shared" si="104"/>
        <v>0</v>
      </c>
      <c r="S727" s="71">
        <f t="shared" si="105"/>
        <v>0</v>
      </c>
      <c r="T727" s="71">
        <f t="shared" si="106"/>
        <v>0</v>
      </c>
      <c r="U727" s="71">
        <f>IF(AND(N727=1,V727=1),IF(COUNTIFS(AKTIVITAS!$B$2:$B$3052,B727,AKTIVITAS!$E$2:$E$3052,H727)&gt;0,1,0),0)</f>
        <v>1</v>
      </c>
      <c r="V727" s="71">
        <f>IFERROR(IF(AND(H727&gt;=INDEX(PEMAGANG!$J$3:$J$36,MATCH(B727,PEMAGANG!$C$3:$C$36,0)),H727&lt;=INDEX(PEMAGANG!$K$3:$K$36,MATCH(B727,PEMAGANG!$C$3:$C$36,0))),1,0),0)</f>
        <v>1</v>
      </c>
      <c r="W727" s="71">
        <f t="shared" si="107"/>
        <v>1</v>
      </c>
    </row>
    <row r="728" spans="1:23" x14ac:dyDescent="0.2">
      <c r="A728" s="71" t="s">
        <v>191</v>
      </c>
      <c r="B728" s="71" t="s">
        <v>192</v>
      </c>
      <c r="C728" s="71" t="s">
        <v>187</v>
      </c>
      <c r="D728" s="71" t="s">
        <v>185</v>
      </c>
      <c r="E728" s="71" t="s">
        <v>47</v>
      </c>
      <c r="F728" s="71" t="s">
        <v>298</v>
      </c>
      <c r="G728" s="88">
        <v>46272.306446759299</v>
      </c>
      <c r="H728" s="89">
        <v>46272</v>
      </c>
      <c r="I728" s="71" t="s">
        <v>305</v>
      </c>
      <c r="J728" s="71">
        <v>-39</v>
      </c>
      <c r="K728" s="71" t="s">
        <v>302</v>
      </c>
      <c r="L728" s="71">
        <f t="shared" si="99"/>
        <v>9</v>
      </c>
      <c r="M728" s="71" t="str">
        <f>IFERROR(INDEX(KALENDER!$D$3:$D$132,MATCH(H728,KALENDER!$A$3:$A$132,0)),"Di luar periode")</f>
        <v>Hari Kerja</v>
      </c>
      <c r="N728" s="71">
        <f t="shared" si="100"/>
        <v>1</v>
      </c>
      <c r="O728" s="71">
        <f t="shared" si="101"/>
        <v>1</v>
      </c>
      <c r="P728" s="71">
        <f t="shared" si="102"/>
        <v>1</v>
      </c>
      <c r="Q728" s="71">
        <f t="shared" si="103"/>
        <v>0</v>
      </c>
      <c r="R728" s="71">
        <f t="shared" si="104"/>
        <v>0</v>
      </c>
      <c r="S728" s="71">
        <f t="shared" si="105"/>
        <v>0</v>
      </c>
      <c r="T728" s="71">
        <f t="shared" si="106"/>
        <v>0</v>
      </c>
      <c r="U728" s="71">
        <f>IF(AND(N728=1,V728=1),IF(COUNTIFS(AKTIVITAS!$B$2:$B$3052,B728,AKTIVITAS!$E$2:$E$3052,H728)&gt;0,1,0),0)</f>
        <v>1</v>
      </c>
      <c r="V728" s="71">
        <f>IFERROR(IF(AND(H728&gt;=INDEX(PEMAGANG!$J$3:$J$36,MATCH(B728,PEMAGANG!$C$3:$C$36,0)),H728&lt;=INDEX(PEMAGANG!$K$3:$K$36,MATCH(B728,PEMAGANG!$C$3:$C$36,0))),1,0),0)</f>
        <v>1</v>
      </c>
      <c r="W728" s="71">
        <f t="shared" si="107"/>
        <v>1</v>
      </c>
    </row>
    <row r="729" spans="1:23" x14ac:dyDescent="0.2">
      <c r="A729" s="71" t="s">
        <v>191</v>
      </c>
      <c r="B729" s="71" t="s">
        <v>192</v>
      </c>
      <c r="C729" s="71" t="s">
        <v>187</v>
      </c>
      <c r="D729" s="71" t="s">
        <v>185</v>
      </c>
      <c r="E729" s="71" t="s">
        <v>47</v>
      </c>
      <c r="F729" s="71" t="s">
        <v>300</v>
      </c>
      <c r="G729" s="88">
        <v>46272.693622685198</v>
      </c>
      <c r="H729" s="89">
        <v>46272</v>
      </c>
      <c r="I729" s="71" t="s">
        <v>317</v>
      </c>
      <c r="J729" s="71">
        <v>0</v>
      </c>
      <c r="K729" s="71" t="s">
        <v>302</v>
      </c>
      <c r="L729" s="71">
        <f t="shared" si="99"/>
        <v>9</v>
      </c>
      <c r="M729" s="71" t="str">
        <f>IFERROR(INDEX(KALENDER!$D$3:$D$132,MATCH(H729,KALENDER!$A$3:$A$132,0)),"Di luar periode")</f>
        <v>Hari Kerja</v>
      </c>
      <c r="N729" s="71">
        <f t="shared" si="100"/>
        <v>0</v>
      </c>
      <c r="O729" s="71">
        <f t="shared" si="101"/>
        <v>1</v>
      </c>
      <c r="P729" s="71">
        <f t="shared" si="102"/>
        <v>0</v>
      </c>
      <c r="Q729" s="71">
        <f t="shared" si="103"/>
        <v>0</v>
      </c>
      <c r="R729" s="71">
        <f t="shared" si="104"/>
        <v>0</v>
      </c>
      <c r="S729" s="71">
        <f t="shared" si="105"/>
        <v>0</v>
      </c>
      <c r="T729" s="71">
        <f t="shared" si="106"/>
        <v>0</v>
      </c>
      <c r="U729" s="71">
        <f>IF(AND(N729=1,V729=1),IF(COUNTIFS(AKTIVITAS!$B$2:$B$3052,B729,AKTIVITAS!$E$2:$E$3052,H729)&gt;0,1,0),0)</f>
        <v>0</v>
      </c>
      <c r="V729" s="71">
        <f>IFERROR(IF(AND(H729&gt;=INDEX(PEMAGANG!$J$3:$J$36,MATCH(B729,PEMAGANG!$C$3:$C$36,0)),H729&lt;=INDEX(PEMAGANG!$K$3:$K$36,MATCH(B729,PEMAGANG!$C$3:$C$36,0))),1,0),0)</f>
        <v>1</v>
      </c>
      <c r="W729" s="71">
        <f t="shared" si="107"/>
        <v>0</v>
      </c>
    </row>
    <row r="730" spans="1:23" x14ac:dyDescent="0.2">
      <c r="A730" s="71" t="s">
        <v>191</v>
      </c>
      <c r="B730" s="71" t="s">
        <v>192</v>
      </c>
      <c r="C730" s="71" t="s">
        <v>187</v>
      </c>
      <c r="D730" s="71" t="s">
        <v>185</v>
      </c>
      <c r="E730" s="71" t="s">
        <v>47</v>
      </c>
      <c r="F730" s="71" t="s">
        <v>298</v>
      </c>
      <c r="G730" s="88">
        <v>46273.317199074103</v>
      </c>
      <c r="H730" s="89">
        <v>46273</v>
      </c>
      <c r="I730" s="71" t="s">
        <v>376</v>
      </c>
      <c r="J730" s="71">
        <v>-24</v>
      </c>
      <c r="K730" s="71" t="s">
        <v>302</v>
      </c>
      <c r="L730" s="71">
        <f t="shared" si="99"/>
        <v>9</v>
      </c>
      <c r="M730" s="71" t="str">
        <f>IFERROR(INDEX(KALENDER!$D$3:$D$132,MATCH(H730,KALENDER!$A$3:$A$132,0)),"Di luar periode")</f>
        <v>Hari Kerja</v>
      </c>
      <c r="N730" s="71">
        <f t="shared" si="100"/>
        <v>1</v>
      </c>
      <c r="O730" s="71">
        <f t="shared" si="101"/>
        <v>1</v>
      </c>
      <c r="P730" s="71">
        <f t="shared" si="102"/>
        <v>1</v>
      </c>
      <c r="Q730" s="71">
        <f t="shared" si="103"/>
        <v>0</v>
      </c>
      <c r="R730" s="71">
        <f t="shared" si="104"/>
        <v>0</v>
      </c>
      <c r="S730" s="71">
        <f t="shared" si="105"/>
        <v>0</v>
      </c>
      <c r="T730" s="71">
        <f t="shared" si="106"/>
        <v>0</v>
      </c>
      <c r="U730" s="71">
        <f>IF(AND(N730=1,V730=1),IF(COUNTIFS(AKTIVITAS!$B$2:$B$3052,B730,AKTIVITAS!$E$2:$E$3052,H730)&gt;0,1,0),0)</f>
        <v>1</v>
      </c>
      <c r="V730" s="71">
        <f>IFERROR(IF(AND(H730&gt;=INDEX(PEMAGANG!$J$3:$J$36,MATCH(B730,PEMAGANG!$C$3:$C$36,0)),H730&lt;=INDEX(PEMAGANG!$K$3:$K$36,MATCH(B730,PEMAGANG!$C$3:$C$36,0))),1,0),0)</f>
        <v>1</v>
      </c>
      <c r="W730" s="71">
        <f t="shared" si="107"/>
        <v>1</v>
      </c>
    </row>
    <row r="731" spans="1:23" x14ac:dyDescent="0.2">
      <c r="A731" s="71" t="s">
        <v>191</v>
      </c>
      <c r="B731" s="71" t="s">
        <v>192</v>
      </c>
      <c r="C731" s="71" t="s">
        <v>187</v>
      </c>
      <c r="D731" s="71" t="s">
        <v>185</v>
      </c>
      <c r="E731" s="71" t="s">
        <v>47</v>
      </c>
      <c r="F731" s="71" t="s">
        <v>300</v>
      </c>
      <c r="G731" s="88">
        <v>46273.688888888901</v>
      </c>
      <c r="H731" s="89">
        <v>46273</v>
      </c>
      <c r="I731" s="71" t="s">
        <v>306</v>
      </c>
      <c r="J731" s="71">
        <v>0</v>
      </c>
      <c r="K731" s="71" t="s">
        <v>302</v>
      </c>
      <c r="L731" s="71">
        <f t="shared" si="99"/>
        <v>9</v>
      </c>
      <c r="M731" s="71" t="str">
        <f>IFERROR(INDEX(KALENDER!$D$3:$D$132,MATCH(H731,KALENDER!$A$3:$A$132,0)),"Di luar periode")</f>
        <v>Hari Kerja</v>
      </c>
      <c r="N731" s="71">
        <f t="shared" si="100"/>
        <v>0</v>
      </c>
      <c r="O731" s="71">
        <f t="shared" si="101"/>
        <v>1</v>
      </c>
      <c r="P731" s="71">
        <f t="shared" si="102"/>
        <v>0</v>
      </c>
      <c r="Q731" s="71">
        <f t="shared" si="103"/>
        <v>0</v>
      </c>
      <c r="R731" s="71">
        <f t="shared" si="104"/>
        <v>0</v>
      </c>
      <c r="S731" s="71">
        <f t="shared" si="105"/>
        <v>0</v>
      </c>
      <c r="T731" s="71">
        <f t="shared" si="106"/>
        <v>0</v>
      </c>
      <c r="U731" s="71">
        <f>IF(AND(N731=1,V731=1),IF(COUNTIFS(AKTIVITAS!$B$2:$B$3052,B731,AKTIVITAS!$E$2:$E$3052,H731)&gt;0,1,0),0)</f>
        <v>0</v>
      </c>
      <c r="V731" s="71">
        <f>IFERROR(IF(AND(H731&gt;=INDEX(PEMAGANG!$J$3:$J$36,MATCH(B731,PEMAGANG!$C$3:$C$36,0)),H731&lt;=INDEX(PEMAGANG!$K$3:$K$36,MATCH(B731,PEMAGANG!$C$3:$C$36,0))),1,0),0)</f>
        <v>1</v>
      </c>
      <c r="W731" s="71">
        <f t="shared" si="107"/>
        <v>0</v>
      </c>
    </row>
    <row r="732" spans="1:23" x14ac:dyDescent="0.2">
      <c r="A732" s="71" t="s">
        <v>191</v>
      </c>
      <c r="B732" s="71" t="s">
        <v>192</v>
      </c>
      <c r="C732" s="71" t="s">
        <v>187</v>
      </c>
      <c r="D732" s="71" t="s">
        <v>185</v>
      </c>
      <c r="E732" s="71" t="s">
        <v>47</v>
      </c>
      <c r="F732" s="71" t="s">
        <v>298</v>
      </c>
      <c r="G732" s="88">
        <v>46274.3156481482</v>
      </c>
      <c r="H732" s="89">
        <v>46274</v>
      </c>
      <c r="I732" s="71" t="s">
        <v>373</v>
      </c>
      <c r="J732" s="71">
        <v>3.9999999999999898</v>
      </c>
      <c r="K732" s="71" t="s">
        <v>293</v>
      </c>
      <c r="L732" s="71">
        <f t="shared" si="99"/>
        <v>9</v>
      </c>
      <c r="M732" s="71" t="str">
        <f>IFERROR(INDEX(KALENDER!$D$3:$D$132,MATCH(H732,KALENDER!$A$3:$A$132,0)),"Di luar periode")</f>
        <v>Hari Kerja</v>
      </c>
      <c r="N732" s="71">
        <f t="shared" si="100"/>
        <v>1</v>
      </c>
      <c r="O732" s="71">
        <f t="shared" si="101"/>
        <v>1</v>
      </c>
      <c r="P732" s="71">
        <f t="shared" si="102"/>
        <v>1</v>
      </c>
      <c r="Q732" s="71">
        <f t="shared" si="103"/>
        <v>0</v>
      </c>
      <c r="R732" s="71">
        <f t="shared" si="104"/>
        <v>1</v>
      </c>
      <c r="S732" s="71">
        <f t="shared" si="105"/>
        <v>3.9999999999999898</v>
      </c>
      <c r="T732" s="71">
        <f t="shared" si="106"/>
        <v>0</v>
      </c>
      <c r="U732" s="71">
        <f>IF(AND(N732=1,V732=1),IF(COUNTIFS(AKTIVITAS!$B$2:$B$3052,B732,AKTIVITAS!$E$2:$E$3052,H732)&gt;0,1,0),0)</f>
        <v>1</v>
      </c>
      <c r="V732" s="71">
        <f>IFERROR(IF(AND(H732&gt;=INDEX(PEMAGANG!$J$3:$J$36,MATCH(B732,PEMAGANG!$C$3:$C$36,0)),H732&lt;=INDEX(PEMAGANG!$K$3:$K$36,MATCH(B732,PEMAGANG!$C$3:$C$36,0))),1,0),0)</f>
        <v>1</v>
      </c>
      <c r="W732" s="71">
        <f t="shared" si="107"/>
        <v>1</v>
      </c>
    </row>
    <row r="733" spans="1:23" x14ac:dyDescent="0.2">
      <c r="A733" s="71" t="s">
        <v>191</v>
      </c>
      <c r="B733" s="71" t="s">
        <v>192</v>
      </c>
      <c r="C733" s="71" t="s">
        <v>187</v>
      </c>
      <c r="D733" s="71" t="s">
        <v>185</v>
      </c>
      <c r="E733" s="71" t="s">
        <v>47</v>
      </c>
      <c r="F733" s="71" t="s">
        <v>298</v>
      </c>
      <c r="G733" s="88">
        <v>46274.315659722197</v>
      </c>
      <c r="H733" s="89">
        <v>46274</v>
      </c>
      <c r="I733" s="71" t="s">
        <v>373</v>
      </c>
      <c r="J733" s="71">
        <v>3.9999999999999898</v>
      </c>
      <c r="K733" s="71" t="s">
        <v>293</v>
      </c>
      <c r="L733" s="71">
        <f t="shared" si="99"/>
        <v>9</v>
      </c>
      <c r="M733" s="71" t="str">
        <f>IFERROR(INDEX(KALENDER!$D$3:$D$132,MATCH(H733,KALENDER!$A$3:$A$132,0)),"Di luar periode")</f>
        <v>Hari Kerja</v>
      </c>
      <c r="N733" s="71">
        <f t="shared" si="100"/>
        <v>0</v>
      </c>
      <c r="O733" s="71">
        <f t="shared" si="101"/>
        <v>2</v>
      </c>
      <c r="P733" s="71">
        <f t="shared" si="102"/>
        <v>0</v>
      </c>
      <c r="Q733" s="71">
        <f t="shared" si="103"/>
        <v>0</v>
      </c>
      <c r="R733" s="71">
        <f t="shared" si="104"/>
        <v>0</v>
      </c>
      <c r="S733" s="71">
        <f t="shared" si="105"/>
        <v>0</v>
      </c>
      <c r="T733" s="71">
        <f t="shared" si="106"/>
        <v>0</v>
      </c>
      <c r="U733" s="71">
        <f>IF(AND(N733=1,V733=1),IF(COUNTIFS(AKTIVITAS!$B$2:$B$3052,B733,AKTIVITAS!$E$2:$E$3052,H733)&gt;0,1,0),0)</f>
        <v>0</v>
      </c>
      <c r="V733" s="71">
        <f>IFERROR(IF(AND(H733&gt;=INDEX(PEMAGANG!$J$3:$J$36,MATCH(B733,PEMAGANG!$C$3:$C$36,0)),H733&lt;=INDEX(PEMAGANG!$K$3:$K$36,MATCH(B733,PEMAGANG!$C$3:$C$36,0))),1,0),0)</f>
        <v>1</v>
      </c>
      <c r="W733" s="71">
        <f t="shared" si="107"/>
        <v>0</v>
      </c>
    </row>
    <row r="734" spans="1:23" x14ac:dyDescent="0.2">
      <c r="A734" s="71" t="s">
        <v>191</v>
      </c>
      <c r="B734" s="71" t="s">
        <v>192</v>
      </c>
      <c r="C734" s="71" t="s">
        <v>187</v>
      </c>
      <c r="D734" s="71" t="s">
        <v>185</v>
      </c>
      <c r="E734" s="71" t="s">
        <v>47</v>
      </c>
      <c r="F734" s="71" t="s">
        <v>298</v>
      </c>
      <c r="G734" s="88">
        <v>46274.315717592603</v>
      </c>
      <c r="H734" s="89">
        <v>46274</v>
      </c>
      <c r="I734" s="71" t="s">
        <v>373</v>
      </c>
      <c r="J734" s="71">
        <v>3.9999999999999898</v>
      </c>
      <c r="K734" s="71" t="s">
        <v>293</v>
      </c>
      <c r="L734" s="71">
        <f t="shared" si="99"/>
        <v>9</v>
      </c>
      <c r="M734" s="71" t="str">
        <f>IFERROR(INDEX(KALENDER!$D$3:$D$132,MATCH(H734,KALENDER!$A$3:$A$132,0)),"Di luar periode")</f>
        <v>Hari Kerja</v>
      </c>
      <c r="N734" s="71">
        <f t="shared" si="100"/>
        <v>0</v>
      </c>
      <c r="O734" s="71">
        <f t="shared" si="101"/>
        <v>3</v>
      </c>
      <c r="P734" s="71">
        <f t="shared" si="102"/>
        <v>0</v>
      </c>
      <c r="Q734" s="71">
        <f t="shared" si="103"/>
        <v>0</v>
      </c>
      <c r="R734" s="71">
        <f t="shared" si="104"/>
        <v>0</v>
      </c>
      <c r="S734" s="71">
        <f t="shared" si="105"/>
        <v>0</v>
      </c>
      <c r="T734" s="71">
        <f t="shared" si="106"/>
        <v>0</v>
      </c>
      <c r="U734" s="71">
        <f>IF(AND(N734=1,V734=1),IF(COUNTIFS(AKTIVITAS!$B$2:$B$3052,B734,AKTIVITAS!$E$2:$E$3052,H734)&gt;0,1,0),0)</f>
        <v>0</v>
      </c>
      <c r="V734" s="71">
        <f>IFERROR(IF(AND(H734&gt;=INDEX(PEMAGANG!$J$3:$J$36,MATCH(B734,PEMAGANG!$C$3:$C$36,0)),H734&lt;=INDEX(PEMAGANG!$K$3:$K$36,MATCH(B734,PEMAGANG!$C$3:$C$36,0))),1,0),0)</f>
        <v>1</v>
      </c>
      <c r="W734" s="71">
        <f t="shared" si="107"/>
        <v>0</v>
      </c>
    </row>
    <row r="735" spans="1:23" x14ac:dyDescent="0.2">
      <c r="A735" s="71" t="s">
        <v>191</v>
      </c>
      <c r="B735" s="71" t="s">
        <v>192</v>
      </c>
      <c r="C735" s="71" t="s">
        <v>187</v>
      </c>
      <c r="D735" s="71" t="s">
        <v>185</v>
      </c>
      <c r="E735" s="71" t="s">
        <v>47</v>
      </c>
      <c r="F735" s="71" t="s">
        <v>298</v>
      </c>
      <c r="G735" s="88">
        <v>46274.315775463001</v>
      </c>
      <c r="H735" s="89">
        <v>46274</v>
      </c>
      <c r="I735" s="71" t="s">
        <v>373</v>
      </c>
      <c r="J735" s="71">
        <v>3.9999999999999898</v>
      </c>
      <c r="K735" s="71" t="s">
        <v>293</v>
      </c>
      <c r="L735" s="71">
        <f t="shared" si="99"/>
        <v>9</v>
      </c>
      <c r="M735" s="71" t="str">
        <f>IFERROR(INDEX(KALENDER!$D$3:$D$132,MATCH(H735,KALENDER!$A$3:$A$132,0)),"Di luar periode")</f>
        <v>Hari Kerja</v>
      </c>
      <c r="N735" s="71">
        <f t="shared" si="100"/>
        <v>0</v>
      </c>
      <c r="O735" s="71">
        <f t="shared" si="101"/>
        <v>4</v>
      </c>
      <c r="P735" s="71">
        <f t="shared" si="102"/>
        <v>0</v>
      </c>
      <c r="Q735" s="71">
        <f t="shared" si="103"/>
        <v>0</v>
      </c>
      <c r="R735" s="71">
        <f t="shared" si="104"/>
        <v>0</v>
      </c>
      <c r="S735" s="71">
        <f t="shared" si="105"/>
        <v>0</v>
      </c>
      <c r="T735" s="71">
        <f t="shared" si="106"/>
        <v>0</v>
      </c>
      <c r="U735" s="71">
        <f>IF(AND(N735=1,V735=1),IF(COUNTIFS(AKTIVITAS!$B$2:$B$3052,B735,AKTIVITAS!$E$2:$E$3052,H735)&gt;0,1,0),0)</f>
        <v>0</v>
      </c>
      <c r="V735" s="71">
        <f>IFERROR(IF(AND(H735&gt;=INDEX(PEMAGANG!$J$3:$J$36,MATCH(B735,PEMAGANG!$C$3:$C$36,0)),H735&lt;=INDEX(PEMAGANG!$K$3:$K$36,MATCH(B735,PEMAGANG!$C$3:$C$36,0))),1,0),0)</f>
        <v>1</v>
      </c>
      <c r="W735" s="71">
        <f t="shared" si="107"/>
        <v>0</v>
      </c>
    </row>
    <row r="736" spans="1:23" x14ac:dyDescent="0.2">
      <c r="A736" s="71" t="s">
        <v>191</v>
      </c>
      <c r="B736" s="71" t="s">
        <v>192</v>
      </c>
      <c r="C736" s="71" t="s">
        <v>187</v>
      </c>
      <c r="D736" s="71" t="s">
        <v>185</v>
      </c>
      <c r="E736" s="71" t="s">
        <v>47</v>
      </c>
      <c r="F736" s="71" t="s">
        <v>298</v>
      </c>
      <c r="G736" s="88">
        <v>46274.315787036998</v>
      </c>
      <c r="H736" s="89">
        <v>46274</v>
      </c>
      <c r="I736" s="71" t="s">
        <v>373</v>
      </c>
      <c r="J736" s="71">
        <v>-26</v>
      </c>
      <c r="K736" s="71" t="s">
        <v>302</v>
      </c>
      <c r="L736" s="71">
        <f t="shared" si="99"/>
        <v>9</v>
      </c>
      <c r="M736" s="71" t="str">
        <f>IFERROR(INDEX(KALENDER!$D$3:$D$132,MATCH(H736,KALENDER!$A$3:$A$132,0)),"Di luar periode")</f>
        <v>Hari Kerja</v>
      </c>
      <c r="N736" s="71">
        <f t="shared" si="100"/>
        <v>0</v>
      </c>
      <c r="O736" s="71">
        <f t="shared" si="101"/>
        <v>5</v>
      </c>
      <c r="P736" s="71">
        <f t="shared" si="102"/>
        <v>0</v>
      </c>
      <c r="Q736" s="71">
        <f t="shared" si="103"/>
        <v>0</v>
      </c>
      <c r="R736" s="71">
        <f t="shared" si="104"/>
        <v>0</v>
      </c>
      <c r="S736" s="71">
        <f t="shared" si="105"/>
        <v>0</v>
      </c>
      <c r="T736" s="71">
        <f t="shared" si="106"/>
        <v>0</v>
      </c>
      <c r="U736" s="71">
        <f>IF(AND(N736=1,V736=1),IF(COUNTIFS(AKTIVITAS!$B$2:$B$3052,B736,AKTIVITAS!$E$2:$E$3052,H736)&gt;0,1,0),0)</f>
        <v>0</v>
      </c>
      <c r="V736" s="71">
        <f>IFERROR(IF(AND(H736&gt;=INDEX(PEMAGANG!$J$3:$J$36,MATCH(B736,PEMAGANG!$C$3:$C$36,0)),H736&lt;=INDEX(PEMAGANG!$K$3:$K$36,MATCH(B736,PEMAGANG!$C$3:$C$36,0))),1,0),0)</f>
        <v>1</v>
      </c>
      <c r="W736" s="71">
        <f t="shared" si="107"/>
        <v>0</v>
      </c>
    </row>
    <row r="737" spans="1:23" x14ac:dyDescent="0.2">
      <c r="A737" s="71" t="s">
        <v>191</v>
      </c>
      <c r="B737" s="71" t="s">
        <v>192</v>
      </c>
      <c r="C737" s="71" t="s">
        <v>187</v>
      </c>
      <c r="D737" s="71" t="s">
        <v>185</v>
      </c>
      <c r="E737" s="71" t="s">
        <v>47</v>
      </c>
      <c r="F737" s="71" t="s">
        <v>298</v>
      </c>
      <c r="G737" s="88">
        <v>46274.315787036998</v>
      </c>
      <c r="H737" s="89">
        <v>46274</v>
      </c>
      <c r="I737" s="71" t="s">
        <v>373</v>
      </c>
      <c r="J737" s="71">
        <v>3.9999999999999898</v>
      </c>
      <c r="K737" s="71" t="s">
        <v>293</v>
      </c>
      <c r="L737" s="71">
        <f t="shared" si="99"/>
        <v>9</v>
      </c>
      <c r="M737" s="71" t="str">
        <f>IFERROR(INDEX(KALENDER!$D$3:$D$132,MATCH(H737,KALENDER!$A$3:$A$132,0)),"Di luar periode")</f>
        <v>Hari Kerja</v>
      </c>
      <c r="N737" s="71">
        <f t="shared" si="100"/>
        <v>0</v>
      </c>
      <c r="O737" s="71">
        <f t="shared" si="101"/>
        <v>6</v>
      </c>
      <c r="P737" s="71">
        <f t="shared" si="102"/>
        <v>0</v>
      </c>
      <c r="Q737" s="71">
        <f t="shared" si="103"/>
        <v>0</v>
      </c>
      <c r="R737" s="71">
        <f t="shared" si="104"/>
        <v>0</v>
      </c>
      <c r="S737" s="71">
        <f t="shared" si="105"/>
        <v>0</v>
      </c>
      <c r="T737" s="71">
        <f t="shared" si="106"/>
        <v>0</v>
      </c>
      <c r="U737" s="71">
        <f>IF(AND(N737=1,V737=1),IF(COUNTIFS(AKTIVITAS!$B$2:$B$3052,B737,AKTIVITAS!$E$2:$E$3052,H737)&gt;0,1,0),0)</f>
        <v>0</v>
      </c>
      <c r="V737" s="71">
        <f>IFERROR(IF(AND(H737&gt;=INDEX(PEMAGANG!$J$3:$J$36,MATCH(B737,PEMAGANG!$C$3:$C$36,0)),H737&lt;=INDEX(PEMAGANG!$K$3:$K$36,MATCH(B737,PEMAGANG!$C$3:$C$36,0))),1,0),0)</f>
        <v>1</v>
      </c>
      <c r="W737" s="71">
        <f t="shared" si="107"/>
        <v>0</v>
      </c>
    </row>
    <row r="738" spans="1:23" x14ac:dyDescent="0.2">
      <c r="A738" s="71" t="s">
        <v>191</v>
      </c>
      <c r="B738" s="71" t="s">
        <v>192</v>
      </c>
      <c r="C738" s="71" t="s">
        <v>187</v>
      </c>
      <c r="D738" s="71" t="s">
        <v>185</v>
      </c>
      <c r="E738" s="71" t="s">
        <v>47</v>
      </c>
      <c r="F738" s="71" t="s">
        <v>300</v>
      </c>
      <c r="G738" s="88">
        <v>46274.688854166699</v>
      </c>
      <c r="H738" s="89">
        <v>46274</v>
      </c>
      <c r="I738" s="71" t="s">
        <v>336</v>
      </c>
      <c r="J738" s="71">
        <v>0</v>
      </c>
      <c r="K738" s="71" t="s">
        <v>302</v>
      </c>
      <c r="L738" s="71">
        <f t="shared" si="99"/>
        <v>9</v>
      </c>
      <c r="M738" s="71" t="str">
        <f>IFERROR(INDEX(KALENDER!$D$3:$D$132,MATCH(H738,KALENDER!$A$3:$A$132,0)),"Di luar periode")</f>
        <v>Hari Kerja</v>
      </c>
      <c r="N738" s="71">
        <f t="shared" si="100"/>
        <v>0</v>
      </c>
      <c r="O738" s="71">
        <f t="shared" si="101"/>
        <v>6</v>
      </c>
      <c r="P738" s="71">
        <f t="shared" si="102"/>
        <v>0</v>
      </c>
      <c r="Q738" s="71">
        <f t="shared" si="103"/>
        <v>0</v>
      </c>
      <c r="R738" s="71">
        <f t="shared" si="104"/>
        <v>0</v>
      </c>
      <c r="S738" s="71">
        <f t="shared" si="105"/>
        <v>0</v>
      </c>
      <c r="T738" s="71">
        <f t="shared" si="106"/>
        <v>0</v>
      </c>
      <c r="U738" s="71">
        <f>IF(AND(N738=1,V738=1),IF(COUNTIFS(AKTIVITAS!$B$2:$B$3052,B738,AKTIVITAS!$E$2:$E$3052,H738)&gt;0,1,0),0)</f>
        <v>0</v>
      </c>
      <c r="V738" s="71">
        <f>IFERROR(IF(AND(H738&gt;=INDEX(PEMAGANG!$J$3:$J$36,MATCH(B738,PEMAGANG!$C$3:$C$36,0)),H738&lt;=INDEX(PEMAGANG!$K$3:$K$36,MATCH(B738,PEMAGANG!$C$3:$C$36,0))),1,0),0)</f>
        <v>1</v>
      </c>
      <c r="W738" s="71">
        <f t="shared" si="107"/>
        <v>0</v>
      </c>
    </row>
    <row r="739" spans="1:23" x14ac:dyDescent="0.2">
      <c r="A739" s="71" t="s">
        <v>191</v>
      </c>
      <c r="B739" s="71" t="s">
        <v>192</v>
      </c>
      <c r="C739" s="71" t="s">
        <v>187</v>
      </c>
      <c r="D739" s="71" t="s">
        <v>185</v>
      </c>
      <c r="E739" s="71" t="s">
        <v>47</v>
      </c>
      <c r="F739" s="71" t="s">
        <v>300</v>
      </c>
      <c r="G739" s="88">
        <v>46274.688865740703</v>
      </c>
      <c r="H739" s="89">
        <v>46274</v>
      </c>
      <c r="I739" s="71" t="s">
        <v>336</v>
      </c>
      <c r="J739" s="71">
        <v>0</v>
      </c>
      <c r="K739" s="71" t="s">
        <v>302</v>
      </c>
      <c r="L739" s="71">
        <f t="shared" si="99"/>
        <v>9</v>
      </c>
      <c r="M739" s="71" t="str">
        <f>IFERROR(INDEX(KALENDER!$D$3:$D$132,MATCH(H739,KALENDER!$A$3:$A$132,0)),"Di luar periode")</f>
        <v>Hari Kerja</v>
      </c>
      <c r="N739" s="71">
        <f t="shared" si="100"/>
        <v>0</v>
      </c>
      <c r="O739" s="71">
        <f t="shared" si="101"/>
        <v>6</v>
      </c>
      <c r="P739" s="71">
        <f t="shared" si="102"/>
        <v>0</v>
      </c>
      <c r="Q739" s="71">
        <f t="shared" si="103"/>
        <v>0</v>
      </c>
      <c r="R739" s="71">
        <f t="shared" si="104"/>
        <v>0</v>
      </c>
      <c r="S739" s="71">
        <f t="shared" si="105"/>
        <v>0</v>
      </c>
      <c r="T739" s="71">
        <f t="shared" si="106"/>
        <v>0</v>
      </c>
      <c r="U739" s="71">
        <f>IF(AND(N739=1,V739=1),IF(COUNTIFS(AKTIVITAS!$B$2:$B$3052,B739,AKTIVITAS!$E$2:$E$3052,H739)&gt;0,1,0),0)</f>
        <v>0</v>
      </c>
      <c r="V739" s="71">
        <f>IFERROR(IF(AND(H739&gt;=INDEX(PEMAGANG!$J$3:$J$36,MATCH(B739,PEMAGANG!$C$3:$C$36,0)),H739&lt;=INDEX(PEMAGANG!$K$3:$K$36,MATCH(B739,PEMAGANG!$C$3:$C$36,0))),1,0),0)</f>
        <v>1</v>
      </c>
      <c r="W739" s="71">
        <f t="shared" si="107"/>
        <v>0</v>
      </c>
    </row>
    <row r="740" spans="1:23" x14ac:dyDescent="0.2">
      <c r="A740" s="71" t="s">
        <v>191</v>
      </c>
      <c r="B740" s="71" t="s">
        <v>192</v>
      </c>
      <c r="C740" s="71" t="s">
        <v>187</v>
      </c>
      <c r="D740" s="71" t="s">
        <v>185</v>
      </c>
      <c r="E740" s="71" t="s">
        <v>47</v>
      </c>
      <c r="F740" s="71" t="s">
        <v>300</v>
      </c>
      <c r="G740" s="88">
        <v>46274.688877314802</v>
      </c>
      <c r="H740" s="89">
        <v>46274</v>
      </c>
      <c r="I740" s="71" t="s">
        <v>336</v>
      </c>
      <c r="J740" s="71">
        <v>0</v>
      </c>
      <c r="K740" s="71" t="s">
        <v>302</v>
      </c>
      <c r="L740" s="71">
        <f t="shared" si="99"/>
        <v>9</v>
      </c>
      <c r="M740" s="71" t="str">
        <f>IFERROR(INDEX(KALENDER!$D$3:$D$132,MATCH(H740,KALENDER!$A$3:$A$132,0)),"Di luar periode")</f>
        <v>Hari Kerja</v>
      </c>
      <c r="N740" s="71">
        <f t="shared" si="100"/>
        <v>0</v>
      </c>
      <c r="O740" s="71">
        <f t="shared" si="101"/>
        <v>6</v>
      </c>
      <c r="P740" s="71">
        <f t="shared" si="102"/>
        <v>0</v>
      </c>
      <c r="Q740" s="71">
        <f t="shared" si="103"/>
        <v>0</v>
      </c>
      <c r="R740" s="71">
        <f t="shared" si="104"/>
        <v>0</v>
      </c>
      <c r="S740" s="71">
        <f t="shared" si="105"/>
        <v>0</v>
      </c>
      <c r="T740" s="71">
        <f t="shared" si="106"/>
        <v>0</v>
      </c>
      <c r="U740" s="71">
        <f>IF(AND(N740=1,V740=1),IF(COUNTIFS(AKTIVITAS!$B$2:$B$3052,B740,AKTIVITAS!$E$2:$E$3052,H740)&gt;0,1,0),0)</f>
        <v>0</v>
      </c>
      <c r="V740" s="71">
        <f>IFERROR(IF(AND(H740&gt;=INDEX(PEMAGANG!$J$3:$J$36,MATCH(B740,PEMAGANG!$C$3:$C$36,0)),H740&lt;=INDEX(PEMAGANG!$K$3:$K$36,MATCH(B740,PEMAGANG!$C$3:$C$36,0))),1,0),0)</f>
        <v>1</v>
      </c>
      <c r="W740" s="71">
        <f t="shared" si="107"/>
        <v>0</v>
      </c>
    </row>
    <row r="741" spans="1:23" x14ac:dyDescent="0.2">
      <c r="A741" s="71" t="s">
        <v>191</v>
      </c>
      <c r="B741" s="71" t="s">
        <v>192</v>
      </c>
      <c r="C741" s="71" t="s">
        <v>187</v>
      </c>
      <c r="D741" s="71" t="s">
        <v>185</v>
      </c>
      <c r="E741" s="71" t="s">
        <v>47</v>
      </c>
      <c r="F741" s="71" t="s">
        <v>298</v>
      </c>
      <c r="G741" s="88">
        <v>46275.315798611096</v>
      </c>
      <c r="H741" s="89">
        <v>46275</v>
      </c>
      <c r="I741" s="71" t="s">
        <v>373</v>
      </c>
      <c r="J741" s="71">
        <v>3.9999999999999898</v>
      </c>
      <c r="K741" s="71" t="s">
        <v>293</v>
      </c>
      <c r="L741" s="71">
        <f t="shared" si="99"/>
        <v>9</v>
      </c>
      <c r="M741" s="71" t="str">
        <f>IFERROR(INDEX(KALENDER!$D$3:$D$132,MATCH(H741,KALENDER!$A$3:$A$132,0)),"Di luar periode")</f>
        <v>Hari Kerja</v>
      </c>
      <c r="N741" s="71">
        <f t="shared" si="100"/>
        <v>1</v>
      </c>
      <c r="O741" s="71">
        <f t="shared" si="101"/>
        <v>1</v>
      </c>
      <c r="P741" s="71">
        <f t="shared" si="102"/>
        <v>1</v>
      </c>
      <c r="Q741" s="71">
        <f t="shared" si="103"/>
        <v>0</v>
      </c>
      <c r="R741" s="71">
        <f t="shared" si="104"/>
        <v>1</v>
      </c>
      <c r="S741" s="71">
        <f t="shared" si="105"/>
        <v>3.9999999999999898</v>
      </c>
      <c r="T741" s="71">
        <f t="shared" si="106"/>
        <v>0</v>
      </c>
      <c r="U741" s="71">
        <f>IF(AND(N741=1,V741=1),IF(COUNTIFS(AKTIVITAS!$B$2:$B$3052,B741,AKTIVITAS!$E$2:$E$3052,H741)&gt;0,1,0),0)</f>
        <v>1</v>
      </c>
      <c r="V741" s="71">
        <f>IFERROR(IF(AND(H741&gt;=INDEX(PEMAGANG!$J$3:$J$36,MATCH(B741,PEMAGANG!$C$3:$C$36,0)),H741&lt;=INDEX(PEMAGANG!$K$3:$K$36,MATCH(B741,PEMAGANG!$C$3:$C$36,0))),1,0),0)</f>
        <v>1</v>
      </c>
      <c r="W741" s="71">
        <f t="shared" si="107"/>
        <v>1</v>
      </c>
    </row>
    <row r="742" spans="1:23" x14ac:dyDescent="0.2">
      <c r="A742" s="71" t="s">
        <v>191</v>
      </c>
      <c r="B742" s="71" t="s">
        <v>192</v>
      </c>
      <c r="C742" s="71" t="s">
        <v>187</v>
      </c>
      <c r="D742" s="71" t="s">
        <v>185</v>
      </c>
      <c r="E742" s="71" t="s">
        <v>47</v>
      </c>
      <c r="F742" s="71" t="s">
        <v>298</v>
      </c>
      <c r="G742" s="88">
        <v>46275.315810185202</v>
      </c>
      <c r="H742" s="89">
        <v>46275</v>
      </c>
      <c r="I742" s="71" t="s">
        <v>373</v>
      </c>
      <c r="J742" s="71">
        <v>3.9999999999999898</v>
      </c>
      <c r="K742" s="71" t="s">
        <v>293</v>
      </c>
      <c r="L742" s="71">
        <f t="shared" si="99"/>
        <v>9</v>
      </c>
      <c r="M742" s="71" t="str">
        <f>IFERROR(INDEX(KALENDER!$D$3:$D$132,MATCH(H742,KALENDER!$A$3:$A$132,0)),"Di luar periode")</f>
        <v>Hari Kerja</v>
      </c>
      <c r="N742" s="71">
        <f t="shared" si="100"/>
        <v>0</v>
      </c>
      <c r="O742" s="71">
        <f t="shared" si="101"/>
        <v>2</v>
      </c>
      <c r="P742" s="71">
        <f t="shared" si="102"/>
        <v>0</v>
      </c>
      <c r="Q742" s="71">
        <f t="shared" si="103"/>
        <v>0</v>
      </c>
      <c r="R742" s="71">
        <f t="shared" si="104"/>
        <v>0</v>
      </c>
      <c r="S742" s="71">
        <f t="shared" si="105"/>
        <v>0</v>
      </c>
      <c r="T742" s="71">
        <f t="shared" si="106"/>
        <v>0</v>
      </c>
      <c r="U742" s="71">
        <f>IF(AND(N742=1,V742=1),IF(COUNTIFS(AKTIVITAS!$B$2:$B$3052,B742,AKTIVITAS!$E$2:$E$3052,H742)&gt;0,1,0),0)</f>
        <v>0</v>
      </c>
      <c r="V742" s="71">
        <f>IFERROR(IF(AND(H742&gt;=INDEX(PEMAGANG!$J$3:$J$36,MATCH(B742,PEMAGANG!$C$3:$C$36,0)),H742&lt;=INDEX(PEMAGANG!$K$3:$K$36,MATCH(B742,PEMAGANG!$C$3:$C$36,0))),1,0),0)</f>
        <v>1</v>
      </c>
      <c r="W742" s="71">
        <f t="shared" si="107"/>
        <v>0</v>
      </c>
    </row>
    <row r="743" spans="1:23" x14ac:dyDescent="0.2">
      <c r="A743" s="71" t="s">
        <v>191</v>
      </c>
      <c r="B743" s="71" t="s">
        <v>192</v>
      </c>
      <c r="C743" s="71" t="s">
        <v>187</v>
      </c>
      <c r="D743" s="71" t="s">
        <v>185</v>
      </c>
      <c r="E743" s="71" t="s">
        <v>47</v>
      </c>
      <c r="F743" s="71" t="s">
        <v>298</v>
      </c>
      <c r="G743" s="88">
        <v>46275.315821759301</v>
      </c>
      <c r="H743" s="89">
        <v>46275</v>
      </c>
      <c r="I743" s="71" t="s">
        <v>373</v>
      </c>
      <c r="J743" s="71">
        <v>-26</v>
      </c>
      <c r="K743" s="71" t="s">
        <v>302</v>
      </c>
      <c r="L743" s="71">
        <f t="shared" si="99"/>
        <v>9</v>
      </c>
      <c r="M743" s="71" t="str">
        <f>IFERROR(INDEX(KALENDER!$D$3:$D$132,MATCH(H743,KALENDER!$A$3:$A$132,0)),"Di luar periode")</f>
        <v>Hari Kerja</v>
      </c>
      <c r="N743" s="71">
        <f t="shared" si="100"/>
        <v>0</v>
      </c>
      <c r="O743" s="71">
        <f t="shared" si="101"/>
        <v>3</v>
      </c>
      <c r="P743" s="71">
        <f t="shared" si="102"/>
        <v>0</v>
      </c>
      <c r="Q743" s="71">
        <f t="shared" si="103"/>
        <v>0</v>
      </c>
      <c r="R743" s="71">
        <f t="shared" si="104"/>
        <v>0</v>
      </c>
      <c r="S743" s="71">
        <f t="shared" si="105"/>
        <v>0</v>
      </c>
      <c r="T743" s="71">
        <f t="shared" si="106"/>
        <v>0</v>
      </c>
      <c r="U743" s="71">
        <f>IF(AND(N743=1,V743=1),IF(COUNTIFS(AKTIVITAS!$B$2:$B$3052,B743,AKTIVITAS!$E$2:$E$3052,H743)&gt;0,1,0),0)</f>
        <v>0</v>
      </c>
      <c r="V743" s="71">
        <f>IFERROR(IF(AND(H743&gt;=INDEX(PEMAGANG!$J$3:$J$36,MATCH(B743,PEMAGANG!$C$3:$C$36,0)),H743&lt;=INDEX(PEMAGANG!$K$3:$K$36,MATCH(B743,PEMAGANG!$C$3:$C$36,0))),1,0),0)</f>
        <v>1</v>
      </c>
      <c r="W743" s="71">
        <f t="shared" si="107"/>
        <v>0</v>
      </c>
    </row>
    <row r="744" spans="1:23" x14ac:dyDescent="0.2">
      <c r="A744" s="71" t="s">
        <v>191</v>
      </c>
      <c r="B744" s="71" t="s">
        <v>192</v>
      </c>
      <c r="C744" s="71" t="s">
        <v>187</v>
      </c>
      <c r="D744" s="71" t="s">
        <v>185</v>
      </c>
      <c r="E744" s="71" t="s">
        <v>47</v>
      </c>
      <c r="F744" s="71" t="s">
        <v>298</v>
      </c>
      <c r="G744" s="88">
        <v>46275.315821759301</v>
      </c>
      <c r="H744" s="89">
        <v>46275</v>
      </c>
      <c r="I744" s="71" t="s">
        <v>373</v>
      </c>
      <c r="J744" s="71">
        <v>3.9999999999999898</v>
      </c>
      <c r="K744" s="71" t="s">
        <v>293</v>
      </c>
      <c r="L744" s="71">
        <f t="shared" si="99"/>
        <v>9</v>
      </c>
      <c r="M744" s="71" t="str">
        <f>IFERROR(INDEX(KALENDER!$D$3:$D$132,MATCH(H744,KALENDER!$A$3:$A$132,0)),"Di luar periode")</f>
        <v>Hari Kerja</v>
      </c>
      <c r="N744" s="71">
        <f t="shared" si="100"/>
        <v>0</v>
      </c>
      <c r="O744" s="71">
        <f t="shared" si="101"/>
        <v>4</v>
      </c>
      <c r="P744" s="71">
        <f t="shared" si="102"/>
        <v>0</v>
      </c>
      <c r="Q744" s="71">
        <f t="shared" si="103"/>
        <v>0</v>
      </c>
      <c r="R744" s="71">
        <f t="shared" si="104"/>
        <v>0</v>
      </c>
      <c r="S744" s="71">
        <f t="shared" si="105"/>
        <v>0</v>
      </c>
      <c r="T744" s="71">
        <f t="shared" si="106"/>
        <v>0</v>
      </c>
      <c r="U744" s="71">
        <f>IF(AND(N744=1,V744=1),IF(COUNTIFS(AKTIVITAS!$B$2:$B$3052,B744,AKTIVITAS!$E$2:$E$3052,H744)&gt;0,1,0),0)</f>
        <v>0</v>
      </c>
      <c r="V744" s="71">
        <f>IFERROR(IF(AND(H744&gt;=INDEX(PEMAGANG!$J$3:$J$36,MATCH(B744,PEMAGANG!$C$3:$C$36,0)),H744&lt;=INDEX(PEMAGANG!$K$3:$K$36,MATCH(B744,PEMAGANG!$C$3:$C$36,0))),1,0),0)</f>
        <v>1</v>
      </c>
      <c r="W744" s="71">
        <f t="shared" si="107"/>
        <v>0</v>
      </c>
    </row>
    <row r="745" spans="1:23" x14ac:dyDescent="0.2">
      <c r="A745" s="71" t="s">
        <v>191</v>
      </c>
      <c r="B745" s="71" t="s">
        <v>192</v>
      </c>
      <c r="C745" s="71" t="s">
        <v>187</v>
      </c>
      <c r="D745" s="71" t="s">
        <v>185</v>
      </c>
      <c r="E745" s="71" t="s">
        <v>47</v>
      </c>
      <c r="F745" s="71" t="s">
        <v>300</v>
      </c>
      <c r="G745" s="88">
        <v>46275.688958333303</v>
      </c>
      <c r="H745" s="89">
        <v>46275</v>
      </c>
      <c r="I745" s="71" t="s">
        <v>306</v>
      </c>
      <c r="J745" s="71">
        <v>0</v>
      </c>
      <c r="K745" s="71" t="s">
        <v>302</v>
      </c>
      <c r="L745" s="71">
        <f t="shared" si="99"/>
        <v>9</v>
      </c>
      <c r="M745" s="71" t="str">
        <f>IFERROR(INDEX(KALENDER!$D$3:$D$132,MATCH(H745,KALENDER!$A$3:$A$132,0)),"Di luar periode")</f>
        <v>Hari Kerja</v>
      </c>
      <c r="N745" s="71">
        <f t="shared" si="100"/>
        <v>0</v>
      </c>
      <c r="O745" s="71">
        <f t="shared" si="101"/>
        <v>4</v>
      </c>
      <c r="P745" s="71">
        <f t="shared" si="102"/>
        <v>0</v>
      </c>
      <c r="Q745" s="71">
        <f t="shared" si="103"/>
        <v>0</v>
      </c>
      <c r="R745" s="71">
        <f t="shared" si="104"/>
        <v>0</v>
      </c>
      <c r="S745" s="71">
        <f t="shared" si="105"/>
        <v>0</v>
      </c>
      <c r="T745" s="71">
        <f t="shared" si="106"/>
        <v>0</v>
      </c>
      <c r="U745" s="71">
        <f>IF(AND(N745=1,V745=1),IF(COUNTIFS(AKTIVITAS!$B$2:$B$3052,B745,AKTIVITAS!$E$2:$E$3052,H745)&gt;0,1,0),0)</f>
        <v>0</v>
      </c>
      <c r="V745" s="71">
        <f>IFERROR(IF(AND(H745&gt;=INDEX(PEMAGANG!$J$3:$J$36,MATCH(B745,PEMAGANG!$C$3:$C$36,0)),H745&lt;=INDEX(PEMAGANG!$K$3:$K$36,MATCH(B745,PEMAGANG!$C$3:$C$36,0))),1,0),0)</f>
        <v>1</v>
      </c>
      <c r="W745" s="71">
        <f t="shared" si="107"/>
        <v>0</v>
      </c>
    </row>
    <row r="746" spans="1:23" x14ac:dyDescent="0.2">
      <c r="A746" s="71" t="s">
        <v>191</v>
      </c>
      <c r="B746" s="71" t="s">
        <v>192</v>
      </c>
      <c r="C746" s="71" t="s">
        <v>187</v>
      </c>
      <c r="D746" s="71" t="s">
        <v>185</v>
      </c>
      <c r="E746" s="71" t="s">
        <v>47</v>
      </c>
      <c r="F746" s="71" t="s">
        <v>300</v>
      </c>
      <c r="G746" s="88">
        <v>46275.688969907402</v>
      </c>
      <c r="H746" s="89">
        <v>46275</v>
      </c>
      <c r="I746" s="71" t="s">
        <v>306</v>
      </c>
      <c r="J746" s="71">
        <v>0</v>
      </c>
      <c r="K746" s="71" t="s">
        <v>302</v>
      </c>
      <c r="L746" s="71">
        <f t="shared" si="99"/>
        <v>9</v>
      </c>
      <c r="M746" s="71" t="str">
        <f>IFERROR(INDEX(KALENDER!$D$3:$D$132,MATCH(H746,KALENDER!$A$3:$A$132,0)),"Di luar periode")</f>
        <v>Hari Kerja</v>
      </c>
      <c r="N746" s="71">
        <f t="shared" si="100"/>
        <v>0</v>
      </c>
      <c r="O746" s="71">
        <f t="shared" si="101"/>
        <v>4</v>
      </c>
      <c r="P746" s="71">
        <f t="shared" si="102"/>
        <v>0</v>
      </c>
      <c r="Q746" s="71">
        <f t="shared" si="103"/>
        <v>0</v>
      </c>
      <c r="R746" s="71">
        <f t="shared" si="104"/>
        <v>0</v>
      </c>
      <c r="S746" s="71">
        <f t="shared" si="105"/>
        <v>0</v>
      </c>
      <c r="T746" s="71">
        <f t="shared" si="106"/>
        <v>0</v>
      </c>
      <c r="U746" s="71">
        <f>IF(AND(N746=1,V746=1),IF(COUNTIFS(AKTIVITAS!$B$2:$B$3052,B746,AKTIVITAS!$E$2:$E$3052,H746)&gt;0,1,0),0)</f>
        <v>0</v>
      </c>
      <c r="V746" s="71">
        <f>IFERROR(IF(AND(H746&gt;=INDEX(PEMAGANG!$J$3:$J$36,MATCH(B746,PEMAGANG!$C$3:$C$36,0)),H746&lt;=INDEX(PEMAGANG!$K$3:$K$36,MATCH(B746,PEMAGANG!$C$3:$C$36,0))),1,0),0)</f>
        <v>1</v>
      </c>
      <c r="W746" s="71">
        <f t="shared" si="107"/>
        <v>0</v>
      </c>
    </row>
    <row r="747" spans="1:23" x14ac:dyDescent="0.2">
      <c r="A747" s="71" t="s">
        <v>191</v>
      </c>
      <c r="B747" s="71" t="s">
        <v>192</v>
      </c>
      <c r="C747" s="71" t="s">
        <v>187</v>
      </c>
      <c r="D747" s="71" t="s">
        <v>185</v>
      </c>
      <c r="E747" s="71" t="s">
        <v>47</v>
      </c>
      <c r="F747" s="71" t="s">
        <v>300</v>
      </c>
      <c r="G747" s="88">
        <v>46275.6889814815</v>
      </c>
      <c r="H747" s="89">
        <v>46275</v>
      </c>
      <c r="I747" s="71" t="s">
        <v>306</v>
      </c>
      <c r="J747" s="71">
        <v>0</v>
      </c>
      <c r="K747" s="71" t="s">
        <v>302</v>
      </c>
      <c r="L747" s="71">
        <f t="shared" si="99"/>
        <v>9</v>
      </c>
      <c r="M747" s="71" t="str">
        <f>IFERROR(INDEX(KALENDER!$D$3:$D$132,MATCH(H747,KALENDER!$A$3:$A$132,0)),"Di luar periode")</f>
        <v>Hari Kerja</v>
      </c>
      <c r="N747" s="71">
        <f t="shared" si="100"/>
        <v>0</v>
      </c>
      <c r="O747" s="71">
        <f t="shared" si="101"/>
        <v>4</v>
      </c>
      <c r="P747" s="71">
        <f t="shared" si="102"/>
        <v>0</v>
      </c>
      <c r="Q747" s="71">
        <f t="shared" si="103"/>
        <v>0</v>
      </c>
      <c r="R747" s="71">
        <f t="shared" si="104"/>
        <v>0</v>
      </c>
      <c r="S747" s="71">
        <f t="shared" si="105"/>
        <v>0</v>
      </c>
      <c r="T747" s="71">
        <f t="shared" si="106"/>
        <v>0</v>
      </c>
      <c r="U747" s="71">
        <f>IF(AND(N747=1,V747=1),IF(COUNTIFS(AKTIVITAS!$B$2:$B$3052,B747,AKTIVITAS!$E$2:$E$3052,H747)&gt;0,1,0),0)</f>
        <v>0</v>
      </c>
      <c r="V747" s="71">
        <f>IFERROR(IF(AND(H747&gt;=INDEX(PEMAGANG!$J$3:$J$36,MATCH(B747,PEMAGANG!$C$3:$C$36,0)),H747&lt;=INDEX(PEMAGANG!$K$3:$K$36,MATCH(B747,PEMAGANG!$C$3:$C$36,0))),1,0),0)</f>
        <v>1</v>
      </c>
      <c r="W747" s="71">
        <f t="shared" si="107"/>
        <v>0</v>
      </c>
    </row>
    <row r="748" spans="1:23" x14ac:dyDescent="0.2">
      <c r="A748" s="71" t="s">
        <v>191</v>
      </c>
      <c r="B748" s="71" t="s">
        <v>192</v>
      </c>
      <c r="C748" s="71" t="s">
        <v>187</v>
      </c>
      <c r="D748" s="71" t="s">
        <v>185</v>
      </c>
      <c r="E748" s="71" t="s">
        <v>47</v>
      </c>
      <c r="F748" s="71" t="s">
        <v>298</v>
      </c>
      <c r="G748" s="88">
        <v>46276.314224537004</v>
      </c>
      <c r="H748" s="89">
        <v>46276</v>
      </c>
      <c r="I748" s="71" t="s">
        <v>338</v>
      </c>
      <c r="J748" s="71">
        <v>1.99999999999999</v>
      </c>
      <c r="K748" s="71" t="s">
        <v>293</v>
      </c>
      <c r="L748" s="71">
        <f t="shared" si="99"/>
        <v>9</v>
      </c>
      <c r="M748" s="71" t="str">
        <f>IFERROR(INDEX(KALENDER!$D$3:$D$132,MATCH(H748,KALENDER!$A$3:$A$132,0)),"Di luar periode")</f>
        <v>Hari Kerja</v>
      </c>
      <c r="N748" s="71">
        <f t="shared" si="100"/>
        <v>1</v>
      </c>
      <c r="O748" s="71">
        <f t="shared" si="101"/>
        <v>1</v>
      </c>
      <c r="P748" s="71">
        <f t="shared" si="102"/>
        <v>1</v>
      </c>
      <c r="Q748" s="71">
        <f t="shared" si="103"/>
        <v>0</v>
      </c>
      <c r="R748" s="71">
        <f t="shared" si="104"/>
        <v>1</v>
      </c>
      <c r="S748" s="71">
        <f t="shared" si="105"/>
        <v>1.99999999999999</v>
      </c>
      <c r="T748" s="71">
        <f t="shared" si="106"/>
        <v>1</v>
      </c>
      <c r="U748" s="71">
        <f>IF(AND(N748=1,V748=1),IF(COUNTIFS(AKTIVITAS!$B$2:$B$3052,B748,AKTIVITAS!$E$2:$E$3052,H748)&gt;0,1,0),0)</f>
        <v>1</v>
      </c>
      <c r="V748" s="71">
        <f>IFERROR(IF(AND(H748&gt;=INDEX(PEMAGANG!$J$3:$J$36,MATCH(B748,PEMAGANG!$C$3:$C$36,0)),H748&lt;=INDEX(PEMAGANG!$K$3:$K$36,MATCH(B748,PEMAGANG!$C$3:$C$36,0))),1,0),0)</f>
        <v>1</v>
      </c>
      <c r="W748" s="71">
        <f t="shared" si="107"/>
        <v>1</v>
      </c>
    </row>
    <row r="749" spans="1:23" x14ac:dyDescent="0.2">
      <c r="A749" s="71" t="s">
        <v>191</v>
      </c>
      <c r="B749" s="71" t="s">
        <v>192</v>
      </c>
      <c r="C749" s="71" t="s">
        <v>187</v>
      </c>
      <c r="D749" s="71" t="s">
        <v>185</v>
      </c>
      <c r="E749" s="71" t="s">
        <v>47</v>
      </c>
      <c r="F749" s="71" t="s">
        <v>298</v>
      </c>
      <c r="G749" s="88">
        <v>46281.301145833299</v>
      </c>
      <c r="H749" s="89">
        <v>46281</v>
      </c>
      <c r="I749" s="71" t="s">
        <v>475</v>
      </c>
      <c r="J749" s="71">
        <v>-17</v>
      </c>
      <c r="K749" s="71" t="s">
        <v>302</v>
      </c>
      <c r="L749" s="71">
        <f t="shared" si="99"/>
        <v>9</v>
      </c>
      <c r="M749" s="71" t="str">
        <f>IFERROR(INDEX(KALENDER!$D$3:$D$132,MATCH(H749,KALENDER!$A$3:$A$132,0)),"Di luar periode")</f>
        <v>Hari Kerja</v>
      </c>
      <c r="N749" s="71">
        <f t="shared" si="100"/>
        <v>1</v>
      </c>
      <c r="O749" s="71">
        <f t="shared" si="101"/>
        <v>1</v>
      </c>
      <c r="P749" s="71">
        <f t="shared" si="102"/>
        <v>1</v>
      </c>
      <c r="Q749" s="71">
        <f t="shared" si="103"/>
        <v>0</v>
      </c>
      <c r="R749" s="71">
        <f t="shared" si="104"/>
        <v>0</v>
      </c>
      <c r="S749" s="71">
        <f t="shared" si="105"/>
        <v>0</v>
      </c>
      <c r="T749" s="71">
        <f t="shared" si="106"/>
        <v>0</v>
      </c>
      <c r="U749" s="71">
        <f>IF(AND(N749=1,V749=1),IF(COUNTIFS(AKTIVITAS!$B$2:$B$3052,B749,AKTIVITAS!$E$2:$E$3052,H749)&gt;0,1,0),0)</f>
        <v>1</v>
      </c>
      <c r="V749" s="71">
        <f>IFERROR(IF(AND(H749&gt;=INDEX(PEMAGANG!$J$3:$J$36,MATCH(B749,PEMAGANG!$C$3:$C$36,0)),H749&lt;=INDEX(PEMAGANG!$K$3:$K$36,MATCH(B749,PEMAGANG!$C$3:$C$36,0))),1,0),0)</f>
        <v>1</v>
      </c>
      <c r="W749" s="71">
        <f t="shared" si="107"/>
        <v>1</v>
      </c>
    </row>
    <row r="750" spans="1:23" x14ac:dyDescent="0.2">
      <c r="A750" s="71" t="s">
        <v>191</v>
      </c>
      <c r="B750" s="71" t="s">
        <v>192</v>
      </c>
      <c r="C750" s="71" t="s">
        <v>187</v>
      </c>
      <c r="D750" s="71" t="s">
        <v>185</v>
      </c>
      <c r="E750" s="71" t="s">
        <v>47</v>
      </c>
      <c r="F750" s="71" t="s">
        <v>298</v>
      </c>
      <c r="G750" s="88">
        <v>46281.301203703697</v>
      </c>
      <c r="H750" s="89">
        <v>46281</v>
      </c>
      <c r="I750" s="71" t="s">
        <v>475</v>
      </c>
      <c r="J750" s="71">
        <v>-17</v>
      </c>
      <c r="K750" s="71" t="s">
        <v>302</v>
      </c>
      <c r="L750" s="71">
        <f t="shared" si="99"/>
        <v>9</v>
      </c>
      <c r="M750" s="71" t="str">
        <f>IFERROR(INDEX(KALENDER!$D$3:$D$132,MATCH(H750,KALENDER!$A$3:$A$132,0)),"Di luar periode")</f>
        <v>Hari Kerja</v>
      </c>
      <c r="N750" s="71">
        <f t="shared" si="100"/>
        <v>0</v>
      </c>
      <c r="O750" s="71">
        <f t="shared" si="101"/>
        <v>2</v>
      </c>
      <c r="P750" s="71">
        <f t="shared" si="102"/>
        <v>0</v>
      </c>
      <c r="Q750" s="71">
        <f t="shared" si="103"/>
        <v>0</v>
      </c>
      <c r="R750" s="71">
        <f t="shared" si="104"/>
        <v>0</v>
      </c>
      <c r="S750" s="71">
        <f t="shared" si="105"/>
        <v>0</v>
      </c>
      <c r="T750" s="71">
        <f t="shared" si="106"/>
        <v>0</v>
      </c>
      <c r="U750" s="71">
        <f>IF(AND(N750=1,V750=1),IF(COUNTIFS(AKTIVITAS!$B$2:$B$3052,B750,AKTIVITAS!$E$2:$E$3052,H750)&gt;0,1,0),0)</f>
        <v>0</v>
      </c>
      <c r="V750" s="71">
        <f>IFERROR(IF(AND(H750&gt;=INDEX(PEMAGANG!$J$3:$J$36,MATCH(B750,PEMAGANG!$C$3:$C$36,0)),H750&lt;=INDEX(PEMAGANG!$K$3:$K$36,MATCH(B750,PEMAGANG!$C$3:$C$36,0))),1,0),0)</f>
        <v>1</v>
      </c>
      <c r="W750" s="71">
        <f t="shared" si="107"/>
        <v>0</v>
      </c>
    </row>
    <row r="751" spans="1:23" x14ac:dyDescent="0.2">
      <c r="A751" s="71" t="s">
        <v>191</v>
      </c>
      <c r="B751" s="71" t="s">
        <v>192</v>
      </c>
      <c r="C751" s="71" t="s">
        <v>187</v>
      </c>
      <c r="D751" s="71" t="s">
        <v>185</v>
      </c>
      <c r="E751" s="71" t="s">
        <v>47</v>
      </c>
      <c r="F751" s="71" t="s">
        <v>298</v>
      </c>
      <c r="G751" s="88">
        <v>46281.301273148201</v>
      </c>
      <c r="H751" s="89">
        <v>46281</v>
      </c>
      <c r="I751" s="71" t="s">
        <v>475</v>
      </c>
      <c r="J751" s="71">
        <v>-17</v>
      </c>
      <c r="K751" s="71" t="s">
        <v>302</v>
      </c>
      <c r="L751" s="71">
        <f t="shared" si="99"/>
        <v>9</v>
      </c>
      <c r="M751" s="71" t="str">
        <f>IFERROR(INDEX(KALENDER!$D$3:$D$132,MATCH(H751,KALENDER!$A$3:$A$132,0)),"Di luar periode")</f>
        <v>Hari Kerja</v>
      </c>
      <c r="N751" s="71">
        <f t="shared" si="100"/>
        <v>0</v>
      </c>
      <c r="O751" s="71">
        <f t="shared" si="101"/>
        <v>3</v>
      </c>
      <c r="P751" s="71">
        <f t="shared" si="102"/>
        <v>0</v>
      </c>
      <c r="Q751" s="71">
        <f t="shared" si="103"/>
        <v>0</v>
      </c>
      <c r="R751" s="71">
        <f t="shared" si="104"/>
        <v>0</v>
      </c>
      <c r="S751" s="71">
        <f t="shared" si="105"/>
        <v>0</v>
      </c>
      <c r="T751" s="71">
        <f t="shared" si="106"/>
        <v>0</v>
      </c>
      <c r="U751" s="71">
        <f>IF(AND(N751=1,V751=1),IF(COUNTIFS(AKTIVITAS!$B$2:$B$3052,B751,AKTIVITAS!$E$2:$E$3052,H751)&gt;0,1,0),0)</f>
        <v>0</v>
      </c>
      <c r="V751" s="71">
        <f>IFERROR(IF(AND(H751&gt;=INDEX(PEMAGANG!$J$3:$J$36,MATCH(B751,PEMAGANG!$C$3:$C$36,0)),H751&lt;=INDEX(PEMAGANG!$K$3:$K$36,MATCH(B751,PEMAGANG!$C$3:$C$36,0))),1,0),0)</f>
        <v>1</v>
      </c>
      <c r="W751" s="71">
        <f t="shared" si="107"/>
        <v>0</v>
      </c>
    </row>
    <row r="752" spans="1:23" x14ac:dyDescent="0.2">
      <c r="A752" s="71" t="s">
        <v>191</v>
      </c>
      <c r="B752" s="71" t="s">
        <v>192</v>
      </c>
      <c r="C752" s="71" t="s">
        <v>187</v>
      </c>
      <c r="D752" s="71" t="s">
        <v>185</v>
      </c>
      <c r="E752" s="71" t="s">
        <v>47</v>
      </c>
      <c r="F752" s="71" t="s">
        <v>300</v>
      </c>
      <c r="G752" s="88">
        <v>46281.697708333297</v>
      </c>
      <c r="H752" s="89">
        <v>46281</v>
      </c>
      <c r="I752" s="71" t="s">
        <v>312</v>
      </c>
      <c r="J752" s="71">
        <v>0</v>
      </c>
      <c r="K752" s="71" t="s">
        <v>302</v>
      </c>
      <c r="L752" s="71">
        <f t="shared" si="99"/>
        <v>9</v>
      </c>
      <c r="M752" s="71" t="str">
        <f>IFERROR(INDEX(KALENDER!$D$3:$D$132,MATCH(H752,KALENDER!$A$3:$A$132,0)),"Di luar periode")</f>
        <v>Hari Kerja</v>
      </c>
      <c r="N752" s="71">
        <f t="shared" si="100"/>
        <v>0</v>
      </c>
      <c r="O752" s="71">
        <f t="shared" si="101"/>
        <v>3</v>
      </c>
      <c r="P752" s="71">
        <f t="shared" si="102"/>
        <v>0</v>
      </c>
      <c r="Q752" s="71">
        <f t="shared" si="103"/>
        <v>0</v>
      </c>
      <c r="R752" s="71">
        <f t="shared" si="104"/>
        <v>0</v>
      </c>
      <c r="S752" s="71">
        <f t="shared" si="105"/>
        <v>0</v>
      </c>
      <c r="T752" s="71">
        <f t="shared" si="106"/>
        <v>0</v>
      </c>
      <c r="U752" s="71">
        <f>IF(AND(N752=1,V752=1),IF(COUNTIFS(AKTIVITAS!$B$2:$B$3052,B752,AKTIVITAS!$E$2:$E$3052,H752)&gt;0,1,0),0)</f>
        <v>0</v>
      </c>
      <c r="V752" s="71">
        <f>IFERROR(IF(AND(H752&gt;=INDEX(PEMAGANG!$J$3:$J$36,MATCH(B752,PEMAGANG!$C$3:$C$36,0)),H752&lt;=INDEX(PEMAGANG!$K$3:$K$36,MATCH(B752,PEMAGANG!$C$3:$C$36,0))),1,0),0)</f>
        <v>1</v>
      </c>
      <c r="W752" s="71">
        <f t="shared" si="107"/>
        <v>0</v>
      </c>
    </row>
    <row r="753" spans="1:23" x14ac:dyDescent="0.2">
      <c r="A753" s="71" t="s">
        <v>191</v>
      </c>
      <c r="B753" s="71" t="s">
        <v>192</v>
      </c>
      <c r="C753" s="71" t="s">
        <v>187</v>
      </c>
      <c r="D753" s="71" t="s">
        <v>185</v>
      </c>
      <c r="E753" s="71" t="s">
        <v>47</v>
      </c>
      <c r="F753" s="71" t="s">
        <v>298</v>
      </c>
      <c r="G753" s="88">
        <v>46282.309189814798</v>
      </c>
      <c r="H753" s="89">
        <v>46282</v>
      </c>
      <c r="I753" s="71" t="s">
        <v>307</v>
      </c>
      <c r="J753" s="71">
        <v>-4.9999999999999796</v>
      </c>
      <c r="K753" s="71" t="s">
        <v>302</v>
      </c>
      <c r="L753" s="71">
        <f t="shared" si="99"/>
        <v>9</v>
      </c>
      <c r="M753" s="71" t="str">
        <f>IFERROR(INDEX(KALENDER!$D$3:$D$132,MATCH(H753,KALENDER!$A$3:$A$132,0)),"Di luar periode")</f>
        <v>Hari Kerja</v>
      </c>
      <c r="N753" s="71">
        <f t="shared" si="100"/>
        <v>1</v>
      </c>
      <c r="O753" s="71">
        <f t="shared" si="101"/>
        <v>1</v>
      </c>
      <c r="P753" s="71">
        <f t="shared" si="102"/>
        <v>1</v>
      </c>
      <c r="Q753" s="71">
        <f t="shared" si="103"/>
        <v>0</v>
      </c>
      <c r="R753" s="71">
        <f t="shared" si="104"/>
        <v>0</v>
      </c>
      <c r="S753" s="71">
        <f t="shared" si="105"/>
        <v>0</v>
      </c>
      <c r="T753" s="71">
        <f t="shared" si="106"/>
        <v>0</v>
      </c>
      <c r="U753" s="71">
        <f>IF(AND(N753=1,V753=1),IF(COUNTIFS(AKTIVITAS!$B$2:$B$3052,B753,AKTIVITAS!$E$2:$E$3052,H753)&gt;0,1,0),0)</f>
        <v>1</v>
      </c>
      <c r="V753" s="71">
        <f>IFERROR(IF(AND(H753&gt;=INDEX(PEMAGANG!$J$3:$J$36,MATCH(B753,PEMAGANG!$C$3:$C$36,0)),H753&lt;=INDEX(PEMAGANG!$K$3:$K$36,MATCH(B753,PEMAGANG!$C$3:$C$36,0))),1,0),0)</f>
        <v>1</v>
      </c>
      <c r="W753" s="71">
        <f t="shared" si="107"/>
        <v>1</v>
      </c>
    </row>
    <row r="754" spans="1:23" x14ac:dyDescent="0.2">
      <c r="A754" s="71" t="s">
        <v>191</v>
      </c>
      <c r="B754" s="71" t="s">
        <v>192</v>
      </c>
      <c r="C754" s="71" t="s">
        <v>187</v>
      </c>
      <c r="D754" s="71" t="s">
        <v>185</v>
      </c>
      <c r="E754" s="71" t="s">
        <v>47</v>
      </c>
      <c r="F754" s="71" t="s">
        <v>300</v>
      </c>
      <c r="G754" s="88">
        <v>46282.688645833303</v>
      </c>
      <c r="H754" s="89">
        <v>46282</v>
      </c>
      <c r="I754" s="71" t="s">
        <v>336</v>
      </c>
      <c r="J754" s="71">
        <v>0</v>
      </c>
      <c r="K754" s="71" t="s">
        <v>302</v>
      </c>
      <c r="L754" s="71">
        <f t="shared" si="99"/>
        <v>9</v>
      </c>
      <c r="M754" s="71" t="str">
        <f>IFERROR(INDEX(KALENDER!$D$3:$D$132,MATCH(H754,KALENDER!$A$3:$A$132,0)),"Di luar periode")</f>
        <v>Hari Kerja</v>
      </c>
      <c r="N754" s="71">
        <f t="shared" si="100"/>
        <v>0</v>
      </c>
      <c r="O754" s="71">
        <f t="shared" si="101"/>
        <v>1</v>
      </c>
      <c r="P754" s="71">
        <f t="shared" si="102"/>
        <v>0</v>
      </c>
      <c r="Q754" s="71">
        <f t="shared" si="103"/>
        <v>0</v>
      </c>
      <c r="R754" s="71">
        <f t="shared" si="104"/>
        <v>0</v>
      </c>
      <c r="S754" s="71">
        <f t="shared" si="105"/>
        <v>0</v>
      </c>
      <c r="T754" s="71">
        <f t="shared" si="106"/>
        <v>0</v>
      </c>
      <c r="U754" s="71">
        <f>IF(AND(N754=1,V754=1),IF(COUNTIFS(AKTIVITAS!$B$2:$B$3052,B754,AKTIVITAS!$E$2:$E$3052,H754)&gt;0,1,0),0)</f>
        <v>0</v>
      </c>
      <c r="V754" s="71">
        <f>IFERROR(IF(AND(H754&gt;=INDEX(PEMAGANG!$J$3:$J$36,MATCH(B754,PEMAGANG!$C$3:$C$36,0)),H754&lt;=INDEX(PEMAGANG!$K$3:$K$36,MATCH(B754,PEMAGANG!$C$3:$C$36,0))),1,0),0)</f>
        <v>1</v>
      </c>
      <c r="W754" s="71">
        <f t="shared" si="107"/>
        <v>0</v>
      </c>
    </row>
    <row r="755" spans="1:23" x14ac:dyDescent="0.2">
      <c r="A755" s="71" t="s">
        <v>191</v>
      </c>
      <c r="B755" s="71" t="s">
        <v>192</v>
      </c>
      <c r="C755" s="71" t="s">
        <v>187</v>
      </c>
      <c r="D755" s="71" t="s">
        <v>185</v>
      </c>
      <c r="E755" s="71" t="s">
        <v>47</v>
      </c>
      <c r="F755" s="71" t="s">
        <v>298</v>
      </c>
      <c r="G755" s="88">
        <v>46283.311585648204</v>
      </c>
      <c r="H755" s="89">
        <v>46283</v>
      </c>
      <c r="I755" s="71" t="s">
        <v>377</v>
      </c>
      <c r="J755" s="71">
        <v>-1.99999999999999</v>
      </c>
      <c r="K755" s="71" t="s">
        <v>302</v>
      </c>
      <c r="L755" s="71">
        <f t="shared" si="99"/>
        <v>9</v>
      </c>
      <c r="M755" s="71" t="str">
        <f>IFERROR(INDEX(KALENDER!$D$3:$D$132,MATCH(H755,KALENDER!$A$3:$A$132,0)),"Di luar periode")</f>
        <v>Hari Kerja</v>
      </c>
      <c r="N755" s="71">
        <f t="shared" si="100"/>
        <v>1</v>
      </c>
      <c r="O755" s="71">
        <f t="shared" si="101"/>
        <v>1</v>
      </c>
      <c r="P755" s="71">
        <f t="shared" si="102"/>
        <v>1</v>
      </c>
      <c r="Q755" s="71">
        <f t="shared" si="103"/>
        <v>0</v>
      </c>
      <c r="R755" s="71">
        <f t="shared" si="104"/>
        <v>0</v>
      </c>
      <c r="S755" s="71">
        <f t="shared" si="105"/>
        <v>0</v>
      </c>
      <c r="T755" s="71">
        <f t="shared" si="106"/>
        <v>0</v>
      </c>
      <c r="U755" s="71">
        <f>IF(AND(N755=1,V755=1),IF(COUNTIFS(AKTIVITAS!$B$2:$B$3052,B755,AKTIVITAS!$E$2:$E$3052,H755)&gt;0,1,0),0)</f>
        <v>1</v>
      </c>
      <c r="V755" s="71">
        <f>IFERROR(IF(AND(H755&gt;=INDEX(PEMAGANG!$J$3:$J$36,MATCH(B755,PEMAGANG!$C$3:$C$36,0)),H755&lt;=INDEX(PEMAGANG!$K$3:$K$36,MATCH(B755,PEMAGANG!$C$3:$C$36,0))),1,0),0)</f>
        <v>1</v>
      </c>
      <c r="W755" s="71">
        <f t="shared" si="107"/>
        <v>1</v>
      </c>
    </row>
    <row r="756" spans="1:23" x14ac:dyDescent="0.2">
      <c r="A756" s="71" t="s">
        <v>191</v>
      </c>
      <c r="B756" s="71" t="s">
        <v>192</v>
      </c>
      <c r="C756" s="71" t="s">
        <v>187</v>
      </c>
      <c r="D756" s="71" t="s">
        <v>185</v>
      </c>
      <c r="E756" s="71" t="s">
        <v>47</v>
      </c>
      <c r="F756" s="71" t="s">
        <v>300</v>
      </c>
      <c r="G756" s="88">
        <v>46283.721550925897</v>
      </c>
      <c r="H756" s="89">
        <v>46283</v>
      </c>
      <c r="I756" s="71" t="s">
        <v>382</v>
      </c>
      <c r="J756" s="71">
        <v>0</v>
      </c>
      <c r="K756" s="71" t="s">
        <v>302</v>
      </c>
      <c r="L756" s="71">
        <f t="shared" si="99"/>
        <v>9</v>
      </c>
      <c r="M756" s="71" t="str">
        <f>IFERROR(INDEX(KALENDER!$D$3:$D$132,MATCH(H756,KALENDER!$A$3:$A$132,0)),"Di luar periode")</f>
        <v>Hari Kerja</v>
      </c>
      <c r="N756" s="71">
        <f t="shared" si="100"/>
        <v>0</v>
      </c>
      <c r="O756" s="71">
        <f t="shared" si="101"/>
        <v>1</v>
      </c>
      <c r="P756" s="71">
        <f t="shared" si="102"/>
        <v>0</v>
      </c>
      <c r="Q756" s="71">
        <f t="shared" si="103"/>
        <v>0</v>
      </c>
      <c r="R756" s="71">
        <f t="shared" si="104"/>
        <v>0</v>
      </c>
      <c r="S756" s="71">
        <f t="shared" si="105"/>
        <v>0</v>
      </c>
      <c r="T756" s="71">
        <f t="shared" si="106"/>
        <v>0</v>
      </c>
      <c r="U756" s="71">
        <f>IF(AND(N756=1,V756=1),IF(COUNTIFS(AKTIVITAS!$B$2:$B$3052,B756,AKTIVITAS!$E$2:$E$3052,H756)&gt;0,1,0),0)</f>
        <v>0</v>
      </c>
      <c r="V756" s="71">
        <f>IFERROR(IF(AND(H756&gt;=INDEX(PEMAGANG!$J$3:$J$36,MATCH(B756,PEMAGANG!$C$3:$C$36,0)),H756&lt;=INDEX(PEMAGANG!$K$3:$K$36,MATCH(B756,PEMAGANG!$C$3:$C$36,0))),1,0),0)</f>
        <v>1</v>
      </c>
      <c r="W756" s="71">
        <f t="shared" si="107"/>
        <v>0</v>
      </c>
    </row>
    <row r="757" spans="1:23" x14ac:dyDescent="0.2">
      <c r="A757" s="71" t="s">
        <v>191</v>
      </c>
      <c r="B757" s="71" t="s">
        <v>192</v>
      </c>
      <c r="C757" s="71" t="s">
        <v>187</v>
      </c>
      <c r="D757" s="71" t="s">
        <v>185</v>
      </c>
      <c r="E757" s="71" t="s">
        <v>47</v>
      </c>
      <c r="F757" s="71" t="s">
        <v>300</v>
      </c>
      <c r="G757" s="88">
        <v>46283.721562500003</v>
      </c>
      <c r="H757" s="89">
        <v>46283</v>
      </c>
      <c r="I757" s="71" t="s">
        <v>382</v>
      </c>
      <c r="J757" s="71">
        <v>0</v>
      </c>
      <c r="K757" s="71" t="s">
        <v>302</v>
      </c>
      <c r="L757" s="71">
        <f t="shared" si="99"/>
        <v>9</v>
      </c>
      <c r="M757" s="71" t="str">
        <f>IFERROR(INDEX(KALENDER!$D$3:$D$132,MATCH(H757,KALENDER!$A$3:$A$132,0)),"Di luar periode")</f>
        <v>Hari Kerja</v>
      </c>
      <c r="N757" s="71">
        <f t="shared" si="100"/>
        <v>0</v>
      </c>
      <c r="O757" s="71">
        <f t="shared" si="101"/>
        <v>1</v>
      </c>
      <c r="P757" s="71">
        <f t="shared" si="102"/>
        <v>0</v>
      </c>
      <c r="Q757" s="71">
        <f t="shared" si="103"/>
        <v>0</v>
      </c>
      <c r="R757" s="71">
        <f t="shared" si="104"/>
        <v>0</v>
      </c>
      <c r="S757" s="71">
        <f t="shared" si="105"/>
        <v>0</v>
      </c>
      <c r="T757" s="71">
        <f t="shared" si="106"/>
        <v>0</v>
      </c>
      <c r="U757" s="71">
        <f>IF(AND(N757=1,V757=1),IF(COUNTIFS(AKTIVITAS!$B$2:$B$3052,B757,AKTIVITAS!$E$2:$E$3052,H757)&gt;0,1,0),0)</f>
        <v>0</v>
      </c>
      <c r="V757" s="71">
        <f>IFERROR(IF(AND(H757&gt;=INDEX(PEMAGANG!$J$3:$J$36,MATCH(B757,PEMAGANG!$C$3:$C$36,0)),H757&lt;=INDEX(PEMAGANG!$K$3:$K$36,MATCH(B757,PEMAGANG!$C$3:$C$36,0))),1,0),0)</f>
        <v>1</v>
      </c>
      <c r="W757" s="71">
        <f t="shared" si="107"/>
        <v>0</v>
      </c>
    </row>
    <row r="758" spans="1:23" x14ac:dyDescent="0.2">
      <c r="A758" s="71" t="s">
        <v>191</v>
      </c>
      <c r="B758" s="71" t="s">
        <v>192</v>
      </c>
      <c r="C758" s="71" t="s">
        <v>187</v>
      </c>
      <c r="D758" s="71" t="s">
        <v>185</v>
      </c>
      <c r="E758" s="71" t="s">
        <v>47</v>
      </c>
      <c r="F758" s="71" t="s">
        <v>298</v>
      </c>
      <c r="G758" s="88">
        <v>46286.3203125</v>
      </c>
      <c r="H758" s="89">
        <v>46286</v>
      </c>
      <c r="I758" s="71" t="s">
        <v>367</v>
      </c>
      <c r="J758" s="71">
        <v>11</v>
      </c>
      <c r="K758" s="71" t="s">
        <v>293</v>
      </c>
      <c r="L758" s="71">
        <f t="shared" si="99"/>
        <v>9</v>
      </c>
      <c r="M758" s="71" t="str">
        <f>IFERROR(INDEX(KALENDER!$D$3:$D$132,MATCH(H758,KALENDER!$A$3:$A$132,0)),"Di luar periode")</f>
        <v>Hari Kerja</v>
      </c>
      <c r="N758" s="71">
        <f t="shared" si="100"/>
        <v>1</v>
      </c>
      <c r="O758" s="71">
        <f t="shared" si="101"/>
        <v>1</v>
      </c>
      <c r="P758" s="71">
        <f t="shared" si="102"/>
        <v>1</v>
      </c>
      <c r="Q758" s="71">
        <f t="shared" si="103"/>
        <v>0</v>
      </c>
      <c r="R758" s="71">
        <f t="shared" si="104"/>
        <v>1</v>
      </c>
      <c r="S758" s="71">
        <f t="shared" si="105"/>
        <v>11</v>
      </c>
      <c r="T758" s="71">
        <f t="shared" si="106"/>
        <v>0</v>
      </c>
      <c r="U758" s="71">
        <f>IF(AND(N758=1,V758=1),IF(COUNTIFS(AKTIVITAS!$B$2:$B$3052,B758,AKTIVITAS!$E$2:$E$3052,H758)&gt;0,1,0),0)</f>
        <v>1</v>
      </c>
      <c r="V758" s="71">
        <f>IFERROR(IF(AND(H758&gt;=INDEX(PEMAGANG!$J$3:$J$36,MATCH(B758,PEMAGANG!$C$3:$C$36,0)),H758&lt;=INDEX(PEMAGANG!$K$3:$K$36,MATCH(B758,PEMAGANG!$C$3:$C$36,0))),1,0),0)</f>
        <v>1</v>
      </c>
      <c r="W758" s="71">
        <f t="shared" si="107"/>
        <v>1</v>
      </c>
    </row>
    <row r="759" spans="1:23" x14ac:dyDescent="0.2">
      <c r="A759" s="71" t="s">
        <v>191</v>
      </c>
      <c r="B759" s="71" t="s">
        <v>192</v>
      </c>
      <c r="C759" s="71" t="s">
        <v>187</v>
      </c>
      <c r="D759" s="71" t="s">
        <v>185</v>
      </c>
      <c r="E759" s="71" t="s">
        <v>47</v>
      </c>
      <c r="F759" s="71" t="s">
        <v>300</v>
      </c>
      <c r="G759" s="88">
        <v>46286.720833333296</v>
      </c>
      <c r="H759" s="89">
        <v>46286</v>
      </c>
      <c r="I759" s="71" t="s">
        <v>473</v>
      </c>
      <c r="J759" s="71">
        <v>0</v>
      </c>
      <c r="K759" s="71" t="s">
        <v>302</v>
      </c>
      <c r="L759" s="71">
        <f t="shared" si="99"/>
        <v>9</v>
      </c>
      <c r="M759" s="71" t="str">
        <f>IFERROR(INDEX(KALENDER!$D$3:$D$132,MATCH(H759,KALENDER!$A$3:$A$132,0)),"Di luar periode")</f>
        <v>Hari Kerja</v>
      </c>
      <c r="N759" s="71">
        <f t="shared" si="100"/>
        <v>0</v>
      </c>
      <c r="O759" s="71">
        <f t="shared" si="101"/>
        <v>1</v>
      </c>
      <c r="P759" s="71">
        <f t="shared" si="102"/>
        <v>0</v>
      </c>
      <c r="Q759" s="71">
        <f t="shared" si="103"/>
        <v>0</v>
      </c>
      <c r="R759" s="71">
        <f t="shared" si="104"/>
        <v>0</v>
      </c>
      <c r="S759" s="71">
        <f t="shared" si="105"/>
        <v>0</v>
      </c>
      <c r="T759" s="71">
        <f t="shared" si="106"/>
        <v>0</v>
      </c>
      <c r="U759" s="71">
        <f>IF(AND(N759=1,V759=1),IF(COUNTIFS(AKTIVITAS!$B$2:$B$3052,B759,AKTIVITAS!$E$2:$E$3052,H759)&gt;0,1,0),0)</f>
        <v>0</v>
      </c>
      <c r="V759" s="71">
        <f>IFERROR(IF(AND(H759&gt;=INDEX(PEMAGANG!$J$3:$J$36,MATCH(B759,PEMAGANG!$C$3:$C$36,0)),H759&lt;=INDEX(PEMAGANG!$K$3:$K$36,MATCH(B759,PEMAGANG!$C$3:$C$36,0))),1,0),0)</f>
        <v>1</v>
      </c>
      <c r="W759" s="71">
        <f t="shared" si="107"/>
        <v>0</v>
      </c>
    </row>
    <row r="760" spans="1:23" x14ac:dyDescent="0.2">
      <c r="A760" s="71" t="s">
        <v>191</v>
      </c>
      <c r="B760" s="71" t="s">
        <v>192</v>
      </c>
      <c r="C760" s="71" t="s">
        <v>187</v>
      </c>
      <c r="D760" s="71" t="s">
        <v>185</v>
      </c>
      <c r="E760" s="71" t="s">
        <v>47</v>
      </c>
      <c r="F760" s="71" t="s">
        <v>298</v>
      </c>
      <c r="G760" s="88">
        <v>46287.308125000003</v>
      </c>
      <c r="H760" s="89">
        <v>46287</v>
      </c>
      <c r="I760" s="71" t="s">
        <v>311</v>
      </c>
      <c r="J760" s="71">
        <v>-6.9999999999999796</v>
      </c>
      <c r="K760" s="71" t="s">
        <v>302</v>
      </c>
      <c r="L760" s="71">
        <f t="shared" si="99"/>
        <v>9</v>
      </c>
      <c r="M760" s="71" t="str">
        <f>IFERROR(INDEX(KALENDER!$D$3:$D$132,MATCH(H760,KALENDER!$A$3:$A$132,0)),"Di luar periode")</f>
        <v>Hari Kerja</v>
      </c>
      <c r="N760" s="71">
        <f t="shared" si="100"/>
        <v>1</v>
      </c>
      <c r="O760" s="71">
        <f t="shared" si="101"/>
        <v>1</v>
      </c>
      <c r="P760" s="71">
        <f t="shared" si="102"/>
        <v>1</v>
      </c>
      <c r="Q760" s="71">
        <f t="shared" si="103"/>
        <v>0</v>
      </c>
      <c r="R760" s="71">
        <f t="shared" si="104"/>
        <v>0</v>
      </c>
      <c r="S760" s="71">
        <f t="shared" si="105"/>
        <v>0</v>
      </c>
      <c r="T760" s="71">
        <f t="shared" si="106"/>
        <v>0</v>
      </c>
      <c r="U760" s="71">
        <f>IF(AND(N760=1,V760=1),IF(COUNTIFS(AKTIVITAS!$B$2:$B$3052,B760,AKTIVITAS!$E$2:$E$3052,H760)&gt;0,1,0),0)</f>
        <v>1</v>
      </c>
      <c r="V760" s="71">
        <f>IFERROR(IF(AND(H760&gt;=INDEX(PEMAGANG!$J$3:$J$36,MATCH(B760,PEMAGANG!$C$3:$C$36,0)),H760&lt;=INDEX(PEMAGANG!$K$3:$K$36,MATCH(B760,PEMAGANG!$C$3:$C$36,0))),1,0),0)</f>
        <v>1</v>
      </c>
      <c r="W760" s="71">
        <f t="shared" si="107"/>
        <v>1</v>
      </c>
    </row>
    <row r="761" spans="1:23" x14ac:dyDescent="0.2">
      <c r="A761" s="71" t="s">
        <v>191</v>
      </c>
      <c r="B761" s="71" t="s">
        <v>192</v>
      </c>
      <c r="C761" s="71" t="s">
        <v>187</v>
      </c>
      <c r="D761" s="71" t="s">
        <v>185</v>
      </c>
      <c r="E761" s="71" t="s">
        <v>47</v>
      </c>
      <c r="F761" s="71" t="s">
        <v>298</v>
      </c>
      <c r="G761" s="88">
        <v>46287.308159722197</v>
      </c>
      <c r="H761" s="89">
        <v>46287</v>
      </c>
      <c r="I761" s="71" t="s">
        <v>311</v>
      </c>
      <c r="J761" s="71">
        <v>-6.9999999999999796</v>
      </c>
      <c r="K761" s="71" t="s">
        <v>302</v>
      </c>
      <c r="L761" s="71">
        <f t="shared" si="99"/>
        <v>9</v>
      </c>
      <c r="M761" s="71" t="str">
        <f>IFERROR(INDEX(KALENDER!$D$3:$D$132,MATCH(H761,KALENDER!$A$3:$A$132,0)),"Di luar periode")</f>
        <v>Hari Kerja</v>
      </c>
      <c r="N761" s="71">
        <f t="shared" si="100"/>
        <v>0</v>
      </c>
      <c r="O761" s="71">
        <f t="shared" si="101"/>
        <v>2</v>
      </c>
      <c r="P761" s="71">
        <f t="shared" si="102"/>
        <v>0</v>
      </c>
      <c r="Q761" s="71">
        <f t="shared" si="103"/>
        <v>0</v>
      </c>
      <c r="R761" s="71">
        <f t="shared" si="104"/>
        <v>0</v>
      </c>
      <c r="S761" s="71">
        <f t="shared" si="105"/>
        <v>0</v>
      </c>
      <c r="T761" s="71">
        <f t="shared" si="106"/>
        <v>0</v>
      </c>
      <c r="U761" s="71">
        <f>IF(AND(N761=1,V761=1),IF(COUNTIFS(AKTIVITAS!$B$2:$B$3052,B761,AKTIVITAS!$E$2:$E$3052,H761)&gt;0,1,0),0)</f>
        <v>0</v>
      </c>
      <c r="V761" s="71">
        <f>IFERROR(IF(AND(H761&gt;=INDEX(PEMAGANG!$J$3:$J$36,MATCH(B761,PEMAGANG!$C$3:$C$36,0)),H761&lt;=INDEX(PEMAGANG!$K$3:$K$36,MATCH(B761,PEMAGANG!$C$3:$C$36,0))),1,0),0)</f>
        <v>1</v>
      </c>
      <c r="W761" s="71">
        <f t="shared" si="107"/>
        <v>0</v>
      </c>
    </row>
    <row r="762" spans="1:23" x14ac:dyDescent="0.2">
      <c r="A762" s="71" t="s">
        <v>191</v>
      </c>
      <c r="B762" s="71" t="s">
        <v>192</v>
      </c>
      <c r="C762" s="71" t="s">
        <v>187</v>
      </c>
      <c r="D762" s="71" t="s">
        <v>185</v>
      </c>
      <c r="E762" s="71" t="s">
        <v>47</v>
      </c>
      <c r="F762" s="71" t="s">
        <v>300</v>
      </c>
      <c r="G762" s="88">
        <v>46287.691134259301</v>
      </c>
      <c r="H762" s="89">
        <v>46287</v>
      </c>
      <c r="I762" s="71" t="s">
        <v>310</v>
      </c>
      <c r="J762" s="71">
        <v>0</v>
      </c>
      <c r="K762" s="71" t="s">
        <v>302</v>
      </c>
      <c r="L762" s="71">
        <f t="shared" si="99"/>
        <v>9</v>
      </c>
      <c r="M762" s="71" t="str">
        <f>IFERROR(INDEX(KALENDER!$D$3:$D$132,MATCH(H762,KALENDER!$A$3:$A$132,0)),"Di luar periode")</f>
        <v>Hari Kerja</v>
      </c>
      <c r="N762" s="71">
        <f t="shared" si="100"/>
        <v>0</v>
      </c>
      <c r="O762" s="71">
        <f t="shared" si="101"/>
        <v>2</v>
      </c>
      <c r="P762" s="71">
        <f t="shared" si="102"/>
        <v>0</v>
      </c>
      <c r="Q762" s="71">
        <f t="shared" si="103"/>
        <v>0</v>
      </c>
      <c r="R762" s="71">
        <f t="shared" si="104"/>
        <v>0</v>
      </c>
      <c r="S762" s="71">
        <f t="shared" si="105"/>
        <v>0</v>
      </c>
      <c r="T762" s="71">
        <f t="shared" si="106"/>
        <v>0</v>
      </c>
      <c r="U762" s="71">
        <f>IF(AND(N762=1,V762=1),IF(COUNTIFS(AKTIVITAS!$B$2:$B$3052,B762,AKTIVITAS!$E$2:$E$3052,H762)&gt;0,1,0),0)</f>
        <v>0</v>
      </c>
      <c r="V762" s="71">
        <f>IFERROR(IF(AND(H762&gt;=INDEX(PEMAGANG!$J$3:$J$36,MATCH(B762,PEMAGANG!$C$3:$C$36,0)),H762&lt;=INDEX(PEMAGANG!$K$3:$K$36,MATCH(B762,PEMAGANG!$C$3:$C$36,0))),1,0),0)</f>
        <v>1</v>
      </c>
      <c r="W762" s="71">
        <f t="shared" si="107"/>
        <v>0</v>
      </c>
    </row>
    <row r="763" spans="1:23" x14ac:dyDescent="0.2">
      <c r="A763" s="71" t="s">
        <v>191</v>
      </c>
      <c r="B763" s="71" t="s">
        <v>192</v>
      </c>
      <c r="C763" s="71" t="s">
        <v>187</v>
      </c>
      <c r="D763" s="71" t="s">
        <v>185</v>
      </c>
      <c r="E763" s="71" t="s">
        <v>47</v>
      </c>
      <c r="F763" s="71" t="s">
        <v>298</v>
      </c>
      <c r="G763" s="88">
        <v>46288.3114236111</v>
      </c>
      <c r="H763" s="89">
        <v>46288</v>
      </c>
      <c r="I763" s="71" t="s">
        <v>377</v>
      </c>
      <c r="J763" s="71">
        <v>-1.99999999999999</v>
      </c>
      <c r="K763" s="71" t="s">
        <v>302</v>
      </c>
      <c r="L763" s="71">
        <f t="shared" si="99"/>
        <v>9</v>
      </c>
      <c r="M763" s="71" t="str">
        <f>IFERROR(INDEX(KALENDER!$D$3:$D$132,MATCH(H763,KALENDER!$A$3:$A$132,0)),"Di luar periode")</f>
        <v>Hari Kerja</v>
      </c>
      <c r="N763" s="71">
        <f t="shared" si="100"/>
        <v>1</v>
      </c>
      <c r="O763" s="71">
        <f t="shared" si="101"/>
        <v>1</v>
      </c>
      <c r="P763" s="71">
        <f t="shared" si="102"/>
        <v>1</v>
      </c>
      <c r="Q763" s="71">
        <f t="shared" si="103"/>
        <v>0</v>
      </c>
      <c r="R763" s="71">
        <f t="shared" si="104"/>
        <v>0</v>
      </c>
      <c r="S763" s="71">
        <f t="shared" si="105"/>
        <v>0</v>
      </c>
      <c r="T763" s="71">
        <f t="shared" si="106"/>
        <v>0</v>
      </c>
      <c r="U763" s="71">
        <f>IF(AND(N763=1,V763=1),IF(COUNTIFS(AKTIVITAS!$B$2:$B$3052,B763,AKTIVITAS!$E$2:$E$3052,H763)&gt;0,1,0),0)</f>
        <v>1</v>
      </c>
      <c r="V763" s="71">
        <f>IFERROR(IF(AND(H763&gt;=INDEX(PEMAGANG!$J$3:$J$36,MATCH(B763,PEMAGANG!$C$3:$C$36,0)),H763&lt;=INDEX(PEMAGANG!$K$3:$K$36,MATCH(B763,PEMAGANG!$C$3:$C$36,0))),1,0),0)</f>
        <v>1</v>
      </c>
      <c r="W763" s="71">
        <f t="shared" si="107"/>
        <v>1</v>
      </c>
    </row>
    <row r="764" spans="1:23" x14ac:dyDescent="0.2">
      <c r="A764" s="71" t="s">
        <v>191</v>
      </c>
      <c r="B764" s="71" t="s">
        <v>192</v>
      </c>
      <c r="C764" s="71" t="s">
        <v>187</v>
      </c>
      <c r="D764" s="71" t="s">
        <v>185</v>
      </c>
      <c r="E764" s="71" t="s">
        <v>47</v>
      </c>
      <c r="F764" s="71" t="s">
        <v>300</v>
      </c>
      <c r="G764" s="88">
        <v>46288.6897916667</v>
      </c>
      <c r="H764" s="89">
        <v>46288</v>
      </c>
      <c r="I764" s="71" t="s">
        <v>316</v>
      </c>
      <c r="J764" s="71">
        <v>0</v>
      </c>
      <c r="K764" s="71" t="s">
        <v>302</v>
      </c>
      <c r="L764" s="71">
        <f t="shared" si="99"/>
        <v>9</v>
      </c>
      <c r="M764" s="71" t="str">
        <f>IFERROR(INDEX(KALENDER!$D$3:$D$132,MATCH(H764,KALENDER!$A$3:$A$132,0)),"Di luar periode")</f>
        <v>Hari Kerja</v>
      </c>
      <c r="N764" s="71">
        <f t="shared" si="100"/>
        <v>0</v>
      </c>
      <c r="O764" s="71">
        <f t="shared" si="101"/>
        <v>1</v>
      </c>
      <c r="P764" s="71">
        <f t="shared" si="102"/>
        <v>0</v>
      </c>
      <c r="Q764" s="71">
        <f t="shared" si="103"/>
        <v>0</v>
      </c>
      <c r="R764" s="71">
        <f t="shared" si="104"/>
        <v>0</v>
      </c>
      <c r="S764" s="71">
        <f t="shared" si="105"/>
        <v>0</v>
      </c>
      <c r="T764" s="71">
        <f t="shared" si="106"/>
        <v>0</v>
      </c>
      <c r="U764" s="71">
        <f>IF(AND(N764=1,V764=1),IF(COUNTIFS(AKTIVITAS!$B$2:$B$3052,B764,AKTIVITAS!$E$2:$E$3052,H764)&gt;0,1,0),0)</f>
        <v>0</v>
      </c>
      <c r="V764" s="71">
        <f>IFERROR(IF(AND(H764&gt;=INDEX(PEMAGANG!$J$3:$J$36,MATCH(B764,PEMAGANG!$C$3:$C$36,0)),H764&lt;=INDEX(PEMAGANG!$K$3:$K$36,MATCH(B764,PEMAGANG!$C$3:$C$36,0))),1,0),0)</f>
        <v>1</v>
      </c>
      <c r="W764" s="71">
        <f t="shared" si="107"/>
        <v>0</v>
      </c>
    </row>
    <row r="765" spans="1:23" x14ac:dyDescent="0.2">
      <c r="A765" s="71" t="s">
        <v>191</v>
      </c>
      <c r="B765" s="71" t="s">
        <v>192</v>
      </c>
      <c r="C765" s="71" t="s">
        <v>187</v>
      </c>
      <c r="D765" s="71" t="s">
        <v>185</v>
      </c>
      <c r="E765" s="71" t="s">
        <v>47</v>
      </c>
      <c r="F765" s="71" t="s">
        <v>298</v>
      </c>
      <c r="G765" s="88">
        <v>46289.302951388898</v>
      </c>
      <c r="H765" s="89">
        <v>46289</v>
      </c>
      <c r="I765" s="71" t="s">
        <v>327</v>
      </c>
      <c r="J765" s="71">
        <v>-14</v>
      </c>
      <c r="K765" s="71" t="s">
        <v>302</v>
      </c>
      <c r="L765" s="71">
        <f t="shared" si="99"/>
        <v>9</v>
      </c>
      <c r="M765" s="71" t="str">
        <f>IFERROR(INDEX(KALENDER!$D$3:$D$132,MATCH(H765,KALENDER!$A$3:$A$132,0)),"Di luar periode")</f>
        <v>Hari Kerja</v>
      </c>
      <c r="N765" s="71">
        <f t="shared" si="100"/>
        <v>1</v>
      </c>
      <c r="O765" s="71">
        <f t="shared" si="101"/>
        <v>1</v>
      </c>
      <c r="P765" s="71">
        <f t="shared" si="102"/>
        <v>1</v>
      </c>
      <c r="Q765" s="71">
        <f t="shared" si="103"/>
        <v>0</v>
      </c>
      <c r="R765" s="71">
        <f t="shared" si="104"/>
        <v>0</v>
      </c>
      <c r="S765" s="71">
        <f t="shared" si="105"/>
        <v>0</v>
      </c>
      <c r="T765" s="71">
        <f t="shared" si="106"/>
        <v>0</v>
      </c>
      <c r="U765" s="71">
        <f>IF(AND(N765=1,V765=1),IF(COUNTIFS(AKTIVITAS!$B$2:$B$3052,B765,AKTIVITAS!$E$2:$E$3052,H765)&gt;0,1,0),0)</f>
        <v>1</v>
      </c>
      <c r="V765" s="71">
        <f>IFERROR(IF(AND(H765&gt;=INDEX(PEMAGANG!$J$3:$J$36,MATCH(B765,PEMAGANG!$C$3:$C$36,0)),H765&lt;=INDEX(PEMAGANG!$K$3:$K$36,MATCH(B765,PEMAGANG!$C$3:$C$36,0))),1,0),0)</f>
        <v>1</v>
      </c>
      <c r="W765" s="71">
        <f t="shared" si="107"/>
        <v>1</v>
      </c>
    </row>
    <row r="766" spans="1:23" x14ac:dyDescent="0.2">
      <c r="A766" s="71" t="s">
        <v>191</v>
      </c>
      <c r="B766" s="71" t="s">
        <v>192</v>
      </c>
      <c r="C766" s="71" t="s">
        <v>187</v>
      </c>
      <c r="D766" s="71" t="s">
        <v>185</v>
      </c>
      <c r="E766" s="71" t="s">
        <v>47</v>
      </c>
      <c r="F766" s="71" t="s">
        <v>300</v>
      </c>
      <c r="G766" s="88">
        <v>46289.700023148202</v>
      </c>
      <c r="H766" s="89">
        <v>46289</v>
      </c>
      <c r="I766" s="71" t="s">
        <v>346</v>
      </c>
      <c r="J766" s="71">
        <v>0</v>
      </c>
      <c r="K766" s="71" t="s">
        <v>302</v>
      </c>
      <c r="L766" s="71">
        <f t="shared" si="99"/>
        <v>9</v>
      </c>
      <c r="M766" s="71" t="str">
        <f>IFERROR(INDEX(KALENDER!$D$3:$D$132,MATCH(H766,KALENDER!$A$3:$A$132,0)),"Di luar periode")</f>
        <v>Hari Kerja</v>
      </c>
      <c r="N766" s="71">
        <f t="shared" si="100"/>
        <v>0</v>
      </c>
      <c r="O766" s="71">
        <f t="shared" si="101"/>
        <v>1</v>
      </c>
      <c r="P766" s="71">
        <f t="shared" si="102"/>
        <v>0</v>
      </c>
      <c r="Q766" s="71">
        <f t="shared" si="103"/>
        <v>0</v>
      </c>
      <c r="R766" s="71">
        <f t="shared" si="104"/>
        <v>0</v>
      </c>
      <c r="S766" s="71">
        <f t="shared" si="105"/>
        <v>0</v>
      </c>
      <c r="T766" s="71">
        <f t="shared" si="106"/>
        <v>0</v>
      </c>
      <c r="U766" s="71">
        <f>IF(AND(N766=1,V766=1),IF(COUNTIFS(AKTIVITAS!$B$2:$B$3052,B766,AKTIVITAS!$E$2:$E$3052,H766)&gt;0,1,0),0)</f>
        <v>0</v>
      </c>
      <c r="V766" s="71">
        <f>IFERROR(IF(AND(H766&gt;=INDEX(PEMAGANG!$J$3:$J$36,MATCH(B766,PEMAGANG!$C$3:$C$36,0)),H766&lt;=INDEX(PEMAGANG!$K$3:$K$36,MATCH(B766,PEMAGANG!$C$3:$C$36,0))),1,0),0)</f>
        <v>1</v>
      </c>
      <c r="W766" s="71">
        <f t="shared" si="107"/>
        <v>0</v>
      </c>
    </row>
    <row r="767" spans="1:23" x14ac:dyDescent="0.2">
      <c r="A767" s="71" t="s">
        <v>191</v>
      </c>
      <c r="B767" s="71" t="s">
        <v>192</v>
      </c>
      <c r="C767" s="71" t="s">
        <v>187</v>
      </c>
      <c r="D767" s="71" t="s">
        <v>185</v>
      </c>
      <c r="E767" s="71" t="s">
        <v>47</v>
      </c>
      <c r="F767" s="71" t="s">
        <v>298</v>
      </c>
      <c r="G767" s="88">
        <v>46290.3071180556</v>
      </c>
      <c r="H767" s="89">
        <v>46290</v>
      </c>
      <c r="I767" s="71" t="s">
        <v>313</v>
      </c>
      <c r="J767" s="71">
        <v>-8.0000000000000497</v>
      </c>
      <c r="K767" s="71" t="s">
        <v>302</v>
      </c>
      <c r="L767" s="71">
        <f t="shared" si="99"/>
        <v>9</v>
      </c>
      <c r="M767" s="71" t="str">
        <f>IFERROR(INDEX(KALENDER!$D$3:$D$132,MATCH(H767,KALENDER!$A$3:$A$132,0)),"Di luar periode")</f>
        <v>Hari Kerja</v>
      </c>
      <c r="N767" s="71">
        <f t="shared" si="100"/>
        <v>1</v>
      </c>
      <c r="O767" s="71">
        <f t="shared" si="101"/>
        <v>1</v>
      </c>
      <c r="P767" s="71">
        <f t="shared" si="102"/>
        <v>1</v>
      </c>
      <c r="Q767" s="71">
        <f t="shared" si="103"/>
        <v>0</v>
      </c>
      <c r="R767" s="71">
        <f t="shared" si="104"/>
        <v>0</v>
      </c>
      <c r="S767" s="71">
        <f t="shared" si="105"/>
        <v>0</v>
      </c>
      <c r="T767" s="71">
        <f t="shared" si="106"/>
        <v>0</v>
      </c>
      <c r="U767" s="71">
        <f>IF(AND(N767=1,V767=1),IF(COUNTIFS(AKTIVITAS!$B$2:$B$3052,B767,AKTIVITAS!$E$2:$E$3052,H767)&gt;0,1,0),0)</f>
        <v>1</v>
      </c>
      <c r="V767" s="71">
        <f>IFERROR(IF(AND(H767&gt;=INDEX(PEMAGANG!$J$3:$J$36,MATCH(B767,PEMAGANG!$C$3:$C$36,0)),H767&lt;=INDEX(PEMAGANG!$K$3:$K$36,MATCH(B767,PEMAGANG!$C$3:$C$36,0))),1,0),0)</f>
        <v>1</v>
      </c>
      <c r="W767" s="71">
        <f t="shared" si="107"/>
        <v>1</v>
      </c>
    </row>
    <row r="768" spans="1:23" x14ac:dyDescent="0.2">
      <c r="A768" s="71" t="s">
        <v>191</v>
      </c>
      <c r="B768" s="71" t="s">
        <v>192</v>
      </c>
      <c r="C768" s="71" t="s">
        <v>187</v>
      </c>
      <c r="D768" s="71" t="s">
        <v>185</v>
      </c>
      <c r="E768" s="71" t="s">
        <v>47</v>
      </c>
      <c r="F768" s="71" t="s">
        <v>300</v>
      </c>
      <c r="G768" s="88">
        <v>46290.727083333302</v>
      </c>
      <c r="H768" s="89">
        <v>46290</v>
      </c>
      <c r="I768" s="71" t="s">
        <v>389</v>
      </c>
      <c r="J768" s="71">
        <v>0</v>
      </c>
      <c r="K768" s="71" t="s">
        <v>302</v>
      </c>
      <c r="L768" s="71">
        <f t="shared" si="99"/>
        <v>9</v>
      </c>
      <c r="M768" s="71" t="str">
        <f>IFERROR(INDEX(KALENDER!$D$3:$D$132,MATCH(H768,KALENDER!$A$3:$A$132,0)),"Di luar periode")</f>
        <v>Hari Kerja</v>
      </c>
      <c r="N768" s="71">
        <f t="shared" si="100"/>
        <v>0</v>
      </c>
      <c r="O768" s="71">
        <f t="shared" si="101"/>
        <v>1</v>
      </c>
      <c r="P768" s="71">
        <f t="shared" si="102"/>
        <v>0</v>
      </c>
      <c r="Q768" s="71">
        <f t="shared" si="103"/>
        <v>0</v>
      </c>
      <c r="R768" s="71">
        <f t="shared" si="104"/>
        <v>0</v>
      </c>
      <c r="S768" s="71">
        <f t="shared" si="105"/>
        <v>0</v>
      </c>
      <c r="T768" s="71">
        <f t="shared" si="106"/>
        <v>0</v>
      </c>
      <c r="U768" s="71">
        <f>IF(AND(N768=1,V768=1),IF(COUNTIFS(AKTIVITAS!$B$2:$B$3052,B768,AKTIVITAS!$E$2:$E$3052,H768)&gt;0,1,0),0)</f>
        <v>0</v>
      </c>
      <c r="V768" s="71">
        <f>IFERROR(IF(AND(H768&gt;=INDEX(PEMAGANG!$J$3:$J$36,MATCH(B768,PEMAGANG!$C$3:$C$36,0)),H768&lt;=INDEX(PEMAGANG!$K$3:$K$36,MATCH(B768,PEMAGANG!$C$3:$C$36,0))),1,0),0)</f>
        <v>1</v>
      </c>
      <c r="W768" s="71">
        <f t="shared" si="107"/>
        <v>0</v>
      </c>
    </row>
    <row r="769" spans="1:23" x14ac:dyDescent="0.2">
      <c r="A769" s="71" t="s">
        <v>191</v>
      </c>
      <c r="B769" s="71" t="s">
        <v>192</v>
      </c>
      <c r="C769" s="71" t="s">
        <v>187</v>
      </c>
      <c r="D769" s="71" t="s">
        <v>185</v>
      </c>
      <c r="E769" s="71" t="s">
        <v>47</v>
      </c>
      <c r="F769" s="71" t="s">
        <v>298</v>
      </c>
      <c r="G769" s="88">
        <v>46293.302592592598</v>
      </c>
      <c r="H769" s="89">
        <v>46293</v>
      </c>
      <c r="I769" s="71" t="s">
        <v>370</v>
      </c>
      <c r="J769" s="71">
        <v>-15</v>
      </c>
      <c r="K769" s="71" t="s">
        <v>302</v>
      </c>
      <c r="L769" s="71">
        <f t="shared" si="99"/>
        <v>9</v>
      </c>
      <c r="M769" s="71" t="str">
        <f>IFERROR(INDEX(KALENDER!$D$3:$D$132,MATCH(H769,KALENDER!$A$3:$A$132,0)),"Di luar periode")</f>
        <v>Hari Kerja</v>
      </c>
      <c r="N769" s="71">
        <f t="shared" si="100"/>
        <v>1</v>
      </c>
      <c r="O769" s="71">
        <f t="shared" si="101"/>
        <v>1</v>
      </c>
      <c r="P769" s="71">
        <f t="shared" si="102"/>
        <v>1</v>
      </c>
      <c r="Q769" s="71">
        <f t="shared" si="103"/>
        <v>0</v>
      </c>
      <c r="R769" s="71">
        <f t="shared" si="104"/>
        <v>0</v>
      </c>
      <c r="S769" s="71">
        <f t="shared" si="105"/>
        <v>0</v>
      </c>
      <c r="T769" s="71">
        <f t="shared" si="106"/>
        <v>0</v>
      </c>
      <c r="U769" s="71">
        <f>IF(AND(N769=1,V769=1),IF(COUNTIFS(AKTIVITAS!$B$2:$B$3052,B769,AKTIVITAS!$E$2:$E$3052,H769)&gt;0,1,0),0)</f>
        <v>1</v>
      </c>
      <c r="V769" s="71">
        <f>IFERROR(IF(AND(H769&gt;=INDEX(PEMAGANG!$J$3:$J$36,MATCH(B769,PEMAGANG!$C$3:$C$36,0)),H769&lt;=INDEX(PEMAGANG!$K$3:$K$36,MATCH(B769,PEMAGANG!$C$3:$C$36,0))),1,0),0)</f>
        <v>1</v>
      </c>
      <c r="W769" s="71">
        <f t="shared" si="107"/>
        <v>1</v>
      </c>
    </row>
    <row r="770" spans="1:23" x14ac:dyDescent="0.2">
      <c r="A770" s="71" t="s">
        <v>191</v>
      </c>
      <c r="B770" s="71" t="s">
        <v>192</v>
      </c>
      <c r="C770" s="71" t="s">
        <v>187</v>
      </c>
      <c r="D770" s="71" t="s">
        <v>185</v>
      </c>
      <c r="E770" s="71" t="s">
        <v>47</v>
      </c>
      <c r="F770" s="71" t="s">
        <v>300</v>
      </c>
      <c r="G770" s="88">
        <v>46293.689652777801</v>
      </c>
      <c r="H770" s="89">
        <v>46293</v>
      </c>
      <c r="I770" s="71" t="s">
        <v>316</v>
      </c>
      <c r="J770" s="71">
        <v>0</v>
      </c>
      <c r="K770" s="71" t="s">
        <v>302</v>
      </c>
      <c r="L770" s="71">
        <f t="shared" ref="L770:L833" si="108">MONTH(H770)</f>
        <v>9</v>
      </c>
      <c r="M770" s="71" t="str">
        <f>IFERROR(INDEX(KALENDER!$D$3:$D$132,MATCH(H770,KALENDER!$A$3:$A$132,0)),"Di luar periode")</f>
        <v>Hari Kerja</v>
      </c>
      <c r="N770" s="71">
        <f t="shared" ref="N770:N833" si="109">IF(AND(B770=B769,H770=H769),0,1)</f>
        <v>0</v>
      </c>
      <c r="O770" s="71">
        <f t="shared" ref="O770:O833" si="110">IF(N770=1,0,O769)+IF(F770="MASUK",1,0)</f>
        <v>1</v>
      </c>
      <c r="P770" s="71">
        <f t="shared" ref="P770:P833" si="111">IF(AND(N770=1,M770="Hari Kerja",V770=1),1,0)</f>
        <v>0</v>
      </c>
      <c r="Q770" s="71">
        <f t="shared" ref="Q770:Q833" si="112">IF(AND(N770=1,OR(M770&lt;&gt;"Hari Kerja",V770=0)),1,0)</f>
        <v>0</v>
      </c>
      <c r="R770" s="71">
        <f t="shared" ref="R770:R833" si="113">IF(AND(F770="MASUK",O770=1,N(J770)&gt;0,V770=1),1,0)</f>
        <v>0</v>
      </c>
      <c r="S770" s="71">
        <f t="shared" ref="S770:S833" si="114">R770*N(J770)</f>
        <v>0</v>
      </c>
      <c r="T770" s="71">
        <f t="shared" ref="T770:T833" si="115">IF(AND(N770=1,V770=1),IF(AND(COUNTIFS($B$2:$B$4094,B770,$H$2:$H$4094,H770,$F$2:$F$4094,"MASUK")&gt;0,COUNTIFS($B$2:$B$4094,B770,$H$2:$H$4094,H770,$F$2:$F$4094,"PULANG")=0),1,0),0)</f>
        <v>0</v>
      </c>
      <c r="U770" s="71">
        <f>IF(AND(N770=1,V770=1),IF(COUNTIFS(AKTIVITAS!$B$2:$B$3052,B770,AKTIVITAS!$E$2:$E$3052,H770)&gt;0,1,0),0)</f>
        <v>0</v>
      </c>
      <c r="V770" s="71">
        <f>IFERROR(IF(AND(H770&gt;=INDEX(PEMAGANG!$J$3:$J$36,MATCH(B770,PEMAGANG!$C$3:$C$36,0)),H770&lt;=INDEX(PEMAGANG!$K$3:$K$36,MATCH(B770,PEMAGANG!$C$3:$C$36,0))),1,0),0)</f>
        <v>1</v>
      </c>
      <c r="W770" s="71">
        <f t="shared" ref="W770:W833" si="116">N770*V770</f>
        <v>0</v>
      </c>
    </row>
    <row r="771" spans="1:23" x14ac:dyDescent="0.2">
      <c r="A771" s="71" t="s">
        <v>191</v>
      </c>
      <c r="B771" s="71" t="s">
        <v>192</v>
      </c>
      <c r="C771" s="71" t="s">
        <v>187</v>
      </c>
      <c r="D771" s="71" t="s">
        <v>185</v>
      </c>
      <c r="E771" s="71" t="s">
        <v>47</v>
      </c>
      <c r="F771" s="71" t="s">
        <v>298</v>
      </c>
      <c r="G771" s="88">
        <v>46294.294675925899</v>
      </c>
      <c r="H771" s="89">
        <v>46294</v>
      </c>
      <c r="I771" s="71" t="s">
        <v>411</v>
      </c>
      <c r="J771" s="71">
        <v>-26</v>
      </c>
      <c r="K771" s="71" t="s">
        <v>302</v>
      </c>
      <c r="L771" s="71">
        <f t="shared" si="108"/>
        <v>9</v>
      </c>
      <c r="M771" s="71" t="str">
        <f>IFERROR(INDEX(KALENDER!$D$3:$D$132,MATCH(H771,KALENDER!$A$3:$A$132,0)),"Di luar periode")</f>
        <v>Hari Kerja</v>
      </c>
      <c r="N771" s="71">
        <f t="shared" si="109"/>
        <v>1</v>
      </c>
      <c r="O771" s="71">
        <f t="shared" si="110"/>
        <v>1</v>
      </c>
      <c r="P771" s="71">
        <f t="shared" si="111"/>
        <v>1</v>
      </c>
      <c r="Q771" s="71">
        <f t="shared" si="112"/>
        <v>0</v>
      </c>
      <c r="R771" s="71">
        <f t="shared" si="113"/>
        <v>0</v>
      </c>
      <c r="S771" s="71">
        <f t="shared" si="114"/>
        <v>0</v>
      </c>
      <c r="T771" s="71">
        <f t="shared" si="115"/>
        <v>0</v>
      </c>
      <c r="U771" s="71">
        <f>IF(AND(N771=1,V771=1),IF(COUNTIFS(AKTIVITAS!$B$2:$B$3052,B771,AKTIVITAS!$E$2:$E$3052,H771)&gt;0,1,0),0)</f>
        <v>1</v>
      </c>
      <c r="V771" s="71">
        <f>IFERROR(IF(AND(H771&gt;=INDEX(PEMAGANG!$J$3:$J$36,MATCH(B771,PEMAGANG!$C$3:$C$36,0)),H771&lt;=INDEX(PEMAGANG!$K$3:$K$36,MATCH(B771,PEMAGANG!$C$3:$C$36,0))),1,0),0)</f>
        <v>1</v>
      </c>
      <c r="W771" s="71">
        <f t="shared" si="116"/>
        <v>1</v>
      </c>
    </row>
    <row r="772" spans="1:23" x14ac:dyDescent="0.2">
      <c r="A772" s="71" t="s">
        <v>191</v>
      </c>
      <c r="B772" s="71" t="s">
        <v>192</v>
      </c>
      <c r="C772" s="71" t="s">
        <v>187</v>
      </c>
      <c r="D772" s="71" t="s">
        <v>185</v>
      </c>
      <c r="E772" s="71" t="s">
        <v>47</v>
      </c>
      <c r="F772" s="71" t="s">
        <v>300</v>
      </c>
      <c r="G772" s="88">
        <v>46294.691122685203</v>
      </c>
      <c r="H772" s="89">
        <v>46294</v>
      </c>
      <c r="I772" s="71" t="s">
        <v>310</v>
      </c>
      <c r="J772" s="71">
        <v>0</v>
      </c>
      <c r="K772" s="71" t="s">
        <v>302</v>
      </c>
      <c r="L772" s="71">
        <f t="shared" si="108"/>
        <v>9</v>
      </c>
      <c r="M772" s="71" t="str">
        <f>IFERROR(INDEX(KALENDER!$D$3:$D$132,MATCH(H772,KALENDER!$A$3:$A$132,0)),"Di luar periode")</f>
        <v>Hari Kerja</v>
      </c>
      <c r="N772" s="71">
        <f t="shared" si="109"/>
        <v>0</v>
      </c>
      <c r="O772" s="71">
        <f t="shared" si="110"/>
        <v>1</v>
      </c>
      <c r="P772" s="71">
        <f t="shared" si="111"/>
        <v>0</v>
      </c>
      <c r="Q772" s="71">
        <f t="shared" si="112"/>
        <v>0</v>
      </c>
      <c r="R772" s="71">
        <f t="shared" si="113"/>
        <v>0</v>
      </c>
      <c r="S772" s="71">
        <f t="shared" si="114"/>
        <v>0</v>
      </c>
      <c r="T772" s="71">
        <f t="shared" si="115"/>
        <v>0</v>
      </c>
      <c r="U772" s="71">
        <f>IF(AND(N772=1,V772=1),IF(COUNTIFS(AKTIVITAS!$B$2:$B$3052,B772,AKTIVITAS!$E$2:$E$3052,H772)&gt;0,1,0),0)</f>
        <v>0</v>
      </c>
      <c r="V772" s="71">
        <f>IFERROR(IF(AND(H772&gt;=INDEX(PEMAGANG!$J$3:$J$36,MATCH(B772,PEMAGANG!$C$3:$C$36,0)),H772&lt;=INDEX(PEMAGANG!$K$3:$K$36,MATCH(B772,PEMAGANG!$C$3:$C$36,0))),1,0),0)</f>
        <v>1</v>
      </c>
      <c r="W772" s="71">
        <f t="shared" si="116"/>
        <v>0</v>
      </c>
    </row>
    <row r="773" spans="1:23" x14ac:dyDescent="0.2">
      <c r="A773" s="71" t="s">
        <v>191</v>
      </c>
      <c r="B773" s="71" t="s">
        <v>192</v>
      </c>
      <c r="C773" s="71" t="s">
        <v>187</v>
      </c>
      <c r="D773" s="71" t="s">
        <v>185</v>
      </c>
      <c r="E773" s="71" t="s">
        <v>47</v>
      </c>
      <c r="F773" s="71" t="s">
        <v>298</v>
      </c>
      <c r="G773" s="88">
        <v>46295.299733796302</v>
      </c>
      <c r="H773" s="89">
        <v>46295</v>
      </c>
      <c r="I773" s="71" t="s">
        <v>402</v>
      </c>
      <c r="J773" s="71">
        <v>-19</v>
      </c>
      <c r="K773" s="71" t="s">
        <v>302</v>
      </c>
      <c r="L773" s="71">
        <f t="shared" si="108"/>
        <v>9</v>
      </c>
      <c r="M773" s="71" t="str">
        <f>IFERROR(INDEX(KALENDER!$D$3:$D$132,MATCH(H773,KALENDER!$A$3:$A$132,0)),"Di luar periode")</f>
        <v>Hari Kerja</v>
      </c>
      <c r="N773" s="71">
        <f t="shared" si="109"/>
        <v>1</v>
      </c>
      <c r="O773" s="71">
        <f t="shared" si="110"/>
        <v>1</v>
      </c>
      <c r="P773" s="71">
        <f t="shared" si="111"/>
        <v>1</v>
      </c>
      <c r="Q773" s="71">
        <f t="shared" si="112"/>
        <v>0</v>
      </c>
      <c r="R773" s="71">
        <f t="shared" si="113"/>
        <v>0</v>
      </c>
      <c r="S773" s="71">
        <f t="shared" si="114"/>
        <v>0</v>
      </c>
      <c r="T773" s="71">
        <f t="shared" si="115"/>
        <v>0</v>
      </c>
      <c r="U773" s="71">
        <f>IF(AND(N773=1,V773=1),IF(COUNTIFS(AKTIVITAS!$B$2:$B$3052,B773,AKTIVITAS!$E$2:$E$3052,H773)&gt;0,1,0),0)</f>
        <v>1</v>
      </c>
      <c r="V773" s="71">
        <f>IFERROR(IF(AND(H773&gt;=INDEX(PEMAGANG!$J$3:$J$36,MATCH(B773,PEMAGANG!$C$3:$C$36,0)),H773&lt;=INDEX(PEMAGANG!$K$3:$K$36,MATCH(B773,PEMAGANG!$C$3:$C$36,0))),1,0),0)</f>
        <v>1</v>
      </c>
      <c r="W773" s="71">
        <f t="shared" si="116"/>
        <v>1</v>
      </c>
    </row>
    <row r="774" spans="1:23" x14ac:dyDescent="0.2">
      <c r="A774" s="71" t="s">
        <v>191</v>
      </c>
      <c r="B774" s="71" t="s">
        <v>192</v>
      </c>
      <c r="C774" s="71" t="s">
        <v>187</v>
      </c>
      <c r="D774" s="71" t="s">
        <v>185</v>
      </c>
      <c r="E774" s="71" t="s">
        <v>47</v>
      </c>
      <c r="F774" s="71" t="s">
        <v>300</v>
      </c>
      <c r="G774" s="88">
        <v>46295.849699074097</v>
      </c>
      <c r="H774" s="89">
        <v>46295</v>
      </c>
      <c r="I774" s="71" t="s">
        <v>476</v>
      </c>
      <c r="J774" s="71">
        <v>0</v>
      </c>
      <c r="K774" s="71" t="s">
        <v>302</v>
      </c>
      <c r="L774" s="71">
        <f t="shared" si="108"/>
        <v>9</v>
      </c>
      <c r="M774" s="71" t="str">
        <f>IFERROR(INDEX(KALENDER!$D$3:$D$132,MATCH(H774,KALENDER!$A$3:$A$132,0)),"Di luar periode")</f>
        <v>Hari Kerja</v>
      </c>
      <c r="N774" s="71">
        <f t="shared" si="109"/>
        <v>0</v>
      </c>
      <c r="O774" s="71">
        <f t="shared" si="110"/>
        <v>1</v>
      </c>
      <c r="P774" s="71">
        <f t="shared" si="111"/>
        <v>0</v>
      </c>
      <c r="Q774" s="71">
        <f t="shared" si="112"/>
        <v>0</v>
      </c>
      <c r="R774" s="71">
        <f t="shared" si="113"/>
        <v>0</v>
      </c>
      <c r="S774" s="71">
        <f t="shared" si="114"/>
        <v>0</v>
      </c>
      <c r="T774" s="71">
        <f t="shared" si="115"/>
        <v>0</v>
      </c>
      <c r="U774" s="71">
        <f>IF(AND(N774=1,V774=1),IF(COUNTIFS(AKTIVITAS!$B$2:$B$3052,B774,AKTIVITAS!$E$2:$E$3052,H774)&gt;0,1,0),0)</f>
        <v>0</v>
      </c>
      <c r="V774" s="71">
        <f>IFERROR(IF(AND(H774&gt;=INDEX(PEMAGANG!$J$3:$J$36,MATCH(B774,PEMAGANG!$C$3:$C$36,0)),H774&lt;=INDEX(PEMAGANG!$K$3:$K$36,MATCH(B774,PEMAGANG!$C$3:$C$36,0))),1,0),0)</f>
        <v>1</v>
      </c>
      <c r="W774" s="71">
        <f t="shared" si="116"/>
        <v>0</v>
      </c>
    </row>
    <row r="775" spans="1:23" x14ac:dyDescent="0.2">
      <c r="A775" s="71" t="s">
        <v>191</v>
      </c>
      <c r="B775" s="71" t="s">
        <v>192</v>
      </c>
      <c r="C775" s="71" t="s">
        <v>187</v>
      </c>
      <c r="D775" s="71" t="s">
        <v>185</v>
      </c>
      <c r="E775" s="71" t="s">
        <v>47</v>
      </c>
      <c r="F775" s="71" t="s">
        <v>300</v>
      </c>
      <c r="G775" s="88">
        <v>46295.849803240701</v>
      </c>
      <c r="H775" s="89">
        <v>46295</v>
      </c>
      <c r="I775" s="71" t="s">
        <v>476</v>
      </c>
      <c r="J775" s="71">
        <v>0</v>
      </c>
      <c r="K775" s="71" t="s">
        <v>302</v>
      </c>
      <c r="L775" s="71">
        <f t="shared" si="108"/>
        <v>9</v>
      </c>
      <c r="M775" s="71" t="str">
        <f>IFERROR(INDEX(KALENDER!$D$3:$D$132,MATCH(H775,KALENDER!$A$3:$A$132,0)),"Di luar periode")</f>
        <v>Hari Kerja</v>
      </c>
      <c r="N775" s="71">
        <f t="shared" si="109"/>
        <v>0</v>
      </c>
      <c r="O775" s="71">
        <f t="shared" si="110"/>
        <v>1</v>
      </c>
      <c r="P775" s="71">
        <f t="shared" si="111"/>
        <v>0</v>
      </c>
      <c r="Q775" s="71">
        <f t="shared" si="112"/>
        <v>0</v>
      </c>
      <c r="R775" s="71">
        <f t="shared" si="113"/>
        <v>0</v>
      </c>
      <c r="S775" s="71">
        <f t="shared" si="114"/>
        <v>0</v>
      </c>
      <c r="T775" s="71">
        <f t="shared" si="115"/>
        <v>0</v>
      </c>
      <c r="U775" s="71">
        <f>IF(AND(N775=1,V775=1),IF(COUNTIFS(AKTIVITAS!$B$2:$B$3052,B775,AKTIVITAS!$E$2:$E$3052,H775)&gt;0,1,0),0)</f>
        <v>0</v>
      </c>
      <c r="V775" s="71">
        <f>IFERROR(IF(AND(H775&gt;=INDEX(PEMAGANG!$J$3:$J$36,MATCH(B775,PEMAGANG!$C$3:$C$36,0)),H775&lt;=INDEX(PEMAGANG!$K$3:$K$36,MATCH(B775,PEMAGANG!$C$3:$C$36,0))),1,0),0)</f>
        <v>1</v>
      </c>
      <c r="W775" s="71">
        <f t="shared" si="116"/>
        <v>0</v>
      </c>
    </row>
    <row r="776" spans="1:23" x14ac:dyDescent="0.2">
      <c r="A776" s="71" t="s">
        <v>191</v>
      </c>
      <c r="B776" s="71" t="s">
        <v>192</v>
      </c>
      <c r="C776" s="71" t="s">
        <v>187</v>
      </c>
      <c r="D776" s="71" t="s">
        <v>185</v>
      </c>
      <c r="E776" s="71" t="s">
        <v>47</v>
      </c>
      <c r="F776" s="71" t="s">
        <v>300</v>
      </c>
      <c r="G776" s="88">
        <v>46295.849837962996</v>
      </c>
      <c r="H776" s="89">
        <v>46295</v>
      </c>
      <c r="I776" s="71" t="s">
        <v>476</v>
      </c>
      <c r="J776" s="71">
        <v>0</v>
      </c>
      <c r="K776" s="71" t="s">
        <v>302</v>
      </c>
      <c r="L776" s="71">
        <f t="shared" si="108"/>
        <v>9</v>
      </c>
      <c r="M776" s="71" t="str">
        <f>IFERROR(INDEX(KALENDER!$D$3:$D$132,MATCH(H776,KALENDER!$A$3:$A$132,0)),"Di luar periode")</f>
        <v>Hari Kerja</v>
      </c>
      <c r="N776" s="71">
        <f t="shared" si="109"/>
        <v>0</v>
      </c>
      <c r="O776" s="71">
        <f t="shared" si="110"/>
        <v>1</v>
      </c>
      <c r="P776" s="71">
        <f t="shared" si="111"/>
        <v>0</v>
      </c>
      <c r="Q776" s="71">
        <f t="shared" si="112"/>
        <v>0</v>
      </c>
      <c r="R776" s="71">
        <f t="shared" si="113"/>
        <v>0</v>
      </c>
      <c r="S776" s="71">
        <f t="shared" si="114"/>
        <v>0</v>
      </c>
      <c r="T776" s="71">
        <f t="shared" si="115"/>
        <v>0</v>
      </c>
      <c r="U776" s="71">
        <f>IF(AND(N776=1,V776=1),IF(COUNTIFS(AKTIVITAS!$B$2:$B$3052,B776,AKTIVITAS!$E$2:$E$3052,H776)&gt;0,1,0),0)</f>
        <v>0</v>
      </c>
      <c r="V776" s="71">
        <f>IFERROR(IF(AND(H776&gt;=INDEX(PEMAGANG!$J$3:$J$36,MATCH(B776,PEMAGANG!$C$3:$C$36,0)),H776&lt;=INDEX(PEMAGANG!$K$3:$K$36,MATCH(B776,PEMAGANG!$C$3:$C$36,0))),1,0),0)</f>
        <v>1</v>
      </c>
      <c r="W776" s="71">
        <f t="shared" si="116"/>
        <v>0</v>
      </c>
    </row>
    <row r="777" spans="1:23" x14ac:dyDescent="0.2">
      <c r="A777" s="71" t="s">
        <v>208</v>
      </c>
      <c r="B777" s="71" t="s">
        <v>209</v>
      </c>
      <c r="C777" s="71" t="s">
        <v>187</v>
      </c>
      <c r="D777" s="71" t="s">
        <v>210</v>
      </c>
      <c r="E777" s="71" t="s">
        <v>48</v>
      </c>
      <c r="F777" s="71" t="s">
        <v>298</v>
      </c>
      <c r="G777" s="88">
        <v>46224.305509259299</v>
      </c>
      <c r="H777" s="89">
        <v>46224</v>
      </c>
      <c r="I777" s="71" t="s">
        <v>321</v>
      </c>
      <c r="J777" s="71">
        <v>-11</v>
      </c>
      <c r="K777" s="71" t="s">
        <v>302</v>
      </c>
      <c r="L777" s="71">
        <f t="shared" si="108"/>
        <v>7</v>
      </c>
      <c r="M777" s="71" t="str">
        <f>IFERROR(INDEX(KALENDER!$D$3:$D$132,MATCH(H777,KALENDER!$A$3:$A$132,0)),"Di luar periode")</f>
        <v>Hari Kerja</v>
      </c>
      <c r="N777" s="71">
        <f t="shared" si="109"/>
        <v>1</v>
      </c>
      <c r="O777" s="71">
        <f t="shared" si="110"/>
        <v>1</v>
      </c>
      <c r="P777" s="71">
        <f t="shared" si="111"/>
        <v>1</v>
      </c>
      <c r="Q777" s="71">
        <f t="shared" si="112"/>
        <v>0</v>
      </c>
      <c r="R777" s="71">
        <f t="shared" si="113"/>
        <v>0</v>
      </c>
      <c r="S777" s="71">
        <f t="shared" si="114"/>
        <v>0</v>
      </c>
      <c r="T777" s="71">
        <f t="shared" si="115"/>
        <v>0</v>
      </c>
      <c r="U777" s="71">
        <f>IF(AND(N777=1,V777=1),IF(COUNTIFS(AKTIVITAS!$B$2:$B$3052,B777,AKTIVITAS!$E$2:$E$3052,H777)&gt;0,1,0),0)</f>
        <v>1</v>
      </c>
      <c r="V777" s="71">
        <f>IFERROR(IF(AND(H777&gt;=INDEX(PEMAGANG!$J$3:$J$36,MATCH(B777,PEMAGANG!$C$3:$C$36,0)),H777&lt;=INDEX(PEMAGANG!$K$3:$K$36,MATCH(B777,PEMAGANG!$C$3:$C$36,0))),1,0),0)</f>
        <v>1</v>
      </c>
      <c r="W777" s="71">
        <f t="shared" si="116"/>
        <v>1</v>
      </c>
    </row>
    <row r="778" spans="1:23" x14ac:dyDescent="0.2">
      <c r="A778" s="71" t="s">
        <v>208</v>
      </c>
      <c r="B778" s="71" t="s">
        <v>209</v>
      </c>
      <c r="C778" s="71" t="s">
        <v>187</v>
      </c>
      <c r="D778" s="71" t="s">
        <v>210</v>
      </c>
      <c r="E778" s="71" t="s">
        <v>48</v>
      </c>
      <c r="F778" s="71" t="s">
        <v>300</v>
      </c>
      <c r="G778" s="88">
        <v>46224.697303240697</v>
      </c>
      <c r="H778" s="89">
        <v>46224</v>
      </c>
      <c r="I778" s="71" t="s">
        <v>312</v>
      </c>
      <c r="J778" s="71">
        <v>0</v>
      </c>
      <c r="K778" s="71" t="s">
        <v>302</v>
      </c>
      <c r="L778" s="71">
        <f t="shared" si="108"/>
        <v>7</v>
      </c>
      <c r="M778" s="71" t="str">
        <f>IFERROR(INDEX(KALENDER!$D$3:$D$132,MATCH(H778,KALENDER!$A$3:$A$132,0)),"Di luar periode")</f>
        <v>Hari Kerja</v>
      </c>
      <c r="N778" s="71">
        <f t="shared" si="109"/>
        <v>0</v>
      </c>
      <c r="O778" s="71">
        <f t="shared" si="110"/>
        <v>1</v>
      </c>
      <c r="P778" s="71">
        <f t="shared" si="111"/>
        <v>0</v>
      </c>
      <c r="Q778" s="71">
        <f t="shared" si="112"/>
        <v>0</v>
      </c>
      <c r="R778" s="71">
        <f t="shared" si="113"/>
        <v>0</v>
      </c>
      <c r="S778" s="71">
        <f t="shared" si="114"/>
        <v>0</v>
      </c>
      <c r="T778" s="71">
        <f t="shared" si="115"/>
        <v>0</v>
      </c>
      <c r="U778" s="71">
        <f>IF(AND(N778=1,V778=1),IF(COUNTIFS(AKTIVITAS!$B$2:$B$3052,B778,AKTIVITAS!$E$2:$E$3052,H778)&gt;0,1,0),0)</f>
        <v>0</v>
      </c>
      <c r="V778" s="71">
        <f>IFERROR(IF(AND(H778&gt;=INDEX(PEMAGANG!$J$3:$J$36,MATCH(B778,PEMAGANG!$C$3:$C$36,0)),H778&lt;=INDEX(PEMAGANG!$K$3:$K$36,MATCH(B778,PEMAGANG!$C$3:$C$36,0))),1,0),0)</f>
        <v>1</v>
      </c>
      <c r="W778" s="71">
        <f t="shared" si="116"/>
        <v>0</v>
      </c>
    </row>
    <row r="779" spans="1:23" x14ac:dyDescent="0.2">
      <c r="A779" s="71" t="s">
        <v>208</v>
      </c>
      <c r="B779" s="71" t="s">
        <v>209</v>
      </c>
      <c r="C779" s="71" t="s">
        <v>187</v>
      </c>
      <c r="D779" s="71" t="s">
        <v>210</v>
      </c>
      <c r="E779" s="71" t="s">
        <v>48</v>
      </c>
      <c r="F779" s="71" t="s">
        <v>298</v>
      </c>
      <c r="G779" s="88">
        <v>46226.304884259298</v>
      </c>
      <c r="H779" s="89">
        <v>46226</v>
      </c>
      <c r="I779" s="71" t="s">
        <v>321</v>
      </c>
      <c r="J779" s="71">
        <v>-11</v>
      </c>
      <c r="K779" s="71" t="s">
        <v>302</v>
      </c>
      <c r="L779" s="71">
        <f t="shared" si="108"/>
        <v>7</v>
      </c>
      <c r="M779" s="71" t="str">
        <f>IFERROR(INDEX(KALENDER!$D$3:$D$132,MATCH(H779,KALENDER!$A$3:$A$132,0)),"Di luar periode")</f>
        <v>Hari Kerja</v>
      </c>
      <c r="N779" s="71">
        <f t="shared" si="109"/>
        <v>1</v>
      </c>
      <c r="O779" s="71">
        <f t="shared" si="110"/>
        <v>1</v>
      </c>
      <c r="P779" s="71">
        <f t="shared" si="111"/>
        <v>1</v>
      </c>
      <c r="Q779" s="71">
        <f t="shared" si="112"/>
        <v>0</v>
      </c>
      <c r="R779" s="71">
        <f t="shared" si="113"/>
        <v>0</v>
      </c>
      <c r="S779" s="71">
        <f t="shared" si="114"/>
        <v>0</v>
      </c>
      <c r="T779" s="71">
        <f t="shared" si="115"/>
        <v>0</v>
      </c>
      <c r="U779" s="71">
        <f>IF(AND(N779=1,V779=1),IF(COUNTIFS(AKTIVITAS!$B$2:$B$3052,B779,AKTIVITAS!$E$2:$E$3052,H779)&gt;0,1,0),0)</f>
        <v>1</v>
      </c>
      <c r="V779" s="71">
        <f>IFERROR(IF(AND(H779&gt;=INDEX(PEMAGANG!$J$3:$J$36,MATCH(B779,PEMAGANG!$C$3:$C$36,0)),H779&lt;=INDEX(PEMAGANG!$K$3:$K$36,MATCH(B779,PEMAGANG!$C$3:$C$36,0))),1,0),0)</f>
        <v>1</v>
      </c>
      <c r="W779" s="71">
        <f t="shared" si="116"/>
        <v>1</v>
      </c>
    </row>
    <row r="780" spans="1:23" x14ac:dyDescent="0.2">
      <c r="A780" s="71" t="s">
        <v>208</v>
      </c>
      <c r="B780" s="71" t="s">
        <v>209</v>
      </c>
      <c r="C780" s="71" t="s">
        <v>187</v>
      </c>
      <c r="D780" s="71" t="s">
        <v>210</v>
      </c>
      <c r="E780" s="71" t="s">
        <v>48</v>
      </c>
      <c r="F780" s="71" t="s">
        <v>300</v>
      </c>
      <c r="G780" s="88">
        <v>46226.692314814798</v>
      </c>
      <c r="H780" s="89">
        <v>46226</v>
      </c>
      <c r="I780" s="71" t="s">
        <v>344</v>
      </c>
      <c r="J780" s="71">
        <v>0</v>
      </c>
      <c r="K780" s="71" t="s">
        <v>302</v>
      </c>
      <c r="L780" s="71">
        <f t="shared" si="108"/>
        <v>7</v>
      </c>
      <c r="M780" s="71" t="str">
        <f>IFERROR(INDEX(KALENDER!$D$3:$D$132,MATCH(H780,KALENDER!$A$3:$A$132,0)),"Di luar periode")</f>
        <v>Hari Kerja</v>
      </c>
      <c r="N780" s="71">
        <f t="shared" si="109"/>
        <v>0</v>
      </c>
      <c r="O780" s="71">
        <f t="shared" si="110"/>
        <v>1</v>
      </c>
      <c r="P780" s="71">
        <f t="shared" si="111"/>
        <v>0</v>
      </c>
      <c r="Q780" s="71">
        <f t="shared" si="112"/>
        <v>0</v>
      </c>
      <c r="R780" s="71">
        <f t="shared" si="113"/>
        <v>0</v>
      </c>
      <c r="S780" s="71">
        <f t="shared" si="114"/>
        <v>0</v>
      </c>
      <c r="T780" s="71">
        <f t="shared" si="115"/>
        <v>0</v>
      </c>
      <c r="U780" s="71">
        <f>IF(AND(N780=1,V780=1),IF(COUNTIFS(AKTIVITAS!$B$2:$B$3052,B780,AKTIVITAS!$E$2:$E$3052,H780)&gt;0,1,0),0)</f>
        <v>0</v>
      </c>
      <c r="V780" s="71">
        <f>IFERROR(IF(AND(H780&gt;=INDEX(PEMAGANG!$J$3:$J$36,MATCH(B780,PEMAGANG!$C$3:$C$36,0)),H780&lt;=INDEX(PEMAGANG!$K$3:$K$36,MATCH(B780,PEMAGANG!$C$3:$C$36,0))),1,0),0)</f>
        <v>1</v>
      </c>
      <c r="W780" s="71">
        <f t="shared" si="116"/>
        <v>0</v>
      </c>
    </row>
    <row r="781" spans="1:23" x14ac:dyDescent="0.2">
      <c r="A781" s="71" t="s">
        <v>208</v>
      </c>
      <c r="B781" s="71" t="s">
        <v>209</v>
      </c>
      <c r="C781" s="71" t="s">
        <v>187</v>
      </c>
      <c r="D781" s="71" t="s">
        <v>210</v>
      </c>
      <c r="E781" s="71" t="s">
        <v>48</v>
      </c>
      <c r="F781" s="71" t="s">
        <v>298</v>
      </c>
      <c r="G781" s="88">
        <v>46227.290243055599</v>
      </c>
      <c r="H781" s="89">
        <v>46227</v>
      </c>
      <c r="I781" s="71" t="s">
        <v>477</v>
      </c>
      <c r="J781" s="71">
        <v>-33</v>
      </c>
      <c r="K781" s="71" t="s">
        <v>302</v>
      </c>
      <c r="L781" s="71">
        <f t="shared" si="108"/>
        <v>7</v>
      </c>
      <c r="M781" s="71" t="str">
        <f>IFERROR(INDEX(KALENDER!$D$3:$D$132,MATCH(H781,KALENDER!$A$3:$A$132,0)),"Di luar periode")</f>
        <v>Hari Kerja</v>
      </c>
      <c r="N781" s="71">
        <f t="shared" si="109"/>
        <v>1</v>
      </c>
      <c r="O781" s="71">
        <f t="shared" si="110"/>
        <v>1</v>
      </c>
      <c r="P781" s="71">
        <f t="shared" si="111"/>
        <v>1</v>
      </c>
      <c r="Q781" s="71">
        <f t="shared" si="112"/>
        <v>0</v>
      </c>
      <c r="R781" s="71">
        <f t="shared" si="113"/>
        <v>0</v>
      </c>
      <c r="S781" s="71">
        <f t="shared" si="114"/>
        <v>0</v>
      </c>
      <c r="T781" s="71">
        <f t="shared" si="115"/>
        <v>0</v>
      </c>
      <c r="U781" s="71">
        <f>IF(AND(N781=1,V781=1),IF(COUNTIFS(AKTIVITAS!$B$2:$B$3052,B781,AKTIVITAS!$E$2:$E$3052,H781)&gt;0,1,0),0)</f>
        <v>1</v>
      </c>
      <c r="V781" s="71">
        <f>IFERROR(IF(AND(H781&gt;=INDEX(PEMAGANG!$J$3:$J$36,MATCH(B781,PEMAGANG!$C$3:$C$36,0)),H781&lt;=INDEX(PEMAGANG!$K$3:$K$36,MATCH(B781,PEMAGANG!$C$3:$C$36,0))),1,0),0)</f>
        <v>1</v>
      </c>
      <c r="W781" s="71">
        <f t="shared" si="116"/>
        <v>1</v>
      </c>
    </row>
    <row r="782" spans="1:23" x14ac:dyDescent="0.2">
      <c r="A782" s="71" t="s">
        <v>208</v>
      </c>
      <c r="B782" s="71" t="s">
        <v>209</v>
      </c>
      <c r="C782" s="71" t="s">
        <v>187</v>
      </c>
      <c r="D782" s="71" t="s">
        <v>210</v>
      </c>
      <c r="E782" s="71" t="s">
        <v>48</v>
      </c>
      <c r="F782" s="71" t="s">
        <v>300</v>
      </c>
      <c r="G782" s="88">
        <v>46227.689062500001</v>
      </c>
      <c r="H782" s="89">
        <v>46227</v>
      </c>
      <c r="I782" s="71" t="s">
        <v>306</v>
      </c>
      <c r="J782" s="71">
        <v>0</v>
      </c>
      <c r="K782" s="71" t="s">
        <v>302</v>
      </c>
      <c r="L782" s="71">
        <f t="shared" si="108"/>
        <v>7</v>
      </c>
      <c r="M782" s="71" t="str">
        <f>IFERROR(INDEX(KALENDER!$D$3:$D$132,MATCH(H782,KALENDER!$A$3:$A$132,0)),"Di luar periode")</f>
        <v>Hari Kerja</v>
      </c>
      <c r="N782" s="71">
        <f t="shared" si="109"/>
        <v>0</v>
      </c>
      <c r="O782" s="71">
        <f t="shared" si="110"/>
        <v>1</v>
      </c>
      <c r="P782" s="71">
        <f t="shared" si="111"/>
        <v>0</v>
      </c>
      <c r="Q782" s="71">
        <f t="shared" si="112"/>
        <v>0</v>
      </c>
      <c r="R782" s="71">
        <f t="shared" si="113"/>
        <v>0</v>
      </c>
      <c r="S782" s="71">
        <f t="shared" si="114"/>
        <v>0</v>
      </c>
      <c r="T782" s="71">
        <f t="shared" si="115"/>
        <v>0</v>
      </c>
      <c r="U782" s="71">
        <f>IF(AND(N782=1,V782=1),IF(COUNTIFS(AKTIVITAS!$B$2:$B$3052,B782,AKTIVITAS!$E$2:$E$3052,H782)&gt;0,1,0),0)</f>
        <v>0</v>
      </c>
      <c r="V782" s="71">
        <f>IFERROR(IF(AND(H782&gt;=INDEX(PEMAGANG!$J$3:$J$36,MATCH(B782,PEMAGANG!$C$3:$C$36,0)),H782&lt;=INDEX(PEMAGANG!$K$3:$K$36,MATCH(B782,PEMAGANG!$C$3:$C$36,0))),1,0),0)</f>
        <v>1</v>
      </c>
      <c r="W782" s="71">
        <f t="shared" si="116"/>
        <v>0</v>
      </c>
    </row>
    <row r="783" spans="1:23" x14ac:dyDescent="0.2">
      <c r="A783" s="71" t="s">
        <v>208</v>
      </c>
      <c r="B783" s="71" t="s">
        <v>209</v>
      </c>
      <c r="C783" s="71" t="s">
        <v>187</v>
      </c>
      <c r="D783" s="71" t="s">
        <v>210</v>
      </c>
      <c r="E783" s="71" t="s">
        <v>48</v>
      </c>
      <c r="F783" s="71" t="s">
        <v>298</v>
      </c>
      <c r="G783" s="88">
        <v>46230.300393518497</v>
      </c>
      <c r="H783" s="89">
        <v>46230</v>
      </c>
      <c r="I783" s="71" t="s">
        <v>478</v>
      </c>
      <c r="J783" s="71">
        <v>-18</v>
      </c>
      <c r="K783" s="71" t="s">
        <v>302</v>
      </c>
      <c r="L783" s="71">
        <f t="shared" si="108"/>
        <v>7</v>
      </c>
      <c r="M783" s="71" t="str">
        <f>IFERROR(INDEX(KALENDER!$D$3:$D$132,MATCH(H783,KALENDER!$A$3:$A$132,0)),"Di luar periode")</f>
        <v>Hari Kerja</v>
      </c>
      <c r="N783" s="71">
        <f t="shared" si="109"/>
        <v>1</v>
      </c>
      <c r="O783" s="71">
        <f t="shared" si="110"/>
        <v>1</v>
      </c>
      <c r="P783" s="71">
        <f t="shared" si="111"/>
        <v>1</v>
      </c>
      <c r="Q783" s="71">
        <f t="shared" si="112"/>
        <v>0</v>
      </c>
      <c r="R783" s="71">
        <f t="shared" si="113"/>
        <v>0</v>
      </c>
      <c r="S783" s="71">
        <f t="shared" si="114"/>
        <v>0</v>
      </c>
      <c r="T783" s="71">
        <f t="shared" si="115"/>
        <v>0</v>
      </c>
      <c r="U783" s="71">
        <f>IF(AND(N783=1,V783=1),IF(COUNTIFS(AKTIVITAS!$B$2:$B$3052,B783,AKTIVITAS!$E$2:$E$3052,H783)&gt;0,1,0),0)</f>
        <v>1</v>
      </c>
      <c r="V783" s="71">
        <f>IFERROR(IF(AND(H783&gt;=INDEX(PEMAGANG!$J$3:$J$36,MATCH(B783,PEMAGANG!$C$3:$C$36,0)),H783&lt;=INDEX(PEMAGANG!$K$3:$K$36,MATCH(B783,PEMAGANG!$C$3:$C$36,0))),1,0),0)</f>
        <v>1</v>
      </c>
      <c r="W783" s="71">
        <f t="shared" si="116"/>
        <v>1</v>
      </c>
    </row>
    <row r="784" spans="1:23" x14ac:dyDescent="0.2">
      <c r="A784" s="71" t="s">
        <v>208</v>
      </c>
      <c r="B784" s="71" t="s">
        <v>209</v>
      </c>
      <c r="C784" s="71" t="s">
        <v>187</v>
      </c>
      <c r="D784" s="71" t="s">
        <v>210</v>
      </c>
      <c r="E784" s="71" t="s">
        <v>48</v>
      </c>
      <c r="F784" s="71" t="s">
        <v>300</v>
      </c>
      <c r="G784" s="88">
        <v>46230.699583333299</v>
      </c>
      <c r="H784" s="89">
        <v>46230</v>
      </c>
      <c r="I784" s="71" t="s">
        <v>337</v>
      </c>
      <c r="J784" s="71">
        <v>0</v>
      </c>
      <c r="K784" s="71" t="s">
        <v>302</v>
      </c>
      <c r="L784" s="71">
        <f t="shared" si="108"/>
        <v>7</v>
      </c>
      <c r="M784" s="71" t="str">
        <f>IFERROR(INDEX(KALENDER!$D$3:$D$132,MATCH(H784,KALENDER!$A$3:$A$132,0)),"Di luar periode")</f>
        <v>Hari Kerja</v>
      </c>
      <c r="N784" s="71">
        <f t="shared" si="109"/>
        <v>0</v>
      </c>
      <c r="O784" s="71">
        <f t="shared" si="110"/>
        <v>1</v>
      </c>
      <c r="P784" s="71">
        <f t="shared" si="111"/>
        <v>0</v>
      </c>
      <c r="Q784" s="71">
        <f t="shared" si="112"/>
        <v>0</v>
      </c>
      <c r="R784" s="71">
        <f t="shared" si="113"/>
        <v>0</v>
      </c>
      <c r="S784" s="71">
        <f t="shared" si="114"/>
        <v>0</v>
      </c>
      <c r="T784" s="71">
        <f t="shared" si="115"/>
        <v>0</v>
      </c>
      <c r="U784" s="71">
        <f>IF(AND(N784=1,V784=1),IF(COUNTIFS(AKTIVITAS!$B$2:$B$3052,B784,AKTIVITAS!$E$2:$E$3052,H784)&gt;0,1,0),0)</f>
        <v>0</v>
      </c>
      <c r="V784" s="71">
        <f>IFERROR(IF(AND(H784&gt;=INDEX(PEMAGANG!$J$3:$J$36,MATCH(B784,PEMAGANG!$C$3:$C$36,0)),H784&lt;=INDEX(PEMAGANG!$K$3:$K$36,MATCH(B784,PEMAGANG!$C$3:$C$36,0))),1,0),0)</f>
        <v>1</v>
      </c>
      <c r="W784" s="71">
        <f t="shared" si="116"/>
        <v>0</v>
      </c>
    </row>
    <row r="785" spans="1:23" x14ac:dyDescent="0.2">
      <c r="A785" s="71" t="s">
        <v>208</v>
      </c>
      <c r="B785" s="71" t="s">
        <v>209</v>
      </c>
      <c r="C785" s="71" t="s">
        <v>187</v>
      </c>
      <c r="D785" s="71" t="s">
        <v>210</v>
      </c>
      <c r="E785" s="71" t="s">
        <v>48</v>
      </c>
      <c r="F785" s="71" t="s">
        <v>298</v>
      </c>
      <c r="G785" s="88">
        <v>46231.298240740703</v>
      </c>
      <c r="H785" s="89">
        <v>46231</v>
      </c>
      <c r="I785" s="71" t="s">
        <v>479</v>
      </c>
      <c r="J785" s="71">
        <v>-21</v>
      </c>
      <c r="K785" s="71" t="s">
        <v>302</v>
      </c>
      <c r="L785" s="71">
        <f t="shared" si="108"/>
        <v>7</v>
      </c>
      <c r="M785" s="71" t="str">
        <f>IFERROR(INDEX(KALENDER!$D$3:$D$132,MATCH(H785,KALENDER!$A$3:$A$132,0)),"Di luar periode")</f>
        <v>Hari Kerja</v>
      </c>
      <c r="N785" s="71">
        <f t="shared" si="109"/>
        <v>1</v>
      </c>
      <c r="O785" s="71">
        <f t="shared" si="110"/>
        <v>1</v>
      </c>
      <c r="P785" s="71">
        <f t="shared" si="111"/>
        <v>1</v>
      </c>
      <c r="Q785" s="71">
        <f t="shared" si="112"/>
        <v>0</v>
      </c>
      <c r="R785" s="71">
        <f t="shared" si="113"/>
        <v>0</v>
      </c>
      <c r="S785" s="71">
        <f t="shared" si="114"/>
        <v>0</v>
      </c>
      <c r="T785" s="71">
        <f t="shared" si="115"/>
        <v>0</v>
      </c>
      <c r="U785" s="71">
        <f>IF(AND(N785=1,V785=1),IF(COUNTIFS(AKTIVITAS!$B$2:$B$3052,B785,AKTIVITAS!$E$2:$E$3052,H785)&gt;0,1,0),0)</f>
        <v>1</v>
      </c>
      <c r="V785" s="71">
        <f>IFERROR(IF(AND(H785&gt;=INDEX(PEMAGANG!$J$3:$J$36,MATCH(B785,PEMAGANG!$C$3:$C$36,0)),H785&lt;=INDEX(PEMAGANG!$K$3:$K$36,MATCH(B785,PEMAGANG!$C$3:$C$36,0))),1,0),0)</f>
        <v>1</v>
      </c>
      <c r="W785" s="71">
        <f t="shared" si="116"/>
        <v>1</v>
      </c>
    </row>
    <row r="786" spans="1:23" x14ac:dyDescent="0.2">
      <c r="A786" s="71" t="s">
        <v>208</v>
      </c>
      <c r="B786" s="71" t="s">
        <v>209</v>
      </c>
      <c r="C786" s="71" t="s">
        <v>187</v>
      </c>
      <c r="D786" s="71" t="s">
        <v>210</v>
      </c>
      <c r="E786" s="71" t="s">
        <v>48</v>
      </c>
      <c r="F786" s="71" t="s">
        <v>300</v>
      </c>
      <c r="G786" s="88">
        <v>46231.688599537003</v>
      </c>
      <c r="H786" s="89">
        <v>46231</v>
      </c>
      <c r="I786" s="71" t="s">
        <v>336</v>
      </c>
      <c r="J786" s="71">
        <v>0</v>
      </c>
      <c r="K786" s="71" t="s">
        <v>302</v>
      </c>
      <c r="L786" s="71">
        <f t="shared" si="108"/>
        <v>7</v>
      </c>
      <c r="M786" s="71" t="str">
        <f>IFERROR(INDEX(KALENDER!$D$3:$D$132,MATCH(H786,KALENDER!$A$3:$A$132,0)),"Di luar periode")</f>
        <v>Hari Kerja</v>
      </c>
      <c r="N786" s="71">
        <f t="shared" si="109"/>
        <v>0</v>
      </c>
      <c r="O786" s="71">
        <f t="shared" si="110"/>
        <v>1</v>
      </c>
      <c r="P786" s="71">
        <f t="shared" si="111"/>
        <v>0</v>
      </c>
      <c r="Q786" s="71">
        <f t="shared" si="112"/>
        <v>0</v>
      </c>
      <c r="R786" s="71">
        <f t="shared" si="113"/>
        <v>0</v>
      </c>
      <c r="S786" s="71">
        <f t="shared" si="114"/>
        <v>0</v>
      </c>
      <c r="T786" s="71">
        <f t="shared" si="115"/>
        <v>0</v>
      </c>
      <c r="U786" s="71">
        <f>IF(AND(N786=1,V786=1),IF(COUNTIFS(AKTIVITAS!$B$2:$B$3052,B786,AKTIVITAS!$E$2:$E$3052,H786)&gt;0,1,0),0)</f>
        <v>0</v>
      </c>
      <c r="V786" s="71">
        <f>IFERROR(IF(AND(H786&gt;=INDEX(PEMAGANG!$J$3:$J$36,MATCH(B786,PEMAGANG!$C$3:$C$36,0)),H786&lt;=INDEX(PEMAGANG!$K$3:$K$36,MATCH(B786,PEMAGANG!$C$3:$C$36,0))),1,0),0)</f>
        <v>1</v>
      </c>
      <c r="W786" s="71">
        <f t="shared" si="116"/>
        <v>0</v>
      </c>
    </row>
    <row r="787" spans="1:23" x14ac:dyDescent="0.2">
      <c r="A787" s="71" t="s">
        <v>208</v>
      </c>
      <c r="B787" s="71" t="s">
        <v>209</v>
      </c>
      <c r="C787" s="71" t="s">
        <v>187</v>
      </c>
      <c r="D787" s="71" t="s">
        <v>210</v>
      </c>
      <c r="E787" s="71" t="s">
        <v>48</v>
      </c>
      <c r="F787" s="71" t="s">
        <v>298</v>
      </c>
      <c r="G787" s="88">
        <v>46233.300520833298</v>
      </c>
      <c r="H787" s="89">
        <v>46233</v>
      </c>
      <c r="I787" s="71" t="s">
        <v>478</v>
      </c>
      <c r="J787" s="71">
        <v>-18</v>
      </c>
      <c r="K787" s="71" t="s">
        <v>302</v>
      </c>
      <c r="L787" s="71">
        <f t="shared" si="108"/>
        <v>7</v>
      </c>
      <c r="M787" s="71" t="str">
        <f>IFERROR(INDEX(KALENDER!$D$3:$D$132,MATCH(H787,KALENDER!$A$3:$A$132,0)),"Di luar periode")</f>
        <v>Hari Kerja</v>
      </c>
      <c r="N787" s="71">
        <f t="shared" si="109"/>
        <v>1</v>
      </c>
      <c r="O787" s="71">
        <f t="shared" si="110"/>
        <v>1</v>
      </c>
      <c r="P787" s="71">
        <f t="shared" si="111"/>
        <v>1</v>
      </c>
      <c r="Q787" s="71">
        <f t="shared" si="112"/>
        <v>0</v>
      </c>
      <c r="R787" s="71">
        <f t="shared" si="113"/>
        <v>0</v>
      </c>
      <c r="S787" s="71">
        <f t="shared" si="114"/>
        <v>0</v>
      </c>
      <c r="T787" s="71">
        <f t="shared" si="115"/>
        <v>0</v>
      </c>
      <c r="U787" s="71">
        <f>IF(AND(N787=1,V787=1),IF(COUNTIFS(AKTIVITAS!$B$2:$B$3052,B787,AKTIVITAS!$E$2:$E$3052,H787)&gt;0,1,0),0)</f>
        <v>1</v>
      </c>
      <c r="V787" s="71">
        <f>IFERROR(IF(AND(H787&gt;=INDEX(PEMAGANG!$J$3:$J$36,MATCH(B787,PEMAGANG!$C$3:$C$36,0)),H787&lt;=INDEX(PEMAGANG!$K$3:$K$36,MATCH(B787,PEMAGANG!$C$3:$C$36,0))),1,0),0)</f>
        <v>1</v>
      </c>
      <c r="W787" s="71">
        <f t="shared" si="116"/>
        <v>1</v>
      </c>
    </row>
    <row r="788" spans="1:23" x14ac:dyDescent="0.2">
      <c r="A788" s="71" t="s">
        <v>208</v>
      </c>
      <c r="B788" s="71" t="s">
        <v>209</v>
      </c>
      <c r="C788" s="71" t="s">
        <v>187</v>
      </c>
      <c r="D788" s="71" t="s">
        <v>210</v>
      </c>
      <c r="E788" s="71" t="s">
        <v>48</v>
      </c>
      <c r="F788" s="71" t="s">
        <v>300</v>
      </c>
      <c r="G788" s="88">
        <v>46233.695185185199</v>
      </c>
      <c r="H788" s="89">
        <v>46233</v>
      </c>
      <c r="I788" s="71" t="s">
        <v>319</v>
      </c>
      <c r="J788" s="71">
        <v>0</v>
      </c>
      <c r="K788" s="71" t="s">
        <v>302</v>
      </c>
      <c r="L788" s="71">
        <f t="shared" si="108"/>
        <v>7</v>
      </c>
      <c r="M788" s="71" t="str">
        <f>IFERROR(INDEX(KALENDER!$D$3:$D$132,MATCH(H788,KALENDER!$A$3:$A$132,0)),"Di luar periode")</f>
        <v>Hari Kerja</v>
      </c>
      <c r="N788" s="71">
        <f t="shared" si="109"/>
        <v>0</v>
      </c>
      <c r="O788" s="71">
        <f t="shared" si="110"/>
        <v>1</v>
      </c>
      <c r="P788" s="71">
        <f t="shared" si="111"/>
        <v>0</v>
      </c>
      <c r="Q788" s="71">
        <f t="shared" si="112"/>
        <v>0</v>
      </c>
      <c r="R788" s="71">
        <f t="shared" si="113"/>
        <v>0</v>
      </c>
      <c r="S788" s="71">
        <f t="shared" si="114"/>
        <v>0</v>
      </c>
      <c r="T788" s="71">
        <f t="shared" si="115"/>
        <v>0</v>
      </c>
      <c r="U788" s="71">
        <f>IF(AND(N788=1,V788=1),IF(COUNTIFS(AKTIVITAS!$B$2:$B$3052,B788,AKTIVITAS!$E$2:$E$3052,H788)&gt;0,1,0),0)</f>
        <v>0</v>
      </c>
      <c r="V788" s="71">
        <f>IFERROR(IF(AND(H788&gt;=INDEX(PEMAGANG!$J$3:$J$36,MATCH(B788,PEMAGANG!$C$3:$C$36,0)),H788&lt;=INDEX(PEMAGANG!$K$3:$K$36,MATCH(B788,PEMAGANG!$C$3:$C$36,0))),1,0),0)</f>
        <v>1</v>
      </c>
      <c r="W788" s="71">
        <f t="shared" si="116"/>
        <v>0</v>
      </c>
    </row>
    <row r="789" spans="1:23" x14ac:dyDescent="0.2">
      <c r="A789" s="71" t="s">
        <v>208</v>
      </c>
      <c r="B789" s="71" t="s">
        <v>209</v>
      </c>
      <c r="C789" s="71" t="s">
        <v>187</v>
      </c>
      <c r="D789" s="71" t="s">
        <v>210</v>
      </c>
      <c r="E789" s="71" t="s">
        <v>48</v>
      </c>
      <c r="F789" s="71" t="s">
        <v>298</v>
      </c>
      <c r="G789" s="88">
        <v>46234.306388888901</v>
      </c>
      <c r="H789" s="89">
        <v>46234</v>
      </c>
      <c r="I789" s="71" t="s">
        <v>305</v>
      </c>
      <c r="J789" s="71">
        <v>-9.0000000000000497</v>
      </c>
      <c r="K789" s="71" t="s">
        <v>302</v>
      </c>
      <c r="L789" s="71">
        <f t="shared" si="108"/>
        <v>7</v>
      </c>
      <c r="M789" s="71" t="str">
        <f>IFERROR(INDEX(KALENDER!$D$3:$D$132,MATCH(H789,KALENDER!$A$3:$A$132,0)),"Di luar periode")</f>
        <v>Hari Kerja</v>
      </c>
      <c r="N789" s="71">
        <f t="shared" si="109"/>
        <v>1</v>
      </c>
      <c r="O789" s="71">
        <f t="shared" si="110"/>
        <v>1</v>
      </c>
      <c r="P789" s="71">
        <f t="shared" si="111"/>
        <v>1</v>
      </c>
      <c r="Q789" s="71">
        <f t="shared" si="112"/>
        <v>0</v>
      </c>
      <c r="R789" s="71">
        <f t="shared" si="113"/>
        <v>0</v>
      </c>
      <c r="S789" s="71">
        <f t="shared" si="114"/>
        <v>0</v>
      </c>
      <c r="T789" s="71">
        <f t="shared" si="115"/>
        <v>0</v>
      </c>
      <c r="U789" s="71">
        <f>IF(AND(N789=1,V789=1),IF(COUNTIFS(AKTIVITAS!$B$2:$B$3052,B789,AKTIVITAS!$E$2:$E$3052,H789)&gt;0,1,0),0)</f>
        <v>1</v>
      </c>
      <c r="V789" s="71">
        <f>IFERROR(IF(AND(H789&gt;=INDEX(PEMAGANG!$J$3:$J$36,MATCH(B789,PEMAGANG!$C$3:$C$36,0)),H789&lt;=INDEX(PEMAGANG!$K$3:$K$36,MATCH(B789,PEMAGANG!$C$3:$C$36,0))),1,0),0)</f>
        <v>1</v>
      </c>
      <c r="W789" s="71">
        <f t="shared" si="116"/>
        <v>1</v>
      </c>
    </row>
    <row r="790" spans="1:23" x14ac:dyDescent="0.2">
      <c r="A790" s="71" t="s">
        <v>208</v>
      </c>
      <c r="B790" s="71" t="s">
        <v>209</v>
      </c>
      <c r="C790" s="71" t="s">
        <v>187</v>
      </c>
      <c r="D790" s="71" t="s">
        <v>210</v>
      </c>
      <c r="E790" s="71" t="s">
        <v>48</v>
      </c>
      <c r="F790" s="71" t="s">
        <v>300</v>
      </c>
      <c r="G790" s="88">
        <v>46234.689305555599</v>
      </c>
      <c r="H790" s="89">
        <v>46234</v>
      </c>
      <c r="I790" s="71" t="s">
        <v>306</v>
      </c>
      <c r="J790" s="71">
        <v>0</v>
      </c>
      <c r="K790" s="71" t="s">
        <v>302</v>
      </c>
      <c r="L790" s="71">
        <f t="shared" si="108"/>
        <v>7</v>
      </c>
      <c r="M790" s="71" t="str">
        <f>IFERROR(INDEX(KALENDER!$D$3:$D$132,MATCH(H790,KALENDER!$A$3:$A$132,0)),"Di luar periode")</f>
        <v>Hari Kerja</v>
      </c>
      <c r="N790" s="71">
        <f t="shared" si="109"/>
        <v>0</v>
      </c>
      <c r="O790" s="71">
        <f t="shared" si="110"/>
        <v>1</v>
      </c>
      <c r="P790" s="71">
        <f t="shared" si="111"/>
        <v>0</v>
      </c>
      <c r="Q790" s="71">
        <f t="shared" si="112"/>
        <v>0</v>
      </c>
      <c r="R790" s="71">
        <f t="shared" si="113"/>
        <v>0</v>
      </c>
      <c r="S790" s="71">
        <f t="shared" si="114"/>
        <v>0</v>
      </c>
      <c r="T790" s="71">
        <f t="shared" si="115"/>
        <v>0</v>
      </c>
      <c r="U790" s="71">
        <f>IF(AND(N790=1,V790=1),IF(COUNTIFS(AKTIVITAS!$B$2:$B$3052,B790,AKTIVITAS!$E$2:$E$3052,H790)&gt;0,1,0),0)</f>
        <v>0</v>
      </c>
      <c r="V790" s="71">
        <f>IFERROR(IF(AND(H790&gt;=INDEX(PEMAGANG!$J$3:$J$36,MATCH(B790,PEMAGANG!$C$3:$C$36,0)),H790&lt;=INDEX(PEMAGANG!$K$3:$K$36,MATCH(B790,PEMAGANG!$C$3:$C$36,0))),1,0),0)</f>
        <v>1</v>
      </c>
      <c r="W790" s="71">
        <f t="shared" si="116"/>
        <v>0</v>
      </c>
    </row>
    <row r="791" spans="1:23" x14ac:dyDescent="0.2">
      <c r="A791" s="71" t="s">
        <v>208</v>
      </c>
      <c r="B791" s="71" t="s">
        <v>209</v>
      </c>
      <c r="C791" s="71" t="s">
        <v>187</v>
      </c>
      <c r="D791" s="71" t="s">
        <v>210</v>
      </c>
      <c r="E791" s="71" t="s">
        <v>48</v>
      </c>
      <c r="F791" s="71" t="s">
        <v>298</v>
      </c>
      <c r="G791" s="88">
        <v>46237.300046296303</v>
      </c>
      <c r="H791" s="89">
        <v>46237</v>
      </c>
      <c r="I791" s="71" t="s">
        <v>478</v>
      </c>
      <c r="J791" s="71">
        <v>-18</v>
      </c>
      <c r="K791" s="71" t="s">
        <v>302</v>
      </c>
      <c r="L791" s="71">
        <f t="shared" si="108"/>
        <v>8</v>
      </c>
      <c r="M791" s="71" t="str">
        <f>IFERROR(INDEX(KALENDER!$D$3:$D$132,MATCH(H791,KALENDER!$A$3:$A$132,0)),"Di luar periode")</f>
        <v>Hari Kerja</v>
      </c>
      <c r="N791" s="71">
        <f t="shared" si="109"/>
        <v>1</v>
      </c>
      <c r="O791" s="71">
        <f t="shared" si="110"/>
        <v>1</v>
      </c>
      <c r="P791" s="71">
        <f t="shared" si="111"/>
        <v>1</v>
      </c>
      <c r="Q791" s="71">
        <f t="shared" si="112"/>
        <v>0</v>
      </c>
      <c r="R791" s="71">
        <f t="shared" si="113"/>
        <v>0</v>
      </c>
      <c r="S791" s="71">
        <f t="shared" si="114"/>
        <v>0</v>
      </c>
      <c r="T791" s="71">
        <f t="shared" si="115"/>
        <v>0</v>
      </c>
      <c r="U791" s="71">
        <f>IF(AND(N791=1,V791=1),IF(COUNTIFS(AKTIVITAS!$B$2:$B$3052,B791,AKTIVITAS!$E$2:$E$3052,H791)&gt;0,1,0),0)</f>
        <v>1</v>
      </c>
      <c r="V791" s="71">
        <f>IFERROR(IF(AND(H791&gt;=INDEX(PEMAGANG!$J$3:$J$36,MATCH(B791,PEMAGANG!$C$3:$C$36,0)),H791&lt;=INDEX(PEMAGANG!$K$3:$K$36,MATCH(B791,PEMAGANG!$C$3:$C$36,0))),1,0),0)</f>
        <v>1</v>
      </c>
      <c r="W791" s="71">
        <f t="shared" si="116"/>
        <v>1</v>
      </c>
    </row>
    <row r="792" spans="1:23" x14ac:dyDescent="0.2">
      <c r="A792" s="71" t="s">
        <v>208</v>
      </c>
      <c r="B792" s="71" t="s">
        <v>209</v>
      </c>
      <c r="C792" s="71" t="s">
        <v>187</v>
      </c>
      <c r="D792" s="71" t="s">
        <v>210</v>
      </c>
      <c r="E792" s="71" t="s">
        <v>48</v>
      </c>
      <c r="F792" s="71" t="s">
        <v>300</v>
      </c>
      <c r="G792" s="88">
        <v>46237.689270833303</v>
      </c>
      <c r="H792" s="89">
        <v>46237</v>
      </c>
      <c r="I792" s="71" t="s">
        <v>306</v>
      </c>
      <c r="J792" s="71">
        <v>0</v>
      </c>
      <c r="K792" s="71" t="s">
        <v>302</v>
      </c>
      <c r="L792" s="71">
        <f t="shared" si="108"/>
        <v>8</v>
      </c>
      <c r="M792" s="71" t="str">
        <f>IFERROR(INDEX(KALENDER!$D$3:$D$132,MATCH(H792,KALENDER!$A$3:$A$132,0)),"Di luar periode")</f>
        <v>Hari Kerja</v>
      </c>
      <c r="N792" s="71">
        <f t="shared" si="109"/>
        <v>0</v>
      </c>
      <c r="O792" s="71">
        <f t="shared" si="110"/>
        <v>1</v>
      </c>
      <c r="P792" s="71">
        <f t="shared" si="111"/>
        <v>0</v>
      </c>
      <c r="Q792" s="71">
        <f t="shared" si="112"/>
        <v>0</v>
      </c>
      <c r="R792" s="71">
        <f t="shared" si="113"/>
        <v>0</v>
      </c>
      <c r="S792" s="71">
        <f t="shared" si="114"/>
        <v>0</v>
      </c>
      <c r="T792" s="71">
        <f t="shared" si="115"/>
        <v>0</v>
      </c>
      <c r="U792" s="71">
        <f>IF(AND(N792=1,V792=1),IF(COUNTIFS(AKTIVITAS!$B$2:$B$3052,B792,AKTIVITAS!$E$2:$E$3052,H792)&gt;0,1,0),0)</f>
        <v>0</v>
      </c>
      <c r="V792" s="71">
        <f>IFERROR(IF(AND(H792&gt;=INDEX(PEMAGANG!$J$3:$J$36,MATCH(B792,PEMAGANG!$C$3:$C$36,0)),H792&lt;=INDEX(PEMAGANG!$K$3:$K$36,MATCH(B792,PEMAGANG!$C$3:$C$36,0))),1,0),0)</f>
        <v>1</v>
      </c>
      <c r="W792" s="71">
        <f t="shared" si="116"/>
        <v>0</v>
      </c>
    </row>
    <row r="793" spans="1:23" x14ac:dyDescent="0.2">
      <c r="A793" s="71" t="s">
        <v>208</v>
      </c>
      <c r="B793" s="71" t="s">
        <v>209</v>
      </c>
      <c r="C793" s="71" t="s">
        <v>187</v>
      </c>
      <c r="D793" s="71" t="s">
        <v>210</v>
      </c>
      <c r="E793" s="71" t="s">
        <v>48</v>
      </c>
      <c r="F793" s="71" t="s">
        <v>298</v>
      </c>
      <c r="G793" s="88">
        <v>46238.2993981482</v>
      </c>
      <c r="H793" s="89">
        <v>46238</v>
      </c>
      <c r="I793" s="71" t="s">
        <v>402</v>
      </c>
      <c r="J793" s="71">
        <v>-19</v>
      </c>
      <c r="K793" s="71" t="s">
        <v>302</v>
      </c>
      <c r="L793" s="71">
        <f t="shared" si="108"/>
        <v>8</v>
      </c>
      <c r="M793" s="71" t="str">
        <f>IFERROR(INDEX(KALENDER!$D$3:$D$132,MATCH(H793,KALENDER!$A$3:$A$132,0)),"Di luar periode")</f>
        <v>Hari Kerja</v>
      </c>
      <c r="N793" s="71">
        <f t="shared" si="109"/>
        <v>1</v>
      </c>
      <c r="O793" s="71">
        <f t="shared" si="110"/>
        <v>1</v>
      </c>
      <c r="P793" s="71">
        <f t="shared" si="111"/>
        <v>1</v>
      </c>
      <c r="Q793" s="71">
        <f t="shared" si="112"/>
        <v>0</v>
      </c>
      <c r="R793" s="71">
        <f t="shared" si="113"/>
        <v>0</v>
      </c>
      <c r="S793" s="71">
        <f t="shared" si="114"/>
        <v>0</v>
      </c>
      <c r="T793" s="71">
        <f t="shared" si="115"/>
        <v>0</v>
      </c>
      <c r="U793" s="71">
        <f>IF(AND(N793=1,V793=1),IF(COUNTIFS(AKTIVITAS!$B$2:$B$3052,B793,AKTIVITAS!$E$2:$E$3052,H793)&gt;0,1,0),0)</f>
        <v>1</v>
      </c>
      <c r="V793" s="71">
        <f>IFERROR(IF(AND(H793&gt;=INDEX(PEMAGANG!$J$3:$J$36,MATCH(B793,PEMAGANG!$C$3:$C$36,0)),H793&lt;=INDEX(PEMAGANG!$K$3:$K$36,MATCH(B793,PEMAGANG!$C$3:$C$36,0))),1,0),0)</f>
        <v>1</v>
      </c>
      <c r="W793" s="71">
        <f t="shared" si="116"/>
        <v>1</v>
      </c>
    </row>
    <row r="794" spans="1:23" x14ac:dyDescent="0.2">
      <c r="A794" s="71" t="s">
        <v>208</v>
      </c>
      <c r="B794" s="71" t="s">
        <v>209</v>
      </c>
      <c r="C794" s="71" t="s">
        <v>187</v>
      </c>
      <c r="D794" s="71" t="s">
        <v>210</v>
      </c>
      <c r="E794" s="71" t="s">
        <v>48</v>
      </c>
      <c r="F794" s="71" t="s">
        <v>300</v>
      </c>
      <c r="G794" s="88">
        <v>46238.690254629597</v>
      </c>
      <c r="H794" s="89">
        <v>46238</v>
      </c>
      <c r="I794" s="71" t="s">
        <v>316</v>
      </c>
      <c r="J794" s="71">
        <v>0</v>
      </c>
      <c r="K794" s="71" t="s">
        <v>302</v>
      </c>
      <c r="L794" s="71">
        <f t="shared" si="108"/>
        <v>8</v>
      </c>
      <c r="M794" s="71" t="str">
        <f>IFERROR(INDEX(KALENDER!$D$3:$D$132,MATCH(H794,KALENDER!$A$3:$A$132,0)),"Di luar periode")</f>
        <v>Hari Kerja</v>
      </c>
      <c r="N794" s="71">
        <f t="shared" si="109"/>
        <v>0</v>
      </c>
      <c r="O794" s="71">
        <f t="shared" si="110"/>
        <v>1</v>
      </c>
      <c r="P794" s="71">
        <f t="shared" si="111"/>
        <v>0</v>
      </c>
      <c r="Q794" s="71">
        <f t="shared" si="112"/>
        <v>0</v>
      </c>
      <c r="R794" s="71">
        <f t="shared" si="113"/>
        <v>0</v>
      </c>
      <c r="S794" s="71">
        <f t="shared" si="114"/>
        <v>0</v>
      </c>
      <c r="T794" s="71">
        <f t="shared" si="115"/>
        <v>0</v>
      </c>
      <c r="U794" s="71">
        <f>IF(AND(N794=1,V794=1),IF(COUNTIFS(AKTIVITAS!$B$2:$B$3052,B794,AKTIVITAS!$E$2:$E$3052,H794)&gt;0,1,0),0)</f>
        <v>0</v>
      </c>
      <c r="V794" s="71">
        <f>IFERROR(IF(AND(H794&gt;=INDEX(PEMAGANG!$J$3:$J$36,MATCH(B794,PEMAGANG!$C$3:$C$36,0)),H794&lt;=INDEX(PEMAGANG!$K$3:$K$36,MATCH(B794,PEMAGANG!$C$3:$C$36,0))),1,0),0)</f>
        <v>1</v>
      </c>
      <c r="W794" s="71">
        <f t="shared" si="116"/>
        <v>0</v>
      </c>
    </row>
    <row r="795" spans="1:23" x14ac:dyDescent="0.2">
      <c r="A795" s="71" t="s">
        <v>208</v>
      </c>
      <c r="B795" s="71" t="s">
        <v>209</v>
      </c>
      <c r="C795" s="71" t="s">
        <v>187</v>
      </c>
      <c r="D795" s="71" t="s">
        <v>210</v>
      </c>
      <c r="E795" s="71" t="s">
        <v>48</v>
      </c>
      <c r="F795" s="71" t="s">
        <v>298</v>
      </c>
      <c r="G795" s="88">
        <v>46239.303437499999</v>
      </c>
      <c r="H795" s="89">
        <v>46239</v>
      </c>
      <c r="I795" s="71" t="s">
        <v>327</v>
      </c>
      <c r="J795" s="71">
        <v>-14</v>
      </c>
      <c r="K795" s="71" t="s">
        <v>302</v>
      </c>
      <c r="L795" s="71">
        <f t="shared" si="108"/>
        <v>8</v>
      </c>
      <c r="M795" s="71" t="str">
        <f>IFERROR(INDEX(KALENDER!$D$3:$D$132,MATCH(H795,KALENDER!$A$3:$A$132,0)),"Di luar periode")</f>
        <v>Hari Kerja</v>
      </c>
      <c r="N795" s="71">
        <f t="shared" si="109"/>
        <v>1</v>
      </c>
      <c r="O795" s="71">
        <f t="shared" si="110"/>
        <v>1</v>
      </c>
      <c r="P795" s="71">
        <f t="shared" si="111"/>
        <v>1</v>
      </c>
      <c r="Q795" s="71">
        <f t="shared" si="112"/>
        <v>0</v>
      </c>
      <c r="R795" s="71">
        <f t="shared" si="113"/>
        <v>0</v>
      </c>
      <c r="S795" s="71">
        <f t="shared" si="114"/>
        <v>0</v>
      </c>
      <c r="T795" s="71">
        <f t="shared" si="115"/>
        <v>0</v>
      </c>
      <c r="U795" s="71">
        <f>IF(AND(N795=1,V795=1),IF(COUNTIFS(AKTIVITAS!$B$2:$B$3052,B795,AKTIVITAS!$E$2:$E$3052,H795)&gt;0,1,0),0)</f>
        <v>1</v>
      </c>
      <c r="V795" s="71">
        <f>IFERROR(IF(AND(H795&gt;=INDEX(PEMAGANG!$J$3:$J$36,MATCH(B795,PEMAGANG!$C$3:$C$36,0)),H795&lt;=INDEX(PEMAGANG!$K$3:$K$36,MATCH(B795,PEMAGANG!$C$3:$C$36,0))),1,0),0)</f>
        <v>1</v>
      </c>
      <c r="W795" s="71">
        <f t="shared" si="116"/>
        <v>1</v>
      </c>
    </row>
    <row r="796" spans="1:23" x14ac:dyDescent="0.2">
      <c r="A796" s="71" t="s">
        <v>208</v>
      </c>
      <c r="B796" s="71" t="s">
        <v>209</v>
      </c>
      <c r="C796" s="71" t="s">
        <v>187</v>
      </c>
      <c r="D796" s="71" t="s">
        <v>210</v>
      </c>
      <c r="E796" s="71" t="s">
        <v>48</v>
      </c>
      <c r="F796" s="71" t="s">
        <v>300</v>
      </c>
      <c r="G796" s="88">
        <v>46239.690613425897</v>
      </c>
      <c r="H796" s="89">
        <v>46239</v>
      </c>
      <c r="I796" s="71" t="s">
        <v>314</v>
      </c>
      <c r="J796" s="71">
        <v>0</v>
      </c>
      <c r="K796" s="71" t="s">
        <v>302</v>
      </c>
      <c r="L796" s="71">
        <f t="shared" si="108"/>
        <v>8</v>
      </c>
      <c r="M796" s="71" t="str">
        <f>IFERROR(INDEX(KALENDER!$D$3:$D$132,MATCH(H796,KALENDER!$A$3:$A$132,0)),"Di luar periode")</f>
        <v>Hari Kerja</v>
      </c>
      <c r="N796" s="71">
        <f t="shared" si="109"/>
        <v>0</v>
      </c>
      <c r="O796" s="71">
        <f t="shared" si="110"/>
        <v>1</v>
      </c>
      <c r="P796" s="71">
        <f t="shared" si="111"/>
        <v>0</v>
      </c>
      <c r="Q796" s="71">
        <f t="shared" si="112"/>
        <v>0</v>
      </c>
      <c r="R796" s="71">
        <f t="shared" si="113"/>
        <v>0</v>
      </c>
      <c r="S796" s="71">
        <f t="shared" si="114"/>
        <v>0</v>
      </c>
      <c r="T796" s="71">
        <f t="shared" si="115"/>
        <v>0</v>
      </c>
      <c r="U796" s="71">
        <f>IF(AND(N796=1,V796=1),IF(COUNTIFS(AKTIVITAS!$B$2:$B$3052,B796,AKTIVITAS!$E$2:$E$3052,H796)&gt;0,1,0),0)</f>
        <v>0</v>
      </c>
      <c r="V796" s="71">
        <f>IFERROR(IF(AND(H796&gt;=INDEX(PEMAGANG!$J$3:$J$36,MATCH(B796,PEMAGANG!$C$3:$C$36,0)),H796&lt;=INDEX(PEMAGANG!$K$3:$K$36,MATCH(B796,PEMAGANG!$C$3:$C$36,0))),1,0),0)</f>
        <v>1</v>
      </c>
      <c r="W796" s="71">
        <f t="shared" si="116"/>
        <v>0</v>
      </c>
    </row>
    <row r="797" spans="1:23" x14ac:dyDescent="0.2">
      <c r="A797" s="71" t="s">
        <v>208</v>
      </c>
      <c r="B797" s="71" t="s">
        <v>209</v>
      </c>
      <c r="C797" s="71" t="s">
        <v>187</v>
      </c>
      <c r="D797" s="71" t="s">
        <v>210</v>
      </c>
      <c r="E797" s="71" t="s">
        <v>48</v>
      </c>
      <c r="F797" s="71" t="s">
        <v>298</v>
      </c>
      <c r="G797" s="88">
        <v>46240.305532407401</v>
      </c>
      <c r="H797" s="89">
        <v>46240</v>
      </c>
      <c r="I797" s="71" t="s">
        <v>321</v>
      </c>
      <c r="J797" s="71">
        <v>-11</v>
      </c>
      <c r="K797" s="71" t="s">
        <v>302</v>
      </c>
      <c r="L797" s="71">
        <f t="shared" si="108"/>
        <v>8</v>
      </c>
      <c r="M797" s="71" t="str">
        <f>IFERROR(INDEX(KALENDER!$D$3:$D$132,MATCH(H797,KALENDER!$A$3:$A$132,0)),"Di luar periode")</f>
        <v>Hari Kerja</v>
      </c>
      <c r="N797" s="71">
        <f t="shared" si="109"/>
        <v>1</v>
      </c>
      <c r="O797" s="71">
        <f t="shared" si="110"/>
        <v>1</v>
      </c>
      <c r="P797" s="71">
        <f t="shared" si="111"/>
        <v>1</v>
      </c>
      <c r="Q797" s="71">
        <f t="shared" si="112"/>
        <v>0</v>
      </c>
      <c r="R797" s="71">
        <f t="shared" si="113"/>
        <v>0</v>
      </c>
      <c r="S797" s="71">
        <f t="shared" si="114"/>
        <v>0</v>
      </c>
      <c r="T797" s="71">
        <f t="shared" si="115"/>
        <v>0</v>
      </c>
      <c r="U797" s="71">
        <f>IF(AND(N797=1,V797=1),IF(COUNTIFS(AKTIVITAS!$B$2:$B$3052,B797,AKTIVITAS!$E$2:$E$3052,H797)&gt;0,1,0),0)</f>
        <v>1</v>
      </c>
      <c r="V797" s="71">
        <f>IFERROR(IF(AND(H797&gt;=INDEX(PEMAGANG!$J$3:$J$36,MATCH(B797,PEMAGANG!$C$3:$C$36,0)),H797&lt;=INDEX(PEMAGANG!$K$3:$K$36,MATCH(B797,PEMAGANG!$C$3:$C$36,0))),1,0),0)</f>
        <v>1</v>
      </c>
      <c r="W797" s="71">
        <f t="shared" si="116"/>
        <v>1</v>
      </c>
    </row>
    <row r="798" spans="1:23" x14ac:dyDescent="0.2">
      <c r="A798" s="71" t="s">
        <v>208</v>
      </c>
      <c r="B798" s="71" t="s">
        <v>209</v>
      </c>
      <c r="C798" s="71" t="s">
        <v>187</v>
      </c>
      <c r="D798" s="71" t="s">
        <v>210</v>
      </c>
      <c r="E798" s="71" t="s">
        <v>48</v>
      </c>
      <c r="F798" s="71" t="s">
        <v>300</v>
      </c>
      <c r="G798" s="88">
        <v>46240.6928819444</v>
      </c>
      <c r="H798" s="89">
        <v>46240</v>
      </c>
      <c r="I798" s="71" t="s">
        <v>328</v>
      </c>
      <c r="J798" s="71">
        <v>0</v>
      </c>
      <c r="K798" s="71" t="s">
        <v>302</v>
      </c>
      <c r="L798" s="71">
        <f t="shared" si="108"/>
        <v>8</v>
      </c>
      <c r="M798" s="71" t="str">
        <f>IFERROR(INDEX(KALENDER!$D$3:$D$132,MATCH(H798,KALENDER!$A$3:$A$132,0)),"Di luar periode")</f>
        <v>Hari Kerja</v>
      </c>
      <c r="N798" s="71">
        <f t="shared" si="109"/>
        <v>0</v>
      </c>
      <c r="O798" s="71">
        <f t="shared" si="110"/>
        <v>1</v>
      </c>
      <c r="P798" s="71">
        <f t="shared" si="111"/>
        <v>0</v>
      </c>
      <c r="Q798" s="71">
        <f t="shared" si="112"/>
        <v>0</v>
      </c>
      <c r="R798" s="71">
        <f t="shared" si="113"/>
        <v>0</v>
      </c>
      <c r="S798" s="71">
        <f t="shared" si="114"/>
        <v>0</v>
      </c>
      <c r="T798" s="71">
        <f t="shared" si="115"/>
        <v>0</v>
      </c>
      <c r="U798" s="71">
        <f>IF(AND(N798=1,V798=1),IF(COUNTIFS(AKTIVITAS!$B$2:$B$3052,B798,AKTIVITAS!$E$2:$E$3052,H798)&gt;0,1,0),0)</f>
        <v>0</v>
      </c>
      <c r="V798" s="71">
        <f>IFERROR(IF(AND(H798&gt;=INDEX(PEMAGANG!$J$3:$J$36,MATCH(B798,PEMAGANG!$C$3:$C$36,0)),H798&lt;=INDEX(PEMAGANG!$K$3:$K$36,MATCH(B798,PEMAGANG!$C$3:$C$36,0))),1,0),0)</f>
        <v>1</v>
      </c>
      <c r="W798" s="71">
        <f t="shared" si="116"/>
        <v>0</v>
      </c>
    </row>
    <row r="799" spans="1:23" x14ac:dyDescent="0.2">
      <c r="A799" s="71" t="s">
        <v>208</v>
      </c>
      <c r="B799" s="71" t="s">
        <v>209</v>
      </c>
      <c r="C799" s="71" t="s">
        <v>187</v>
      </c>
      <c r="D799" s="71" t="s">
        <v>210</v>
      </c>
      <c r="E799" s="71" t="s">
        <v>48</v>
      </c>
      <c r="F799" s="71" t="s">
        <v>298</v>
      </c>
      <c r="G799" s="88">
        <v>46241.307337963</v>
      </c>
      <c r="H799" s="89">
        <v>46241</v>
      </c>
      <c r="I799" s="71" t="s">
        <v>313</v>
      </c>
      <c r="J799" s="71">
        <v>-8.0000000000000497</v>
      </c>
      <c r="K799" s="71" t="s">
        <v>302</v>
      </c>
      <c r="L799" s="71">
        <f t="shared" si="108"/>
        <v>8</v>
      </c>
      <c r="M799" s="71" t="str">
        <f>IFERROR(INDEX(KALENDER!$D$3:$D$132,MATCH(H799,KALENDER!$A$3:$A$132,0)),"Di luar periode")</f>
        <v>Hari Kerja</v>
      </c>
      <c r="N799" s="71">
        <f t="shared" si="109"/>
        <v>1</v>
      </c>
      <c r="O799" s="71">
        <f t="shared" si="110"/>
        <v>1</v>
      </c>
      <c r="P799" s="71">
        <f t="shared" si="111"/>
        <v>1</v>
      </c>
      <c r="Q799" s="71">
        <f t="shared" si="112"/>
        <v>0</v>
      </c>
      <c r="R799" s="71">
        <f t="shared" si="113"/>
        <v>0</v>
      </c>
      <c r="S799" s="71">
        <f t="shared" si="114"/>
        <v>0</v>
      </c>
      <c r="T799" s="71">
        <f t="shared" si="115"/>
        <v>0</v>
      </c>
      <c r="U799" s="71">
        <f>IF(AND(N799=1,V799=1),IF(COUNTIFS(AKTIVITAS!$B$2:$B$3052,B799,AKTIVITAS!$E$2:$E$3052,H799)&gt;0,1,0),0)</f>
        <v>1</v>
      </c>
      <c r="V799" s="71">
        <f>IFERROR(IF(AND(H799&gt;=INDEX(PEMAGANG!$J$3:$J$36,MATCH(B799,PEMAGANG!$C$3:$C$36,0)),H799&lt;=INDEX(PEMAGANG!$K$3:$K$36,MATCH(B799,PEMAGANG!$C$3:$C$36,0))),1,0),0)</f>
        <v>1</v>
      </c>
      <c r="W799" s="71">
        <f t="shared" si="116"/>
        <v>1</v>
      </c>
    </row>
    <row r="800" spans="1:23" x14ac:dyDescent="0.2">
      <c r="A800" s="71" t="s">
        <v>208</v>
      </c>
      <c r="B800" s="71" t="s">
        <v>209</v>
      </c>
      <c r="C800" s="71" t="s">
        <v>187</v>
      </c>
      <c r="D800" s="71" t="s">
        <v>210</v>
      </c>
      <c r="E800" s="71" t="s">
        <v>48</v>
      </c>
      <c r="F800" s="71" t="s">
        <v>300</v>
      </c>
      <c r="G800" s="88">
        <v>46241.6969328704</v>
      </c>
      <c r="H800" s="89">
        <v>46241</v>
      </c>
      <c r="I800" s="71" t="s">
        <v>347</v>
      </c>
      <c r="J800" s="71">
        <v>0</v>
      </c>
      <c r="K800" s="71" t="s">
        <v>302</v>
      </c>
      <c r="L800" s="71">
        <f t="shared" si="108"/>
        <v>8</v>
      </c>
      <c r="M800" s="71" t="str">
        <f>IFERROR(INDEX(KALENDER!$D$3:$D$132,MATCH(H800,KALENDER!$A$3:$A$132,0)),"Di luar periode")</f>
        <v>Hari Kerja</v>
      </c>
      <c r="N800" s="71">
        <f t="shared" si="109"/>
        <v>0</v>
      </c>
      <c r="O800" s="71">
        <f t="shared" si="110"/>
        <v>1</v>
      </c>
      <c r="P800" s="71">
        <f t="shared" si="111"/>
        <v>0</v>
      </c>
      <c r="Q800" s="71">
        <f t="shared" si="112"/>
        <v>0</v>
      </c>
      <c r="R800" s="71">
        <f t="shared" si="113"/>
        <v>0</v>
      </c>
      <c r="S800" s="71">
        <f t="shared" si="114"/>
        <v>0</v>
      </c>
      <c r="T800" s="71">
        <f t="shared" si="115"/>
        <v>0</v>
      </c>
      <c r="U800" s="71">
        <f>IF(AND(N800=1,V800=1),IF(COUNTIFS(AKTIVITAS!$B$2:$B$3052,B800,AKTIVITAS!$E$2:$E$3052,H800)&gt;0,1,0),0)</f>
        <v>0</v>
      </c>
      <c r="V800" s="71">
        <f>IFERROR(IF(AND(H800&gt;=INDEX(PEMAGANG!$J$3:$J$36,MATCH(B800,PEMAGANG!$C$3:$C$36,0)),H800&lt;=INDEX(PEMAGANG!$K$3:$K$36,MATCH(B800,PEMAGANG!$C$3:$C$36,0))),1,0),0)</f>
        <v>1</v>
      </c>
      <c r="W800" s="71">
        <f t="shared" si="116"/>
        <v>0</v>
      </c>
    </row>
    <row r="801" spans="1:23" x14ac:dyDescent="0.2">
      <c r="A801" s="71" t="s">
        <v>208</v>
      </c>
      <c r="B801" s="71" t="s">
        <v>209</v>
      </c>
      <c r="C801" s="71" t="s">
        <v>187</v>
      </c>
      <c r="D801" s="71" t="s">
        <v>210</v>
      </c>
      <c r="E801" s="71" t="s">
        <v>48</v>
      </c>
      <c r="F801" s="71" t="s">
        <v>298</v>
      </c>
      <c r="G801" s="88">
        <v>46244.303310185198</v>
      </c>
      <c r="H801" s="89">
        <v>46244</v>
      </c>
      <c r="I801" s="71" t="s">
        <v>327</v>
      </c>
      <c r="J801" s="71">
        <v>-14</v>
      </c>
      <c r="K801" s="71" t="s">
        <v>302</v>
      </c>
      <c r="L801" s="71">
        <f t="shared" si="108"/>
        <v>8</v>
      </c>
      <c r="M801" s="71" t="str">
        <f>IFERROR(INDEX(KALENDER!$D$3:$D$132,MATCH(H801,KALENDER!$A$3:$A$132,0)),"Di luar periode")</f>
        <v>Hari Kerja</v>
      </c>
      <c r="N801" s="71">
        <f t="shared" si="109"/>
        <v>1</v>
      </c>
      <c r="O801" s="71">
        <f t="shared" si="110"/>
        <v>1</v>
      </c>
      <c r="P801" s="71">
        <f t="shared" si="111"/>
        <v>1</v>
      </c>
      <c r="Q801" s="71">
        <f t="shared" si="112"/>
        <v>0</v>
      </c>
      <c r="R801" s="71">
        <f t="shared" si="113"/>
        <v>0</v>
      </c>
      <c r="S801" s="71">
        <f t="shared" si="114"/>
        <v>0</v>
      </c>
      <c r="T801" s="71">
        <f t="shared" si="115"/>
        <v>0</v>
      </c>
      <c r="U801" s="71">
        <f>IF(AND(N801=1,V801=1),IF(COUNTIFS(AKTIVITAS!$B$2:$B$3052,B801,AKTIVITAS!$E$2:$E$3052,H801)&gt;0,1,0),0)</f>
        <v>1</v>
      </c>
      <c r="V801" s="71">
        <f>IFERROR(IF(AND(H801&gt;=INDEX(PEMAGANG!$J$3:$J$36,MATCH(B801,PEMAGANG!$C$3:$C$36,0)),H801&lt;=INDEX(PEMAGANG!$K$3:$K$36,MATCH(B801,PEMAGANG!$C$3:$C$36,0))),1,0),0)</f>
        <v>1</v>
      </c>
      <c r="W801" s="71">
        <f t="shared" si="116"/>
        <v>1</v>
      </c>
    </row>
    <row r="802" spans="1:23" x14ac:dyDescent="0.2">
      <c r="A802" s="71" t="s">
        <v>208</v>
      </c>
      <c r="B802" s="71" t="s">
        <v>209</v>
      </c>
      <c r="C802" s="71" t="s">
        <v>187</v>
      </c>
      <c r="D802" s="71" t="s">
        <v>210</v>
      </c>
      <c r="E802" s="71" t="s">
        <v>48</v>
      </c>
      <c r="F802" s="71" t="s">
        <v>300</v>
      </c>
      <c r="G802" s="88">
        <v>46244.691053240698</v>
      </c>
      <c r="H802" s="89">
        <v>46244</v>
      </c>
      <c r="I802" s="71" t="s">
        <v>310</v>
      </c>
      <c r="J802" s="71">
        <v>0</v>
      </c>
      <c r="K802" s="71" t="s">
        <v>302</v>
      </c>
      <c r="L802" s="71">
        <f t="shared" si="108"/>
        <v>8</v>
      </c>
      <c r="M802" s="71" t="str">
        <f>IFERROR(INDEX(KALENDER!$D$3:$D$132,MATCH(H802,KALENDER!$A$3:$A$132,0)),"Di luar periode")</f>
        <v>Hari Kerja</v>
      </c>
      <c r="N802" s="71">
        <f t="shared" si="109"/>
        <v>0</v>
      </c>
      <c r="O802" s="71">
        <f t="shared" si="110"/>
        <v>1</v>
      </c>
      <c r="P802" s="71">
        <f t="shared" si="111"/>
        <v>0</v>
      </c>
      <c r="Q802" s="71">
        <f t="shared" si="112"/>
        <v>0</v>
      </c>
      <c r="R802" s="71">
        <f t="shared" si="113"/>
        <v>0</v>
      </c>
      <c r="S802" s="71">
        <f t="shared" si="114"/>
        <v>0</v>
      </c>
      <c r="T802" s="71">
        <f t="shared" si="115"/>
        <v>0</v>
      </c>
      <c r="U802" s="71">
        <f>IF(AND(N802=1,V802=1),IF(COUNTIFS(AKTIVITAS!$B$2:$B$3052,B802,AKTIVITAS!$E$2:$E$3052,H802)&gt;0,1,0),0)</f>
        <v>0</v>
      </c>
      <c r="V802" s="71">
        <f>IFERROR(IF(AND(H802&gt;=INDEX(PEMAGANG!$J$3:$J$36,MATCH(B802,PEMAGANG!$C$3:$C$36,0)),H802&lt;=INDEX(PEMAGANG!$K$3:$K$36,MATCH(B802,PEMAGANG!$C$3:$C$36,0))),1,0),0)</f>
        <v>1</v>
      </c>
      <c r="W802" s="71">
        <f t="shared" si="116"/>
        <v>0</v>
      </c>
    </row>
    <row r="803" spans="1:23" x14ac:dyDescent="0.2">
      <c r="A803" s="71" t="s">
        <v>208</v>
      </c>
      <c r="B803" s="71" t="s">
        <v>209</v>
      </c>
      <c r="C803" s="71" t="s">
        <v>187</v>
      </c>
      <c r="D803" s="71" t="s">
        <v>210</v>
      </c>
      <c r="E803" s="71" t="s">
        <v>48</v>
      </c>
      <c r="F803" s="71" t="s">
        <v>298</v>
      </c>
      <c r="G803" s="88">
        <v>46245.302662037</v>
      </c>
      <c r="H803" s="89">
        <v>46245</v>
      </c>
      <c r="I803" s="71" t="s">
        <v>370</v>
      </c>
      <c r="J803" s="71">
        <v>-15</v>
      </c>
      <c r="K803" s="71" t="s">
        <v>302</v>
      </c>
      <c r="L803" s="71">
        <f t="shared" si="108"/>
        <v>8</v>
      </c>
      <c r="M803" s="71" t="str">
        <f>IFERROR(INDEX(KALENDER!$D$3:$D$132,MATCH(H803,KALENDER!$A$3:$A$132,0)),"Di luar periode")</f>
        <v>Hari Kerja</v>
      </c>
      <c r="N803" s="71">
        <f t="shared" si="109"/>
        <v>1</v>
      </c>
      <c r="O803" s="71">
        <f t="shared" si="110"/>
        <v>1</v>
      </c>
      <c r="P803" s="71">
        <f t="shared" si="111"/>
        <v>1</v>
      </c>
      <c r="Q803" s="71">
        <f t="shared" si="112"/>
        <v>0</v>
      </c>
      <c r="R803" s="71">
        <f t="shared" si="113"/>
        <v>0</v>
      </c>
      <c r="S803" s="71">
        <f t="shared" si="114"/>
        <v>0</v>
      </c>
      <c r="T803" s="71">
        <f t="shared" si="115"/>
        <v>0</v>
      </c>
      <c r="U803" s="71">
        <f>IF(AND(N803=1,V803=1),IF(COUNTIFS(AKTIVITAS!$B$2:$B$3052,B803,AKTIVITAS!$E$2:$E$3052,H803)&gt;0,1,0),0)</f>
        <v>1</v>
      </c>
      <c r="V803" s="71">
        <f>IFERROR(IF(AND(H803&gt;=INDEX(PEMAGANG!$J$3:$J$36,MATCH(B803,PEMAGANG!$C$3:$C$36,0)),H803&lt;=INDEX(PEMAGANG!$K$3:$K$36,MATCH(B803,PEMAGANG!$C$3:$C$36,0))),1,0),0)</f>
        <v>1</v>
      </c>
      <c r="W803" s="71">
        <f t="shared" si="116"/>
        <v>1</v>
      </c>
    </row>
    <row r="804" spans="1:23" x14ac:dyDescent="0.2">
      <c r="A804" s="71" t="s">
        <v>208</v>
      </c>
      <c r="B804" s="71" t="s">
        <v>209</v>
      </c>
      <c r="C804" s="71" t="s">
        <v>187</v>
      </c>
      <c r="D804" s="71" t="s">
        <v>210</v>
      </c>
      <c r="E804" s="71" t="s">
        <v>48</v>
      </c>
      <c r="F804" s="71" t="s">
        <v>300</v>
      </c>
      <c r="G804" s="88">
        <v>46245.709351851903</v>
      </c>
      <c r="H804" s="89">
        <v>46245</v>
      </c>
      <c r="I804" s="71" t="s">
        <v>333</v>
      </c>
      <c r="J804" s="71">
        <v>0</v>
      </c>
      <c r="K804" s="71" t="s">
        <v>302</v>
      </c>
      <c r="L804" s="71">
        <f t="shared" si="108"/>
        <v>8</v>
      </c>
      <c r="M804" s="71" t="str">
        <f>IFERROR(INDEX(KALENDER!$D$3:$D$132,MATCH(H804,KALENDER!$A$3:$A$132,0)),"Di luar periode")</f>
        <v>Hari Kerja</v>
      </c>
      <c r="N804" s="71">
        <f t="shared" si="109"/>
        <v>0</v>
      </c>
      <c r="O804" s="71">
        <f t="shared" si="110"/>
        <v>1</v>
      </c>
      <c r="P804" s="71">
        <f t="shared" si="111"/>
        <v>0</v>
      </c>
      <c r="Q804" s="71">
        <f t="shared" si="112"/>
        <v>0</v>
      </c>
      <c r="R804" s="71">
        <f t="shared" si="113"/>
        <v>0</v>
      </c>
      <c r="S804" s="71">
        <f t="shared" si="114"/>
        <v>0</v>
      </c>
      <c r="T804" s="71">
        <f t="shared" si="115"/>
        <v>0</v>
      </c>
      <c r="U804" s="71">
        <f>IF(AND(N804=1,V804=1),IF(COUNTIFS(AKTIVITAS!$B$2:$B$3052,B804,AKTIVITAS!$E$2:$E$3052,H804)&gt;0,1,0),0)</f>
        <v>0</v>
      </c>
      <c r="V804" s="71">
        <f>IFERROR(IF(AND(H804&gt;=INDEX(PEMAGANG!$J$3:$J$36,MATCH(B804,PEMAGANG!$C$3:$C$36,0)),H804&lt;=INDEX(PEMAGANG!$K$3:$K$36,MATCH(B804,PEMAGANG!$C$3:$C$36,0))),1,0),0)</f>
        <v>1</v>
      </c>
      <c r="W804" s="71">
        <f t="shared" si="116"/>
        <v>0</v>
      </c>
    </row>
    <row r="805" spans="1:23" x14ac:dyDescent="0.2">
      <c r="A805" s="71" t="s">
        <v>208</v>
      </c>
      <c r="B805" s="71" t="s">
        <v>209</v>
      </c>
      <c r="C805" s="71" t="s">
        <v>187</v>
      </c>
      <c r="D805" s="71" t="s">
        <v>210</v>
      </c>
      <c r="E805" s="71" t="s">
        <v>48</v>
      </c>
      <c r="F805" s="71" t="s">
        <v>298</v>
      </c>
      <c r="G805" s="88">
        <v>46246.294814814799</v>
      </c>
      <c r="H805" s="89">
        <v>46246</v>
      </c>
      <c r="I805" s="71" t="s">
        <v>411</v>
      </c>
      <c r="J805" s="71">
        <v>-26</v>
      </c>
      <c r="K805" s="71" t="s">
        <v>302</v>
      </c>
      <c r="L805" s="71">
        <f t="shared" si="108"/>
        <v>8</v>
      </c>
      <c r="M805" s="71" t="str">
        <f>IFERROR(INDEX(KALENDER!$D$3:$D$132,MATCH(H805,KALENDER!$A$3:$A$132,0)),"Di luar periode")</f>
        <v>Hari Kerja</v>
      </c>
      <c r="N805" s="71">
        <f t="shared" si="109"/>
        <v>1</v>
      </c>
      <c r="O805" s="71">
        <f t="shared" si="110"/>
        <v>1</v>
      </c>
      <c r="P805" s="71">
        <f t="shared" si="111"/>
        <v>1</v>
      </c>
      <c r="Q805" s="71">
        <f t="shared" si="112"/>
        <v>0</v>
      </c>
      <c r="R805" s="71">
        <f t="shared" si="113"/>
        <v>0</v>
      </c>
      <c r="S805" s="71">
        <f t="shared" si="114"/>
        <v>0</v>
      </c>
      <c r="T805" s="71">
        <f t="shared" si="115"/>
        <v>0</v>
      </c>
      <c r="U805" s="71">
        <f>IF(AND(N805=1,V805=1),IF(COUNTIFS(AKTIVITAS!$B$2:$B$3052,B805,AKTIVITAS!$E$2:$E$3052,H805)&gt;0,1,0),0)</f>
        <v>1</v>
      </c>
      <c r="V805" s="71">
        <f>IFERROR(IF(AND(H805&gt;=INDEX(PEMAGANG!$J$3:$J$36,MATCH(B805,PEMAGANG!$C$3:$C$36,0)),H805&lt;=INDEX(PEMAGANG!$K$3:$K$36,MATCH(B805,PEMAGANG!$C$3:$C$36,0))),1,0),0)</f>
        <v>1</v>
      </c>
      <c r="W805" s="71">
        <f t="shared" si="116"/>
        <v>1</v>
      </c>
    </row>
    <row r="806" spans="1:23" x14ac:dyDescent="0.2">
      <c r="A806" s="71" t="s">
        <v>208</v>
      </c>
      <c r="B806" s="71" t="s">
        <v>209</v>
      </c>
      <c r="C806" s="71" t="s">
        <v>187</v>
      </c>
      <c r="D806" s="71" t="s">
        <v>210</v>
      </c>
      <c r="E806" s="71" t="s">
        <v>48</v>
      </c>
      <c r="F806" s="71" t="s">
        <v>300</v>
      </c>
      <c r="G806" s="88">
        <v>46246.693680555603</v>
      </c>
      <c r="H806" s="89">
        <v>46246</v>
      </c>
      <c r="I806" s="71" t="s">
        <v>317</v>
      </c>
      <c r="J806" s="71">
        <v>0</v>
      </c>
      <c r="K806" s="71" t="s">
        <v>302</v>
      </c>
      <c r="L806" s="71">
        <f t="shared" si="108"/>
        <v>8</v>
      </c>
      <c r="M806" s="71" t="str">
        <f>IFERROR(INDEX(KALENDER!$D$3:$D$132,MATCH(H806,KALENDER!$A$3:$A$132,0)),"Di luar periode")</f>
        <v>Hari Kerja</v>
      </c>
      <c r="N806" s="71">
        <f t="shared" si="109"/>
        <v>0</v>
      </c>
      <c r="O806" s="71">
        <f t="shared" si="110"/>
        <v>1</v>
      </c>
      <c r="P806" s="71">
        <f t="shared" si="111"/>
        <v>0</v>
      </c>
      <c r="Q806" s="71">
        <f t="shared" si="112"/>
        <v>0</v>
      </c>
      <c r="R806" s="71">
        <f t="shared" si="113"/>
        <v>0</v>
      </c>
      <c r="S806" s="71">
        <f t="shared" si="114"/>
        <v>0</v>
      </c>
      <c r="T806" s="71">
        <f t="shared" si="115"/>
        <v>0</v>
      </c>
      <c r="U806" s="71">
        <f>IF(AND(N806=1,V806=1),IF(COUNTIFS(AKTIVITAS!$B$2:$B$3052,B806,AKTIVITAS!$E$2:$E$3052,H806)&gt;0,1,0),0)</f>
        <v>0</v>
      </c>
      <c r="V806" s="71">
        <f>IFERROR(IF(AND(H806&gt;=INDEX(PEMAGANG!$J$3:$J$36,MATCH(B806,PEMAGANG!$C$3:$C$36,0)),H806&lt;=INDEX(PEMAGANG!$K$3:$K$36,MATCH(B806,PEMAGANG!$C$3:$C$36,0))),1,0),0)</f>
        <v>1</v>
      </c>
      <c r="W806" s="71">
        <f t="shared" si="116"/>
        <v>0</v>
      </c>
    </row>
    <row r="807" spans="1:23" x14ac:dyDescent="0.2">
      <c r="A807" s="71" t="s">
        <v>208</v>
      </c>
      <c r="B807" s="71" t="s">
        <v>209</v>
      </c>
      <c r="C807" s="71" t="s">
        <v>187</v>
      </c>
      <c r="D807" s="71" t="s">
        <v>210</v>
      </c>
      <c r="E807" s="71" t="s">
        <v>48</v>
      </c>
      <c r="F807" s="71" t="s">
        <v>298</v>
      </c>
      <c r="G807" s="88">
        <v>46247.300752314797</v>
      </c>
      <c r="H807" s="89">
        <v>46247</v>
      </c>
      <c r="I807" s="71" t="s">
        <v>475</v>
      </c>
      <c r="J807" s="71">
        <v>-17</v>
      </c>
      <c r="K807" s="71" t="s">
        <v>302</v>
      </c>
      <c r="L807" s="71">
        <f t="shared" si="108"/>
        <v>8</v>
      </c>
      <c r="M807" s="71" t="str">
        <f>IFERROR(INDEX(KALENDER!$D$3:$D$132,MATCH(H807,KALENDER!$A$3:$A$132,0)),"Di luar periode")</f>
        <v>Hari Kerja</v>
      </c>
      <c r="N807" s="71">
        <f t="shared" si="109"/>
        <v>1</v>
      </c>
      <c r="O807" s="71">
        <f t="shared" si="110"/>
        <v>1</v>
      </c>
      <c r="P807" s="71">
        <f t="shared" si="111"/>
        <v>1</v>
      </c>
      <c r="Q807" s="71">
        <f t="shared" si="112"/>
        <v>0</v>
      </c>
      <c r="R807" s="71">
        <f t="shared" si="113"/>
        <v>0</v>
      </c>
      <c r="S807" s="71">
        <f t="shared" si="114"/>
        <v>0</v>
      </c>
      <c r="T807" s="71">
        <f t="shared" si="115"/>
        <v>0</v>
      </c>
      <c r="U807" s="71">
        <f>IF(AND(N807=1,V807=1),IF(COUNTIFS(AKTIVITAS!$B$2:$B$3052,B807,AKTIVITAS!$E$2:$E$3052,H807)&gt;0,1,0),0)</f>
        <v>1</v>
      </c>
      <c r="V807" s="71">
        <f>IFERROR(IF(AND(H807&gt;=INDEX(PEMAGANG!$J$3:$J$36,MATCH(B807,PEMAGANG!$C$3:$C$36,0)),H807&lt;=INDEX(PEMAGANG!$K$3:$K$36,MATCH(B807,PEMAGANG!$C$3:$C$36,0))),1,0),0)</f>
        <v>1</v>
      </c>
      <c r="W807" s="71">
        <f t="shared" si="116"/>
        <v>1</v>
      </c>
    </row>
    <row r="808" spans="1:23" x14ac:dyDescent="0.2">
      <c r="A808" s="71" t="s">
        <v>208</v>
      </c>
      <c r="B808" s="71" t="s">
        <v>209</v>
      </c>
      <c r="C808" s="71" t="s">
        <v>187</v>
      </c>
      <c r="D808" s="71" t="s">
        <v>210</v>
      </c>
      <c r="E808" s="71" t="s">
        <v>48</v>
      </c>
      <c r="F808" s="71" t="s">
        <v>300</v>
      </c>
      <c r="G808" s="88">
        <v>46247.690254629597</v>
      </c>
      <c r="H808" s="89">
        <v>46247</v>
      </c>
      <c r="I808" s="71" t="s">
        <v>316</v>
      </c>
      <c r="J808" s="71">
        <v>0</v>
      </c>
      <c r="K808" s="71" t="s">
        <v>302</v>
      </c>
      <c r="L808" s="71">
        <f t="shared" si="108"/>
        <v>8</v>
      </c>
      <c r="M808" s="71" t="str">
        <f>IFERROR(INDEX(KALENDER!$D$3:$D$132,MATCH(H808,KALENDER!$A$3:$A$132,0)),"Di luar periode")</f>
        <v>Hari Kerja</v>
      </c>
      <c r="N808" s="71">
        <f t="shared" si="109"/>
        <v>0</v>
      </c>
      <c r="O808" s="71">
        <f t="shared" si="110"/>
        <v>1</v>
      </c>
      <c r="P808" s="71">
        <f t="shared" si="111"/>
        <v>0</v>
      </c>
      <c r="Q808" s="71">
        <f t="shared" si="112"/>
        <v>0</v>
      </c>
      <c r="R808" s="71">
        <f t="shared" si="113"/>
        <v>0</v>
      </c>
      <c r="S808" s="71">
        <f t="shared" si="114"/>
        <v>0</v>
      </c>
      <c r="T808" s="71">
        <f t="shared" si="115"/>
        <v>0</v>
      </c>
      <c r="U808" s="71">
        <f>IF(AND(N808=1,V808=1),IF(COUNTIFS(AKTIVITAS!$B$2:$B$3052,B808,AKTIVITAS!$E$2:$E$3052,H808)&gt;0,1,0),0)</f>
        <v>0</v>
      </c>
      <c r="V808" s="71">
        <f>IFERROR(IF(AND(H808&gt;=INDEX(PEMAGANG!$J$3:$J$36,MATCH(B808,PEMAGANG!$C$3:$C$36,0)),H808&lt;=INDEX(PEMAGANG!$K$3:$K$36,MATCH(B808,PEMAGANG!$C$3:$C$36,0))),1,0),0)</f>
        <v>1</v>
      </c>
      <c r="W808" s="71">
        <f t="shared" si="116"/>
        <v>0</v>
      </c>
    </row>
    <row r="809" spans="1:23" x14ac:dyDescent="0.2">
      <c r="A809" s="71" t="s">
        <v>208</v>
      </c>
      <c r="B809" s="71" t="s">
        <v>209</v>
      </c>
      <c r="C809" s="71" t="s">
        <v>187</v>
      </c>
      <c r="D809" s="71" t="s">
        <v>210</v>
      </c>
      <c r="E809" s="71" t="s">
        <v>48</v>
      </c>
      <c r="F809" s="71" t="s">
        <v>298</v>
      </c>
      <c r="G809" s="88">
        <v>46248.303703703699</v>
      </c>
      <c r="H809" s="89">
        <v>46248</v>
      </c>
      <c r="I809" s="71" t="s">
        <v>331</v>
      </c>
      <c r="J809" s="71">
        <v>-13</v>
      </c>
      <c r="K809" s="71" t="s">
        <v>302</v>
      </c>
      <c r="L809" s="71">
        <f t="shared" si="108"/>
        <v>8</v>
      </c>
      <c r="M809" s="71" t="str">
        <f>IFERROR(INDEX(KALENDER!$D$3:$D$132,MATCH(H809,KALENDER!$A$3:$A$132,0)),"Di luar periode")</f>
        <v>Hari Kerja</v>
      </c>
      <c r="N809" s="71">
        <f t="shared" si="109"/>
        <v>1</v>
      </c>
      <c r="O809" s="71">
        <f t="shared" si="110"/>
        <v>1</v>
      </c>
      <c r="P809" s="71">
        <f t="shared" si="111"/>
        <v>1</v>
      </c>
      <c r="Q809" s="71">
        <f t="shared" si="112"/>
        <v>0</v>
      </c>
      <c r="R809" s="71">
        <f t="shared" si="113"/>
        <v>0</v>
      </c>
      <c r="S809" s="71">
        <f t="shared" si="114"/>
        <v>0</v>
      </c>
      <c r="T809" s="71">
        <f t="shared" si="115"/>
        <v>0</v>
      </c>
      <c r="U809" s="71">
        <f>IF(AND(N809=1,V809=1),IF(COUNTIFS(AKTIVITAS!$B$2:$B$3052,B809,AKTIVITAS!$E$2:$E$3052,H809)&gt;0,1,0),0)</f>
        <v>1</v>
      </c>
      <c r="V809" s="71">
        <f>IFERROR(IF(AND(H809&gt;=INDEX(PEMAGANG!$J$3:$J$36,MATCH(B809,PEMAGANG!$C$3:$C$36,0)),H809&lt;=INDEX(PEMAGANG!$K$3:$K$36,MATCH(B809,PEMAGANG!$C$3:$C$36,0))),1,0),0)</f>
        <v>1</v>
      </c>
      <c r="W809" s="71">
        <f t="shared" si="116"/>
        <v>1</v>
      </c>
    </row>
    <row r="810" spans="1:23" x14ac:dyDescent="0.2">
      <c r="A810" s="71" t="s">
        <v>208</v>
      </c>
      <c r="B810" s="71" t="s">
        <v>209</v>
      </c>
      <c r="C810" s="71" t="s">
        <v>187</v>
      </c>
      <c r="D810" s="71" t="s">
        <v>210</v>
      </c>
      <c r="E810" s="71" t="s">
        <v>48</v>
      </c>
      <c r="F810" s="71" t="s">
        <v>300</v>
      </c>
      <c r="G810" s="88">
        <v>46248.690416666701</v>
      </c>
      <c r="H810" s="89">
        <v>46248</v>
      </c>
      <c r="I810" s="71" t="s">
        <v>314</v>
      </c>
      <c r="J810" s="71">
        <v>0</v>
      </c>
      <c r="K810" s="71" t="s">
        <v>302</v>
      </c>
      <c r="L810" s="71">
        <f t="shared" si="108"/>
        <v>8</v>
      </c>
      <c r="M810" s="71" t="str">
        <f>IFERROR(INDEX(KALENDER!$D$3:$D$132,MATCH(H810,KALENDER!$A$3:$A$132,0)),"Di luar periode")</f>
        <v>Hari Kerja</v>
      </c>
      <c r="N810" s="71">
        <f t="shared" si="109"/>
        <v>0</v>
      </c>
      <c r="O810" s="71">
        <f t="shared" si="110"/>
        <v>1</v>
      </c>
      <c r="P810" s="71">
        <f t="shared" si="111"/>
        <v>0</v>
      </c>
      <c r="Q810" s="71">
        <f t="shared" si="112"/>
        <v>0</v>
      </c>
      <c r="R810" s="71">
        <f t="shared" si="113"/>
        <v>0</v>
      </c>
      <c r="S810" s="71">
        <f t="shared" si="114"/>
        <v>0</v>
      </c>
      <c r="T810" s="71">
        <f t="shared" si="115"/>
        <v>0</v>
      </c>
      <c r="U810" s="71">
        <f>IF(AND(N810=1,V810=1),IF(COUNTIFS(AKTIVITAS!$B$2:$B$3052,B810,AKTIVITAS!$E$2:$E$3052,H810)&gt;0,1,0),0)</f>
        <v>0</v>
      </c>
      <c r="V810" s="71">
        <f>IFERROR(IF(AND(H810&gt;=INDEX(PEMAGANG!$J$3:$J$36,MATCH(B810,PEMAGANG!$C$3:$C$36,0)),H810&lt;=INDEX(PEMAGANG!$K$3:$K$36,MATCH(B810,PEMAGANG!$C$3:$C$36,0))),1,0),0)</f>
        <v>1</v>
      </c>
      <c r="W810" s="71">
        <f t="shared" si="116"/>
        <v>0</v>
      </c>
    </row>
    <row r="811" spans="1:23" x14ac:dyDescent="0.2">
      <c r="A811" s="71" t="s">
        <v>208</v>
      </c>
      <c r="B811" s="71" t="s">
        <v>209</v>
      </c>
      <c r="C811" s="71" t="s">
        <v>187</v>
      </c>
      <c r="D811" s="71" t="s">
        <v>210</v>
      </c>
      <c r="E811" s="71" t="s">
        <v>48</v>
      </c>
      <c r="F811" s="71" t="s">
        <v>298</v>
      </c>
      <c r="G811" s="88">
        <v>46252.308032407404</v>
      </c>
      <c r="H811" s="89">
        <v>46252</v>
      </c>
      <c r="I811" s="71" t="s">
        <v>311</v>
      </c>
      <c r="J811" s="71">
        <v>-6.9999999999999796</v>
      </c>
      <c r="K811" s="71" t="s">
        <v>302</v>
      </c>
      <c r="L811" s="71">
        <f t="shared" si="108"/>
        <v>8</v>
      </c>
      <c r="M811" s="71" t="str">
        <f>IFERROR(INDEX(KALENDER!$D$3:$D$132,MATCH(H811,KALENDER!$A$3:$A$132,0)),"Di luar periode")</f>
        <v>Hari Kerja</v>
      </c>
      <c r="N811" s="71">
        <f t="shared" si="109"/>
        <v>1</v>
      </c>
      <c r="O811" s="71">
        <f t="shared" si="110"/>
        <v>1</v>
      </c>
      <c r="P811" s="71">
        <f t="shared" si="111"/>
        <v>1</v>
      </c>
      <c r="Q811" s="71">
        <f t="shared" si="112"/>
        <v>0</v>
      </c>
      <c r="R811" s="71">
        <f t="shared" si="113"/>
        <v>0</v>
      </c>
      <c r="S811" s="71">
        <f t="shared" si="114"/>
        <v>0</v>
      </c>
      <c r="T811" s="71">
        <f t="shared" si="115"/>
        <v>0</v>
      </c>
      <c r="U811" s="71">
        <f>IF(AND(N811=1,V811=1),IF(COUNTIFS(AKTIVITAS!$B$2:$B$3052,B811,AKTIVITAS!$E$2:$E$3052,H811)&gt;0,1,0),0)</f>
        <v>1</v>
      </c>
      <c r="V811" s="71">
        <f>IFERROR(IF(AND(H811&gt;=INDEX(PEMAGANG!$J$3:$J$36,MATCH(B811,PEMAGANG!$C$3:$C$36,0)),H811&lt;=INDEX(PEMAGANG!$K$3:$K$36,MATCH(B811,PEMAGANG!$C$3:$C$36,0))),1,0),0)</f>
        <v>1</v>
      </c>
      <c r="W811" s="71">
        <f t="shared" si="116"/>
        <v>1</v>
      </c>
    </row>
    <row r="812" spans="1:23" x14ac:dyDescent="0.2">
      <c r="A812" s="71" t="s">
        <v>208</v>
      </c>
      <c r="B812" s="71" t="s">
        <v>209</v>
      </c>
      <c r="C812" s="71" t="s">
        <v>187</v>
      </c>
      <c r="D812" s="71" t="s">
        <v>210</v>
      </c>
      <c r="E812" s="71" t="s">
        <v>48</v>
      </c>
      <c r="F812" s="71" t="s">
        <v>300</v>
      </c>
      <c r="G812" s="88">
        <v>46252.691018518497</v>
      </c>
      <c r="H812" s="89">
        <v>46252</v>
      </c>
      <c r="I812" s="71" t="s">
        <v>310</v>
      </c>
      <c r="J812" s="71">
        <v>0</v>
      </c>
      <c r="K812" s="71" t="s">
        <v>302</v>
      </c>
      <c r="L812" s="71">
        <f t="shared" si="108"/>
        <v>8</v>
      </c>
      <c r="M812" s="71" t="str">
        <f>IFERROR(INDEX(KALENDER!$D$3:$D$132,MATCH(H812,KALENDER!$A$3:$A$132,0)),"Di luar periode")</f>
        <v>Hari Kerja</v>
      </c>
      <c r="N812" s="71">
        <f t="shared" si="109"/>
        <v>0</v>
      </c>
      <c r="O812" s="71">
        <f t="shared" si="110"/>
        <v>1</v>
      </c>
      <c r="P812" s="71">
        <f t="shared" si="111"/>
        <v>0</v>
      </c>
      <c r="Q812" s="71">
        <f t="shared" si="112"/>
        <v>0</v>
      </c>
      <c r="R812" s="71">
        <f t="shared" si="113"/>
        <v>0</v>
      </c>
      <c r="S812" s="71">
        <f t="shared" si="114"/>
        <v>0</v>
      </c>
      <c r="T812" s="71">
        <f t="shared" si="115"/>
        <v>0</v>
      </c>
      <c r="U812" s="71">
        <f>IF(AND(N812=1,V812=1),IF(COUNTIFS(AKTIVITAS!$B$2:$B$3052,B812,AKTIVITAS!$E$2:$E$3052,H812)&gt;0,1,0),0)</f>
        <v>0</v>
      </c>
      <c r="V812" s="71">
        <f>IFERROR(IF(AND(H812&gt;=INDEX(PEMAGANG!$J$3:$J$36,MATCH(B812,PEMAGANG!$C$3:$C$36,0)),H812&lt;=INDEX(PEMAGANG!$K$3:$K$36,MATCH(B812,PEMAGANG!$C$3:$C$36,0))),1,0),0)</f>
        <v>1</v>
      </c>
      <c r="W812" s="71">
        <f t="shared" si="116"/>
        <v>0</v>
      </c>
    </row>
    <row r="813" spans="1:23" x14ac:dyDescent="0.2">
      <c r="A813" s="71" t="s">
        <v>208</v>
      </c>
      <c r="B813" s="71" t="s">
        <v>209</v>
      </c>
      <c r="C813" s="71" t="s">
        <v>187</v>
      </c>
      <c r="D813" s="71" t="s">
        <v>210</v>
      </c>
      <c r="E813" s="71" t="s">
        <v>48</v>
      </c>
      <c r="F813" s="71" t="s">
        <v>298</v>
      </c>
      <c r="G813" s="88">
        <v>46255.306087962999</v>
      </c>
      <c r="H813" s="89">
        <v>46255</v>
      </c>
      <c r="I813" s="71" t="s">
        <v>329</v>
      </c>
      <c r="J813" s="71">
        <v>-40</v>
      </c>
      <c r="K813" s="71" t="s">
        <v>302</v>
      </c>
      <c r="L813" s="71">
        <f t="shared" si="108"/>
        <v>8</v>
      </c>
      <c r="M813" s="71" t="str">
        <f>IFERROR(INDEX(KALENDER!$D$3:$D$132,MATCH(H813,KALENDER!$A$3:$A$132,0)),"Di luar periode")</f>
        <v>Hari Kerja</v>
      </c>
      <c r="N813" s="71">
        <f t="shared" si="109"/>
        <v>1</v>
      </c>
      <c r="O813" s="71">
        <f t="shared" si="110"/>
        <v>1</v>
      </c>
      <c r="P813" s="71">
        <f t="shared" si="111"/>
        <v>1</v>
      </c>
      <c r="Q813" s="71">
        <f t="shared" si="112"/>
        <v>0</v>
      </c>
      <c r="R813" s="71">
        <f t="shared" si="113"/>
        <v>0</v>
      </c>
      <c r="S813" s="71">
        <f t="shared" si="114"/>
        <v>0</v>
      </c>
      <c r="T813" s="71">
        <f t="shared" si="115"/>
        <v>0</v>
      </c>
      <c r="U813" s="71">
        <f>IF(AND(N813=1,V813=1),IF(COUNTIFS(AKTIVITAS!$B$2:$B$3052,B813,AKTIVITAS!$E$2:$E$3052,H813)&gt;0,1,0),0)</f>
        <v>1</v>
      </c>
      <c r="V813" s="71">
        <f>IFERROR(IF(AND(H813&gt;=INDEX(PEMAGANG!$J$3:$J$36,MATCH(B813,PEMAGANG!$C$3:$C$36,0)),H813&lt;=INDEX(PEMAGANG!$K$3:$K$36,MATCH(B813,PEMAGANG!$C$3:$C$36,0))),1,0),0)</f>
        <v>1</v>
      </c>
      <c r="W813" s="71">
        <f t="shared" si="116"/>
        <v>1</v>
      </c>
    </row>
    <row r="814" spans="1:23" x14ac:dyDescent="0.2">
      <c r="A814" s="71" t="s">
        <v>208</v>
      </c>
      <c r="B814" s="71" t="s">
        <v>209</v>
      </c>
      <c r="C814" s="71" t="s">
        <v>187</v>
      </c>
      <c r="D814" s="71" t="s">
        <v>210</v>
      </c>
      <c r="E814" s="71" t="s">
        <v>48</v>
      </c>
      <c r="F814" s="71" t="s">
        <v>300</v>
      </c>
      <c r="G814" s="88">
        <v>46255.6903356482</v>
      </c>
      <c r="H814" s="89">
        <v>46255</v>
      </c>
      <c r="I814" s="71" t="s">
        <v>314</v>
      </c>
      <c r="J814" s="71">
        <v>0</v>
      </c>
      <c r="K814" s="71" t="s">
        <v>302</v>
      </c>
      <c r="L814" s="71">
        <f t="shared" si="108"/>
        <v>8</v>
      </c>
      <c r="M814" s="71" t="str">
        <f>IFERROR(INDEX(KALENDER!$D$3:$D$132,MATCH(H814,KALENDER!$A$3:$A$132,0)),"Di luar periode")</f>
        <v>Hari Kerja</v>
      </c>
      <c r="N814" s="71">
        <f t="shared" si="109"/>
        <v>0</v>
      </c>
      <c r="O814" s="71">
        <f t="shared" si="110"/>
        <v>1</v>
      </c>
      <c r="P814" s="71">
        <f t="shared" si="111"/>
        <v>0</v>
      </c>
      <c r="Q814" s="71">
        <f t="shared" si="112"/>
        <v>0</v>
      </c>
      <c r="R814" s="71">
        <f t="shared" si="113"/>
        <v>0</v>
      </c>
      <c r="S814" s="71">
        <f t="shared" si="114"/>
        <v>0</v>
      </c>
      <c r="T814" s="71">
        <f t="shared" si="115"/>
        <v>0</v>
      </c>
      <c r="U814" s="71">
        <f>IF(AND(N814=1,V814=1),IF(COUNTIFS(AKTIVITAS!$B$2:$B$3052,B814,AKTIVITAS!$E$2:$E$3052,H814)&gt;0,1,0),0)</f>
        <v>0</v>
      </c>
      <c r="V814" s="71">
        <f>IFERROR(IF(AND(H814&gt;=INDEX(PEMAGANG!$J$3:$J$36,MATCH(B814,PEMAGANG!$C$3:$C$36,0)),H814&lt;=INDEX(PEMAGANG!$K$3:$K$36,MATCH(B814,PEMAGANG!$C$3:$C$36,0))),1,0),0)</f>
        <v>1</v>
      </c>
      <c r="W814" s="71">
        <f t="shared" si="116"/>
        <v>0</v>
      </c>
    </row>
    <row r="815" spans="1:23" x14ac:dyDescent="0.2">
      <c r="A815" s="71" t="s">
        <v>208</v>
      </c>
      <c r="B815" s="71" t="s">
        <v>209</v>
      </c>
      <c r="C815" s="71" t="s">
        <v>187</v>
      </c>
      <c r="D815" s="71" t="s">
        <v>210</v>
      </c>
      <c r="E815" s="71" t="s">
        <v>48</v>
      </c>
      <c r="F815" s="71" t="s">
        <v>298</v>
      </c>
      <c r="G815" s="88">
        <v>46258.3068055556</v>
      </c>
      <c r="H815" s="89">
        <v>46258</v>
      </c>
      <c r="I815" s="71" t="s">
        <v>305</v>
      </c>
      <c r="J815" s="71">
        <v>-39</v>
      </c>
      <c r="K815" s="71" t="s">
        <v>302</v>
      </c>
      <c r="L815" s="71">
        <f t="shared" si="108"/>
        <v>8</v>
      </c>
      <c r="M815" s="71" t="str">
        <f>IFERROR(INDEX(KALENDER!$D$3:$D$132,MATCH(H815,KALENDER!$A$3:$A$132,0)),"Di luar periode")</f>
        <v>Hari Kerja</v>
      </c>
      <c r="N815" s="71">
        <f t="shared" si="109"/>
        <v>1</v>
      </c>
      <c r="O815" s="71">
        <f t="shared" si="110"/>
        <v>1</v>
      </c>
      <c r="P815" s="71">
        <f t="shared" si="111"/>
        <v>1</v>
      </c>
      <c r="Q815" s="71">
        <f t="shared" si="112"/>
        <v>0</v>
      </c>
      <c r="R815" s="71">
        <f t="shared" si="113"/>
        <v>0</v>
      </c>
      <c r="S815" s="71">
        <f t="shared" si="114"/>
        <v>0</v>
      </c>
      <c r="T815" s="71">
        <f t="shared" si="115"/>
        <v>0</v>
      </c>
      <c r="U815" s="71">
        <f>IF(AND(N815=1,V815=1),IF(COUNTIFS(AKTIVITAS!$B$2:$B$3052,B815,AKTIVITAS!$E$2:$E$3052,H815)&gt;0,1,0),0)</f>
        <v>1</v>
      </c>
      <c r="V815" s="71">
        <f>IFERROR(IF(AND(H815&gt;=INDEX(PEMAGANG!$J$3:$J$36,MATCH(B815,PEMAGANG!$C$3:$C$36,0)),H815&lt;=INDEX(PEMAGANG!$K$3:$K$36,MATCH(B815,PEMAGANG!$C$3:$C$36,0))),1,0),0)</f>
        <v>1</v>
      </c>
      <c r="W815" s="71">
        <f t="shared" si="116"/>
        <v>1</v>
      </c>
    </row>
    <row r="816" spans="1:23" x14ac:dyDescent="0.2">
      <c r="A816" s="71" t="s">
        <v>208</v>
      </c>
      <c r="B816" s="71" t="s">
        <v>209</v>
      </c>
      <c r="C816" s="71" t="s">
        <v>187</v>
      </c>
      <c r="D816" s="71" t="s">
        <v>210</v>
      </c>
      <c r="E816" s="71" t="s">
        <v>48</v>
      </c>
      <c r="F816" s="71" t="s">
        <v>300</v>
      </c>
      <c r="G816" s="88">
        <v>46258.690208333297</v>
      </c>
      <c r="H816" s="89">
        <v>46258</v>
      </c>
      <c r="I816" s="71" t="s">
        <v>316</v>
      </c>
      <c r="J816" s="71">
        <v>0</v>
      </c>
      <c r="K816" s="71" t="s">
        <v>302</v>
      </c>
      <c r="L816" s="71">
        <f t="shared" si="108"/>
        <v>8</v>
      </c>
      <c r="M816" s="71" t="str">
        <f>IFERROR(INDEX(KALENDER!$D$3:$D$132,MATCH(H816,KALENDER!$A$3:$A$132,0)),"Di luar periode")</f>
        <v>Hari Kerja</v>
      </c>
      <c r="N816" s="71">
        <f t="shared" si="109"/>
        <v>0</v>
      </c>
      <c r="O816" s="71">
        <f t="shared" si="110"/>
        <v>1</v>
      </c>
      <c r="P816" s="71">
        <f t="shared" si="111"/>
        <v>0</v>
      </c>
      <c r="Q816" s="71">
        <f t="shared" si="112"/>
        <v>0</v>
      </c>
      <c r="R816" s="71">
        <f t="shared" si="113"/>
        <v>0</v>
      </c>
      <c r="S816" s="71">
        <f t="shared" si="114"/>
        <v>0</v>
      </c>
      <c r="T816" s="71">
        <f t="shared" si="115"/>
        <v>0</v>
      </c>
      <c r="U816" s="71">
        <f>IF(AND(N816=1,V816=1),IF(COUNTIFS(AKTIVITAS!$B$2:$B$3052,B816,AKTIVITAS!$E$2:$E$3052,H816)&gt;0,1,0),0)</f>
        <v>0</v>
      </c>
      <c r="V816" s="71">
        <f>IFERROR(IF(AND(H816&gt;=INDEX(PEMAGANG!$J$3:$J$36,MATCH(B816,PEMAGANG!$C$3:$C$36,0)),H816&lt;=INDEX(PEMAGANG!$K$3:$K$36,MATCH(B816,PEMAGANG!$C$3:$C$36,0))),1,0),0)</f>
        <v>1</v>
      </c>
      <c r="W816" s="71">
        <f t="shared" si="116"/>
        <v>0</v>
      </c>
    </row>
    <row r="817" spans="1:23" x14ac:dyDescent="0.2">
      <c r="A817" s="71" t="s">
        <v>208</v>
      </c>
      <c r="B817" s="71" t="s">
        <v>209</v>
      </c>
      <c r="C817" s="71" t="s">
        <v>187</v>
      </c>
      <c r="D817" s="71" t="s">
        <v>210</v>
      </c>
      <c r="E817" s="71" t="s">
        <v>48</v>
      </c>
      <c r="F817" s="71" t="s">
        <v>298</v>
      </c>
      <c r="G817" s="88">
        <v>46260.303993055597</v>
      </c>
      <c r="H817" s="89">
        <v>46260</v>
      </c>
      <c r="I817" s="71" t="s">
        <v>331</v>
      </c>
      <c r="J817" s="71">
        <v>-43</v>
      </c>
      <c r="K817" s="71" t="s">
        <v>302</v>
      </c>
      <c r="L817" s="71">
        <f t="shared" si="108"/>
        <v>8</v>
      </c>
      <c r="M817" s="71" t="str">
        <f>IFERROR(INDEX(KALENDER!$D$3:$D$132,MATCH(H817,KALENDER!$A$3:$A$132,0)),"Di luar periode")</f>
        <v>Hari Kerja</v>
      </c>
      <c r="N817" s="71">
        <f t="shared" si="109"/>
        <v>1</v>
      </c>
      <c r="O817" s="71">
        <f t="shared" si="110"/>
        <v>1</v>
      </c>
      <c r="P817" s="71">
        <f t="shared" si="111"/>
        <v>1</v>
      </c>
      <c r="Q817" s="71">
        <f t="shared" si="112"/>
        <v>0</v>
      </c>
      <c r="R817" s="71">
        <f t="shared" si="113"/>
        <v>0</v>
      </c>
      <c r="S817" s="71">
        <f t="shared" si="114"/>
        <v>0</v>
      </c>
      <c r="T817" s="71">
        <f t="shared" si="115"/>
        <v>0</v>
      </c>
      <c r="U817" s="71">
        <f>IF(AND(N817=1,V817=1),IF(COUNTIFS(AKTIVITAS!$B$2:$B$3052,B817,AKTIVITAS!$E$2:$E$3052,H817)&gt;0,1,0),0)</f>
        <v>1</v>
      </c>
      <c r="V817" s="71">
        <f>IFERROR(IF(AND(H817&gt;=INDEX(PEMAGANG!$J$3:$J$36,MATCH(B817,PEMAGANG!$C$3:$C$36,0)),H817&lt;=INDEX(PEMAGANG!$K$3:$K$36,MATCH(B817,PEMAGANG!$C$3:$C$36,0))),1,0),0)</f>
        <v>1</v>
      </c>
      <c r="W817" s="71">
        <f t="shared" si="116"/>
        <v>1</v>
      </c>
    </row>
    <row r="818" spans="1:23" x14ac:dyDescent="0.2">
      <c r="A818" s="71" t="s">
        <v>208</v>
      </c>
      <c r="B818" s="71" t="s">
        <v>209</v>
      </c>
      <c r="C818" s="71" t="s">
        <v>187</v>
      </c>
      <c r="D818" s="71" t="s">
        <v>210</v>
      </c>
      <c r="E818" s="71" t="s">
        <v>48</v>
      </c>
      <c r="F818" s="71" t="s">
        <v>300</v>
      </c>
      <c r="G818" s="88">
        <v>46260.690034722204</v>
      </c>
      <c r="H818" s="89">
        <v>46260</v>
      </c>
      <c r="I818" s="71" t="s">
        <v>316</v>
      </c>
      <c r="J818" s="71">
        <v>0</v>
      </c>
      <c r="K818" s="71" t="s">
        <v>302</v>
      </c>
      <c r="L818" s="71">
        <f t="shared" si="108"/>
        <v>8</v>
      </c>
      <c r="M818" s="71" t="str">
        <f>IFERROR(INDEX(KALENDER!$D$3:$D$132,MATCH(H818,KALENDER!$A$3:$A$132,0)),"Di luar periode")</f>
        <v>Hari Kerja</v>
      </c>
      <c r="N818" s="71">
        <f t="shared" si="109"/>
        <v>0</v>
      </c>
      <c r="O818" s="71">
        <f t="shared" si="110"/>
        <v>1</v>
      </c>
      <c r="P818" s="71">
        <f t="shared" si="111"/>
        <v>0</v>
      </c>
      <c r="Q818" s="71">
        <f t="shared" si="112"/>
        <v>0</v>
      </c>
      <c r="R818" s="71">
        <f t="shared" si="113"/>
        <v>0</v>
      </c>
      <c r="S818" s="71">
        <f t="shared" si="114"/>
        <v>0</v>
      </c>
      <c r="T818" s="71">
        <f t="shared" si="115"/>
        <v>0</v>
      </c>
      <c r="U818" s="71">
        <f>IF(AND(N818=1,V818=1),IF(COUNTIFS(AKTIVITAS!$B$2:$B$3052,B818,AKTIVITAS!$E$2:$E$3052,H818)&gt;0,1,0),0)</f>
        <v>0</v>
      </c>
      <c r="V818" s="71">
        <f>IFERROR(IF(AND(H818&gt;=INDEX(PEMAGANG!$J$3:$J$36,MATCH(B818,PEMAGANG!$C$3:$C$36,0)),H818&lt;=INDEX(PEMAGANG!$K$3:$K$36,MATCH(B818,PEMAGANG!$C$3:$C$36,0))),1,0),0)</f>
        <v>1</v>
      </c>
      <c r="W818" s="71">
        <f t="shared" si="116"/>
        <v>0</v>
      </c>
    </row>
    <row r="819" spans="1:23" x14ac:dyDescent="0.2">
      <c r="A819" s="71" t="s">
        <v>208</v>
      </c>
      <c r="B819" s="71" t="s">
        <v>209</v>
      </c>
      <c r="C819" s="71" t="s">
        <v>187</v>
      </c>
      <c r="D819" s="71" t="s">
        <v>210</v>
      </c>
      <c r="E819" s="71" t="s">
        <v>48</v>
      </c>
      <c r="F819" s="71" t="s">
        <v>298</v>
      </c>
      <c r="G819" s="88">
        <v>46261.304340277798</v>
      </c>
      <c r="H819" s="89">
        <v>46261</v>
      </c>
      <c r="I819" s="71" t="s">
        <v>326</v>
      </c>
      <c r="J819" s="71">
        <v>-42</v>
      </c>
      <c r="K819" s="71" t="s">
        <v>302</v>
      </c>
      <c r="L819" s="71">
        <f t="shared" si="108"/>
        <v>8</v>
      </c>
      <c r="M819" s="71" t="str">
        <f>IFERROR(INDEX(KALENDER!$D$3:$D$132,MATCH(H819,KALENDER!$A$3:$A$132,0)),"Di luar periode")</f>
        <v>Hari Kerja</v>
      </c>
      <c r="N819" s="71">
        <f t="shared" si="109"/>
        <v>1</v>
      </c>
      <c r="O819" s="71">
        <f t="shared" si="110"/>
        <v>1</v>
      </c>
      <c r="P819" s="71">
        <f t="shared" si="111"/>
        <v>1</v>
      </c>
      <c r="Q819" s="71">
        <f t="shared" si="112"/>
        <v>0</v>
      </c>
      <c r="R819" s="71">
        <f t="shared" si="113"/>
        <v>0</v>
      </c>
      <c r="S819" s="71">
        <f t="shared" si="114"/>
        <v>0</v>
      </c>
      <c r="T819" s="71">
        <f t="shared" si="115"/>
        <v>0</v>
      </c>
      <c r="U819" s="71">
        <f>IF(AND(N819=1,V819=1),IF(COUNTIFS(AKTIVITAS!$B$2:$B$3052,B819,AKTIVITAS!$E$2:$E$3052,H819)&gt;0,1,0),0)</f>
        <v>1</v>
      </c>
      <c r="V819" s="71">
        <f>IFERROR(IF(AND(H819&gt;=INDEX(PEMAGANG!$J$3:$J$36,MATCH(B819,PEMAGANG!$C$3:$C$36,0)),H819&lt;=INDEX(PEMAGANG!$K$3:$K$36,MATCH(B819,PEMAGANG!$C$3:$C$36,0))),1,0),0)</f>
        <v>1</v>
      </c>
      <c r="W819" s="71">
        <f t="shared" si="116"/>
        <v>1</v>
      </c>
    </row>
    <row r="820" spans="1:23" x14ac:dyDescent="0.2">
      <c r="A820" s="71" t="s">
        <v>208</v>
      </c>
      <c r="B820" s="71" t="s">
        <v>209</v>
      </c>
      <c r="C820" s="71" t="s">
        <v>187</v>
      </c>
      <c r="D820" s="71" t="s">
        <v>210</v>
      </c>
      <c r="E820" s="71" t="s">
        <v>48</v>
      </c>
      <c r="F820" s="71" t="s">
        <v>300</v>
      </c>
      <c r="G820" s="88">
        <v>46261.700266203698</v>
      </c>
      <c r="H820" s="89">
        <v>46261</v>
      </c>
      <c r="I820" s="71" t="s">
        <v>346</v>
      </c>
      <c r="J820" s="71">
        <v>0</v>
      </c>
      <c r="K820" s="71" t="s">
        <v>302</v>
      </c>
      <c r="L820" s="71">
        <f t="shared" si="108"/>
        <v>8</v>
      </c>
      <c r="M820" s="71" t="str">
        <f>IFERROR(INDEX(KALENDER!$D$3:$D$132,MATCH(H820,KALENDER!$A$3:$A$132,0)),"Di luar periode")</f>
        <v>Hari Kerja</v>
      </c>
      <c r="N820" s="71">
        <f t="shared" si="109"/>
        <v>0</v>
      </c>
      <c r="O820" s="71">
        <f t="shared" si="110"/>
        <v>1</v>
      </c>
      <c r="P820" s="71">
        <f t="shared" si="111"/>
        <v>0</v>
      </c>
      <c r="Q820" s="71">
        <f t="shared" si="112"/>
        <v>0</v>
      </c>
      <c r="R820" s="71">
        <f t="shared" si="113"/>
        <v>0</v>
      </c>
      <c r="S820" s="71">
        <f t="shared" si="114"/>
        <v>0</v>
      </c>
      <c r="T820" s="71">
        <f t="shared" si="115"/>
        <v>0</v>
      </c>
      <c r="U820" s="71">
        <f>IF(AND(N820=1,V820=1),IF(COUNTIFS(AKTIVITAS!$B$2:$B$3052,B820,AKTIVITAS!$E$2:$E$3052,H820)&gt;0,1,0),0)</f>
        <v>0</v>
      </c>
      <c r="V820" s="71">
        <f>IFERROR(IF(AND(H820&gt;=INDEX(PEMAGANG!$J$3:$J$36,MATCH(B820,PEMAGANG!$C$3:$C$36,0)),H820&lt;=INDEX(PEMAGANG!$K$3:$K$36,MATCH(B820,PEMAGANG!$C$3:$C$36,0))),1,0),0)</f>
        <v>1</v>
      </c>
      <c r="W820" s="71">
        <f t="shared" si="116"/>
        <v>0</v>
      </c>
    </row>
    <row r="821" spans="1:23" x14ac:dyDescent="0.2">
      <c r="A821" s="71" t="s">
        <v>208</v>
      </c>
      <c r="B821" s="71" t="s">
        <v>209</v>
      </c>
      <c r="C821" s="71" t="s">
        <v>187</v>
      </c>
      <c r="D821" s="71" t="s">
        <v>210</v>
      </c>
      <c r="E821" s="71" t="s">
        <v>48</v>
      </c>
      <c r="F821" s="71" t="s">
        <v>298</v>
      </c>
      <c r="G821" s="88">
        <v>46262.304479166698</v>
      </c>
      <c r="H821" s="89">
        <v>46262</v>
      </c>
      <c r="I821" s="71" t="s">
        <v>326</v>
      </c>
      <c r="J821" s="71">
        <v>-42</v>
      </c>
      <c r="K821" s="71" t="s">
        <v>302</v>
      </c>
      <c r="L821" s="71">
        <f t="shared" si="108"/>
        <v>8</v>
      </c>
      <c r="M821" s="71" t="str">
        <f>IFERROR(INDEX(KALENDER!$D$3:$D$132,MATCH(H821,KALENDER!$A$3:$A$132,0)),"Di luar periode")</f>
        <v>Hari Kerja</v>
      </c>
      <c r="N821" s="71">
        <f t="shared" si="109"/>
        <v>1</v>
      </c>
      <c r="O821" s="71">
        <f t="shared" si="110"/>
        <v>1</v>
      </c>
      <c r="P821" s="71">
        <f t="shared" si="111"/>
        <v>1</v>
      </c>
      <c r="Q821" s="71">
        <f t="shared" si="112"/>
        <v>0</v>
      </c>
      <c r="R821" s="71">
        <f t="shared" si="113"/>
        <v>0</v>
      </c>
      <c r="S821" s="71">
        <f t="shared" si="114"/>
        <v>0</v>
      </c>
      <c r="T821" s="71">
        <f t="shared" si="115"/>
        <v>0</v>
      </c>
      <c r="U821" s="71">
        <f>IF(AND(N821=1,V821=1),IF(COUNTIFS(AKTIVITAS!$B$2:$B$3052,B821,AKTIVITAS!$E$2:$E$3052,H821)&gt;0,1,0),0)</f>
        <v>1</v>
      </c>
      <c r="V821" s="71">
        <f>IFERROR(IF(AND(H821&gt;=INDEX(PEMAGANG!$J$3:$J$36,MATCH(B821,PEMAGANG!$C$3:$C$36,0)),H821&lt;=INDEX(PEMAGANG!$K$3:$K$36,MATCH(B821,PEMAGANG!$C$3:$C$36,0))),1,0),0)</f>
        <v>1</v>
      </c>
      <c r="W821" s="71">
        <f t="shared" si="116"/>
        <v>1</v>
      </c>
    </row>
    <row r="822" spans="1:23" x14ac:dyDescent="0.2">
      <c r="A822" s="71" t="s">
        <v>208</v>
      </c>
      <c r="B822" s="71" t="s">
        <v>209</v>
      </c>
      <c r="C822" s="71" t="s">
        <v>187</v>
      </c>
      <c r="D822" s="71" t="s">
        <v>210</v>
      </c>
      <c r="E822" s="71" t="s">
        <v>48</v>
      </c>
      <c r="F822" s="71" t="s">
        <v>300</v>
      </c>
      <c r="G822" s="88">
        <v>46262.690983796303</v>
      </c>
      <c r="H822" s="89">
        <v>46262</v>
      </c>
      <c r="I822" s="71" t="s">
        <v>310</v>
      </c>
      <c r="J822" s="71">
        <v>0</v>
      </c>
      <c r="K822" s="71" t="s">
        <v>302</v>
      </c>
      <c r="L822" s="71">
        <f t="shared" si="108"/>
        <v>8</v>
      </c>
      <c r="M822" s="71" t="str">
        <f>IFERROR(INDEX(KALENDER!$D$3:$D$132,MATCH(H822,KALENDER!$A$3:$A$132,0)),"Di luar periode")</f>
        <v>Hari Kerja</v>
      </c>
      <c r="N822" s="71">
        <f t="shared" si="109"/>
        <v>0</v>
      </c>
      <c r="O822" s="71">
        <f t="shared" si="110"/>
        <v>1</v>
      </c>
      <c r="P822" s="71">
        <f t="shared" si="111"/>
        <v>0</v>
      </c>
      <c r="Q822" s="71">
        <f t="shared" si="112"/>
        <v>0</v>
      </c>
      <c r="R822" s="71">
        <f t="shared" si="113"/>
        <v>0</v>
      </c>
      <c r="S822" s="71">
        <f t="shared" si="114"/>
        <v>0</v>
      </c>
      <c r="T822" s="71">
        <f t="shared" si="115"/>
        <v>0</v>
      </c>
      <c r="U822" s="71">
        <f>IF(AND(N822=1,V822=1),IF(COUNTIFS(AKTIVITAS!$B$2:$B$3052,B822,AKTIVITAS!$E$2:$E$3052,H822)&gt;0,1,0),0)</f>
        <v>0</v>
      </c>
      <c r="V822" s="71">
        <f>IFERROR(IF(AND(H822&gt;=INDEX(PEMAGANG!$J$3:$J$36,MATCH(B822,PEMAGANG!$C$3:$C$36,0)),H822&lt;=INDEX(PEMAGANG!$K$3:$K$36,MATCH(B822,PEMAGANG!$C$3:$C$36,0))),1,0),0)</f>
        <v>1</v>
      </c>
      <c r="W822" s="71">
        <f t="shared" si="116"/>
        <v>0</v>
      </c>
    </row>
    <row r="823" spans="1:23" x14ac:dyDescent="0.2">
      <c r="A823" s="71" t="s">
        <v>208</v>
      </c>
      <c r="B823" s="71" t="s">
        <v>209</v>
      </c>
      <c r="C823" s="71" t="s">
        <v>187</v>
      </c>
      <c r="D823" s="71" t="s">
        <v>210</v>
      </c>
      <c r="E823" s="71" t="s">
        <v>48</v>
      </c>
      <c r="F823" s="71" t="s">
        <v>298</v>
      </c>
      <c r="G823" s="88">
        <v>46265.301782407398</v>
      </c>
      <c r="H823" s="89">
        <v>46265</v>
      </c>
      <c r="I823" s="71" t="s">
        <v>416</v>
      </c>
      <c r="J823" s="71">
        <v>-46</v>
      </c>
      <c r="K823" s="71" t="s">
        <v>302</v>
      </c>
      <c r="L823" s="71">
        <f t="shared" si="108"/>
        <v>8</v>
      </c>
      <c r="M823" s="71" t="str">
        <f>IFERROR(INDEX(KALENDER!$D$3:$D$132,MATCH(H823,KALENDER!$A$3:$A$132,0)),"Di luar periode")</f>
        <v>Hari Kerja</v>
      </c>
      <c r="N823" s="71">
        <f t="shared" si="109"/>
        <v>1</v>
      </c>
      <c r="O823" s="71">
        <f t="shared" si="110"/>
        <v>1</v>
      </c>
      <c r="P823" s="71">
        <f t="shared" si="111"/>
        <v>1</v>
      </c>
      <c r="Q823" s="71">
        <f t="shared" si="112"/>
        <v>0</v>
      </c>
      <c r="R823" s="71">
        <f t="shared" si="113"/>
        <v>0</v>
      </c>
      <c r="S823" s="71">
        <f t="shared" si="114"/>
        <v>0</v>
      </c>
      <c r="T823" s="71">
        <f t="shared" si="115"/>
        <v>0</v>
      </c>
      <c r="U823" s="71">
        <f>IF(AND(N823=1,V823=1),IF(COUNTIFS(AKTIVITAS!$B$2:$B$3052,B823,AKTIVITAS!$E$2:$E$3052,H823)&gt;0,1,0),0)</f>
        <v>1</v>
      </c>
      <c r="V823" s="71">
        <f>IFERROR(IF(AND(H823&gt;=INDEX(PEMAGANG!$J$3:$J$36,MATCH(B823,PEMAGANG!$C$3:$C$36,0)),H823&lt;=INDEX(PEMAGANG!$K$3:$K$36,MATCH(B823,PEMAGANG!$C$3:$C$36,0))),1,0),0)</f>
        <v>1</v>
      </c>
      <c r="W823" s="71">
        <f t="shared" si="116"/>
        <v>1</v>
      </c>
    </row>
    <row r="824" spans="1:23" x14ac:dyDescent="0.2">
      <c r="A824" s="71" t="s">
        <v>208</v>
      </c>
      <c r="B824" s="71" t="s">
        <v>209</v>
      </c>
      <c r="C824" s="71" t="s">
        <v>187</v>
      </c>
      <c r="D824" s="71" t="s">
        <v>210</v>
      </c>
      <c r="E824" s="71" t="s">
        <v>48</v>
      </c>
      <c r="F824" s="71" t="s">
        <v>300</v>
      </c>
      <c r="G824" s="88">
        <v>46265.692916666703</v>
      </c>
      <c r="H824" s="89">
        <v>46265</v>
      </c>
      <c r="I824" s="71" t="s">
        <v>328</v>
      </c>
      <c r="J824" s="71">
        <v>0</v>
      </c>
      <c r="K824" s="71" t="s">
        <v>302</v>
      </c>
      <c r="L824" s="71">
        <f t="shared" si="108"/>
        <v>8</v>
      </c>
      <c r="M824" s="71" t="str">
        <f>IFERROR(INDEX(KALENDER!$D$3:$D$132,MATCH(H824,KALENDER!$A$3:$A$132,0)),"Di luar periode")</f>
        <v>Hari Kerja</v>
      </c>
      <c r="N824" s="71">
        <f t="shared" si="109"/>
        <v>0</v>
      </c>
      <c r="O824" s="71">
        <f t="shared" si="110"/>
        <v>1</v>
      </c>
      <c r="P824" s="71">
        <f t="shared" si="111"/>
        <v>0</v>
      </c>
      <c r="Q824" s="71">
        <f t="shared" si="112"/>
        <v>0</v>
      </c>
      <c r="R824" s="71">
        <f t="shared" si="113"/>
        <v>0</v>
      </c>
      <c r="S824" s="71">
        <f t="shared" si="114"/>
        <v>0</v>
      </c>
      <c r="T824" s="71">
        <f t="shared" si="115"/>
        <v>0</v>
      </c>
      <c r="U824" s="71">
        <f>IF(AND(N824=1,V824=1),IF(COUNTIFS(AKTIVITAS!$B$2:$B$3052,B824,AKTIVITAS!$E$2:$E$3052,H824)&gt;0,1,0),0)</f>
        <v>0</v>
      </c>
      <c r="V824" s="71">
        <f>IFERROR(IF(AND(H824&gt;=INDEX(PEMAGANG!$J$3:$J$36,MATCH(B824,PEMAGANG!$C$3:$C$36,0)),H824&lt;=INDEX(PEMAGANG!$K$3:$K$36,MATCH(B824,PEMAGANG!$C$3:$C$36,0))),1,0),0)</f>
        <v>1</v>
      </c>
      <c r="W824" s="71">
        <f t="shared" si="116"/>
        <v>0</v>
      </c>
    </row>
    <row r="825" spans="1:23" x14ac:dyDescent="0.2">
      <c r="A825" s="71" t="s">
        <v>208</v>
      </c>
      <c r="B825" s="71" t="s">
        <v>209</v>
      </c>
      <c r="C825" s="71" t="s">
        <v>187</v>
      </c>
      <c r="D825" s="71" t="s">
        <v>210</v>
      </c>
      <c r="E825" s="71" t="s">
        <v>48</v>
      </c>
      <c r="F825" s="71" t="s">
        <v>298</v>
      </c>
      <c r="G825" s="88">
        <v>46266.302407407398</v>
      </c>
      <c r="H825" s="89">
        <v>46266</v>
      </c>
      <c r="I825" s="71" t="s">
        <v>370</v>
      </c>
      <c r="J825" s="71">
        <v>-45</v>
      </c>
      <c r="K825" s="71" t="s">
        <v>302</v>
      </c>
      <c r="L825" s="71">
        <f t="shared" si="108"/>
        <v>9</v>
      </c>
      <c r="M825" s="71" t="str">
        <f>IFERROR(INDEX(KALENDER!$D$3:$D$132,MATCH(H825,KALENDER!$A$3:$A$132,0)),"Di luar periode")</f>
        <v>Hari Kerja</v>
      </c>
      <c r="N825" s="71">
        <f t="shared" si="109"/>
        <v>1</v>
      </c>
      <c r="O825" s="71">
        <f t="shared" si="110"/>
        <v>1</v>
      </c>
      <c r="P825" s="71">
        <f t="shared" si="111"/>
        <v>1</v>
      </c>
      <c r="Q825" s="71">
        <f t="shared" si="112"/>
        <v>0</v>
      </c>
      <c r="R825" s="71">
        <f t="shared" si="113"/>
        <v>0</v>
      </c>
      <c r="S825" s="71">
        <f t="shared" si="114"/>
        <v>0</v>
      </c>
      <c r="T825" s="71">
        <f t="shared" si="115"/>
        <v>0</v>
      </c>
      <c r="U825" s="71">
        <f>IF(AND(N825=1,V825=1),IF(COUNTIFS(AKTIVITAS!$B$2:$B$3052,B825,AKTIVITAS!$E$2:$E$3052,H825)&gt;0,1,0),0)</f>
        <v>1</v>
      </c>
      <c r="V825" s="71">
        <f>IFERROR(IF(AND(H825&gt;=INDEX(PEMAGANG!$J$3:$J$36,MATCH(B825,PEMAGANG!$C$3:$C$36,0)),H825&lt;=INDEX(PEMAGANG!$K$3:$K$36,MATCH(B825,PEMAGANG!$C$3:$C$36,0))),1,0),0)</f>
        <v>1</v>
      </c>
      <c r="W825" s="71">
        <f t="shared" si="116"/>
        <v>1</v>
      </c>
    </row>
    <row r="826" spans="1:23" x14ac:dyDescent="0.2">
      <c r="A826" s="71" t="s">
        <v>208</v>
      </c>
      <c r="B826" s="71" t="s">
        <v>209</v>
      </c>
      <c r="C826" s="71" t="s">
        <v>187</v>
      </c>
      <c r="D826" s="71" t="s">
        <v>210</v>
      </c>
      <c r="E826" s="71" t="s">
        <v>48</v>
      </c>
      <c r="F826" s="71" t="s">
        <v>300</v>
      </c>
      <c r="G826" s="88">
        <v>46266.690451388902</v>
      </c>
      <c r="H826" s="89">
        <v>46266</v>
      </c>
      <c r="I826" s="71" t="s">
        <v>314</v>
      </c>
      <c r="J826" s="71">
        <v>0</v>
      </c>
      <c r="K826" s="71" t="s">
        <v>302</v>
      </c>
      <c r="L826" s="71">
        <f t="shared" si="108"/>
        <v>9</v>
      </c>
      <c r="M826" s="71" t="str">
        <f>IFERROR(INDEX(KALENDER!$D$3:$D$132,MATCH(H826,KALENDER!$A$3:$A$132,0)),"Di luar periode")</f>
        <v>Hari Kerja</v>
      </c>
      <c r="N826" s="71">
        <f t="shared" si="109"/>
        <v>0</v>
      </c>
      <c r="O826" s="71">
        <f t="shared" si="110"/>
        <v>1</v>
      </c>
      <c r="P826" s="71">
        <f t="shared" si="111"/>
        <v>0</v>
      </c>
      <c r="Q826" s="71">
        <f t="shared" si="112"/>
        <v>0</v>
      </c>
      <c r="R826" s="71">
        <f t="shared" si="113"/>
        <v>0</v>
      </c>
      <c r="S826" s="71">
        <f t="shared" si="114"/>
        <v>0</v>
      </c>
      <c r="T826" s="71">
        <f t="shared" si="115"/>
        <v>0</v>
      </c>
      <c r="U826" s="71">
        <f>IF(AND(N826=1,V826=1),IF(COUNTIFS(AKTIVITAS!$B$2:$B$3052,B826,AKTIVITAS!$E$2:$E$3052,H826)&gt;0,1,0),0)</f>
        <v>0</v>
      </c>
      <c r="V826" s="71">
        <f>IFERROR(IF(AND(H826&gt;=INDEX(PEMAGANG!$J$3:$J$36,MATCH(B826,PEMAGANG!$C$3:$C$36,0)),H826&lt;=INDEX(PEMAGANG!$K$3:$K$36,MATCH(B826,PEMAGANG!$C$3:$C$36,0))),1,0),0)</f>
        <v>1</v>
      </c>
      <c r="W826" s="71">
        <f t="shared" si="116"/>
        <v>0</v>
      </c>
    </row>
    <row r="827" spans="1:23" x14ac:dyDescent="0.2">
      <c r="A827" s="71" t="s">
        <v>208</v>
      </c>
      <c r="B827" s="71" t="s">
        <v>209</v>
      </c>
      <c r="C827" s="71" t="s">
        <v>187</v>
      </c>
      <c r="D827" s="71" t="s">
        <v>210</v>
      </c>
      <c r="E827" s="71" t="s">
        <v>48</v>
      </c>
      <c r="F827" s="71" t="s">
        <v>298</v>
      </c>
      <c r="G827" s="88">
        <v>46267.304305555597</v>
      </c>
      <c r="H827" s="89">
        <v>46267</v>
      </c>
      <c r="I827" s="71" t="s">
        <v>326</v>
      </c>
      <c r="J827" s="71">
        <v>-42</v>
      </c>
      <c r="K827" s="71" t="s">
        <v>302</v>
      </c>
      <c r="L827" s="71">
        <f t="shared" si="108"/>
        <v>9</v>
      </c>
      <c r="M827" s="71" t="str">
        <f>IFERROR(INDEX(KALENDER!$D$3:$D$132,MATCH(H827,KALENDER!$A$3:$A$132,0)),"Di luar periode")</f>
        <v>Hari Kerja</v>
      </c>
      <c r="N827" s="71">
        <f t="shared" si="109"/>
        <v>1</v>
      </c>
      <c r="O827" s="71">
        <f t="shared" si="110"/>
        <v>1</v>
      </c>
      <c r="P827" s="71">
        <f t="shared" si="111"/>
        <v>1</v>
      </c>
      <c r="Q827" s="71">
        <f t="shared" si="112"/>
        <v>0</v>
      </c>
      <c r="R827" s="71">
        <f t="shared" si="113"/>
        <v>0</v>
      </c>
      <c r="S827" s="71">
        <f t="shared" si="114"/>
        <v>0</v>
      </c>
      <c r="T827" s="71">
        <f t="shared" si="115"/>
        <v>0</v>
      </c>
      <c r="U827" s="71">
        <f>IF(AND(N827=1,V827=1),IF(COUNTIFS(AKTIVITAS!$B$2:$B$3052,B827,AKTIVITAS!$E$2:$E$3052,H827)&gt;0,1,0),0)</f>
        <v>1</v>
      </c>
      <c r="V827" s="71">
        <f>IFERROR(IF(AND(H827&gt;=INDEX(PEMAGANG!$J$3:$J$36,MATCH(B827,PEMAGANG!$C$3:$C$36,0)),H827&lt;=INDEX(PEMAGANG!$K$3:$K$36,MATCH(B827,PEMAGANG!$C$3:$C$36,0))),1,0),0)</f>
        <v>1</v>
      </c>
      <c r="W827" s="71">
        <f t="shared" si="116"/>
        <v>1</v>
      </c>
    </row>
    <row r="828" spans="1:23" x14ac:dyDescent="0.2">
      <c r="A828" s="71" t="s">
        <v>208</v>
      </c>
      <c r="B828" s="71" t="s">
        <v>209</v>
      </c>
      <c r="C828" s="71" t="s">
        <v>187</v>
      </c>
      <c r="D828" s="71" t="s">
        <v>210</v>
      </c>
      <c r="E828" s="71" t="s">
        <v>48</v>
      </c>
      <c r="F828" s="71" t="s">
        <v>300</v>
      </c>
      <c r="G828" s="88">
        <v>46267.690138888902</v>
      </c>
      <c r="H828" s="89">
        <v>46267</v>
      </c>
      <c r="I828" s="71" t="s">
        <v>316</v>
      </c>
      <c r="J828" s="71">
        <v>0</v>
      </c>
      <c r="K828" s="71" t="s">
        <v>302</v>
      </c>
      <c r="L828" s="71">
        <f t="shared" si="108"/>
        <v>9</v>
      </c>
      <c r="M828" s="71" t="str">
        <f>IFERROR(INDEX(KALENDER!$D$3:$D$132,MATCH(H828,KALENDER!$A$3:$A$132,0)),"Di luar periode")</f>
        <v>Hari Kerja</v>
      </c>
      <c r="N828" s="71">
        <f t="shared" si="109"/>
        <v>0</v>
      </c>
      <c r="O828" s="71">
        <f t="shared" si="110"/>
        <v>1</v>
      </c>
      <c r="P828" s="71">
        <f t="shared" si="111"/>
        <v>0</v>
      </c>
      <c r="Q828" s="71">
        <f t="shared" si="112"/>
        <v>0</v>
      </c>
      <c r="R828" s="71">
        <f t="shared" si="113"/>
        <v>0</v>
      </c>
      <c r="S828" s="71">
        <f t="shared" si="114"/>
        <v>0</v>
      </c>
      <c r="T828" s="71">
        <f t="shared" si="115"/>
        <v>0</v>
      </c>
      <c r="U828" s="71">
        <f>IF(AND(N828=1,V828=1),IF(COUNTIFS(AKTIVITAS!$B$2:$B$3052,B828,AKTIVITAS!$E$2:$E$3052,H828)&gt;0,1,0),0)</f>
        <v>0</v>
      </c>
      <c r="V828" s="71">
        <f>IFERROR(IF(AND(H828&gt;=INDEX(PEMAGANG!$J$3:$J$36,MATCH(B828,PEMAGANG!$C$3:$C$36,0)),H828&lt;=INDEX(PEMAGANG!$K$3:$K$36,MATCH(B828,PEMAGANG!$C$3:$C$36,0))),1,0),0)</f>
        <v>1</v>
      </c>
      <c r="W828" s="71">
        <f t="shared" si="116"/>
        <v>0</v>
      </c>
    </row>
    <row r="829" spans="1:23" x14ac:dyDescent="0.2">
      <c r="A829" s="71" t="s">
        <v>208</v>
      </c>
      <c r="B829" s="71" t="s">
        <v>209</v>
      </c>
      <c r="C829" s="71" t="s">
        <v>187</v>
      </c>
      <c r="D829" s="71" t="s">
        <v>210</v>
      </c>
      <c r="E829" s="71" t="s">
        <v>48</v>
      </c>
      <c r="F829" s="71" t="s">
        <v>298</v>
      </c>
      <c r="G829" s="88">
        <v>46268.2995717593</v>
      </c>
      <c r="H829" s="89">
        <v>46268</v>
      </c>
      <c r="I829" s="71" t="s">
        <v>402</v>
      </c>
      <c r="J829" s="71">
        <v>-49</v>
      </c>
      <c r="K829" s="71" t="s">
        <v>302</v>
      </c>
      <c r="L829" s="71">
        <f t="shared" si="108"/>
        <v>9</v>
      </c>
      <c r="M829" s="71" t="str">
        <f>IFERROR(INDEX(KALENDER!$D$3:$D$132,MATCH(H829,KALENDER!$A$3:$A$132,0)),"Di luar periode")</f>
        <v>Hari Kerja</v>
      </c>
      <c r="N829" s="71">
        <f t="shared" si="109"/>
        <v>1</v>
      </c>
      <c r="O829" s="71">
        <f t="shared" si="110"/>
        <v>1</v>
      </c>
      <c r="P829" s="71">
        <f t="shared" si="111"/>
        <v>1</v>
      </c>
      <c r="Q829" s="71">
        <f t="shared" si="112"/>
        <v>0</v>
      </c>
      <c r="R829" s="71">
        <f t="shared" si="113"/>
        <v>0</v>
      </c>
      <c r="S829" s="71">
        <f t="shared" si="114"/>
        <v>0</v>
      </c>
      <c r="T829" s="71">
        <f t="shared" si="115"/>
        <v>0</v>
      </c>
      <c r="U829" s="71">
        <f>IF(AND(N829=1,V829=1),IF(COUNTIFS(AKTIVITAS!$B$2:$B$3052,B829,AKTIVITAS!$E$2:$E$3052,H829)&gt;0,1,0),0)</f>
        <v>1</v>
      </c>
      <c r="V829" s="71">
        <f>IFERROR(IF(AND(H829&gt;=INDEX(PEMAGANG!$J$3:$J$36,MATCH(B829,PEMAGANG!$C$3:$C$36,0)),H829&lt;=INDEX(PEMAGANG!$K$3:$K$36,MATCH(B829,PEMAGANG!$C$3:$C$36,0))),1,0),0)</f>
        <v>1</v>
      </c>
      <c r="W829" s="71">
        <f t="shared" si="116"/>
        <v>1</v>
      </c>
    </row>
    <row r="830" spans="1:23" x14ac:dyDescent="0.2">
      <c r="A830" s="71" t="s">
        <v>208</v>
      </c>
      <c r="B830" s="71" t="s">
        <v>209</v>
      </c>
      <c r="C830" s="71" t="s">
        <v>187</v>
      </c>
      <c r="D830" s="71" t="s">
        <v>210</v>
      </c>
      <c r="E830" s="71" t="s">
        <v>48</v>
      </c>
      <c r="F830" s="71" t="s">
        <v>300</v>
      </c>
      <c r="G830" s="88">
        <v>46268.6893865741</v>
      </c>
      <c r="H830" s="89">
        <v>46268</v>
      </c>
      <c r="I830" s="71" t="s">
        <v>306</v>
      </c>
      <c r="J830" s="71">
        <v>0</v>
      </c>
      <c r="K830" s="71" t="s">
        <v>302</v>
      </c>
      <c r="L830" s="71">
        <f t="shared" si="108"/>
        <v>9</v>
      </c>
      <c r="M830" s="71" t="str">
        <f>IFERROR(INDEX(KALENDER!$D$3:$D$132,MATCH(H830,KALENDER!$A$3:$A$132,0)),"Di luar periode")</f>
        <v>Hari Kerja</v>
      </c>
      <c r="N830" s="71">
        <f t="shared" si="109"/>
        <v>0</v>
      </c>
      <c r="O830" s="71">
        <f t="shared" si="110"/>
        <v>1</v>
      </c>
      <c r="P830" s="71">
        <f t="shared" si="111"/>
        <v>0</v>
      </c>
      <c r="Q830" s="71">
        <f t="shared" si="112"/>
        <v>0</v>
      </c>
      <c r="R830" s="71">
        <f t="shared" si="113"/>
        <v>0</v>
      </c>
      <c r="S830" s="71">
        <f t="shared" si="114"/>
        <v>0</v>
      </c>
      <c r="T830" s="71">
        <f t="shared" si="115"/>
        <v>0</v>
      </c>
      <c r="U830" s="71">
        <f>IF(AND(N830=1,V830=1),IF(COUNTIFS(AKTIVITAS!$B$2:$B$3052,B830,AKTIVITAS!$E$2:$E$3052,H830)&gt;0,1,0),0)</f>
        <v>0</v>
      </c>
      <c r="V830" s="71">
        <f>IFERROR(IF(AND(H830&gt;=INDEX(PEMAGANG!$J$3:$J$36,MATCH(B830,PEMAGANG!$C$3:$C$36,0)),H830&lt;=INDEX(PEMAGANG!$K$3:$K$36,MATCH(B830,PEMAGANG!$C$3:$C$36,0))),1,0),0)</f>
        <v>1</v>
      </c>
      <c r="W830" s="71">
        <f t="shared" si="116"/>
        <v>0</v>
      </c>
    </row>
    <row r="831" spans="1:23" x14ac:dyDescent="0.2">
      <c r="A831" s="71" t="s">
        <v>208</v>
      </c>
      <c r="B831" s="71" t="s">
        <v>209</v>
      </c>
      <c r="C831" s="71" t="s">
        <v>187</v>
      </c>
      <c r="D831" s="71" t="s">
        <v>210</v>
      </c>
      <c r="E831" s="71" t="s">
        <v>48</v>
      </c>
      <c r="F831" s="71" t="s">
        <v>300</v>
      </c>
      <c r="G831" s="88">
        <v>46269.689363425903</v>
      </c>
      <c r="H831" s="89">
        <v>46269</v>
      </c>
      <c r="I831" s="71" t="s">
        <v>306</v>
      </c>
      <c r="J831" s="71">
        <v>0</v>
      </c>
      <c r="K831" s="71" t="s">
        <v>302</v>
      </c>
      <c r="L831" s="71">
        <f t="shared" si="108"/>
        <v>9</v>
      </c>
      <c r="M831" s="71" t="str">
        <f>IFERROR(INDEX(KALENDER!$D$3:$D$132,MATCH(H831,KALENDER!$A$3:$A$132,0)),"Di luar periode")</f>
        <v>Hari Kerja</v>
      </c>
      <c r="N831" s="71">
        <f t="shared" si="109"/>
        <v>1</v>
      </c>
      <c r="O831" s="71">
        <f t="shared" si="110"/>
        <v>0</v>
      </c>
      <c r="P831" s="71">
        <f t="shared" si="111"/>
        <v>1</v>
      </c>
      <c r="Q831" s="71">
        <f t="shared" si="112"/>
        <v>0</v>
      </c>
      <c r="R831" s="71">
        <f t="shared" si="113"/>
        <v>0</v>
      </c>
      <c r="S831" s="71">
        <f t="shared" si="114"/>
        <v>0</v>
      </c>
      <c r="T831" s="71">
        <f t="shared" si="115"/>
        <v>0</v>
      </c>
      <c r="U831" s="71">
        <f>IF(AND(N831=1,V831=1),IF(COUNTIFS(AKTIVITAS!$B$2:$B$3052,B831,AKTIVITAS!$E$2:$E$3052,H831)&gt;0,1,0),0)</f>
        <v>1</v>
      </c>
      <c r="V831" s="71">
        <f>IFERROR(IF(AND(H831&gt;=INDEX(PEMAGANG!$J$3:$J$36,MATCH(B831,PEMAGANG!$C$3:$C$36,0)),H831&lt;=INDEX(PEMAGANG!$K$3:$K$36,MATCH(B831,PEMAGANG!$C$3:$C$36,0))),1,0),0)</f>
        <v>1</v>
      </c>
      <c r="W831" s="71">
        <f t="shared" si="116"/>
        <v>1</v>
      </c>
    </row>
    <row r="832" spans="1:23" x14ac:dyDescent="0.2">
      <c r="A832" s="71" t="s">
        <v>208</v>
      </c>
      <c r="B832" s="71" t="s">
        <v>209</v>
      </c>
      <c r="C832" s="71" t="s">
        <v>187</v>
      </c>
      <c r="D832" s="71" t="s">
        <v>210</v>
      </c>
      <c r="E832" s="71" t="s">
        <v>48</v>
      </c>
      <c r="F832" s="71" t="s">
        <v>298</v>
      </c>
      <c r="G832" s="88">
        <v>46272.305914351899</v>
      </c>
      <c r="H832" s="89">
        <v>46272</v>
      </c>
      <c r="I832" s="71" t="s">
        <v>329</v>
      </c>
      <c r="J832" s="71">
        <v>-40</v>
      </c>
      <c r="K832" s="71" t="s">
        <v>302</v>
      </c>
      <c r="L832" s="71">
        <f t="shared" si="108"/>
        <v>9</v>
      </c>
      <c r="M832" s="71" t="str">
        <f>IFERROR(INDEX(KALENDER!$D$3:$D$132,MATCH(H832,KALENDER!$A$3:$A$132,0)),"Di luar periode")</f>
        <v>Hari Kerja</v>
      </c>
      <c r="N832" s="71">
        <f t="shared" si="109"/>
        <v>1</v>
      </c>
      <c r="O832" s="71">
        <f t="shared" si="110"/>
        <v>1</v>
      </c>
      <c r="P832" s="71">
        <f t="shared" si="111"/>
        <v>1</v>
      </c>
      <c r="Q832" s="71">
        <f t="shared" si="112"/>
        <v>0</v>
      </c>
      <c r="R832" s="71">
        <f t="shared" si="113"/>
        <v>0</v>
      </c>
      <c r="S832" s="71">
        <f t="shared" si="114"/>
        <v>0</v>
      </c>
      <c r="T832" s="71">
        <f t="shared" si="115"/>
        <v>0</v>
      </c>
      <c r="U832" s="71">
        <f>IF(AND(N832=1,V832=1),IF(COUNTIFS(AKTIVITAS!$B$2:$B$3052,B832,AKTIVITAS!$E$2:$E$3052,H832)&gt;0,1,0),0)</f>
        <v>1</v>
      </c>
      <c r="V832" s="71">
        <f>IFERROR(IF(AND(H832&gt;=INDEX(PEMAGANG!$J$3:$J$36,MATCH(B832,PEMAGANG!$C$3:$C$36,0)),H832&lt;=INDEX(PEMAGANG!$K$3:$K$36,MATCH(B832,PEMAGANG!$C$3:$C$36,0))),1,0),0)</f>
        <v>1</v>
      </c>
      <c r="W832" s="71">
        <f t="shared" si="116"/>
        <v>1</v>
      </c>
    </row>
    <row r="833" spans="1:23" x14ac:dyDescent="0.2">
      <c r="A833" s="71" t="s">
        <v>208</v>
      </c>
      <c r="B833" s="71" t="s">
        <v>209</v>
      </c>
      <c r="C833" s="71" t="s">
        <v>187</v>
      </c>
      <c r="D833" s="71" t="s">
        <v>210</v>
      </c>
      <c r="E833" s="71" t="s">
        <v>48</v>
      </c>
      <c r="F833" s="71" t="s">
        <v>300</v>
      </c>
      <c r="G833" s="88">
        <v>46272.6897916667</v>
      </c>
      <c r="H833" s="89">
        <v>46272</v>
      </c>
      <c r="I833" s="71" t="s">
        <v>316</v>
      </c>
      <c r="J833" s="71">
        <v>0</v>
      </c>
      <c r="K833" s="71" t="s">
        <v>302</v>
      </c>
      <c r="L833" s="71">
        <f t="shared" si="108"/>
        <v>9</v>
      </c>
      <c r="M833" s="71" t="str">
        <f>IFERROR(INDEX(KALENDER!$D$3:$D$132,MATCH(H833,KALENDER!$A$3:$A$132,0)),"Di luar periode")</f>
        <v>Hari Kerja</v>
      </c>
      <c r="N833" s="71">
        <f t="shared" si="109"/>
        <v>0</v>
      </c>
      <c r="O833" s="71">
        <f t="shared" si="110"/>
        <v>1</v>
      </c>
      <c r="P833" s="71">
        <f t="shared" si="111"/>
        <v>0</v>
      </c>
      <c r="Q833" s="71">
        <f t="shared" si="112"/>
        <v>0</v>
      </c>
      <c r="R833" s="71">
        <f t="shared" si="113"/>
        <v>0</v>
      </c>
      <c r="S833" s="71">
        <f t="shared" si="114"/>
        <v>0</v>
      </c>
      <c r="T833" s="71">
        <f t="shared" si="115"/>
        <v>0</v>
      </c>
      <c r="U833" s="71">
        <f>IF(AND(N833=1,V833=1),IF(COUNTIFS(AKTIVITAS!$B$2:$B$3052,B833,AKTIVITAS!$E$2:$E$3052,H833)&gt;0,1,0),0)</f>
        <v>0</v>
      </c>
      <c r="V833" s="71">
        <f>IFERROR(IF(AND(H833&gt;=INDEX(PEMAGANG!$J$3:$J$36,MATCH(B833,PEMAGANG!$C$3:$C$36,0)),H833&lt;=INDEX(PEMAGANG!$K$3:$K$36,MATCH(B833,PEMAGANG!$C$3:$C$36,0))),1,0),0)</f>
        <v>1</v>
      </c>
      <c r="W833" s="71">
        <f t="shared" si="116"/>
        <v>0</v>
      </c>
    </row>
    <row r="834" spans="1:23" x14ac:dyDescent="0.2">
      <c r="A834" s="71" t="s">
        <v>208</v>
      </c>
      <c r="B834" s="71" t="s">
        <v>209</v>
      </c>
      <c r="C834" s="71" t="s">
        <v>187</v>
      </c>
      <c r="D834" s="71" t="s">
        <v>210</v>
      </c>
      <c r="E834" s="71" t="s">
        <v>48</v>
      </c>
      <c r="F834" s="71" t="s">
        <v>298</v>
      </c>
      <c r="G834" s="88">
        <v>46273.309131944399</v>
      </c>
      <c r="H834" s="89">
        <v>46273</v>
      </c>
      <c r="I834" s="71" t="s">
        <v>307</v>
      </c>
      <c r="J834" s="71">
        <v>-35</v>
      </c>
      <c r="K834" s="71" t="s">
        <v>302</v>
      </c>
      <c r="L834" s="71">
        <f t="shared" ref="L834:L897" si="117">MONTH(H834)</f>
        <v>9</v>
      </c>
      <c r="M834" s="71" t="str">
        <f>IFERROR(INDEX(KALENDER!$D$3:$D$132,MATCH(H834,KALENDER!$A$3:$A$132,0)),"Di luar periode")</f>
        <v>Hari Kerja</v>
      </c>
      <c r="N834" s="71">
        <f t="shared" ref="N834:N897" si="118">IF(AND(B834=B833,H834=H833),0,1)</f>
        <v>1</v>
      </c>
      <c r="O834" s="71">
        <f t="shared" ref="O834:O897" si="119">IF(N834=1,0,O833)+IF(F834="MASUK",1,0)</f>
        <v>1</v>
      </c>
      <c r="P834" s="71">
        <f t="shared" ref="P834:P897" si="120">IF(AND(N834=1,M834="Hari Kerja",V834=1),1,0)</f>
        <v>1</v>
      </c>
      <c r="Q834" s="71">
        <f t="shared" ref="Q834:Q897" si="121">IF(AND(N834=1,OR(M834&lt;&gt;"Hari Kerja",V834=0)),1,0)</f>
        <v>0</v>
      </c>
      <c r="R834" s="71">
        <f t="shared" ref="R834:R897" si="122">IF(AND(F834="MASUK",O834=1,N(J834)&gt;0,V834=1),1,0)</f>
        <v>0</v>
      </c>
      <c r="S834" s="71">
        <f t="shared" ref="S834:S897" si="123">R834*N(J834)</f>
        <v>0</v>
      </c>
      <c r="T834" s="71">
        <f t="shared" ref="T834:T897" si="124">IF(AND(N834=1,V834=1),IF(AND(COUNTIFS($B$2:$B$4094,B834,$H$2:$H$4094,H834,$F$2:$F$4094,"MASUK")&gt;0,COUNTIFS($B$2:$B$4094,B834,$H$2:$H$4094,H834,$F$2:$F$4094,"PULANG")=0),1,0),0)</f>
        <v>0</v>
      </c>
      <c r="U834" s="71">
        <f>IF(AND(N834=1,V834=1),IF(COUNTIFS(AKTIVITAS!$B$2:$B$3052,B834,AKTIVITAS!$E$2:$E$3052,H834)&gt;0,1,0),0)</f>
        <v>1</v>
      </c>
      <c r="V834" s="71">
        <f>IFERROR(IF(AND(H834&gt;=INDEX(PEMAGANG!$J$3:$J$36,MATCH(B834,PEMAGANG!$C$3:$C$36,0)),H834&lt;=INDEX(PEMAGANG!$K$3:$K$36,MATCH(B834,PEMAGANG!$C$3:$C$36,0))),1,0),0)</f>
        <v>1</v>
      </c>
      <c r="W834" s="71">
        <f t="shared" ref="W834:W897" si="125">N834*V834</f>
        <v>1</v>
      </c>
    </row>
    <row r="835" spans="1:23" x14ac:dyDescent="0.2">
      <c r="A835" s="71" t="s">
        <v>208</v>
      </c>
      <c r="B835" s="71" t="s">
        <v>209</v>
      </c>
      <c r="C835" s="71" t="s">
        <v>187</v>
      </c>
      <c r="D835" s="71" t="s">
        <v>210</v>
      </c>
      <c r="E835" s="71" t="s">
        <v>48</v>
      </c>
      <c r="F835" s="71" t="s">
        <v>300</v>
      </c>
      <c r="G835" s="88">
        <v>46273.690011574101</v>
      </c>
      <c r="H835" s="89">
        <v>46273</v>
      </c>
      <c r="I835" s="71" t="s">
        <v>316</v>
      </c>
      <c r="J835" s="71">
        <v>0</v>
      </c>
      <c r="K835" s="71" t="s">
        <v>302</v>
      </c>
      <c r="L835" s="71">
        <f t="shared" si="117"/>
        <v>9</v>
      </c>
      <c r="M835" s="71" t="str">
        <f>IFERROR(INDEX(KALENDER!$D$3:$D$132,MATCH(H835,KALENDER!$A$3:$A$132,0)),"Di luar periode")</f>
        <v>Hari Kerja</v>
      </c>
      <c r="N835" s="71">
        <f t="shared" si="118"/>
        <v>0</v>
      </c>
      <c r="O835" s="71">
        <f t="shared" si="119"/>
        <v>1</v>
      </c>
      <c r="P835" s="71">
        <f t="shared" si="120"/>
        <v>0</v>
      </c>
      <c r="Q835" s="71">
        <f t="shared" si="121"/>
        <v>0</v>
      </c>
      <c r="R835" s="71">
        <f t="shared" si="122"/>
        <v>0</v>
      </c>
      <c r="S835" s="71">
        <f t="shared" si="123"/>
        <v>0</v>
      </c>
      <c r="T835" s="71">
        <f t="shared" si="124"/>
        <v>0</v>
      </c>
      <c r="U835" s="71">
        <f>IF(AND(N835=1,V835=1),IF(COUNTIFS(AKTIVITAS!$B$2:$B$3052,B835,AKTIVITAS!$E$2:$E$3052,H835)&gt;0,1,0),0)</f>
        <v>0</v>
      </c>
      <c r="V835" s="71">
        <f>IFERROR(IF(AND(H835&gt;=INDEX(PEMAGANG!$J$3:$J$36,MATCH(B835,PEMAGANG!$C$3:$C$36,0)),H835&lt;=INDEX(PEMAGANG!$K$3:$K$36,MATCH(B835,PEMAGANG!$C$3:$C$36,0))),1,0),0)</f>
        <v>1</v>
      </c>
      <c r="W835" s="71">
        <f t="shared" si="125"/>
        <v>0</v>
      </c>
    </row>
    <row r="836" spans="1:23" x14ac:dyDescent="0.2">
      <c r="A836" s="71" t="s">
        <v>208</v>
      </c>
      <c r="B836" s="71" t="s">
        <v>209</v>
      </c>
      <c r="C836" s="71" t="s">
        <v>187</v>
      </c>
      <c r="D836" s="71" t="s">
        <v>210</v>
      </c>
      <c r="E836" s="71" t="s">
        <v>48</v>
      </c>
      <c r="F836" s="71" t="s">
        <v>298</v>
      </c>
      <c r="G836" s="88">
        <v>46274.303506944401</v>
      </c>
      <c r="H836" s="89">
        <v>46274</v>
      </c>
      <c r="I836" s="71" t="s">
        <v>331</v>
      </c>
      <c r="J836" s="71">
        <v>-43</v>
      </c>
      <c r="K836" s="71" t="s">
        <v>302</v>
      </c>
      <c r="L836" s="71">
        <f t="shared" si="117"/>
        <v>9</v>
      </c>
      <c r="M836" s="71" t="str">
        <f>IFERROR(INDEX(KALENDER!$D$3:$D$132,MATCH(H836,KALENDER!$A$3:$A$132,0)),"Di luar periode")</f>
        <v>Hari Kerja</v>
      </c>
      <c r="N836" s="71">
        <f t="shared" si="118"/>
        <v>1</v>
      </c>
      <c r="O836" s="71">
        <f t="shared" si="119"/>
        <v>1</v>
      </c>
      <c r="P836" s="71">
        <f t="shared" si="120"/>
        <v>1</v>
      </c>
      <c r="Q836" s="71">
        <f t="shared" si="121"/>
        <v>0</v>
      </c>
      <c r="R836" s="71">
        <f t="shared" si="122"/>
        <v>0</v>
      </c>
      <c r="S836" s="71">
        <f t="shared" si="123"/>
        <v>0</v>
      </c>
      <c r="T836" s="71">
        <f t="shared" si="124"/>
        <v>0</v>
      </c>
      <c r="U836" s="71">
        <f>IF(AND(N836=1,V836=1),IF(COUNTIFS(AKTIVITAS!$B$2:$B$3052,B836,AKTIVITAS!$E$2:$E$3052,H836)&gt;0,1,0),0)</f>
        <v>1</v>
      </c>
      <c r="V836" s="71">
        <f>IFERROR(IF(AND(H836&gt;=INDEX(PEMAGANG!$J$3:$J$36,MATCH(B836,PEMAGANG!$C$3:$C$36,0)),H836&lt;=INDEX(PEMAGANG!$K$3:$K$36,MATCH(B836,PEMAGANG!$C$3:$C$36,0))),1,0),0)</f>
        <v>1</v>
      </c>
      <c r="W836" s="71">
        <f t="shared" si="125"/>
        <v>1</v>
      </c>
    </row>
    <row r="837" spans="1:23" x14ac:dyDescent="0.2">
      <c r="A837" s="71" t="s">
        <v>208</v>
      </c>
      <c r="B837" s="71" t="s">
        <v>209</v>
      </c>
      <c r="C837" s="71" t="s">
        <v>187</v>
      </c>
      <c r="D837" s="71" t="s">
        <v>210</v>
      </c>
      <c r="E837" s="71" t="s">
        <v>48</v>
      </c>
      <c r="F837" s="71" t="s">
        <v>300</v>
      </c>
      <c r="G837" s="88">
        <v>46274.689560185201</v>
      </c>
      <c r="H837" s="89">
        <v>46274</v>
      </c>
      <c r="I837" s="71" t="s">
        <v>306</v>
      </c>
      <c r="J837" s="71">
        <v>0</v>
      </c>
      <c r="K837" s="71" t="s">
        <v>302</v>
      </c>
      <c r="L837" s="71">
        <f t="shared" si="117"/>
        <v>9</v>
      </c>
      <c r="M837" s="71" t="str">
        <f>IFERROR(INDEX(KALENDER!$D$3:$D$132,MATCH(H837,KALENDER!$A$3:$A$132,0)),"Di luar periode")</f>
        <v>Hari Kerja</v>
      </c>
      <c r="N837" s="71">
        <f t="shared" si="118"/>
        <v>0</v>
      </c>
      <c r="O837" s="71">
        <f t="shared" si="119"/>
        <v>1</v>
      </c>
      <c r="P837" s="71">
        <f t="shared" si="120"/>
        <v>0</v>
      </c>
      <c r="Q837" s="71">
        <f t="shared" si="121"/>
        <v>0</v>
      </c>
      <c r="R837" s="71">
        <f t="shared" si="122"/>
        <v>0</v>
      </c>
      <c r="S837" s="71">
        <f t="shared" si="123"/>
        <v>0</v>
      </c>
      <c r="T837" s="71">
        <f t="shared" si="124"/>
        <v>0</v>
      </c>
      <c r="U837" s="71">
        <f>IF(AND(N837=1,V837=1),IF(COUNTIFS(AKTIVITAS!$B$2:$B$3052,B837,AKTIVITAS!$E$2:$E$3052,H837)&gt;0,1,0),0)</f>
        <v>0</v>
      </c>
      <c r="V837" s="71">
        <f>IFERROR(IF(AND(H837&gt;=INDEX(PEMAGANG!$J$3:$J$36,MATCH(B837,PEMAGANG!$C$3:$C$36,0)),H837&lt;=INDEX(PEMAGANG!$K$3:$K$36,MATCH(B837,PEMAGANG!$C$3:$C$36,0))),1,0),0)</f>
        <v>1</v>
      </c>
      <c r="W837" s="71">
        <f t="shared" si="125"/>
        <v>0</v>
      </c>
    </row>
    <row r="838" spans="1:23" x14ac:dyDescent="0.2">
      <c r="A838" s="71" t="s">
        <v>208</v>
      </c>
      <c r="B838" s="71" t="s">
        <v>209</v>
      </c>
      <c r="C838" s="71" t="s">
        <v>187</v>
      </c>
      <c r="D838" s="71" t="s">
        <v>210</v>
      </c>
      <c r="E838" s="71" t="s">
        <v>48</v>
      </c>
      <c r="F838" s="71" t="s">
        <v>298</v>
      </c>
      <c r="G838" s="88">
        <v>46275.302881944401</v>
      </c>
      <c r="H838" s="89">
        <v>46275</v>
      </c>
      <c r="I838" s="71" t="s">
        <v>327</v>
      </c>
      <c r="J838" s="71">
        <v>-44</v>
      </c>
      <c r="K838" s="71" t="s">
        <v>302</v>
      </c>
      <c r="L838" s="71">
        <f t="shared" si="117"/>
        <v>9</v>
      </c>
      <c r="M838" s="71" t="str">
        <f>IFERROR(INDEX(KALENDER!$D$3:$D$132,MATCH(H838,KALENDER!$A$3:$A$132,0)),"Di luar periode")</f>
        <v>Hari Kerja</v>
      </c>
      <c r="N838" s="71">
        <f t="shared" si="118"/>
        <v>1</v>
      </c>
      <c r="O838" s="71">
        <f t="shared" si="119"/>
        <v>1</v>
      </c>
      <c r="P838" s="71">
        <f t="shared" si="120"/>
        <v>1</v>
      </c>
      <c r="Q838" s="71">
        <f t="shared" si="121"/>
        <v>0</v>
      </c>
      <c r="R838" s="71">
        <f t="shared" si="122"/>
        <v>0</v>
      </c>
      <c r="S838" s="71">
        <f t="shared" si="123"/>
        <v>0</v>
      </c>
      <c r="T838" s="71">
        <f t="shared" si="124"/>
        <v>0</v>
      </c>
      <c r="U838" s="71">
        <f>IF(AND(N838=1,V838=1),IF(COUNTIFS(AKTIVITAS!$B$2:$B$3052,B838,AKTIVITAS!$E$2:$E$3052,H838)&gt;0,1,0),0)</f>
        <v>1</v>
      </c>
      <c r="V838" s="71">
        <f>IFERROR(IF(AND(H838&gt;=INDEX(PEMAGANG!$J$3:$J$36,MATCH(B838,PEMAGANG!$C$3:$C$36,0)),H838&lt;=INDEX(PEMAGANG!$K$3:$K$36,MATCH(B838,PEMAGANG!$C$3:$C$36,0))),1,0),0)</f>
        <v>1</v>
      </c>
      <c r="W838" s="71">
        <f t="shared" si="125"/>
        <v>1</v>
      </c>
    </row>
    <row r="839" spans="1:23" x14ac:dyDescent="0.2">
      <c r="A839" s="71" t="s">
        <v>208</v>
      </c>
      <c r="B839" s="71" t="s">
        <v>209</v>
      </c>
      <c r="C839" s="71" t="s">
        <v>187</v>
      </c>
      <c r="D839" s="71" t="s">
        <v>210</v>
      </c>
      <c r="E839" s="71" t="s">
        <v>48</v>
      </c>
      <c r="F839" s="71" t="s">
        <v>298</v>
      </c>
      <c r="G839" s="88">
        <v>46275.302881944401</v>
      </c>
      <c r="H839" s="89">
        <v>46275</v>
      </c>
      <c r="I839" s="71" t="s">
        <v>327</v>
      </c>
      <c r="J839" s="71">
        <v>-14</v>
      </c>
      <c r="K839" s="71" t="s">
        <v>302</v>
      </c>
      <c r="L839" s="71">
        <f t="shared" si="117"/>
        <v>9</v>
      </c>
      <c r="M839" s="71" t="str">
        <f>IFERROR(INDEX(KALENDER!$D$3:$D$132,MATCH(H839,KALENDER!$A$3:$A$132,0)),"Di luar periode")</f>
        <v>Hari Kerja</v>
      </c>
      <c r="N839" s="71">
        <f t="shared" si="118"/>
        <v>0</v>
      </c>
      <c r="O839" s="71">
        <f t="shared" si="119"/>
        <v>2</v>
      </c>
      <c r="P839" s="71">
        <f t="shared" si="120"/>
        <v>0</v>
      </c>
      <c r="Q839" s="71">
        <f t="shared" si="121"/>
        <v>0</v>
      </c>
      <c r="R839" s="71">
        <f t="shared" si="122"/>
        <v>0</v>
      </c>
      <c r="S839" s="71">
        <f t="shared" si="123"/>
        <v>0</v>
      </c>
      <c r="T839" s="71">
        <f t="shared" si="124"/>
        <v>0</v>
      </c>
      <c r="U839" s="71">
        <f>IF(AND(N839=1,V839=1),IF(COUNTIFS(AKTIVITAS!$B$2:$B$3052,B839,AKTIVITAS!$E$2:$E$3052,H839)&gt;0,1,0),0)</f>
        <v>0</v>
      </c>
      <c r="V839" s="71">
        <f>IFERROR(IF(AND(H839&gt;=INDEX(PEMAGANG!$J$3:$J$36,MATCH(B839,PEMAGANG!$C$3:$C$36,0)),H839&lt;=INDEX(PEMAGANG!$K$3:$K$36,MATCH(B839,PEMAGANG!$C$3:$C$36,0))),1,0),0)</f>
        <v>1</v>
      </c>
      <c r="W839" s="71">
        <f t="shared" si="125"/>
        <v>0</v>
      </c>
    </row>
    <row r="840" spans="1:23" x14ac:dyDescent="0.2">
      <c r="A840" s="71" t="s">
        <v>208</v>
      </c>
      <c r="B840" s="71" t="s">
        <v>209</v>
      </c>
      <c r="C840" s="71" t="s">
        <v>187</v>
      </c>
      <c r="D840" s="71" t="s">
        <v>210</v>
      </c>
      <c r="E840" s="71" t="s">
        <v>48</v>
      </c>
      <c r="F840" s="71" t="s">
        <v>300</v>
      </c>
      <c r="G840" s="88">
        <v>46275.689606481501</v>
      </c>
      <c r="H840" s="89">
        <v>46275</v>
      </c>
      <c r="I840" s="71" t="s">
        <v>316</v>
      </c>
      <c r="J840" s="71">
        <v>0</v>
      </c>
      <c r="K840" s="71" t="s">
        <v>302</v>
      </c>
      <c r="L840" s="71">
        <f t="shared" si="117"/>
        <v>9</v>
      </c>
      <c r="M840" s="71" t="str">
        <f>IFERROR(INDEX(KALENDER!$D$3:$D$132,MATCH(H840,KALENDER!$A$3:$A$132,0)),"Di luar periode")</f>
        <v>Hari Kerja</v>
      </c>
      <c r="N840" s="71">
        <f t="shared" si="118"/>
        <v>0</v>
      </c>
      <c r="O840" s="71">
        <f t="shared" si="119"/>
        <v>2</v>
      </c>
      <c r="P840" s="71">
        <f t="shared" si="120"/>
        <v>0</v>
      </c>
      <c r="Q840" s="71">
        <f t="shared" si="121"/>
        <v>0</v>
      </c>
      <c r="R840" s="71">
        <f t="shared" si="122"/>
        <v>0</v>
      </c>
      <c r="S840" s="71">
        <f t="shared" si="123"/>
        <v>0</v>
      </c>
      <c r="T840" s="71">
        <f t="shared" si="124"/>
        <v>0</v>
      </c>
      <c r="U840" s="71">
        <f>IF(AND(N840=1,V840=1),IF(COUNTIFS(AKTIVITAS!$B$2:$B$3052,B840,AKTIVITAS!$E$2:$E$3052,H840)&gt;0,1,0),0)</f>
        <v>0</v>
      </c>
      <c r="V840" s="71">
        <f>IFERROR(IF(AND(H840&gt;=INDEX(PEMAGANG!$J$3:$J$36,MATCH(B840,PEMAGANG!$C$3:$C$36,0)),H840&lt;=INDEX(PEMAGANG!$K$3:$K$36,MATCH(B840,PEMAGANG!$C$3:$C$36,0))),1,0),0)</f>
        <v>1</v>
      </c>
      <c r="W840" s="71">
        <f t="shared" si="125"/>
        <v>0</v>
      </c>
    </row>
    <row r="841" spans="1:23" x14ac:dyDescent="0.2">
      <c r="A841" s="71" t="s">
        <v>208</v>
      </c>
      <c r="B841" s="71" t="s">
        <v>209</v>
      </c>
      <c r="C841" s="71" t="s">
        <v>187</v>
      </c>
      <c r="D841" s="71" t="s">
        <v>210</v>
      </c>
      <c r="E841" s="71" t="s">
        <v>48</v>
      </c>
      <c r="F841" s="71" t="s">
        <v>298</v>
      </c>
      <c r="G841" s="88">
        <v>46279.2999768519</v>
      </c>
      <c r="H841" s="89">
        <v>46279</v>
      </c>
      <c r="I841" s="71" t="s">
        <v>402</v>
      </c>
      <c r="J841" s="71">
        <v>-19</v>
      </c>
      <c r="K841" s="71" t="s">
        <v>302</v>
      </c>
      <c r="L841" s="71">
        <f t="shared" si="117"/>
        <v>9</v>
      </c>
      <c r="M841" s="71" t="str">
        <f>IFERROR(INDEX(KALENDER!$D$3:$D$132,MATCH(H841,KALENDER!$A$3:$A$132,0)),"Di luar periode")</f>
        <v>Hari Kerja</v>
      </c>
      <c r="N841" s="71">
        <f t="shared" si="118"/>
        <v>1</v>
      </c>
      <c r="O841" s="71">
        <f t="shared" si="119"/>
        <v>1</v>
      </c>
      <c r="P841" s="71">
        <f t="shared" si="120"/>
        <v>1</v>
      </c>
      <c r="Q841" s="71">
        <f t="shared" si="121"/>
        <v>0</v>
      </c>
      <c r="R841" s="71">
        <f t="shared" si="122"/>
        <v>0</v>
      </c>
      <c r="S841" s="71">
        <f t="shared" si="123"/>
        <v>0</v>
      </c>
      <c r="T841" s="71">
        <f t="shared" si="124"/>
        <v>0</v>
      </c>
      <c r="U841" s="71">
        <f>IF(AND(N841=1,V841=1),IF(COUNTIFS(AKTIVITAS!$B$2:$B$3052,B841,AKTIVITAS!$E$2:$E$3052,H841)&gt;0,1,0),0)</f>
        <v>1</v>
      </c>
      <c r="V841" s="71">
        <f>IFERROR(IF(AND(H841&gt;=INDEX(PEMAGANG!$J$3:$J$36,MATCH(B841,PEMAGANG!$C$3:$C$36,0)),H841&lt;=INDEX(PEMAGANG!$K$3:$K$36,MATCH(B841,PEMAGANG!$C$3:$C$36,0))),1,0),0)</f>
        <v>1</v>
      </c>
      <c r="W841" s="71">
        <f t="shared" si="125"/>
        <v>1</v>
      </c>
    </row>
    <row r="842" spans="1:23" x14ac:dyDescent="0.2">
      <c r="A842" s="71" t="s">
        <v>208</v>
      </c>
      <c r="B842" s="71" t="s">
        <v>209</v>
      </c>
      <c r="C842" s="71" t="s">
        <v>187</v>
      </c>
      <c r="D842" s="71" t="s">
        <v>210</v>
      </c>
      <c r="E842" s="71" t="s">
        <v>48</v>
      </c>
      <c r="F842" s="71" t="s">
        <v>298</v>
      </c>
      <c r="G842" s="88">
        <v>46279.450659722199</v>
      </c>
      <c r="H842" s="89">
        <v>46279</v>
      </c>
      <c r="I842" s="71" t="s">
        <v>480</v>
      </c>
      <c r="J842" s="71">
        <v>198</v>
      </c>
      <c r="K842" s="71" t="s">
        <v>293</v>
      </c>
      <c r="L842" s="71">
        <f t="shared" si="117"/>
        <v>9</v>
      </c>
      <c r="M842" s="71" t="str">
        <f>IFERROR(INDEX(KALENDER!$D$3:$D$132,MATCH(H842,KALENDER!$A$3:$A$132,0)),"Di luar periode")</f>
        <v>Hari Kerja</v>
      </c>
      <c r="N842" s="71">
        <f t="shared" si="118"/>
        <v>0</v>
      </c>
      <c r="O842" s="71">
        <f t="shared" si="119"/>
        <v>2</v>
      </c>
      <c r="P842" s="71">
        <f t="shared" si="120"/>
        <v>0</v>
      </c>
      <c r="Q842" s="71">
        <f t="shared" si="121"/>
        <v>0</v>
      </c>
      <c r="R842" s="71">
        <f t="shared" si="122"/>
        <v>0</v>
      </c>
      <c r="S842" s="71">
        <f t="shared" si="123"/>
        <v>0</v>
      </c>
      <c r="T842" s="71">
        <f t="shared" si="124"/>
        <v>0</v>
      </c>
      <c r="U842" s="71">
        <f>IF(AND(N842=1,V842=1),IF(COUNTIFS(AKTIVITAS!$B$2:$B$3052,B842,AKTIVITAS!$E$2:$E$3052,H842)&gt;0,1,0),0)</f>
        <v>0</v>
      </c>
      <c r="V842" s="71">
        <f>IFERROR(IF(AND(H842&gt;=INDEX(PEMAGANG!$J$3:$J$36,MATCH(B842,PEMAGANG!$C$3:$C$36,0)),H842&lt;=INDEX(PEMAGANG!$K$3:$K$36,MATCH(B842,PEMAGANG!$C$3:$C$36,0))),1,0),0)</f>
        <v>1</v>
      </c>
      <c r="W842" s="71">
        <f t="shared" si="125"/>
        <v>0</v>
      </c>
    </row>
    <row r="843" spans="1:23" x14ac:dyDescent="0.2">
      <c r="A843" s="71" t="s">
        <v>208</v>
      </c>
      <c r="B843" s="71" t="s">
        <v>209</v>
      </c>
      <c r="C843" s="71" t="s">
        <v>187</v>
      </c>
      <c r="D843" s="71" t="s">
        <v>210</v>
      </c>
      <c r="E843" s="71" t="s">
        <v>48</v>
      </c>
      <c r="F843" s="71" t="s">
        <v>300</v>
      </c>
      <c r="G843" s="88">
        <v>46279.690208333297</v>
      </c>
      <c r="H843" s="89">
        <v>46279</v>
      </c>
      <c r="I843" s="71" t="s">
        <v>316</v>
      </c>
      <c r="J843" s="71">
        <v>0</v>
      </c>
      <c r="K843" s="71" t="s">
        <v>302</v>
      </c>
      <c r="L843" s="71">
        <f t="shared" si="117"/>
        <v>9</v>
      </c>
      <c r="M843" s="71" t="str">
        <f>IFERROR(INDEX(KALENDER!$D$3:$D$132,MATCH(H843,KALENDER!$A$3:$A$132,0)),"Di luar periode")</f>
        <v>Hari Kerja</v>
      </c>
      <c r="N843" s="71">
        <f t="shared" si="118"/>
        <v>0</v>
      </c>
      <c r="O843" s="71">
        <f t="shared" si="119"/>
        <v>2</v>
      </c>
      <c r="P843" s="71">
        <f t="shared" si="120"/>
        <v>0</v>
      </c>
      <c r="Q843" s="71">
        <f t="shared" si="121"/>
        <v>0</v>
      </c>
      <c r="R843" s="71">
        <f t="shared" si="122"/>
        <v>0</v>
      </c>
      <c r="S843" s="71">
        <f t="shared" si="123"/>
        <v>0</v>
      </c>
      <c r="T843" s="71">
        <f t="shared" si="124"/>
        <v>0</v>
      </c>
      <c r="U843" s="71">
        <f>IF(AND(N843=1,V843=1),IF(COUNTIFS(AKTIVITAS!$B$2:$B$3052,B843,AKTIVITAS!$E$2:$E$3052,H843)&gt;0,1,0),0)</f>
        <v>0</v>
      </c>
      <c r="V843" s="71">
        <f>IFERROR(IF(AND(H843&gt;=INDEX(PEMAGANG!$J$3:$J$36,MATCH(B843,PEMAGANG!$C$3:$C$36,0)),H843&lt;=INDEX(PEMAGANG!$K$3:$K$36,MATCH(B843,PEMAGANG!$C$3:$C$36,0))),1,0),0)</f>
        <v>1</v>
      </c>
      <c r="W843" s="71">
        <f t="shared" si="125"/>
        <v>0</v>
      </c>
    </row>
    <row r="844" spans="1:23" x14ac:dyDescent="0.2">
      <c r="A844" s="71" t="s">
        <v>208</v>
      </c>
      <c r="B844" s="71" t="s">
        <v>209</v>
      </c>
      <c r="C844" s="71" t="s">
        <v>187</v>
      </c>
      <c r="D844" s="71" t="s">
        <v>210</v>
      </c>
      <c r="E844" s="71" t="s">
        <v>48</v>
      </c>
      <c r="F844" s="71" t="s">
        <v>298</v>
      </c>
      <c r="G844" s="88">
        <v>46280.301122685203</v>
      </c>
      <c r="H844" s="89">
        <v>46280</v>
      </c>
      <c r="I844" s="71" t="s">
        <v>475</v>
      </c>
      <c r="J844" s="71">
        <v>-17</v>
      </c>
      <c r="K844" s="71" t="s">
        <v>302</v>
      </c>
      <c r="L844" s="71">
        <f t="shared" si="117"/>
        <v>9</v>
      </c>
      <c r="M844" s="71" t="str">
        <f>IFERROR(INDEX(KALENDER!$D$3:$D$132,MATCH(H844,KALENDER!$A$3:$A$132,0)),"Di luar periode")</f>
        <v>Hari Kerja</v>
      </c>
      <c r="N844" s="71">
        <f t="shared" si="118"/>
        <v>1</v>
      </c>
      <c r="O844" s="71">
        <f t="shared" si="119"/>
        <v>1</v>
      </c>
      <c r="P844" s="71">
        <f t="shared" si="120"/>
        <v>1</v>
      </c>
      <c r="Q844" s="71">
        <f t="shared" si="121"/>
        <v>0</v>
      </c>
      <c r="R844" s="71">
        <f t="shared" si="122"/>
        <v>0</v>
      </c>
      <c r="S844" s="71">
        <f t="shared" si="123"/>
        <v>0</v>
      </c>
      <c r="T844" s="71">
        <f t="shared" si="124"/>
        <v>0</v>
      </c>
      <c r="U844" s="71">
        <f>IF(AND(N844=1,V844=1),IF(COUNTIFS(AKTIVITAS!$B$2:$B$3052,B844,AKTIVITAS!$E$2:$E$3052,H844)&gt;0,1,0),0)</f>
        <v>1</v>
      </c>
      <c r="V844" s="71">
        <f>IFERROR(IF(AND(H844&gt;=INDEX(PEMAGANG!$J$3:$J$36,MATCH(B844,PEMAGANG!$C$3:$C$36,0)),H844&lt;=INDEX(PEMAGANG!$K$3:$K$36,MATCH(B844,PEMAGANG!$C$3:$C$36,0))),1,0),0)</f>
        <v>1</v>
      </c>
      <c r="W844" s="71">
        <f t="shared" si="125"/>
        <v>1</v>
      </c>
    </row>
    <row r="845" spans="1:23" x14ac:dyDescent="0.2">
      <c r="A845" s="71" t="s">
        <v>208</v>
      </c>
      <c r="B845" s="71" t="s">
        <v>209</v>
      </c>
      <c r="C845" s="71" t="s">
        <v>187</v>
      </c>
      <c r="D845" s="71" t="s">
        <v>210</v>
      </c>
      <c r="E845" s="71" t="s">
        <v>48</v>
      </c>
      <c r="F845" s="71" t="s">
        <v>300</v>
      </c>
      <c r="G845" s="88">
        <v>46280.690104166701</v>
      </c>
      <c r="H845" s="89">
        <v>46280</v>
      </c>
      <c r="I845" s="71" t="s">
        <v>316</v>
      </c>
      <c r="J845" s="71">
        <v>0</v>
      </c>
      <c r="K845" s="71" t="s">
        <v>302</v>
      </c>
      <c r="L845" s="71">
        <f t="shared" si="117"/>
        <v>9</v>
      </c>
      <c r="M845" s="71" t="str">
        <f>IFERROR(INDEX(KALENDER!$D$3:$D$132,MATCH(H845,KALENDER!$A$3:$A$132,0)),"Di luar periode")</f>
        <v>Hari Kerja</v>
      </c>
      <c r="N845" s="71">
        <f t="shared" si="118"/>
        <v>0</v>
      </c>
      <c r="O845" s="71">
        <f t="shared" si="119"/>
        <v>1</v>
      </c>
      <c r="P845" s="71">
        <f t="shared" si="120"/>
        <v>0</v>
      </c>
      <c r="Q845" s="71">
        <f t="shared" si="121"/>
        <v>0</v>
      </c>
      <c r="R845" s="71">
        <f t="shared" si="122"/>
        <v>0</v>
      </c>
      <c r="S845" s="71">
        <f t="shared" si="123"/>
        <v>0</v>
      </c>
      <c r="T845" s="71">
        <f t="shared" si="124"/>
        <v>0</v>
      </c>
      <c r="U845" s="71">
        <f>IF(AND(N845=1,V845=1),IF(COUNTIFS(AKTIVITAS!$B$2:$B$3052,B845,AKTIVITAS!$E$2:$E$3052,H845)&gt;0,1,0),0)</f>
        <v>0</v>
      </c>
      <c r="V845" s="71">
        <f>IFERROR(IF(AND(H845&gt;=INDEX(PEMAGANG!$J$3:$J$36,MATCH(B845,PEMAGANG!$C$3:$C$36,0)),H845&lt;=INDEX(PEMAGANG!$K$3:$K$36,MATCH(B845,PEMAGANG!$C$3:$C$36,0))),1,0),0)</f>
        <v>1</v>
      </c>
      <c r="W845" s="71">
        <f t="shared" si="125"/>
        <v>0</v>
      </c>
    </row>
    <row r="846" spans="1:23" x14ac:dyDescent="0.2">
      <c r="A846" s="71" t="s">
        <v>208</v>
      </c>
      <c r="B846" s="71" t="s">
        <v>209</v>
      </c>
      <c r="C846" s="71" t="s">
        <v>187</v>
      </c>
      <c r="D846" s="71" t="s">
        <v>210</v>
      </c>
      <c r="E846" s="71" t="s">
        <v>48</v>
      </c>
      <c r="F846" s="71" t="s">
        <v>298</v>
      </c>
      <c r="G846" s="88">
        <v>46281.301377314798</v>
      </c>
      <c r="H846" s="89">
        <v>46281</v>
      </c>
      <c r="I846" s="71" t="s">
        <v>475</v>
      </c>
      <c r="J846" s="71">
        <v>-17</v>
      </c>
      <c r="K846" s="71" t="s">
        <v>302</v>
      </c>
      <c r="L846" s="71">
        <f t="shared" si="117"/>
        <v>9</v>
      </c>
      <c r="M846" s="71" t="str">
        <f>IFERROR(INDEX(KALENDER!$D$3:$D$132,MATCH(H846,KALENDER!$A$3:$A$132,0)),"Di luar periode")</f>
        <v>Hari Kerja</v>
      </c>
      <c r="N846" s="71">
        <f t="shared" si="118"/>
        <v>1</v>
      </c>
      <c r="O846" s="71">
        <f t="shared" si="119"/>
        <v>1</v>
      </c>
      <c r="P846" s="71">
        <f t="shared" si="120"/>
        <v>1</v>
      </c>
      <c r="Q846" s="71">
        <f t="shared" si="121"/>
        <v>0</v>
      </c>
      <c r="R846" s="71">
        <f t="shared" si="122"/>
        <v>0</v>
      </c>
      <c r="S846" s="71">
        <f t="shared" si="123"/>
        <v>0</v>
      </c>
      <c r="T846" s="71">
        <f t="shared" si="124"/>
        <v>0</v>
      </c>
      <c r="U846" s="71">
        <f>IF(AND(N846=1,V846=1),IF(COUNTIFS(AKTIVITAS!$B$2:$B$3052,B846,AKTIVITAS!$E$2:$E$3052,H846)&gt;0,1,0),0)</f>
        <v>1</v>
      </c>
      <c r="V846" s="71">
        <f>IFERROR(IF(AND(H846&gt;=INDEX(PEMAGANG!$J$3:$J$36,MATCH(B846,PEMAGANG!$C$3:$C$36,0)),H846&lt;=INDEX(PEMAGANG!$K$3:$K$36,MATCH(B846,PEMAGANG!$C$3:$C$36,0))),1,0),0)</f>
        <v>1</v>
      </c>
      <c r="W846" s="71">
        <f t="shared" si="125"/>
        <v>1</v>
      </c>
    </row>
    <row r="847" spans="1:23" x14ac:dyDescent="0.2">
      <c r="A847" s="71" t="s">
        <v>208</v>
      </c>
      <c r="B847" s="71" t="s">
        <v>209</v>
      </c>
      <c r="C847" s="71" t="s">
        <v>187</v>
      </c>
      <c r="D847" s="71" t="s">
        <v>210</v>
      </c>
      <c r="E847" s="71" t="s">
        <v>48</v>
      </c>
      <c r="F847" s="71" t="s">
        <v>300</v>
      </c>
      <c r="G847" s="88">
        <v>46281.690104166701</v>
      </c>
      <c r="H847" s="89">
        <v>46281</v>
      </c>
      <c r="I847" s="71" t="s">
        <v>316</v>
      </c>
      <c r="J847" s="71">
        <v>0</v>
      </c>
      <c r="K847" s="71" t="s">
        <v>302</v>
      </c>
      <c r="L847" s="71">
        <f t="shared" si="117"/>
        <v>9</v>
      </c>
      <c r="M847" s="71" t="str">
        <f>IFERROR(INDEX(KALENDER!$D$3:$D$132,MATCH(H847,KALENDER!$A$3:$A$132,0)),"Di luar periode")</f>
        <v>Hari Kerja</v>
      </c>
      <c r="N847" s="71">
        <f t="shared" si="118"/>
        <v>0</v>
      </c>
      <c r="O847" s="71">
        <f t="shared" si="119"/>
        <v>1</v>
      </c>
      <c r="P847" s="71">
        <f t="shared" si="120"/>
        <v>0</v>
      </c>
      <c r="Q847" s="71">
        <f t="shared" si="121"/>
        <v>0</v>
      </c>
      <c r="R847" s="71">
        <f t="shared" si="122"/>
        <v>0</v>
      </c>
      <c r="S847" s="71">
        <f t="shared" si="123"/>
        <v>0</v>
      </c>
      <c r="T847" s="71">
        <f t="shared" si="124"/>
        <v>0</v>
      </c>
      <c r="U847" s="71">
        <f>IF(AND(N847=1,V847=1),IF(COUNTIFS(AKTIVITAS!$B$2:$B$3052,B847,AKTIVITAS!$E$2:$E$3052,H847)&gt;0,1,0),0)</f>
        <v>0</v>
      </c>
      <c r="V847" s="71">
        <f>IFERROR(IF(AND(H847&gt;=INDEX(PEMAGANG!$J$3:$J$36,MATCH(B847,PEMAGANG!$C$3:$C$36,0)),H847&lt;=INDEX(PEMAGANG!$K$3:$K$36,MATCH(B847,PEMAGANG!$C$3:$C$36,0))),1,0),0)</f>
        <v>1</v>
      </c>
      <c r="W847" s="71">
        <f t="shared" si="125"/>
        <v>0</v>
      </c>
    </row>
    <row r="848" spans="1:23" x14ac:dyDescent="0.2">
      <c r="A848" s="71" t="s">
        <v>208</v>
      </c>
      <c r="B848" s="71" t="s">
        <v>209</v>
      </c>
      <c r="C848" s="71" t="s">
        <v>187</v>
      </c>
      <c r="D848" s="71" t="s">
        <v>210</v>
      </c>
      <c r="E848" s="71" t="s">
        <v>48</v>
      </c>
      <c r="F848" s="71" t="s">
        <v>298</v>
      </c>
      <c r="G848" s="88">
        <v>46282.309328703697</v>
      </c>
      <c r="H848" s="89">
        <v>46282</v>
      </c>
      <c r="I848" s="71" t="s">
        <v>307</v>
      </c>
      <c r="J848" s="71">
        <v>-4.9999999999999796</v>
      </c>
      <c r="K848" s="71" t="s">
        <v>302</v>
      </c>
      <c r="L848" s="71">
        <f t="shared" si="117"/>
        <v>9</v>
      </c>
      <c r="M848" s="71" t="str">
        <f>IFERROR(INDEX(KALENDER!$D$3:$D$132,MATCH(H848,KALENDER!$A$3:$A$132,0)),"Di luar periode")</f>
        <v>Hari Kerja</v>
      </c>
      <c r="N848" s="71">
        <f t="shared" si="118"/>
        <v>1</v>
      </c>
      <c r="O848" s="71">
        <f t="shared" si="119"/>
        <v>1</v>
      </c>
      <c r="P848" s="71">
        <f t="shared" si="120"/>
        <v>1</v>
      </c>
      <c r="Q848" s="71">
        <f t="shared" si="121"/>
        <v>0</v>
      </c>
      <c r="R848" s="71">
        <f t="shared" si="122"/>
        <v>0</v>
      </c>
      <c r="S848" s="71">
        <f t="shared" si="123"/>
        <v>0</v>
      </c>
      <c r="T848" s="71">
        <f t="shared" si="124"/>
        <v>0</v>
      </c>
      <c r="U848" s="71">
        <f>IF(AND(N848=1,V848=1),IF(COUNTIFS(AKTIVITAS!$B$2:$B$3052,B848,AKTIVITAS!$E$2:$E$3052,H848)&gt;0,1,0),0)</f>
        <v>1</v>
      </c>
      <c r="V848" s="71">
        <f>IFERROR(IF(AND(H848&gt;=INDEX(PEMAGANG!$J$3:$J$36,MATCH(B848,PEMAGANG!$C$3:$C$36,0)),H848&lt;=INDEX(PEMAGANG!$K$3:$K$36,MATCH(B848,PEMAGANG!$C$3:$C$36,0))),1,0),0)</f>
        <v>1</v>
      </c>
      <c r="W848" s="71">
        <f t="shared" si="125"/>
        <v>1</v>
      </c>
    </row>
    <row r="849" spans="1:23" x14ac:dyDescent="0.2">
      <c r="A849" s="71" t="s">
        <v>208</v>
      </c>
      <c r="B849" s="71" t="s">
        <v>209</v>
      </c>
      <c r="C849" s="71" t="s">
        <v>187</v>
      </c>
      <c r="D849" s="71" t="s">
        <v>210</v>
      </c>
      <c r="E849" s="71" t="s">
        <v>48</v>
      </c>
      <c r="F849" s="71" t="s">
        <v>300</v>
      </c>
      <c r="G849" s="88">
        <v>46282.689201388901</v>
      </c>
      <c r="H849" s="89">
        <v>46282</v>
      </c>
      <c r="I849" s="71" t="s">
        <v>306</v>
      </c>
      <c r="J849" s="71">
        <v>0</v>
      </c>
      <c r="K849" s="71" t="s">
        <v>302</v>
      </c>
      <c r="L849" s="71">
        <f t="shared" si="117"/>
        <v>9</v>
      </c>
      <c r="M849" s="71" t="str">
        <f>IFERROR(INDEX(KALENDER!$D$3:$D$132,MATCH(H849,KALENDER!$A$3:$A$132,0)),"Di luar periode")</f>
        <v>Hari Kerja</v>
      </c>
      <c r="N849" s="71">
        <f t="shared" si="118"/>
        <v>0</v>
      </c>
      <c r="O849" s="71">
        <f t="shared" si="119"/>
        <v>1</v>
      </c>
      <c r="P849" s="71">
        <f t="shared" si="120"/>
        <v>0</v>
      </c>
      <c r="Q849" s="71">
        <f t="shared" si="121"/>
        <v>0</v>
      </c>
      <c r="R849" s="71">
        <f t="shared" si="122"/>
        <v>0</v>
      </c>
      <c r="S849" s="71">
        <f t="shared" si="123"/>
        <v>0</v>
      </c>
      <c r="T849" s="71">
        <f t="shared" si="124"/>
        <v>0</v>
      </c>
      <c r="U849" s="71">
        <f>IF(AND(N849=1,V849=1),IF(COUNTIFS(AKTIVITAS!$B$2:$B$3052,B849,AKTIVITAS!$E$2:$E$3052,H849)&gt;0,1,0),0)</f>
        <v>0</v>
      </c>
      <c r="V849" s="71">
        <f>IFERROR(IF(AND(H849&gt;=INDEX(PEMAGANG!$J$3:$J$36,MATCH(B849,PEMAGANG!$C$3:$C$36,0)),H849&lt;=INDEX(PEMAGANG!$K$3:$K$36,MATCH(B849,PEMAGANG!$C$3:$C$36,0))),1,0),0)</f>
        <v>1</v>
      </c>
      <c r="W849" s="71">
        <f t="shared" si="125"/>
        <v>0</v>
      </c>
    </row>
    <row r="850" spans="1:23" x14ac:dyDescent="0.2">
      <c r="A850" s="71" t="s">
        <v>208</v>
      </c>
      <c r="B850" s="71" t="s">
        <v>209</v>
      </c>
      <c r="C850" s="71" t="s">
        <v>187</v>
      </c>
      <c r="D850" s="71" t="s">
        <v>210</v>
      </c>
      <c r="E850" s="71" t="s">
        <v>48</v>
      </c>
      <c r="F850" s="71" t="s">
        <v>298</v>
      </c>
      <c r="G850" s="88">
        <v>46283.304340277798</v>
      </c>
      <c r="H850" s="89">
        <v>46283</v>
      </c>
      <c r="I850" s="71" t="s">
        <v>326</v>
      </c>
      <c r="J850" s="71">
        <v>-12</v>
      </c>
      <c r="K850" s="71" t="s">
        <v>302</v>
      </c>
      <c r="L850" s="71">
        <f t="shared" si="117"/>
        <v>9</v>
      </c>
      <c r="M850" s="71" t="str">
        <f>IFERROR(INDEX(KALENDER!$D$3:$D$132,MATCH(H850,KALENDER!$A$3:$A$132,0)),"Di luar periode")</f>
        <v>Hari Kerja</v>
      </c>
      <c r="N850" s="71">
        <f t="shared" si="118"/>
        <v>1</v>
      </c>
      <c r="O850" s="71">
        <f t="shared" si="119"/>
        <v>1</v>
      </c>
      <c r="P850" s="71">
        <f t="shared" si="120"/>
        <v>1</v>
      </c>
      <c r="Q850" s="71">
        <f t="shared" si="121"/>
        <v>0</v>
      </c>
      <c r="R850" s="71">
        <f t="shared" si="122"/>
        <v>0</v>
      </c>
      <c r="S850" s="71">
        <f t="shared" si="123"/>
        <v>0</v>
      </c>
      <c r="T850" s="71">
        <f t="shared" si="124"/>
        <v>1</v>
      </c>
      <c r="U850" s="71">
        <f>IF(AND(N850=1,V850=1),IF(COUNTIFS(AKTIVITAS!$B$2:$B$3052,B850,AKTIVITAS!$E$2:$E$3052,H850)&gt;0,1,0),0)</f>
        <v>1</v>
      </c>
      <c r="V850" s="71">
        <f>IFERROR(IF(AND(H850&gt;=INDEX(PEMAGANG!$J$3:$J$36,MATCH(B850,PEMAGANG!$C$3:$C$36,0)),H850&lt;=INDEX(PEMAGANG!$K$3:$K$36,MATCH(B850,PEMAGANG!$C$3:$C$36,0))),1,0),0)</f>
        <v>1</v>
      </c>
      <c r="W850" s="71">
        <f t="shared" si="125"/>
        <v>1</v>
      </c>
    </row>
    <row r="851" spans="1:23" x14ac:dyDescent="0.2">
      <c r="A851" s="71" t="s">
        <v>208</v>
      </c>
      <c r="B851" s="71" t="s">
        <v>209</v>
      </c>
      <c r="C851" s="71" t="s">
        <v>187</v>
      </c>
      <c r="D851" s="71" t="s">
        <v>210</v>
      </c>
      <c r="E851" s="71" t="s">
        <v>48</v>
      </c>
      <c r="F851" s="71" t="s">
        <v>298</v>
      </c>
      <c r="G851" s="88">
        <v>46286.306111111102</v>
      </c>
      <c r="H851" s="89">
        <v>46286</v>
      </c>
      <c r="I851" s="71" t="s">
        <v>329</v>
      </c>
      <c r="J851" s="71">
        <v>-10</v>
      </c>
      <c r="K851" s="71" t="s">
        <v>302</v>
      </c>
      <c r="L851" s="71">
        <f t="shared" si="117"/>
        <v>9</v>
      </c>
      <c r="M851" s="71" t="str">
        <f>IFERROR(INDEX(KALENDER!$D$3:$D$132,MATCH(H851,KALENDER!$A$3:$A$132,0)),"Di luar periode")</f>
        <v>Hari Kerja</v>
      </c>
      <c r="N851" s="71">
        <f t="shared" si="118"/>
        <v>1</v>
      </c>
      <c r="O851" s="71">
        <f t="shared" si="119"/>
        <v>1</v>
      </c>
      <c r="P851" s="71">
        <f t="shared" si="120"/>
        <v>1</v>
      </c>
      <c r="Q851" s="71">
        <f t="shared" si="121"/>
        <v>0</v>
      </c>
      <c r="R851" s="71">
        <f t="shared" si="122"/>
        <v>0</v>
      </c>
      <c r="S851" s="71">
        <f t="shared" si="123"/>
        <v>0</v>
      </c>
      <c r="T851" s="71">
        <f t="shared" si="124"/>
        <v>0</v>
      </c>
      <c r="U851" s="71">
        <f>IF(AND(N851=1,V851=1),IF(COUNTIFS(AKTIVITAS!$B$2:$B$3052,B851,AKTIVITAS!$E$2:$E$3052,H851)&gt;0,1,0),0)</f>
        <v>1</v>
      </c>
      <c r="V851" s="71">
        <f>IFERROR(IF(AND(H851&gt;=INDEX(PEMAGANG!$J$3:$J$36,MATCH(B851,PEMAGANG!$C$3:$C$36,0)),H851&lt;=INDEX(PEMAGANG!$K$3:$K$36,MATCH(B851,PEMAGANG!$C$3:$C$36,0))),1,0),0)</f>
        <v>1</v>
      </c>
      <c r="W851" s="71">
        <f t="shared" si="125"/>
        <v>1</v>
      </c>
    </row>
    <row r="852" spans="1:23" x14ac:dyDescent="0.2">
      <c r="A852" s="71" t="s">
        <v>208</v>
      </c>
      <c r="B852" s="71" t="s">
        <v>209</v>
      </c>
      <c r="C852" s="71" t="s">
        <v>187</v>
      </c>
      <c r="D852" s="71" t="s">
        <v>210</v>
      </c>
      <c r="E852" s="71" t="s">
        <v>48</v>
      </c>
      <c r="F852" s="71" t="s">
        <v>300</v>
      </c>
      <c r="G852" s="88">
        <v>46286.688993055599</v>
      </c>
      <c r="H852" s="89">
        <v>46286</v>
      </c>
      <c r="I852" s="71" t="s">
        <v>306</v>
      </c>
      <c r="J852" s="71">
        <v>0</v>
      </c>
      <c r="K852" s="71" t="s">
        <v>302</v>
      </c>
      <c r="L852" s="71">
        <f t="shared" si="117"/>
        <v>9</v>
      </c>
      <c r="M852" s="71" t="str">
        <f>IFERROR(INDEX(KALENDER!$D$3:$D$132,MATCH(H852,KALENDER!$A$3:$A$132,0)),"Di luar periode")</f>
        <v>Hari Kerja</v>
      </c>
      <c r="N852" s="71">
        <f t="shared" si="118"/>
        <v>0</v>
      </c>
      <c r="O852" s="71">
        <f t="shared" si="119"/>
        <v>1</v>
      </c>
      <c r="P852" s="71">
        <f t="shared" si="120"/>
        <v>0</v>
      </c>
      <c r="Q852" s="71">
        <f t="shared" si="121"/>
        <v>0</v>
      </c>
      <c r="R852" s="71">
        <f t="shared" si="122"/>
        <v>0</v>
      </c>
      <c r="S852" s="71">
        <f t="shared" si="123"/>
        <v>0</v>
      </c>
      <c r="T852" s="71">
        <f t="shared" si="124"/>
        <v>0</v>
      </c>
      <c r="U852" s="71">
        <f>IF(AND(N852=1,V852=1),IF(COUNTIFS(AKTIVITAS!$B$2:$B$3052,B852,AKTIVITAS!$E$2:$E$3052,H852)&gt;0,1,0),0)</f>
        <v>0</v>
      </c>
      <c r="V852" s="71">
        <f>IFERROR(IF(AND(H852&gt;=INDEX(PEMAGANG!$J$3:$J$36,MATCH(B852,PEMAGANG!$C$3:$C$36,0)),H852&lt;=INDEX(PEMAGANG!$K$3:$K$36,MATCH(B852,PEMAGANG!$C$3:$C$36,0))),1,0),0)</f>
        <v>1</v>
      </c>
      <c r="W852" s="71">
        <f t="shared" si="125"/>
        <v>0</v>
      </c>
    </row>
    <row r="853" spans="1:23" x14ac:dyDescent="0.2">
      <c r="A853" s="71" t="s">
        <v>208</v>
      </c>
      <c r="B853" s="71" t="s">
        <v>209</v>
      </c>
      <c r="C853" s="71" t="s">
        <v>187</v>
      </c>
      <c r="D853" s="71" t="s">
        <v>210</v>
      </c>
      <c r="E853" s="71" t="s">
        <v>48</v>
      </c>
      <c r="F853" s="71" t="s">
        <v>298</v>
      </c>
      <c r="G853" s="88">
        <v>46287.303414351903</v>
      </c>
      <c r="H853" s="89">
        <v>46287</v>
      </c>
      <c r="I853" s="71" t="s">
        <v>327</v>
      </c>
      <c r="J853" s="71">
        <v>-14</v>
      </c>
      <c r="K853" s="71" t="s">
        <v>302</v>
      </c>
      <c r="L853" s="71">
        <f t="shared" si="117"/>
        <v>9</v>
      </c>
      <c r="M853" s="71" t="str">
        <f>IFERROR(INDEX(KALENDER!$D$3:$D$132,MATCH(H853,KALENDER!$A$3:$A$132,0)),"Di luar periode")</f>
        <v>Hari Kerja</v>
      </c>
      <c r="N853" s="71">
        <f t="shared" si="118"/>
        <v>1</v>
      </c>
      <c r="O853" s="71">
        <f t="shared" si="119"/>
        <v>1</v>
      </c>
      <c r="P853" s="71">
        <f t="shared" si="120"/>
        <v>1</v>
      </c>
      <c r="Q853" s="71">
        <f t="shared" si="121"/>
        <v>0</v>
      </c>
      <c r="R853" s="71">
        <f t="shared" si="122"/>
        <v>0</v>
      </c>
      <c r="S853" s="71">
        <f t="shared" si="123"/>
        <v>0</v>
      </c>
      <c r="T853" s="71">
        <f t="shared" si="124"/>
        <v>0</v>
      </c>
      <c r="U853" s="71">
        <f>IF(AND(N853=1,V853=1),IF(COUNTIFS(AKTIVITAS!$B$2:$B$3052,B853,AKTIVITAS!$E$2:$E$3052,H853)&gt;0,1,0),0)</f>
        <v>1</v>
      </c>
      <c r="V853" s="71">
        <f>IFERROR(IF(AND(H853&gt;=INDEX(PEMAGANG!$J$3:$J$36,MATCH(B853,PEMAGANG!$C$3:$C$36,0)),H853&lt;=INDEX(PEMAGANG!$K$3:$K$36,MATCH(B853,PEMAGANG!$C$3:$C$36,0))),1,0),0)</f>
        <v>1</v>
      </c>
      <c r="W853" s="71">
        <f t="shared" si="125"/>
        <v>1</v>
      </c>
    </row>
    <row r="854" spans="1:23" x14ac:dyDescent="0.2">
      <c r="A854" s="71" t="s">
        <v>208</v>
      </c>
      <c r="B854" s="71" t="s">
        <v>209</v>
      </c>
      <c r="C854" s="71" t="s">
        <v>187</v>
      </c>
      <c r="D854" s="71" t="s">
        <v>210</v>
      </c>
      <c r="E854" s="71" t="s">
        <v>48</v>
      </c>
      <c r="F854" s="71" t="s">
        <v>300</v>
      </c>
      <c r="G854" s="88">
        <v>46287.689189814802</v>
      </c>
      <c r="H854" s="89">
        <v>46287</v>
      </c>
      <c r="I854" s="71" t="s">
        <v>306</v>
      </c>
      <c r="J854" s="71">
        <v>0</v>
      </c>
      <c r="K854" s="71" t="s">
        <v>302</v>
      </c>
      <c r="L854" s="71">
        <f t="shared" si="117"/>
        <v>9</v>
      </c>
      <c r="M854" s="71" t="str">
        <f>IFERROR(INDEX(KALENDER!$D$3:$D$132,MATCH(H854,KALENDER!$A$3:$A$132,0)),"Di luar periode")</f>
        <v>Hari Kerja</v>
      </c>
      <c r="N854" s="71">
        <f t="shared" si="118"/>
        <v>0</v>
      </c>
      <c r="O854" s="71">
        <f t="shared" si="119"/>
        <v>1</v>
      </c>
      <c r="P854" s="71">
        <f t="shared" si="120"/>
        <v>0</v>
      </c>
      <c r="Q854" s="71">
        <f t="shared" si="121"/>
        <v>0</v>
      </c>
      <c r="R854" s="71">
        <f t="shared" si="122"/>
        <v>0</v>
      </c>
      <c r="S854" s="71">
        <f t="shared" si="123"/>
        <v>0</v>
      </c>
      <c r="T854" s="71">
        <f t="shared" si="124"/>
        <v>0</v>
      </c>
      <c r="U854" s="71">
        <f>IF(AND(N854=1,V854=1),IF(COUNTIFS(AKTIVITAS!$B$2:$B$3052,B854,AKTIVITAS!$E$2:$E$3052,H854)&gt;0,1,0),0)</f>
        <v>0</v>
      </c>
      <c r="V854" s="71">
        <f>IFERROR(IF(AND(H854&gt;=INDEX(PEMAGANG!$J$3:$J$36,MATCH(B854,PEMAGANG!$C$3:$C$36,0)),H854&lt;=INDEX(PEMAGANG!$K$3:$K$36,MATCH(B854,PEMAGANG!$C$3:$C$36,0))),1,0),0)</f>
        <v>1</v>
      </c>
      <c r="W854" s="71">
        <f t="shared" si="125"/>
        <v>0</v>
      </c>
    </row>
    <row r="855" spans="1:23" x14ac:dyDescent="0.2">
      <c r="A855" s="71" t="s">
        <v>208</v>
      </c>
      <c r="B855" s="71" t="s">
        <v>209</v>
      </c>
      <c r="C855" s="71" t="s">
        <v>187</v>
      </c>
      <c r="D855" s="71" t="s">
        <v>210</v>
      </c>
      <c r="E855" s="71" t="s">
        <v>48</v>
      </c>
      <c r="F855" s="71" t="s">
        <v>298</v>
      </c>
      <c r="G855" s="88">
        <v>46288.304722222201</v>
      </c>
      <c r="H855" s="89">
        <v>46288</v>
      </c>
      <c r="I855" s="71" t="s">
        <v>326</v>
      </c>
      <c r="J855" s="71">
        <v>-12</v>
      </c>
      <c r="K855" s="71" t="s">
        <v>302</v>
      </c>
      <c r="L855" s="71">
        <f t="shared" si="117"/>
        <v>9</v>
      </c>
      <c r="M855" s="71" t="str">
        <f>IFERROR(INDEX(KALENDER!$D$3:$D$132,MATCH(H855,KALENDER!$A$3:$A$132,0)),"Di luar periode")</f>
        <v>Hari Kerja</v>
      </c>
      <c r="N855" s="71">
        <f t="shared" si="118"/>
        <v>1</v>
      </c>
      <c r="O855" s="71">
        <f t="shared" si="119"/>
        <v>1</v>
      </c>
      <c r="P855" s="71">
        <f t="shared" si="120"/>
        <v>1</v>
      </c>
      <c r="Q855" s="71">
        <f t="shared" si="121"/>
        <v>0</v>
      </c>
      <c r="R855" s="71">
        <f t="shared" si="122"/>
        <v>0</v>
      </c>
      <c r="S855" s="71">
        <f t="shared" si="123"/>
        <v>0</v>
      </c>
      <c r="T855" s="71">
        <f t="shared" si="124"/>
        <v>0</v>
      </c>
      <c r="U855" s="71">
        <f>IF(AND(N855=1,V855=1),IF(COUNTIFS(AKTIVITAS!$B$2:$B$3052,B855,AKTIVITAS!$E$2:$E$3052,H855)&gt;0,1,0),0)</f>
        <v>1</v>
      </c>
      <c r="V855" s="71">
        <f>IFERROR(IF(AND(H855&gt;=INDEX(PEMAGANG!$J$3:$J$36,MATCH(B855,PEMAGANG!$C$3:$C$36,0)),H855&lt;=INDEX(PEMAGANG!$K$3:$K$36,MATCH(B855,PEMAGANG!$C$3:$C$36,0))),1,0),0)</f>
        <v>1</v>
      </c>
      <c r="W855" s="71">
        <f t="shared" si="125"/>
        <v>1</v>
      </c>
    </row>
    <row r="856" spans="1:23" x14ac:dyDescent="0.2">
      <c r="A856" s="71" t="s">
        <v>208</v>
      </c>
      <c r="B856" s="71" t="s">
        <v>209</v>
      </c>
      <c r="C856" s="71" t="s">
        <v>187</v>
      </c>
      <c r="D856" s="71" t="s">
        <v>210</v>
      </c>
      <c r="E856" s="71" t="s">
        <v>48</v>
      </c>
      <c r="F856" s="71" t="s">
        <v>300</v>
      </c>
      <c r="G856" s="88">
        <v>46288.689189814802</v>
      </c>
      <c r="H856" s="89">
        <v>46288</v>
      </c>
      <c r="I856" s="71" t="s">
        <v>306</v>
      </c>
      <c r="J856" s="71">
        <v>0</v>
      </c>
      <c r="K856" s="71" t="s">
        <v>302</v>
      </c>
      <c r="L856" s="71">
        <f t="shared" si="117"/>
        <v>9</v>
      </c>
      <c r="M856" s="71" t="str">
        <f>IFERROR(INDEX(KALENDER!$D$3:$D$132,MATCH(H856,KALENDER!$A$3:$A$132,0)),"Di luar periode")</f>
        <v>Hari Kerja</v>
      </c>
      <c r="N856" s="71">
        <f t="shared" si="118"/>
        <v>0</v>
      </c>
      <c r="O856" s="71">
        <f t="shared" si="119"/>
        <v>1</v>
      </c>
      <c r="P856" s="71">
        <f t="shared" si="120"/>
        <v>0</v>
      </c>
      <c r="Q856" s="71">
        <f t="shared" si="121"/>
        <v>0</v>
      </c>
      <c r="R856" s="71">
        <f t="shared" si="122"/>
        <v>0</v>
      </c>
      <c r="S856" s="71">
        <f t="shared" si="123"/>
        <v>0</v>
      </c>
      <c r="T856" s="71">
        <f t="shared" si="124"/>
        <v>0</v>
      </c>
      <c r="U856" s="71">
        <f>IF(AND(N856=1,V856=1),IF(COUNTIFS(AKTIVITAS!$B$2:$B$3052,B856,AKTIVITAS!$E$2:$E$3052,H856)&gt;0,1,0),0)</f>
        <v>0</v>
      </c>
      <c r="V856" s="71">
        <f>IFERROR(IF(AND(H856&gt;=INDEX(PEMAGANG!$J$3:$J$36,MATCH(B856,PEMAGANG!$C$3:$C$36,0)),H856&lt;=INDEX(PEMAGANG!$K$3:$K$36,MATCH(B856,PEMAGANG!$C$3:$C$36,0))),1,0),0)</f>
        <v>1</v>
      </c>
      <c r="W856" s="71">
        <f t="shared" si="125"/>
        <v>0</v>
      </c>
    </row>
    <row r="857" spans="1:23" x14ac:dyDescent="0.2">
      <c r="A857" s="71" t="s">
        <v>208</v>
      </c>
      <c r="B857" s="71" t="s">
        <v>209</v>
      </c>
      <c r="C857" s="71" t="s">
        <v>187</v>
      </c>
      <c r="D857" s="71" t="s">
        <v>210</v>
      </c>
      <c r="E857" s="71" t="s">
        <v>48</v>
      </c>
      <c r="F857" s="71" t="s">
        <v>298</v>
      </c>
      <c r="G857" s="88">
        <v>46289.298888888901</v>
      </c>
      <c r="H857" s="89">
        <v>46289</v>
      </c>
      <c r="I857" s="71" t="s">
        <v>481</v>
      </c>
      <c r="J857" s="71">
        <v>-20</v>
      </c>
      <c r="K857" s="71" t="s">
        <v>302</v>
      </c>
      <c r="L857" s="71">
        <f t="shared" si="117"/>
        <v>9</v>
      </c>
      <c r="M857" s="71" t="str">
        <f>IFERROR(INDEX(KALENDER!$D$3:$D$132,MATCH(H857,KALENDER!$A$3:$A$132,0)),"Di luar periode")</f>
        <v>Hari Kerja</v>
      </c>
      <c r="N857" s="71">
        <f t="shared" si="118"/>
        <v>1</v>
      </c>
      <c r="O857" s="71">
        <f t="shared" si="119"/>
        <v>1</v>
      </c>
      <c r="P857" s="71">
        <f t="shared" si="120"/>
        <v>1</v>
      </c>
      <c r="Q857" s="71">
        <f t="shared" si="121"/>
        <v>0</v>
      </c>
      <c r="R857" s="71">
        <f t="shared" si="122"/>
        <v>0</v>
      </c>
      <c r="S857" s="71">
        <f t="shared" si="123"/>
        <v>0</v>
      </c>
      <c r="T857" s="71">
        <f t="shared" si="124"/>
        <v>0</v>
      </c>
      <c r="U857" s="71">
        <f>IF(AND(N857=1,V857=1),IF(COUNTIFS(AKTIVITAS!$B$2:$B$3052,B857,AKTIVITAS!$E$2:$E$3052,H857)&gt;0,1,0),0)</f>
        <v>1</v>
      </c>
      <c r="V857" s="71">
        <f>IFERROR(IF(AND(H857&gt;=INDEX(PEMAGANG!$J$3:$J$36,MATCH(B857,PEMAGANG!$C$3:$C$36,0)),H857&lt;=INDEX(PEMAGANG!$K$3:$K$36,MATCH(B857,PEMAGANG!$C$3:$C$36,0))),1,0),0)</f>
        <v>1</v>
      </c>
      <c r="W857" s="71">
        <f t="shared" si="125"/>
        <v>1</v>
      </c>
    </row>
    <row r="858" spans="1:23" x14ac:dyDescent="0.2">
      <c r="A858" s="71" t="s">
        <v>208</v>
      </c>
      <c r="B858" s="71" t="s">
        <v>209</v>
      </c>
      <c r="C858" s="71" t="s">
        <v>187</v>
      </c>
      <c r="D858" s="71" t="s">
        <v>210</v>
      </c>
      <c r="E858" s="71" t="s">
        <v>48</v>
      </c>
      <c r="F858" s="71" t="s">
        <v>300</v>
      </c>
      <c r="G858" s="88">
        <v>46289.6890277778</v>
      </c>
      <c r="H858" s="89">
        <v>46289</v>
      </c>
      <c r="I858" s="71" t="s">
        <v>306</v>
      </c>
      <c r="J858" s="71">
        <v>0</v>
      </c>
      <c r="K858" s="71" t="s">
        <v>302</v>
      </c>
      <c r="L858" s="71">
        <f t="shared" si="117"/>
        <v>9</v>
      </c>
      <c r="M858" s="71" t="str">
        <f>IFERROR(INDEX(KALENDER!$D$3:$D$132,MATCH(H858,KALENDER!$A$3:$A$132,0)),"Di luar periode")</f>
        <v>Hari Kerja</v>
      </c>
      <c r="N858" s="71">
        <f t="shared" si="118"/>
        <v>0</v>
      </c>
      <c r="O858" s="71">
        <f t="shared" si="119"/>
        <v>1</v>
      </c>
      <c r="P858" s="71">
        <f t="shared" si="120"/>
        <v>0</v>
      </c>
      <c r="Q858" s="71">
        <f t="shared" si="121"/>
        <v>0</v>
      </c>
      <c r="R858" s="71">
        <f t="shared" si="122"/>
        <v>0</v>
      </c>
      <c r="S858" s="71">
        <f t="shared" si="123"/>
        <v>0</v>
      </c>
      <c r="T858" s="71">
        <f t="shared" si="124"/>
        <v>0</v>
      </c>
      <c r="U858" s="71">
        <f>IF(AND(N858=1,V858=1),IF(COUNTIFS(AKTIVITAS!$B$2:$B$3052,B858,AKTIVITAS!$E$2:$E$3052,H858)&gt;0,1,0),0)</f>
        <v>0</v>
      </c>
      <c r="V858" s="71">
        <f>IFERROR(IF(AND(H858&gt;=INDEX(PEMAGANG!$J$3:$J$36,MATCH(B858,PEMAGANG!$C$3:$C$36,0)),H858&lt;=INDEX(PEMAGANG!$K$3:$K$36,MATCH(B858,PEMAGANG!$C$3:$C$36,0))),1,0),0)</f>
        <v>1</v>
      </c>
      <c r="W858" s="71">
        <f t="shared" si="125"/>
        <v>0</v>
      </c>
    </row>
    <row r="859" spans="1:23" x14ac:dyDescent="0.2">
      <c r="A859" s="71" t="s">
        <v>208</v>
      </c>
      <c r="B859" s="71" t="s">
        <v>209</v>
      </c>
      <c r="C859" s="71" t="s">
        <v>187</v>
      </c>
      <c r="D859" s="71" t="s">
        <v>210</v>
      </c>
      <c r="E859" s="71" t="s">
        <v>48</v>
      </c>
      <c r="F859" s="71" t="s">
        <v>298</v>
      </c>
      <c r="G859" s="88">
        <v>46290.3042824074</v>
      </c>
      <c r="H859" s="89">
        <v>46290</v>
      </c>
      <c r="I859" s="71" t="s">
        <v>326</v>
      </c>
      <c r="J859" s="71">
        <v>-12</v>
      </c>
      <c r="K859" s="71" t="s">
        <v>302</v>
      </c>
      <c r="L859" s="71">
        <f t="shared" si="117"/>
        <v>9</v>
      </c>
      <c r="M859" s="71" t="str">
        <f>IFERROR(INDEX(KALENDER!$D$3:$D$132,MATCH(H859,KALENDER!$A$3:$A$132,0)),"Di luar periode")</f>
        <v>Hari Kerja</v>
      </c>
      <c r="N859" s="71">
        <f t="shared" si="118"/>
        <v>1</v>
      </c>
      <c r="O859" s="71">
        <f t="shared" si="119"/>
        <v>1</v>
      </c>
      <c r="P859" s="71">
        <f t="shared" si="120"/>
        <v>1</v>
      </c>
      <c r="Q859" s="71">
        <f t="shared" si="121"/>
        <v>0</v>
      </c>
      <c r="R859" s="71">
        <f t="shared" si="122"/>
        <v>0</v>
      </c>
      <c r="S859" s="71">
        <f t="shared" si="123"/>
        <v>0</v>
      </c>
      <c r="T859" s="71">
        <f t="shared" si="124"/>
        <v>0</v>
      </c>
      <c r="U859" s="71">
        <f>IF(AND(N859=1,V859=1),IF(COUNTIFS(AKTIVITAS!$B$2:$B$3052,B859,AKTIVITAS!$E$2:$E$3052,H859)&gt;0,1,0),0)</f>
        <v>1</v>
      </c>
      <c r="V859" s="71">
        <f>IFERROR(IF(AND(H859&gt;=INDEX(PEMAGANG!$J$3:$J$36,MATCH(B859,PEMAGANG!$C$3:$C$36,0)),H859&lt;=INDEX(PEMAGANG!$K$3:$K$36,MATCH(B859,PEMAGANG!$C$3:$C$36,0))),1,0),0)</f>
        <v>1</v>
      </c>
      <c r="W859" s="71">
        <f t="shared" si="125"/>
        <v>1</v>
      </c>
    </row>
    <row r="860" spans="1:23" x14ac:dyDescent="0.2">
      <c r="A860" s="71" t="s">
        <v>208</v>
      </c>
      <c r="B860" s="71" t="s">
        <v>209</v>
      </c>
      <c r="C860" s="71" t="s">
        <v>187</v>
      </c>
      <c r="D860" s="71" t="s">
        <v>210</v>
      </c>
      <c r="E860" s="71" t="s">
        <v>48</v>
      </c>
      <c r="F860" s="71" t="s">
        <v>300</v>
      </c>
      <c r="G860" s="88">
        <v>46290.6899768519</v>
      </c>
      <c r="H860" s="89">
        <v>46290</v>
      </c>
      <c r="I860" s="71" t="s">
        <v>316</v>
      </c>
      <c r="J860" s="71">
        <v>0</v>
      </c>
      <c r="K860" s="71" t="s">
        <v>302</v>
      </c>
      <c r="L860" s="71">
        <f t="shared" si="117"/>
        <v>9</v>
      </c>
      <c r="M860" s="71" t="str">
        <f>IFERROR(INDEX(KALENDER!$D$3:$D$132,MATCH(H860,KALENDER!$A$3:$A$132,0)),"Di luar periode")</f>
        <v>Hari Kerja</v>
      </c>
      <c r="N860" s="71">
        <f t="shared" si="118"/>
        <v>0</v>
      </c>
      <c r="O860" s="71">
        <f t="shared" si="119"/>
        <v>1</v>
      </c>
      <c r="P860" s="71">
        <f t="shared" si="120"/>
        <v>0</v>
      </c>
      <c r="Q860" s="71">
        <f t="shared" si="121"/>
        <v>0</v>
      </c>
      <c r="R860" s="71">
        <f t="shared" si="122"/>
        <v>0</v>
      </c>
      <c r="S860" s="71">
        <f t="shared" si="123"/>
        <v>0</v>
      </c>
      <c r="T860" s="71">
        <f t="shared" si="124"/>
        <v>0</v>
      </c>
      <c r="U860" s="71">
        <f>IF(AND(N860=1,V860=1),IF(COUNTIFS(AKTIVITAS!$B$2:$B$3052,B860,AKTIVITAS!$E$2:$E$3052,H860)&gt;0,1,0),0)</f>
        <v>0</v>
      </c>
      <c r="V860" s="71">
        <f>IFERROR(IF(AND(H860&gt;=INDEX(PEMAGANG!$J$3:$J$36,MATCH(B860,PEMAGANG!$C$3:$C$36,0)),H860&lt;=INDEX(PEMAGANG!$K$3:$K$36,MATCH(B860,PEMAGANG!$C$3:$C$36,0))),1,0),0)</f>
        <v>1</v>
      </c>
      <c r="W860" s="71">
        <f t="shared" si="125"/>
        <v>0</v>
      </c>
    </row>
    <row r="861" spans="1:23" x14ac:dyDescent="0.2">
      <c r="A861" s="71" t="s">
        <v>213</v>
      </c>
      <c r="B861" s="71" t="s">
        <v>214</v>
      </c>
      <c r="C861" s="71" t="s">
        <v>187</v>
      </c>
      <c r="D861" s="71" t="s">
        <v>215</v>
      </c>
      <c r="E861" s="71" t="s">
        <v>54</v>
      </c>
      <c r="F861" s="71" t="s">
        <v>298</v>
      </c>
      <c r="G861" s="88">
        <v>46178.467615740701</v>
      </c>
      <c r="H861" s="89">
        <v>46178</v>
      </c>
      <c r="I861" s="71" t="s">
        <v>482</v>
      </c>
      <c r="J861" s="71">
        <v>223</v>
      </c>
      <c r="K861" s="71" t="s">
        <v>293</v>
      </c>
      <c r="L861" s="71">
        <f t="shared" si="117"/>
        <v>6</v>
      </c>
      <c r="M861" s="71" t="str">
        <f>IFERROR(INDEX(KALENDER!$D$3:$D$132,MATCH(H861,KALENDER!$A$3:$A$132,0)),"Di luar periode")</f>
        <v>Hari Kerja</v>
      </c>
      <c r="N861" s="71">
        <f t="shared" si="118"/>
        <v>1</v>
      </c>
      <c r="O861" s="71">
        <f t="shared" si="119"/>
        <v>1</v>
      </c>
      <c r="P861" s="71">
        <f t="shared" si="120"/>
        <v>1</v>
      </c>
      <c r="Q861" s="71">
        <f t="shared" si="121"/>
        <v>0</v>
      </c>
      <c r="R861" s="71">
        <f t="shared" si="122"/>
        <v>1</v>
      </c>
      <c r="S861" s="71">
        <f t="shared" si="123"/>
        <v>223</v>
      </c>
      <c r="T861" s="71">
        <f t="shared" si="124"/>
        <v>0</v>
      </c>
      <c r="U861" s="71">
        <f>IF(AND(N861=1,V861=1),IF(COUNTIFS(AKTIVITAS!$B$2:$B$3052,B861,AKTIVITAS!$E$2:$E$3052,H861)&gt;0,1,0),0)</f>
        <v>1</v>
      </c>
      <c r="V861" s="71">
        <f>IFERROR(IF(AND(H861&gt;=INDEX(PEMAGANG!$J$3:$J$36,MATCH(B861,PEMAGANG!$C$3:$C$36,0)),H861&lt;=INDEX(PEMAGANG!$K$3:$K$36,MATCH(B861,PEMAGANG!$C$3:$C$36,0))),1,0),0)</f>
        <v>1</v>
      </c>
      <c r="W861" s="71">
        <f t="shared" si="125"/>
        <v>1</v>
      </c>
    </row>
    <row r="862" spans="1:23" x14ac:dyDescent="0.2">
      <c r="A862" s="71" t="s">
        <v>213</v>
      </c>
      <c r="B862" s="71" t="s">
        <v>214</v>
      </c>
      <c r="C862" s="71" t="s">
        <v>187</v>
      </c>
      <c r="D862" s="71" t="s">
        <v>215</v>
      </c>
      <c r="E862" s="71" t="s">
        <v>54</v>
      </c>
      <c r="F862" s="71" t="s">
        <v>300</v>
      </c>
      <c r="G862" s="88">
        <v>46178.690162036997</v>
      </c>
      <c r="H862" s="89">
        <v>46178</v>
      </c>
      <c r="I862" s="71" t="s">
        <v>316</v>
      </c>
      <c r="J862" s="71">
        <v>0</v>
      </c>
      <c r="K862" s="71" t="s">
        <v>302</v>
      </c>
      <c r="L862" s="71">
        <f t="shared" si="117"/>
        <v>6</v>
      </c>
      <c r="M862" s="71" t="str">
        <f>IFERROR(INDEX(KALENDER!$D$3:$D$132,MATCH(H862,KALENDER!$A$3:$A$132,0)),"Di luar periode")</f>
        <v>Hari Kerja</v>
      </c>
      <c r="N862" s="71">
        <f t="shared" si="118"/>
        <v>0</v>
      </c>
      <c r="O862" s="71">
        <f t="shared" si="119"/>
        <v>1</v>
      </c>
      <c r="P862" s="71">
        <f t="shared" si="120"/>
        <v>0</v>
      </c>
      <c r="Q862" s="71">
        <f t="shared" si="121"/>
        <v>0</v>
      </c>
      <c r="R862" s="71">
        <f t="shared" si="122"/>
        <v>0</v>
      </c>
      <c r="S862" s="71">
        <f t="shared" si="123"/>
        <v>0</v>
      </c>
      <c r="T862" s="71">
        <f t="shared" si="124"/>
        <v>0</v>
      </c>
      <c r="U862" s="71">
        <f>IF(AND(N862=1,V862=1),IF(COUNTIFS(AKTIVITAS!$B$2:$B$3052,B862,AKTIVITAS!$E$2:$E$3052,H862)&gt;0,1,0),0)</f>
        <v>0</v>
      </c>
      <c r="V862" s="71">
        <f>IFERROR(IF(AND(H862&gt;=INDEX(PEMAGANG!$J$3:$J$36,MATCH(B862,PEMAGANG!$C$3:$C$36,0)),H862&lt;=INDEX(PEMAGANG!$K$3:$K$36,MATCH(B862,PEMAGANG!$C$3:$C$36,0))),1,0),0)</f>
        <v>1</v>
      </c>
      <c r="W862" s="71">
        <f t="shared" si="125"/>
        <v>0</v>
      </c>
    </row>
    <row r="863" spans="1:23" x14ac:dyDescent="0.2">
      <c r="A863" s="71" t="s">
        <v>213</v>
      </c>
      <c r="B863" s="71" t="s">
        <v>214</v>
      </c>
      <c r="C863" s="71" t="s">
        <v>187</v>
      </c>
      <c r="D863" s="71" t="s">
        <v>215</v>
      </c>
      <c r="E863" s="71" t="s">
        <v>54</v>
      </c>
      <c r="F863" s="71" t="s">
        <v>298</v>
      </c>
      <c r="G863" s="88">
        <v>46181.303993055597</v>
      </c>
      <c r="H863" s="89">
        <v>46181</v>
      </c>
      <c r="I863" s="71" t="s">
        <v>331</v>
      </c>
      <c r="J863" s="71">
        <v>-13</v>
      </c>
      <c r="K863" s="71" t="s">
        <v>302</v>
      </c>
      <c r="L863" s="71">
        <f t="shared" si="117"/>
        <v>6</v>
      </c>
      <c r="M863" s="71" t="str">
        <f>IFERROR(INDEX(KALENDER!$D$3:$D$132,MATCH(H863,KALENDER!$A$3:$A$132,0)),"Di luar periode")</f>
        <v>Hari Kerja</v>
      </c>
      <c r="N863" s="71">
        <f t="shared" si="118"/>
        <v>1</v>
      </c>
      <c r="O863" s="71">
        <f t="shared" si="119"/>
        <v>1</v>
      </c>
      <c r="P863" s="71">
        <f t="shared" si="120"/>
        <v>1</v>
      </c>
      <c r="Q863" s="71">
        <f t="shared" si="121"/>
        <v>0</v>
      </c>
      <c r="R863" s="71">
        <f t="shared" si="122"/>
        <v>0</v>
      </c>
      <c r="S863" s="71">
        <f t="shared" si="123"/>
        <v>0</v>
      </c>
      <c r="T863" s="71">
        <f t="shared" si="124"/>
        <v>0</v>
      </c>
      <c r="U863" s="71">
        <f>IF(AND(N863=1,V863=1),IF(COUNTIFS(AKTIVITAS!$B$2:$B$3052,B863,AKTIVITAS!$E$2:$E$3052,H863)&gt;0,1,0),0)</f>
        <v>1</v>
      </c>
      <c r="V863" s="71">
        <f>IFERROR(IF(AND(H863&gt;=INDEX(PEMAGANG!$J$3:$J$36,MATCH(B863,PEMAGANG!$C$3:$C$36,0)),H863&lt;=INDEX(PEMAGANG!$K$3:$K$36,MATCH(B863,PEMAGANG!$C$3:$C$36,0))),1,0),0)</f>
        <v>1</v>
      </c>
      <c r="W863" s="71">
        <f t="shared" si="125"/>
        <v>1</v>
      </c>
    </row>
    <row r="864" spans="1:23" x14ac:dyDescent="0.2">
      <c r="A864" s="71" t="s">
        <v>213</v>
      </c>
      <c r="B864" s="71" t="s">
        <v>214</v>
      </c>
      <c r="C864" s="71" t="s">
        <v>187</v>
      </c>
      <c r="D864" s="71" t="s">
        <v>215</v>
      </c>
      <c r="E864" s="71" t="s">
        <v>54</v>
      </c>
      <c r="F864" s="71" t="s">
        <v>300</v>
      </c>
      <c r="G864" s="88">
        <v>46181.691782407397</v>
      </c>
      <c r="H864" s="89">
        <v>46181</v>
      </c>
      <c r="I864" s="71" t="s">
        <v>344</v>
      </c>
      <c r="J864" s="71">
        <v>0</v>
      </c>
      <c r="K864" s="71" t="s">
        <v>302</v>
      </c>
      <c r="L864" s="71">
        <f t="shared" si="117"/>
        <v>6</v>
      </c>
      <c r="M864" s="71" t="str">
        <f>IFERROR(INDEX(KALENDER!$D$3:$D$132,MATCH(H864,KALENDER!$A$3:$A$132,0)),"Di luar periode")</f>
        <v>Hari Kerja</v>
      </c>
      <c r="N864" s="71">
        <f t="shared" si="118"/>
        <v>0</v>
      </c>
      <c r="O864" s="71">
        <f t="shared" si="119"/>
        <v>1</v>
      </c>
      <c r="P864" s="71">
        <f t="shared" si="120"/>
        <v>0</v>
      </c>
      <c r="Q864" s="71">
        <f t="shared" si="121"/>
        <v>0</v>
      </c>
      <c r="R864" s="71">
        <f t="shared" si="122"/>
        <v>0</v>
      </c>
      <c r="S864" s="71">
        <f t="shared" si="123"/>
        <v>0</v>
      </c>
      <c r="T864" s="71">
        <f t="shared" si="124"/>
        <v>0</v>
      </c>
      <c r="U864" s="71">
        <f>IF(AND(N864=1,V864=1),IF(COUNTIFS(AKTIVITAS!$B$2:$B$3052,B864,AKTIVITAS!$E$2:$E$3052,H864)&gt;0,1,0),0)</f>
        <v>0</v>
      </c>
      <c r="V864" s="71">
        <f>IFERROR(IF(AND(H864&gt;=INDEX(PEMAGANG!$J$3:$J$36,MATCH(B864,PEMAGANG!$C$3:$C$36,0)),H864&lt;=INDEX(PEMAGANG!$K$3:$K$36,MATCH(B864,PEMAGANG!$C$3:$C$36,0))),1,0),0)</f>
        <v>1</v>
      </c>
      <c r="W864" s="71">
        <f t="shared" si="125"/>
        <v>0</v>
      </c>
    </row>
    <row r="865" spans="1:23" x14ac:dyDescent="0.2">
      <c r="A865" s="71" t="s">
        <v>213</v>
      </c>
      <c r="B865" s="71" t="s">
        <v>214</v>
      </c>
      <c r="C865" s="71" t="s">
        <v>187</v>
      </c>
      <c r="D865" s="71" t="s">
        <v>215</v>
      </c>
      <c r="E865" s="71" t="s">
        <v>54</v>
      </c>
      <c r="F865" s="71" t="s">
        <v>298</v>
      </c>
      <c r="G865" s="88">
        <v>46182.294282407398</v>
      </c>
      <c r="H865" s="89">
        <v>46182</v>
      </c>
      <c r="I865" s="71" t="s">
        <v>483</v>
      </c>
      <c r="J865" s="71">
        <v>-27</v>
      </c>
      <c r="K865" s="71" t="s">
        <v>302</v>
      </c>
      <c r="L865" s="71">
        <f t="shared" si="117"/>
        <v>6</v>
      </c>
      <c r="M865" s="71" t="str">
        <f>IFERROR(INDEX(KALENDER!$D$3:$D$132,MATCH(H865,KALENDER!$A$3:$A$132,0)),"Di luar periode")</f>
        <v>Hari Kerja</v>
      </c>
      <c r="N865" s="71">
        <f t="shared" si="118"/>
        <v>1</v>
      </c>
      <c r="O865" s="71">
        <f t="shared" si="119"/>
        <v>1</v>
      </c>
      <c r="P865" s="71">
        <f t="shared" si="120"/>
        <v>1</v>
      </c>
      <c r="Q865" s="71">
        <f t="shared" si="121"/>
        <v>0</v>
      </c>
      <c r="R865" s="71">
        <f t="shared" si="122"/>
        <v>0</v>
      </c>
      <c r="S865" s="71">
        <f t="shared" si="123"/>
        <v>0</v>
      </c>
      <c r="T865" s="71">
        <f t="shared" si="124"/>
        <v>0</v>
      </c>
      <c r="U865" s="71">
        <f>IF(AND(N865=1,V865=1),IF(COUNTIFS(AKTIVITAS!$B$2:$B$3052,B865,AKTIVITAS!$E$2:$E$3052,H865)&gt;0,1,0),0)</f>
        <v>1</v>
      </c>
      <c r="V865" s="71">
        <f>IFERROR(IF(AND(H865&gt;=INDEX(PEMAGANG!$J$3:$J$36,MATCH(B865,PEMAGANG!$C$3:$C$36,0)),H865&lt;=INDEX(PEMAGANG!$K$3:$K$36,MATCH(B865,PEMAGANG!$C$3:$C$36,0))),1,0),0)</f>
        <v>1</v>
      </c>
      <c r="W865" s="71">
        <f t="shared" si="125"/>
        <v>1</v>
      </c>
    </row>
    <row r="866" spans="1:23" x14ac:dyDescent="0.2">
      <c r="A866" s="71" t="s">
        <v>213</v>
      </c>
      <c r="B866" s="71" t="s">
        <v>214</v>
      </c>
      <c r="C866" s="71" t="s">
        <v>187</v>
      </c>
      <c r="D866" s="71" t="s">
        <v>215</v>
      </c>
      <c r="E866" s="71" t="s">
        <v>54</v>
      </c>
      <c r="F866" s="71" t="s">
        <v>300</v>
      </c>
      <c r="G866" s="88">
        <v>46182.690509259301</v>
      </c>
      <c r="H866" s="89">
        <v>46182</v>
      </c>
      <c r="I866" s="71" t="s">
        <v>314</v>
      </c>
      <c r="J866" s="71">
        <v>0</v>
      </c>
      <c r="K866" s="71" t="s">
        <v>302</v>
      </c>
      <c r="L866" s="71">
        <f t="shared" si="117"/>
        <v>6</v>
      </c>
      <c r="M866" s="71" t="str">
        <f>IFERROR(INDEX(KALENDER!$D$3:$D$132,MATCH(H866,KALENDER!$A$3:$A$132,0)),"Di luar periode")</f>
        <v>Hari Kerja</v>
      </c>
      <c r="N866" s="71">
        <f t="shared" si="118"/>
        <v>0</v>
      </c>
      <c r="O866" s="71">
        <f t="shared" si="119"/>
        <v>1</v>
      </c>
      <c r="P866" s="71">
        <f t="shared" si="120"/>
        <v>0</v>
      </c>
      <c r="Q866" s="71">
        <f t="shared" si="121"/>
        <v>0</v>
      </c>
      <c r="R866" s="71">
        <f t="shared" si="122"/>
        <v>0</v>
      </c>
      <c r="S866" s="71">
        <f t="shared" si="123"/>
        <v>0</v>
      </c>
      <c r="T866" s="71">
        <f t="shared" si="124"/>
        <v>0</v>
      </c>
      <c r="U866" s="71">
        <f>IF(AND(N866=1,V866=1),IF(COUNTIFS(AKTIVITAS!$B$2:$B$3052,B866,AKTIVITAS!$E$2:$E$3052,H866)&gt;0,1,0),0)</f>
        <v>0</v>
      </c>
      <c r="V866" s="71">
        <f>IFERROR(IF(AND(H866&gt;=INDEX(PEMAGANG!$J$3:$J$36,MATCH(B866,PEMAGANG!$C$3:$C$36,0)),H866&lt;=INDEX(PEMAGANG!$K$3:$K$36,MATCH(B866,PEMAGANG!$C$3:$C$36,0))),1,0),0)</f>
        <v>1</v>
      </c>
      <c r="W866" s="71">
        <f t="shared" si="125"/>
        <v>0</v>
      </c>
    </row>
    <row r="867" spans="1:23" x14ac:dyDescent="0.2">
      <c r="A867" s="71" t="s">
        <v>213</v>
      </c>
      <c r="B867" s="71" t="s">
        <v>214</v>
      </c>
      <c r="C867" s="71" t="s">
        <v>187</v>
      </c>
      <c r="D867" s="71" t="s">
        <v>215</v>
      </c>
      <c r="E867" s="71" t="s">
        <v>54</v>
      </c>
      <c r="F867" s="71" t="s">
        <v>298</v>
      </c>
      <c r="G867" s="88">
        <v>46184.311365740701</v>
      </c>
      <c r="H867" s="89">
        <v>46184</v>
      </c>
      <c r="I867" s="71" t="s">
        <v>377</v>
      </c>
      <c r="J867" s="71">
        <v>-1.99999999999999</v>
      </c>
      <c r="K867" s="71" t="s">
        <v>302</v>
      </c>
      <c r="L867" s="71">
        <f t="shared" si="117"/>
        <v>6</v>
      </c>
      <c r="M867" s="71" t="str">
        <f>IFERROR(INDEX(KALENDER!$D$3:$D$132,MATCH(H867,KALENDER!$A$3:$A$132,0)),"Di luar periode")</f>
        <v>Hari Kerja</v>
      </c>
      <c r="N867" s="71">
        <f t="shared" si="118"/>
        <v>1</v>
      </c>
      <c r="O867" s="71">
        <f t="shared" si="119"/>
        <v>1</v>
      </c>
      <c r="P867" s="71">
        <f t="shared" si="120"/>
        <v>1</v>
      </c>
      <c r="Q867" s="71">
        <f t="shared" si="121"/>
        <v>0</v>
      </c>
      <c r="R867" s="71">
        <f t="shared" si="122"/>
        <v>0</v>
      </c>
      <c r="S867" s="71">
        <f t="shared" si="123"/>
        <v>0</v>
      </c>
      <c r="T867" s="71">
        <f t="shared" si="124"/>
        <v>0</v>
      </c>
      <c r="U867" s="71">
        <f>IF(AND(N867=1,V867=1),IF(COUNTIFS(AKTIVITAS!$B$2:$B$3052,B867,AKTIVITAS!$E$2:$E$3052,H867)&gt;0,1,0),0)</f>
        <v>1</v>
      </c>
      <c r="V867" s="71">
        <f>IFERROR(IF(AND(H867&gt;=INDEX(PEMAGANG!$J$3:$J$36,MATCH(B867,PEMAGANG!$C$3:$C$36,0)),H867&lt;=INDEX(PEMAGANG!$K$3:$K$36,MATCH(B867,PEMAGANG!$C$3:$C$36,0))),1,0),0)</f>
        <v>1</v>
      </c>
      <c r="W867" s="71">
        <f t="shared" si="125"/>
        <v>1</v>
      </c>
    </row>
    <row r="868" spans="1:23" x14ac:dyDescent="0.2">
      <c r="A868" s="71" t="s">
        <v>213</v>
      </c>
      <c r="B868" s="71" t="s">
        <v>214</v>
      </c>
      <c r="C868" s="71" t="s">
        <v>187</v>
      </c>
      <c r="D868" s="71" t="s">
        <v>215</v>
      </c>
      <c r="E868" s="71" t="s">
        <v>54</v>
      </c>
      <c r="F868" s="71" t="s">
        <v>300</v>
      </c>
      <c r="G868" s="88">
        <v>46184.694884259297</v>
      </c>
      <c r="H868" s="89">
        <v>46184</v>
      </c>
      <c r="I868" s="71" t="s">
        <v>343</v>
      </c>
      <c r="J868" s="71">
        <v>0</v>
      </c>
      <c r="K868" s="71" t="s">
        <v>302</v>
      </c>
      <c r="L868" s="71">
        <f t="shared" si="117"/>
        <v>6</v>
      </c>
      <c r="M868" s="71" t="str">
        <f>IFERROR(INDEX(KALENDER!$D$3:$D$132,MATCH(H868,KALENDER!$A$3:$A$132,0)),"Di luar periode")</f>
        <v>Hari Kerja</v>
      </c>
      <c r="N868" s="71">
        <f t="shared" si="118"/>
        <v>0</v>
      </c>
      <c r="O868" s="71">
        <f t="shared" si="119"/>
        <v>1</v>
      </c>
      <c r="P868" s="71">
        <f t="shared" si="120"/>
        <v>0</v>
      </c>
      <c r="Q868" s="71">
        <f t="shared" si="121"/>
        <v>0</v>
      </c>
      <c r="R868" s="71">
        <f t="shared" si="122"/>
        <v>0</v>
      </c>
      <c r="S868" s="71">
        <f t="shared" si="123"/>
        <v>0</v>
      </c>
      <c r="T868" s="71">
        <f t="shared" si="124"/>
        <v>0</v>
      </c>
      <c r="U868" s="71">
        <f>IF(AND(N868=1,V868=1),IF(COUNTIFS(AKTIVITAS!$B$2:$B$3052,B868,AKTIVITAS!$E$2:$E$3052,H868)&gt;0,1,0),0)</f>
        <v>0</v>
      </c>
      <c r="V868" s="71">
        <f>IFERROR(IF(AND(H868&gt;=INDEX(PEMAGANG!$J$3:$J$36,MATCH(B868,PEMAGANG!$C$3:$C$36,0)),H868&lt;=INDEX(PEMAGANG!$K$3:$K$36,MATCH(B868,PEMAGANG!$C$3:$C$36,0))),1,0),0)</f>
        <v>1</v>
      </c>
      <c r="W868" s="71">
        <f t="shared" si="125"/>
        <v>0</v>
      </c>
    </row>
    <row r="869" spans="1:23" x14ac:dyDescent="0.2">
      <c r="A869" s="71" t="s">
        <v>213</v>
      </c>
      <c r="B869" s="71" t="s">
        <v>214</v>
      </c>
      <c r="C869" s="71" t="s">
        <v>187</v>
      </c>
      <c r="D869" s="71" t="s">
        <v>215</v>
      </c>
      <c r="E869" s="71" t="s">
        <v>54</v>
      </c>
      <c r="F869" s="71" t="s">
        <v>298</v>
      </c>
      <c r="G869" s="88">
        <v>46185.298113425903</v>
      </c>
      <c r="H869" s="89">
        <v>46185</v>
      </c>
      <c r="I869" s="71" t="s">
        <v>479</v>
      </c>
      <c r="J869" s="71">
        <v>-21</v>
      </c>
      <c r="K869" s="71" t="s">
        <v>302</v>
      </c>
      <c r="L869" s="71">
        <f t="shared" si="117"/>
        <v>6</v>
      </c>
      <c r="M869" s="71" t="str">
        <f>IFERROR(INDEX(KALENDER!$D$3:$D$132,MATCH(H869,KALENDER!$A$3:$A$132,0)),"Di luar periode")</f>
        <v>Hari Kerja</v>
      </c>
      <c r="N869" s="71">
        <f t="shared" si="118"/>
        <v>1</v>
      </c>
      <c r="O869" s="71">
        <f t="shared" si="119"/>
        <v>1</v>
      </c>
      <c r="P869" s="71">
        <f t="shared" si="120"/>
        <v>1</v>
      </c>
      <c r="Q869" s="71">
        <f t="shared" si="121"/>
        <v>0</v>
      </c>
      <c r="R869" s="71">
        <f t="shared" si="122"/>
        <v>0</v>
      </c>
      <c r="S869" s="71">
        <f t="shared" si="123"/>
        <v>0</v>
      </c>
      <c r="T869" s="71">
        <f t="shared" si="124"/>
        <v>0</v>
      </c>
      <c r="U869" s="71">
        <f>IF(AND(N869=1,V869=1),IF(COUNTIFS(AKTIVITAS!$B$2:$B$3052,B869,AKTIVITAS!$E$2:$E$3052,H869)&gt;0,1,0),0)</f>
        <v>1</v>
      </c>
      <c r="V869" s="71">
        <f>IFERROR(IF(AND(H869&gt;=INDEX(PEMAGANG!$J$3:$J$36,MATCH(B869,PEMAGANG!$C$3:$C$36,0)),H869&lt;=INDEX(PEMAGANG!$K$3:$K$36,MATCH(B869,PEMAGANG!$C$3:$C$36,0))),1,0),0)</f>
        <v>1</v>
      </c>
      <c r="W869" s="71">
        <f t="shared" si="125"/>
        <v>1</v>
      </c>
    </row>
    <row r="870" spans="1:23" x14ac:dyDescent="0.2">
      <c r="A870" s="71" t="s">
        <v>213</v>
      </c>
      <c r="B870" s="71" t="s">
        <v>214</v>
      </c>
      <c r="C870" s="71" t="s">
        <v>187</v>
      </c>
      <c r="D870" s="71" t="s">
        <v>215</v>
      </c>
      <c r="E870" s="71" t="s">
        <v>54</v>
      </c>
      <c r="F870" s="71" t="s">
        <v>300</v>
      </c>
      <c r="G870" s="88">
        <v>46185.692164351902</v>
      </c>
      <c r="H870" s="89">
        <v>46185</v>
      </c>
      <c r="I870" s="71" t="s">
        <v>344</v>
      </c>
      <c r="J870" s="71">
        <v>0</v>
      </c>
      <c r="K870" s="71" t="s">
        <v>302</v>
      </c>
      <c r="L870" s="71">
        <f t="shared" si="117"/>
        <v>6</v>
      </c>
      <c r="M870" s="71" t="str">
        <f>IFERROR(INDEX(KALENDER!$D$3:$D$132,MATCH(H870,KALENDER!$A$3:$A$132,0)),"Di luar periode")</f>
        <v>Hari Kerja</v>
      </c>
      <c r="N870" s="71">
        <f t="shared" si="118"/>
        <v>0</v>
      </c>
      <c r="O870" s="71">
        <f t="shared" si="119"/>
        <v>1</v>
      </c>
      <c r="P870" s="71">
        <f t="shared" si="120"/>
        <v>0</v>
      </c>
      <c r="Q870" s="71">
        <f t="shared" si="121"/>
        <v>0</v>
      </c>
      <c r="R870" s="71">
        <f t="shared" si="122"/>
        <v>0</v>
      </c>
      <c r="S870" s="71">
        <f t="shared" si="123"/>
        <v>0</v>
      </c>
      <c r="T870" s="71">
        <f t="shared" si="124"/>
        <v>0</v>
      </c>
      <c r="U870" s="71">
        <f>IF(AND(N870=1,V870=1),IF(COUNTIFS(AKTIVITAS!$B$2:$B$3052,B870,AKTIVITAS!$E$2:$E$3052,H870)&gt;0,1,0),0)</f>
        <v>0</v>
      </c>
      <c r="V870" s="71">
        <f>IFERROR(IF(AND(H870&gt;=INDEX(PEMAGANG!$J$3:$J$36,MATCH(B870,PEMAGANG!$C$3:$C$36,0)),H870&lt;=INDEX(PEMAGANG!$K$3:$K$36,MATCH(B870,PEMAGANG!$C$3:$C$36,0))),1,0),0)</f>
        <v>1</v>
      </c>
      <c r="W870" s="71">
        <f t="shared" si="125"/>
        <v>0</v>
      </c>
    </row>
    <row r="871" spans="1:23" x14ac:dyDescent="0.2">
      <c r="A871" s="71" t="s">
        <v>213</v>
      </c>
      <c r="B871" s="71" t="s">
        <v>214</v>
      </c>
      <c r="C871" s="71" t="s">
        <v>187</v>
      </c>
      <c r="D871" s="71" t="s">
        <v>215</v>
      </c>
      <c r="E871" s="71" t="s">
        <v>54</v>
      </c>
      <c r="F871" s="71" t="s">
        <v>298</v>
      </c>
      <c r="G871" s="88">
        <v>46188.300162036998</v>
      </c>
      <c r="H871" s="89">
        <v>46188</v>
      </c>
      <c r="I871" s="71" t="s">
        <v>478</v>
      </c>
      <c r="J871" s="71">
        <v>-18</v>
      </c>
      <c r="K871" s="71" t="s">
        <v>302</v>
      </c>
      <c r="L871" s="71">
        <f t="shared" si="117"/>
        <v>6</v>
      </c>
      <c r="M871" s="71" t="str">
        <f>IFERROR(INDEX(KALENDER!$D$3:$D$132,MATCH(H871,KALENDER!$A$3:$A$132,0)),"Di luar periode")</f>
        <v>Hari Kerja</v>
      </c>
      <c r="N871" s="71">
        <f t="shared" si="118"/>
        <v>1</v>
      </c>
      <c r="O871" s="71">
        <f t="shared" si="119"/>
        <v>1</v>
      </c>
      <c r="P871" s="71">
        <f t="shared" si="120"/>
        <v>1</v>
      </c>
      <c r="Q871" s="71">
        <f t="shared" si="121"/>
        <v>0</v>
      </c>
      <c r="R871" s="71">
        <f t="shared" si="122"/>
        <v>0</v>
      </c>
      <c r="S871" s="71">
        <f t="shared" si="123"/>
        <v>0</v>
      </c>
      <c r="T871" s="71">
        <f t="shared" si="124"/>
        <v>0</v>
      </c>
      <c r="U871" s="71">
        <f>IF(AND(N871=1,V871=1),IF(COUNTIFS(AKTIVITAS!$B$2:$B$3052,B871,AKTIVITAS!$E$2:$E$3052,H871)&gt;0,1,0),0)</f>
        <v>1</v>
      </c>
      <c r="V871" s="71">
        <f>IFERROR(IF(AND(H871&gt;=INDEX(PEMAGANG!$J$3:$J$36,MATCH(B871,PEMAGANG!$C$3:$C$36,0)),H871&lt;=INDEX(PEMAGANG!$K$3:$K$36,MATCH(B871,PEMAGANG!$C$3:$C$36,0))),1,0),0)</f>
        <v>1</v>
      </c>
      <c r="W871" s="71">
        <f t="shared" si="125"/>
        <v>1</v>
      </c>
    </row>
    <row r="872" spans="1:23" x14ac:dyDescent="0.2">
      <c r="A872" s="71" t="s">
        <v>213</v>
      </c>
      <c r="B872" s="71" t="s">
        <v>214</v>
      </c>
      <c r="C872" s="71" t="s">
        <v>187</v>
      </c>
      <c r="D872" s="71" t="s">
        <v>215</v>
      </c>
      <c r="E872" s="71" t="s">
        <v>54</v>
      </c>
      <c r="F872" s="71" t="s">
        <v>300</v>
      </c>
      <c r="G872" s="88">
        <v>46188.688657407401</v>
      </c>
      <c r="H872" s="89">
        <v>46188</v>
      </c>
      <c r="I872" s="71" t="s">
        <v>336</v>
      </c>
      <c r="J872" s="71">
        <v>0</v>
      </c>
      <c r="K872" s="71" t="s">
        <v>302</v>
      </c>
      <c r="L872" s="71">
        <f t="shared" si="117"/>
        <v>6</v>
      </c>
      <c r="M872" s="71" t="str">
        <f>IFERROR(INDEX(KALENDER!$D$3:$D$132,MATCH(H872,KALENDER!$A$3:$A$132,0)),"Di luar periode")</f>
        <v>Hari Kerja</v>
      </c>
      <c r="N872" s="71">
        <f t="shared" si="118"/>
        <v>0</v>
      </c>
      <c r="O872" s="71">
        <f t="shared" si="119"/>
        <v>1</v>
      </c>
      <c r="P872" s="71">
        <f t="shared" si="120"/>
        <v>0</v>
      </c>
      <c r="Q872" s="71">
        <f t="shared" si="121"/>
        <v>0</v>
      </c>
      <c r="R872" s="71">
        <f t="shared" si="122"/>
        <v>0</v>
      </c>
      <c r="S872" s="71">
        <f t="shared" si="123"/>
        <v>0</v>
      </c>
      <c r="T872" s="71">
        <f t="shared" si="124"/>
        <v>0</v>
      </c>
      <c r="U872" s="71">
        <f>IF(AND(N872=1,V872=1),IF(COUNTIFS(AKTIVITAS!$B$2:$B$3052,B872,AKTIVITAS!$E$2:$E$3052,H872)&gt;0,1,0),0)</f>
        <v>0</v>
      </c>
      <c r="V872" s="71">
        <f>IFERROR(IF(AND(H872&gt;=INDEX(PEMAGANG!$J$3:$J$36,MATCH(B872,PEMAGANG!$C$3:$C$36,0)),H872&lt;=INDEX(PEMAGANG!$K$3:$K$36,MATCH(B872,PEMAGANG!$C$3:$C$36,0))),1,0),0)</f>
        <v>1</v>
      </c>
      <c r="W872" s="71">
        <f t="shared" si="125"/>
        <v>0</v>
      </c>
    </row>
    <row r="873" spans="1:23" x14ac:dyDescent="0.2">
      <c r="A873" s="71" t="s">
        <v>213</v>
      </c>
      <c r="B873" s="71" t="s">
        <v>214</v>
      </c>
      <c r="C873" s="71" t="s">
        <v>187</v>
      </c>
      <c r="D873" s="71" t="s">
        <v>215</v>
      </c>
      <c r="E873" s="71" t="s">
        <v>54</v>
      </c>
      <c r="F873" s="71" t="s">
        <v>298</v>
      </c>
      <c r="G873" s="88">
        <v>46191.298078703701</v>
      </c>
      <c r="H873" s="89">
        <v>46191</v>
      </c>
      <c r="I873" s="71" t="s">
        <v>479</v>
      </c>
      <c r="J873" s="71">
        <v>-21</v>
      </c>
      <c r="K873" s="71" t="s">
        <v>302</v>
      </c>
      <c r="L873" s="71">
        <f t="shared" si="117"/>
        <v>6</v>
      </c>
      <c r="M873" s="71" t="str">
        <f>IFERROR(INDEX(KALENDER!$D$3:$D$132,MATCH(H873,KALENDER!$A$3:$A$132,0)),"Di luar periode")</f>
        <v>Hari Kerja</v>
      </c>
      <c r="N873" s="71">
        <f t="shared" si="118"/>
        <v>1</v>
      </c>
      <c r="O873" s="71">
        <f t="shared" si="119"/>
        <v>1</v>
      </c>
      <c r="P873" s="71">
        <f t="shared" si="120"/>
        <v>1</v>
      </c>
      <c r="Q873" s="71">
        <f t="shared" si="121"/>
        <v>0</v>
      </c>
      <c r="R873" s="71">
        <f t="shared" si="122"/>
        <v>0</v>
      </c>
      <c r="S873" s="71">
        <f t="shared" si="123"/>
        <v>0</v>
      </c>
      <c r="T873" s="71">
        <f t="shared" si="124"/>
        <v>0</v>
      </c>
      <c r="U873" s="71">
        <f>IF(AND(N873=1,V873=1),IF(COUNTIFS(AKTIVITAS!$B$2:$B$3052,B873,AKTIVITAS!$E$2:$E$3052,H873)&gt;0,1,0),0)</f>
        <v>1</v>
      </c>
      <c r="V873" s="71">
        <f>IFERROR(IF(AND(H873&gt;=INDEX(PEMAGANG!$J$3:$J$36,MATCH(B873,PEMAGANG!$C$3:$C$36,0)),H873&lt;=INDEX(PEMAGANG!$K$3:$K$36,MATCH(B873,PEMAGANG!$C$3:$C$36,0))),1,0),0)</f>
        <v>1</v>
      </c>
      <c r="W873" s="71">
        <f t="shared" si="125"/>
        <v>1</v>
      </c>
    </row>
    <row r="874" spans="1:23" x14ac:dyDescent="0.2">
      <c r="A874" s="71" t="s">
        <v>213</v>
      </c>
      <c r="B874" s="71" t="s">
        <v>214</v>
      </c>
      <c r="C874" s="71" t="s">
        <v>187</v>
      </c>
      <c r="D874" s="71" t="s">
        <v>215</v>
      </c>
      <c r="E874" s="71" t="s">
        <v>54</v>
      </c>
      <c r="F874" s="71" t="s">
        <v>300</v>
      </c>
      <c r="G874" s="88">
        <v>46191.689236111102</v>
      </c>
      <c r="H874" s="89">
        <v>46191</v>
      </c>
      <c r="I874" s="71" t="s">
        <v>306</v>
      </c>
      <c r="J874" s="71">
        <v>0</v>
      </c>
      <c r="K874" s="71" t="s">
        <v>302</v>
      </c>
      <c r="L874" s="71">
        <f t="shared" si="117"/>
        <v>6</v>
      </c>
      <c r="M874" s="71" t="str">
        <f>IFERROR(INDEX(KALENDER!$D$3:$D$132,MATCH(H874,KALENDER!$A$3:$A$132,0)),"Di luar periode")</f>
        <v>Hari Kerja</v>
      </c>
      <c r="N874" s="71">
        <f t="shared" si="118"/>
        <v>0</v>
      </c>
      <c r="O874" s="71">
        <f t="shared" si="119"/>
        <v>1</v>
      </c>
      <c r="P874" s="71">
        <f t="shared" si="120"/>
        <v>0</v>
      </c>
      <c r="Q874" s="71">
        <f t="shared" si="121"/>
        <v>0</v>
      </c>
      <c r="R874" s="71">
        <f t="shared" si="122"/>
        <v>0</v>
      </c>
      <c r="S874" s="71">
        <f t="shared" si="123"/>
        <v>0</v>
      </c>
      <c r="T874" s="71">
        <f t="shared" si="124"/>
        <v>0</v>
      </c>
      <c r="U874" s="71">
        <f>IF(AND(N874=1,V874=1),IF(COUNTIFS(AKTIVITAS!$B$2:$B$3052,B874,AKTIVITAS!$E$2:$E$3052,H874)&gt;0,1,0),0)</f>
        <v>0</v>
      </c>
      <c r="V874" s="71">
        <f>IFERROR(IF(AND(H874&gt;=INDEX(PEMAGANG!$J$3:$J$36,MATCH(B874,PEMAGANG!$C$3:$C$36,0)),H874&lt;=INDEX(PEMAGANG!$K$3:$K$36,MATCH(B874,PEMAGANG!$C$3:$C$36,0))),1,0),0)</f>
        <v>1</v>
      </c>
      <c r="W874" s="71">
        <f t="shared" si="125"/>
        <v>0</v>
      </c>
    </row>
    <row r="875" spans="1:23" x14ac:dyDescent="0.2">
      <c r="A875" s="71" t="s">
        <v>213</v>
      </c>
      <c r="B875" s="71" t="s">
        <v>214</v>
      </c>
      <c r="C875" s="71" t="s">
        <v>187</v>
      </c>
      <c r="D875" s="71" t="s">
        <v>215</v>
      </c>
      <c r="E875" s="71" t="s">
        <v>54</v>
      </c>
      <c r="F875" s="71" t="s">
        <v>298</v>
      </c>
      <c r="G875" s="88">
        <v>46192.298634259299</v>
      </c>
      <c r="H875" s="89">
        <v>46192</v>
      </c>
      <c r="I875" s="71" t="s">
        <v>481</v>
      </c>
      <c r="J875" s="71">
        <v>-20</v>
      </c>
      <c r="K875" s="71" t="s">
        <v>302</v>
      </c>
      <c r="L875" s="71">
        <f t="shared" si="117"/>
        <v>6</v>
      </c>
      <c r="M875" s="71" t="str">
        <f>IFERROR(INDEX(KALENDER!$D$3:$D$132,MATCH(H875,KALENDER!$A$3:$A$132,0)),"Di luar periode")</f>
        <v>Hari Kerja</v>
      </c>
      <c r="N875" s="71">
        <f t="shared" si="118"/>
        <v>1</v>
      </c>
      <c r="O875" s="71">
        <f t="shared" si="119"/>
        <v>1</v>
      </c>
      <c r="P875" s="71">
        <f t="shared" si="120"/>
        <v>1</v>
      </c>
      <c r="Q875" s="71">
        <f t="shared" si="121"/>
        <v>0</v>
      </c>
      <c r="R875" s="71">
        <f t="shared" si="122"/>
        <v>0</v>
      </c>
      <c r="S875" s="71">
        <f t="shared" si="123"/>
        <v>0</v>
      </c>
      <c r="T875" s="71">
        <f t="shared" si="124"/>
        <v>0</v>
      </c>
      <c r="U875" s="71">
        <f>IF(AND(N875=1,V875=1),IF(COUNTIFS(AKTIVITAS!$B$2:$B$3052,B875,AKTIVITAS!$E$2:$E$3052,H875)&gt;0,1,0),0)</f>
        <v>1</v>
      </c>
      <c r="V875" s="71">
        <f>IFERROR(IF(AND(H875&gt;=INDEX(PEMAGANG!$J$3:$J$36,MATCH(B875,PEMAGANG!$C$3:$C$36,0)),H875&lt;=INDEX(PEMAGANG!$K$3:$K$36,MATCH(B875,PEMAGANG!$C$3:$C$36,0))),1,0),0)</f>
        <v>1</v>
      </c>
      <c r="W875" s="71">
        <f t="shared" si="125"/>
        <v>1</v>
      </c>
    </row>
    <row r="876" spans="1:23" x14ac:dyDescent="0.2">
      <c r="A876" s="71" t="s">
        <v>213</v>
      </c>
      <c r="B876" s="71" t="s">
        <v>214</v>
      </c>
      <c r="C876" s="71" t="s">
        <v>187</v>
      </c>
      <c r="D876" s="71" t="s">
        <v>215</v>
      </c>
      <c r="E876" s="71" t="s">
        <v>54</v>
      </c>
      <c r="F876" s="71" t="s">
        <v>300</v>
      </c>
      <c r="G876" s="88">
        <v>46192.687708333302</v>
      </c>
      <c r="H876" s="89">
        <v>46192</v>
      </c>
      <c r="I876" s="71" t="s">
        <v>330</v>
      </c>
      <c r="J876" s="71">
        <v>0</v>
      </c>
      <c r="K876" s="71" t="s">
        <v>302</v>
      </c>
      <c r="L876" s="71">
        <f t="shared" si="117"/>
        <v>6</v>
      </c>
      <c r="M876" s="71" t="str">
        <f>IFERROR(INDEX(KALENDER!$D$3:$D$132,MATCH(H876,KALENDER!$A$3:$A$132,0)),"Di luar periode")</f>
        <v>Hari Kerja</v>
      </c>
      <c r="N876" s="71">
        <f t="shared" si="118"/>
        <v>0</v>
      </c>
      <c r="O876" s="71">
        <f t="shared" si="119"/>
        <v>1</v>
      </c>
      <c r="P876" s="71">
        <f t="shared" si="120"/>
        <v>0</v>
      </c>
      <c r="Q876" s="71">
        <f t="shared" si="121"/>
        <v>0</v>
      </c>
      <c r="R876" s="71">
        <f t="shared" si="122"/>
        <v>0</v>
      </c>
      <c r="S876" s="71">
        <f t="shared" si="123"/>
        <v>0</v>
      </c>
      <c r="T876" s="71">
        <f t="shared" si="124"/>
        <v>0</v>
      </c>
      <c r="U876" s="71">
        <f>IF(AND(N876=1,V876=1),IF(COUNTIFS(AKTIVITAS!$B$2:$B$3052,B876,AKTIVITAS!$E$2:$E$3052,H876)&gt;0,1,0),0)</f>
        <v>0</v>
      </c>
      <c r="V876" s="71">
        <f>IFERROR(IF(AND(H876&gt;=INDEX(PEMAGANG!$J$3:$J$36,MATCH(B876,PEMAGANG!$C$3:$C$36,0)),H876&lt;=INDEX(PEMAGANG!$K$3:$K$36,MATCH(B876,PEMAGANG!$C$3:$C$36,0))),1,0),0)</f>
        <v>1</v>
      </c>
      <c r="W876" s="71">
        <f t="shared" si="125"/>
        <v>0</v>
      </c>
    </row>
    <row r="877" spans="1:23" x14ac:dyDescent="0.2">
      <c r="A877" s="71" t="s">
        <v>213</v>
      </c>
      <c r="B877" s="71" t="s">
        <v>214</v>
      </c>
      <c r="C877" s="71" t="s">
        <v>187</v>
      </c>
      <c r="D877" s="71" t="s">
        <v>215</v>
      </c>
      <c r="E877" s="71" t="s">
        <v>54</v>
      </c>
      <c r="F877" s="71" t="s">
        <v>298</v>
      </c>
      <c r="G877" s="88">
        <v>46195.303703703699</v>
      </c>
      <c r="H877" s="89">
        <v>46195</v>
      </c>
      <c r="I877" s="71" t="s">
        <v>331</v>
      </c>
      <c r="J877" s="71">
        <v>-13</v>
      </c>
      <c r="K877" s="71" t="s">
        <v>302</v>
      </c>
      <c r="L877" s="71">
        <f t="shared" si="117"/>
        <v>6</v>
      </c>
      <c r="M877" s="71" t="str">
        <f>IFERROR(INDEX(KALENDER!$D$3:$D$132,MATCH(H877,KALENDER!$A$3:$A$132,0)),"Di luar periode")</f>
        <v>Hari Kerja</v>
      </c>
      <c r="N877" s="71">
        <f t="shared" si="118"/>
        <v>1</v>
      </c>
      <c r="O877" s="71">
        <f t="shared" si="119"/>
        <v>1</v>
      </c>
      <c r="P877" s="71">
        <f t="shared" si="120"/>
        <v>1</v>
      </c>
      <c r="Q877" s="71">
        <f t="shared" si="121"/>
        <v>0</v>
      </c>
      <c r="R877" s="71">
        <f t="shared" si="122"/>
        <v>0</v>
      </c>
      <c r="S877" s="71">
        <f t="shared" si="123"/>
        <v>0</v>
      </c>
      <c r="T877" s="71">
        <f t="shared" si="124"/>
        <v>0</v>
      </c>
      <c r="U877" s="71">
        <f>IF(AND(N877=1,V877=1),IF(COUNTIFS(AKTIVITAS!$B$2:$B$3052,B877,AKTIVITAS!$E$2:$E$3052,H877)&gt;0,1,0),0)</f>
        <v>1</v>
      </c>
      <c r="V877" s="71">
        <f>IFERROR(IF(AND(H877&gt;=INDEX(PEMAGANG!$J$3:$J$36,MATCH(B877,PEMAGANG!$C$3:$C$36,0)),H877&lt;=INDEX(PEMAGANG!$K$3:$K$36,MATCH(B877,PEMAGANG!$C$3:$C$36,0))),1,0),0)</f>
        <v>1</v>
      </c>
      <c r="W877" s="71">
        <f t="shared" si="125"/>
        <v>1</v>
      </c>
    </row>
    <row r="878" spans="1:23" x14ac:dyDescent="0.2">
      <c r="A878" s="71" t="s">
        <v>213</v>
      </c>
      <c r="B878" s="71" t="s">
        <v>214</v>
      </c>
      <c r="C878" s="71" t="s">
        <v>187</v>
      </c>
      <c r="D878" s="71" t="s">
        <v>215</v>
      </c>
      <c r="E878" s="71" t="s">
        <v>54</v>
      </c>
      <c r="F878" s="71" t="s">
        <v>300</v>
      </c>
      <c r="G878" s="88">
        <v>46195.6879050926</v>
      </c>
      <c r="H878" s="89">
        <v>46195</v>
      </c>
      <c r="I878" s="71" t="s">
        <v>330</v>
      </c>
      <c r="J878" s="71">
        <v>0</v>
      </c>
      <c r="K878" s="71" t="s">
        <v>302</v>
      </c>
      <c r="L878" s="71">
        <f t="shared" si="117"/>
        <v>6</v>
      </c>
      <c r="M878" s="71" t="str">
        <f>IFERROR(INDEX(KALENDER!$D$3:$D$132,MATCH(H878,KALENDER!$A$3:$A$132,0)),"Di luar periode")</f>
        <v>Hari Kerja</v>
      </c>
      <c r="N878" s="71">
        <f t="shared" si="118"/>
        <v>0</v>
      </c>
      <c r="O878" s="71">
        <f t="shared" si="119"/>
        <v>1</v>
      </c>
      <c r="P878" s="71">
        <f t="shared" si="120"/>
        <v>0</v>
      </c>
      <c r="Q878" s="71">
        <f t="shared" si="121"/>
        <v>0</v>
      </c>
      <c r="R878" s="71">
        <f t="shared" si="122"/>
        <v>0</v>
      </c>
      <c r="S878" s="71">
        <f t="shared" si="123"/>
        <v>0</v>
      </c>
      <c r="T878" s="71">
        <f t="shared" si="124"/>
        <v>0</v>
      </c>
      <c r="U878" s="71">
        <f>IF(AND(N878=1,V878=1),IF(COUNTIFS(AKTIVITAS!$B$2:$B$3052,B878,AKTIVITAS!$E$2:$E$3052,H878)&gt;0,1,0),0)</f>
        <v>0</v>
      </c>
      <c r="V878" s="71">
        <f>IFERROR(IF(AND(H878&gt;=INDEX(PEMAGANG!$J$3:$J$36,MATCH(B878,PEMAGANG!$C$3:$C$36,0)),H878&lt;=INDEX(PEMAGANG!$K$3:$K$36,MATCH(B878,PEMAGANG!$C$3:$C$36,0))),1,0),0)</f>
        <v>1</v>
      </c>
      <c r="W878" s="71">
        <f t="shared" si="125"/>
        <v>0</v>
      </c>
    </row>
    <row r="879" spans="1:23" x14ac:dyDescent="0.2">
      <c r="A879" s="71" t="s">
        <v>213</v>
      </c>
      <c r="B879" s="71" t="s">
        <v>214</v>
      </c>
      <c r="C879" s="71" t="s">
        <v>187</v>
      </c>
      <c r="D879" s="71" t="s">
        <v>215</v>
      </c>
      <c r="E879" s="71" t="s">
        <v>54</v>
      </c>
      <c r="F879" s="71" t="s">
        <v>298</v>
      </c>
      <c r="G879" s="88">
        <v>46196.300613425898</v>
      </c>
      <c r="H879" s="89">
        <v>46196</v>
      </c>
      <c r="I879" s="71" t="s">
        <v>478</v>
      </c>
      <c r="J879" s="71">
        <v>-18</v>
      </c>
      <c r="K879" s="71" t="s">
        <v>302</v>
      </c>
      <c r="L879" s="71">
        <f t="shared" si="117"/>
        <v>6</v>
      </c>
      <c r="M879" s="71" t="str">
        <f>IFERROR(INDEX(KALENDER!$D$3:$D$132,MATCH(H879,KALENDER!$A$3:$A$132,0)),"Di luar periode")</f>
        <v>Hari Kerja</v>
      </c>
      <c r="N879" s="71">
        <f t="shared" si="118"/>
        <v>1</v>
      </c>
      <c r="O879" s="71">
        <f t="shared" si="119"/>
        <v>1</v>
      </c>
      <c r="P879" s="71">
        <f t="shared" si="120"/>
        <v>1</v>
      </c>
      <c r="Q879" s="71">
        <f t="shared" si="121"/>
        <v>0</v>
      </c>
      <c r="R879" s="71">
        <f t="shared" si="122"/>
        <v>0</v>
      </c>
      <c r="S879" s="71">
        <f t="shared" si="123"/>
        <v>0</v>
      </c>
      <c r="T879" s="71">
        <f t="shared" si="124"/>
        <v>0</v>
      </c>
      <c r="U879" s="71">
        <f>IF(AND(N879=1,V879=1),IF(COUNTIFS(AKTIVITAS!$B$2:$B$3052,B879,AKTIVITAS!$E$2:$E$3052,H879)&gt;0,1,0),0)</f>
        <v>1</v>
      </c>
      <c r="V879" s="71">
        <f>IFERROR(IF(AND(H879&gt;=INDEX(PEMAGANG!$J$3:$J$36,MATCH(B879,PEMAGANG!$C$3:$C$36,0)),H879&lt;=INDEX(PEMAGANG!$K$3:$K$36,MATCH(B879,PEMAGANG!$C$3:$C$36,0))),1,0),0)</f>
        <v>1</v>
      </c>
      <c r="W879" s="71">
        <f t="shared" si="125"/>
        <v>1</v>
      </c>
    </row>
    <row r="880" spans="1:23" x14ac:dyDescent="0.2">
      <c r="A880" s="71" t="s">
        <v>213</v>
      </c>
      <c r="B880" s="71" t="s">
        <v>214</v>
      </c>
      <c r="C880" s="71" t="s">
        <v>187</v>
      </c>
      <c r="D880" s="71" t="s">
        <v>215</v>
      </c>
      <c r="E880" s="71" t="s">
        <v>54</v>
      </c>
      <c r="F880" s="71" t="s">
        <v>300</v>
      </c>
      <c r="G880" s="88">
        <v>46196.687939814801</v>
      </c>
      <c r="H880" s="89">
        <v>46196</v>
      </c>
      <c r="I880" s="71" t="s">
        <v>330</v>
      </c>
      <c r="J880" s="71">
        <v>0</v>
      </c>
      <c r="K880" s="71" t="s">
        <v>302</v>
      </c>
      <c r="L880" s="71">
        <f t="shared" si="117"/>
        <v>6</v>
      </c>
      <c r="M880" s="71" t="str">
        <f>IFERROR(INDEX(KALENDER!$D$3:$D$132,MATCH(H880,KALENDER!$A$3:$A$132,0)),"Di luar periode")</f>
        <v>Hari Kerja</v>
      </c>
      <c r="N880" s="71">
        <f t="shared" si="118"/>
        <v>0</v>
      </c>
      <c r="O880" s="71">
        <f t="shared" si="119"/>
        <v>1</v>
      </c>
      <c r="P880" s="71">
        <f t="shared" si="120"/>
        <v>0</v>
      </c>
      <c r="Q880" s="71">
        <f t="shared" si="121"/>
        <v>0</v>
      </c>
      <c r="R880" s="71">
        <f t="shared" si="122"/>
        <v>0</v>
      </c>
      <c r="S880" s="71">
        <f t="shared" si="123"/>
        <v>0</v>
      </c>
      <c r="T880" s="71">
        <f t="shared" si="124"/>
        <v>0</v>
      </c>
      <c r="U880" s="71">
        <f>IF(AND(N880=1,V880=1),IF(COUNTIFS(AKTIVITAS!$B$2:$B$3052,B880,AKTIVITAS!$E$2:$E$3052,H880)&gt;0,1,0),0)</f>
        <v>0</v>
      </c>
      <c r="V880" s="71">
        <f>IFERROR(IF(AND(H880&gt;=INDEX(PEMAGANG!$J$3:$J$36,MATCH(B880,PEMAGANG!$C$3:$C$36,0)),H880&lt;=INDEX(PEMAGANG!$K$3:$K$36,MATCH(B880,PEMAGANG!$C$3:$C$36,0))),1,0),0)</f>
        <v>1</v>
      </c>
      <c r="W880" s="71">
        <f t="shared" si="125"/>
        <v>0</v>
      </c>
    </row>
    <row r="881" spans="1:23" x14ac:dyDescent="0.2">
      <c r="A881" s="71" t="s">
        <v>213</v>
      </c>
      <c r="B881" s="71" t="s">
        <v>214</v>
      </c>
      <c r="C881" s="71" t="s">
        <v>187</v>
      </c>
      <c r="D881" s="71" t="s">
        <v>215</v>
      </c>
      <c r="E881" s="71" t="s">
        <v>54</v>
      </c>
      <c r="F881" s="71" t="s">
        <v>298</v>
      </c>
      <c r="G881" s="88">
        <v>46198.300949074102</v>
      </c>
      <c r="H881" s="89">
        <v>46198</v>
      </c>
      <c r="I881" s="71" t="s">
        <v>475</v>
      </c>
      <c r="J881" s="71">
        <v>-17</v>
      </c>
      <c r="K881" s="71" t="s">
        <v>302</v>
      </c>
      <c r="L881" s="71">
        <f t="shared" si="117"/>
        <v>6</v>
      </c>
      <c r="M881" s="71" t="str">
        <f>IFERROR(INDEX(KALENDER!$D$3:$D$132,MATCH(H881,KALENDER!$A$3:$A$132,0)),"Di luar periode")</f>
        <v>Hari Kerja</v>
      </c>
      <c r="N881" s="71">
        <f t="shared" si="118"/>
        <v>1</v>
      </c>
      <c r="O881" s="71">
        <f t="shared" si="119"/>
        <v>1</v>
      </c>
      <c r="P881" s="71">
        <f t="shared" si="120"/>
        <v>1</v>
      </c>
      <c r="Q881" s="71">
        <f t="shared" si="121"/>
        <v>0</v>
      </c>
      <c r="R881" s="71">
        <f t="shared" si="122"/>
        <v>0</v>
      </c>
      <c r="S881" s="71">
        <f t="shared" si="123"/>
        <v>0</v>
      </c>
      <c r="T881" s="71">
        <f t="shared" si="124"/>
        <v>0</v>
      </c>
      <c r="U881" s="71">
        <f>IF(AND(N881=1,V881=1),IF(COUNTIFS(AKTIVITAS!$B$2:$B$3052,B881,AKTIVITAS!$E$2:$E$3052,H881)&gt;0,1,0),0)</f>
        <v>1</v>
      </c>
      <c r="V881" s="71">
        <f>IFERROR(IF(AND(H881&gt;=INDEX(PEMAGANG!$J$3:$J$36,MATCH(B881,PEMAGANG!$C$3:$C$36,0)),H881&lt;=INDEX(PEMAGANG!$K$3:$K$36,MATCH(B881,PEMAGANG!$C$3:$C$36,0))),1,0),0)</f>
        <v>1</v>
      </c>
      <c r="W881" s="71">
        <f t="shared" si="125"/>
        <v>1</v>
      </c>
    </row>
    <row r="882" spans="1:23" x14ac:dyDescent="0.2">
      <c r="A882" s="71" t="s">
        <v>213</v>
      </c>
      <c r="B882" s="71" t="s">
        <v>214</v>
      </c>
      <c r="C882" s="71" t="s">
        <v>187</v>
      </c>
      <c r="D882" s="71" t="s">
        <v>215</v>
      </c>
      <c r="E882" s="71" t="s">
        <v>54</v>
      </c>
      <c r="F882" s="71" t="s">
        <v>300</v>
      </c>
      <c r="G882" s="88">
        <v>46198.689965277801</v>
      </c>
      <c r="H882" s="89">
        <v>46198</v>
      </c>
      <c r="I882" s="71" t="s">
        <v>316</v>
      </c>
      <c r="J882" s="71">
        <v>0</v>
      </c>
      <c r="K882" s="71" t="s">
        <v>302</v>
      </c>
      <c r="L882" s="71">
        <f t="shared" si="117"/>
        <v>6</v>
      </c>
      <c r="M882" s="71" t="str">
        <f>IFERROR(INDEX(KALENDER!$D$3:$D$132,MATCH(H882,KALENDER!$A$3:$A$132,0)),"Di luar periode")</f>
        <v>Hari Kerja</v>
      </c>
      <c r="N882" s="71">
        <f t="shared" si="118"/>
        <v>0</v>
      </c>
      <c r="O882" s="71">
        <f t="shared" si="119"/>
        <v>1</v>
      </c>
      <c r="P882" s="71">
        <f t="shared" si="120"/>
        <v>0</v>
      </c>
      <c r="Q882" s="71">
        <f t="shared" si="121"/>
        <v>0</v>
      </c>
      <c r="R882" s="71">
        <f t="shared" si="122"/>
        <v>0</v>
      </c>
      <c r="S882" s="71">
        <f t="shared" si="123"/>
        <v>0</v>
      </c>
      <c r="T882" s="71">
        <f t="shared" si="124"/>
        <v>0</v>
      </c>
      <c r="U882" s="71">
        <f>IF(AND(N882=1,V882=1),IF(COUNTIFS(AKTIVITAS!$B$2:$B$3052,B882,AKTIVITAS!$E$2:$E$3052,H882)&gt;0,1,0),0)</f>
        <v>0</v>
      </c>
      <c r="V882" s="71">
        <f>IFERROR(IF(AND(H882&gt;=INDEX(PEMAGANG!$J$3:$J$36,MATCH(B882,PEMAGANG!$C$3:$C$36,0)),H882&lt;=INDEX(PEMAGANG!$K$3:$K$36,MATCH(B882,PEMAGANG!$C$3:$C$36,0))),1,0),0)</f>
        <v>1</v>
      </c>
      <c r="W882" s="71">
        <f t="shared" si="125"/>
        <v>0</v>
      </c>
    </row>
    <row r="883" spans="1:23" x14ac:dyDescent="0.2">
      <c r="A883" s="71" t="s">
        <v>213</v>
      </c>
      <c r="B883" s="71" t="s">
        <v>214</v>
      </c>
      <c r="C883" s="71" t="s">
        <v>187</v>
      </c>
      <c r="D883" s="71" t="s">
        <v>215</v>
      </c>
      <c r="E883" s="71" t="s">
        <v>54</v>
      </c>
      <c r="F883" s="71" t="s">
        <v>298</v>
      </c>
      <c r="G883" s="88">
        <v>46199.278391203698</v>
      </c>
      <c r="H883" s="89">
        <v>46199</v>
      </c>
      <c r="I883" s="71" t="s">
        <v>484</v>
      </c>
      <c r="J883" s="71">
        <v>-50</v>
      </c>
      <c r="K883" s="71" t="s">
        <v>302</v>
      </c>
      <c r="L883" s="71">
        <f t="shared" si="117"/>
        <v>6</v>
      </c>
      <c r="M883" s="71" t="str">
        <f>IFERROR(INDEX(KALENDER!$D$3:$D$132,MATCH(H883,KALENDER!$A$3:$A$132,0)),"Di luar periode")</f>
        <v>Hari Kerja</v>
      </c>
      <c r="N883" s="71">
        <f t="shared" si="118"/>
        <v>1</v>
      </c>
      <c r="O883" s="71">
        <f t="shared" si="119"/>
        <v>1</v>
      </c>
      <c r="P883" s="71">
        <f t="shared" si="120"/>
        <v>1</v>
      </c>
      <c r="Q883" s="71">
        <f t="shared" si="121"/>
        <v>0</v>
      </c>
      <c r="R883" s="71">
        <f t="shared" si="122"/>
        <v>0</v>
      </c>
      <c r="S883" s="71">
        <f t="shared" si="123"/>
        <v>0</v>
      </c>
      <c r="T883" s="71">
        <f t="shared" si="124"/>
        <v>0</v>
      </c>
      <c r="U883" s="71">
        <f>IF(AND(N883=1,V883=1),IF(COUNTIFS(AKTIVITAS!$B$2:$B$3052,B883,AKTIVITAS!$E$2:$E$3052,H883)&gt;0,1,0),0)</f>
        <v>1</v>
      </c>
      <c r="V883" s="71">
        <f>IFERROR(IF(AND(H883&gt;=INDEX(PEMAGANG!$J$3:$J$36,MATCH(B883,PEMAGANG!$C$3:$C$36,0)),H883&lt;=INDEX(PEMAGANG!$K$3:$K$36,MATCH(B883,PEMAGANG!$C$3:$C$36,0))),1,0),0)</f>
        <v>1</v>
      </c>
      <c r="W883" s="71">
        <f t="shared" si="125"/>
        <v>1</v>
      </c>
    </row>
    <row r="884" spans="1:23" x14ac:dyDescent="0.2">
      <c r="A884" s="71" t="s">
        <v>213</v>
      </c>
      <c r="B884" s="71" t="s">
        <v>214</v>
      </c>
      <c r="C884" s="71" t="s">
        <v>187</v>
      </c>
      <c r="D884" s="71" t="s">
        <v>215</v>
      </c>
      <c r="E884" s="71" t="s">
        <v>54</v>
      </c>
      <c r="F884" s="71" t="s">
        <v>300</v>
      </c>
      <c r="G884" s="88">
        <v>46199.689143518503</v>
      </c>
      <c r="H884" s="89">
        <v>46199</v>
      </c>
      <c r="I884" s="71" t="s">
        <v>306</v>
      </c>
      <c r="J884" s="71">
        <v>0</v>
      </c>
      <c r="K884" s="71" t="s">
        <v>302</v>
      </c>
      <c r="L884" s="71">
        <f t="shared" si="117"/>
        <v>6</v>
      </c>
      <c r="M884" s="71" t="str">
        <f>IFERROR(INDEX(KALENDER!$D$3:$D$132,MATCH(H884,KALENDER!$A$3:$A$132,0)),"Di luar periode")</f>
        <v>Hari Kerja</v>
      </c>
      <c r="N884" s="71">
        <f t="shared" si="118"/>
        <v>0</v>
      </c>
      <c r="O884" s="71">
        <f t="shared" si="119"/>
        <v>1</v>
      </c>
      <c r="P884" s="71">
        <f t="shared" si="120"/>
        <v>0</v>
      </c>
      <c r="Q884" s="71">
        <f t="shared" si="121"/>
        <v>0</v>
      </c>
      <c r="R884" s="71">
        <f t="shared" si="122"/>
        <v>0</v>
      </c>
      <c r="S884" s="71">
        <f t="shared" si="123"/>
        <v>0</v>
      </c>
      <c r="T884" s="71">
        <f t="shared" si="124"/>
        <v>0</v>
      </c>
      <c r="U884" s="71">
        <f>IF(AND(N884=1,V884=1),IF(COUNTIFS(AKTIVITAS!$B$2:$B$3052,B884,AKTIVITAS!$E$2:$E$3052,H884)&gt;0,1,0),0)</f>
        <v>0</v>
      </c>
      <c r="V884" s="71">
        <f>IFERROR(IF(AND(H884&gt;=INDEX(PEMAGANG!$J$3:$J$36,MATCH(B884,PEMAGANG!$C$3:$C$36,0)),H884&lt;=INDEX(PEMAGANG!$K$3:$K$36,MATCH(B884,PEMAGANG!$C$3:$C$36,0))),1,0),0)</f>
        <v>1</v>
      </c>
      <c r="W884" s="71">
        <f t="shared" si="125"/>
        <v>0</v>
      </c>
    </row>
    <row r="885" spans="1:23" x14ac:dyDescent="0.2">
      <c r="A885" s="71" t="s">
        <v>213</v>
      </c>
      <c r="B885" s="71" t="s">
        <v>214</v>
      </c>
      <c r="C885" s="71" t="s">
        <v>187</v>
      </c>
      <c r="D885" s="71" t="s">
        <v>215</v>
      </c>
      <c r="E885" s="71" t="s">
        <v>54</v>
      </c>
      <c r="F885" s="71" t="s">
        <v>298</v>
      </c>
      <c r="G885" s="88">
        <v>46202.298622685201</v>
      </c>
      <c r="H885" s="89">
        <v>46202</v>
      </c>
      <c r="I885" s="71" t="s">
        <v>481</v>
      </c>
      <c r="J885" s="71">
        <v>-20</v>
      </c>
      <c r="K885" s="71" t="s">
        <v>302</v>
      </c>
      <c r="L885" s="71">
        <f t="shared" si="117"/>
        <v>6</v>
      </c>
      <c r="M885" s="71" t="str">
        <f>IFERROR(INDEX(KALENDER!$D$3:$D$132,MATCH(H885,KALENDER!$A$3:$A$132,0)),"Di luar periode")</f>
        <v>Hari Kerja</v>
      </c>
      <c r="N885" s="71">
        <f t="shared" si="118"/>
        <v>1</v>
      </c>
      <c r="O885" s="71">
        <f t="shared" si="119"/>
        <v>1</v>
      </c>
      <c r="P885" s="71">
        <f t="shared" si="120"/>
        <v>1</v>
      </c>
      <c r="Q885" s="71">
        <f t="shared" si="121"/>
        <v>0</v>
      </c>
      <c r="R885" s="71">
        <f t="shared" si="122"/>
        <v>0</v>
      </c>
      <c r="S885" s="71">
        <f t="shared" si="123"/>
        <v>0</v>
      </c>
      <c r="T885" s="71">
        <f t="shared" si="124"/>
        <v>0</v>
      </c>
      <c r="U885" s="71">
        <f>IF(AND(N885=1,V885=1),IF(COUNTIFS(AKTIVITAS!$B$2:$B$3052,B885,AKTIVITAS!$E$2:$E$3052,H885)&gt;0,1,0),0)</f>
        <v>1</v>
      </c>
      <c r="V885" s="71">
        <f>IFERROR(IF(AND(H885&gt;=INDEX(PEMAGANG!$J$3:$J$36,MATCH(B885,PEMAGANG!$C$3:$C$36,0)),H885&lt;=INDEX(PEMAGANG!$K$3:$K$36,MATCH(B885,PEMAGANG!$C$3:$C$36,0))),1,0),0)</f>
        <v>1</v>
      </c>
      <c r="W885" s="71">
        <f t="shared" si="125"/>
        <v>1</v>
      </c>
    </row>
    <row r="886" spans="1:23" x14ac:dyDescent="0.2">
      <c r="A886" s="71" t="s">
        <v>213</v>
      </c>
      <c r="B886" s="71" t="s">
        <v>214</v>
      </c>
      <c r="C886" s="71" t="s">
        <v>187</v>
      </c>
      <c r="D886" s="71" t="s">
        <v>215</v>
      </c>
      <c r="E886" s="71" t="s">
        <v>54</v>
      </c>
      <c r="F886" s="71" t="s">
        <v>300</v>
      </c>
      <c r="G886" s="88">
        <v>46202.688541666699</v>
      </c>
      <c r="H886" s="89">
        <v>46202</v>
      </c>
      <c r="I886" s="71" t="s">
        <v>336</v>
      </c>
      <c r="J886" s="71">
        <v>0</v>
      </c>
      <c r="K886" s="71" t="s">
        <v>302</v>
      </c>
      <c r="L886" s="71">
        <f t="shared" si="117"/>
        <v>6</v>
      </c>
      <c r="M886" s="71" t="str">
        <f>IFERROR(INDEX(KALENDER!$D$3:$D$132,MATCH(H886,KALENDER!$A$3:$A$132,0)),"Di luar periode")</f>
        <v>Hari Kerja</v>
      </c>
      <c r="N886" s="71">
        <f t="shared" si="118"/>
        <v>0</v>
      </c>
      <c r="O886" s="71">
        <f t="shared" si="119"/>
        <v>1</v>
      </c>
      <c r="P886" s="71">
        <f t="shared" si="120"/>
        <v>0</v>
      </c>
      <c r="Q886" s="71">
        <f t="shared" si="121"/>
        <v>0</v>
      </c>
      <c r="R886" s="71">
        <f t="shared" si="122"/>
        <v>0</v>
      </c>
      <c r="S886" s="71">
        <f t="shared" si="123"/>
        <v>0</v>
      </c>
      <c r="T886" s="71">
        <f t="shared" si="124"/>
        <v>0</v>
      </c>
      <c r="U886" s="71">
        <f>IF(AND(N886=1,V886=1),IF(COUNTIFS(AKTIVITAS!$B$2:$B$3052,B886,AKTIVITAS!$E$2:$E$3052,H886)&gt;0,1,0),0)</f>
        <v>0</v>
      </c>
      <c r="V886" s="71">
        <f>IFERROR(IF(AND(H886&gt;=INDEX(PEMAGANG!$J$3:$J$36,MATCH(B886,PEMAGANG!$C$3:$C$36,0)),H886&lt;=INDEX(PEMAGANG!$K$3:$K$36,MATCH(B886,PEMAGANG!$C$3:$C$36,0))),1,0),0)</f>
        <v>1</v>
      </c>
      <c r="W886" s="71">
        <f t="shared" si="125"/>
        <v>0</v>
      </c>
    </row>
    <row r="887" spans="1:23" x14ac:dyDescent="0.2">
      <c r="A887" s="71" t="s">
        <v>213</v>
      </c>
      <c r="B887" s="71" t="s">
        <v>214</v>
      </c>
      <c r="C887" s="71" t="s">
        <v>187</v>
      </c>
      <c r="D887" s="71" t="s">
        <v>215</v>
      </c>
      <c r="E887" s="71" t="s">
        <v>54</v>
      </c>
      <c r="F887" s="71" t="s">
        <v>298</v>
      </c>
      <c r="G887" s="88">
        <v>46203.300057870401</v>
      </c>
      <c r="H887" s="89">
        <v>46203</v>
      </c>
      <c r="I887" s="71" t="s">
        <v>478</v>
      </c>
      <c r="J887" s="71">
        <v>-18</v>
      </c>
      <c r="K887" s="71" t="s">
        <v>302</v>
      </c>
      <c r="L887" s="71">
        <f t="shared" si="117"/>
        <v>6</v>
      </c>
      <c r="M887" s="71" t="str">
        <f>IFERROR(INDEX(KALENDER!$D$3:$D$132,MATCH(H887,KALENDER!$A$3:$A$132,0)),"Di luar periode")</f>
        <v>Hari Kerja</v>
      </c>
      <c r="N887" s="71">
        <f t="shared" si="118"/>
        <v>1</v>
      </c>
      <c r="O887" s="71">
        <f t="shared" si="119"/>
        <v>1</v>
      </c>
      <c r="P887" s="71">
        <f t="shared" si="120"/>
        <v>1</v>
      </c>
      <c r="Q887" s="71">
        <f t="shared" si="121"/>
        <v>0</v>
      </c>
      <c r="R887" s="71">
        <f t="shared" si="122"/>
        <v>0</v>
      </c>
      <c r="S887" s="71">
        <f t="shared" si="123"/>
        <v>0</v>
      </c>
      <c r="T887" s="71">
        <f t="shared" si="124"/>
        <v>1</v>
      </c>
      <c r="U887" s="71">
        <f>IF(AND(N887=1,V887=1),IF(COUNTIFS(AKTIVITAS!$B$2:$B$3052,B887,AKTIVITAS!$E$2:$E$3052,H887)&gt;0,1,0),0)</f>
        <v>0</v>
      </c>
      <c r="V887" s="71">
        <f>IFERROR(IF(AND(H887&gt;=INDEX(PEMAGANG!$J$3:$J$36,MATCH(B887,PEMAGANG!$C$3:$C$36,0)),H887&lt;=INDEX(PEMAGANG!$K$3:$K$36,MATCH(B887,PEMAGANG!$C$3:$C$36,0))),1,0),0)</f>
        <v>1</v>
      </c>
      <c r="W887" s="71">
        <f t="shared" si="125"/>
        <v>1</v>
      </c>
    </row>
    <row r="888" spans="1:23" x14ac:dyDescent="0.2">
      <c r="A888" s="71" t="s">
        <v>213</v>
      </c>
      <c r="B888" s="71" t="s">
        <v>214</v>
      </c>
      <c r="C888" s="71" t="s">
        <v>187</v>
      </c>
      <c r="D888" s="71" t="s">
        <v>215</v>
      </c>
      <c r="E888" s="71" t="s">
        <v>54</v>
      </c>
      <c r="F888" s="71" t="s">
        <v>298</v>
      </c>
      <c r="G888" s="88">
        <v>46205.291643518503</v>
      </c>
      <c r="H888" s="89">
        <v>46205</v>
      </c>
      <c r="I888" s="71" t="s">
        <v>485</v>
      </c>
      <c r="J888" s="71">
        <v>-31</v>
      </c>
      <c r="K888" s="71" t="s">
        <v>302</v>
      </c>
      <c r="L888" s="71">
        <f t="shared" si="117"/>
        <v>7</v>
      </c>
      <c r="M888" s="71" t="str">
        <f>IFERROR(INDEX(KALENDER!$D$3:$D$132,MATCH(H888,KALENDER!$A$3:$A$132,0)),"Di luar periode")</f>
        <v>Hari Kerja</v>
      </c>
      <c r="N888" s="71">
        <f t="shared" si="118"/>
        <v>1</v>
      </c>
      <c r="O888" s="71">
        <f t="shared" si="119"/>
        <v>1</v>
      </c>
      <c r="P888" s="71">
        <f t="shared" si="120"/>
        <v>1</v>
      </c>
      <c r="Q888" s="71">
        <f t="shared" si="121"/>
        <v>0</v>
      </c>
      <c r="R888" s="71">
        <f t="shared" si="122"/>
        <v>0</v>
      </c>
      <c r="S888" s="71">
        <f t="shared" si="123"/>
        <v>0</v>
      </c>
      <c r="T888" s="71">
        <f t="shared" si="124"/>
        <v>0</v>
      </c>
      <c r="U888" s="71">
        <f>IF(AND(N888=1,V888=1),IF(COUNTIFS(AKTIVITAS!$B$2:$B$3052,B888,AKTIVITAS!$E$2:$E$3052,H888)&gt;0,1,0),0)</f>
        <v>1</v>
      </c>
      <c r="V888" s="71">
        <f>IFERROR(IF(AND(H888&gt;=INDEX(PEMAGANG!$J$3:$J$36,MATCH(B888,PEMAGANG!$C$3:$C$36,0)),H888&lt;=INDEX(PEMAGANG!$K$3:$K$36,MATCH(B888,PEMAGANG!$C$3:$C$36,0))),1,0),0)</f>
        <v>1</v>
      </c>
      <c r="W888" s="71">
        <f t="shared" si="125"/>
        <v>1</v>
      </c>
    </row>
    <row r="889" spans="1:23" x14ac:dyDescent="0.2">
      <c r="A889" s="71" t="s">
        <v>213</v>
      </c>
      <c r="B889" s="71" t="s">
        <v>214</v>
      </c>
      <c r="C889" s="71" t="s">
        <v>187</v>
      </c>
      <c r="D889" s="71" t="s">
        <v>215</v>
      </c>
      <c r="E889" s="71" t="s">
        <v>54</v>
      </c>
      <c r="F889" s="71" t="s">
        <v>300</v>
      </c>
      <c r="G889" s="88">
        <v>46205.691446759301</v>
      </c>
      <c r="H889" s="89">
        <v>46205</v>
      </c>
      <c r="I889" s="71" t="s">
        <v>310</v>
      </c>
      <c r="J889" s="71">
        <v>0</v>
      </c>
      <c r="K889" s="71" t="s">
        <v>302</v>
      </c>
      <c r="L889" s="71">
        <f t="shared" si="117"/>
        <v>7</v>
      </c>
      <c r="M889" s="71" t="str">
        <f>IFERROR(INDEX(KALENDER!$D$3:$D$132,MATCH(H889,KALENDER!$A$3:$A$132,0)),"Di luar periode")</f>
        <v>Hari Kerja</v>
      </c>
      <c r="N889" s="71">
        <f t="shared" si="118"/>
        <v>0</v>
      </c>
      <c r="O889" s="71">
        <f t="shared" si="119"/>
        <v>1</v>
      </c>
      <c r="P889" s="71">
        <f t="shared" si="120"/>
        <v>0</v>
      </c>
      <c r="Q889" s="71">
        <f t="shared" si="121"/>
        <v>0</v>
      </c>
      <c r="R889" s="71">
        <f t="shared" si="122"/>
        <v>0</v>
      </c>
      <c r="S889" s="71">
        <f t="shared" si="123"/>
        <v>0</v>
      </c>
      <c r="T889" s="71">
        <f t="shared" si="124"/>
        <v>0</v>
      </c>
      <c r="U889" s="71">
        <f>IF(AND(N889=1,V889=1),IF(COUNTIFS(AKTIVITAS!$B$2:$B$3052,B889,AKTIVITAS!$E$2:$E$3052,H889)&gt;0,1,0),0)</f>
        <v>0</v>
      </c>
      <c r="V889" s="71">
        <f>IFERROR(IF(AND(H889&gt;=INDEX(PEMAGANG!$J$3:$J$36,MATCH(B889,PEMAGANG!$C$3:$C$36,0)),H889&lt;=INDEX(PEMAGANG!$K$3:$K$36,MATCH(B889,PEMAGANG!$C$3:$C$36,0))),1,0),0)</f>
        <v>1</v>
      </c>
      <c r="W889" s="71">
        <f t="shared" si="125"/>
        <v>0</v>
      </c>
    </row>
    <row r="890" spans="1:23" x14ac:dyDescent="0.2">
      <c r="A890" s="71" t="s">
        <v>213</v>
      </c>
      <c r="B890" s="71" t="s">
        <v>214</v>
      </c>
      <c r="C890" s="71" t="s">
        <v>187</v>
      </c>
      <c r="D890" s="71" t="s">
        <v>215</v>
      </c>
      <c r="E890" s="71" t="s">
        <v>54</v>
      </c>
      <c r="F890" s="71" t="s">
        <v>298</v>
      </c>
      <c r="G890" s="88">
        <v>46206.298773148199</v>
      </c>
      <c r="H890" s="89">
        <v>46206</v>
      </c>
      <c r="I890" s="71" t="s">
        <v>481</v>
      </c>
      <c r="J890" s="71">
        <v>-20</v>
      </c>
      <c r="K890" s="71" t="s">
        <v>302</v>
      </c>
      <c r="L890" s="71">
        <f t="shared" si="117"/>
        <v>7</v>
      </c>
      <c r="M890" s="71" t="str">
        <f>IFERROR(INDEX(KALENDER!$D$3:$D$132,MATCH(H890,KALENDER!$A$3:$A$132,0)),"Di luar periode")</f>
        <v>Hari Kerja</v>
      </c>
      <c r="N890" s="71">
        <f t="shared" si="118"/>
        <v>1</v>
      </c>
      <c r="O890" s="71">
        <f t="shared" si="119"/>
        <v>1</v>
      </c>
      <c r="P890" s="71">
        <f t="shared" si="120"/>
        <v>1</v>
      </c>
      <c r="Q890" s="71">
        <f t="shared" si="121"/>
        <v>0</v>
      </c>
      <c r="R890" s="71">
        <f t="shared" si="122"/>
        <v>0</v>
      </c>
      <c r="S890" s="71">
        <f t="shared" si="123"/>
        <v>0</v>
      </c>
      <c r="T890" s="71">
        <f t="shared" si="124"/>
        <v>0</v>
      </c>
      <c r="U890" s="71">
        <f>IF(AND(N890=1,V890=1),IF(COUNTIFS(AKTIVITAS!$B$2:$B$3052,B890,AKTIVITAS!$E$2:$E$3052,H890)&gt;0,1,0),0)</f>
        <v>1</v>
      </c>
      <c r="V890" s="71">
        <f>IFERROR(IF(AND(H890&gt;=INDEX(PEMAGANG!$J$3:$J$36,MATCH(B890,PEMAGANG!$C$3:$C$36,0)),H890&lt;=INDEX(PEMAGANG!$K$3:$K$36,MATCH(B890,PEMAGANG!$C$3:$C$36,0))),1,0),0)</f>
        <v>1</v>
      </c>
      <c r="W890" s="71">
        <f t="shared" si="125"/>
        <v>1</v>
      </c>
    </row>
    <row r="891" spans="1:23" x14ac:dyDescent="0.2">
      <c r="A891" s="71" t="s">
        <v>213</v>
      </c>
      <c r="B891" s="71" t="s">
        <v>214</v>
      </c>
      <c r="C891" s="71" t="s">
        <v>187</v>
      </c>
      <c r="D891" s="71" t="s">
        <v>215</v>
      </c>
      <c r="E891" s="71" t="s">
        <v>54</v>
      </c>
      <c r="F891" s="71" t="s">
        <v>300</v>
      </c>
      <c r="G891" s="88">
        <v>46206.689733796302</v>
      </c>
      <c r="H891" s="89">
        <v>46206</v>
      </c>
      <c r="I891" s="71" t="s">
        <v>316</v>
      </c>
      <c r="J891" s="71">
        <v>0</v>
      </c>
      <c r="K891" s="71" t="s">
        <v>302</v>
      </c>
      <c r="L891" s="71">
        <f t="shared" si="117"/>
        <v>7</v>
      </c>
      <c r="M891" s="71" t="str">
        <f>IFERROR(INDEX(KALENDER!$D$3:$D$132,MATCH(H891,KALENDER!$A$3:$A$132,0)),"Di luar periode")</f>
        <v>Hari Kerja</v>
      </c>
      <c r="N891" s="71">
        <f t="shared" si="118"/>
        <v>0</v>
      </c>
      <c r="O891" s="71">
        <f t="shared" si="119"/>
        <v>1</v>
      </c>
      <c r="P891" s="71">
        <f t="shared" si="120"/>
        <v>0</v>
      </c>
      <c r="Q891" s="71">
        <f t="shared" si="121"/>
        <v>0</v>
      </c>
      <c r="R891" s="71">
        <f t="shared" si="122"/>
        <v>0</v>
      </c>
      <c r="S891" s="71">
        <f t="shared" si="123"/>
        <v>0</v>
      </c>
      <c r="T891" s="71">
        <f t="shared" si="124"/>
        <v>0</v>
      </c>
      <c r="U891" s="71">
        <f>IF(AND(N891=1,V891=1),IF(COUNTIFS(AKTIVITAS!$B$2:$B$3052,B891,AKTIVITAS!$E$2:$E$3052,H891)&gt;0,1,0),0)</f>
        <v>0</v>
      </c>
      <c r="V891" s="71">
        <f>IFERROR(IF(AND(H891&gt;=INDEX(PEMAGANG!$J$3:$J$36,MATCH(B891,PEMAGANG!$C$3:$C$36,0)),H891&lt;=INDEX(PEMAGANG!$K$3:$K$36,MATCH(B891,PEMAGANG!$C$3:$C$36,0))),1,0),0)</f>
        <v>1</v>
      </c>
      <c r="W891" s="71">
        <f t="shared" si="125"/>
        <v>0</v>
      </c>
    </row>
    <row r="892" spans="1:23" x14ac:dyDescent="0.2">
      <c r="A892" s="71" t="s">
        <v>213</v>
      </c>
      <c r="B892" s="71" t="s">
        <v>214</v>
      </c>
      <c r="C892" s="71" t="s">
        <v>187</v>
      </c>
      <c r="D892" s="71" t="s">
        <v>215</v>
      </c>
      <c r="E892" s="71" t="s">
        <v>54</v>
      </c>
      <c r="F892" s="71" t="s">
        <v>300</v>
      </c>
      <c r="G892" s="88">
        <v>46209.691527777803</v>
      </c>
      <c r="H892" s="89">
        <v>46209</v>
      </c>
      <c r="I892" s="71" t="s">
        <v>310</v>
      </c>
      <c r="J892" s="71">
        <v>0</v>
      </c>
      <c r="K892" s="71" t="s">
        <v>302</v>
      </c>
      <c r="L892" s="71">
        <f t="shared" si="117"/>
        <v>7</v>
      </c>
      <c r="M892" s="71" t="str">
        <f>IFERROR(INDEX(KALENDER!$D$3:$D$132,MATCH(H892,KALENDER!$A$3:$A$132,0)),"Di luar periode")</f>
        <v>Hari Kerja</v>
      </c>
      <c r="N892" s="71">
        <f t="shared" si="118"/>
        <v>1</v>
      </c>
      <c r="O892" s="71">
        <f t="shared" si="119"/>
        <v>0</v>
      </c>
      <c r="P892" s="71">
        <f t="shared" si="120"/>
        <v>1</v>
      </c>
      <c r="Q892" s="71">
        <f t="shared" si="121"/>
        <v>0</v>
      </c>
      <c r="R892" s="71">
        <f t="shared" si="122"/>
        <v>0</v>
      </c>
      <c r="S892" s="71">
        <f t="shared" si="123"/>
        <v>0</v>
      </c>
      <c r="T892" s="71">
        <f t="shared" si="124"/>
        <v>0</v>
      </c>
      <c r="U892" s="71">
        <f>IF(AND(N892=1,V892=1),IF(COUNTIFS(AKTIVITAS!$B$2:$B$3052,B892,AKTIVITAS!$E$2:$E$3052,H892)&gt;0,1,0),0)</f>
        <v>1</v>
      </c>
      <c r="V892" s="71">
        <f>IFERROR(IF(AND(H892&gt;=INDEX(PEMAGANG!$J$3:$J$36,MATCH(B892,PEMAGANG!$C$3:$C$36,0)),H892&lt;=INDEX(PEMAGANG!$K$3:$K$36,MATCH(B892,PEMAGANG!$C$3:$C$36,0))),1,0),0)</f>
        <v>1</v>
      </c>
      <c r="W892" s="71">
        <f t="shared" si="125"/>
        <v>1</v>
      </c>
    </row>
    <row r="893" spans="1:23" x14ac:dyDescent="0.2">
      <c r="A893" s="71" t="s">
        <v>213</v>
      </c>
      <c r="B893" s="71" t="s">
        <v>214</v>
      </c>
      <c r="C893" s="71" t="s">
        <v>187</v>
      </c>
      <c r="D893" s="71" t="s">
        <v>215</v>
      </c>
      <c r="E893" s="71" t="s">
        <v>54</v>
      </c>
      <c r="F893" s="71" t="s">
        <v>300</v>
      </c>
      <c r="G893" s="88">
        <v>46210.299328703702</v>
      </c>
      <c r="H893" s="89">
        <v>46210</v>
      </c>
      <c r="I893" s="71" t="s">
        <v>402</v>
      </c>
      <c r="J893" s="71">
        <v>0</v>
      </c>
      <c r="K893" s="71" t="s">
        <v>302</v>
      </c>
      <c r="L893" s="71">
        <f t="shared" si="117"/>
        <v>7</v>
      </c>
      <c r="M893" s="71" t="str">
        <f>IFERROR(INDEX(KALENDER!$D$3:$D$132,MATCH(H893,KALENDER!$A$3:$A$132,0)),"Di luar periode")</f>
        <v>Hari Kerja</v>
      </c>
      <c r="N893" s="71">
        <f t="shared" si="118"/>
        <v>1</v>
      </c>
      <c r="O893" s="71">
        <f t="shared" si="119"/>
        <v>0</v>
      </c>
      <c r="P893" s="71">
        <f t="shared" si="120"/>
        <v>1</v>
      </c>
      <c r="Q893" s="71">
        <f t="shared" si="121"/>
        <v>0</v>
      </c>
      <c r="R893" s="71">
        <f t="shared" si="122"/>
        <v>0</v>
      </c>
      <c r="S893" s="71">
        <f t="shared" si="123"/>
        <v>0</v>
      </c>
      <c r="T893" s="71">
        <f t="shared" si="124"/>
        <v>0</v>
      </c>
      <c r="U893" s="71">
        <f>IF(AND(N893=1,V893=1),IF(COUNTIFS(AKTIVITAS!$B$2:$B$3052,B893,AKTIVITAS!$E$2:$E$3052,H893)&gt;0,1,0),0)</f>
        <v>1</v>
      </c>
      <c r="V893" s="71">
        <f>IFERROR(IF(AND(H893&gt;=INDEX(PEMAGANG!$J$3:$J$36,MATCH(B893,PEMAGANG!$C$3:$C$36,0)),H893&lt;=INDEX(PEMAGANG!$K$3:$K$36,MATCH(B893,PEMAGANG!$C$3:$C$36,0))),1,0),0)</f>
        <v>1</v>
      </c>
      <c r="W893" s="71">
        <f t="shared" si="125"/>
        <v>1</v>
      </c>
    </row>
    <row r="894" spans="1:23" x14ac:dyDescent="0.2">
      <c r="A894" s="71" t="s">
        <v>213</v>
      </c>
      <c r="B894" s="71" t="s">
        <v>214</v>
      </c>
      <c r="C894" s="71" t="s">
        <v>187</v>
      </c>
      <c r="D894" s="71" t="s">
        <v>215</v>
      </c>
      <c r="E894" s="71" t="s">
        <v>54</v>
      </c>
      <c r="F894" s="71" t="s">
        <v>298</v>
      </c>
      <c r="G894" s="88">
        <v>46210.299467592602</v>
      </c>
      <c r="H894" s="89">
        <v>46210</v>
      </c>
      <c r="I894" s="71" t="s">
        <v>402</v>
      </c>
      <c r="J894" s="71">
        <v>-19</v>
      </c>
      <c r="K894" s="71" t="s">
        <v>302</v>
      </c>
      <c r="L894" s="71">
        <f t="shared" si="117"/>
        <v>7</v>
      </c>
      <c r="M894" s="71" t="str">
        <f>IFERROR(INDEX(KALENDER!$D$3:$D$132,MATCH(H894,KALENDER!$A$3:$A$132,0)),"Di luar periode")</f>
        <v>Hari Kerja</v>
      </c>
      <c r="N894" s="71">
        <f t="shared" si="118"/>
        <v>0</v>
      </c>
      <c r="O894" s="71">
        <f t="shared" si="119"/>
        <v>1</v>
      </c>
      <c r="P894" s="71">
        <f t="shared" si="120"/>
        <v>0</v>
      </c>
      <c r="Q894" s="71">
        <f t="shared" si="121"/>
        <v>0</v>
      </c>
      <c r="R894" s="71">
        <f t="shared" si="122"/>
        <v>0</v>
      </c>
      <c r="S894" s="71">
        <f t="shared" si="123"/>
        <v>0</v>
      </c>
      <c r="T894" s="71">
        <f t="shared" si="124"/>
        <v>0</v>
      </c>
      <c r="U894" s="71">
        <f>IF(AND(N894=1,V894=1),IF(COUNTIFS(AKTIVITAS!$B$2:$B$3052,B894,AKTIVITAS!$E$2:$E$3052,H894)&gt;0,1,0),0)</f>
        <v>0</v>
      </c>
      <c r="V894" s="71">
        <f>IFERROR(IF(AND(H894&gt;=INDEX(PEMAGANG!$J$3:$J$36,MATCH(B894,PEMAGANG!$C$3:$C$36,0)),H894&lt;=INDEX(PEMAGANG!$K$3:$K$36,MATCH(B894,PEMAGANG!$C$3:$C$36,0))),1,0),0)</f>
        <v>1</v>
      </c>
      <c r="W894" s="71">
        <f t="shared" si="125"/>
        <v>0</v>
      </c>
    </row>
    <row r="895" spans="1:23" x14ac:dyDescent="0.2">
      <c r="A895" s="71" t="s">
        <v>213</v>
      </c>
      <c r="B895" s="71" t="s">
        <v>214</v>
      </c>
      <c r="C895" s="71" t="s">
        <v>187</v>
      </c>
      <c r="D895" s="71" t="s">
        <v>215</v>
      </c>
      <c r="E895" s="71" t="s">
        <v>54</v>
      </c>
      <c r="F895" s="71" t="s">
        <v>298</v>
      </c>
      <c r="G895" s="88">
        <v>46212.296273148197</v>
      </c>
      <c r="H895" s="89">
        <v>46212</v>
      </c>
      <c r="I895" s="71" t="s">
        <v>349</v>
      </c>
      <c r="J895" s="71">
        <v>-24</v>
      </c>
      <c r="K895" s="71" t="s">
        <v>302</v>
      </c>
      <c r="L895" s="71">
        <f t="shared" si="117"/>
        <v>7</v>
      </c>
      <c r="M895" s="71" t="str">
        <f>IFERROR(INDEX(KALENDER!$D$3:$D$132,MATCH(H895,KALENDER!$A$3:$A$132,0)),"Di luar periode")</f>
        <v>Hari Kerja</v>
      </c>
      <c r="N895" s="71">
        <f t="shared" si="118"/>
        <v>1</v>
      </c>
      <c r="O895" s="71">
        <f t="shared" si="119"/>
        <v>1</v>
      </c>
      <c r="P895" s="71">
        <f t="shared" si="120"/>
        <v>1</v>
      </c>
      <c r="Q895" s="71">
        <f t="shared" si="121"/>
        <v>0</v>
      </c>
      <c r="R895" s="71">
        <f t="shared" si="122"/>
        <v>0</v>
      </c>
      <c r="S895" s="71">
        <f t="shared" si="123"/>
        <v>0</v>
      </c>
      <c r="T895" s="71">
        <f t="shared" si="124"/>
        <v>0</v>
      </c>
      <c r="U895" s="71">
        <f>IF(AND(N895=1,V895=1),IF(COUNTIFS(AKTIVITAS!$B$2:$B$3052,B895,AKTIVITAS!$E$2:$E$3052,H895)&gt;0,1,0),0)</f>
        <v>1</v>
      </c>
      <c r="V895" s="71">
        <f>IFERROR(IF(AND(H895&gt;=INDEX(PEMAGANG!$J$3:$J$36,MATCH(B895,PEMAGANG!$C$3:$C$36,0)),H895&lt;=INDEX(PEMAGANG!$K$3:$K$36,MATCH(B895,PEMAGANG!$C$3:$C$36,0))),1,0),0)</f>
        <v>1</v>
      </c>
      <c r="W895" s="71">
        <f t="shared" si="125"/>
        <v>1</v>
      </c>
    </row>
    <row r="896" spans="1:23" x14ac:dyDescent="0.2">
      <c r="A896" s="71" t="s">
        <v>213</v>
      </c>
      <c r="B896" s="71" t="s">
        <v>214</v>
      </c>
      <c r="C896" s="71" t="s">
        <v>187</v>
      </c>
      <c r="D896" s="71" t="s">
        <v>215</v>
      </c>
      <c r="E896" s="71" t="s">
        <v>54</v>
      </c>
      <c r="F896" s="71" t="s">
        <v>300</v>
      </c>
      <c r="G896" s="88">
        <v>46212.688946759299</v>
      </c>
      <c r="H896" s="89">
        <v>46212</v>
      </c>
      <c r="I896" s="71" t="s">
        <v>306</v>
      </c>
      <c r="J896" s="71">
        <v>0</v>
      </c>
      <c r="K896" s="71" t="s">
        <v>302</v>
      </c>
      <c r="L896" s="71">
        <f t="shared" si="117"/>
        <v>7</v>
      </c>
      <c r="M896" s="71" t="str">
        <f>IFERROR(INDEX(KALENDER!$D$3:$D$132,MATCH(H896,KALENDER!$A$3:$A$132,0)),"Di luar periode")</f>
        <v>Hari Kerja</v>
      </c>
      <c r="N896" s="71">
        <f t="shared" si="118"/>
        <v>0</v>
      </c>
      <c r="O896" s="71">
        <f t="shared" si="119"/>
        <v>1</v>
      </c>
      <c r="P896" s="71">
        <f t="shared" si="120"/>
        <v>0</v>
      </c>
      <c r="Q896" s="71">
        <f t="shared" si="121"/>
        <v>0</v>
      </c>
      <c r="R896" s="71">
        <f t="shared" si="122"/>
        <v>0</v>
      </c>
      <c r="S896" s="71">
        <f t="shared" si="123"/>
        <v>0</v>
      </c>
      <c r="T896" s="71">
        <f t="shared" si="124"/>
        <v>0</v>
      </c>
      <c r="U896" s="71">
        <f>IF(AND(N896=1,V896=1),IF(COUNTIFS(AKTIVITAS!$B$2:$B$3052,B896,AKTIVITAS!$E$2:$E$3052,H896)&gt;0,1,0),0)</f>
        <v>0</v>
      </c>
      <c r="V896" s="71">
        <f>IFERROR(IF(AND(H896&gt;=INDEX(PEMAGANG!$J$3:$J$36,MATCH(B896,PEMAGANG!$C$3:$C$36,0)),H896&lt;=INDEX(PEMAGANG!$K$3:$K$36,MATCH(B896,PEMAGANG!$C$3:$C$36,0))),1,0),0)</f>
        <v>1</v>
      </c>
      <c r="W896" s="71">
        <f t="shared" si="125"/>
        <v>0</v>
      </c>
    </row>
    <row r="897" spans="1:23" x14ac:dyDescent="0.2">
      <c r="A897" s="71" t="s">
        <v>213</v>
      </c>
      <c r="B897" s="71" t="s">
        <v>214</v>
      </c>
      <c r="C897" s="71" t="s">
        <v>187</v>
      </c>
      <c r="D897" s="71" t="s">
        <v>215</v>
      </c>
      <c r="E897" s="71" t="s">
        <v>54</v>
      </c>
      <c r="F897" s="71" t="s">
        <v>298</v>
      </c>
      <c r="G897" s="88">
        <v>46213.295937499999</v>
      </c>
      <c r="H897" s="89">
        <v>46213</v>
      </c>
      <c r="I897" s="71" t="s">
        <v>349</v>
      </c>
      <c r="J897" s="71">
        <v>-24</v>
      </c>
      <c r="K897" s="71" t="s">
        <v>302</v>
      </c>
      <c r="L897" s="71">
        <f t="shared" si="117"/>
        <v>7</v>
      </c>
      <c r="M897" s="71" t="str">
        <f>IFERROR(INDEX(KALENDER!$D$3:$D$132,MATCH(H897,KALENDER!$A$3:$A$132,0)),"Di luar periode")</f>
        <v>Hari Kerja</v>
      </c>
      <c r="N897" s="71">
        <f t="shared" si="118"/>
        <v>1</v>
      </c>
      <c r="O897" s="71">
        <f t="shared" si="119"/>
        <v>1</v>
      </c>
      <c r="P897" s="71">
        <f t="shared" si="120"/>
        <v>1</v>
      </c>
      <c r="Q897" s="71">
        <f t="shared" si="121"/>
        <v>0</v>
      </c>
      <c r="R897" s="71">
        <f t="shared" si="122"/>
        <v>0</v>
      </c>
      <c r="S897" s="71">
        <f t="shared" si="123"/>
        <v>0</v>
      </c>
      <c r="T897" s="71">
        <f t="shared" si="124"/>
        <v>0</v>
      </c>
      <c r="U897" s="71">
        <f>IF(AND(N897=1,V897=1),IF(COUNTIFS(AKTIVITAS!$B$2:$B$3052,B897,AKTIVITAS!$E$2:$E$3052,H897)&gt;0,1,0),0)</f>
        <v>1</v>
      </c>
      <c r="V897" s="71">
        <f>IFERROR(IF(AND(H897&gt;=INDEX(PEMAGANG!$J$3:$J$36,MATCH(B897,PEMAGANG!$C$3:$C$36,0)),H897&lt;=INDEX(PEMAGANG!$K$3:$K$36,MATCH(B897,PEMAGANG!$C$3:$C$36,0))),1,0),0)</f>
        <v>1</v>
      </c>
      <c r="W897" s="71">
        <f t="shared" si="125"/>
        <v>1</v>
      </c>
    </row>
    <row r="898" spans="1:23" x14ac:dyDescent="0.2">
      <c r="A898" s="71" t="s">
        <v>213</v>
      </c>
      <c r="B898" s="71" t="s">
        <v>214</v>
      </c>
      <c r="C898" s="71" t="s">
        <v>187</v>
      </c>
      <c r="D898" s="71" t="s">
        <v>215</v>
      </c>
      <c r="E898" s="71" t="s">
        <v>54</v>
      </c>
      <c r="F898" s="71" t="s">
        <v>300</v>
      </c>
      <c r="G898" s="88">
        <v>46213.692916666703</v>
      </c>
      <c r="H898" s="89">
        <v>46213</v>
      </c>
      <c r="I898" s="71" t="s">
        <v>328</v>
      </c>
      <c r="J898" s="71">
        <v>0</v>
      </c>
      <c r="K898" s="71" t="s">
        <v>302</v>
      </c>
      <c r="L898" s="71">
        <f t="shared" ref="L898:L961" si="126">MONTH(H898)</f>
        <v>7</v>
      </c>
      <c r="M898" s="71" t="str">
        <f>IFERROR(INDEX(KALENDER!$D$3:$D$132,MATCH(H898,KALENDER!$A$3:$A$132,0)),"Di luar periode")</f>
        <v>Hari Kerja</v>
      </c>
      <c r="N898" s="71">
        <f t="shared" ref="N898:N961" si="127">IF(AND(B898=B897,H898=H897),0,1)</f>
        <v>0</v>
      </c>
      <c r="O898" s="71">
        <f t="shared" ref="O898:O961" si="128">IF(N898=1,0,O897)+IF(F898="MASUK",1,0)</f>
        <v>1</v>
      </c>
      <c r="P898" s="71">
        <f t="shared" ref="P898:P961" si="129">IF(AND(N898=1,M898="Hari Kerja",V898=1),1,0)</f>
        <v>0</v>
      </c>
      <c r="Q898" s="71">
        <f t="shared" ref="Q898:Q961" si="130">IF(AND(N898=1,OR(M898&lt;&gt;"Hari Kerja",V898=0)),1,0)</f>
        <v>0</v>
      </c>
      <c r="R898" s="71">
        <f t="shared" ref="R898:R961" si="131">IF(AND(F898="MASUK",O898=1,N(J898)&gt;0,V898=1),1,0)</f>
        <v>0</v>
      </c>
      <c r="S898" s="71">
        <f t="shared" ref="S898:S961" si="132">R898*N(J898)</f>
        <v>0</v>
      </c>
      <c r="T898" s="71">
        <f t="shared" ref="T898:T961" si="133">IF(AND(N898=1,V898=1),IF(AND(COUNTIFS($B$2:$B$4094,B898,$H$2:$H$4094,H898,$F$2:$F$4094,"MASUK")&gt;0,COUNTIFS($B$2:$B$4094,B898,$H$2:$H$4094,H898,$F$2:$F$4094,"PULANG")=0),1,0),0)</f>
        <v>0</v>
      </c>
      <c r="U898" s="71">
        <f>IF(AND(N898=1,V898=1),IF(COUNTIFS(AKTIVITAS!$B$2:$B$3052,B898,AKTIVITAS!$E$2:$E$3052,H898)&gt;0,1,0),0)</f>
        <v>0</v>
      </c>
      <c r="V898" s="71">
        <f>IFERROR(IF(AND(H898&gt;=INDEX(PEMAGANG!$J$3:$J$36,MATCH(B898,PEMAGANG!$C$3:$C$36,0)),H898&lt;=INDEX(PEMAGANG!$K$3:$K$36,MATCH(B898,PEMAGANG!$C$3:$C$36,0))),1,0),0)</f>
        <v>1</v>
      </c>
      <c r="W898" s="71">
        <f t="shared" ref="W898:W961" si="134">N898*V898</f>
        <v>0</v>
      </c>
    </row>
    <row r="899" spans="1:23" x14ac:dyDescent="0.2">
      <c r="A899" s="71" t="s">
        <v>213</v>
      </c>
      <c r="B899" s="71" t="s">
        <v>214</v>
      </c>
      <c r="C899" s="71" t="s">
        <v>187</v>
      </c>
      <c r="D899" s="71" t="s">
        <v>215</v>
      </c>
      <c r="E899" s="71" t="s">
        <v>54</v>
      </c>
      <c r="F899" s="71" t="s">
        <v>298</v>
      </c>
      <c r="G899" s="88">
        <v>46216.299525463</v>
      </c>
      <c r="H899" s="89">
        <v>46216</v>
      </c>
      <c r="I899" s="71" t="s">
        <v>402</v>
      </c>
      <c r="J899" s="71">
        <v>-19</v>
      </c>
      <c r="K899" s="71" t="s">
        <v>302</v>
      </c>
      <c r="L899" s="71">
        <f t="shared" si="126"/>
        <v>7</v>
      </c>
      <c r="M899" s="71" t="str">
        <f>IFERROR(INDEX(KALENDER!$D$3:$D$132,MATCH(H899,KALENDER!$A$3:$A$132,0)),"Di luar periode")</f>
        <v>Hari Kerja</v>
      </c>
      <c r="N899" s="71">
        <f t="shared" si="127"/>
        <v>1</v>
      </c>
      <c r="O899" s="71">
        <f t="shared" si="128"/>
        <v>1</v>
      </c>
      <c r="P899" s="71">
        <f t="shared" si="129"/>
        <v>1</v>
      </c>
      <c r="Q899" s="71">
        <f t="shared" si="130"/>
        <v>0</v>
      </c>
      <c r="R899" s="71">
        <f t="shared" si="131"/>
        <v>0</v>
      </c>
      <c r="S899" s="71">
        <f t="shared" si="132"/>
        <v>0</v>
      </c>
      <c r="T899" s="71">
        <f t="shared" si="133"/>
        <v>0</v>
      </c>
      <c r="U899" s="71">
        <f>IF(AND(N899=1,V899=1),IF(COUNTIFS(AKTIVITAS!$B$2:$B$3052,B899,AKTIVITAS!$E$2:$E$3052,H899)&gt;0,1,0),0)</f>
        <v>1</v>
      </c>
      <c r="V899" s="71">
        <f>IFERROR(IF(AND(H899&gt;=INDEX(PEMAGANG!$J$3:$J$36,MATCH(B899,PEMAGANG!$C$3:$C$36,0)),H899&lt;=INDEX(PEMAGANG!$K$3:$K$36,MATCH(B899,PEMAGANG!$C$3:$C$36,0))),1,0),0)</f>
        <v>1</v>
      </c>
      <c r="W899" s="71">
        <f t="shared" si="134"/>
        <v>1</v>
      </c>
    </row>
    <row r="900" spans="1:23" x14ac:dyDescent="0.2">
      <c r="A900" s="71" t="s">
        <v>213</v>
      </c>
      <c r="B900" s="71" t="s">
        <v>214</v>
      </c>
      <c r="C900" s="71" t="s">
        <v>187</v>
      </c>
      <c r="D900" s="71" t="s">
        <v>215</v>
      </c>
      <c r="E900" s="71" t="s">
        <v>54</v>
      </c>
      <c r="F900" s="71" t="s">
        <v>300</v>
      </c>
      <c r="G900" s="88">
        <v>46216.690162036997</v>
      </c>
      <c r="H900" s="89">
        <v>46216</v>
      </c>
      <c r="I900" s="71" t="s">
        <v>316</v>
      </c>
      <c r="J900" s="71">
        <v>0</v>
      </c>
      <c r="K900" s="71" t="s">
        <v>302</v>
      </c>
      <c r="L900" s="71">
        <f t="shared" si="126"/>
        <v>7</v>
      </c>
      <c r="M900" s="71" t="str">
        <f>IFERROR(INDEX(KALENDER!$D$3:$D$132,MATCH(H900,KALENDER!$A$3:$A$132,0)),"Di luar periode")</f>
        <v>Hari Kerja</v>
      </c>
      <c r="N900" s="71">
        <f t="shared" si="127"/>
        <v>0</v>
      </c>
      <c r="O900" s="71">
        <f t="shared" si="128"/>
        <v>1</v>
      </c>
      <c r="P900" s="71">
        <f t="shared" si="129"/>
        <v>0</v>
      </c>
      <c r="Q900" s="71">
        <f t="shared" si="130"/>
        <v>0</v>
      </c>
      <c r="R900" s="71">
        <f t="shared" si="131"/>
        <v>0</v>
      </c>
      <c r="S900" s="71">
        <f t="shared" si="132"/>
        <v>0</v>
      </c>
      <c r="T900" s="71">
        <f t="shared" si="133"/>
        <v>0</v>
      </c>
      <c r="U900" s="71">
        <f>IF(AND(N900=1,V900=1),IF(COUNTIFS(AKTIVITAS!$B$2:$B$3052,B900,AKTIVITAS!$E$2:$E$3052,H900)&gt;0,1,0),0)</f>
        <v>0</v>
      </c>
      <c r="V900" s="71">
        <f>IFERROR(IF(AND(H900&gt;=INDEX(PEMAGANG!$J$3:$J$36,MATCH(B900,PEMAGANG!$C$3:$C$36,0)),H900&lt;=INDEX(PEMAGANG!$K$3:$K$36,MATCH(B900,PEMAGANG!$C$3:$C$36,0))),1,0),0)</f>
        <v>1</v>
      </c>
      <c r="W900" s="71">
        <f t="shared" si="134"/>
        <v>0</v>
      </c>
    </row>
    <row r="901" spans="1:23" x14ac:dyDescent="0.2">
      <c r="A901" s="71" t="s">
        <v>213</v>
      </c>
      <c r="B901" s="71" t="s">
        <v>214</v>
      </c>
      <c r="C901" s="71" t="s">
        <v>187</v>
      </c>
      <c r="D901" s="71" t="s">
        <v>215</v>
      </c>
      <c r="E901" s="71" t="s">
        <v>54</v>
      </c>
      <c r="F901" s="71" t="s">
        <v>298</v>
      </c>
      <c r="G901" s="88">
        <v>46217.300810185203</v>
      </c>
      <c r="H901" s="89">
        <v>46217</v>
      </c>
      <c r="I901" s="71" t="s">
        <v>475</v>
      </c>
      <c r="J901" s="71">
        <v>-17</v>
      </c>
      <c r="K901" s="71" t="s">
        <v>302</v>
      </c>
      <c r="L901" s="71">
        <f t="shared" si="126"/>
        <v>7</v>
      </c>
      <c r="M901" s="71" t="str">
        <f>IFERROR(INDEX(KALENDER!$D$3:$D$132,MATCH(H901,KALENDER!$A$3:$A$132,0)),"Di luar periode")</f>
        <v>Hari Kerja</v>
      </c>
      <c r="N901" s="71">
        <f t="shared" si="127"/>
        <v>1</v>
      </c>
      <c r="O901" s="71">
        <f t="shared" si="128"/>
        <v>1</v>
      </c>
      <c r="P901" s="71">
        <f t="shared" si="129"/>
        <v>1</v>
      </c>
      <c r="Q901" s="71">
        <f t="shared" si="130"/>
        <v>0</v>
      </c>
      <c r="R901" s="71">
        <f t="shared" si="131"/>
        <v>0</v>
      </c>
      <c r="S901" s="71">
        <f t="shared" si="132"/>
        <v>0</v>
      </c>
      <c r="T901" s="71">
        <f t="shared" si="133"/>
        <v>0</v>
      </c>
      <c r="U901" s="71">
        <f>IF(AND(N901=1,V901=1),IF(COUNTIFS(AKTIVITAS!$B$2:$B$3052,B901,AKTIVITAS!$E$2:$E$3052,H901)&gt;0,1,0),0)</f>
        <v>0</v>
      </c>
      <c r="V901" s="71">
        <f>IFERROR(IF(AND(H901&gt;=INDEX(PEMAGANG!$J$3:$J$36,MATCH(B901,PEMAGANG!$C$3:$C$36,0)),H901&lt;=INDEX(PEMAGANG!$K$3:$K$36,MATCH(B901,PEMAGANG!$C$3:$C$36,0))),1,0),0)</f>
        <v>1</v>
      </c>
      <c r="W901" s="71">
        <f t="shared" si="134"/>
        <v>1</v>
      </c>
    </row>
    <row r="902" spans="1:23" x14ac:dyDescent="0.2">
      <c r="A902" s="71" t="s">
        <v>213</v>
      </c>
      <c r="B902" s="71" t="s">
        <v>214</v>
      </c>
      <c r="C902" s="71" t="s">
        <v>187</v>
      </c>
      <c r="D902" s="71" t="s">
        <v>215</v>
      </c>
      <c r="E902" s="71" t="s">
        <v>54</v>
      </c>
      <c r="F902" s="71" t="s">
        <v>300</v>
      </c>
      <c r="G902" s="88">
        <v>46217.689039351899</v>
      </c>
      <c r="H902" s="89">
        <v>46217</v>
      </c>
      <c r="I902" s="71" t="s">
        <v>306</v>
      </c>
      <c r="J902" s="71">
        <v>0</v>
      </c>
      <c r="K902" s="71" t="s">
        <v>302</v>
      </c>
      <c r="L902" s="71">
        <f t="shared" si="126"/>
        <v>7</v>
      </c>
      <c r="M902" s="71" t="str">
        <f>IFERROR(INDEX(KALENDER!$D$3:$D$132,MATCH(H902,KALENDER!$A$3:$A$132,0)),"Di luar periode")</f>
        <v>Hari Kerja</v>
      </c>
      <c r="N902" s="71">
        <f t="shared" si="127"/>
        <v>0</v>
      </c>
      <c r="O902" s="71">
        <f t="shared" si="128"/>
        <v>1</v>
      </c>
      <c r="P902" s="71">
        <f t="shared" si="129"/>
        <v>0</v>
      </c>
      <c r="Q902" s="71">
        <f t="shared" si="130"/>
        <v>0</v>
      </c>
      <c r="R902" s="71">
        <f t="shared" si="131"/>
        <v>0</v>
      </c>
      <c r="S902" s="71">
        <f t="shared" si="132"/>
        <v>0</v>
      </c>
      <c r="T902" s="71">
        <f t="shared" si="133"/>
        <v>0</v>
      </c>
      <c r="U902" s="71">
        <f>IF(AND(N902=1,V902=1),IF(COUNTIFS(AKTIVITAS!$B$2:$B$3052,B902,AKTIVITAS!$E$2:$E$3052,H902)&gt;0,1,0),0)</f>
        <v>0</v>
      </c>
      <c r="V902" s="71">
        <f>IFERROR(IF(AND(H902&gt;=INDEX(PEMAGANG!$J$3:$J$36,MATCH(B902,PEMAGANG!$C$3:$C$36,0)),H902&lt;=INDEX(PEMAGANG!$K$3:$K$36,MATCH(B902,PEMAGANG!$C$3:$C$36,0))),1,0),0)</f>
        <v>1</v>
      </c>
      <c r="W902" s="71">
        <f t="shared" si="134"/>
        <v>0</v>
      </c>
    </row>
    <row r="903" spans="1:23" x14ac:dyDescent="0.2">
      <c r="A903" s="71" t="s">
        <v>213</v>
      </c>
      <c r="B903" s="71" t="s">
        <v>214</v>
      </c>
      <c r="C903" s="71" t="s">
        <v>187</v>
      </c>
      <c r="D903" s="71" t="s">
        <v>215</v>
      </c>
      <c r="E903" s="71" t="s">
        <v>54</v>
      </c>
      <c r="F903" s="71" t="s">
        <v>298</v>
      </c>
      <c r="G903" s="88">
        <v>46219.301759259302</v>
      </c>
      <c r="H903" s="89">
        <v>46219</v>
      </c>
      <c r="I903" s="71" t="s">
        <v>416</v>
      </c>
      <c r="J903" s="71">
        <v>-16</v>
      </c>
      <c r="K903" s="71" t="s">
        <v>302</v>
      </c>
      <c r="L903" s="71">
        <f t="shared" si="126"/>
        <v>7</v>
      </c>
      <c r="M903" s="71" t="str">
        <f>IFERROR(INDEX(KALENDER!$D$3:$D$132,MATCH(H903,KALENDER!$A$3:$A$132,0)),"Di luar periode")</f>
        <v>Hari Kerja</v>
      </c>
      <c r="N903" s="71">
        <f t="shared" si="127"/>
        <v>1</v>
      </c>
      <c r="O903" s="71">
        <f t="shared" si="128"/>
        <v>1</v>
      </c>
      <c r="P903" s="71">
        <f t="shared" si="129"/>
        <v>1</v>
      </c>
      <c r="Q903" s="71">
        <f t="shared" si="130"/>
        <v>0</v>
      </c>
      <c r="R903" s="71">
        <f t="shared" si="131"/>
        <v>0</v>
      </c>
      <c r="S903" s="71">
        <f t="shared" si="132"/>
        <v>0</v>
      </c>
      <c r="T903" s="71">
        <f t="shared" si="133"/>
        <v>0</v>
      </c>
      <c r="U903" s="71">
        <f>IF(AND(N903=1,V903=1),IF(COUNTIFS(AKTIVITAS!$B$2:$B$3052,B903,AKTIVITAS!$E$2:$E$3052,H903)&gt;0,1,0),0)</f>
        <v>1</v>
      </c>
      <c r="V903" s="71">
        <f>IFERROR(IF(AND(H903&gt;=INDEX(PEMAGANG!$J$3:$J$36,MATCH(B903,PEMAGANG!$C$3:$C$36,0)),H903&lt;=INDEX(PEMAGANG!$K$3:$K$36,MATCH(B903,PEMAGANG!$C$3:$C$36,0))),1,0),0)</f>
        <v>1</v>
      </c>
      <c r="W903" s="71">
        <f t="shared" si="134"/>
        <v>1</v>
      </c>
    </row>
    <row r="904" spans="1:23" x14ac:dyDescent="0.2">
      <c r="A904" s="71" t="s">
        <v>213</v>
      </c>
      <c r="B904" s="71" t="s">
        <v>214</v>
      </c>
      <c r="C904" s="71" t="s">
        <v>187</v>
      </c>
      <c r="D904" s="71" t="s">
        <v>215</v>
      </c>
      <c r="E904" s="71" t="s">
        <v>54</v>
      </c>
      <c r="F904" s="71" t="s">
        <v>300</v>
      </c>
      <c r="G904" s="88">
        <v>46219.688912037003</v>
      </c>
      <c r="H904" s="89">
        <v>46219</v>
      </c>
      <c r="I904" s="71" t="s">
        <v>306</v>
      </c>
      <c r="J904" s="71">
        <v>0</v>
      </c>
      <c r="K904" s="71" t="s">
        <v>302</v>
      </c>
      <c r="L904" s="71">
        <f t="shared" si="126"/>
        <v>7</v>
      </c>
      <c r="M904" s="71" t="str">
        <f>IFERROR(INDEX(KALENDER!$D$3:$D$132,MATCH(H904,KALENDER!$A$3:$A$132,0)),"Di luar periode")</f>
        <v>Hari Kerja</v>
      </c>
      <c r="N904" s="71">
        <f t="shared" si="127"/>
        <v>0</v>
      </c>
      <c r="O904" s="71">
        <f t="shared" si="128"/>
        <v>1</v>
      </c>
      <c r="P904" s="71">
        <f t="shared" si="129"/>
        <v>0</v>
      </c>
      <c r="Q904" s="71">
        <f t="shared" si="130"/>
        <v>0</v>
      </c>
      <c r="R904" s="71">
        <f t="shared" si="131"/>
        <v>0</v>
      </c>
      <c r="S904" s="71">
        <f t="shared" si="132"/>
        <v>0</v>
      </c>
      <c r="T904" s="71">
        <f t="shared" si="133"/>
        <v>0</v>
      </c>
      <c r="U904" s="71">
        <f>IF(AND(N904=1,V904=1),IF(COUNTIFS(AKTIVITAS!$B$2:$B$3052,B904,AKTIVITAS!$E$2:$E$3052,H904)&gt;0,1,0),0)</f>
        <v>0</v>
      </c>
      <c r="V904" s="71">
        <f>IFERROR(IF(AND(H904&gt;=INDEX(PEMAGANG!$J$3:$J$36,MATCH(B904,PEMAGANG!$C$3:$C$36,0)),H904&lt;=INDEX(PEMAGANG!$K$3:$K$36,MATCH(B904,PEMAGANG!$C$3:$C$36,0))),1,0),0)</f>
        <v>1</v>
      </c>
      <c r="W904" s="71">
        <f t="shared" si="134"/>
        <v>0</v>
      </c>
    </row>
    <row r="905" spans="1:23" x14ac:dyDescent="0.2">
      <c r="A905" s="71" t="s">
        <v>213</v>
      </c>
      <c r="B905" s="71" t="s">
        <v>214</v>
      </c>
      <c r="C905" s="71" t="s">
        <v>187</v>
      </c>
      <c r="D905" s="71" t="s">
        <v>215</v>
      </c>
      <c r="E905" s="71" t="s">
        <v>54</v>
      </c>
      <c r="F905" s="71" t="s">
        <v>298</v>
      </c>
      <c r="G905" s="88">
        <v>46220.303263888898</v>
      </c>
      <c r="H905" s="89">
        <v>46220</v>
      </c>
      <c r="I905" s="71" t="s">
        <v>327</v>
      </c>
      <c r="J905" s="71">
        <v>-14</v>
      </c>
      <c r="K905" s="71" t="s">
        <v>302</v>
      </c>
      <c r="L905" s="71">
        <f t="shared" si="126"/>
        <v>7</v>
      </c>
      <c r="M905" s="71" t="str">
        <f>IFERROR(INDEX(KALENDER!$D$3:$D$132,MATCH(H905,KALENDER!$A$3:$A$132,0)),"Di luar periode")</f>
        <v>Hari Kerja</v>
      </c>
      <c r="N905" s="71">
        <f t="shared" si="127"/>
        <v>1</v>
      </c>
      <c r="O905" s="71">
        <f t="shared" si="128"/>
        <v>1</v>
      </c>
      <c r="P905" s="71">
        <f t="shared" si="129"/>
        <v>1</v>
      </c>
      <c r="Q905" s="71">
        <f t="shared" si="130"/>
        <v>0</v>
      </c>
      <c r="R905" s="71">
        <f t="shared" si="131"/>
        <v>0</v>
      </c>
      <c r="S905" s="71">
        <f t="shared" si="132"/>
        <v>0</v>
      </c>
      <c r="T905" s="71">
        <f t="shared" si="133"/>
        <v>0</v>
      </c>
      <c r="U905" s="71">
        <f>IF(AND(N905=1,V905=1),IF(COUNTIFS(AKTIVITAS!$B$2:$B$3052,B905,AKTIVITAS!$E$2:$E$3052,H905)&gt;0,1,0),0)</f>
        <v>1</v>
      </c>
      <c r="V905" s="71">
        <f>IFERROR(IF(AND(H905&gt;=INDEX(PEMAGANG!$J$3:$J$36,MATCH(B905,PEMAGANG!$C$3:$C$36,0)),H905&lt;=INDEX(PEMAGANG!$K$3:$K$36,MATCH(B905,PEMAGANG!$C$3:$C$36,0))),1,0),0)</f>
        <v>1</v>
      </c>
      <c r="W905" s="71">
        <f t="shared" si="134"/>
        <v>1</v>
      </c>
    </row>
    <row r="906" spans="1:23" x14ac:dyDescent="0.2">
      <c r="A906" s="71" t="s">
        <v>213</v>
      </c>
      <c r="B906" s="71" t="s">
        <v>214</v>
      </c>
      <c r="C906" s="71" t="s">
        <v>187</v>
      </c>
      <c r="D906" s="71" t="s">
        <v>215</v>
      </c>
      <c r="E906" s="71" t="s">
        <v>54</v>
      </c>
      <c r="F906" s="71" t="s">
        <v>300</v>
      </c>
      <c r="G906" s="88">
        <v>46220.691851851901</v>
      </c>
      <c r="H906" s="89">
        <v>46220</v>
      </c>
      <c r="I906" s="71" t="s">
        <v>344</v>
      </c>
      <c r="J906" s="71">
        <v>0</v>
      </c>
      <c r="K906" s="71" t="s">
        <v>302</v>
      </c>
      <c r="L906" s="71">
        <f t="shared" si="126"/>
        <v>7</v>
      </c>
      <c r="M906" s="71" t="str">
        <f>IFERROR(INDEX(KALENDER!$D$3:$D$132,MATCH(H906,KALENDER!$A$3:$A$132,0)),"Di luar periode")</f>
        <v>Hari Kerja</v>
      </c>
      <c r="N906" s="71">
        <f t="shared" si="127"/>
        <v>0</v>
      </c>
      <c r="O906" s="71">
        <f t="shared" si="128"/>
        <v>1</v>
      </c>
      <c r="P906" s="71">
        <f t="shared" si="129"/>
        <v>0</v>
      </c>
      <c r="Q906" s="71">
        <f t="shared" si="130"/>
        <v>0</v>
      </c>
      <c r="R906" s="71">
        <f t="shared" si="131"/>
        <v>0</v>
      </c>
      <c r="S906" s="71">
        <f t="shared" si="132"/>
        <v>0</v>
      </c>
      <c r="T906" s="71">
        <f t="shared" si="133"/>
        <v>0</v>
      </c>
      <c r="U906" s="71">
        <f>IF(AND(N906=1,V906=1),IF(COUNTIFS(AKTIVITAS!$B$2:$B$3052,B906,AKTIVITAS!$E$2:$E$3052,H906)&gt;0,1,0),0)</f>
        <v>0</v>
      </c>
      <c r="V906" s="71">
        <f>IFERROR(IF(AND(H906&gt;=INDEX(PEMAGANG!$J$3:$J$36,MATCH(B906,PEMAGANG!$C$3:$C$36,0)),H906&lt;=INDEX(PEMAGANG!$K$3:$K$36,MATCH(B906,PEMAGANG!$C$3:$C$36,0))),1,0),0)</f>
        <v>1</v>
      </c>
      <c r="W906" s="71">
        <f t="shared" si="134"/>
        <v>0</v>
      </c>
    </row>
    <row r="907" spans="1:23" x14ac:dyDescent="0.2">
      <c r="A907" s="71" t="s">
        <v>213</v>
      </c>
      <c r="B907" s="71" t="s">
        <v>214</v>
      </c>
      <c r="C907" s="71" t="s">
        <v>187</v>
      </c>
      <c r="D907" s="71" t="s">
        <v>215</v>
      </c>
      <c r="E907" s="71" t="s">
        <v>54</v>
      </c>
      <c r="F907" s="71" t="s">
        <v>298</v>
      </c>
      <c r="G907" s="88">
        <v>46223.301076388903</v>
      </c>
      <c r="H907" s="89">
        <v>46223</v>
      </c>
      <c r="I907" s="71" t="s">
        <v>475</v>
      </c>
      <c r="J907" s="71">
        <v>-17</v>
      </c>
      <c r="K907" s="71" t="s">
        <v>302</v>
      </c>
      <c r="L907" s="71">
        <f t="shared" si="126"/>
        <v>7</v>
      </c>
      <c r="M907" s="71" t="str">
        <f>IFERROR(INDEX(KALENDER!$D$3:$D$132,MATCH(H907,KALENDER!$A$3:$A$132,0)),"Di luar periode")</f>
        <v>Hari Kerja</v>
      </c>
      <c r="N907" s="71">
        <f t="shared" si="127"/>
        <v>1</v>
      </c>
      <c r="O907" s="71">
        <f t="shared" si="128"/>
        <v>1</v>
      </c>
      <c r="P907" s="71">
        <f t="shared" si="129"/>
        <v>1</v>
      </c>
      <c r="Q907" s="71">
        <f t="shared" si="130"/>
        <v>0</v>
      </c>
      <c r="R907" s="71">
        <f t="shared" si="131"/>
        <v>0</v>
      </c>
      <c r="S907" s="71">
        <f t="shared" si="132"/>
        <v>0</v>
      </c>
      <c r="T907" s="71">
        <f t="shared" si="133"/>
        <v>0</v>
      </c>
      <c r="U907" s="71">
        <f>IF(AND(N907=1,V907=1),IF(COUNTIFS(AKTIVITAS!$B$2:$B$3052,B907,AKTIVITAS!$E$2:$E$3052,H907)&gt;0,1,0),0)</f>
        <v>1</v>
      </c>
      <c r="V907" s="71">
        <f>IFERROR(IF(AND(H907&gt;=INDEX(PEMAGANG!$J$3:$J$36,MATCH(B907,PEMAGANG!$C$3:$C$36,0)),H907&lt;=INDEX(PEMAGANG!$K$3:$K$36,MATCH(B907,PEMAGANG!$C$3:$C$36,0))),1,0),0)</f>
        <v>1</v>
      </c>
      <c r="W907" s="71">
        <f t="shared" si="134"/>
        <v>1</v>
      </c>
    </row>
    <row r="908" spans="1:23" x14ac:dyDescent="0.2">
      <c r="A908" s="71" t="s">
        <v>213</v>
      </c>
      <c r="B908" s="71" t="s">
        <v>214</v>
      </c>
      <c r="C908" s="71" t="s">
        <v>187</v>
      </c>
      <c r="D908" s="71" t="s">
        <v>215</v>
      </c>
      <c r="E908" s="71" t="s">
        <v>54</v>
      </c>
      <c r="F908" s="71" t="s">
        <v>300</v>
      </c>
      <c r="G908" s="88">
        <v>46223.688773148198</v>
      </c>
      <c r="H908" s="89">
        <v>46223</v>
      </c>
      <c r="I908" s="71" t="s">
        <v>336</v>
      </c>
      <c r="J908" s="71">
        <v>0</v>
      </c>
      <c r="K908" s="71" t="s">
        <v>302</v>
      </c>
      <c r="L908" s="71">
        <f t="shared" si="126"/>
        <v>7</v>
      </c>
      <c r="M908" s="71" t="str">
        <f>IFERROR(INDEX(KALENDER!$D$3:$D$132,MATCH(H908,KALENDER!$A$3:$A$132,0)),"Di luar periode")</f>
        <v>Hari Kerja</v>
      </c>
      <c r="N908" s="71">
        <f t="shared" si="127"/>
        <v>0</v>
      </c>
      <c r="O908" s="71">
        <f t="shared" si="128"/>
        <v>1</v>
      </c>
      <c r="P908" s="71">
        <f t="shared" si="129"/>
        <v>0</v>
      </c>
      <c r="Q908" s="71">
        <f t="shared" si="130"/>
        <v>0</v>
      </c>
      <c r="R908" s="71">
        <f t="shared" si="131"/>
        <v>0</v>
      </c>
      <c r="S908" s="71">
        <f t="shared" si="132"/>
        <v>0</v>
      </c>
      <c r="T908" s="71">
        <f t="shared" si="133"/>
        <v>0</v>
      </c>
      <c r="U908" s="71">
        <f>IF(AND(N908=1,V908=1),IF(COUNTIFS(AKTIVITAS!$B$2:$B$3052,B908,AKTIVITAS!$E$2:$E$3052,H908)&gt;0,1,0),0)</f>
        <v>0</v>
      </c>
      <c r="V908" s="71">
        <f>IFERROR(IF(AND(H908&gt;=INDEX(PEMAGANG!$J$3:$J$36,MATCH(B908,PEMAGANG!$C$3:$C$36,0)),H908&lt;=INDEX(PEMAGANG!$K$3:$K$36,MATCH(B908,PEMAGANG!$C$3:$C$36,0))),1,0),0)</f>
        <v>1</v>
      </c>
      <c r="W908" s="71">
        <f t="shared" si="134"/>
        <v>0</v>
      </c>
    </row>
    <row r="909" spans="1:23" x14ac:dyDescent="0.2">
      <c r="A909" s="71" t="s">
        <v>213</v>
      </c>
      <c r="B909" s="71" t="s">
        <v>214</v>
      </c>
      <c r="C909" s="71" t="s">
        <v>187</v>
      </c>
      <c r="D909" s="71" t="s">
        <v>215</v>
      </c>
      <c r="E909" s="71" t="s">
        <v>54</v>
      </c>
      <c r="F909" s="71" t="s">
        <v>298</v>
      </c>
      <c r="G909" s="88">
        <v>46224.301412036999</v>
      </c>
      <c r="H909" s="89">
        <v>46224</v>
      </c>
      <c r="I909" s="71" t="s">
        <v>416</v>
      </c>
      <c r="J909" s="71">
        <v>-16</v>
      </c>
      <c r="K909" s="71" t="s">
        <v>302</v>
      </c>
      <c r="L909" s="71">
        <f t="shared" si="126"/>
        <v>7</v>
      </c>
      <c r="M909" s="71" t="str">
        <f>IFERROR(INDEX(KALENDER!$D$3:$D$132,MATCH(H909,KALENDER!$A$3:$A$132,0)),"Di luar periode")</f>
        <v>Hari Kerja</v>
      </c>
      <c r="N909" s="71">
        <f t="shared" si="127"/>
        <v>1</v>
      </c>
      <c r="O909" s="71">
        <f t="shared" si="128"/>
        <v>1</v>
      </c>
      <c r="P909" s="71">
        <f t="shared" si="129"/>
        <v>1</v>
      </c>
      <c r="Q909" s="71">
        <f t="shared" si="130"/>
        <v>0</v>
      </c>
      <c r="R909" s="71">
        <f t="shared" si="131"/>
        <v>0</v>
      </c>
      <c r="S909" s="71">
        <f t="shared" si="132"/>
        <v>0</v>
      </c>
      <c r="T909" s="71">
        <f t="shared" si="133"/>
        <v>0</v>
      </c>
      <c r="U909" s="71">
        <f>IF(AND(N909=1,V909=1),IF(COUNTIFS(AKTIVITAS!$B$2:$B$3052,B909,AKTIVITAS!$E$2:$E$3052,H909)&gt;0,1,0),0)</f>
        <v>1</v>
      </c>
      <c r="V909" s="71">
        <f>IFERROR(IF(AND(H909&gt;=INDEX(PEMAGANG!$J$3:$J$36,MATCH(B909,PEMAGANG!$C$3:$C$36,0)),H909&lt;=INDEX(PEMAGANG!$K$3:$K$36,MATCH(B909,PEMAGANG!$C$3:$C$36,0))),1,0),0)</f>
        <v>1</v>
      </c>
      <c r="W909" s="71">
        <f t="shared" si="134"/>
        <v>1</v>
      </c>
    </row>
    <row r="910" spans="1:23" x14ac:dyDescent="0.2">
      <c r="A910" s="71" t="s">
        <v>213</v>
      </c>
      <c r="B910" s="71" t="s">
        <v>214</v>
      </c>
      <c r="C910" s="71" t="s">
        <v>187</v>
      </c>
      <c r="D910" s="71" t="s">
        <v>215</v>
      </c>
      <c r="E910" s="71" t="s">
        <v>54</v>
      </c>
      <c r="F910" s="71" t="s">
        <v>300</v>
      </c>
      <c r="G910" s="88">
        <v>46224.688483796301</v>
      </c>
      <c r="H910" s="89">
        <v>46224</v>
      </c>
      <c r="I910" s="71" t="s">
        <v>336</v>
      </c>
      <c r="J910" s="71">
        <v>0</v>
      </c>
      <c r="K910" s="71" t="s">
        <v>302</v>
      </c>
      <c r="L910" s="71">
        <f t="shared" si="126"/>
        <v>7</v>
      </c>
      <c r="M910" s="71" t="str">
        <f>IFERROR(INDEX(KALENDER!$D$3:$D$132,MATCH(H910,KALENDER!$A$3:$A$132,0)),"Di luar periode")</f>
        <v>Hari Kerja</v>
      </c>
      <c r="N910" s="71">
        <f t="shared" si="127"/>
        <v>0</v>
      </c>
      <c r="O910" s="71">
        <f t="shared" si="128"/>
        <v>1</v>
      </c>
      <c r="P910" s="71">
        <f t="shared" si="129"/>
        <v>0</v>
      </c>
      <c r="Q910" s="71">
        <f t="shared" si="130"/>
        <v>0</v>
      </c>
      <c r="R910" s="71">
        <f t="shared" si="131"/>
        <v>0</v>
      </c>
      <c r="S910" s="71">
        <f t="shared" si="132"/>
        <v>0</v>
      </c>
      <c r="T910" s="71">
        <f t="shared" si="133"/>
        <v>0</v>
      </c>
      <c r="U910" s="71">
        <f>IF(AND(N910=1,V910=1),IF(COUNTIFS(AKTIVITAS!$B$2:$B$3052,B910,AKTIVITAS!$E$2:$E$3052,H910)&gt;0,1,0),0)</f>
        <v>0</v>
      </c>
      <c r="V910" s="71">
        <f>IFERROR(IF(AND(H910&gt;=INDEX(PEMAGANG!$J$3:$J$36,MATCH(B910,PEMAGANG!$C$3:$C$36,0)),H910&lt;=INDEX(PEMAGANG!$K$3:$K$36,MATCH(B910,PEMAGANG!$C$3:$C$36,0))),1,0),0)</f>
        <v>1</v>
      </c>
      <c r="W910" s="71">
        <f t="shared" si="134"/>
        <v>0</v>
      </c>
    </row>
    <row r="911" spans="1:23" x14ac:dyDescent="0.2">
      <c r="A911" s="71" t="s">
        <v>213</v>
      </c>
      <c r="B911" s="71" t="s">
        <v>214</v>
      </c>
      <c r="C911" s="71" t="s">
        <v>187</v>
      </c>
      <c r="D911" s="71" t="s">
        <v>215</v>
      </c>
      <c r="E911" s="71" t="s">
        <v>54</v>
      </c>
      <c r="F911" s="71" t="s">
        <v>298</v>
      </c>
      <c r="G911" s="88">
        <v>46226.305983796301</v>
      </c>
      <c r="H911" s="89">
        <v>46226</v>
      </c>
      <c r="I911" s="71" t="s">
        <v>329</v>
      </c>
      <c r="J911" s="71">
        <v>-10</v>
      </c>
      <c r="K911" s="71" t="s">
        <v>302</v>
      </c>
      <c r="L911" s="71">
        <f t="shared" si="126"/>
        <v>7</v>
      </c>
      <c r="M911" s="71" t="str">
        <f>IFERROR(INDEX(KALENDER!$D$3:$D$132,MATCH(H911,KALENDER!$A$3:$A$132,0)),"Di luar periode")</f>
        <v>Hari Kerja</v>
      </c>
      <c r="N911" s="71">
        <f t="shared" si="127"/>
        <v>1</v>
      </c>
      <c r="O911" s="71">
        <f t="shared" si="128"/>
        <v>1</v>
      </c>
      <c r="P911" s="71">
        <f t="shared" si="129"/>
        <v>1</v>
      </c>
      <c r="Q911" s="71">
        <f t="shared" si="130"/>
        <v>0</v>
      </c>
      <c r="R911" s="71">
        <f t="shared" si="131"/>
        <v>0</v>
      </c>
      <c r="S911" s="71">
        <f t="shared" si="132"/>
        <v>0</v>
      </c>
      <c r="T911" s="71">
        <f t="shared" si="133"/>
        <v>0</v>
      </c>
      <c r="U911" s="71">
        <f>IF(AND(N911=1,V911=1),IF(COUNTIFS(AKTIVITAS!$B$2:$B$3052,B911,AKTIVITAS!$E$2:$E$3052,H911)&gt;0,1,0),0)</f>
        <v>1</v>
      </c>
      <c r="V911" s="71">
        <f>IFERROR(IF(AND(H911&gt;=INDEX(PEMAGANG!$J$3:$J$36,MATCH(B911,PEMAGANG!$C$3:$C$36,0)),H911&lt;=INDEX(PEMAGANG!$K$3:$K$36,MATCH(B911,PEMAGANG!$C$3:$C$36,0))),1,0),0)</f>
        <v>1</v>
      </c>
      <c r="W911" s="71">
        <f t="shared" si="134"/>
        <v>1</v>
      </c>
    </row>
    <row r="912" spans="1:23" x14ac:dyDescent="0.2">
      <c r="A912" s="71" t="s">
        <v>213</v>
      </c>
      <c r="B912" s="71" t="s">
        <v>214</v>
      </c>
      <c r="C912" s="71" t="s">
        <v>187</v>
      </c>
      <c r="D912" s="71" t="s">
        <v>215</v>
      </c>
      <c r="E912" s="71" t="s">
        <v>54</v>
      </c>
      <c r="F912" s="71" t="s">
        <v>300</v>
      </c>
      <c r="G912" s="88">
        <v>46226.688935185201</v>
      </c>
      <c r="H912" s="89">
        <v>46226</v>
      </c>
      <c r="I912" s="71" t="s">
        <v>306</v>
      </c>
      <c r="J912" s="71">
        <v>0</v>
      </c>
      <c r="K912" s="71" t="s">
        <v>302</v>
      </c>
      <c r="L912" s="71">
        <f t="shared" si="126"/>
        <v>7</v>
      </c>
      <c r="M912" s="71" t="str">
        <f>IFERROR(INDEX(KALENDER!$D$3:$D$132,MATCH(H912,KALENDER!$A$3:$A$132,0)),"Di luar periode")</f>
        <v>Hari Kerja</v>
      </c>
      <c r="N912" s="71">
        <f t="shared" si="127"/>
        <v>0</v>
      </c>
      <c r="O912" s="71">
        <f t="shared" si="128"/>
        <v>1</v>
      </c>
      <c r="P912" s="71">
        <f t="shared" si="129"/>
        <v>0</v>
      </c>
      <c r="Q912" s="71">
        <f t="shared" si="130"/>
        <v>0</v>
      </c>
      <c r="R912" s="71">
        <f t="shared" si="131"/>
        <v>0</v>
      </c>
      <c r="S912" s="71">
        <f t="shared" si="132"/>
        <v>0</v>
      </c>
      <c r="T912" s="71">
        <f t="shared" si="133"/>
        <v>0</v>
      </c>
      <c r="U912" s="71">
        <f>IF(AND(N912=1,V912=1),IF(COUNTIFS(AKTIVITAS!$B$2:$B$3052,B912,AKTIVITAS!$E$2:$E$3052,H912)&gt;0,1,0),0)</f>
        <v>0</v>
      </c>
      <c r="V912" s="71">
        <f>IFERROR(IF(AND(H912&gt;=INDEX(PEMAGANG!$J$3:$J$36,MATCH(B912,PEMAGANG!$C$3:$C$36,0)),H912&lt;=INDEX(PEMAGANG!$K$3:$K$36,MATCH(B912,PEMAGANG!$C$3:$C$36,0))),1,0),0)</f>
        <v>1</v>
      </c>
      <c r="W912" s="71">
        <f t="shared" si="134"/>
        <v>0</v>
      </c>
    </row>
    <row r="913" spans="1:23" x14ac:dyDescent="0.2">
      <c r="A913" s="71" t="s">
        <v>213</v>
      </c>
      <c r="B913" s="71" t="s">
        <v>214</v>
      </c>
      <c r="C913" s="71" t="s">
        <v>187</v>
      </c>
      <c r="D913" s="71" t="s">
        <v>215</v>
      </c>
      <c r="E913" s="71" t="s">
        <v>54</v>
      </c>
      <c r="F913" s="71" t="s">
        <v>298</v>
      </c>
      <c r="G913" s="88">
        <v>46227.299918981502</v>
      </c>
      <c r="H913" s="89">
        <v>46227</v>
      </c>
      <c r="I913" s="71" t="s">
        <v>402</v>
      </c>
      <c r="J913" s="71">
        <v>-19</v>
      </c>
      <c r="K913" s="71" t="s">
        <v>302</v>
      </c>
      <c r="L913" s="71">
        <f t="shared" si="126"/>
        <v>7</v>
      </c>
      <c r="M913" s="71" t="str">
        <f>IFERROR(INDEX(KALENDER!$D$3:$D$132,MATCH(H913,KALENDER!$A$3:$A$132,0)),"Di luar periode")</f>
        <v>Hari Kerja</v>
      </c>
      <c r="N913" s="71">
        <f t="shared" si="127"/>
        <v>1</v>
      </c>
      <c r="O913" s="71">
        <f t="shared" si="128"/>
        <v>1</v>
      </c>
      <c r="P913" s="71">
        <f t="shared" si="129"/>
        <v>1</v>
      </c>
      <c r="Q913" s="71">
        <f t="shared" si="130"/>
        <v>0</v>
      </c>
      <c r="R913" s="71">
        <f t="shared" si="131"/>
        <v>0</v>
      </c>
      <c r="S913" s="71">
        <f t="shared" si="132"/>
        <v>0</v>
      </c>
      <c r="T913" s="71">
        <f t="shared" si="133"/>
        <v>0</v>
      </c>
      <c r="U913" s="71">
        <f>IF(AND(N913=1,V913=1),IF(COUNTIFS(AKTIVITAS!$B$2:$B$3052,B913,AKTIVITAS!$E$2:$E$3052,H913)&gt;0,1,0),0)</f>
        <v>1</v>
      </c>
      <c r="V913" s="71">
        <f>IFERROR(IF(AND(H913&gt;=INDEX(PEMAGANG!$J$3:$J$36,MATCH(B913,PEMAGANG!$C$3:$C$36,0)),H913&lt;=INDEX(PEMAGANG!$K$3:$K$36,MATCH(B913,PEMAGANG!$C$3:$C$36,0))),1,0),0)</f>
        <v>1</v>
      </c>
      <c r="W913" s="71">
        <f t="shared" si="134"/>
        <v>1</v>
      </c>
    </row>
    <row r="914" spans="1:23" x14ac:dyDescent="0.2">
      <c r="A914" s="71" t="s">
        <v>213</v>
      </c>
      <c r="B914" s="71" t="s">
        <v>214</v>
      </c>
      <c r="C914" s="71" t="s">
        <v>187</v>
      </c>
      <c r="D914" s="71" t="s">
        <v>215</v>
      </c>
      <c r="E914" s="71" t="s">
        <v>54</v>
      </c>
      <c r="F914" s="71" t="s">
        <v>300</v>
      </c>
      <c r="G914" s="88">
        <v>46227.6897453704</v>
      </c>
      <c r="H914" s="89">
        <v>46227</v>
      </c>
      <c r="I914" s="71" t="s">
        <v>316</v>
      </c>
      <c r="J914" s="71">
        <v>0</v>
      </c>
      <c r="K914" s="71" t="s">
        <v>302</v>
      </c>
      <c r="L914" s="71">
        <f t="shared" si="126"/>
        <v>7</v>
      </c>
      <c r="M914" s="71" t="str">
        <f>IFERROR(INDEX(KALENDER!$D$3:$D$132,MATCH(H914,KALENDER!$A$3:$A$132,0)),"Di luar periode")</f>
        <v>Hari Kerja</v>
      </c>
      <c r="N914" s="71">
        <f t="shared" si="127"/>
        <v>0</v>
      </c>
      <c r="O914" s="71">
        <f t="shared" si="128"/>
        <v>1</v>
      </c>
      <c r="P914" s="71">
        <f t="shared" si="129"/>
        <v>0</v>
      </c>
      <c r="Q914" s="71">
        <f t="shared" si="130"/>
        <v>0</v>
      </c>
      <c r="R914" s="71">
        <f t="shared" si="131"/>
        <v>0</v>
      </c>
      <c r="S914" s="71">
        <f t="shared" si="132"/>
        <v>0</v>
      </c>
      <c r="T914" s="71">
        <f t="shared" si="133"/>
        <v>0</v>
      </c>
      <c r="U914" s="71">
        <f>IF(AND(N914=1,V914=1),IF(COUNTIFS(AKTIVITAS!$B$2:$B$3052,B914,AKTIVITAS!$E$2:$E$3052,H914)&gt;0,1,0),0)</f>
        <v>0</v>
      </c>
      <c r="V914" s="71">
        <f>IFERROR(IF(AND(H914&gt;=INDEX(PEMAGANG!$J$3:$J$36,MATCH(B914,PEMAGANG!$C$3:$C$36,0)),H914&lt;=INDEX(PEMAGANG!$K$3:$K$36,MATCH(B914,PEMAGANG!$C$3:$C$36,0))),1,0),0)</f>
        <v>1</v>
      </c>
      <c r="W914" s="71">
        <f t="shared" si="134"/>
        <v>0</v>
      </c>
    </row>
    <row r="915" spans="1:23" x14ac:dyDescent="0.2">
      <c r="A915" s="71" t="s">
        <v>213</v>
      </c>
      <c r="B915" s="71" t="s">
        <v>214</v>
      </c>
      <c r="C915" s="71" t="s">
        <v>187</v>
      </c>
      <c r="D915" s="71" t="s">
        <v>215</v>
      </c>
      <c r="E915" s="71" t="s">
        <v>54</v>
      </c>
      <c r="F915" s="71" t="s">
        <v>298</v>
      </c>
      <c r="G915" s="88">
        <v>46230.302071759303</v>
      </c>
      <c r="H915" s="89">
        <v>46230</v>
      </c>
      <c r="I915" s="71" t="s">
        <v>416</v>
      </c>
      <c r="J915" s="71">
        <v>-16</v>
      </c>
      <c r="K915" s="71" t="s">
        <v>302</v>
      </c>
      <c r="L915" s="71">
        <f t="shared" si="126"/>
        <v>7</v>
      </c>
      <c r="M915" s="71" t="str">
        <f>IFERROR(INDEX(KALENDER!$D$3:$D$132,MATCH(H915,KALENDER!$A$3:$A$132,0)),"Di luar periode")</f>
        <v>Hari Kerja</v>
      </c>
      <c r="N915" s="71">
        <f t="shared" si="127"/>
        <v>1</v>
      </c>
      <c r="O915" s="71">
        <f t="shared" si="128"/>
        <v>1</v>
      </c>
      <c r="P915" s="71">
        <f t="shared" si="129"/>
        <v>1</v>
      </c>
      <c r="Q915" s="71">
        <f t="shared" si="130"/>
        <v>0</v>
      </c>
      <c r="R915" s="71">
        <f t="shared" si="131"/>
        <v>0</v>
      </c>
      <c r="S915" s="71">
        <f t="shared" si="132"/>
        <v>0</v>
      </c>
      <c r="T915" s="71">
        <f t="shared" si="133"/>
        <v>0</v>
      </c>
      <c r="U915" s="71">
        <f>IF(AND(N915=1,V915=1),IF(COUNTIFS(AKTIVITAS!$B$2:$B$3052,B915,AKTIVITAS!$E$2:$E$3052,H915)&gt;0,1,0),0)</f>
        <v>1</v>
      </c>
      <c r="V915" s="71">
        <f>IFERROR(IF(AND(H915&gt;=INDEX(PEMAGANG!$J$3:$J$36,MATCH(B915,PEMAGANG!$C$3:$C$36,0)),H915&lt;=INDEX(PEMAGANG!$K$3:$K$36,MATCH(B915,PEMAGANG!$C$3:$C$36,0))),1,0),0)</f>
        <v>1</v>
      </c>
      <c r="W915" s="71">
        <f t="shared" si="134"/>
        <v>1</v>
      </c>
    </row>
    <row r="916" spans="1:23" x14ac:dyDescent="0.2">
      <c r="A916" s="71" t="s">
        <v>213</v>
      </c>
      <c r="B916" s="71" t="s">
        <v>214</v>
      </c>
      <c r="C916" s="71" t="s">
        <v>187</v>
      </c>
      <c r="D916" s="71" t="s">
        <v>215</v>
      </c>
      <c r="E916" s="71" t="s">
        <v>54</v>
      </c>
      <c r="F916" s="71" t="s">
        <v>300</v>
      </c>
      <c r="G916" s="88">
        <v>46230.689872685201</v>
      </c>
      <c r="H916" s="89">
        <v>46230</v>
      </c>
      <c r="I916" s="71" t="s">
        <v>316</v>
      </c>
      <c r="J916" s="71">
        <v>0</v>
      </c>
      <c r="K916" s="71" t="s">
        <v>302</v>
      </c>
      <c r="L916" s="71">
        <f t="shared" si="126"/>
        <v>7</v>
      </c>
      <c r="M916" s="71" t="str">
        <f>IFERROR(INDEX(KALENDER!$D$3:$D$132,MATCH(H916,KALENDER!$A$3:$A$132,0)),"Di luar periode")</f>
        <v>Hari Kerja</v>
      </c>
      <c r="N916" s="71">
        <f t="shared" si="127"/>
        <v>0</v>
      </c>
      <c r="O916" s="71">
        <f t="shared" si="128"/>
        <v>1</v>
      </c>
      <c r="P916" s="71">
        <f t="shared" si="129"/>
        <v>0</v>
      </c>
      <c r="Q916" s="71">
        <f t="shared" si="130"/>
        <v>0</v>
      </c>
      <c r="R916" s="71">
        <f t="shared" si="131"/>
        <v>0</v>
      </c>
      <c r="S916" s="71">
        <f t="shared" si="132"/>
        <v>0</v>
      </c>
      <c r="T916" s="71">
        <f t="shared" si="133"/>
        <v>0</v>
      </c>
      <c r="U916" s="71">
        <f>IF(AND(N916=1,V916=1),IF(COUNTIFS(AKTIVITAS!$B$2:$B$3052,B916,AKTIVITAS!$E$2:$E$3052,H916)&gt;0,1,0),0)</f>
        <v>0</v>
      </c>
      <c r="V916" s="71">
        <f>IFERROR(IF(AND(H916&gt;=INDEX(PEMAGANG!$J$3:$J$36,MATCH(B916,PEMAGANG!$C$3:$C$36,0)),H916&lt;=INDEX(PEMAGANG!$K$3:$K$36,MATCH(B916,PEMAGANG!$C$3:$C$36,0))),1,0),0)</f>
        <v>1</v>
      </c>
      <c r="W916" s="71">
        <f t="shared" si="134"/>
        <v>0</v>
      </c>
    </row>
    <row r="917" spans="1:23" x14ac:dyDescent="0.2">
      <c r="A917" s="71" t="s">
        <v>213</v>
      </c>
      <c r="B917" s="71" t="s">
        <v>214</v>
      </c>
      <c r="C917" s="71" t="s">
        <v>187</v>
      </c>
      <c r="D917" s="71" t="s">
        <v>215</v>
      </c>
      <c r="E917" s="71" t="s">
        <v>54</v>
      </c>
      <c r="F917" s="71" t="s">
        <v>298</v>
      </c>
      <c r="G917" s="88">
        <v>46231.297662037003</v>
      </c>
      <c r="H917" s="89">
        <v>46231</v>
      </c>
      <c r="I917" s="71" t="s">
        <v>486</v>
      </c>
      <c r="J917" s="71">
        <v>-22</v>
      </c>
      <c r="K917" s="71" t="s">
        <v>302</v>
      </c>
      <c r="L917" s="71">
        <f t="shared" si="126"/>
        <v>7</v>
      </c>
      <c r="M917" s="71" t="str">
        <f>IFERROR(INDEX(KALENDER!$D$3:$D$132,MATCH(H917,KALENDER!$A$3:$A$132,0)),"Di luar periode")</f>
        <v>Hari Kerja</v>
      </c>
      <c r="N917" s="71">
        <f t="shared" si="127"/>
        <v>1</v>
      </c>
      <c r="O917" s="71">
        <f t="shared" si="128"/>
        <v>1</v>
      </c>
      <c r="P917" s="71">
        <f t="shared" si="129"/>
        <v>1</v>
      </c>
      <c r="Q917" s="71">
        <f t="shared" si="130"/>
        <v>0</v>
      </c>
      <c r="R917" s="71">
        <f t="shared" si="131"/>
        <v>0</v>
      </c>
      <c r="S917" s="71">
        <f t="shared" si="132"/>
        <v>0</v>
      </c>
      <c r="T917" s="71">
        <f t="shared" si="133"/>
        <v>0</v>
      </c>
      <c r="U917" s="71">
        <f>IF(AND(N917=1,V917=1),IF(COUNTIFS(AKTIVITAS!$B$2:$B$3052,B917,AKTIVITAS!$E$2:$E$3052,H917)&gt;0,1,0),0)</f>
        <v>1</v>
      </c>
      <c r="V917" s="71">
        <f>IFERROR(IF(AND(H917&gt;=INDEX(PEMAGANG!$J$3:$J$36,MATCH(B917,PEMAGANG!$C$3:$C$36,0)),H917&lt;=INDEX(PEMAGANG!$K$3:$K$36,MATCH(B917,PEMAGANG!$C$3:$C$36,0))),1,0),0)</f>
        <v>1</v>
      </c>
      <c r="W917" s="71">
        <f t="shared" si="134"/>
        <v>1</v>
      </c>
    </row>
    <row r="918" spans="1:23" x14ac:dyDescent="0.2">
      <c r="A918" s="71" t="s">
        <v>213</v>
      </c>
      <c r="B918" s="71" t="s">
        <v>214</v>
      </c>
      <c r="C918" s="71" t="s">
        <v>187</v>
      </c>
      <c r="D918" s="71" t="s">
        <v>215</v>
      </c>
      <c r="E918" s="71" t="s">
        <v>54</v>
      </c>
      <c r="F918" s="71" t="s">
        <v>300</v>
      </c>
      <c r="G918" s="88">
        <v>46231.700532407398</v>
      </c>
      <c r="H918" s="89">
        <v>46231</v>
      </c>
      <c r="I918" s="71" t="s">
        <v>346</v>
      </c>
      <c r="J918" s="71">
        <v>0</v>
      </c>
      <c r="K918" s="71" t="s">
        <v>302</v>
      </c>
      <c r="L918" s="71">
        <f t="shared" si="126"/>
        <v>7</v>
      </c>
      <c r="M918" s="71" t="str">
        <f>IFERROR(INDEX(KALENDER!$D$3:$D$132,MATCH(H918,KALENDER!$A$3:$A$132,0)),"Di luar periode")</f>
        <v>Hari Kerja</v>
      </c>
      <c r="N918" s="71">
        <f t="shared" si="127"/>
        <v>0</v>
      </c>
      <c r="O918" s="71">
        <f t="shared" si="128"/>
        <v>1</v>
      </c>
      <c r="P918" s="71">
        <f t="shared" si="129"/>
        <v>0</v>
      </c>
      <c r="Q918" s="71">
        <f t="shared" si="130"/>
        <v>0</v>
      </c>
      <c r="R918" s="71">
        <f t="shared" si="131"/>
        <v>0</v>
      </c>
      <c r="S918" s="71">
        <f t="shared" si="132"/>
        <v>0</v>
      </c>
      <c r="T918" s="71">
        <f t="shared" si="133"/>
        <v>0</v>
      </c>
      <c r="U918" s="71">
        <f>IF(AND(N918=1,V918=1),IF(COUNTIFS(AKTIVITAS!$B$2:$B$3052,B918,AKTIVITAS!$E$2:$E$3052,H918)&gt;0,1,0),0)</f>
        <v>0</v>
      </c>
      <c r="V918" s="71">
        <f>IFERROR(IF(AND(H918&gt;=INDEX(PEMAGANG!$J$3:$J$36,MATCH(B918,PEMAGANG!$C$3:$C$36,0)),H918&lt;=INDEX(PEMAGANG!$K$3:$K$36,MATCH(B918,PEMAGANG!$C$3:$C$36,0))),1,0),0)</f>
        <v>1</v>
      </c>
      <c r="W918" s="71">
        <f t="shared" si="134"/>
        <v>0</v>
      </c>
    </row>
    <row r="919" spans="1:23" x14ac:dyDescent="0.2">
      <c r="A919" s="71" t="s">
        <v>213</v>
      </c>
      <c r="B919" s="71" t="s">
        <v>214</v>
      </c>
      <c r="C919" s="71" t="s">
        <v>187</v>
      </c>
      <c r="D919" s="71" t="s">
        <v>215</v>
      </c>
      <c r="E919" s="71" t="s">
        <v>54</v>
      </c>
      <c r="F919" s="71" t="s">
        <v>298</v>
      </c>
      <c r="G919" s="88">
        <v>46233.301678240699</v>
      </c>
      <c r="H919" s="89">
        <v>46233</v>
      </c>
      <c r="I919" s="71" t="s">
        <v>416</v>
      </c>
      <c r="J919" s="71">
        <v>-16</v>
      </c>
      <c r="K919" s="71" t="s">
        <v>302</v>
      </c>
      <c r="L919" s="71">
        <f t="shared" si="126"/>
        <v>7</v>
      </c>
      <c r="M919" s="71" t="str">
        <f>IFERROR(INDEX(KALENDER!$D$3:$D$132,MATCH(H919,KALENDER!$A$3:$A$132,0)),"Di luar periode")</f>
        <v>Hari Kerja</v>
      </c>
      <c r="N919" s="71">
        <f t="shared" si="127"/>
        <v>1</v>
      </c>
      <c r="O919" s="71">
        <f t="shared" si="128"/>
        <v>1</v>
      </c>
      <c r="P919" s="71">
        <f t="shared" si="129"/>
        <v>1</v>
      </c>
      <c r="Q919" s="71">
        <f t="shared" si="130"/>
        <v>0</v>
      </c>
      <c r="R919" s="71">
        <f t="shared" si="131"/>
        <v>0</v>
      </c>
      <c r="S919" s="71">
        <f t="shared" si="132"/>
        <v>0</v>
      </c>
      <c r="T919" s="71">
        <f t="shared" si="133"/>
        <v>0</v>
      </c>
      <c r="U919" s="71">
        <f>IF(AND(N919=1,V919=1),IF(COUNTIFS(AKTIVITAS!$B$2:$B$3052,B919,AKTIVITAS!$E$2:$E$3052,H919)&gt;0,1,0),0)</f>
        <v>0</v>
      </c>
      <c r="V919" s="71">
        <f>IFERROR(IF(AND(H919&gt;=INDEX(PEMAGANG!$J$3:$J$36,MATCH(B919,PEMAGANG!$C$3:$C$36,0)),H919&lt;=INDEX(PEMAGANG!$K$3:$K$36,MATCH(B919,PEMAGANG!$C$3:$C$36,0))),1,0),0)</f>
        <v>1</v>
      </c>
      <c r="W919" s="71">
        <f t="shared" si="134"/>
        <v>1</v>
      </c>
    </row>
    <row r="920" spans="1:23" x14ac:dyDescent="0.2">
      <c r="A920" s="71" t="s">
        <v>213</v>
      </c>
      <c r="B920" s="71" t="s">
        <v>214</v>
      </c>
      <c r="C920" s="71" t="s">
        <v>187</v>
      </c>
      <c r="D920" s="71" t="s">
        <v>215</v>
      </c>
      <c r="E920" s="71" t="s">
        <v>54</v>
      </c>
      <c r="F920" s="71" t="s">
        <v>300</v>
      </c>
      <c r="G920" s="88">
        <v>46233.693657407399</v>
      </c>
      <c r="H920" s="89">
        <v>46233</v>
      </c>
      <c r="I920" s="71" t="s">
        <v>317</v>
      </c>
      <c r="J920" s="71">
        <v>0</v>
      </c>
      <c r="K920" s="71" t="s">
        <v>302</v>
      </c>
      <c r="L920" s="71">
        <f t="shared" si="126"/>
        <v>7</v>
      </c>
      <c r="M920" s="71" t="str">
        <f>IFERROR(INDEX(KALENDER!$D$3:$D$132,MATCH(H920,KALENDER!$A$3:$A$132,0)),"Di luar periode")</f>
        <v>Hari Kerja</v>
      </c>
      <c r="N920" s="71">
        <f t="shared" si="127"/>
        <v>0</v>
      </c>
      <c r="O920" s="71">
        <f t="shared" si="128"/>
        <v>1</v>
      </c>
      <c r="P920" s="71">
        <f t="shared" si="129"/>
        <v>0</v>
      </c>
      <c r="Q920" s="71">
        <f t="shared" si="130"/>
        <v>0</v>
      </c>
      <c r="R920" s="71">
        <f t="shared" si="131"/>
        <v>0</v>
      </c>
      <c r="S920" s="71">
        <f t="shared" si="132"/>
        <v>0</v>
      </c>
      <c r="T920" s="71">
        <f t="shared" si="133"/>
        <v>0</v>
      </c>
      <c r="U920" s="71">
        <f>IF(AND(N920=1,V920=1),IF(COUNTIFS(AKTIVITAS!$B$2:$B$3052,B920,AKTIVITAS!$E$2:$E$3052,H920)&gt;0,1,0),0)</f>
        <v>0</v>
      </c>
      <c r="V920" s="71">
        <f>IFERROR(IF(AND(H920&gt;=INDEX(PEMAGANG!$J$3:$J$36,MATCH(B920,PEMAGANG!$C$3:$C$36,0)),H920&lt;=INDEX(PEMAGANG!$K$3:$K$36,MATCH(B920,PEMAGANG!$C$3:$C$36,0))),1,0),0)</f>
        <v>1</v>
      </c>
      <c r="W920" s="71">
        <f t="shared" si="134"/>
        <v>0</v>
      </c>
    </row>
    <row r="921" spans="1:23" x14ac:dyDescent="0.2">
      <c r="A921" s="71" t="s">
        <v>213</v>
      </c>
      <c r="B921" s="71" t="s">
        <v>214</v>
      </c>
      <c r="C921" s="71" t="s">
        <v>187</v>
      </c>
      <c r="D921" s="71" t="s">
        <v>215</v>
      </c>
      <c r="E921" s="71" t="s">
        <v>54</v>
      </c>
      <c r="F921" s="71" t="s">
        <v>298</v>
      </c>
      <c r="G921" s="88">
        <v>46234.297500000001</v>
      </c>
      <c r="H921" s="89">
        <v>46234</v>
      </c>
      <c r="I921" s="71" t="s">
        <v>486</v>
      </c>
      <c r="J921" s="71">
        <v>-22</v>
      </c>
      <c r="K921" s="71" t="s">
        <v>302</v>
      </c>
      <c r="L921" s="71">
        <f t="shared" si="126"/>
        <v>7</v>
      </c>
      <c r="M921" s="71" t="str">
        <f>IFERROR(INDEX(KALENDER!$D$3:$D$132,MATCH(H921,KALENDER!$A$3:$A$132,0)),"Di luar periode")</f>
        <v>Hari Kerja</v>
      </c>
      <c r="N921" s="71">
        <f t="shared" si="127"/>
        <v>1</v>
      </c>
      <c r="O921" s="71">
        <f t="shared" si="128"/>
        <v>1</v>
      </c>
      <c r="P921" s="71">
        <f t="shared" si="129"/>
        <v>1</v>
      </c>
      <c r="Q921" s="71">
        <f t="shared" si="130"/>
        <v>0</v>
      </c>
      <c r="R921" s="71">
        <f t="shared" si="131"/>
        <v>0</v>
      </c>
      <c r="S921" s="71">
        <f t="shared" si="132"/>
        <v>0</v>
      </c>
      <c r="T921" s="71">
        <f t="shared" si="133"/>
        <v>0</v>
      </c>
      <c r="U921" s="71">
        <f>IF(AND(N921=1,V921=1),IF(COUNTIFS(AKTIVITAS!$B$2:$B$3052,B921,AKTIVITAS!$E$2:$E$3052,H921)&gt;0,1,0),0)</f>
        <v>1</v>
      </c>
      <c r="V921" s="71">
        <f>IFERROR(IF(AND(H921&gt;=INDEX(PEMAGANG!$J$3:$J$36,MATCH(B921,PEMAGANG!$C$3:$C$36,0)),H921&lt;=INDEX(PEMAGANG!$K$3:$K$36,MATCH(B921,PEMAGANG!$C$3:$C$36,0))),1,0),0)</f>
        <v>1</v>
      </c>
      <c r="W921" s="71">
        <f t="shared" si="134"/>
        <v>1</v>
      </c>
    </row>
    <row r="922" spans="1:23" x14ac:dyDescent="0.2">
      <c r="A922" s="71" t="s">
        <v>213</v>
      </c>
      <c r="B922" s="71" t="s">
        <v>214</v>
      </c>
      <c r="C922" s="71" t="s">
        <v>187</v>
      </c>
      <c r="D922" s="71" t="s">
        <v>215</v>
      </c>
      <c r="E922" s="71" t="s">
        <v>54</v>
      </c>
      <c r="F922" s="71" t="s">
        <v>300</v>
      </c>
      <c r="G922" s="88">
        <v>46234.691990740699</v>
      </c>
      <c r="H922" s="89">
        <v>46234</v>
      </c>
      <c r="I922" s="71" t="s">
        <v>344</v>
      </c>
      <c r="J922" s="71">
        <v>0</v>
      </c>
      <c r="K922" s="71" t="s">
        <v>302</v>
      </c>
      <c r="L922" s="71">
        <f t="shared" si="126"/>
        <v>7</v>
      </c>
      <c r="M922" s="71" t="str">
        <f>IFERROR(INDEX(KALENDER!$D$3:$D$132,MATCH(H922,KALENDER!$A$3:$A$132,0)),"Di luar periode")</f>
        <v>Hari Kerja</v>
      </c>
      <c r="N922" s="71">
        <f t="shared" si="127"/>
        <v>0</v>
      </c>
      <c r="O922" s="71">
        <f t="shared" si="128"/>
        <v>1</v>
      </c>
      <c r="P922" s="71">
        <f t="shared" si="129"/>
        <v>0</v>
      </c>
      <c r="Q922" s="71">
        <f t="shared" si="130"/>
        <v>0</v>
      </c>
      <c r="R922" s="71">
        <f t="shared" si="131"/>
        <v>0</v>
      </c>
      <c r="S922" s="71">
        <f t="shared" si="132"/>
        <v>0</v>
      </c>
      <c r="T922" s="71">
        <f t="shared" si="133"/>
        <v>0</v>
      </c>
      <c r="U922" s="71">
        <f>IF(AND(N922=1,V922=1),IF(COUNTIFS(AKTIVITAS!$B$2:$B$3052,B922,AKTIVITAS!$E$2:$E$3052,H922)&gt;0,1,0),0)</f>
        <v>0</v>
      </c>
      <c r="V922" s="71">
        <f>IFERROR(IF(AND(H922&gt;=INDEX(PEMAGANG!$J$3:$J$36,MATCH(B922,PEMAGANG!$C$3:$C$36,0)),H922&lt;=INDEX(PEMAGANG!$K$3:$K$36,MATCH(B922,PEMAGANG!$C$3:$C$36,0))),1,0),0)</f>
        <v>1</v>
      </c>
      <c r="W922" s="71">
        <f t="shared" si="134"/>
        <v>0</v>
      </c>
    </row>
    <row r="923" spans="1:23" x14ac:dyDescent="0.2">
      <c r="A923" s="71" t="s">
        <v>213</v>
      </c>
      <c r="B923" s="71" t="s">
        <v>214</v>
      </c>
      <c r="C923" s="71" t="s">
        <v>187</v>
      </c>
      <c r="D923" s="71" t="s">
        <v>215</v>
      </c>
      <c r="E923" s="71" t="s">
        <v>54</v>
      </c>
      <c r="F923" s="71" t="s">
        <v>300</v>
      </c>
      <c r="G923" s="88">
        <v>46237.694120370397</v>
      </c>
      <c r="H923" s="89">
        <v>46237</v>
      </c>
      <c r="I923" s="71" t="s">
        <v>308</v>
      </c>
      <c r="J923" s="71">
        <v>0</v>
      </c>
      <c r="K923" s="71" t="s">
        <v>302</v>
      </c>
      <c r="L923" s="71">
        <f t="shared" si="126"/>
        <v>8</v>
      </c>
      <c r="M923" s="71" t="str">
        <f>IFERROR(INDEX(KALENDER!$D$3:$D$132,MATCH(H923,KALENDER!$A$3:$A$132,0)),"Di luar periode")</f>
        <v>Hari Kerja</v>
      </c>
      <c r="N923" s="71">
        <f t="shared" si="127"/>
        <v>1</v>
      </c>
      <c r="O923" s="71">
        <f t="shared" si="128"/>
        <v>0</v>
      </c>
      <c r="P923" s="71">
        <f t="shared" si="129"/>
        <v>1</v>
      </c>
      <c r="Q923" s="71">
        <f t="shared" si="130"/>
        <v>0</v>
      </c>
      <c r="R923" s="71">
        <f t="shared" si="131"/>
        <v>0</v>
      </c>
      <c r="S923" s="71">
        <f t="shared" si="132"/>
        <v>0</v>
      </c>
      <c r="T923" s="71">
        <f t="shared" si="133"/>
        <v>0</v>
      </c>
      <c r="U923" s="71">
        <f>IF(AND(N923=1,V923=1),IF(COUNTIFS(AKTIVITAS!$B$2:$B$3052,B923,AKTIVITAS!$E$2:$E$3052,H923)&gt;0,1,0),0)</f>
        <v>0</v>
      </c>
      <c r="V923" s="71">
        <f>IFERROR(IF(AND(H923&gt;=INDEX(PEMAGANG!$J$3:$J$36,MATCH(B923,PEMAGANG!$C$3:$C$36,0)),H923&lt;=INDEX(PEMAGANG!$K$3:$K$36,MATCH(B923,PEMAGANG!$C$3:$C$36,0))),1,0),0)</f>
        <v>1</v>
      </c>
      <c r="W923" s="71">
        <f t="shared" si="134"/>
        <v>1</v>
      </c>
    </row>
    <row r="924" spans="1:23" x14ac:dyDescent="0.2">
      <c r="A924" s="71" t="s">
        <v>213</v>
      </c>
      <c r="B924" s="71" t="s">
        <v>214</v>
      </c>
      <c r="C924" s="71" t="s">
        <v>187</v>
      </c>
      <c r="D924" s="71" t="s">
        <v>215</v>
      </c>
      <c r="E924" s="71" t="s">
        <v>54</v>
      </c>
      <c r="F924" s="71" t="s">
        <v>298</v>
      </c>
      <c r="G924" s="88">
        <v>46238.2967824074</v>
      </c>
      <c r="H924" s="89">
        <v>46238</v>
      </c>
      <c r="I924" s="71" t="s">
        <v>487</v>
      </c>
      <c r="J924" s="71">
        <v>-23</v>
      </c>
      <c r="K924" s="71" t="s">
        <v>302</v>
      </c>
      <c r="L924" s="71">
        <f t="shared" si="126"/>
        <v>8</v>
      </c>
      <c r="M924" s="71" t="str">
        <f>IFERROR(INDEX(KALENDER!$D$3:$D$132,MATCH(H924,KALENDER!$A$3:$A$132,0)),"Di luar periode")</f>
        <v>Hari Kerja</v>
      </c>
      <c r="N924" s="71">
        <f t="shared" si="127"/>
        <v>1</v>
      </c>
      <c r="O924" s="71">
        <f t="shared" si="128"/>
        <v>1</v>
      </c>
      <c r="P924" s="71">
        <f t="shared" si="129"/>
        <v>1</v>
      </c>
      <c r="Q924" s="71">
        <f t="shared" si="130"/>
        <v>0</v>
      </c>
      <c r="R924" s="71">
        <f t="shared" si="131"/>
        <v>0</v>
      </c>
      <c r="S924" s="71">
        <f t="shared" si="132"/>
        <v>0</v>
      </c>
      <c r="T924" s="71">
        <f t="shared" si="133"/>
        <v>0</v>
      </c>
      <c r="U924" s="71">
        <f>IF(AND(N924=1,V924=1),IF(COUNTIFS(AKTIVITAS!$B$2:$B$3052,B924,AKTIVITAS!$E$2:$E$3052,H924)&gt;0,1,0),0)</f>
        <v>1</v>
      </c>
      <c r="V924" s="71">
        <f>IFERROR(IF(AND(H924&gt;=INDEX(PEMAGANG!$J$3:$J$36,MATCH(B924,PEMAGANG!$C$3:$C$36,0)),H924&lt;=INDEX(PEMAGANG!$K$3:$K$36,MATCH(B924,PEMAGANG!$C$3:$C$36,0))),1,0),0)</f>
        <v>1</v>
      </c>
      <c r="W924" s="71">
        <f t="shared" si="134"/>
        <v>1</v>
      </c>
    </row>
    <row r="925" spans="1:23" x14ac:dyDescent="0.2">
      <c r="A925" s="71" t="s">
        <v>213</v>
      </c>
      <c r="B925" s="71" t="s">
        <v>214</v>
      </c>
      <c r="C925" s="71" t="s">
        <v>187</v>
      </c>
      <c r="D925" s="71" t="s">
        <v>215</v>
      </c>
      <c r="E925" s="71" t="s">
        <v>54</v>
      </c>
      <c r="F925" s="71" t="s">
        <v>300</v>
      </c>
      <c r="G925" s="88">
        <v>46238.708402777796</v>
      </c>
      <c r="H925" s="89">
        <v>46238</v>
      </c>
      <c r="I925" s="71" t="s">
        <v>350</v>
      </c>
      <c r="J925" s="71">
        <v>0</v>
      </c>
      <c r="K925" s="71" t="s">
        <v>302</v>
      </c>
      <c r="L925" s="71">
        <f t="shared" si="126"/>
        <v>8</v>
      </c>
      <c r="M925" s="71" t="str">
        <f>IFERROR(INDEX(KALENDER!$D$3:$D$132,MATCH(H925,KALENDER!$A$3:$A$132,0)),"Di luar periode")</f>
        <v>Hari Kerja</v>
      </c>
      <c r="N925" s="71">
        <f t="shared" si="127"/>
        <v>0</v>
      </c>
      <c r="O925" s="71">
        <f t="shared" si="128"/>
        <v>1</v>
      </c>
      <c r="P925" s="71">
        <f t="shared" si="129"/>
        <v>0</v>
      </c>
      <c r="Q925" s="71">
        <f t="shared" si="130"/>
        <v>0</v>
      </c>
      <c r="R925" s="71">
        <f t="shared" si="131"/>
        <v>0</v>
      </c>
      <c r="S925" s="71">
        <f t="shared" si="132"/>
        <v>0</v>
      </c>
      <c r="T925" s="71">
        <f t="shared" si="133"/>
        <v>0</v>
      </c>
      <c r="U925" s="71">
        <f>IF(AND(N925=1,V925=1),IF(COUNTIFS(AKTIVITAS!$B$2:$B$3052,B925,AKTIVITAS!$E$2:$E$3052,H925)&gt;0,1,0),0)</f>
        <v>0</v>
      </c>
      <c r="V925" s="71">
        <f>IFERROR(IF(AND(H925&gt;=INDEX(PEMAGANG!$J$3:$J$36,MATCH(B925,PEMAGANG!$C$3:$C$36,0)),H925&lt;=INDEX(PEMAGANG!$K$3:$K$36,MATCH(B925,PEMAGANG!$C$3:$C$36,0))),1,0),0)</f>
        <v>1</v>
      </c>
      <c r="W925" s="71">
        <f t="shared" si="134"/>
        <v>0</v>
      </c>
    </row>
    <row r="926" spans="1:23" x14ac:dyDescent="0.2">
      <c r="A926" s="71" t="s">
        <v>213</v>
      </c>
      <c r="B926" s="71" t="s">
        <v>214</v>
      </c>
      <c r="C926" s="71" t="s">
        <v>187</v>
      </c>
      <c r="D926" s="71" t="s">
        <v>215</v>
      </c>
      <c r="E926" s="71" t="s">
        <v>54</v>
      </c>
      <c r="F926" s="71" t="s">
        <v>298</v>
      </c>
      <c r="G926" s="88">
        <v>46239.294259259303</v>
      </c>
      <c r="H926" s="89">
        <v>46239</v>
      </c>
      <c r="I926" s="71" t="s">
        <v>483</v>
      </c>
      <c r="J926" s="71">
        <v>-27</v>
      </c>
      <c r="K926" s="71" t="s">
        <v>302</v>
      </c>
      <c r="L926" s="71">
        <f t="shared" si="126"/>
        <v>8</v>
      </c>
      <c r="M926" s="71" t="str">
        <f>IFERROR(INDEX(KALENDER!$D$3:$D$132,MATCH(H926,KALENDER!$A$3:$A$132,0)),"Di luar periode")</f>
        <v>Hari Kerja</v>
      </c>
      <c r="N926" s="71">
        <f t="shared" si="127"/>
        <v>1</v>
      </c>
      <c r="O926" s="71">
        <f t="shared" si="128"/>
        <v>1</v>
      </c>
      <c r="P926" s="71">
        <f t="shared" si="129"/>
        <v>1</v>
      </c>
      <c r="Q926" s="71">
        <f t="shared" si="130"/>
        <v>0</v>
      </c>
      <c r="R926" s="71">
        <f t="shared" si="131"/>
        <v>0</v>
      </c>
      <c r="S926" s="71">
        <f t="shared" si="132"/>
        <v>0</v>
      </c>
      <c r="T926" s="71">
        <f t="shared" si="133"/>
        <v>0</v>
      </c>
      <c r="U926" s="71">
        <f>IF(AND(N926=1,V926=1),IF(COUNTIFS(AKTIVITAS!$B$2:$B$3052,B926,AKTIVITAS!$E$2:$E$3052,H926)&gt;0,1,0),0)</f>
        <v>1</v>
      </c>
      <c r="V926" s="71">
        <f>IFERROR(IF(AND(H926&gt;=INDEX(PEMAGANG!$J$3:$J$36,MATCH(B926,PEMAGANG!$C$3:$C$36,0)),H926&lt;=INDEX(PEMAGANG!$K$3:$K$36,MATCH(B926,PEMAGANG!$C$3:$C$36,0))),1,0),0)</f>
        <v>1</v>
      </c>
      <c r="W926" s="71">
        <f t="shared" si="134"/>
        <v>1</v>
      </c>
    </row>
    <row r="927" spans="1:23" x14ac:dyDescent="0.2">
      <c r="A927" s="71" t="s">
        <v>213</v>
      </c>
      <c r="B927" s="71" t="s">
        <v>214</v>
      </c>
      <c r="C927" s="71" t="s">
        <v>187</v>
      </c>
      <c r="D927" s="71" t="s">
        <v>215</v>
      </c>
      <c r="E927" s="71" t="s">
        <v>54</v>
      </c>
      <c r="F927" s="71" t="s">
        <v>300</v>
      </c>
      <c r="G927" s="88">
        <v>46239.697048611102</v>
      </c>
      <c r="H927" s="89">
        <v>46239</v>
      </c>
      <c r="I927" s="71" t="s">
        <v>347</v>
      </c>
      <c r="J927" s="71">
        <v>0</v>
      </c>
      <c r="K927" s="71" t="s">
        <v>302</v>
      </c>
      <c r="L927" s="71">
        <f t="shared" si="126"/>
        <v>8</v>
      </c>
      <c r="M927" s="71" t="str">
        <f>IFERROR(INDEX(KALENDER!$D$3:$D$132,MATCH(H927,KALENDER!$A$3:$A$132,0)),"Di luar periode")</f>
        <v>Hari Kerja</v>
      </c>
      <c r="N927" s="71">
        <f t="shared" si="127"/>
        <v>0</v>
      </c>
      <c r="O927" s="71">
        <f t="shared" si="128"/>
        <v>1</v>
      </c>
      <c r="P927" s="71">
        <f t="shared" si="129"/>
        <v>0</v>
      </c>
      <c r="Q927" s="71">
        <f t="shared" si="130"/>
        <v>0</v>
      </c>
      <c r="R927" s="71">
        <f t="shared" si="131"/>
        <v>0</v>
      </c>
      <c r="S927" s="71">
        <f t="shared" si="132"/>
        <v>0</v>
      </c>
      <c r="T927" s="71">
        <f t="shared" si="133"/>
        <v>0</v>
      </c>
      <c r="U927" s="71">
        <f>IF(AND(N927=1,V927=1),IF(COUNTIFS(AKTIVITAS!$B$2:$B$3052,B927,AKTIVITAS!$E$2:$E$3052,H927)&gt;0,1,0),0)</f>
        <v>0</v>
      </c>
      <c r="V927" s="71">
        <f>IFERROR(IF(AND(H927&gt;=INDEX(PEMAGANG!$J$3:$J$36,MATCH(B927,PEMAGANG!$C$3:$C$36,0)),H927&lt;=INDEX(PEMAGANG!$K$3:$K$36,MATCH(B927,PEMAGANG!$C$3:$C$36,0))),1,0),0)</f>
        <v>1</v>
      </c>
      <c r="W927" s="71">
        <f t="shared" si="134"/>
        <v>0</v>
      </c>
    </row>
    <row r="928" spans="1:23" x14ac:dyDescent="0.2">
      <c r="A928" s="71" t="s">
        <v>213</v>
      </c>
      <c r="B928" s="71" t="s">
        <v>214</v>
      </c>
      <c r="C928" s="71" t="s">
        <v>187</v>
      </c>
      <c r="D928" s="71" t="s">
        <v>215</v>
      </c>
      <c r="E928" s="71" t="s">
        <v>54</v>
      </c>
      <c r="F928" s="71" t="s">
        <v>298</v>
      </c>
      <c r="G928" s="88">
        <v>46240.297002314801</v>
      </c>
      <c r="H928" s="89">
        <v>46240</v>
      </c>
      <c r="I928" s="71" t="s">
        <v>487</v>
      </c>
      <c r="J928" s="71">
        <v>-23</v>
      </c>
      <c r="K928" s="71" t="s">
        <v>302</v>
      </c>
      <c r="L928" s="71">
        <f t="shared" si="126"/>
        <v>8</v>
      </c>
      <c r="M928" s="71" t="str">
        <f>IFERROR(INDEX(KALENDER!$D$3:$D$132,MATCH(H928,KALENDER!$A$3:$A$132,0)),"Di luar periode")</f>
        <v>Hari Kerja</v>
      </c>
      <c r="N928" s="71">
        <f t="shared" si="127"/>
        <v>1</v>
      </c>
      <c r="O928" s="71">
        <f t="shared" si="128"/>
        <v>1</v>
      </c>
      <c r="P928" s="71">
        <f t="shared" si="129"/>
        <v>1</v>
      </c>
      <c r="Q928" s="71">
        <f t="shared" si="130"/>
        <v>0</v>
      </c>
      <c r="R928" s="71">
        <f t="shared" si="131"/>
        <v>0</v>
      </c>
      <c r="S928" s="71">
        <f t="shared" si="132"/>
        <v>0</v>
      </c>
      <c r="T928" s="71">
        <f t="shared" si="133"/>
        <v>0</v>
      </c>
      <c r="U928" s="71">
        <f>IF(AND(N928=1,V928=1),IF(COUNTIFS(AKTIVITAS!$B$2:$B$3052,B928,AKTIVITAS!$E$2:$E$3052,H928)&gt;0,1,0),0)</f>
        <v>1</v>
      </c>
      <c r="V928" s="71">
        <f>IFERROR(IF(AND(H928&gt;=INDEX(PEMAGANG!$J$3:$J$36,MATCH(B928,PEMAGANG!$C$3:$C$36,0)),H928&lt;=INDEX(PEMAGANG!$K$3:$K$36,MATCH(B928,PEMAGANG!$C$3:$C$36,0))),1,0),0)</f>
        <v>1</v>
      </c>
      <c r="W928" s="71">
        <f t="shared" si="134"/>
        <v>1</v>
      </c>
    </row>
    <row r="929" spans="1:23" x14ac:dyDescent="0.2">
      <c r="A929" s="71" t="s">
        <v>213</v>
      </c>
      <c r="B929" s="71" t="s">
        <v>214</v>
      </c>
      <c r="C929" s="71" t="s">
        <v>187</v>
      </c>
      <c r="D929" s="71" t="s">
        <v>215</v>
      </c>
      <c r="E929" s="71" t="s">
        <v>54</v>
      </c>
      <c r="F929" s="71" t="s">
        <v>300</v>
      </c>
      <c r="G929" s="88">
        <v>46240.711493055598</v>
      </c>
      <c r="H929" s="89">
        <v>46240</v>
      </c>
      <c r="I929" s="71" t="s">
        <v>378</v>
      </c>
      <c r="J929" s="71">
        <v>0</v>
      </c>
      <c r="K929" s="71" t="s">
        <v>302</v>
      </c>
      <c r="L929" s="71">
        <f t="shared" si="126"/>
        <v>8</v>
      </c>
      <c r="M929" s="71" t="str">
        <f>IFERROR(INDEX(KALENDER!$D$3:$D$132,MATCH(H929,KALENDER!$A$3:$A$132,0)),"Di luar periode")</f>
        <v>Hari Kerja</v>
      </c>
      <c r="N929" s="71">
        <f t="shared" si="127"/>
        <v>0</v>
      </c>
      <c r="O929" s="71">
        <f t="shared" si="128"/>
        <v>1</v>
      </c>
      <c r="P929" s="71">
        <f t="shared" si="129"/>
        <v>0</v>
      </c>
      <c r="Q929" s="71">
        <f t="shared" si="130"/>
        <v>0</v>
      </c>
      <c r="R929" s="71">
        <f t="shared" si="131"/>
        <v>0</v>
      </c>
      <c r="S929" s="71">
        <f t="shared" si="132"/>
        <v>0</v>
      </c>
      <c r="T929" s="71">
        <f t="shared" si="133"/>
        <v>0</v>
      </c>
      <c r="U929" s="71">
        <f>IF(AND(N929=1,V929=1),IF(COUNTIFS(AKTIVITAS!$B$2:$B$3052,B929,AKTIVITAS!$E$2:$E$3052,H929)&gt;0,1,0),0)</f>
        <v>0</v>
      </c>
      <c r="V929" s="71">
        <f>IFERROR(IF(AND(H929&gt;=INDEX(PEMAGANG!$J$3:$J$36,MATCH(B929,PEMAGANG!$C$3:$C$36,0)),H929&lt;=INDEX(PEMAGANG!$K$3:$K$36,MATCH(B929,PEMAGANG!$C$3:$C$36,0))),1,0),0)</f>
        <v>1</v>
      </c>
      <c r="W929" s="71">
        <f t="shared" si="134"/>
        <v>0</v>
      </c>
    </row>
    <row r="930" spans="1:23" x14ac:dyDescent="0.2">
      <c r="A930" s="71" t="s">
        <v>213</v>
      </c>
      <c r="B930" s="71" t="s">
        <v>214</v>
      </c>
      <c r="C930" s="71" t="s">
        <v>187</v>
      </c>
      <c r="D930" s="71" t="s">
        <v>215</v>
      </c>
      <c r="E930" s="71" t="s">
        <v>54</v>
      </c>
      <c r="F930" s="71" t="s">
        <v>298</v>
      </c>
      <c r="G930" s="88">
        <v>46241.304710648197</v>
      </c>
      <c r="H930" s="89">
        <v>46241</v>
      </c>
      <c r="I930" s="71" t="s">
        <v>326</v>
      </c>
      <c r="J930" s="71">
        <v>-12</v>
      </c>
      <c r="K930" s="71" t="s">
        <v>302</v>
      </c>
      <c r="L930" s="71">
        <f t="shared" si="126"/>
        <v>8</v>
      </c>
      <c r="M930" s="71" t="str">
        <f>IFERROR(INDEX(KALENDER!$D$3:$D$132,MATCH(H930,KALENDER!$A$3:$A$132,0)),"Di luar periode")</f>
        <v>Hari Kerja</v>
      </c>
      <c r="N930" s="71">
        <f t="shared" si="127"/>
        <v>1</v>
      </c>
      <c r="O930" s="71">
        <f t="shared" si="128"/>
        <v>1</v>
      </c>
      <c r="P930" s="71">
        <f t="shared" si="129"/>
        <v>1</v>
      </c>
      <c r="Q930" s="71">
        <f t="shared" si="130"/>
        <v>0</v>
      </c>
      <c r="R930" s="71">
        <f t="shared" si="131"/>
        <v>0</v>
      </c>
      <c r="S930" s="71">
        <f t="shared" si="132"/>
        <v>0</v>
      </c>
      <c r="T930" s="71">
        <f t="shared" si="133"/>
        <v>0</v>
      </c>
      <c r="U930" s="71">
        <f>IF(AND(N930=1,V930=1),IF(COUNTIFS(AKTIVITAS!$B$2:$B$3052,B930,AKTIVITAS!$E$2:$E$3052,H930)&gt;0,1,0),0)</f>
        <v>1</v>
      </c>
      <c r="V930" s="71">
        <f>IFERROR(IF(AND(H930&gt;=INDEX(PEMAGANG!$J$3:$J$36,MATCH(B930,PEMAGANG!$C$3:$C$36,0)),H930&lt;=INDEX(PEMAGANG!$K$3:$K$36,MATCH(B930,PEMAGANG!$C$3:$C$36,0))),1,0),0)</f>
        <v>1</v>
      </c>
      <c r="W930" s="71">
        <f t="shared" si="134"/>
        <v>1</v>
      </c>
    </row>
    <row r="931" spans="1:23" x14ac:dyDescent="0.2">
      <c r="A931" s="71" t="s">
        <v>213</v>
      </c>
      <c r="B931" s="71" t="s">
        <v>214</v>
      </c>
      <c r="C931" s="71" t="s">
        <v>187</v>
      </c>
      <c r="D931" s="71" t="s">
        <v>215</v>
      </c>
      <c r="E931" s="71" t="s">
        <v>54</v>
      </c>
      <c r="F931" s="71" t="s">
        <v>300</v>
      </c>
      <c r="G931" s="88">
        <v>46241.699143518497</v>
      </c>
      <c r="H931" s="89">
        <v>46241</v>
      </c>
      <c r="I931" s="71" t="s">
        <v>488</v>
      </c>
      <c r="J931" s="71">
        <v>0</v>
      </c>
      <c r="K931" s="71" t="s">
        <v>302</v>
      </c>
      <c r="L931" s="71">
        <f t="shared" si="126"/>
        <v>8</v>
      </c>
      <c r="M931" s="71" t="str">
        <f>IFERROR(INDEX(KALENDER!$D$3:$D$132,MATCH(H931,KALENDER!$A$3:$A$132,0)),"Di luar periode")</f>
        <v>Hari Kerja</v>
      </c>
      <c r="N931" s="71">
        <f t="shared" si="127"/>
        <v>0</v>
      </c>
      <c r="O931" s="71">
        <f t="shared" si="128"/>
        <v>1</v>
      </c>
      <c r="P931" s="71">
        <f t="shared" si="129"/>
        <v>0</v>
      </c>
      <c r="Q931" s="71">
        <f t="shared" si="130"/>
        <v>0</v>
      </c>
      <c r="R931" s="71">
        <f t="shared" si="131"/>
        <v>0</v>
      </c>
      <c r="S931" s="71">
        <f t="shared" si="132"/>
        <v>0</v>
      </c>
      <c r="T931" s="71">
        <f t="shared" si="133"/>
        <v>0</v>
      </c>
      <c r="U931" s="71">
        <f>IF(AND(N931=1,V931=1),IF(COUNTIFS(AKTIVITAS!$B$2:$B$3052,B931,AKTIVITAS!$E$2:$E$3052,H931)&gt;0,1,0),0)</f>
        <v>0</v>
      </c>
      <c r="V931" s="71">
        <f>IFERROR(IF(AND(H931&gt;=INDEX(PEMAGANG!$J$3:$J$36,MATCH(B931,PEMAGANG!$C$3:$C$36,0)),H931&lt;=INDEX(PEMAGANG!$K$3:$K$36,MATCH(B931,PEMAGANG!$C$3:$C$36,0))),1,0),0)</f>
        <v>1</v>
      </c>
      <c r="W931" s="71">
        <f t="shared" si="134"/>
        <v>0</v>
      </c>
    </row>
    <row r="932" spans="1:23" x14ac:dyDescent="0.2">
      <c r="A932" s="71" t="s">
        <v>213</v>
      </c>
      <c r="B932" s="71" t="s">
        <v>214</v>
      </c>
      <c r="C932" s="71" t="s">
        <v>187</v>
      </c>
      <c r="D932" s="71" t="s">
        <v>215</v>
      </c>
      <c r="E932" s="71" t="s">
        <v>54</v>
      </c>
      <c r="F932" s="71" t="s">
        <v>298</v>
      </c>
      <c r="G932" s="88">
        <v>46244.303622685198</v>
      </c>
      <c r="H932" s="89">
        <v>46244</v>
      </c>
      <c r="I932" s="71" t="s">
        <v>331</v>
      </c>
      <c r="J932" s="71">
        <v>-13</v>
      </c>
      <c r="K932" s="71" t="s">
        <v>302</v>
      </c>
      <c r="L932" s="71">
        <f t="shared" si="126"/>
        <v>8</v>
      </c>
      <c r="M932" s="71" t="str">
        <f>IFERROR(INDEX(KALENDER!$D$3:$D$132,MATCH(H932,KALENDER!$A$3:$A$132,0)),"Di luar periode")</f>
        <v>Hari Kerja</v>
      </c>
      <c r="N932" s="71">
        <f t="shared" si="127"/>
        <v>1</v>
      </c>
      <c r="O932" s="71">
        <f t="shared" si="128"/>
        <v>1</v>
      </c>
      <c r="P932" s="71">
        <f t="shared" si="129"/>
        <v>1</v>
      </c>
      <c r="Q932" s="71">
        <f t="shared" si="130"/>
        <v>0</v>
      </c>
      <c r="R932" s="71">
        <f t="shared" si="131"/>
        <v>0</v>
      </c>
      <c r="S932" s="71">
        <f t="shared" si="132"/>
        <v>0</v>
      </c>
      <c r="T932" s="71">
        <f t="shared" si="133"/>
        <v>0</v>
      </c>
      <c r="U932" s="71">
        <f>IF(AND(N932=1,V932=1),IF(COUNTIFS(AKTIVITAS!$B$2:$B$3052,B932,AKTIVITAS!$E$2:$E$3052,H932)&gt;0,1,0),0)</f>
        <v>1</v>
      </c>
      <c r="V932" s="71">
        <f>IFERROR(IF(AND(H932&gt;=INDEX(PEMAGANG!$J$3:$J$36,MATCH(B932,PEMAGANG!$C$3:$C$36,0)),H932&lt;=INDEX(PEMAGANG!$K$3:$K$36,MATCH(B932,PEMAGANG!$C$3:$C$36,0))),1,0),0)</f>
        <v>1</v>
      </c>
      <c r="W932" s="71">
        <f t="shared" si="134"/>
        <v>1</v>
      </c>
    </row>
    <row r="933" spans="1:23" x14ac:dyDescent="0.2">
      <c r="A933" s="71" t="s">
        <v>213</v>
      </c>
      <c r="B933" s="71" t="s">
        <v>214</v>
      </c>
      <c r="C933" s="71" t="s">
        <v>187</v>
      </c>
      <c r="D933" s="71" t="s">
        <v>215</v>
      </c>
      <c r="E933" s="71" t="s">
        <v>54</v>
      </c>
      <c r="F933" s="71" t="s">
        <v>300</v>
      </c>
      <c r="G933" s="88">
        <v>46244.696863425903</v>
      </c>
      <c r="H933" s="89">
        <v>46244</v>
      </c>
      <c r="I933" s="71" t="s">
        <v>347</v>
      </c>
      <c r="J933" s="71">
        <v>0</v>
      </c>
      <c r="K933" s="71" t="s">
        <v>302</v>
      </c>
      <c r="L933" s="71">
        <f t="shared" si="126"/>
        <v>8</v>
      </c>
      <c r="M933" s="71" t="str">
        <f>IFERROR(INDEX(KALENDER!$D$3:$D$132,MATCH(H933,KALENDER!$A$3:$A$132,0)),"Di luar periode")</f>
        <v>Hari Kerja</v>
      </c>
      <c r="N933" s="71">
        <f t="shared" si="127"/>
        <v>0</v>
      </c>
      <c r="O933" s="71">
        <f t="shared" si="128"/>
        <v>1</v>
      </c>
      <c r="P933" s="71">
        <f t="shared" si="129"/>
        <v>0</v>
      </c>
      <c r="Q933" s="71">
        <f t="shared" si="130"/>
        <v>0</v>
      </c>
      <c r="R933" s="71">
        <f t="shared" si="131"/>
        <v>0</v>
      </c>
      <c r="S933" s="71">
        <f t="shared" si="132"/>
        <v>0</v>
      </c>
      <c r="T933" s="71">
        <f t="shared" si="133"/>
        <v>0</v>
      </c>
      <c r="U933" s="71">
        <f>IF(AND(N933=1,V933=1),IF(COUNTIFS(AKTIVITAS!$B$2:$B$3052,B933,AKTIVITAS!$E$2:$E$3052,H933)&gt;0,1,0),0)</f>
        <v>0</v>
      </c>
      <c r="V933" s="71">
        <f>IFERROR(IF(AND(H933&gt;=INDEX(PEMAGANG!$J$3:$J$36,MATCH(B933,PEMAGANG!$C$3:$C$36,0)),H933&lt;=INDEX(PEMAGANG!$K$3:$K$36,MATCH(B933,PEMAGANG!$C$3:$C$36,0))),1,0),0)</f>
        <v>1</v>
      </c>
      <c r="W933" s="71">
        <f t="shared" si="134"/>
        <v>0</v>
      </c>
    </row>
    <row r="934" spans="1:23" x14ac:dyDescent="0.2">
      <c r="A934" s="71" t="s">
        <v>213</v>
      </c>
      <c r="B934" s="71" t="s">
        <v>214</v>
      </c>
      <c r="C934" s="71" t="s">
        <v>187</v>
      </c>
      <c r="D934" s="71" t="s">
        <v>215</v>
      </c>
      <c r="E934" s="71" t="s">
        <v>54</v>
      </c>
      <c r="F934" s="71" t="s">
        <v>298</v>
      </c>
      <c r="G934" s="88">
        <v>46245.301354166702</v>
      </c>
      <c r="H934" s="89">
        <v>46245</v>
      </c>
      <c r="I934" s="71" t="s">
        <v>475</v>
      </c>
      <c r="J934" s="71">
        <v>-17</v>
      </c>
      <c r="K934" s="71" t="s">
        <v>302</v>
      </c>
      <c r="L934" s="71">
        <f t="shared" si="126"/>
        <v>8</v>
      </c>
      <c r="M934" s="71" t="str">
        <f>IFERROR(INDEX(KALENDER!$D$3:$D$132,MATCH(H934,KALENDER!$A$3:$A$132,0)),"Di luar periode")</f>
        <v>Hari Kerja</v>
      </c>
      <c r="N934" s="71">
        <f t="shared" si="127"/>
        <v>1</v>
      </c>
      <c r="O934" s="71">
        <f t="shared" si="128"/>
        <v>1</v>
      </c>
      <c r="P934" s="71">
        <f t="shared" si="129"/>
        <v>1</v>
      </c>
      <c r="Q934" s="71">
        <f t="shared" si="130"/>
        <v>0</v>
      </c>
      <c r="R934" s="71">
        <f t="shared" si="131"/>
        <v>0</v>
      </c>
      <c r="S934" s="71">
        <f t="shared" si="132"/>
        <v>0</v>
      </c>
      <c r="T934" s="71">
        <f t="shared" si="133"/>
        <v>0</v>
      </c>
      <c r="U934" s="71">
        <f>IF(AND(N934=1,V934=1),IF(COUNTIFS(AKTIVITAS!$B$2:$B$3052,B934,AKTIVITAS!$E$2:$E$3052,H934)&gt;0,1,0),0)</f>
        <v>1</v>
      </c>
      <c r="V934" s="71">
        <f>IFERROR(IF(AND(H934&gt;=INDEX(PEMAGANG!$J$3:$J$36,MATCH(B934,PEMAGANG!$C$3:$C$36,0)),H934&lt;=INDEX(PEMAGANG!$K$3:$K$36,MATCH(B934,PEMAGANG!$C$3:$C$36,0))),1,0),0)</f>
        <v>1</v>
      </c>
      <c r="W934" s="71">
        <f t="shared" si="134"/>
        <v>1</v>
      </c>
    </row>
    <row r="935" spans="1:23" x14ac:dyDescent="0.2">
      <c r="A935" s="71" t="s">
        <v>213</v>
      </c>
      <c r="B935" s="71" t="s">
        <v>214</v>
      </c>
      <c r="C935" s="71" t="s">
        <v>187</v>
      </c>
      <c r="D935" s="71" t="s">
        <v>215</v>
      </c>
      <c r="E935" s="71" t="s">
        <v>54</v>
      </c>
      <c r="F935" s="71" t="s">
        <v>300</v>
      </c>
      <c r="G935" s="88">
        <v>46245.745115740698</v>
      </c>
      <c r="H935" s="89">
        <v>46245</v>
      </c>
      <c r="I935" s="71" t="s">
        <v>406</v>
      </c>
      <c r="J935" s="71">
        <v>0</v>
      </c>
      <c r="K935" s="71" t="s">
        <v>302</v>
      </c>
      <c r="L935" s="71">
        <f t="shared" si="126"/>
        <v>8</v>
      </c>
      <c r="M935" s="71" t="str">
        <f>IFERROR(INDEX(KALENDER!$D$3:$D$132,MATCH(H935,KALENDER!$A$3:$A$132,0)),"Di luar periode")</f>
        <v>Hari Kerja</v>
      </c>
      <c r="N935" s="71">
        <f t="shared" si="127"/>
        <v>0</v>
      </c>
      <c r="O935" s="71">
        <f t="shared" si="128"/>
        <v>1</v>
      </c>
      <c r="P935" s="71">
        <f t="shared" si="129"/>
        <v>0</v>
      </c>
      <c r="Q935" s="71">
        <f t="shared" si="130"/>
        <v>0</v>
      </c>
      <c r="R935" s="71">
        <f t="shared" si="131"/>
        <v>0</v>
      </c>
      <c r="S935" s="71">
        <f t="shared" si="132"/>
        <v>0</v>
      </c>
      <c r="T935" s="71">
        <f t="shared" si="133"/>
        <v>0</v>
      </c>
      <c r="U935" s="71">
        <f>IF(AND(N935=1,V935=1),IF(COUNTIFS(AKTIVITAS!$B$2:$B$3052,B935,AKTIVITAS!$E$2:$E$3052,H935)&gt;0,1,0),0)</f>
        <v>0</v>
      </c>
      <c r="V935" s="71">
        <f>IFERROR(IF(AND(H935&gt;=INDEX(PEMAGANG!$J$3:$J$36,MATCH(B935,PEMAGANG!$C$3:$C$36,0)),H935&lt;=INDEX(PEMAGANG!$K$3:$K$36,MATCH(B935,PEMAGANG!$C$3:$C$36,0))),1,0),0)</f>
        <v>1</v>
      </c>
      <c r="W935" s="71">
        <f t="shared" si="134"/>
        <v>0</v>
      </c>
    </row>
    <row r="936" spans="1:23" x14ac:dyDescent="0.2">
      <c r="A936" s="71" t="s">
        <v>213</v>
      </c>
      <c r="B936" s="71" t="s">
        <v>214</v>
      </c>
      <c r="C936" s="71" t="s">
        <v>187</v>
      </c>
      <c r="D936" s="71" t="s">
        <v>215</v>
      </c>
      <c r="E936" s="71" t="s">
        <v>54</v>
      </c>
      <c r="F936" s="71" t="s">
        <v>298</v>
      </c>
      <c r="G936" s="88">
        <v>46246.302870370397</v>
      </c>
      <c r="H936" s="89">
        <v>46246</v>
      </c>
      <c r="I936" s="71" t="s">
        <v>327</v>
      </c>
      <c r="J936" s="71">
        <v>-14</v>
      </c>
      <c r="K936" s="71" t="s">
        <v>302</v>
      </c>
      <c r="L936" s="71">
        <f t="shared" si="126"/>
        <v>8</v>
      </c>
      <c r="M936" s="71" t="str">
        <f>IFERROR(INDEX(KALENDER!$D$3:$D$132,MATCH(H936,KALENDER!$A$3:$A$132,0)),"Di luar periode")</f>
        <v>Hari Kerja</v>
      </c>
      <c r="N936" s="71">
        <f t="shared" si="127"/>
        <v>1</v>
      </c>
      <c r="O936" s="71">
        <f t="shared" si="128"/>
        <v>1</v>
      </c>
      <c r="P936" s="71">
        <f t="shared" si="129"/>
        <v>1</v>
      </c>
      <c r="Q936" s="71">
        <f t="shared" si="130"/>
        <v>0</v>
      </c>
      <c r="R936" s="71">
        <f t="shared" si="131"/>
        <v>0</v>
      </c>
      <c r="S936" s="71">
        <f t="shared" si="132"/>
        <v>0</v>
      </c>
      <c r="T936" s="71">
        <f t="shared" si="133"/>
        <v>0</v>
      </c>
      <c r="U936" s="71">
        <f>IF(AND(N936=1,V936=1),IF(COUNTIFS(AKTIVITAS!$B$2:$B$3052,B936,AKTIVITAS!$E$2:$E$3052,H936)&gt;0,1,0),0)</f>
        <v>1</v>
      </c>
      <c r="V936" s="71">
        <f>IFERROR(IF(AND(H936&gt;=INDEX(PEMAGANG!$J$3:$J$36,MATCH(B936,PEMAGANG!$C$3:$C$36,0)),H936&lt;=INDEX(PEMAGANG!$K$3:$K$36,MATCH(B936,PEMAGANG!$C$3:$C$36,0))),1,0),0)</f>
        <v>1</v>
      </c>
      <c r="W936" s="71">
        <f t="shared" si="134"/>
        <v>1</v>
      </c>
    </row>
    <row r="937" spans="1:23" x14ac:dyDescent="0.2">
      <c r="A937" s="71" t="s">
        <v>213</v>
      </c>
      <c r="B937" s="71" t="s">
        <v>214</v>
      </c>
      <c r="C937" s="71" t="s">
        <v>187</v>
      </c>
      <c r="D937" s="71" t="s">
        <v>215</v>
      </c>
      <c r="E937" s="71" t="s">
        <v>54</v>
      </c>
      <c r="F937" s="71" t="s">
        <v>300</v>
      </c>
      <c r="G937" s="88">
        <v>46246.687881944497</v>
      </c>
      <c r="H937" s="89">
        <v>46246</v>
      </c>
      <c r="I937" s="71" t="s">
        <v>330</v>
      </c>
      <c r="J937" s="71">
        <v>0</v>
      </c>
      <c r="K937" s="71" t="s">
        <v>302</v>
      </c>
      <c r="L937" s="71">
        <f t="shared" si="126"/>
        <v>8</v>
      </c>
      <c r="M937" s="71" t="str">
        <f>IFERROR(INDEX(KALENDER!$D$3:$D$132,MATCH(H937,KALENDER!$A$3:$A$132,0)),"Di luar periode")</f>
        <v>Hari Kerja</v>
      </c>
      <c r="N937" s="71">
        <f t="shared" si="127"/>
        <v>0</v>
      </c>
      <c r="O937" s="71">
        <f t="shared" si="128"/>
        <v>1</v>
      </c>
      <c r="P937" s="71">
        <f t="shared" si="129"/>
        <v>0</v>
      </c>
      <c r="Q937" s="71">
        <f t="shared" si="130"/>
        <v>0</v>
      </c>
      <c r="R937" s="71">
        <f t="shared" si="131"/>
        <v>0</v>
      </c>
      <c r="S937" s="71">
        <f t="shared" si="132"/>
        <v>0</v>
      </c>
      <c r="T937" s="71">
        <f t="shared" si="133"/>
        <v>0</v>
      </c>
      <c r="U937" s="71">
        <f>IF(AND(N937=1,V937=1),IF(COUNTIFS(AKTIVITAS!$B$2:$B$3052,B937,AKTIVITAS!$E$2:$E$3052,H937)&gt;0,1,0),0)</f>
        <v>0</v>
      </c>
      <c r="V937" s="71">
        <f>IFERROR(IF(AND(H937&gt;=INDEX(PEMAGANG!$J$3:$J$36,MATCH(B937,PEMAGANG!$C$3:$C$36,0)),H937&lt;=INDEX(PEMAGANG!$K$3:$K$36,MATCH(B937,PEMAGANG!$C$3:$C$36,0))),1,0),0)</f>
        <v>1</v>
      </c>
      <c r="W937" s="71">
        <f t="shared" si="134"/>
        <v>0</v>
      </c>
    </row>
    <row r="938" spans="1:23" x14ac:dyDescent="0.2">
      <c r="A938" s="71" t="s">
        <v>213</v>
      </c>
      <c r="B938" s="71" t="s">
        <v>214</v>
      </c>
      <c r="C938" s="71" t="s">
        <v>187</v>
      </c>
      <c r="D938" s="71" t="s">
        <v>215</v>
      </c>
      <c r="E938" s="71" t="s">
        <v>54</v>
      </c>
      <c r="F938" s="71" t="s">
        <v>298</v>
      </c>
      <c r="G938" s="88">
        <v>46247.300381944398</v>
      </c>
      <c r="H938" s="89">
        <v>46247</v>
      </c>
      <c r="I938" s="71" t="s">
        <v>478</v>
      </c>
      <c r="J938" s="71">
        <v>-18</v>
      </c>
      <c r="K938" s="71" t="s">
        <v>302</v>
      </c>
      <c r="L938" s="71">
        <f t="shared" si="126"/>
        <v>8</v>
      </c>
      <c r="M938" s="71" t="str">
        <f>IFERROR(INDEX(KALENDER!$D$3:$D$132,MATCH(H938,KALENDER!$A$3:$A$132,0)),"Di luar periode")</f>
        <v>Hari Kerja</v>
      </c>
      <c r="N938" s="71">
        <f t="shared" si="127"/>
        <v>1</v>
      </c>
      <c r="O938" s="71">
        <f t="shared" si="128"/>
        <v>1</v>
      </c>
      <c r="P938" s="71">
        <f t="shared" si="129"/>
        <v>1</v>
      </c>
      <c r="Q938" s="71">
        <f t="shared" si="130"/>
        <v>0</v>
      </c>
      <c r="R938" s="71">
        <f t="shared" si="131"/>
        <v>0</v>
      </c>
      <c r="S938" s="71">
        <f t="shared" si="132"/>
        <v>0</v>
      </c>
      <c r="T938" s="71">
        <f t="shared" si="133"/>
        <v>0</v>
      </c>
      <c r="U938" s="71">
        <f>IF(AND(N938=1,V938=1),IF(COUNTIFS(AKTIVITAS!$B$2:$B$3052,B938,AKTIVITAS!$E$2:$E$3052,H938)&gt;0,1,0),0)</f>
        <v>1</v>
      </c>
      <c r="V938" s="71">
        <f>IFERROR(IF(AND(H938&gt;=INDEX(PEMAGANG!$J$3:$J$36,MATCH(B938,PEMAGANG!$C$3:$C$36,0)),H938&lt;=INDEX(PEMAGANG!$K$3:$K$36,MATCH(B938,PEMAGANG!$C$3:$C$36,0))),1,0),0)</f>
        <v>1</v>
      </c>
      <c r="W938" s="71">
        <f t="shared" si="134"/>
        <v>1</v>
      </c>
    </row>
    <row r="939" spans="1:23" x14ac:dyDescent="0.2">
      <c r="A939" s="71" t="s">
        <v>213</v>
      </c>
      <c r="B939" s="71" t="s">
        <v>214</v>
      </c>
      <c r="C939" s="71" t="s">
        <v>187</v>
      </c>
      <c r="D939" s="71" t="s">
        <v>215</v>
      </c>
      <c r="E939" s="71" t="s">
        <v>54</v>
      </c>
      <c r="F939" s="71" t="s">
        <v>300</v>
      </c>
      <c r="G939" s="88">
        <v>46247.688611111102</v>
      </c>
      <c r="H939" s="89">
        <v>46247</v>
      </c>
      <c r="I939" s="71" t="s">
        <v>336</v>
      </c>
      <c r="J939" s="71">
        <v>0</v>
      </c>
      <c r="K939" s="71" t="s">
        <v>302</v>
      </c>
      <c r="L939" s="71">
        <f t="shared" si="126"/>
        <v>8</v>
      </c>
      <c r="M939" s="71" t="str">
        <f>IFERROR(INDEX(KALENDER!$D$3:$D$132,MATCH(H939,KALENDER!$A$3:$A$132,0)),"Di luar periode")</f>
        <v>Hari Kerja</v>
      </c>
      <c r="N939" s="71">
        <f t="shared" si="127"/>
        <v>0</v>
      </c>
      <c r="O939" s="71">
        <f t="shared" si="128"/>
        <v>1</v>
      </c>
      <c r="P939" s="71">
        <f t="shared" si="129"/>
        <v>0</v>
      </c>
      <c r="Q939" s="71">
        <f t="shared" si="130"/>
        <v>0</v>
      </c>
      <c r="R939" s="71">
        <f t="shared" si="131"/>
        <v>0</v>
      </c>
      <c r="S939" s="71">
        <f t="shared" si="132"/>
        <v>0</v>
      </c>
      <c r="T939" s="71">
        <f t="shared" si="133"/>
        <v>0</v>
      </c>
      <c r="U939" s="71">
        <f>IF(AND(N939=1,V939=1),IF(COUNTIFS(AKTIVITAS!$B$2:$B$3052,B939,AKTIVITAS!$E$2:$E$3052,H939)&gt;0,1,0),0)</f>
        <v>0</v>
      </c>
      <c r="V939" s="71">
        <f>IFERROR(IF(AND(H939&gt;=INDEX(PEMAGANG!$J$3:$J$36,MATCH(B939,PEMAGANG!$C$3:$C$36,0)),H939&lt;=INDEX(PEMAGANG!$K$3:$K$36,MATCH(B939,PEMAGANG!$C$3:$C$36,0))),1,0),0)</f>
        <v>1</v>
      </c>
      <c r="W939" s="71">
        <f t="shared" si="134"/>
        <v>0</v>
      </c>
    </row>
    <row r="940" spans="1:23" x14ac:dyDescent="0.2">
      <c r="A940" s="71" t="s">
        <v>213</v>
      </c>
      <c r="B940" s="71" t="s">
        <v>214</v>
      </c>
      <c r="C940" s="71" t="s">
        <v>187</v>
      </c>
      <c r="D940" s="71" t="s">
        <v>215</v>
      </c>
      <c r="E940" s="71" t="s">
        <v>54</v>
      </c>
      <c r="F940" s="71" t="s">
        <v>298</v>
      </c>
      <c r="G940" s="88">
        <v>46248.307141203702</v>
      </c>
      <c r="H940" s="89">
        <v>46248</v>
      </c>
      <c r="I940" s="71" t="s">
        <v>313</v>
      </c>
      <c r="J940" s="71">
        <v>-8.0000000000000497</v>
      </c>
      <c r="K940" s="71" t="s">
        <v>302</v>
      </c>
      <c r="L940" s="71">
        <f t="shared" si="126"/>
        <v>8</v>
      </c>
      <c r="M940" s="71" t="str">
        <f>IFERROR(INDEX(KALENDER!$D$3:$D$132,MATCH(H940,KALENDER!$A$3:$A$132,0)),"Di luar periode")</f>
        <v>Hari Kerja</v>
      </c>
      <c r="N940" s="71">
        <f t="shared" si="127"/>
        <v>1</v>
      </c>
      <c r="O940" s="71">
        <f t="shared" si="128"/>
        <v>1</v>
      </c>
      <c r="P940" s="71">
        <f t="shared" si="129"/>
        <v>1</v>
      </c>
      <c r="Q940" s="71">
        <f t="shared" si="130"/>
        <v>0</v>
      </c>
      <c r="R940" s="71">
        <f t="shared" si="131"/>
        <v>0</v>
      </c>
      <c r="S940" s="71">
        <f t="shared" si="132"/>
        <v>0</v>
      </c>
      <c r="T940" s="71">
        <f t="shared" si="133"/>
        <v>0</v>
      </c>
      <c r="U940" s="71">
        <f>IF(AND(N940=1,V940=1),IF(COUNTIFS(AKTIVITAS!$B$2:$B$3052,B940,AKTIVITAS!$E$2:$E$3052,H940)&gt;0,1,0),0)</f>
        <v>1</v>
      </c>
      <c r="V940" s="71">
        <f>IFERROR(IF(AND(H940&gt;=INDEX(PEMAGANG!$J$3:$J$36,MATCH(B940,PEMAGANG!$C$3:$C$36,0)),H940&lt;=INDEX(PEMAGANG!$K$3:$K$36,MATCH(B940,PEMAGANG!$C$3:$C$36,0))),1,0),0)</f>
        <v>1</v>
      </c>
      <c r="W940" s="71">
        <f t="shared" si="134"/>
        <v>1</v>
      </c>
    </row>
    <row r="941" spans="1:23" x14ac:dyDescent="0.2">
      <c r="A941" s="71" t="s">
        <v>213</v>
      </c>
      <c r="B941" s="71" t="s">
        <v>214</v>
      </c>
      <c r="C941" s="71" t="s">
        <v>187</v>
      </c>
      <c r="D941" s="71" t="s">
        <v>215</v>
      </c>
      <c r="E941" s="71" t="s">
        <v>54</v>
      </c>
      <c r="F941" s="71" t="s">
        <v>300</v>
      </c>
      <c r="G941" s="88">
        <v>46248.689016203702</v>
      </c>
      <c r="H941" s="89">
        <v>46248</v>
      </c>
      <c r="I941" s="71" t="s">
        <v>306</v>
      </c>
      <c r="J941" s="71">
        <v>0</v>
      </c>
      <c r="K941" s="71" t="s">
        <v>302</v>
      </c>
      <c r="L941" s="71">
        <f t="shared" si="126"/>
        <v>8</v>
      </c>
      <c r="M941" s="71" t="str">
        <f>IFERROR(INDEX(KALENDER!$D$3:$D$132,MATCH(H941,KALENDER!$A$3:$A$132,0)),"Di luar periode")</f>
        <v>Hari Kerja</v>
      </c>
      <c r="N941" s="71">
        <f t="shared" si="127"/>
        <v>0</v>
      </c>
      <c r="O941" s="71">
        <f t="shared" si="128"/>
        <v>1</v>
      </c>
      <c r="P941" s="71">
        <f t="shared" si="129"/>
        <v>0</v>
      </c>
      <c r="Q941" s="71">
        <f t="shared" si="130"/>
        <v>0</v>
      </c>
      <c r="R941" s="71">
        <f t="shared" si="131"/>
        <v>0</v>
      </c>
      <c r="S941" s="71">
        <f t="shared" si="132"/>
        <v>0</v>
      </c>
      <c r="T941" s="71">
        <f t="shared" si="133"/>
        <v>0</v>
      </c>
      <c r="U941" s="71">
        <f>IF(AND(N941=1,V941=1),IF(COUNTIFS(AKTIVITAS!$B$2:$B$3052,B941,AKTIVITAS!$E$2:$E$3052,H941)&gt;0,1,0),0)</f>
        <v>0</v>
      </c>
      <c r="V941" s="71">
        <f>IFERROR(IF(AND(H941&gt;=INDEX(PEMAGANG!$J$3:$J$36,MATCH(B941,PEMAGANG!$C$3:$C$36,0)),H941&lt;=INDEX(PEMAGANG!$K$3:$K$36,MATCH(B941,PEMAGANG!$C$3:$C$36,0))),1,0),0)</f>
        <v>1</v>
      </c>
      <c r="W941" s="71">
        <f t="shared" si="134"/>
        <v>0</v>
      </c>
    </row>
    <row r="942" spans="1:23" x14ac:dyDescent="0.2">
      <c r="A942" s="71" t="s">
        <v>213</v>
      </c>
      <c r="B942" s="71" t="s">
        <v>214</v>
      </c>
      <c r="C942" s="71" t="s">
        <v>187</v>
      </c>
      <c r="D942" s="71" t="s">
        <v>215</v>
      </c>
      <c r="E942" s="71" t="s">
        <v>54</v>
      </c>
      <c r="F942" s="71" t="s">
        <v>298</v>
      </c>
      <c r="G942" s="88">
        <v>46252.302465277797</v>
      </c>
      <c r="H942" s="89">
        <v>46252</v>
      </c>
      <c r="I942" s="71" t="s">
        <v>370</v>
      </c>
      <c r="J942" s="71">
        <v>-15</v>
      </c>
      <c r="K942" s="71" t="s">
        <v>302</v>
      </c>
      <c r="L942" s="71">
        <f t="shared" si="126"/>
        <v>8</v>
      </c>
      <c r="M942" s="71" t="str">
        <f>IFERROR(INDEX(KALENDER!$D$3:$D$132,MATCH(H942,KALENDER!$A$3:$A$132,0)),"Di luar periode")</f>
        <v>Hari Kerja</v>
      </c>
      <c r="N942" s="71">
        <f t="shared" si="127"/>
        <v>1</v>
      </c>
      <c r="O942" s="71">
        <f t="shared" si="128"/>
        <v>1</v>
      </c>
      <c r="P942" s="71">
        <f t="shared" si="129"/>
        <v>1</v>
      </c>
      <c r="Q942" s="71">
        <f t="shared" si="130"/>
        <v>0</v>
      </c>
      <c r="R942" s="71">
        <f t="shared" si="131"/>
        <v>0</v>
      </c>
      <c r="S942" s="71">
        <f t="shared" si="132"/>
        <v>0</v>
      </c>
      <c r="T942" s="71">
        <f t="shared" si="133"/>
        <v>0</v>
      </c>
      <c r="U942" s="71">
        <f>IF(AND(N942=1,V942=1),IF(COUNTIFS(AKTIVITAS!$B$2:$B$3052,B942,AKTIVITAS!$E$2:$E$3052,H942)&gt;0,1,0),0)</f>
        <v>1</v>
      </c>
      <c r="V942" s="71">
        <f>IFERROR(IF(AND(H942&gt;=INDEX(PEMAGANG!$J$3:$J$36,MATCH(B942,PEMAGANG!$C$3:$C$36,0)),H942&lt;=INDEX(PEMAGANG!$K$3:$K$36,MATCH(B942,PEMAGANG!$C$3:$C$36,0))),1,0),0)</f>
        <v>1</v>
      </c>
      <c r="W942" s="71">
        <f t="shared" si="134"/>
        <v>1</v>
      </c>
    </row>
    <row r="943" spans="1:23" x14ac:dyDescent="0.2">
      <c r="A943" s="71" t="s">
        <v>213</v>
      </c>
      <c r="B943" s="71" t="s">
        <v>214</v>
      </c>
      <c r="C943" s="71" t="s">
        <v>187</v>
      </c>
      <c r="D943" s="71" t="s">
        <v>215</v>
      </c>
      <c r="E943" s="71" t="s">
        <v>54</v>
      </c>
      <c r="F943" s="71" t="s">
        <v>300</v>
      </c>
      <c r="G943" s="88">
        <v>46252.689236111102</v>
      </c>
      <c r="H943" s="89">
        <v>46252</v>
      </c>
      <c r="I943" s="71" t="s">
        <v>306</v>
      </c>
      <c r="J943" s="71">
        <v>0</v>
      </c>
      <c r="K943" s="71" t="s">
        <v>302</v>
      </c>
      <c r="L943" s="71">
        <f t="shared" si="126"/>
        <v>8</v>
      </c>
      <c r="M943" s="71" t="str">
        <f>IFERROR(INDEX(KALENDER!$D$3:$D$132,MATCH(H943,KALENDER!$A$3:$A$132,0)),"Di luar periode")</f>
        <v>Hari Kerja</v>
      </c>
      <c r="N943" s="71">
        <f t="shared" si="127"/>
        <v>0</v>
      </c>
      <c r="O943" s="71">
        <f t="shared" si="128"/>
        <v>1</v>
      </c>
      <c r="P943" s="71">
        <f t="shared" si="129"/>
        <v>0</v>
      </c>
      <c r="Q943" s="71">
        <f t="shared" si="130"/>
        <v>0</v>
      </c>
      <c r="R943" s="71">
        <f t="shared" si="131"/>
        <v>0</v>
      </c>
      <c r="S943" s="71">
        <f t="shared" si="132"/>
        <v>0</v>
      </c>
      <c r="T943" s="71">
        <f t="shared" si="133"/>
        <v>0</v>
      </c>
      <c r="U943" s="71">
        <f>IF(AND(N943=1,V943=1),IF(COUNTIFS(AKTIVITAS!$B$2:$B$3052,B943,AKTIVITAS!$E$2:$E$3052,H943)&gt;0,1,0),0)</f>
        <v>0</v>
      </c>
      <c r="V943" s="71">
        <f>IFERROR(IF(AND(H943&gt;=INDEX(PEMAGANG!$J$3:$J$36,MATCH(B943,PEMAGANG!$C$3:$C$36,0)),H943&lt;=INDEX(PEMAGANG!$K$3:$K$36,MATCH(B943,PEMAGANG!$C$3:$C$36,0))),1,0),0)</f>
        <v>1</v>
      </c>
      <c r="W943" s="71">
        <f t="shared" si="134"/>
        <v>0</v>
      </c>
    </row>
    <row r="944" spans="1:23" x14ac:dyDescent="0.2">
      <c r="A944" s="71" t="s">
        <v>213</v>
      </c>
      <c r="B944" s="71" t="s">
        <v>214</v>
      </c>
      <c r="C944" s="71" t="s">
        <v>187</v>
      </c>
      <c r="D944" s="71" t="s">
        <v>215</v>
      </c>
      <c r="E944" s="71" t="s">
        <v>54</v>
      </c>
      <c r="F944" s="71" t="s">
        <v>298</v>
      </c>
      <c r="G944" s="88">
        <v>46253.3016319444</v>
      </c>
      <c r="H944" s="89">
        <v>46253</v>
      </c>
      <c r="I944" s="71" t="s">
        <v>416</v>
      </c>
      <c r="J944" s="71">
        <v>-16</v>
      </c>
      <c r="K944" s="71" t="s">
        <v>302</v>
      </c>
      <c r="L944" s="71">
        <f t="shared" si="126"/>
        <v>8</v>
      </c>
      <c r="M944" s="71" t="str">
        <f>IFERROR(INDEX(KALENDER!$D$3:$D$132,MATCH(H944,KALENDER!$A$3:$A$132,0)),"Di luar periode")</f>
        <v>Hari Kerja</v>
      </c>
      <c r="N944" s="71">
        <f t="shared" si="127"/>
        <v>1</v>
      </c>
      <c r="O944" s="71">
        <f t="shared" si="128"/>
        <v>1</v>
      </c>
      <c r="P944" s="71">
        <f t="shared" si="129"/>
        <v>1</v>
      </c>
      <c r="Q944" s="71">
        <f t="shared" si="130"/>
        <v>0</v>
      </c>
      <c r="R944" s="71">
        <f t="shared" si="131"/>
        <v>0</v>
      </c>
      <c r="S944" s="71">
        <f t="shared" si="132"/>
        <v>0</v>
      </c>
      <c r="T944" s="71">
        <f t="shared" si="133"/>
        <v>0</v>
      </c>
      <c r="U944" s="71">
        <f>IF(AND(N944=1,V944=1),IF(COUNTIFS(AKTIVITAS!$B$2:$B$3052,B944,AKTIVITAS!$E$2:$E$3052,H944)&gt;0,1,0),0)</f>
        <v>1</v>
      </c>
      <c r="V944" s="71">
        <f>IFERROR(IF(AND(H944&gt;=INDEX(PEMAGANG!$J$3:$J$36,MATCH(B944,PEMAGANG!$C$3:$C$36,0)),H944&lt;=INDEX(PEMAGANG!$K$3:$K$36,MATCH(B944,PEMAGANG!$C$3:$C$36,0))),1,0),0)</f>
        <v>1</v>
      </c>
      <c r="W944" s="71">
        <f t="shared" si="134"/>
        <v>1</v>
      </c>
    </row>
    <row r="945" spans="1:23" x14ac:dyDescent="0.2">
      <c r="A945" s="71" t="s">
        <v>213</v>
      </c>
      <c r="B945" s="71" t="s">
        <v>214</v>
      </c>
      <c r="C945" s="71" t="s">
        <v>187</v>
      </c>
      <c r="D945" s="71" t="s">
        <v>215</v>
      </c>
      <c r="E945" s="71" t="s">
        <v>54</v>
      </c>
      <c r="F945" s="71" t="s">
        <v>300</v>
      </c>
      <c r="G945" s="88">
        <v>46253.6882638889</v>
      </c>
      <c r="H945" s="89">
        <v>46253</v>
      </c>
      <c r="I945" s="71" t="s">
        <v>336</v>
      </c>
      <c r="J945" s="71">
        <v>0</v>
      </c>
      <c r="K945" s="71" t="s">
        <v>302</v>
      </c>
      <c r="L945" s="71">
        <f t="shared" si="126"/>
        <v>8</v>
      </c>
      <c r="M945" s="71" t="str">
        <f>IFERROR(INDEX(KALENDER!$D$3:$D$132,MATCH(H945,KALENDER!$A$3:$A$132,0)),"Di luar periode")</f>
        <v>Hari Kerja</v>
      </c>
      <c r="N945" s="71">
        <f t="shared" si="127"/>
        <v>0</v>
      </c>
      <c r="O945" s="71">
        <f t="shared" si="128"/>
        <v>1</v>
      </c>
      <c r="P945" s="71">
        <f t="shared" si="129"/>
        <v>0</v>
      </c>
      <c r="Q945" s="71">
        <f t="shared" si="130"/>
        <v>0</v>
      </c>
      <c r="R945" s="71">
        <f t="shared" si="131"/>
        <v>0</v>
      </c>
      <c r="S945" s="71">
        <f t="shared" si="132"/>
        <v>0</v>
      </c>
      <c r="T945" s="71">
        <f t="shared" si="133"/>
        <v>0</v>
      </c>
      <c r="U945" s="71">
        <f>IF(AND(N945=1,V945=1),IF(COUNTIFS(AKTIVITAS!$B$2:$B$3052,B945,AKTIVITAS!$E$2:$E$3052,H945)&gt;0,1,0),0)</f>
        <v>0</v>
      </c>
      <c r="V945" s="71">
        <f>IFERROR(IF(AND(H945&gt;=INDEX(PEMAGANG!$J$3:$J$36,MATCH(B945,PEMAGANG!$C$3:$C$36,0)),H945&lt;=INDEX(PEMAGANG!$K$3:$K$36,MATCH(B945,PEMAGANG!$C$3:$C$36,0))),1,0),0)</f>
        <v>1</v>
      </c>
      <c r="W945" s="71">
        <f t="shared" si="134"/>
        <v>0</v>
      </c>
    </row>
    <row r="946" spans="1:23" x14ac:dyDescent="0.2">
      <c r="A946" s="71" t="s">
        <v>213</v>
      </c>
      <c r="B946" s="71" t="s">
        <v>214</v>
      </c>
      <c r="C946" s="71" t="s">
        <v>187</v>
      </c>
      <c r="D946" s="71" t="s">
        <v>215</v>
      </c>
      <c r="E946" s="71" t="s">
        <v>54</v>
      </c>
      <c r="F946" s="71" t="s">
        <v>298</v>
      </c>
      <c r="G946" s="88">
        <v>46254.301701388897</v>
      </c>
      <c r="H946" s="89">
        <v>46254</v>
      </c>
      <c r="I946" s="71" t="s">
        <v>416</v>
      </c>
      <c r="J946" s="71">
        <v>-16</v>
      </c>
      <c r="K946" s="71" t="s">
        <v>302</v>
      </c>
      <c r="L946" s="71">
        <f t="shared" si="126"/>
        <v>8</v>
      </c>
      <c r="M946" s="71" t="str">
        <f>IFERROR(INDEX(KALENDER!$D$3:$D$132,MATCH(H946,KALENDER!$A$3:$A$132,0)),"Di luar periode")</f>
        <v>Hari Kerja</v>
      </c>
      <c r="N946" s="71">
        <f t="shared" si="127"/>
        <v>1</v>
      </c>
      <c r="O946" s="71">
        <f t="shared" si="128"/>
        <v>1</v>
      </c>
      <c r="P946" s="71">
        <f t="shared" si="129"/>
        <v>1</v>
      </c>
      <c r="Q946" s="71">
        <f t="shared" si="130"/>
        <v>0</v>
      </c>
      <c r="R946" s="71">
        <f t="shared" si="131"/>
        <v>0</v>
      </c>
      <c r="S946" s="71">
        <f t="shared" si="132"/>
        <v>0</v>
      </c>
      <c r="T946" s="71">
        <f t="shared" si="133"/>
        <v>0</v>
      </c>
      <c r="U946" s="71">
        <f>IF(AND(N946=1,V946=1),IF(COUNTIFS(AKTIVITAS!$B$2:$B$3052,B946,AKTIVITAS!$E$2:$E$3052,H946)&gt;0,1,0),0)</f>
        <v>1</v>
      </c>
      <c r="V946" s="71">
        <f>IFERROR(IF(AND(H946&gt;=INDEX(PEMAGANG!$J$3:$J$36,MATCH(B946,PEMAGANG!$C$3:$C$36,0)),H946&lt;=INDEX(PEMAGANG!$K$3:$K$36,MATCH(B946,PEMAGANG!$C$3:$C$36,0))),1,0),0)</f>
        <v>1</v>
      </c>
      <c r="W946" s="71">
        <f t="shared" si="134"/>
        <v>1</v>
      </c>
    </row>
    <row r="947" spans="1:23" x14ac:dyDescent="0.2">
      <c r="A947" s="71" t="s">
        <v>213</v>
      </c>
      <c r="B947" s="71" t="s">
        <v>214</v>
      </c>
      <c r="C947" s="71" t="s">
        <v>187</v>
      </c>
      <c r="D947" s="71" t="s">
        <v>215</v>
      </c>
      <c r="E947" s="71" t="s">
        <v>54</v>
      </c>
      <c r="F947" s="71" t="s">
        <v>300</v>
      </c>
      <c r="G947" s="88">
        <v>46254.690972222197</v>
      </c>
      <c r="H947" s="89">
        <v>46254</v>
      </c>
      <c r="I947" s="71" t="s">
        <v>310</v>
      </c>
      <c r="J947" s="71">
        <v>0</v>
      </c>
      <c r="K947" s="71" t="s">
        <v>302</v>
      </c>
      <c r="L947" s="71">
        <f t="shared" si="126"/>
        <v>8</v>
      </c>
      <c r="M947" s="71" t="str">
        <f>IFERROR(INDEX(KALENDER!$D$3:$D$132,MATCH(H947,KALENDER!$A$3:$A$132,0)),"Di luar periode")</f>
        <v>Hari Kerja</v>
      </c>
      <c r="N947" s="71">
        <f t="shared" si="127"/>
        <v>0</v>
      </c>
      <c r="O947" s="71">
        <f t="shared" si="128"/>
        <v>1</v>
      </c>
      <c r="P947" s="71">
        <f t="shared" si="129"/>
        <v>0</v>
      </c>
      <c r="Q947" s="71">
        <f t="shared" si="130"/>
        <v>0</v>
      </c>
      <c r="R947" s="71">
        <f t="shared" si="131"/>
        <v>0</v>
      </c>
      <c r="S947" s="71">
        <f t="shared" si="132"/>
        <v>0</v>
      </c>
      <c r="T947" s="71">
        <f t="shared" si="133"/>
        <v>0</v>
      </c>
      <c r="U947" s="71">
        <f>IF(AND(N947=1,V947=1),IF(COUNTIFS(AKTIVITAS!$B$2:$B$3052,B947,AKTIVITAS!$E$2:$E$3052,H947)&gt;0,1,0),0)</f>
        <v>0</v>
      </c>
      <c r="V947" s="71">
        <f>IFERROR(IF(AND(H947&gt;=INDEX(PEMAGANG!$J$3:$J$36,MATCH(B947,PEMAGANG!$C$3:$C$36,0)),H947&lt;=INDEX(PEMAGANG!$K$3:$K$36,MATCH(B947,PEMAGANG!$C$3:$C$36,0))),1,0),0)</f>
        <v>1</v>
      </c>
      <c r="W947" s="71">
        <f t="shared" si="134"/>
        <v>0</v>
      </c>
    </row>
    <row r="948" spans="1:23" x14ac:dyDescent="0.2">
      <c r="A948" s="71" t="s">
        <v>213</v>
      </c>
      <c r="B948" s="71" t="s">
        <v>214</v>
      </c>
      <c r="C948" s="71" t="s">
        <v>187</v>
      </c>
      <c r="D948" s="71" t="s">
        <v>215</v>
      </c>
      <c r="E948" s="71" t="s">
        <v>54</v>
      </c>
      <c r="F948" s="71" t="s">
        <v>298</v>
      </c>
      <c r="G948" s="88">
        <v>46255.429293981499</v>
      </c>
      <c r="H948" s="89">
        <v>46255</v>
      </c>
      <c r="I948" s="71" t="s">
        <v>489</v>
      </c>
      <c r="J948" s="71">
        <v>138</v>
      </c>
      <c r="K948" s="71" t="s">
        <v>293</v>
      </c>
      <c r="L948" s="71">
        <f t="shared" si="126"/>
        <v>8</v>
      </c>
      <c r="M948" s="71" t="str">
        <f>IFERROR(INDEX(KALENDER!$D$3:$D$132,MATCH(H948,KALENDER!$A$3:$A$132,0)),"Di luar periode")</f>
        <v>Hari Kerja</v>
      </c>
      <c r="N948" s="71">
        <f t="shared" si="127"/>
        <v>1</v>
      </c>
      <c r="O948" s="71">
        <f t="shared" si="128"/>
        <v>1</v>
      </c>
      <c r="P948" s="71">
        <f t="shared" si="129"/>
        <v>1</v>
      </c>
      <c r="Q948" s="71">
        <f t="shared" si="130"/>
        <v>0</v>
      </c>
      <c r="R948" s="71">
        <f t="shared" si="131"/>
        <v>1</v>
      </c>
      <c r="S948" s="71">
        <f t="shared" si="132"/>
        <v>138</v>
      </c>
      <c r="T948" s="71">
        <f t="shared" si="133"/>
        <v>0</v>
      </c>
      <c r="U948" s="71">
        <f>IF(AND(N948=1,V948=1),IF(COUNTIFS(AKTIVITAS!$B$2:$B$3052,B948,AKTIVITAS!$E$2:$E$3052,H948)&gt;0,1,0),0)</f>
        <v>1</v>
      </c>
      <c r="V948" s="71">
        <f>IFERROR(IF(AND(H948&gt;=INDEX(PEMAGANG!$J$3:$J$36,MATCH(B948,PEMAGANG!$C$3:$C$36,0)),H948&lt;=INDEX(PEMAGANG!$K$3:$K$36,MATCH(B948,PEMAGANG!$C$3:$C$36,0))),1,0),0)</f>
        <v>1</v>
      </c>
      <c r="W948" s="71">
        <f t="shared" si="134"/>
        <v>1</v>
      </c>
    </row>
    <row r="949" spans="1:23" x14ac:dyDescent="0.2">
      <c r="A949" s="71" t="s">
        <v>213</v>
      </c>
      <c r="B949" s="71" t="s">
        <v>214</v>
      </c>
      <c r="C949" s="71" t="s">
        <v>187</v>
      </c>
      <c r="D949" s="71" t="s">
        <v>215</v>
      </c>
      <c r="E949" s="71" t="s">
        <v>54</v>
      </c>
      <c r="F949" s="71" t="s">
        <v>300</v>
      </c>
      <c r="G949" s="88">
        <v>46255.690011574101</v>
      </c>
      <c r="H949" s="89">
        <v>46255</v>
      </c>
      <c r="I949" s="71" t="s">
        <v>316</v>
      </c>
      <c r="J949" s="71">
        <v>0</v>
      </c>
      <c r="K949" s="71" t="s">
        <v>302</v>
      </c>
      <c r="L949" s="71">
        <f t="shared" si="126"/>
        <v>8</v>
      </c>
      <c r="M949" s="71" t="str">
        <f>IFERROR(INDEX(KALENDER!$D$3:$D$132,MATCH(H949,KALENDER!$A$3:$A$132,0)),"Di luar periode")</f>
        <v>Hari Kerja</v>
      </c>
      <c r="N949" s="71">
        <f t="shared" si="127"/>
        <v>0</v>
      </c>
      <c r="O949" s="71">
        <f t="shared" si="128"/>
        <v>1</v>
      </c>
      <c r="P949" s="71">
        <f t="shared" si="129"/>
        <v>0</v>
      </c>
      <c r="Q949" s="71">
        <f t="shared" si="130"/>
        <v>0</v>
      </c>
      <c r="R949" s="71">
        <f t="shared" si="131"/>
        <v>0</v>
      </c>
      <c r="S949" s="71">
        <f t="shared" si="132"/>
        <v>0</v>
      </c>
      <c r="T949" s="71">
        <f t="shared" si="133"/>
        <v>0</v>
      </c>
      <c r="U949" s="71">
        <f>IF(AND(N949=1,V949=1),IF(COUNTIFS(AKTIVITAS!$B$2:$B$3052,B949,AKTIVITAS!$E$2:$E$3052,H949)&gt;0,1,0),0)</f>
        <v>0</v>
      </c>
      <c r="V949" s="71">
        <f>IFERROR(IF(AND(H949&gt;=INDEX(PEMAGANG!$J$3:$J$36,MATCH(B949,PEMAGANG!$C$3:$C$36,0)),H949&lt;=INDEX(PEMAGANG!$K$3:$K$36,MATCH(B949,PEMAGANG!$C$3:$C$36,0))),1,0),0)</f>
        <v>1</v>
      </c>
      <c r="W949" s="71">
        <f t="shared" si="134"/>
        <v>0</v>
      </c>
    </row>
    <row r="950" spans="1:23" x14ac:dyDescent="0.2">
      <c r="A950" s="71" t="s">
        <v>213</v>
      </c>
      <c r="B950" s="71" t="s">
        <v>214</v>
      </c>
      <c r="C950" s="71" t="s">
        <v>187</v>
      </c>
      <c r="D950" s="71" t="s">
        <v>215</v>
      </c>
      <c r="E950" s="71" t="s">
        <v>54</v>
      </c>
      <c r="F950" s="71" t="s">
        <v>298</v>
      </c>
      <c r="G950" s="88">
        <v>46258.300277777802</v>
      </c>
      <c r="H950" s="89">
        <v>46258</v>
      </c>
      <c r="I950" s="71" t="s">
        <v>478</v>
      </c>
      <c r="J950" s="71">
        <v>-48</v>
      </c>
      <c r="K950" s="71" t="s">
        <v>302</v>
      </c>
      <c r="L950" s="71">
        <f t="shared" si="126"/>
        <v>8</v>
      </c>
      <c r="M950" s="71" t="str">
        <f>IFERROR(INDEX(KALENDER!$D$3:$D$132,MATCH(H950,KALENDER!$A$3:$A$132,0)),"Di luar periode")</f>
        <v>Hari Kerja</v>
      </c>
      <c r="N950" s="71">
        <f t="shared" si="127"/>
        <v>1</v>
      </c>
      <c r="O950" s="71">
        <f t="shared" si="128"/>
        <v>1</v>
      </c>
      <c r="P950" s="71">
        <f t="shared" si="129"/>
        <v>1</v>
      </c>
      <c r="Q950" s="71">
        <f t="shared" si="130"/>
        <v>0</v>
      </c>
      <c r="R950" s="71">
        <f t="shared" si="131"/>
        <v>0</v>
      </c>
      <c r="S950" s="71">
        <f t="shared" si="132"/>
        <v>0</v>
      </c>
      <c r="T950" s="71">
        <f t="shared" si="133"/>
        <v>0</v>
      </c>
      <c r="U950" s="71">
        <f>IF(AND(N950=1,V950=1),IF(COUNTIFS(AKTIVITAS!$B$2:$B$3052,B950,AKTIVITAS!$E$2:$E$3052,H950)&gt;0,1,0),0)</f>
        <v>1</v>
      </c>
      <c r="V950" s="71">
        <f>IFERROR(IF(AND(H950&gt;=INDEX(PEMAGANG!$J$3:$J$36,MATCH(B950,PEMAGANG!$C$3:$C$36,0)),H950&lt;=INDEX(PEMAGANG!$K$3:$K$36,MATCH(B950,PEMAGANG!$C$3:$C$36,0))),1,0),0)</f>
        <v>1</v>
      </c>
      <c r="W950" s="71">
        <f t="shared" si="134"/>
        <v>1</v>
      </c>
    </row>
    <row r="951" spans="1:23" x14ac:dyDescent="0.2">
      <c r="A951" s="71" t="s">
        <v>213</v>
      </c>
      <c r="B951" s="71" t="s">
        <v>214</v>
      </c>
      <c r="C951" s="71" t="s">
        <v>187</v>
      </c>
      <c r="D951" s="71" t="s">
        <v>215</v>
      </c>
      <c r="E951" s="71" t="s">
        <v>54</v>
      </c>
      <c r="F951" s="71" t="s">
        <v>300</v>
      </c>
      <c r="G951" s="88">
        <v>46258.689328703702</v>
      </c>
      <c r="H951" s="89">
        <v>46258</v>
      </c>
      <c r="I951" s="71" t="s">
        <v>306</v>
      </c>
      <c r="J951" s="71">
        <v>0</v>
      </c>
      <c r="K951" s="71" t="s">
        <v>302</v>
      </c>
      <c r="L951" s="71">
        <f t="shared" si="126"/>
        <v>8</v>
      </c>
      <c r="M951" s="71" t="str">
        <f>IFERROR(INDEX(KALENDER!$D$3:$D$132,MATCH(H951,KALENDER!$A$3:$A$132,0)),"Di luar periode")</f>
        <v>Hari Kerja</v>
      </c>
      <c r="N951" s="71">
        <f t="shared" si="127"/>
        <v>0</v>
      </c>
      <c r="O951" s="71">
        <f t="shared" si="128"/>
        <v>1</v>
      </c>
      <c r="P951" s="71">
        <f t="shared" si="129"/>
        <v>0</v>
      </c>
      <c r="Q951" s="71">
        <f t="shared" si="130"/>
        <v>0</v>
      </c>
      <c r="R951" s="71">
        <f t="shared" si="131"/>
        <v>0</v>
      </c>
      <c r="S951" s="71">
        <f t="shared" si="132"/>
        <v>0</v>
      </c>
      <c r="T951" s="71">
        <f t="shared" si="133"/>
        <v>0</v>
      </c>
      <c r="U951" s="71">
        <f>IF(AND(N951=1,V951=1),IF(COUNTIFS(AKTIVITAS!$B$2:$B$3052,B951,AKTIVITAS!$E$2:$E$3052,H951)&gt;0,1,0),0)</f>
        <v>0</v>
      </c>
      <c r="V951" s="71">
        <f>IFERROR(IF(AND(H951&gt;=INDEX(PEMAGANG!$J$3:$J$36,MATCH(B951,PEMAGANG!$C$3:$C$36,0)),H951&lt;=INDEX(PEMAGANG!$K$3:$K$36,MATCH(B951,PEMAGANG!$C$3:$C$36,0))),1,0),0)</f>
        <v>1</v>
      </c>
      <c r="W951" s="71">
        <f t="shared" si="134"/>
        <v>0</v>
      </c>
    </row>
    <row r="952" spans="1:23" x14ac:dyDescent="0.2">
      <c r="A952" s="71" t="s">
        <v>213</v>
      </c>
      <c r="B952" s="71" t="s">
        <v>214</v>
      </c>
      <c r="C952" s="71" t="s">
        <v>187</v>
      </c>
      <c r="D952" s="71" t="s">
        <v>215</v>
      </c>
      <c r="E952" s="71" t="s">
        <v>54</v>
      </c>
      <c r="F952" s="71" t="s">
        <v>300</v>
      </c>
      <c r="G952" s="88">
        <v>46260.302349537</v>
      </c>
      <c r="H952" s="89">
        <v>46260</v>
      </c>
      <c r="I952" s="71" t="s">
        <v>370</v>
      </c>
      <c r="J952" s="71">
        <v>0</v>
      </c>
      <c r="K952" s="71" t="s">
        <v>302</v>
      </c>
      <c r="L952" s="71">
        <f t="shared" si="126"/>
        <v>8</v>
      </c>
      <c r="M952" s="71" t="str">
        <f>IFERROR(INDEX(KALENDER!$D$3:$D$132,MATCH(H952,KALENDER!$A$3:$A$132,0)),"Di luar periode")</f>
        <v>Hari Kerja</v>
      </c>
      <c r="N952" s="71">
        <f t="shared" si="127"/>
        <v>1</v>
      </c>
      <c r="O952" s="71">
        <f t="shared" si="128"/>
        <v>0</v>
      </c>
      <c r="P952" s="71">
        <f t="shared" si="129"/>
        <v>1</v>
      </c>
      <c r="Q952" s="71">
        <f t="shared" si="130"/>
        <v>0</v>
      </c>
      <c r="R952" s="71">
        <f t="shared" si="131"/>
        <v>0</v>
      </c>
      <c r="S952" s="71">
        <f t="shared" si="132"/>
        <v>0</v>
      </c>
      <c r="T952" s="71">
        <f t="shared" si="133"/>
        <v>0</v>
      </c>
      <c r="U952" s="71">
        <f>IF(AND(N952=1,V952=1),IF(COUNTIFS(AKTIVITAS!$B$2:$B$3052,B952,AKTIVITAS!$E$2:$E$3052,H952)&gt;0,1,0),0)</f>
        <v>1</v>
      </c>
      <c r="V952" s="71">
        <f>IFERROR(IF(AND(H952&gt;=INDEX(PEMAGANG!$J$3:$J$36,MATCH(B952,PEMAGANG!$C$3:$C$36,0)),H952&lt;=INDEX(PEMAGANG!$K$3:$K$36,MATCH(B952,PEMAGANG!$C$3:$C$36,0))),1,0),0)</f>
        <v>1</v>
      </c>
      <c r="W952" s="71">
        <f t="shared" si="134"/>
        <v>1</v>
      </c>
    </row>
    <row r="953" spans="1:23" x14ac:dyDescent="0.2">
      <c r="A953" s="71" t="s">
        <v>213</v>
      </c>
      <c r="B953" s="71" t="s">
        <v>214</v>
      </c>
      <c r="C953" s="71" t="s">
        <v>187</v>
      </c>
      <c r="D953" s="71" t="s">
        <v>215</v>
      </c>
      <c r="E953" s="71" t="s">
        <v>54</v>
      </c>
      <c r="F953" s="71" t="s">
        <v>298</v>
      </c>
      <c r="G953" s="88">
        <v>46261.300555555601</v>
      </c>
      <c r="H953" s="89">
        <v>46261</v>
      </c>
      <c r="I953" s="71" t="s">
        <v>478</v>
      </c>
      <c r="J953" s="71">
        <v>-48</v>
      </c>
      <c r="K953" s="71" t="s">
        <v>302</v>
      </c>
      <c r="L953" s="71">
        <f t="shared" si="126"/>
        <v>8</v>
      </c>
      <c r="M953" s="71" t="str">
        <f>IFERROR(INDEX(KALENDER!$D$3:$D$132,MATCH(H953,KALENDER!$A$3:$A$132,0)),"Di luar periode")</f>
        <v>Hari Kerja</v>
      </c>
      <c r="N953" s="71">
        <f t="shared" si="127"/>
        <v>1</v>
      </c>
      <c r="O953" s="71">
        <f t="shared" si="128"/>
        <v>1</v>
      </c>
      <c r="P953" s="71">
        <f t="shared" si="129"/>
        <v>1</v>
      </c>
      <c r="Q953" s="71">
        <f t="shared" si="130"/>
        <v>0</v>
      </c>
      <c r="R953" s="71">
        <f t="shared" si="131"/>
        <v>0</v>
      </c>
      <c r="S953" s="71">
        <f t="shared" si="132"/>
        <v>0</v>
      </c>
      <c r="T953" s="71">
        <f t="shared" si="133"/>
        <v>0</v>
      </c>
      <c r="U953" s="71">
        <f>IF(AND(N953=1,V953=1),IF(COUNTIFS(AKTIVITAS!$B$2:$B$3052,B953,AKTIVITAS!$E$2:$E$3052,H953)&gt;0,1,0),0)</f>
        <v>1</v>
      </c>
      <c r="V953" s="71">
        <f>IFERROR(IF(AND(H953&gt;=INDEX(PEMAGANG!$J$3:$J$36,MATCH(B953,PEMAGANG!$C$3:$C$36,0)),H953&lt;=INDEX(PEMAGANG!$K$3:$K$36,MATCH(B953,PEMAGANG!$C$3:$C$36,0))),1,0),0)</f>
        <v>1</v>
      </c>
      <c r="W953" s="71">
        <f t="shared" si="134"/>
        <v>1</v>
      </c>
    </row>
    <row r="954" spans="1:23" x14ac:dyDescent="0.2">
      <c r="A954" s="71" t="s">
        <v>213</v>
      </c>
      <c r="B954" s="71" t="s">
        <v>214</v>
      </c>
      <c r="C954" s="71" t="s">
        <v>187</v>
      </c>
      <c r="D954" s="71" t="s">
        <v>215</v>
      </c>
      <c r="E954" s="71" t="s">
        <v>54</v>
      </c>
      <c r="F954" s="71" t="s">
        <v>300</v>
      </c>
      <c r="G954" s="88">
        <v>46261.688912037003</v>
      </c>
      <c r="H954" s="89">
        <v>46261</v>
      </c>
      <c r="I954" s="71" t="s">
        <v>306</v>
      </c>
      <c r="J954" s="71">
        <v>0</v>
      </c>
      <c r="K954" s="71" t="s">
        <v>302</v>
      </c>
      <c r="L954" s="71">
        <f t="shared" si="126"/>
        <v>8</v>
      </c>
      <c r="M954" s="71" t="str">
        <f>IFERROR(INDEX(KALENDER!$D$3:$D$132,MATCH(H954,KALENDER!$A$3:$A$132,0)),"Di luar periode")</f>
        <v>Hari Kerja</v>
      </c>
      <c r="N954" s="71">
        <f t="shared" si="127"/>
        <v>0</v>
      </c>
      <c r="O954" s="71">
        <f t="shared" si="128"/>
        <v>1</v>
      </c>
      <c r="P954" s="71">
        <f t="shared" si="129"/>
        <v>0</v>
      </c>
      <c r="Q954" s="71">
        <f t="shared" si="130"/>
        <v>0</v>
      </c>
      <c r="R954" s="71">
        <f t="shared" si="131"/>
        <v>0</v>
      </c>
      <c r="S954" s="71">
        <f t="shared" si="132"/>
        <v>0</v>
      </c>
      <c r="T954" s="71">
        <f t="shared" si="133"/>
        <v>0</v>
      </c>
      <c r="U954" s="71">
        <f>IF(AND(N954=1,V954=1),IF(COUNTIFS(AKTIVITAS!$B$2:$B$3052,B954,AKTIVITAS!$E$2:$E$3052,H954)&gt;0,1,0),0)</f>
        <v>0</v>
      </c>
      <c r="V954" s="71">
        <f>IFERROR(IF(AND(H954&gt;=INDEX(PEMAGANG!$J$3:$J$36,MATCH(B954,PEMAGANG!$C$3:$C$36,0)),H954&lt;=INDEX(PEMAGANG!$K$3:$K$36,MATCH(B954,PEMAGANG!$C$3:$C$36,0))),1,0),0)</f>
        <v>1</v>
      </c>
      <c r="W954" s="71">
        <f t="shared" si="134"/>
        <v>0</v>
      </c>
    </row>
    <row r="955" spans="1:23" x14ac:dyDescent="0.2">
      <c r="A955" s="71" t="s">
        <v>213</v>
      </c>
      <c r="B955" s="71" t="s">
        <v>214</v>
      </c>
      <c r="C955" s="71" t="s">
        <v>187</v>
      </c>
      <c r="D955" s="71" t="s">
        <v>215</v>
      </c>
      <c r="E955" s="71" t="s">
        <v>54</v>
      </c>
      <c r="F955" s="71" t="s">
        <v>298</v>
      </c>
      <c r="G955" s="88">
        <v>46262.304861111101</v>
      </c>
      <c r="H955" s="89">
        <v>46262</v>
      </c>
      <c r="I955" s="71" t="s">
        <v>321</v>
      </c>
      <c r="J955" s="71">
        <v>-41</v>
      </c>
      <c r="K955" s="71" t="s">
        <v>302</v>
      </c>
      <c r="L955" s="71">
        <f t="shared" si="126"/>
        <v>8</v>
      </c>
      <c r="M955" s="71" t="str">
        <f>IFERROR(INDEX(KALENDER!$D$3:$D$132,MATCH(H955,KALENDER!$A$3:$A$132,0)),"Di luar periode")</f>
        <v>Hari Kerja</v>
      </c>
      <c r="N955" s="71">
        <f t="shared" si="127"/>
        <v>1</v>
      </c>
      <c r="O955" s="71">
        <f t="shared" si="128"/>
        <v>1</v>
      </c>
      <c r="P955" s="71">
        <f t="shared" si="129"/>
        <v>1</v>
      </c>
      <c r="Q955" s="71">
        <f t="shared" si="130"/>
        <v>0</v>
      </c>
      <c r="R955" s="71">
        <f t="shared" si="131"/>
        <v>0</v>
      </c>
      <c r="S955" s="71">
        <f t="shared" si="132"/>
        <v>0</v>
      </c>
      <c r="T955" s="71">
        <f t="shared" si="133"/>
        <v>0</v>
      </c>
      <c r="U955" s="71">
        <f>IF(AND(N955=1,V955=1),IF(COUNTIFS(AKTIVITAS!$B$2:$B$3052,B955,AKTIVITAS!$E$2:$E$3052,H955)&gt;0,1,0),0)</f>
        <v>1</v>
      </c>
      <c r="V955" s="71">
        <f>IFERROR(IF(AND(H955&gt;=INDEX(PEMAGANG!$J$3:$J$36,MATCH(B955,PEMAGANG!$C$3:$C$36,0)),H955&lt;=INDEX(PEMAGANG!$K$3:$K$36,MATCH(B955,PEMAGANG!$C$3:$C$36,0))),1,0),0)</f>
        <v>1</v>
      </c>
      <c r="W955" s="71">
        <f t="shared" si="134"/>
        <v>1</v>
      </c>
    </row>
    <row r="956" spans="1:23" x14ac:dyDescent="0.2">
      <c r="A956" s="71" t="s">
        <v>213</v>
      </c>
      <c r="B956" s="71" t="s">
        <v>214</v>
      </c>
      <c r="C956" s="71" t="s">
        <v>187</v>
      </c>
      <c r="D956" s="71" t="s">
        <v>215</v>
      </c>
      <c r="E956" s="71" t="s">
        <v>54</v>
      </c>
      <c r="F956" s="71" t="s">
        <v>300</v>
      </c>
      <c r="G956" s="88">
        <v>46262.700914351903</v>
      </c>
      <c r="H956" s="89">
        <v>46262</v>
      </c>
      <c r="I956" s="71" t="s">
        <v>342</v>
      </c>
      <c r="J956" s="71">
        <v>0</v>
      </c>
      <c r="K956" s="71" t="s">
        <v>302</v>
      </c>
      <c r="L956" s="71">
        <f t="shared" si="126"/>
        <v>8</v>
      </c>
      <c r="M956" s="71" t="str">
        <f>IFERROR(INDEX(KALENDER!$D$3:$D$132,MATCH(H956,KALENDER!$A$3:$A$132,0)),"Di luar periode")</f>
        <v>Hari Kerja</v>
      </c>
      <c r="N956" s="71">
        <f t="shared" si="127"/>
        <v>0</v>
      </c>
      <c r="O956" s="71">
        <f t="shared" si="128"/>
        <v>1</v>
      </c>
      <c r="P956" s="71">
        <f t="shared" si="129"/>
        <v>0</v>
      </c>
      <c r="Q956" s="71">
        <f t="shared" si="130"/>
        <v>0</v>
      </c>
      <c r="R956" s="71">
        <f t="shared" si="131"/>
        <v>0</v>
      </c>
      <c r="S956" s="71">
        <f t="shared" si="132"/>
        <v>0</v>
      </c>
      <c r="T956" s="71">
        <f t="shared" si="133"/>
        <v>0</v>
      </c>
      <c r="U956" s="71">
        <f>IF(AND(N956=1,V956=1),IF(COUNTIFS(AKTIVITAS!$B$2:$B$3052,B956,AKTIVITAS!$E$2:$E$3052,H956)&gt;0,1,0),0)</f>
        <v>0</v>
      </c>
      <c r="V956" s="71">
        <f>IFERROR(IF(AND(H956&gt;=INDEX(PEMAGANG!$J$3:$J$36,MATCH(B956,PEMAGANG!$C$3:$C$36,0)),H956&lt;=INDEX(PEMAGANG!$K$3:$K$36,MATCH(B956,PEMAGANG!$C$3:$C$36,0))),1,0),0)</f>
        <v>1</v>
      </c>
      <c r="W956" s="71">
        <f t="shared" si="134"/>
        <v>0</v>
      </c>
    </row>
    <row r="957" spans="1:23" x14ac:dyDescent="0.2">
      <c r="A957" s="71" t="s">
        <v>213</v>
      </c>
      <c r="B957" s="71" t="s">
        <v>214</v>
      </c>
      <c r="C957" s="71" t="s">
        <v>187</v>
      </c>
      <c r="D957" s="71" t="s">
        <v>215</v>
      </c>
      <c r="E957" s="71" t="s">
        <v>54</v>
      </c>
      <c r="F957" s="71" t="s">
        <v>298</v>
      </c>
      <c r="G957" s="88">
        <v>46265.305694444498</v>
      </c>
      <c r="H957" s="89">
        <v>46265</v>
      </c>
      <c r="I957" s="71" t="s">
        <v>329</v>
      </c>
      <c r="J957" s="71">
        <v>-40</v>
      </c>
      <c r="K957" s="71" t="s">
        <v>302</v>
      </c>
      <c r="L957" s="71">
        <f t="shared" si="126"/>
        <v>8</v>
      </c>
      <c r="M957" s="71" t="str">
        <f>IFERROR(INDEX(KALENDER!$D$3:$D$132,MATCH(H957,KALENDER!$A$3:$A$132,0)),"Di luar periode")</f>
        <v>Hari Kerja</v>
      </c>
      <c r="N957" s="71">
        <f t="shared" si="127"/>
        <v>1</v>
      </c>
      <c r="O957" s="71">
        <f t="shared" si="128"/>
        <v>1</v>
      </c>
      <c r="P957" s="71">
        <f t="shared" si="129"/>
        <v>1</v>
      </c>
      <c r="Q957" s="71">
        <f t="shared" si="130"/>
        <v>0</v>
      </c>
      <c r="R957" s="71">
        <f t="shared" si="131"/>
        <v>0</v>
      </c>
      <c r="S957" s="71">
        <f t="shared" si="132"/>
        <v>0</v>
      </c>
      <c r="T957" s="71">
        <f t="shared" si="133"/>
        <v>0</v>
      </c>
      <c r="U957" s="71">
        <f>IF(AND(N957=1,V957=1),IF(COUNTIFS(AKTIVITAS!$B$2:$B$3052,B957,AKTIVITAS!$E$2:$E$3052,H957)&gt;0,1,0),0)</f>
        <v>1</v>
      </c>
      <c r="V957" s="71">
        <f>IFERROR(IF(AND(H957&gt;=INDEX(PEMAGANG!$J$3:$J$36,MATCH(B957,PEMAGANG!$C$3:$C$36,0)),H957&lt;=INDEX(PEMAGANG!$K$3:$K$36,MATCH(B957,PEMAGANG!$C$3:$C$36,0))),1,0),0)</f>
        <v>1</v>
      </c>
      <c r="W957" s="71">
        <f t="shared" si="134"/>
        <v>1</v>
      </c>
    </row>
    <row r="958" spans="1:23" x14ac:dyDescent="0.2">
      <c r="A958" s="71" t="s">
        <v>213</v>
      </c>
      <c r="B958" s="71" t="s">
        <v>214</v>
      </c>
      <c r="C958" s="71" t="s">
        <v>187</v>
      </c>
      <c r="D958" s="71" t="s">
        <v>215</v>
      </c>
      <c r="E958" s="71" t="s">
        <v>54</v>
      </c>
      <c r="F958" s="71" t="s">
        <v>300</v>
      </c>
      <c r="G958" s="88">
        <v>46265.689652777801</v>
      </c>
      <c r="H958" s="89">
        <v>46265</v>
      </c>
      <c r="I958" s="71" t="s">
        <v>316</v>
      </c>
      <c r="J958" s="71">
        <v>0</v>
      </c>
      <c r="K958" s="71" t="s">
        <v>302</v>
      </c>
      <c r="L958" s="71">
        <f t="shared" si="126"/>
        <v>8</v>
      </c>
      <c r="M958" s="71" t="str">
        <f>IFERROR(INDEX(KALENDER!$D$3:$D$132,MATCH(H958,KALENDER!$A$3:$A$132,0)),"Di luar periode")</f>
        <v>Hari Kerja</v>
      </c>
      <c r="N958" s="71">
        <f t="shared" si="127"/>
        <v>0</v>
      </c>
      <c r="O958" s="71">
        <f t="shared" si="128"/>
        <v>1</v>
      </c>
      <c r="P958" s="71">
        <f t="shared" si="129"/>
        <v>0</v>
      </c>
      <c r="Q958" s="71">
        <f t="shared" si="130"/>
        <v>0</v>
      </c>
      <c r="R958" s="71">
        <f t="shared" si="131"/>
        <v>0</v>
      </c>
      <c r="S958" s="71">
        <f t="shared" si="132"/>
        <v>0</v>
      </c>
      <c r="T958" s="71">
        <f t="shared" si="133"/>
        <v>0</v>
      </c>
      <c r="U958" s="71">
        <f>IF(AND(N958=1,V958=1),IF(COUNTIFS(AKTIVITAS!$B$2:$B$3052,B958,AKTIVITAS!$E$2:$E$3052,H958)&gt;0,1,0),0)</f>
        <v>0</v>
      </c>
      <c r="V958" s="71">
        <f>IFERROR(IF(AND(H958&gt;=INDEX(PEMAGANG!$J$3:$J$36,MATCH(B958,PEMAGANG!$C$3:$C$36,0)),H958&lt;=INDEX(PEMAGANG!$K$3:$K$36,MATCH(B958,PEMAGANG!$C$3:$C$36,0))),1,0),0)</f>
        <v>1</v>
      </c>
      <c r="W958" s="71">
        <f t="shared" si="134"/>
        <v>0</v>
      </c>
    </row>
    <row r="959" spans="1:23" x14ac:dyDescent="0.2">
      <c r="A959" s="71" t="s">
        <v>213</v>
      </c>
      <c r="B959" s="71" t="s">
        <v>214</v>
      </c>
      <c r="C959" s="71" t="s">
        <v>187</v>
      </c>
      <c r="D959" s="71" t="s">
        <v>215</v>
      </c>
      <c r="E959" s="71" t="s">
        <v>54</v>
      </c>
      <c r="F959" s="71" t="s">
        <v>298</v>
      </c>
      <c r="G959" s="88">
        <v>46266.294606481497</v>
      </c>
      <c r="H959" s="89">
        <v>46266</v>
      </c>
      <c r="I959" s="71" t="s">
        <v>411</v>
      </c>
      <c r="J959" s="71">
        <v>-56</v>
      </c>
      <c r="K959" s="71" t="s">
        <v>302</v>
      </c>
      <c r="L959" s="71">
        <f t="shared" si="126"/>
        <v>9</v>
      </c>
      <c r="M959" s="71" t="str">
        <f>IFERROR(INDEX(KALENDER!$D$3:$D$132,MATCH(H959,KALENDER!$A$3:$A$132,0)),"Di luar periode")</f>
        <v>Hari Kerja</v>
      </c>
      <c r="N959" s="71">
        <f t="shared" si="127"/>
        <v>1</v>
      </c>
      <c r="O959" s="71">
        <f t="shared" si="128"/>
        <v>1</v>
      </c>
      <c r="P959" s="71">
        <f t="shared" si="129"/>
        <v>1</v>
      </c>
      <c r="Q959" s="71">
        <f t="shared" si="130"/>
        <v>0</v>
      </c>
      <c r="R959" s="71">
        <f t="shared" si="131"/>
        <v>0</v>
      </c>
      <c r="S959" s="71">
        <f t="shared" si="132"/>
        <v>0</v>
      </c>
      <c r="T959" s="71">
        <f t="shared" si="133"/>
        <v>0</v>
      </c>
      <c r="U959" s="71">
        <f>IF(AND(N959=1,V959=1),IF(COUNTIFS(AKTIVITAS!$B$2:$B$3052,B959,AKTIVITAS!$E$2:$E$3052,H959)&gt;0,1,0),0)</f>
        <v>1</v>
      </c>
      <c r="V959" s="71">
        <f>IFERROR(IF(AND(H959&gt;=INDEX(PEMAGANG!$J$3:$J$36,MATCH(B959,PEMAGANG!$C$3:$C$36,0)),H959&lt;=INDEX(PEMAGANG!$K$3:$K$36,MATCH(B959,PEMAGANG!$C$3:$C$36,0))),1,0),0)</f>
        <v>1</v>
      </c>
      <c r="W959" s="71">
        <f t="shared" si="134"/>
        <v>1</v>
      </c>
    </row>
    <row r="960" spans="1:23" x14ac:dyDescent="0.2">
      <c r="A960" s="71" t="s">
        <v>213</v>
      </c>
      <c r="B960" s="71" t="s">
        <v>214</v>
      </c>
      <c r="C960" s="71" t="s">
        <v>187</v>
      </c>
      <c r="D960" s="71" t="s">
        <v>215</v>
      </c>
      <c r="E960" s="71" t="s">
        <v>54</v>
      </c>
      <c r="F960" s="71" t="s">
        <v>300</v>
      </c>
      <c r="G960" s="88">
        <v>46266.692164351902</v>
      </c>
      <c r="H960" s="89">
        <v>46266</v>
      </c>
      <c r="I960" s="71" t="s">
        <v>344</v>
      </c>
      <c r="J960" s="71">
        <v>0</v>
      </c>
      <c r="K960" s="71" t="s">
        <v>302</v>
      </c>
      <c r="L960" s="71">
        <f t="shared" si="126"/>
        <v>9</v>
      </c>
      <c r="M960" s="71" t="str">
        <f>IFERROR(INDEX(KALENDER!$D$3:$D$132,MATCH(H960,KALENDER!$A$3:$A$132,0)),"Di luar periode")</f>
        <v>Hari Kerja</v>
      </c>
      <c r="N960" s="71">
        <f t="shared" si="127"/>
        <v>0</v>
      </c>
      <c r="O960" s="71">
        <f t="shared" si="128"/>
        <v>1</v>
      </c>
      <c r="P960" s="71">
        <f t="shared" si="129"/>
        <v>0</v>
      </c>
      <c r="Q960" s="71">
        <f t="shared" si="130"/>
        <v>0</v>
      </c>
      <c r="R960" s="71">
        <f t="shared" si="131"/>
        <v>0</v>
      </c>
      <c r="S960" s="71">
        <f t="shared" si="132"/>
        <v>0</v>
      </c>
      <c r="T960" s="71">
        <f t="shared" si="133"/>
        <v>0</v>
      </c>
      <c r="U960" s="71">
        <f>IF(AND(N960=1,V960=1),IF(COUNTIFS(AKTIVITAS!$B$2:$B$3052,B960,AKTIVITAS!$E$2:$E$3052,H960)&gt;0,1,0),0)</f>
        <v>0</v>
      </c>
      <c r="V960" s="71">
        <f>IFERROR(IF(AND(H960&gt;=INDEX(PEMAGANG!$J$3:$J$36,MATCH(B960,PEMAGANG!$C$3:$C$36,0)),H960&lt;=INDEX(PEMAGANG!$K$3:$K$36,MATCH(B960,PEMAGANG!$C$3:$C$36,0))),1,0),0)</f>
        <v>1</v>
      </c>
      <c r="W960" s="71">
        <f t="shared" si="134"/>
        <v>0</v>
      </c>
    </row>
    <row r="961" spans="1:23" x14ac:dyDescent="0.2">
      <c r="A961" s="71" t="s">
        <v>213</v>
      </c>
      <c r="B961" s="71" t="s">
        <v>214</v>
      </c>
      <c r="C961" s="71" t="s">
        <v>187</v>
      </c>
      <c r="D961" s="71" t="s">
        <v>215</v>
      </c>
      <c r="E961" s="71" t="s">
        <v>54</v>
      </c>
      <c r="F961" s="71" t="s">
        <v>298</v>
      </c>
      <c r="G961" s="88">
        <v>46267.300092592603</v>
      </c>
      <c r="H961" s="89">
        <v>46267</v>
      </c>
      <c r="I961" s="71" t="s">
        <v>478</v>
      </c>
      <c r="J961" s="71">
        <v>-48</v>
      </c>
      <c r="K961" s="71" t="s">
        <v>302</v>
      </c>
      <c r="L961" s="71">
        <f t="shared" si="126"/>
        <v>9</v>
      </c>
      <c r="M961" s="71" t="str">
        <f>IFERROR(INDEX(KALENDER!$D$3:$D$132,MATCH(H961,KALENDER!$A$3:$A$132,0)),"Di luar periode")</f>
        <v>Hari Kerja</v>
      </c>
      <c r="N961" s="71">
        <f t="shared" si="127"/>
        <v>1</v>
      </c>
      <c r="O961" s="71">
        <f t="shared" si="128"/>
        <v>1</v>
      </c>
      <c r="P961" s="71">
        <f t="shared" si="129"/>
        <v>1</v>
      </c>
      <c r="Q961" s="71">
        <f t="shared" si="130"/>
        <v>0</v>
      </c>
      <c r="R961" s="71">
        <f t="shared" si="131"/>
        <v>0</v>
      </c>
      <c r="S961" s="71">
        <f t="shared" si="132"/>
        <v>0</v>
      </c>
      <c r="T961" s="71">
        <f t="shared" si="133"/>
        <v>0</v>
      </c>
      <c r="U961" s="71">
        <f>IF(AND(N961=1,V961=1),IF(COUNTIFS(AKTIVITAS!$B$2:$B$3052,B961,AKTIVITAS!$E$2:$E$3052,H961)&gt;0,1,0),0)</f>
        <v>1</v>
      </c>
      <c r="V961" s="71">
        <f>IFERROR(IF(AND(H961&gt;=INDEX(PEMAGANG!$J$3:$J$36,MATCH(B961,PEMAGANG!$C$3:$C$36,0)),H961&lt;=INDEX(PEMAGANG!$K$3:$K$36,MATCH(B961,PEMAGANG!$C$3:$C$36,0))),1,0),0)</f>
        <v>1</v>
      </c>
      <c r="W961" s="71">
        <f t="shared" si="134"/>
        <v>1</v>
      </c>
    </row>
    <row r="962" spans="1:23" x14ac:dyDescent="0.2">
      <c r="A962" s="71" t="s">
        <v>213</v>
      </c>
      <c r="B962" s="71" t="s">
        <v>214</v>
      </c>
      <c r="C962" s="71" t="s">
        <v>187</v>
      </c>
      <c r="D962" s="71" t="s">
        <v>215</v>
      </c>
      <c r="E962" s="71" t="s">
        <v>54</v>
      </c>
      <c r="F962" s="71" t="s">
        <v>300</v>
      </c>
      <c r="G962" s="88">
        <v>46267.688854166699</v>
      </c>
      <c r="H962" s="89">
        <v>46267</v>
      </c>
      <c r="I962" s="71" t="s">
        <v>336</v>
      </c>
      <c r="J962" s="71">
        <v>0</v>
      </c>
      <c r="K962" s="71" t="s">
        <v>302</v>
      </c>
      <c r="L962" s="71">
        <f t="shared" ref="L962:L1025" si="135">MONTH(H962)</f>
        <v>9</v>
      </c>
      <c r="M962" s="71" t="str">
        <f>IFERROR(INDEX(KALENDER!$D$3:$D$132,MATCH(H962,KALENDER!$A$3:$A$132,0)),"Di luar periode")</f>
        <v>Hari Kerja</v>
      </c>
      <c r="N962" s="71">
        <f t="shared" ref="N962:N1025" si="136">IF(AND(B962=B961,H962=H961),0,1)</f>
        <v>0</v>
      </c>
      <c r="O962" s="71">
        <f t="shared" ref="O962:O1025" si="137">IF(N962=1,0,O961)+IF(F962="MASUK",1,0)</f>
        <v>1</v>
      </c>
      <c r="P962" s="71">
        <f t="shared" ref="P962:P1025" si="138">IF(AND(N962=1,M962="Hari Kerja",V962=1),1,0)</f>
        <v>0</v>
      </c>
      <c r="Q962" s="71">
        <f t="shared" ref="Q962:Q1025" si="139">IF(AND(N962=1,OR(M962&lt;&gt;"Hari Kerja",V962=0)),1,0)</f>
        <v>0</v>
      </c>
      <c r="R962" s="71">
        <f t="shared" ref="R962:R1025" si="140">IF(AND(F962="MASUK",O962=1,N(J962)&gt;0,V962=1),1,0)</f>
        <v>0</v>
      </c>
      <c r="S962" s="71">
        <f t="shared" ref="S962:S1025" si="141">R962*N(J962)</f>
        <v>0</v>
      </c>
      <c r="T962" s="71">
        <f t="shared" ref="T962:T1025" si="142">IF(AND(N962=1,V962=1),IF(AND(COUNTIFS($B$2:$B$4094,B962,$H$2:$H$4094,H962,$F$2:$F$4094,"MASUK")&gt;0,COUNTIFS($B$2:$B$4094,B962,$H$2:$H$4094,H962,$F$2:$F$4094,"PULANG")=0),1,0),0)</f>
        <v>0</v>
      </c>
      <c r="U962" s="71">
        <f>IF(AND(N962=1,V962=1),IF(COUNTIFS(AKTIVITAS!$B$2:$B$3052,B962,AKTIVITAS!$E$2:$E$3052,H962)&gt;0,1,0),0)</f>
        <v>0</v>
      </c>
      <c r="V962" s="71">
        <f>IFERROR(IF(AND(H962&gt;=INDEX(PEMAGANG!$J$3:$J$36,MATCH(B962,PEMAGANG!$C$3:$C$36,0)),H962&lt;=INDEX(PEMAGANG!$K$3:$K$36,MATCH(B962,PEMAGANG!$C$3:$C$36,0))),1,0),0)</f>
        <v>1</v>
      </c>
      <c r="W962" s="71">
        <f t="shared" ref="W962:W1025" si="143">N962*V962</f>
        <v>0</v>
      </c>
    </row>
    <row r="963" spans="1:23" x14ac:dyDescent="0.2">
      <c r="A963" s="71" t="s">
        <v>213</v>
      </c>
      <c r="B963" s="71" t="s">
        <v>214</v>
      </c>
      <c r="C963" s="71" t="s">
        <v>187</v>
      </c>
      <c r="D963" s="71" t="s">
        <v>215</v>
      </c>
      <c r="E963" s="71" t="s">
        <v>54</v>
      </c>
      <c r="F963" s="71" t="s">
        <v>298</v>
      </c>
      <c r="G963" s="88">
        <v>46268.303009259304</v>
      </c>
      <c r="H963" s="89">
        <v>46268</v>
      </c>
      <c r="I963" s="71" t="s">
        <v>327</v>
      </c>
      <c r="J963" s="71">
        <v>-44</v>
      </c>
      <c r="K963" s="71" t="s">
        <v>302</v>
      </c>
      <c r="L963" s="71">
        <f t="shared" si="135"/>
        <v>9</v>
      </c>
      <c r="M963" s="71" t="str">
        <f>IFERROR(INDEX(KALENDER!$D$3:$D$132,MATCH(H963,KALENDER!$A$3:$A$132,0)),"Di luar periode")</f>
        <v>Hari Kerja</v>
      </c>
      <c r="N963" s="71">
        <f t="shared" si="136"/>
        <v>1</v>
      </c>
      <c r="O963" s="71">
        <f t="shared" si="137"/>
        <v>1</v>
      </c>
      <c r="P963" s="71">
        <f t="shared" si="138"/>
        <v>1</v>
      </c>
      <c r="Q963" s="71">
        <f t="shared" si="139"/>
        <v>0</v>
      </c>
      <c r="R963" s="71">
        <f t="shared" si="140"/>
        <v>0</v>
      </c>
      <c r="S963" s="71">
        <f t="shared" si="141"/>
        <v>0</v>
      </c>
      <c r="T963" s="71">
        <f t="shared" si="142"/>
        <v>0</v>
      </c>
      <c r="U963" s="71">
        <f>IF(AND(N963=1,V963=1),IF(COUNTIFS(AKTIVITAS!$B$2:$B$3052,B963,AKTIVITAS!$E$2:$E$3052,H963)&gt;0,1,0),0)</f>
        <v>1</v>
      </c>
      <c r="V963" s="71">
        <f>IFERROR(IF(AND(H963&gt;=INDEX(PEMAGANG!$J$3:$J$36,MATCH(B963,PEMAGANG!$C$3:$C$36,0)),H963&lt;=INDEX(PEMAGANG!$K$3:$K$36,MATCH(B963,PEMAGANG!$C$3:$C$36,0))),1,0),0)</f>
        <v>1</v>
      </c>
      <c r="W963" s="71">
        <f t="shared" si="143"/>
        <v>1</v>
      </c>
    </row>
    <row r="964" spans="1:23" x14ac:dyDescent="0.2">
      <c r="A964" s="71" t="s">
        <v>213</v>
      </c>
      <c r="B964" s="71" t="s">
        <v>214</v>
      </c>
      <c r="C964" s="71" t="s">
        <v>187</v>
      </c>
      <c r="D964" s="71" t="s">
        <v>215</v>
      </c>
      <c r="E964" s="71" t="s">
        <v>54</v>
      </c>
      <c r="F964" s="71" t="s">
        <v>300</v>
      </c>
      <c r="G964" s="88">
        <v>46268.689513888901</v>
      </c>
      <c r="H964" s="89">
        <v>46268</v>
      </c>
      <c r="I964" s="71" t="s">
        <v>306</v>
      </c>
      <c r="J964" s="71">
        <v>0</v>
      </c>
      <c r="K964" s="71" t="s">
        <v>302</v>
      </c>
      <c r="L964" s="71">
        <f t="shared" si="135"/>
        <v>9</v>
      </c>
      <c r="M964" s="71" t="str">
        <f>IFERROR(INDEX(KALENDER!$D$3:$D$132,MATCH(H964,KALENDER!$A$3:$A$132,0)),"Di luar periode")</f>
        <v>Hari Kerja</v>
      </c>
      <c r="N964" s="71">
        <f t="shared" si="136"/>
        <v>0</v>
      </c>
      <c r="O964" s="71">
        <f t="shared" si="137"/>
        <v>1</v>
      </c>
      <c r="P964" s="71">
        <f t="shared" si="138"/>
        <v>0</v>
      </c>
      <c r="Q964" s="71">
        <f t="shared" si="139"/>
        <v>0</v>
      </c>
      <c r="R964" s="71">
        <f t="shared" si="140"/>
        <v>0</v>
      </c>
      <c r="S964" s="71">
        <f t="shared" si="141"/>
        <v>0</v>
      </c>
      <c r="T964" s="71">
        <f t="shared" si="142"/>
        <v>0</v>
      </c>
      <c r="U964" s="71">
        <f>IF(AND(N964=1,V964=1),IF(COUNTIFS(AKTIVITAS!$B$2:$B$3052,B964,AKTIVITAS!$E$2:$E$3052,H964)&gt;0,1,0),0)</f>
        <v>0</v>
      </c>
      <c r="V964" s="71">
        <f>IFERROR(IF(AND(H964&gt;=INDEX(PEMAGANG!$J$3:$J$36,MATCH(B964,PEMAGANG!$C$3:$C$36,0)),H964&lt;=INDEX(PEMAGANG!$K$3:$K$36,MATCH(B964,PEMAGANG!$C$3:$C$36,0))),1,0),0)</f>
        <v>1</v>
      </c>
      <c r="W964" s="71">
        <f t="shared" si="143"/>
        <v>0</v>
      </c>
    </row>
    <row r="965" spans="1:23" x14ac:dyDescent="0.2">
      <c r="A965" s="71" t="s">
        <v>213</v>
      </c>
      <c r="B965" s="71" t="s">
        <v>214</v>
      </c>
      <c r="C965" s="71" t="s">
        <v>187</v>
      </c>
      <c r="D965" s="71" t="s">
        <v>215</v>
      </c>
      <c r="E965" s="71" t="s">
        <v>54</v>
      </c>
      <c r="F965" s="71" t="s">
        <v>300</v>
      </c>
      <c r="G965" s="88">
        <v>46269.693101851903</v>
      </c>
      <c r="H965" s="89">
        <v>46269</v>
      </c>
      <c r="I965" s="71" t="s">
        <v>317</v>
      </c>
      <c r="J965" s="71">
        <v>0</v>
      </c>
      <c r="K965" s="71" t="s">
        <v>302</v>
      </c>
      <c r="L965" s="71">
        <f t="shared" si="135"/>
        <v>9</v>
      </c>
      <c r="M965" s="71" t="str">
        <f>IFERROR(INDEX(KALENDER!$D$3:$D$132,MATCH(H965,KALENDER!$A$3:$A$132,0)),"Di luar periode")</f>
        <v>Hari Kerja</v>
      </c>
      <c r="N965" s="71">
        <f t="shared" si="136"/>
        <v>1</v>
      </c>
      <c r="O965" s="71">
        <f t="shared" si="137"/>
        <v>0</v>
      </c>
      <c r="P965" s="71">
        <f t="shared" si="138"/>
        <v>1</v>
      </c>
      <c r="Q965" s="71">
        <f t="shared" si="139"/>
        <v>0</v>
      </c>
      <c r="R965" s="71">
        <f t="shared" si="140"/>
        <v>0</v>
      </c>
      <c r="S965" s="71">
        <f t="shared" si="141"/>
        <v>0</v>
      </c>
      <c r="T965" s="71">
        <f t="shared" si="142"/>
        <v>0</v>
      </c>
      <c r="U965" s="71">
        <f>IF(AND(N965=1,V965=1),IF(COUNTIFS(AKTIVITAS!$B$2:$B$3052,B965,AKTIVITAS!$E$2:$E$3052,H965)&gt;0,1,0),0)</f>
        <v>1</v>
      </c>
      <c r="V965" s="71">
        <f>IFERROR(IF(AND(H965&gt;=INDEX(PEMAGANG!$J$3:$J$36,MATCH(B965,PEMAGANG!$C$3:$C$36,0)),H965&lt;=INDEX(PEMAGANG!$K$3:$K$36,MATCH(B965,PEMAGANG!$C$3:$C$36,0))),1,0),0)</f>
        <v>1</v>
      </c>
      <c r="W965" s="71">
        <f t="shared" si="143"/>
        <v>1</v>
      </c>
    </row>
    <row r="966" spans="1:23" x14ac:dyDescent="0.2">
      <c r="A966" s="71" t="s">
        <v>213</v>
      </c>
      <c r="B966" s="71" t="s">
        <v>214</v>
      </c>
      <c r="C966" s="71" t="s">
        <v>187</v>
      </c>
      <c r="D966" s="71" t="s">
        <v>215</v>
      </c>
      <c r="E966" s="71" t="s">
        <v>54</v>
      </c>
      <c r="F966" s="71" t="s">
        <v>298</v>
      </c>
      <c r="G966" s="88">
        <v>46272.303541666697</v>
      </c>
      <c r="H966" s="89">
        <v>46272</v>
      </c>
      <c r="I966" s="71" t="s">
        <v>331</v>
      </c>
      <c r="J966" s="71">
        <v>-43</v>
      </c>
      <c r="K966" s="71" t="s">
        <v>302</v>
      </c>
      <c r="L966" s="71">
        <f t="shared" si="135"/>
        <v>9</v>
      </c>
      <c r="M966" s="71" t="str">
        <f>IFERROR(INDEX(KALENDER!$D$3:$D$132,MATCH(H966,KALENDER!$A$3:$A$132,0)),"Di luar periode")</f>
        <v>Hari Kerja</v>
      </c>
      <c r="N966" s="71">
        <f t="shared" si="136"/>
        <v>1</v>
      </c>
      <c r="O966" s="71">
        <f t="shared" si="137"/>
        <v>1</v>
      </c>
      <c r="P966" s="71">
        <f t="shared" si="138"/>
        <v>1</v>
      </c>
      <c r="Q966" s="71">
        <f t="shared" si="139"/>
        <v>0</v>
      </c>
      <c r="R966" s="71">
        <f t="shared" si="140"/>
        <v>0</v>
      </c>
      <c r="S966" s="71">
        <f t="shared" si="141"/>
        <v>0</v>
      </c>
      <c r="T966" s="71">
        <f t="shared" si="142"/>
        <v>0</v>
      </c>
      <c r="U966" s="71">
        <f>IF(AND(N966=1,V966=1),IF(COUNTIFS(AKTIVITAS!$B$2:$B$3052,B966,AKTIVITAS!$E$2:$E$3052,H966)&gt;0,1,0),0)</f>
        <v>1</v>
      </c>
      <c r="V966" s="71">
        <f>IFERROR(IF(AND(H966&gt;=INDEX(PEMAGANG!$J$3:$J$36,MATCH(B966,PEMAGANG!$C$3:$C$36,0)),H966&lt;=INDEX(PEMAGANG!$K$3:$K$36,MATCH(B966,PEMAGANG!$C$3:$C$36,0))),1,0),0)</f>
        <v>1</v>
      </c>
      <c r="W966" s="71">
        <f t="shared" si="143"/>
        <v>1</v>
      </c>
    </row>
    <row r="967" spans="1:23" x14ac:dyDescent="0.2">
      <c r="A967" s="71" t="s">
        <v>213</v>
      </c>
      <c r="B967" s="71" t="s">
        <v>214</v>
      </c>
      <c r="C967" s="71" t="s">
        <v>187</v>
      </c>
      <c r="D967" s="71" t="s">
        <v>215</v>
      </c>
      <c r="E967" s="71" t="s">
        <v>54</v>
      </c>
      <c r="F967" s="71" t="s">
        <v>300</v>
      </c>
      <c r="G967" s="88">
        <v>46272.688518518502</v>
      </c>
      <c r="H967" s="89">
        <v>46272</v>
      </c>
      <c r="I967" s="71" t="s">
        <v>336</v>
      </c>
      <c r="J967" s="71">
        <v>0</v>
      </c>
      <c r="K967" s="71" t="s">
        <v>302</v>
      </c>
      <c r="L967" s="71">
        <f t="shared" si="135"/>
        <v>9</v>
      </c>
      <c r="M967" s="71" t="str">
        <f>IFERROR(INDEX(KALENDER!$D$3:$D$132,MATCH(H967,KALENDER!$A$3:$A$132,0)),"Di luar periode")</f>
        <v>Hari Kerja</v>
      </c>
      <c r="N967" s="71">
        <f t="shared" si="136"/>
        <v>0</v>
      </c>
      <c r="O967" s="71">
        <f t="shared" si="137"/>
        <v>1</v>
      </c>
      <c r="P967" s="71">
        <f t="shared" si="138"/>
        <v>0</v>
      </c>
      <c r="Q967" s="71">
        <f t="shared" si="139"/>
        <v>0</v>
      </c>
      <c r="R967" s="71">
        <f t="shared" si="140"/>
        <v>0</v>
      </c>
      <c r="S967" s="71">
        <f t="shared" si="141"/>
        <v>0</v>
      </c>
      <c r="T967" s="71">
        <f t="shared" si="142"/>
        <v>0</v>
      </c>
      <c r="U967" s="71">
        <f>IF(AND(N967=1,V967=1),IF(COUNTIFS(AKTIVITAS!$B$2:$B$3052,B967,AKTIVITAS!$E$2:$E$3052,H967)&gt;0,1,0),0)</f>
        <v>0</v>
      </c>
      <c r="V967" s="71">
        <f>IFERROR(IF(AND(H967&gt;=INDEX(PEMAGANG!$J$3:$J$36,MATCH(B967,PEMAGANG!$C$3:$C$36,0)),H967&lt;=INDEX(PEMAGANG!$K$3:$K$36,MATCH(B967,PEMAGANG!$C$3:$C$36,0))),1,0),0)</f>
        <v>1</v>
      </c>
      <c r="W967" s="71">
        <f t="shared" si="143"/>
        <v>0</v>
      </c>
    </row>
    <row r="968" spans="1:23" x14ac:dyDescent="0.2">
      <c r="A968" s="71" t="s">
        <v>213</v>
      </c>
      <c r="B968" s="71" t="s">
        <v>214</v>
      </c>
      <c r="C968" s="71" t="s">
        <v>187</v>
      </c>
      <c r="D968" s="71" t="s">
        <v>215</v>
      </c>
      <c r="E968" s="71" t="s">
        <v>54</v>
      </c>
      <c r="F968" s="71" t="s">
        <v>298</v>
      </c>
      <c r="G968" s="88">
        <v>46273.309189814798</v>
      </c>
      <c r="H968" s="89">
        <v>46273</v>
      </c>
      <c r="I968" s="71" t="s">
        <v>307</v>
      </c>
      <c r="J968" s="71">
        <v>-35</v>
      </c>
      <c r="K968" s="71" t="s">
        <v>302</v>
      </c>
      <c r="L968" s="71">
        <f t="shared" si="135"/>
        <v>9</v>
      </c>
      <c r="M968" s="71" t="str">
        <f>IFERROR(INDEX(KALENDER!$D$3:$D$132,MATCH(H968,KALENDER!$A$3:$A$132,0)),"Di luar periode")</f>
        <v>Hari Kerja</v>
      </c>
      <c r="N968" s="71">
        <f t="shared" si="136"/>
        <v>1</v>
      </c>
      <c r="O968" s="71">
        <f t="shared" si="137"/>
        <v>1</v>
      </c>
      <c r="P968" s="71">
        <f t="shared" si="138"/>
        <v>1</v>
      </c>
      <c r="Q968" s="71">
        <f t="shared" si="139"/>
        <v>0</v>
      </c>
      <c r="R968" s="71">
        <f t="shared" si="140"/>
        <v>0</v>
      </c>
      <c r="S968" s="71">
        <f t="shared" si="141"/>
        <v>0</v>
      </c>
      <c r="T968" s="71">
        <f t="shared" si="142"/>
        <v>0</v>
      </c>
      <c r="U968" s="71">
        <f>IF(AND(N968=1,V968=1),IF(COUNTIFS(AKTIVITAS!$B$2:$B$3052,B968,AKTIVITAS!$E$2:$E$3052,H968)&gt;0,1,0),0)</f>
        <v>1</v>
      </c>
      <c r="V968" s="71">
        <f>IFERROR(IF(AND(H968&gt;=INDEX(PEMAGANG!$J$3:$J$36,MATCH(B968,PEMAGANG!$C$3:$C$36,0)),H968&lt;=INDEX(PEMAGANG!$K$3:$K$36,MATCH(B968,PEMAGANG!$C$3:$C$36,0))),1,0),0)</f>
        <v>1</v>
      </c>
      <c r="W968" s="71">
        <f t="shared" si="143"/>
        <v>1</v>
      </c>
    </row>
    <row r="969" spans="1:23" x14ac:dyDescent="0.2">
      <c r="A969" s="71" t="s">
        <v>213</v>
      </c>
      <c r="B969" s="71" t="s">
        <v>214</v>
      </c>
      <c r="C969" s="71" t="s">
        <v>187</v>
      </c>
      <c r="D969" s="71" t="s">
        <v>215</v>
      </c>
      <c r="E969" s="71" t="s">
        <v>54</v>
      </c>
      <c r="F969" s="71" t="s">
        <v>300</v>
      </c>
      <c r="G969" s="88">
        <v>46273.688518518502</v>
      </c>
      <c r="H969" s="89">
        <v>46273</v>
      </c>
      <c r="I969" s="71" t="s">
        <v>336</v>
      </c>
      <c r="J969" s="71">
        <v>0</v>
      </c>
      <c r="K969" s="71" t="s">
        <v>302</v>
      </c>
      <c r="L969" s="71">
        <f t="shared" si="135"/>
        <v>9</v>
      </c>
      <c r="M969" s="71" t="str">
        <f>IFERROR(INDEX(KALENDER!$D$3:$D$132,MATCH(H969,KALENDER!$A$3:$A$132,0)),"Di luar periode")</f>
        <v>Hari Kerja</v>
      </c>
      <c r="N969" s="71">
        <f t="shared" si="136"/>
        <v>0</v>
      </c>
      <c r="O969" s="71">
        <f t="shared" si="137"/>
        <v>1</v>
      </c>
      <c r="P969" s="71">
        <f t="shared" si="138"/>
        <v>0</v>
      </c>
      <c r="Q969" s="71">
        <f t="shared" si="139"/>
        <v>0</v>
      </c>
      <c r="R969" s="71">
        <f t="shared" si="140"/>
        <v>0</v>
      </c>
      <c r="S969" s="71">
        <f t="shared" si="141"/>
        <v>0</v>
      </c>
      <c r="T969" s="71">
        <f t="shared" si="142"/>
        <v>0</v>
      </c>
      <c r="U969" s="71">
        <f>IF(AND(N969=1,V969=1),IF(COUNTIFS(AKTIVITAS!$B$2:$B$3052,B969,AKTIVITAS!$E$2:$E$3052,H969)&gt;0,1,0),0)</f>
        <v>0</v>
      </c>
      <c r="V969" s="71">
        <f>IFERROR(IF(AND(H969&gt;=INDEX(PEMAGANG!$J$3:$J$36,MATCH(B969,PEMAGANG!$C$3:$C$36,0)),H969&lt;=INDEX(PEMAGANG!$K$3:$K$36,MATCH(B969,PEMAGANG!$C$3:$C$36,0))),1,0),0)</f>
        <v>1</v>
      </c>
      <c r="W969" s="71">
        <f t="shared" si="143"/>
        <v>0</v>
      </c>
    </row>
    <row r="970" spans="1:23" x14ac:dyDescent="0.2">
      <c r="A970" s="71" t="s">
        <v>213</v>
      </c>
      <c r="B970" s="71" t="s">
        <v>214</v>
      </c>
      <c r="C970" s="71" t="s">
        <v>187</v>
      </c>
      <c r="D970" s="71" t="s">
        <v>215</v>
      </c>
      <c r="E970" s="71" t="s">
        <v>54</v>
      </c>
      <c r="F970" s="71" t="s">
        <v>298</v>
      </c>
      <c r="G970" s="88">
        <v>46274.301956018498</v>
      </c>
      <c r="H970" s="89">
        <v>46274</v>
      </c>
      <c r="I970" s="71" t="s">
        <v>416</v>
      </c>
      <c r="J970" s="71">
        <v>-46</v>
      </c>
      <c r="K970" s="71" t="s">
        <v>302</v>
      </c>
      <c r="L970" s="71">
        <f t="shared" si="135"/>
        <v>9</v>
      </c>
      <c r="M970" s="71" t="str">
        <f>IFERROR(INDEX(KALENDER!$D$3:$D$132,MATCH(H970,KALENDER!$A$3:$A$132,0)),"Di luar periode")</f>
        <v>Hari Kerja</v>
      </c>
      <c r="N970" s="71">
        <f t="shared" si="136"/>
        <v>1</v>
      </c>
      <c r="O970" s="71">
        <f t="shared" si="137"/>
        <v>1</v>
      </c>
      <c r="P970" s="71">
        <f t="shared" si="138"/>
        <v>1</v>
      </c>
      <c r="Q970" s="71">
        <f t="shared" si="139"/>
        <v>0</v>
      </c>
      <c r="R970" s="71">
        <f t="shared" si="140"/>
        <v>0</v>
      </c>
      <c r="S970" s="71">
        <f t="shared" si="141"/>
        <v>0</v>
      </c>
      <c r="T970" s="71">
        <f t="shared" si="142"/>
        <v>0</v>
      </c>
      <c r="U970" s="71">
        <f>IF(AND(N970=1,V970=1),IF(COUNTIFS(AKTIVITAS!$B$2:$B$3052,B970,AKTIVITAS!$E$2:$E$3052,H970)&gt;0,1,0),0)</f>
        <v>1</v>
      </c>
      <c r="V970" s="71">
        <f>IFERROR(IF(AND(H970&gt;=INDEX(PEMAGANG!$J$3:$J$36,MATCH(B970,PEMAGANG!$C$3:$C$36,0)),H970&lt;=INDEX(PEMAGANG!$K$3:$K$36,MATCH(B970,PEMAGANG!$C$3:$C$36,0))),1,0),0)</f>
        <v>1</v>
      </c>
      <c r="W970" s="71">
        <f t="shared" si="143"/>
        <v>1</v>
      </c>
    </row>
    <row r="971" spans="1:23" x14ac:dyDescent="0.2">
      <c r="A971" s="71" t="s">
        <v>213</v>
      </c>
      <c r="B971" s="71" t="s">
        <v>214</v>
      </c>
      <c r="C971" s="71" t="s">
        <v>187</v>
      </c>
      <c r="D971" s="71" t="s">
        <v>215</v>
      </c>
      <c r="E971" s="71" t="s">
        <v>54</v>
      </c>
      <c r="F971" s="71" t="s">
        <v>300</v>
      </c>
      <c r="G971" s="88">
        <v>46274.688854166699</v>
      </c>
      <c r="H971" s="89">
        <v>46274</v>
      </c>
      <c r="I971" s="71" t="s">
        <v>336</v>
      </c>
      <c r="J971" s="71">
        <v>0</v>
      </c>
      <c r="K971" s="71" t="s">
        <v>302</v>
      </c>
      <c r="L971" s="71">
        <f t="shared" si="135"/>
        <v>9</v>
      </c>
      <c r="M971" s="71" t="str">
        <f>IFERROR(INDEX(KALENDER!$D$3:$D$132,MATCH(H971,KALENDER!$A$3:$A$132,0)),"Di luar periode")</f>
        <v>Hari Kerja</v>
      </c>
      <c r="N971" s="71">
        <f t="shared" si="136"/>
        <v>0</v>
      </c>
      <c r="O971" s="71">
        <f t="shared" si="137"/>
        <v>1</v>
      </c>
      <c r="P971" s="71">
        <f t="shared" si="138"/>
        <v>0</v>
      </c>
      <c r="Q971" s="71">
        <f t="shared" si="139"/>
        <v>0</v>
      </c>
      <c r="R971" s="71">
        <f t="shared" si="140"/>
        <v>0</v>
      </c>
      <c r="S971" s="71">
        <f t="shared" si="141"/>
        <v>0</v>
      </c>
      <c r="T971" s="71">
        <f t="shared" si="142"/>
        <v>0</v>
      </c>
      <c r="U971" s="71">
        <f>IF(AND(N971=1,V971=1),IF(COUNTIFS(AKTIVITAS!$B$2:$B$3052,B971,AKTIVITAS!$E$2:$E$3052,H971)&gt;0,1,0),0)</f>
        <v>0</v>
      </c>
      <c r="V971" s="71">
        <f>IFERROR(IF(AND(H971&gt;=INDEX(PEMAGANG!$J$3:$J$36,MATCH(B971,PEMAGANG!$C$3:$C$36,0)),H971&lt;=INDEX(PEMAGANG!$K$3:$K$36,MATCH(B971,PEMAGANG!$C$3:$C$36,0))),1,0),0)</f>
        <v>1</v>
      </c>
      <c r="W971" s="71">
        <f t="shared" si="143"/>
        <v>0</v>
      </c>
    </row>
    <row r="972" spans="1:23" x14ac:dyDescent="0.2">
      <c r="A972" s="71" t="s">
        <v>213</v>
      </c>
      <c r="B972" s="71" t="s">
        <v>214</v>
      </c>
      <c r="C972" s="71" t="s">
        <v>187</v>
      </c>
      <c r="D972" s="71" t="s">
        <v>215</v>
      </c>
      <c r="E972" s="71" t="s">
        <v>490</v>
      </c>
      <c r="F972" s="71" t="s">
        <v>300</v>
      </c>
      <c r="G972" s="88">
        <v>46274.688854166699</v>
      </c>
      <c r="H972" s="89">
        <v>46274</v>
      </c>
      <c r="I972" s="71" t="s">
        <v>336</v>
      </c>
      <c r="J972" s="71">
        <v>0</v>
      </c>
      <c r="K972" s="71" t="s">
        <v>302</v>
      </c>
      <c r="L972" s="71">
        <f t="shared" si="135"/>
        <v>9</v>
      </c>
      <c r="M972" s="71" t="str">
        <f>IFERROR(INDEX(KALENDER!$D$3:$D$132,MATCH(H972,KALENDER!$A$3:$A$132,0)),"Di luar periode")</f>
        <v>Hari Kerja</v>
      </c>
      <c r="N972" s="71">
        <f t="shared" si="136"/>
        <v>0</v>
      </c>
      <c r="O972" s="71">
        <f t="shared" si="137"/>
        <v>1</v>
      </c>
      <c r="P972" s="71">
        <f t="shared" si="138"/>
        <v>0</v>
      </c>
      <c r="Q972" s="71">
        <f t="shared" si="139"/>
        <v>0</v>
      </c>
      <c r="R972" s="71">
        <f t="shared" si="140"/>
        <v>0</v>
      </c>
      <c r="S972" s="71">
        <f t="shared" si="141"/>
        <v>0</v>
      </c>
      <c r="T972" s="71">
        <f t="shared" si="142"/>
        <v>0</v>
      </c>
      <c r="U972" s="71">
        <f>IF(AND(N972=1,V972=1),IF(COUNTIFS(AKTIVITAS!$B$2:$B$3052,B972,AKTIVITAS!$E$2:$E$3052,H972)&gt;0,1,0),0)</f>
        <v>0</v>
      </c>
      <c r="V972" s="71">
        <f>IFERROR(IF(AND(H972&gt;=INDEX(PEMAGANG!$J$3:$J$36,MATCH(B972,PEMAGANG!$C$3:$C$36,0)),H972&lt;=INDEX(PEMAGANG!$K$3:$K$36,MATCH(B972,PEMAGANG!$C$3:$C$36,0))),1,0),0)</f>
        <v>1</v>
      </c>
      <c r="W972" s="71">
        <f t="shared" si="143"/>
        <v>0</v>
      </c>
    </row>
    <row r="973" spans="1:23" x14ac:dyDescent="0.2">
      <c r="A973" s="71" t="s">
        <v>213</v>
      </c>
      <c r="B973" s="71" t="s">
        <v>214</v>
      </c>
      <c r="C973" s="71" t="s">
        <v>187</v>
      </c>
      <c r="D973" s="71" t="s">
        <v>215</v>
      </c>
      <c r="E973" s="71" t="s">
        <v>54</v>
      </c>
      <c r="F973" s="71" t="s">
        <v>298</v>
      </c>
      <c r="G973" s="88">
        <v>46275.2995717593</v>
      </c>
      <c r="H973" s="89">
        <v>46275</v>
      </c>
      <c r="I973" s="71" t="s">
        <v>402</v>
      </c>
      <c r="J973" s="71">
        <v>-49</v>
      </c>
      <c r="K973" s="71" t="s">
        <v>302</v>
      </c>
      <c r="L973" s="71">
        <f t="shared" si="135"/>
        <v>9</v>
      </c>
      <c r="M973" s="71" t="str">
        <f>IFERROR(INDEX(KALENDER!$D$3:$D$132,MATCH(H973,KALENDER!$A$3:$A$132,0)),"Di luar periode")</f>
        <v>Hari Kerja</v>
      </c>
      <c r="N973" s="71">
        <f t="shared" si="136"/>
        <v>1</v>
      </c>
      <c r="O973" s="71">
        <f t="shared" si="137"/>
        <v>1</v>
      </c>
      <c r="P973" s="71">
        <f t="shared" si="138"/>
        <v>1</v>
      </c>
      <c r="Q973" s="71">
        <f t="shared" si="139"/>
        <v>0</v>
      </c>
      <c r="R973" s="71">
        <f t="shared" si="140"/>
        <v>0</v>
      </c>
      <c r="S973" s="71">
        <f t="shared" si="141"/>
        <v>0</v>
      </c>
      <c r="T973" s="71">
        <f t="shared" si="142"/>
        <v>0</v>
      </c>
      <c r="U973" s="71">
        <f>IF(AND(N973=1,V973=1),IF(COUNTIFS(AKTIVITAS!$B$2:$B$3052,B973,AKTIVITAS!$E$2:$E$3052,H973)&gt;0,1,0),0)</f>
        <v>1</v>
      </c>
      <c r="V973" s="71">
        <f>IFERROR(IF(AND(H973&gt;=INDEX(PEMAGANG!$J$3:$J$36,MATCH(B973,PEMAGANG!$C$3:$C$36,0)),H973&lt;=INDEX(PEMAGANG!$K$3:$K$36,MATCH(B973,PEMAGANG!$C$3:$C$36,0))),1,0),0)</f>
        <v>1</v>
      </c>
      <c r="W973" s="71">
        <f t="shared" si="143"/>
        <v>1</v>
      </c>
    </row>
    <row r="974" spans="1:23" x14ac:dyDescent="0.2">
      <c r="A974" s="71" t="s">
        <v>213</v>
      </c>
      <c r="B974" s="71" t="s">
        <v>214</v>
      </c>
      <c r="C974" s="71" t="s">
        <v>187</v>
      </c>
      <c r="D974" s="71" t="s">
        <v>215</v>
      </c>
      <c r="E974" s="71" t="s">
        <v>490</v>
      </c>
      <c r="F974" s="71" t="s">
        <v>298</v>
      </c>
      <c r="G974" s="88">
        <v>46275.2995717593</v>
      </c>
      <c r="H974" s="89">
        <v>46275</v>
      </c>
      <c r="I974" s="71" t="s">
        <v>402</v>
      </c>
      <c r="J974" s="71">
        <v>-19</v>
      </c>
      <c r="K974" s="71" t="s">
        <v>302</v>
      </c>
      <c r="L974" s="71">
        <f t="shared" si="135"/>
        <v>9</v>
      </c>
      <c r="M974" s="71" t="str">
        <f>IFERROR(INDEX(KALENDER!$D$3:$D$132,MATCH(H974,KALENDER!$A$3:$A$132,0)),"Di luar periode")</f>
        <v>Hari Kerja</v>
      </c>
      <c r="N974" s="71">
        <f t="shared" si="136"/>
        <v>0</v>
      </c>
      <c r="O974" s="71">
        <f t="shared" si="137"/>
        <v>2</v>
      </c>
      <c r="P974" s="71">
        <f t="shared" si="138"/>
        <v>0</v>
      </c>
      <c r="Q974" s="71">
        <f t="shared" si="139"/>
        <v>0</v>
      </c>
      <c r="R974" s="71">
        <f t="shared" si="140"/>
        <v>0</v>
      </c>
      <c r="S974" s="71">
        <f t="shared" si="141"/>
        <v>0</v>
      </c>
      <c r="T974" s="71">
        <f t="shared" si="142"/>
        <v>0</v>
      </c>
      <c r="U974" s="71">
        <f>IF(AND(N974=1,V974=1),IF(COUNTIFS(AKTIVITAS!$B$2:$B$3052,B974,AKTIVITAS!$E$2:$E$3052,H974)&gt;0,1,0),0)</f>
        <v>0</v>
      </c>
      <c r="V974" s="71">
        <f>IFERROR(IF(AND(H974&gt;=INDEX(PEMAGANG!$J$3:$J$36,MATCH(B974,PEMAGANG!$C$3:$C$36,0)),H974&lt;=INDEX(PEMAGANG!$K$3:$K$36,MATCH(B974,PEMAGANG!$C$3:$C$36,0))),1,0),0)</f>
        <v>1</v>
      </c>
      <c r="W974" s="71">
        <f t="shared" si="143"/>
        <v>0</v>
      </c>
    </row>
    <row r="975" spans="1:23" x14ac:dyDescent="0.2">
      <c r="A975" s="71" t="s">
        <v>213</v>
      </c>
      <c r="B975" s="71" t="s">
        <v>214</v>
      </c>
      <c r="C975" s="71" t="s">
        <v>187</v>
      </c>
      <c r="D975" s="71" t="s">
        <v>215</v>
      </c>
      <c r="E975" s="71" t="s">
        <v>54</v>
      </c>
      <c r="F975" s="71" t="s">
        <v>300</v>
      </c>
      <c r="G975" s="88">
        <v>46275.688958333303</v>
      </c>
      <c r="H975" s="89">
        <v>46275</v>
      </c>
      <c r="I975" s="71" t="s">
        <v>306</v>
      </c>
      <c r="J975" s="71">
        <v>0</v>
      </c>
      <c r="K975" s="71" t="s">
        <v>302</v>
      </c>
      <c r="L975" s="71">
        <f t="shared" si="135"/>
        <v>9</v>
      </c>
      <c r="M975" s="71" t="str">
        <f>IFERROR(INDEX(KALENDER!$D$3:$D$132,MATCH(H975,KALENDER!$A$3:$A$132,0)),"Di luar periode")</f>
        <v>Hari Kerja</v>
      </c>
      <c r="N975" s="71">
        <f t="shared" si="136"/>
        <v>0</v>
      </c>
      <c r="O975" s="71">
        <f t="shared" si="137"/>
        <v>2</v>
      </c>
      <c r="P975" s="71">
        <f t="shared" si="138"/>
        <v>0</v>
      </c>
      <c r="Q975" s="71">
        <f t="shared" si="139"/>
        <v>0</v>
      </c>
      <c r="R975" s="71">
        <f t="shared" si="140"/>
        <v>0</v>
      </c>
      <c r="S975" s="71">
        <f t="shared" si="141"/>
        <v>0</v>
      </c>
      <c r="T975" s="71">
        <f t="shared" si="142"/>
        <v>0</v>
      </c>
      <c r="U975" s="71">
        <f>IF(AND(N975=1,V975=1),IF(COUNTIFS(AKTIVITAS!$B$2:$B$3052,B975,AKTIVITAS!$E$2:$E$3052,H975)&gt;0,1,0),0)</f>
        <v>0</v>
      </c>
      <c r="V975" s="71">
        <f>IFERROR(IF(AND(H975&gt;=INDEX(PEMAGANG!$J$3:$J$36,MATCH(B975,PEMAGANG!$C$3:$C$36,0)),H975&lt;=INDEX(PEMAGANG!$K$3:$K$36,MATCH(B975,PEMAGANG!$C$3:$C$36,0))),1,0),0)</f>
        <v>1</v>
      </c>
      <c r="W975" s="71">
        <f t="shared" si="143"/>
        <v>0</v>
      </c>
    </row>
    <row r="976" spans="1:23" x14ac:dyDescent="0.2">
      <c r="A976" s="71" t="s">
        <v>213</v>
      </c>
      <c r="B976" s="71" t="s">
        <v>214</v>
      </c>
      <c r="C976" s="71" t="s">
        <v>187</v>
      </c>
      <c r="D976" s="71" t="s">
        <v>215</v>
      </c>
      <c r="E976" s="71" t="s">
        <v>490</v>
      </c>
      <c r="F976" s="71" t="s">
        <v>300</v>
      </c>
      <c r="G976" s="88">
        <v>46275.688958333303</v>
      </c>
      <c r="H976" s="89">
        <v>46275</v>
      </c>
      <c r="I976" s="71" t="s">
        <v>306</v>
      </c>
      <c r="J976" s="71">
        <v>0</v>
      </c>
      <c r="K976" s="71" t="s">
        <v>302</v>
      </c>
      <c r="L976" s="71">
        <f t="shared" si="135"/>
        <v>9</v>
      </c>
      <c r="M976" s="71" t="str">
        <f>IFERROR(INDEX(KALENDER!$D$3:$D$132,MATCH(H976,KALENDER!$A$3:$A$132,0)),"Di luar periode")</f>
        <v>Hari Kerja</v>
      </c>
      <c r="N976" s="71">
        <f t="shared" si="136"/>
        <v>0</v>
      </c>
      <c r="O976" s="71">
        <f t="shared" si="137"/>
        <v>2</v>
      </c>
      <c r="P976" s="71">
        <f t="shared" si="138"/>
        <v>0</v>
      </c>
      <c r="Q976" s="71">
        <f t="shared" si="139"/>
        <v>0</v>
      </c>
      <c r="R976" s="71">
        <f t="shared" si="140"/>
        <v>0</v>
      </c>
      <c r="S976" s="71">
        <f t="shared" si="141"/>
        <v>0</v>
      </c>
      <c r="T976" s="71">
        <f t="shared" si="142"/>
        <v>0</v>
      </c>
      <c r="U976" s="71">
        <f>IF(AND(N976=1,V976=1),IF(COUNTIFS(AKTIVITAS!$B$2:$B$3052,B976,AKTIVITAS!$E$2:$E$3052,H976)&gt;0,1,0),0)</f>
        <v>0</v>
      </c>
      <c r="V976" s="71">
        <f>IFERROR(IF(AND(H976&gt;=INDEX(PEMAGANG!$J$3:$J$36,MATCH(B976,PEMAGANG!$C$3:$C$36,0)),H976&lt;=INDEX(PEMAGANG!$K$3:$K$36,MATCH(B976,PEMAGANG!$C$3:$C$36,0))),1,0),0)</f>
        <v>1</v>
      </c>
      <c r="W976" s="71">
        <f t="shared" si="143"/>
        <v>0</v>
      </c>
    </row>
    <row r="977" spans="1:23" x14ac:dyDescent="0.2">
      <c r="A977" s="71" t="s">
        <v>213</v>
      </c>
      <c r="B977" s="71" t="s">
        <v>214</v>
      </c>
      <c r="C977" s="71" t="s">
        <v>187</v>
      </c>
      <c r="D977" s="71" t="s">
        <v>215</v>
      </c>
      <c r="E977" s="71" t="s">
        <v>54</v>
      </c>
      <c r="F977" s="71" t="s">
        <v>298</v>
      </c>
      <c r="G977" s="88">
        <v>46276.300358796303</v>
      </c>
      <c r="H977" s="89">
        <v>46276</v>
      </c>
      <c r="I977" s="71" t="s">
        <v>478</v>
      </c>
      <c r="J977" s="71">
        <v>-18</v>
      </c>
      <c r="K977" s="71" t="s">
        <v>302</v>
      </c>
      <c r="L977" s="71">
        <f t="shared" si="135"/>
        <v>9</v>
      </c>
      <c r="M977" s="71" t="str">
        <f>IFERROR(INDEX(KALENDER!$D$3:$D$132,MATCH(H977,KALENDER!$A$3:$A$132,0)),"Di luar periode")</f>
        <v>Hari Kerja</v>
      </c>
      <c r="N977" s="71">
        <f t="shared" si="136"/>
        <v>1</v>
      </c>
      <c r="O977" s="71">
        <f t="shared" si="137"/>
        <v>1</v>
      </c>
      <c r="P977" s="71">
        <f t="shared" si="138"/>
        <v>1</v>
      </c>
      <c r="Q977" s="71">
        <f t="shared" si="139"/>
        <v>0</v>
      </c>
      <c r="R977" s="71">
        <f t="shared" si="140"/>
        <v>0</v>
      </c>
      <c r="S977" s="71">
        <f t="shared" si="141"/>
        <v>0</v>
      </c>
      <c r="T977" s="71">
        <f t="shared" si="142"/>
        <v>1</v>
      </c>
      <c r="U977" s="71">
        <f>IF(AND(N977=1,V977=1),IF(COUNTIFS(AKTIVITAS!$B$2:$B$3052,B977,AKTIVITAS!$E$2:$E$3052,H977)&gt;0,1,0),0)</f>
        <v>1</v>
      </c>
      <c r="V977" s="71">
        <f>IFERROR(IF(AND(H977&gt;=INDEX(PEMAGANG!$J$3:$J$36,MATCH(B977,PEMAGANG!$C$3:$C$36,0)),H977&lt;=INDEX(PEMAGANG!$K$3:$K$36,MATCH(B977,PEMAGANG!$C$3:$C$36,0))),1,0),0)</f>
        <v>1</v>
      </c>
      <c r="W977" s="71">
        <f t="shared" si="143"/>
        <v>1</v>
      </c>
    </row>
    <row r="978" spans="1:23" x14ac:dyDescent="0.2">
      <c r="A978" s="71" t="s">
        <v>213</v>
      </c>
      <c r="B978" s="71" t="s">
        <v>214</v>
      </c>
      <c r="C978" s="71" t="s">
        <v>187</v>
      </c>
      <c r="D978" s="71" t="s">
        <v>215</v>
      </c>
      <c r="E978" s="71" t="s">
        <v>490</v>
      </c>
      <c r="F978" s="71" t="s">
        <v>298</v>
      </c>
      <c r="G978" s="88">
        <v>46276.300358796303</v>
      </c>
      <c r="H978" s="89">
        <v>46276</v>
      </c>
      <c r="I978" s="71" t="s">
        <v>478</v>
      </c>
      <c r="J978" s="71">
        <v>-18</v>
      </c>
      <c r="K978" s="71" t="s">
        <v>302</v>
      </c>
      <c r="L978" s="71">
        <f t="shared" si="135"/>
        <v>9</v>
      </c>
      <c r="M978" s="71" t="str">
        <f>IFERROR(INDEX(KALENDER!$D$3:$D$132,MATCH(H978,KALENDER!$A$3:$A$132,0)),"Di luar periode")</f>
        <v>Hari Kerja</v>
      </c>
      <c r="N978" s="71">
        <f t="shared" si="136"/>
        <v>0</v>
      </c>
      <c r="O978" s="71">
        <f t="shared" si="137"/>
        <v>2</v>
      </c>
      <c r="P978" s="71">
        <f t="shared" si="138"/>
        <v>0</v>
      </c>
      <c r="Q978" s="71">
        <f t="shared" si="139"/>
        <v>0</v>
      </c>
      <c r="R978" s="71">
        <f t="shared" si="140"/>
        <v>0</v>
      </c>
      <c r="S978" s="71">
        <f t="shared" si="141"/>
        <v>0</v>
      </c>
      <c r="T978" s="71">
        <f t="shared" si="142"/>
        <v>0</v>
      </c>
      <c r="U978" s="71">
        <f>IF(AND(N978=1,V978=1),IF(COUNTIFS(AKTIVITAS!$B$2:$B$3052,B978,AKTIVITAS!$E$2:$E$3052,H978)&gt;0,1,0),0)</f>
        <v>0</v>
      </c>
      <c r="V978" s="71">
        <f>IFERROR(IF(AND(H978&gt;=INDEX(PEMAGANG!$J$3:$J$36,MATCH(B978,PEMAGANG!$C$3:$C$36,0)),H978&lt;=INDEX(PEMAGANG!$K$3:$K$36,MATCH(B978,PEMAGANG!$C$3:$C$36,0))),1,0),0)</f>
        <v>1</v>
      </c>
      <c r="W978" s="71">
        <f t="shared" si="143"/>
        <v>0</v>
      </c>
    </row>
    <row r="979" spans="1:23" x14ac:dyDescent="0.2">
      <c r="A979" s="71" t="s">
        <v>213</v>
      </c>
      <c r="B979" s="71" t="s">
        <v>214</v>
      </c>
      <c r="C979" s="71" t="s">
        <v>187</v>
      </c>
      <c r="D979" s="71" t="s">
        <v>215</v>
      </c>
      <c r="E979" s="71" t="s">
        <v>54</v>
      </c>
      <c r="F979" s="71" t="s">
        <v>298</v>
      </c>
      <c r="G979" s="88">
        <v>46279.450277777803</v>
      </c>
      <c r="H979" s="89">
        <v>46279</v>
      </c>
      <c r="I979" s="71" t="s">
        <v>480</v>
      </c>
      <c r="J979" s="71">
        <v>198</v>
      </c>
      <c r="K979" s="71" t="s">
        <v>293</v>
      </c>
      <c r="L979" s="71">
        <f t="shared" si="135"/>
        <v>9</v>
      </c>
      <c r="M979" s="71" t="str">
        <f>IFERROR(INDEX(KALENDER!$D$3:$D$132,MATCH(H979,KALENDER!$A$3:$A$132,0)),"Di luar periode")</f>
        <v>Hari Kerja</v>
      </c>
      <c r="N979" s="71">
        <f t="shared" si="136"/>
        <v>1</v>
      </c>
      <c r="O979" s="71">
        <f t="shared" si="137"/>
        <v>1</v>
      </c>
      <c r="P979" s="71">
        <f t="shared" si="138"/>
        <v>1</v>
      </c>
      <c r="Q979" s="71">
        <f t="shared" si="139"/>
        <v>0</v>
      </c>
      <c r="R979" s="71">
        <f t="shared" si="140"/>
        <v>1</v>
      </c>
      <c r="S979" s="71">
        <f t="shared" si="141"/>
        <v>198</v>
      </c>
      <c r="T979" s="71">
        <f t="shared" si="142"/>
        <v>0</v>
      </c>
      <c r="U979" s="71">
        <f>IF(AND(N979=1,V979=1),IF(COUNTIFS(AKTIVITAS!$B$2:$B$3052,B979,AKTIVITAS!$E$2:$E$3052,H979)&gt;0,1,0),0)</f>
        <v>1</v>
      </c>
      <c r="V979" s="71">
        <f>IFERROR(IF(AND(H979&gt;=INDEX(PEMAGANG!$J$3:$J$36,MATCH(B979,PEMAGANG!$C$3:$C$36,0)),H979&lt;=INDEX(PEMAGANG!$K$3:$K$36,MATCH(B979,PEMAGANG!$C$3:$C$36,0))),1,0),0)</f>
        <v>1</v>
      </c>
      <c r="W979" s="71">
        <f t="shared" si="143"/>
        <v>1</v>
      </c>
    </row>
    <row r="980" spans="1:23" x14ac:dyDescent="0.2">
      <c r="A980" s="71" t="s">
        <v>213</v>
      </c>
      <c r="B980" s="71" t="s">
        <v>214</v>
      </c>
      <c r="C980" s="71" t="s">
        <v>187</v>
      </c>
      <c r="D980" s="71" t="s">
        <v>215</v>
      </c>
      <c r="E980" s="71" t="s">
        <v>490</v>
      </c>
      <c r="F980" s="71" t="s">
        <v>298</v>
      </c>
      <c r="G980" s="88">
        <v>46279.450277777803</v>
      </c>
      <c r="H980" s="89">
        <v>46279</v>
      </c>
      <c r="I980" s="71" t="s">
        <v>480</v>
      </c>
      <c r="J980" s="71">
        <v>198</v>
      </c>
      <c r="K980" s="71" t="s">
        <v>293</v>
      </c>
      <c r="L980" s="71">
        <f t="shared" si="135"/>
        <v>9</v>
      </c>
      <c r="M980" s="71" t="str">
        <f>IFERROR(INDEX(KALENDER!$D$3:$D$132,MATCH(H980,KALENDER!$A$3:$A$132,0)),"Di luar periode")</f>
        <v>Hari Kerja</v>
      </c>
      <c r="N980" s="71">
        <f t="shared" si="136"/>
        <v>0</v>
      </c>
      <c r="O980" s="71">
        <f t="shared" si="137"/>
        <v>2</v>
      </c>
      <c r="P980" s="71">
        <f t="shared" si="138"/>
        <v>0</v>
      </c>
      <c r="Q980" s="71">
        <f t="shared" si="139"/>
        <v>0</v>
      </c>
      <c r="R980" s="71">
        <f t="shared" si="140"/>
        <v>0</v>
      </c>
      <c r="S980" s="71">
        <f t="shared" si="141"/>
        <v>0</v>
      </c>
      <c r="T980" s="71">
        <f t="shared" si="142"/>
        <v>0</v>
      </c>
      <c r="U980" s="71">
        <f>IF(AND(N980=1,V980=1),IF(COUNTIFS(AKTIVITAS!$B$2:$B$3052,B980,AKTIVITAS!$E$2:$E$3052,H980)&gt;0,1,0),0)</f>
        <v>0</v>
      </c>
      <c r="V980" s="71">
        <f>IFERROR(IF(AND(H980&gt;=INDEX(PEMAGANG!$J$3:$J$36,MATCH(B980,PEMAGANG!$C$3:$C$36,0)),H980&lt;=INDEX(PEMAGANG!$K$3:$K$36,MATCH(B980,PEMAGANG!$C$3:$C$36,0))),1,0),0)</f>
        <v>1</v>
      </c>
      <c r="W980" s="71">
        <f t="shared" si="143"/>
        <v>0</v>
      </c>
    </row>
    <row r="981" spans="1:23" x14ac:dyDescent="0.2">
      <c r="A981" s="71" t="s">
        <v>213</v>
      </c>
      <c r="B981" s="71" t="s">
        <v>214</v>
      </c>
      <c r="C981" s="71" t="s">
        <v>187</v>
      </c>
      <c r="D981" s="71" t="s">
        <v>215</v>
      </c>
      <c r="E981" s="71" t="s">
        <v>54</v>
      </c>
      <c r="F981" s="71" t="s">
        <v>300</v>
      </c>
      <c r="G981" s="88">
        <v>46279.6940046296</v>
      </c>
      <c r="H981" s="89">
        <v>46279</v>
      </c>
      <c r="I981" s="71" t="s">
        <v>308</v>
      </c>
      <c r="J981" s="71">
        <v>0</v>
      </c>
      <c r="K981" s="71" t="s">
        <v>302</v>
      </c>
      <c r="L981" s="71">
        <f t="shared" si="135"/>
        <v>9</v>
      </c>
      <c r="M981" s="71" t="str">
        <f>IFERROR(INDEX(KALENDER!$D$3:$D$132,MATCH(H981,KALENDER!$A$3:$A$132,0)),"Di luar periode")</f>
        <v>Hari Kerja</v>
      </c>
      <c r="N981" s="71">
        <f t="shared" si="136"/>
        <v>0</v>
      </c>
      <c r="O981" s="71">
        <f t="shared" si="137"/>
        <v>2</v>
      </c>
      <c r="P981" s="71">
        <f t="shared" si="138"/>
        <v>0</v>
      </c>
      <c r="Q981" s="71">
        <f t="shared" si="139"/>
        <v>0</v>
      </c>
      <c r="R981" s="71">
        <f t="shared" si="140"/>
        <v>0</v>
      </c>
      <c r="S981" s="71">
        <f t="shared" si="141"/>
        <v>0</v>
      </c>
      <c r="T981" s="71">
        <f t="shared" si="142"/>
        <v>0</v>
      </c>
      <c r="U981" s="71">
        <f>IF(AND(N981=1,V981=1),IF(COUNTIFS(AKTIVITAS!$B$2:$B$3052,B981,AKTIVITAS!$E$2:$E$3052,H981)&gt;0,1,0),0)</f>
        <v>0</v>
      </c>
      <c r="V981" s="71">
        <f>IFERROR(IF(AND(H981&gt;=INDEX(PEMAGANG!$J$3:$J$36,MATCH(B981,PEMAGANG!$C$3:$C$36,0)),H981&lt;=INDEX(PEMAGANG!$K$3:$K$36,MATCH(B981,PEMAGANG!$C$3:$C$36,0))),1,0),0)</f>
        <v>1</v>
      </c>
      <c r="W981" s="71">
        <f t="shared" si="143"/>
        <v>0</v>
      </c>
    </row>
    <row r="982" spans="1:23" x14ac:dyDescent="0.2">
      <c r="A982" s="71" t="s">
        <v>213</v>
      </c>
      <c r="B982" s="71" t="s">
        <v>214</v>
      </c>
      <c r="C982" s="71" t="s">
        <v>187</v>
      </c>
      <c r="D982" s="71" t="s">
        <v>215</v>
      </c>
      <c r="E982" s="71" t="s">
        <v>490</v>
      </c>
      <c r="F982" s="71" t="s">
        <v>300</v>
      </c>
      <c r="G982" s="88">
        <v>46279.6940046296</v>
      </c>
      <c r="H982" s="89">
        <v>46279</v>
      </c>
      <c r="I982" s="71" t="s">
        <v>308</v>
      </c>
      <c r="J982" s="71">
        <v>0</v>
      </c>
      <c r="K982" s="71" t="s">
        <v>302</v>
      </c>
      <c r="L982" s="71">
        <f t="shared" si="135"/>
        <v>9</v>
      </c>
      <c r="M982" s="71" t="str">
        <f>IFERROR(INDEX(KALENDER!$D$3:$D$132,MATCH(H982,KALENDER!$A$3:$A$132,0)),"Di luar periode")</f>
        <v>Hari Kerja</v>
      </c>
      <c r="N982" s="71">
        <f t="shared" si="136"/>
        <v>0</v>
      </c>
      <c r="O982" s="71">
        <f t="shared" si="137"/>
        <v>2</v>
      </c>
      <c r="P982" s="71">
        <f t="shared" si="138"/>
        <v>0</v>
      </c>
      <c r="Q982" s="71">
        <f t="shared" si="139"/>
        <v>0</v>
      </c>
      <c r="R982" s="71">
        <f t="shared" si="140"/>
        <v>0</v>
      </c>
      <c r="S982" s="71">
        <f t="shared" si="141"/>
        <v>0</v>
      </c>
      <c r="T982" s="71">
        <f t="shared" si="142"/>
        <v>0</v>
      </c>
      <c r="U982" s="71">
        <f>IF(AND(N982=1,V982=1),IF(COUNTIFS(AKTIVITAS!$B$2:$B$3052,B982,AKTIVITAS!$E$2:$E$3052,H982)&gt;0,1,0),0)</f>
        <v>0</v>
      </c>
      <c r="V982" s="71">
        <f>IFERROR(IF(AND(H982&gt;=INDEX(PEMAGANG!$J$3:$J$36,MATCH(B982,PEMAGANG!$C$3:$C$36,0)),H982&lt;=INDEX(PEMAGANG!$K$3:$K$36,MATCH(B982,PEMAGANG!$C$3:$C$36,0))),1,0),0)</f>
        <v>1</v>
      </c>
      <c r="W982" s="71">
        <f t="shared" si="143"/>
        <v>0</v>
      </c>
    </row>
    <row r="983" spans="1:23" x14ac:dyDescent="0.2">
      <c r="A983" s="71" t="s">
        <v>213</v>
      </c>
      <c r="B983" s="71" t="s">
        <v>214</v>
      </c>
      <c r="C983" s="71" t="s">
        <v>187</v>
      </c>
      <c r="D983" s="71" t="s">
        <v>215</v>
      </c>
      <c r="E983" s="71" t="s">
        <v>490</v>
      </c>
      <c r="F983" s="71" t="s">
        <v>298</v>
      </c>
      <c r="G983" s="88">
        <v>46280.292442129597</v>
      </c>
      <c r="H983" s="89">
        <v>46280</v>
      </c>
      <c r="I983" s="71" t="s">
        <v>491</v>
      </c>
      <c r="J983" s="71">
        <v>-29</v>
      </c>
      <c r="K983" s="71" t="s">
        <v>302</v>
      </c>
      <c r="L983" s="71">
        <f t="shared" si="135"/>
        <v>9</v>
      </c>
      <c r="M983" s="71" t="str">
        <f>IFERROR(INDEX(KALENDER!$D$3:$D$132,MATCH(H983,KALENDER!$A$3:$A$132,0)),"Di luar periode")</f>
        <v>Hari Kerja</v>
      </c>
      <c r="N983" s="71">
        <f t="shared" si="136"/>
        <v>1</v>
      </c>
      <c r="O983" s="71">
        <f t="shared" si="137"/>
        <v>1</v>
      </c>
      <c r="P983" s="71">
        <f t="shared" si="138"/>
        <v>1</v>
      </c>
      <c r="Q983" s="71">
        <f t="shared" si="139"/>
        <v>0</v>
      </c>
      <c r="R983" s="71">
        <f t="shared" si="140"/>
        <v>0</v>
      </c>
      <c r="S983" s="71">
        <f t="shared" si="141"/>
        <v>0</v>
      </c>
      <c r="T983" s="71">
        <f t="shared" si="142"/>
        <v>0</v>
      </c>
      <c r="U983" s="71">
        <f>IF(AND(N983=1,V983=1),IF(COUNTIFS(AKTIVITAS!$B$2:$B$3052,B983,AKTIVITAS!$E$2:$E$3052,H983)&gt;0,1,0),0)</f>
        <v>1</v>
      </c>
      <c r="V983" s="71">
        <f>IFERROR(IF(AND(H983&gt;=INDEX(PEMAGANG!$J$3:$J$36,MATCH(B983,PEMAGANG!$C$3:$C$36,0)),H983&lt;=INDEX(PEMAGANG!$K$3:$K$36,MATCH(B983,PEMAGANG!$C$3:$C$36,0))),1,0),0)</f>
        <v>1</v>
      </c>
      <c r="W983" s="71">
        <f t="shared" si="143"/>
        <v>1</v>
      </c>
    </row>
    <row r="984" spans="1:23" x14ac:dyDescent="0.2">
      <c r="A984" s="71" t="s">
        <v>213</v>
      </c>
      <c r="B984" s="71" t="s">
        <v>214</v>
      </c>
      <c r="C984" s="71" t="s">
        <v>187</v>
      </c>
      <c r="D984" s="71" t="s">
        <v>215</v>
      </c>
      <c r="E984" s="71" t="s">
        <v>490</v>
      </c>
      <c r="F984" s="71" t="s">
        <v>298</v>
      </c>
      <c r="G984" s="88">
        <v>46280.292557870402</v>
      </c>
      <c r="H984" s="89">
        <v>46280</v>
      </c>
      <c r="I984" s="71" t="s">
        <v>491</v>
      </c>
      <c r="J984" s="71">
        <v>-29</v>
      </c>
      <c r="K984" s="71" t="s">
        <v>302</v>
      </c>
      <c r="L984" s="71">
        <f t="shared" si="135"/>
        <v>9</v>
      </c>
      <c r="M984" s="71" t="str">
        <f>IFERROR(INDEX(KALENDER!$D$3:$D$132,MATCH(H984,KALENDER!$A$3:$A$132,0)),"Di luar periode")</f>
        <v>Hari Kerja</v>
      </c>
      <c r="N984" s="71">
        <f t="shared" si="136"/>
        <v>0</v>
      </c>
      <c r="O984" s="71">
        <f t="shared" si="137"/>
        <v>2</v>
      </c>
      <c r="P984" s="71">
        <f t="shared" si="138"/>
        <v>0</v>
      </c>
      <c r="Q984" s="71">
        <f t="shared" si="139"/>
        <v>0</v>
      </c>
      <c r="R984" s="71">
        <f t="shared" si="140"/>
        <v>0</v>
      </c>
      <c r="S984" s="71">
        <f t="shared" si="141"/>
        <v>0</v>
      </c>
      <c r="T984" s="71">
        <f t="shared" si="142"/>
        <v>0</v>
      </c>
      <c r="U984" s="71">
        <f>IF(AND(N984=1,V984=1),IF(COUNTIFS(AKTIVITAS!$B$2:$B$3052,B984,AKTIVITAS!$E$2:$E$3052,H984)&gt;0,1,0),0)</f>
        <v>0</v>
      </c>
      <c r="V984" s="71">
        <f>IFERROR(IF(AND(H984&gt;=INDEX(PEMAGANG!$J$3:$J$36,MATCH(B984,PEMAGANG!$C$3:$C$36,0)),H984&lt;=INDEX(PEMAGANG!$K$3:$K$36,MATCH(B984,PEMAGANG!$C$3:$C$36,0))),1,0),0)</f>
        <v>1</v>
      </c>
      <c r="W984" s="71">
        <f t="shared" si="143"/>
        <v>0</v>
      </c>
    </row>
    <row r="985" spans="1:23" x14ac:dyDescent="0.2">
      <c r="A985" s="71" t="s">
        <v>213</v>
      </c>
      <c r="B985" s="71" t="s">
        <v>214</v>
      </c>
      <c r="C985" s="71" t="s">
        <v>187</v>
      </c>
      <c r="D985" s="71" t="s">
        <v>215</v>
      </c>
      <c r="E985" s="71" t="s">
        <v>54</v>
      </c>
      <c r="F985" s="71" t="s">
        <v>298</v>
      </c>
      <c r="G985" s="88">
        <v>46280.293194444399</v>
      </c>
      <c r="H985" s="89">
        <v>46280</v>
      </c>
      <c r="I985" s="71" t="s">
        <v>492</v>
      </c>
      <c r="J985" s="71">
        <v>-28</v>
      </c>
      <c r="K985" s="71" t="s">
        <v>302</v>
      </c>
      <c r="L985" s="71">
        <f t="shared" si="135"/>
        <v>9</v>
      </c>
      <c r="M985" s="71" t="str">
        <f>IFERROR(INDEX(KALENDER!$D$3:$D$132,MATCH(H985,KALENDER!$A$3:$A$132,0)),"Di luar periode")</f>
        <v>Hari Kerja</v>
      </c>
      <c r="N985" s="71">
        <f t="shared" si="136"/>
        <v>0</v>
      </c>
      <c r="O985" s="71">
        <f t="shared" si="137"/>
        <v>3</v>
      </c>
      <c r="P985" s="71">
        <f t="shared" si="138"/>
        <v>0</v>
      </c>
      <c r="Q985" s="71">
        <f t="shared" si="139"/>
        <v>0</v>
      </c>
      <c r="R985" s="71">
        <f t="shared" si="140"/>
        <v>0</v>
      </c>
      <c r="S985" s="71">
        <f t="shared" si="141"/>
        <v>0</v>
      </c>
      <c r="T985" s="71">
        <f t="shared" si="142"/>
        <v>0</v>
      </c>
      <c r="U985" s="71">
        <f>IF(AND(N985=1,V985=1),IF(COUNTIFS(AKTIVITAS!$B$2:$B$3052,B985,AKTIVITAS!$E$2:$E$3052,H985)&gt;0,1,0),0)</f>
        <v>0</v>
      </c>
      <c r="V985" s="71">
        <f>IFERROR(IF(AND(H985&gt;=INDEX(PEMAGANG!$J$3:$J$36,MATCH(B985,PEMAGANG!$C$3:$C$36,0)),H985&lt;=INDEX(PEMAGANG!$K$3:$K$36,MATCH(B985,PEMAGANG!$C$3:$C$36,0))),1,0),0)</f>
        <v>1</v>
      </c>
      <c r="W985" s="71">
        <f t="shared" si="143"/>
        <v>0</v>
      </c>
    </row>
    <row r="986" spans="1:23" x14ac:dyDescent="0.2">
      <c r="A986" s="71" t="s">
        <v>213</v>
      </c>
      <c r="B986" s="71" t="s">
        <v>214</v>
      </c>
      <c r="C986" s="71" t="s">
        <v>187</v>
      </c>
      <c r="D986" s="71" t="s">
        <v>215</v>
      </c>
      <c r="E986" s="71" t="s">
        <v>490</v>
      </c>
      <c r="F986" s="71" t="s">
        <v>298</v>
      </c>
      <c r="G986" s="88">
        <v>46280.293194444399</v>
      </c>
      <c r="H986" s="89">
        <v>46280</v>
      </c>
      <c r="I986" s="71" t="s">
        <v>492</v>
      </c>
      <c r="J986" s="71">
        <v>-28</v>
      </c>
      <c r="K986" s="71" t="s">
        <v>302</v>
      </c>
      <c r="L986" s="71">
        <f t="shared" si="135"/>
        <v>9</v>
      </c>
      <c r="M986" s="71" t="str">
        <f>IFERROR(INDEX(KALENDER!$D$3:$D$132,MATCH(H986,KALENDER!$A$3:$A$132,0)),"Di luar periode")</f>
        <v>Hari Kerja</v>
      </c>
      <c r="N986" s="71">
        <f t="shared" si="136"/>
        <v>0</v>
      </c>
      <c r="O986" s="71">
        <f t="shared" si="137"/>
        <v>4</v>
      </c>
      <c r="P986" s="71">
        <f t="shared" si="138"/>
        <v>0</v>
      </c>
      <c r="Q986" s="71">
        <f t="shared" si="139"/>
        <v>0</v>
      </c>
      <c r="R986" s="71">
        <f t="shared" si="140"/>
        <v>0</v>
      </c>
      <c r="S986" s="71">
        <f t="shared" si="141"/>
        <v>0</v>
      </c>
      <c r="T986" s="71">
        <f t="shared" si="142"/>
        <v>0</v>
      </c>
      <c r="U986" s="71">
        <f>IF(AND(N986=1,V986=1),IF(COUNTIFS(AKTIVITAS!$B$2:$B$3052,B986,AKTIVITAS!$E$2:$E$3052,H986)&gt;0,1,0),0)</f>
        <v>0</v>
      </c>
      <c r="V986" s="71">
        <f>IFERROR(IF(AND(H986&gt;=INDEX(PEMAGANG!$J$3:$J$36,MATCH(B986,PEMAGANG!$C$3:$C$36,0)),H986&lt;=INDEX(PEMAGANG!$K$3:$K$36,MATCH(B986,PEMAGANG!$C$3:$C$36,0))),1,0),0)</f>
        <v>1</v>
      </c>
      <c r="W986" s="71">
        <f t="shared" si="143"/>
        <v>0</v>
      </c>
    </row>
    <row r="987" spans="1:23" x14ac:dyDescent="0.2">
      <c r="A987" s="71" t="s">
        <v>213</v>
      </c>
      <c r="B987" s="71" t="s">
        <v>214</v>
      </c>
      <c r="C987" s="71" t="s">
        <v>187</v>
      </c>
      <c r="D987" s="71" t="s">
        <v>215</v>
      </c>
      <c r="E987" s="71" t="s">
        <v>54</v>
      </c>
      <c r="F987" s="71" t="s">
        <v>300</v>
      </c>
      <c r="G987" s="88">
        <v>46280.688969907402</v>
      </c>
      <c r="H987" s="89">
        <v>46280</v>
      </c>
      <c r="I987" s="71" t="s">
        <v>306</v>
      </c>
      <c r="J987" s="71">
        <v>0</v>
      </c>
      <c r="K987" s="71" t="s">
        <v>302</v>
      </c>
      <c r="L987" s="71">
        <f t="shared" si="135"/>
        <v>9</v>
      </c>
      <c r="M987" s="71" t="str">
        <f>IFERROR(INDEX(KALENDER!$D$3:$D$132,MATCH(H987,KALENDER!$A$3:$A$132,0)),"Di luar periode")</f>
        <v>Hari Kerja</v>
      </c>
      <c r="N987" s="71">
        <f t="shared" si="136"/>
        <v>0</v>
      </c>
      <c r="O987" s="71">
        <f t="shared" si="137"/>
        <v>4</v>
      </c>
      <c r="P987" s="71">
        <f t="shared" si="138"/>
        <v>0</v>
      </c>
      <c r="Q987" s="71">
        <f t="shared" si="139"/>
        <v>0</v>
      </c>
      <c r="R987" s="71">
        <f t="shared" si="140"/>
        <v>0</v>
      </c>
      <c r="S987" s="71">
        <f t="shared" si="141"/>
        <v>0</v>
      </c>
      <c r="T987" s="71">
        <f t="shared" si="142"/>
        <v>0</v>
      </c>
      <c r="U987" s="71">
        <f>IF(AND(N987=1,V987=1),IF(COUNTIFS(AKTIVITAS!$B$2:$B$3052,B987,AKTIVITAS!$E$2:$E$3052,H987)&gt;0,1,0),0)</f>
        <v>0</v>
      </c>
      <c r="V987" s="71">
        <f>IFERROR(IF(AND(H987&gt;=INDEX(PEMAGANG!$J$3:$J$36,MATCH(B987,PEMAGANG!$C$3:$C$36,0)),H987&lt;=INDEX(PEMAGANG!$K$3:$K$36,MATCH(B987,PEMAGANG!$C$3:$C$36,0))),1,0),0)</f>
        <v>1</v>
      </c>
      <c r="W987" s="71">
        <f t="shared" si="143"/>
        <v>0</v>
      </c>
    </row>
    <row r="988" spans="1:23" x14ac:dyDescent="0.2">
      <c r="A988" s="71" t="s">
        <v>213</v>
      </c>
      <c r="B988" s="71" t="s">
        <v>214</v>
      </c>
      <c r="C988" s="71" t="s">
        <v>187</v>
      </c>
      <c r="D988" s="71" t="s">
        <v>215</v>
      </c>
      <c r="E988" s="71" t="s">
        <v>490</v>
      </c>
      <c r="F988" s="71" t="s">
        <v>300</v>
      </c>
      <c r="G988" s="88">
        <v>46280.688969907402</v>
      </c>
      <c r="H988" s="89">
        <v>46280</v>
      </c>
      <c r="I988" s="71" t="s">
        <v>306</v>
      </c>
      <c r="J988" s="71">
        <v>0</v>
      </c>
      <c r="K988" s="71" t="s">
        <v>302</v>
      </c>
      <c r="L988" s="71">
        <f t="shared" si="135"/>
        <v>9</v>
      </c>
      <c r="M988" s="71" t="str">
        <f>IFERROR(INDEX(KALENDER!$D$3:$D$132,MATCH(H988,KALENDER!$A$3:$A$132,0)),"Di luar periode")</f>
        <v>Hari Kerja</v>
      </c>
      <c r="N988" s="71">
        <f t="shared" si="136"/>
        <v>0</v>
      </c>
      <c r="O988" s="71">
        <f t="shared" si="137"/>
        <v>4</v>
      </c>
      <c r="P988" s="71">
        <f t="shared" si="138"/>
        <v>0</v>
      </c>
      <c r="Q988" s="71">
        <f t="shared" si="139"/>
        <v>0</v>
      </c>
      <c r="R988" s="71">
        <f t="shared" si="140"/>
        <v>0</v>
      </c>
      <c r="S988" s="71">
        <f t="shared" si="141"/>
        <v>0</v>
      </c>
      <c r="T988" s="71">
        <f t="shared" si="142"/>
        <v>0</v>
      </c>
      <c r="U988" s="71">
        <f>IF(AND(N988=1,V988=1),IF(COUNTIFS(AKTIVITAS!$B$2:$B$3052,B988,AKTIVITAS!$E$2:$E$3052,H988)&gt;0,1,0),0)</f>
        <v>0</v>
      </c>
      <c r="V988" s="71">
        <f>IFERROR(IF(AND(H988&gt;=INDEX(PEMAGANG!$J$3:$J$36,MATCH(B988,PEMAGANG!$C$3:$C$36,0)),H988&lt;=INDEX(PEMAGANG!$K$3:$K$36,MATCH(B988,PEMAGANG!$C$3:$C$36,0))),1,0),0)</f>
        <v>1</v>
      </c>
      <c r="W988" s="71">
        <f t="shared" si="143"/>
        <v>0</v>
      </c>
    </row>
    <row r="989" spans="1:23" x14ac:dyDescent="0.2">
      <c r="A989" s="71" t="s">
        <v>213</v>
      </c>
      <c r="B989" s="71" t="s">
        <v>214</v>
      </c>
      <c r="C989" s="71" t="s">
        <v>187</v>
      </c>
      <c r="D989" s="71" t="s">
        <v>215</v>
      </c>
      <c r="E989" s="71" t="s">
        <v>54</v>
      </c>
      <c r="F989" s="71" t="s">
        <v>298</v>
      </c>
      <c r="G989" s="88">
        <v>46281.293692129599</v>
      </c>
      <c r="H989" s="89">
        <v>46281</v>
      </c>
      <c r="I989" s="71" t="s">
        <v>492</v>
      </c>
      <c r="J989" s="71">
        <v>-28</v>
      </c>
      <c r="K989" s="71" t="s">
        <v>302</v>
      </c>
      <c r="L989" s="71">
        <f t="shared" si="135"/>
        <v>9</v>
      </c>
      <c r="M989" s="71" t="str">
        <f>IFERROR(INDEX(KALENDER!$D$3:$D$132,MATCH(H989,KALENDER!$A$3:$A$132,0)),"Di luar periode")</f>
        <v>Hari Kerja</v>
      </c>
      <c r="N989" s="71">
        <f t="shared" si="136"/>
        <v>1</v>
      </c>
      <c r="O989" s="71">
        <f t="shared" si="137"/>
        <v>1</v>
      </c>
      <c r="P989" s="71">
        <f t="shared" si="138"/>
        <v>1</v>
      </c>
      <c r="Q989" s="71">
        <f t="shared" si="139"/>
        <v>0</v>
      </c>
      <c r="R989" s="71">
        <f t="shared" si="140"/>
        <v>0</v>
      </c>
      <c r="S989" s="71">
        <f t="shared" si="141"/>
        <v>0</v>
      </c>
      <c r="T989" s="71">
        <f t="shared" si="142"/>
        <v>0</v>
      </c>
      <c r="U989" s="71">
        <f>IF(AND(N989=1,V989=1),IF(COUNTIFS(AKTIVITAS!$B$2:$B$3052,B989,AKTIVITAS!$E$2:$E$3052,H989)&gt;0,1,0),0)</f>
        <v>1</v>
      </c>
      <c r="V989" s="71">
        <f>IFERROR(IF(AND(H989&gt;=INDEX(PEMAGANG!$J$3:$J$36,MATCH(B989,PEMAGANG!$C$3:$C$36,0)),H989&lt;=INDEX(PEMAGANG!$K$3:$K$36,MATCH(B989,PEMAGANG!$C$3:$C$36,0))),1,0),0)</f>
        <v>1</v>
      </c>
      <c r="W989" s="71">
        <f t="shared" si="143"/>
        <v>1</v>
      </c>
    </row>
    <row r="990" spans="1:23" x14ac:dyDescent="0.2">
      <c r="A990" s="71" t="s">
        <v>213</v>
      </c>
      <c r="B990" s="71" t="s">
        <v>214</v>
      </c>
      <c r="C990" s="71" t="s">
        <v>187</v>
      </c>
      <c r="D990" s="71" t="s">
        <v>215</v>
      </c>
      <c r="E990" s="71" t="s">
        <v>490</v>
      </c>
      <c r="F990" s="71" t="s">
        <v>298</v>
      </c>
      <c r="G990" s="88">
        <v>46281.293692129599</v>
      </c>
      <c r="H990" s="89">
        <v>46281</v>
      </c>
      <c r="I990" s="71" t="s">
        <v>492</v>
      </c>
      <c r="J990" s="71">
        <v>-28</v>
      </c>
      <c r="K990" s="71" t="s">
        <v>302</v>
      </c>
      <c r="L990" s="71">
        <f t="shared" si="135"/>
        <v>9</v>
      </c>
      <c r="M990" s="71" t="str">
        <f>IFERROR(INDEX(KALENDER!$D$3:$D$132,MATCH(H990,KALENDER!$A$3:$A$132,0)),"Di luar periode")</f>
        <v>Hari Kerja</v>
      </c>
      <c r="N990" s="71">
        <f t="shared" si="136"/>
        <v>0</v>
      </c>
      <c r="O990" s="71">
        <f t="shared" si="137"/>
        <v>2</v>
      </c>
      <c r="P990" s="71">
        <f t="shared" si="138"/>
        <v>0</v>
      </c>
      <c r="Q990" s="71">
        <f t="shared" si="139"/>
        <v>0</v>
      </c>
      <c r="R990" s="71">
        <f t="shared" si="140"/>
        <v>0</v>
      </c>
      <c r="S990" s="71">
        <f t="shared" si="141"/>
        <v>0</v>
      </c>
      <c r="T990" s="71">
        <f t="shared" si="142"/>
        <v>0</v>
      </c>
      <c r="U990" s="71">
        <f>IF(AND(N990=1,V990=1),IF(COUNTIFS(AKTIVITAS!$B$2:$B$3052,B990,AKTIVITAS!$E$2:$E$3052,H990)&gt;0,1,0),0)</f>
        <v>0</v>
      </c>
      <c r="V990" s="71">
        <f>IFERROR(IF(AND(H990&gt;=INDEX(PEMAGANG!$J$3:$J$36,MATCH(B990,PEMAGANG!$C$3:$C$36,0)),H990&lt;=INDEX(PEMAGANG!$K$3:$K$36,MATCH(B990,PEMAGANG!$C$3:$C$36,0))),1,0),0)</f>
        <v>1</v>
      </c>
      <c r="W990" s="71">
        <f t="shared" si="143"/>
        <v>0</v>
      </c>
    </row>
    <row r="991" spans="1:23" x14ac:dyDescent="0.2">
      <c r="A991" s="71" t="s">
        <v>213</v>
      </c>
      <c r="B991" s="71" t="s">
        <v>214</v>
      </c>
      <c r="C991" s="71" t="s">
        <v>187</v>
      </c>
      <c r="D991" s="71" t="s">
        <v>215</v>
      </c>
      <c r="E991" s="71" t="s">
        <v>54</v>
      </c>
      <c r="F991" s="71" t="s">
        <v>300</v>
      </c>
      <c r="G991" s="88">
        <v>46281.690150463</v>
      </c>
      <c r="H991" s="89">
        <v>46281</v>
      </c>
      <c r="I991" s="71" t="s">
        <v>316</v>
      </c>
      <c r="J991" s="71">
        <v>0</v>
      </c>
      <c r="K991" s="71" t="s">
        <v>302</v>
      </c>
      <c r="L991" s="71">
        <f t="shared" si="135"/>
        <v>9</v>
      </c>
      <c r="M991" s="71" t="str">
        <f>IFERROR(INDEX(KALENDER!$D$3:$D$132,MATCH(H991,KALENDER!$A$3:$A$132,0)),"Di luar periode")</f>
        <v>Hari Kerja</v>
      </c>
      <c r="N991" s="71">
        <f t="shared" si="136"/>
        <v>0</v>
      </c>
      <c r="O991" s="71">
        <f t="shared" si="137"/>
        <v>2</v>
      </c>
      <c r="P991" s="71">
        <f t="shared" si="138"/>
        <v>0</v>
      </c>
      <c r="Q991" s="71">
        <f t="shared" si="139"/>
        <v>0</v>
      </c>
      <c r="R991" s="71">
        <f t="shared" si="140"/>
        <v>0</v>
      </c>
      <c r="S991" s="71">
        <f t="shared" si="141"/>
        <v>0</v>
      </c>
      <c r="T991" s="71">
        <f t="shared" si="142"/>
        <v>0</v>
      </c>
      <c r="U991" s="71">
        <f>IF(AND(N991=1,V991=1),IF(COUNTIFS(AKTIVITAS!$B$2:$B$3052,B991,AKTIVITAS!$E$2:$E$3052,H991)&gt;0,1,0),0)</f>
        <v>0</v>
      </c>
      <c r="V991" s="71">
        <f>IFERROR(IF(AND(H991&gt;=INDEX(PEMAGANG!$J$3:$J$36,MATCH(B991,PEMAGANG!$C$3:$C$36,0)),H991&lt;=INDEX(PEMAGANG!$K$3:$K$36,MATCH(B991,PEMAGANG!$C$3:$C$36,0))),1,0),0)</f>
        <v>1</v>
      </c>
      <c r="W991" s="71">
        <f t="shared" si="143"/>
        <v>0</v>
      </c>
    </row>
    <row r="992" spans="1:23" x14ac:dyDescent="0.2">
      <c r="A992" s="71" t="s">
        <v>213</v>
      </c>
      <c r="B992" s="71" t="s">
        <v>214</v>
      </c>
      <c r="C992" s="71" t="s">
        <v>187</v>
      </c>
      <c r="D992" s="71" t="s">
        <v>215</v>
      </c>
      <c r="E992" s="71" t="s">
        <v>490</v>
      </c>
      <c r="F992" s="71" t="s">
        <v>300</v>
      </c>
      <c r="G992" s="88">
        <v>46281.690150463</v>
      </c>
      <c r="H992" s="89">
        <v>46281</v>
      </c>
      <c r="I992" s="71" t="s">
        <v>316</v>
      </c>
      <c r="J992" s="71">
        <v>0</v>
      </c>
      <c r="K992" s="71" t="s">
        <v>302</v>
      </c>
      <c r="L992" s="71">
        <f t="shared" si="135"/>
        <v>9</v>
      </c>
      <c r="M992" s="71" t="str">
        <f>IFERROR(INDEX(KALENDER!$D$3:$D$132,MATCH(H992,KALENDER!$A$3:$A$132,0)),"Di luar periode")</f>
        <v>Hari Kerja</v>
      </c>
      <c r="N992" s="71">
        <f t="shared" si="136"/>
        <v>0</v>
      </c>
      <c r="O992" s="71">
        <f t="shared" si="137"/>
        <v>2</v>
      </c>
      <c r="P992" s="71">
        <f t="shared" si="138"/>
        <v>0</v>
      </c>
      <c r="Q992" s="71">
        <f t="shared" si="139"/>
        <v>0</v>
      </c>
      <c r="R992" s="71">
        <f t="shared" si="140"/>
        <v>0</v>
      </c>
      <c r="S992" s="71">
        <f t="shared" si="141"/>
        <v>0</v>
      </c>
      <c r="T992" s="71">
        <f t="shared" si="142"/>
        <v>0</v>
      </c>
      <c r="U992" s="71">
        <f>IF(AND(N992=1,V992=1),IF(COUNTIFS(AKTIVITAS!$B$2:$B$3052,B992,AKTIVITAS!$E$2:$E$3052,H992)&gt;0,1,0),0)</f>
        <v>0</v>
      </c>
      <c r="V992" s="71">
        <f>IFERROR(IF(AND(H992&gt;=INDEX(PEMAGANG!$J$3:$J$36,MATCH(B992,PEMAGANG!$C$3:$C$36,0)),H992&lt;=INDEX(PEMAGANG!$K$3:$K$36,MATCH(B992,PEMAGANG!$C$3:$C$36,0))),1,0),0)</f>
        <v>1</v>
      </c>
      <c r="W992" s="71">
        <f t="shared" si="143"/>
        <v>0</v>
      </c>
    </row>
    <row r="993" spans="1:23" x14ac:dyDescent="0.2">
      <c r="A993" s="71" t="s">
        <v>213</v>
      </c>
      <c r="B993" s="71" t="s">
        <v>214</v>
      </c>
      <c r="C993" s="71" t="s">
        <v>187</v>
      </c>
      <c r="D993" s="71" t="s">
        <v>215</v>
      </c>
      <c r="E993" s="71" t="s">
        <v>54</v>
      </c>
      <c r="F993" s="71" t="s">
        <v>298</v>
      </c>
      <c r="G993" s="88">
        <v>46282.309907407398</v>
      </c>
      <c r="H993" s="89">
        <v>46282</v>
      </c>
      <c r="I993" s="71" t="s">
        <v>315</v>
      </c>
      <c r="J993" s="71">
        <v>-3.9999999999999898</v>
      </c>
      <c r="K993" s="71" t="s">
        <v>302</v>
      </c>
      <c r="L993" s="71">
        <f t="shared" si="135"/>
        <v>9</v>
      </c>
      <c r="M993" s="71" t="str">
        <f>IFERROR(INDEX(KALENDER!$D$3:$D$132,MATCH(H993,KALENDER!$A$3:$A$132,0)),"Di luar periode")</f>
        <v>Hari Kerja</v>
      </c>
      <c r="N993" s="71">
        <f t="shared" si="136"/>
        <v>1</v>
      </c>
      <c r="O993" s="71">
        <f t="shared" si="137"/>
        <v>1</v>
      </c>
      <c r="P993" s="71">
        <f t="shared" si="138"/>
        <v>1</v>
      </c>
      <c r="Q993" s="71">
        <f t="shared" si="139"/>
        <v>0</v>
      </c>
      <c r="R993" s="71">
        <f t="shared" si="140"/>
        <v>0</v>
      </c>
      <c r="S993" s="71">
        <f t="shared" si="141"/>
        <v>0</v>
      </c>
      <c r="T993" s="71">
        <f t="shared" si="142"/>
        <v>0</v>
      </c>
      <c r="U993" s="71">
        <f>IF(AND(N993=1,V993=1),IF(COUNTIFS(AKTIVITAS!$B$2:$B$3052,B993,AKTIVITAS!$E$2:$E$3052,H993)&gt;0,1,0),0)</f>
        <v>1</v>
      </c>
      <c r="V993" s="71">
        <f>IFERROR(IF(AND(H993&gt;=INDEX(PEMAGANG!$J$3:$J$36,MATCH(B993,PEMAGANG!$C$3:$C$36,0)),H993&lt;=INDEX(PEMAGANG!$K$3:$K$36,MATCH(B993,PEMAGANG!$C$3:$C$36,0))),1,0),0)</f>
        <v>1</v>
      </c>
      <c r="W993" s="71">
        <f t="shared" si="143"/>
        <v>1</v>
      </c>
    </row>
    <row r="994" spans="1:23" x14ac:dyDescent="0.2">
      <c r="A994" s="71" t="s">
        <v>213</v>
      </c>
      <c r="B994" s="71" t="s">
        <v>214</v>
      </c>
      <c r="C994" s="71" t="s">
        <v>187</v>
      </c>
      <c r="D994" s="71" t="s">
        <v>215</v>
      </c>
      <c r="E994" s="71" t="s">
        <v>490</v>
      </c>
      <c r="F994" s="71" t="s">
        <v>298</v>
      </c>
      <c r="G994" s="88">
        <v>46282.309907407398</v>
      </c>
      <c r="H994" s="89">
        <v>46282</v>
      </c>
      <c r="I994" s="71" t="s">
        <v>315</v>
      </c>
      <c r="J994" s="71">
        <v>-3.9999999999999898</v>
      </c>
      <c r="K994" s="71" t="s">
        <v>302</v>
      </c>
      <c r="L994" s="71">
        <f t="shared" si="135"/>
        <v>9</v>
      </c>
      <c r="M994" s="71" t="str">
        <f>IFERROR(INDEX(KALENDER!$D$3:$D$132,MATCH(H994,KALENDER!$A$3:$A$132,0)),"Di luar periode")</f>
        <v>Hari Kerja</v>
      </c>
      <c r="N994" s="71">
        <f t="shared" si="136"/>
        <v>0</v>
      </c>
      <c r="O994" s="71">
        <f t="shared" si="137"/>
        <v>2</v>
      </c>
      <c r="P994" s="71">
        <f t="shared" si="138"/>
        <v>0</v>
      </c>
      <c r="Q994" s="71">
        <f t="shared" si="139"/>
        <v>0</v>
      </c>
      <c r="R994" s="71">
        <f t="shared" si="140"/>
        <v>0</v>
      </c>
      <c r="S994" s="71">
        <f t="shared" si="141"/>
        <v>0</v>
      </c>
      <c r="T994" s="71">
        <f t="shared" si="142"/>
        <v>0</v>
      </c>
      <c r="U994" s="71">
        <f>IF(AND(N994=1,V994=1),IF(COUNTIFS(AKTIVITAS!$B$2:$B$3052,B994,AKTIVITAS!$E$2:$E$3052,H994)&gt;0,1,0),0)</f>
        <v>0</v>
      </c>
      <c r="V994" s="71">
        <f>IFERROR(IF(AND(H994&gt;=INDEX(PEMAGANG!$J$3:$J$36,MATCH(B994,PEMAGANG!$C$3:$C$36,0)),H994&lt;=INDEX(PEMAGANG!$K$3:$K$36,MATCH(B994,PEMAGANG!$C$3:$C$36,0))),1,0),0)</f>
        <v>1</v>
      </c>
      <c r="W994" s="71">
        <f t="shared" si="143"/>
        <v>0</v>
      </c>
    </row>
    <row r="995" spans="1:23" x14ac:dyDescent="0.2">
      <c r="A995" s="71" t="s">
        <v>213</v>
      </c>
      <c r="B995" s="71" t="s">
        <v>214</v>
      </c>
      <c r="C995" s="71" t="s">
        <v>187</v>
      </c>
      <c r="D995" s="71" t="s">
        <v>215</v>
      </c>
      <c r="E995" s="71" t="s">
        <v>54</v>
      </c>
      <c r="F995" s="71" t="s">
        <v>300</v>
      </c>
      <c r="G995" s="88">
        <v>46282.6889814815</v>
      </c>
      <c r="H995" s="89">
        <v>46282</v>
      </c>
      <c r="I995" s="71" t="s">
        <v>306</v>
      </c>
      <c r="J995" s="71">
        <v>0</v>
      </c>
      <c r="K995" s="71" t="s">
        <v>302</v>
      </c>
      <c r="L995" s="71">
        <f t="shared" si="135"/>
        <v>9</v>
      </c>
      <c r="M995" s="71" t="str">
        <f>IFERROR(INDEX(KALENDER!$D$3:$D$132,MATCH(H995,KALENDER!$A$3:$A$132,0)),"Di luar periode")</f>
        <v>Hari Kerja</v>
      </c>
      <c r="N995" s="71">
        <f t="shared" si="136"/>
        <v>0</v>
      </c>
      <c r="O995" s="71">
        <f t="shared" si="137"/>
        <v>2</v>
      </c>
      <c r="P995" s="71">
        <f t="shared" si="138"/>
        <v>0</v>
      </c>
      <c r="Q995" s="71">
        <f t="shared" si="139"/>
        <v>0</v>
      </c>
      <c r="R995" s="71">
        <f t="shared" si="140"/>
        <v>0</v>
      </c>
      <c r="S995" s="71">
        <f t="shared" si="141"/>
        <v>0</v>
      </c>
      <c r="T995" s="71">
        <f t="shared" si="142"/>
        <v>0</v>
      </c>
      <c r="U995" s="71">
        <f>IF(AND(N995=1,V995=1),IF(COUNTIFS(AKTIVITAS!$B$2:$B$3052,B995,AKTIVITAS!$E$2:$E$3052,H995)&gt;0,1,0),0)</f>
        <v>0</v>
      </c>
      <c r="V995" s="71">
        <f>IFERROR(IF(AND(H995&gt;=INDEX(PEMAGANG!$J$3:$J$36,MATCH(B995,PEMAGANG!$C$3:$C$36,0)),H995&lt;=INDEX(PEMAGANG!$K$3:$K$36,MATCH(B995,PEMAGANG!$C$3:$C$36,0))),1,0),0)</f>
        <v>1</v>
      </c>
      <c r="W995" s="71">
        <f t="shared" si="143"/>
        <v>0</v>
      </c>
    </row>
    <row r="996" spans="1:23" x14ac:dyDescent="0.2">
      <c r="A996" s="71" t="s">
        <v>213</v>
      </c>
      <c r="B996" s="71" t="s">
        <v>214</v>
      </c>
      <c r="C996" s="71" t="s">
        <v>187</v>
      </c>
      <c r="D996" s="71" t="s">
        <v>215</v>
      </c>
      <c r="E996" s="71" t="s">
        <v>490</v>
      </c>
      <c r="F996" s="71" t="s">
        <v>300</v>
      </c>
      <c r="G996" s="88">
        <v>46282.6889814815</v>
      </c>
      <c r="H996" s="89">
        <v>46282</v>
      </c>
      <c r="I996" s="71" t="s">
        <v>306</v>
      </c>
      <c r="J996" s="71">
        <v>0</v>
      </c>
      <c r="K996" s="71" t="s">
        <v>302</v>
      </c>
      <c r="L996" s="71">
        <f t="shared" si="135"/>
        <v>9</v>
      </c>
      <c r="M996" s="71" t="str">
        <f>IFERROR(INDEX(KALENDER!$D$3:$D$132,MATCH(H996,KALENDER!$A$3:$A$132,0)),"Di luar periode")</f>
        <v>Hari Kerja</v>
      </c>
      <c r="N996" s="71">
        <f t="shared" si="136"/>
        <v>0</v>
      </c>
      <c r="O996" s="71">
        <f t="shared" si="137"/>
        <v>2</v>
      </c>
      <c r="P996" s="71">
        <f t="shared" si="138"/>
        <v>0</v>
      </c>
      <c r="Q996" s="71">
        <f t="shared" si="139"/>
        <v>0</v>
      </c>
      <c r="R996" s="71">
        <f t="shared" si="140"/>
        <v>0</v>
      </c>
      <c r="S996" s="71">
        <f t="shared" si="141"/>
        <v>0</v>
      </c>
      <c r="T996" s="71">
        <f t="shared" si="142"/>
        <v>0</v>
      </c>
      <c r="U996" s="71">
        <f>IF(AND(N996=1,V996=1),IF(COUNTIFS(AKTIVITAS!$B$2:$B$3052,B996,AKTIVITAS!$E$2:$E$3052,H996)&gt;0,1,0),0)</f>
        <v>0</v>
      </c>
      <c r="V996" s="71">
        <f>IFERROR(IF(AND(H996&gt;=INDEX(PEMAGANG!$J$3:$J$36,MATCH(B996,PEMAGANG!$C$3:$C$36,0)),H996&lt;=INDEX(PEMAGANG!$K$3:$K$36,MATCH(B996,PEMAGANG!$C$3:$C$36,0))),1,0),0)</f>
        <v>1</v>
      </c>
      <c r="W996" s="71">
        <f t="shared" si="143"/>
        <v>0</v>
      </c>
    </row>
    <row r="997" spans="1:23" x14ac:dyDescent="0.2">
      <c r="A997" s="71" t="s">
        <v>213</v>
      </c>
      <c r="B997" s="71" t="s">
        <v>214</v>
      </c>
      <c r="C997" s="71" t="s">
        <v>187</v>
      </c>
      <c r="D997" s="71" t="s">
        <v>215</v>
      </c>
      <c r="E997" s="71" t="s">
        <v>54</v>
      </c>
      <c r="F997" s="71" t="s">
        <v>298</v>
      </c>
      <c r="G997" s="88">
        <v>46283.296793981499</v>
      </c>
      <c r="H997" s="89">
        <v>46283</v>
      </c>
      <c r="I997" s="71" t="s">
        <v>487</v>
      </c>
      <c r="J997" s="71">
        <v>-23</v>
      </c>
      <c r="K997" s="71" t="s">
        <v>302</v>
      </c>
      <c r="L997" s="71">
        <f t="shared" si="135"/>
        <v>9</v>
      </c>
      <c r="M997" s="71" t="str">
        <f>IFERROR(INDEX(KALENDER!$D$3:$D$132,MATCH(H997,KALENDER!$A$3:$A$132,0)),"Di luar periode")</f>
        <v>Hari Kerja</v>
      </c>
      <c r="N997" s="71">
        <f t="shared" si="136"/>
        <v>1</v>
      </c>
      <c r="O997" s="71">
        <f t="shared" si="137"/>
        <v>1</v>
      </c>
      <c r="P997" s="71">
        <f t="shared" si="138"/>
        <v>1</v>
      </c>
      <c r="Q997" s="71">
        <f t="shared" si="139"/>
        <v>0</v>
      </c>
      <c r="R997" s="71">
        <f t="shared" si="140"/>
        <v>0</v>
      </c>
      <c r="S997" s="71">
        <f t="shared" si="141"/>
        <v>0</v>
      </c>
      <c r="T997" s="71">
        <f t="shared" si="142"/>
        <v>1</v>
      </c>
      <c r="U997" s="71">
        <f>IF(AND(N997=1,V997=1),IF(COUNTIFS(AKTIVITAS!$B$2:$B$3052,B997,AKTIVITAS!$E$2:$E$3052,H997)&gt;0,1,0),0)</f>
        <v>1</v>
      </c>
      <c r="V997" s="71">
        <f>IFERROR(IF(AND(H997&gt;=INDEX(PEMAGANG!$J$3:$J$36,MATCH(B997,PEMAGANG!$C$3:$C$36,0)),H997&lt;=INDEX(PEMAGANG!$K$3:$K$36,MATCH(B997,PEMAGANG!$C$3:$C$36,0))),1,0),0)</f>
        <v>1</v>
      </c>
      <c r="W997" s="71">
        <f t="shared" si="143"/>
        <v>1</v>
      </c>
    </row>
    <row r="998" spans="1:23" x14ac:dyDescent="0.2">
      <c r="A998" s="71" t="s">
        <v>213</v>
      </c>
      <c r="B998" s="71" t="s">
        <v>214</v>
      </c>
      <c r="C998" s="71" t="s">
        <v>187</v>
      </c>
      <c r="D998" s="71" t="s">
        <v>215</v>
      </c>
      <c r="E998" s="71" t="s">
        <v>490</v>
      </c>
      <c r="F998" s="71" t="s">
        <v>298</v>
      </c>
      <c r="G998" s="88">
        <v>46283.296793981499</v>
      </c>
      <c r="H998" s="89">
        <v>46283</v>
      </c>
      <c r="I998" s="71" t="s">
        <v>487</v>
      </c>
      <c r="J998" s="71">
        <v>-23</v>
      </c>
      <c r="K998" s="71" t="s">
        <v>302</v>
      </c>
      <c r="L998" s="71">
        <f t="shared" si="135"/>
        <v>9</v>
      </c>
      <c r="M998" s="71" t="str">
        <f>IFERROR(INDEX(KALENDER!$D$3:$D$132,MATCH(H998,KALENDER!$A$3:$A$132,0)),"Di luar periode")</f>
        <v>Hari Kerja</v>
      </c>
      <c r="N998" s="71">
        <f t="shared" si="136"/>
        <v>0</v>
      </c>
      <c r="O998" s="71">
        <f t="shared" si="137"/>
        <v>2</v>
      </c>
      <c r="P998" s="71">
        <f t="shared" si="138"/>
        <v>0</v>
      </c>
      <c r="Q998" s="71">
        <f t="shared" si="139"/>
        <v>0</v>
      </c>
      <c r="R998" s="71">
        <f t="shared" si="140"/>
        <v>0</v>
      </c>
      <c r="S998" s="71">
        <f t="shared" si="141"/>
        <v>0</v>
      </c>
      <c r="T998" s="71">
        <f t="shared" si="142"/>
        <v>0</v>
      </c>
      <c r="U998" s="71">
        <f>IF(AND(N998=1,V998=1),IF(COUNTIFS(AKTIVITAS!$B$2:$B$3052,B998,AKTIVITAS!$E$2:$E$3052,H998)&gt;0,1,0),0)</f>
        <v>0</v>
      </c>
      <c r="V998" s="71">
        <f>IFERROR(IF(AND(H998&gt;=INDEX(PEMAGANG!$J$3:$J$36,MATCH(B998,PEMAGANG!$C$3:$C$36,0)),H998&lt;=INDEX(PEMAGANG!$K$3:$K$36,MATCH(B998,PEMAGANG!$C$3:$C$36,0))),1,0),0)</f>
        <v>1</v>
      </c>
      <c r="W998" s="71">
        <f t="shared" si="143"/>
        <v>0</v>
      </c>
    </row>
    <row r="999" spans="1:23" x14ac:dyDescent="0.2">
      <c r="A999" s="71" t="s">
        <v>213</v>
      </c>
      <c r="B999" s="71" t="s">
        <v>214</v>
      </c>
      <c r="C999" s="71" t="s">
        <v>187</v>
      </c>
      <c r="D999" s="71" t="s">
        <v>215</v>
      </c>
      <c r="E999" s="71" t="s">
        <v>54</v>
      </c>
      <c r="F999" s="71" t="s">
        <v>298</v>
      </c>
      <c r="G999" s="88">
        <v>46286.296805555598</v>
      </c>
      <c r="H999" s="89">
        <v>46286</v>
      </c>
      <c r="I999" s="71" t="s">
        <v>487</v>
      </c>
      <c r="J999" s="71">
        <v>-23</v>
      </c>
      <c r="K999" s="71" t="s">
        <v>302</v>
      </c>
      <c r="L999" s="71">
        <f t="shared" si="135"/>
        <v>9</v>
      </c>
      <c r="M999" s="71" t="str">
        <f>IFERROR(INDEX(KALENDER!$D$3:$D$132,MATCH(H999,KALENDER!$A$3:$A$132,0)),"Di luar periode")</f>
        <v>Hari Kerja</v>
      </c>
      <c r="N999" s="71">
        <f t="shared" si="136"/>
        <v>1</v>
      </c>
      <c r="O999" s="71">
        <f t="shared" si="137"/>
        <v>1</v>
      </c>
      <c r="P999" s="71">
        <f t="shared" si="138"/>
        <v>1</v>
      </c>
      <c r="Q999" s="71">
        <f t="shared" si="139"/>
        <v>0</v>
      </c>
      <c r="R999" s="71">
        <f t="shared" si="140"/>
        <v>0</v>
      </c>
      <c r="S999" s="71">
        <f t="shared" si="141"/>
        <v>0</v>
      </c>
      <c r="T999" s="71">
        <f t="shared" si="142"/>
        <v>0</v>
      </c>
      <c r="U999" s="71">
        <f>IF(AND(N999=1,V999=1),IF(COUNTIFS(AKTIVITAS!$B$2:$B$3052,B999,AKTIVITAS!$E$2:$E$3052,H999)&gt;0,1,0),0)</f>
        <v>1</v>
      </c>
      <c r="V999" s="71">
        <f>IFERROR(IF(AND(H999&gt;=INDEX(PEMAGANG!$J$3:$J$36,MATCH(B999,PEMAGANG!$C$3:$C$36,0)),H999&lt;=INDEX(PEMAGANG!$K$3:$K$36,MATCH(B999,PEMAGANG!$C$3:$C$36,0))),1,0),0)</f>
        <v>1</v>
      </c>
      <c r="W999" s="71">
        <f t="shared" si="143"/>
        <v>1</v>
      </c>
    </row>
    <row r="1000" spans="1:23" x14ac:dyDescent="0.2">
      <c r="A1000" s="71" t="s">
        <v>213</v>
      </c>
      <c r="B1000" s="71" t="s">
        <v>214</v>
      </c>
      <c r="C1000" s="71" t="s">
        <v>187</v>
      </c>
      <c r="D1000" s="71" t="s">
        <v>215</v>
      </c>
      <c r="E1000" s="71" t="s">
        <v>490</v>
      </c>
      <c r="F1000" s="71" t="s">
        <v>298</v>
      </c>
      <c r="G1000" s="88">
        <v>46286.296805555598</v>
      </c>
      <c r="H1000" s="89">
        <v>46286</v>
      </c>
      <c r="I1000" s="71" t="s">
        <v>487</v>
      </c>
      <c r="J1000" s="71">
        <v>-23</v>
      </c>
      <c r="K1000" s="71" t="s">
        <v>302</v>
      </c>
      <c r="L1000" s="71">
        <f t="shared" si="135"/>
        <v>9</v>
      </c>
      <c r="M1000" s="71" t="str">
        <f>IFERROR(INDEX(KALENDER!$D$3:$D$132,MATCH(H1000,KALENDER!$A$3:$A$132,0)),"Di luar periode")</f>
        <v>Hari Kerja</v>
      </c>
      <c r="N1000" s="71">
        <f t="shared" si="136"/>
        <v>0</v>
      </c>
      <c r="O1000" s="71">
        <f t="shared" si="137"/>
        <v>2</v>
      </c>
      <c r="P1000" s="71">
        <f t="shared" si="138"/>
        <v>0</v>
      </c>
      <c r="Q1000" s="71">
        <f t="shared" si="139"/>
        <v>0</v>
      </c>
      <c r="R1000" s="71">
        <f t="shared" si="140"/>
        <v>0</v>
      </c>
      <c r="S1000" s="71">
        <f t="shared" si="141"/>
        <v>0</v>
      </c>
      <c r="T1000" s="71">
        <f t="shared" si="142"/>
        <v>0</v>
      </c>
      <c r="U1000" s="71">
        <f>IF(AND(N1000=1,V1000=1),IF(COUNTIFS(AKTIVITAS!$B$2:$B$3052,B1000,AKTIVITAS!$E$2:$E$3052,H1000)&gt;0,1,0),0)</f>
        <v>0</v>
      </c>
      <c r="V1000" s="71">
        <f>IFERROR(IF(AND(H1000&gt;=INDEX(PEMAGANG!$J$3:$J$36,MATCH(B1000,PEMAGANG!$C$3:$C$36,0)),H1000&lt;=INDEX(PEMAGANG!$K$3:$K$36,MATCH(B1000,PEMAGANG!$C$3:$C$36,0))),1,0),0)</f>
        <v>1</v>
      </c>
      <c r="W1000" s="71">
        <f t="shared" si="143"/>
        <v>0</v>
      </c>
    </row>
    <row r="1001" spans="1:23" x14ac:dyDescent="0.2">
      <c r="A1001" s="71" t="s">
        <v>213</v>
      </c>
      <c r="B1001" s="71" t="s">
        <v>214</v>
      </c>
      <c r="C1001" s="71" t="s">
        <v>187</v>
      </c>
      <c r="D1001" s="71" t="s">
        <v>215</v>
      </c>
      <c r="E1001" s="71" t="s">
        <v>54</v>
      </c>
      <c r="F1001" s="71" t="s">
        <v>300</v>
      </c>
      <c r="G1001" s="88">
        <v>46286.699039351901</v>
      </c>
      <c r="H1001" s="89">
        <v>46286</v>
      </c>
      <c r="I1001" s="71" t="s">
        <v>488</v>
      </c>
      <c r="J1001" s="71">
        <v>0</v>
      </c>
      <c r="K1001" s="71" t="s">
        <v>302</v>
      </c>
      <c r="L1001" s="71">
        <f t="shared" si="135"/>
        <v>9</v>
      </c>
      <c r="M1001" s="71" t="str">
        <f>IFERROR(INDEX(KALENDER!$D$3:$D$132,MATCH(H1001,KALENDER!$A$3:$A$132,0)),"Di luar periode")</f>
        <v>Hari Kerja</v>
      </c>
      <c r="N1001" s="71">
        <f t="shared" si="136"/>
        <v>0</v>
      </c>
      <c r="O1001" s="71">
        <f t="shared" si="137"/>
        <v>2</v>
      </c>
      <c r="P1001" s="71">
        <f t="shared" si="138"/>
        <v>0</v>
      </c>
      <c r="Q1001" s="71">
        <f t="shared" si="139"/>
        <v>0</v>
      </c>
      <c r="R1001" s="71">
        <f t="shared" si="140"/>
        <v>0</v>
      </c>
      <c r="S1001" s="71">
        <f t="shared" si="141"/>
        <v>0</v>
      </c>
      <c r="T1001" s="71">
        <f t="shared" si="142"/>
        <v>0</v>
      </c>
      <c r="U1001" s="71">
        <f>IF(AND(N1001=1,V1001=1),IF(COUNTIFS(AKTIVITAS!$B$2:$B$3052,B1001,AKTIVITAS!$E$2:$E$3052,H1001)&gt;0,1,0),0)</f>
        <v>0</v>
      </c>
      <c r="V1001" s="71">
        <f>IFERROR(IF(AND(H1001&gt;=INDEX(PEMAGANG!$J$3:$J$36,MATCH(B1001,PEMAGANG!$C$3:$C$36,0)),H1001&lt;=INDEX(PEMAGANG!$K$3:$K$36,MATCH(B1001,PEMAGANG!$C$3:$C$36,0))),1,0),0)</f>
        <v>1</v>
      </c>
      <c r="W1001" s="71">
        <f t="shared" si="143"/>
        <v>0</v>
      </c>
    </row>
    <row r="1002" spans="1:23" x14ac:dyDescent="0.2">
      <c r="A1002" s="71" t="s">
        <v>213</v>
      </c>
      <c r="B1002" s="71" t="s">
        <v>214</v>
      </c>
      <c r="C1002" s="71" t="s">
        <v>187</v>
      </c>
      <c r="D1002" s="71" t="s">
        <v>215</v>
      </c>
      <c r="E1002" s="71" t="s">
        <v>490</v>
      </c>
      <c r="F1002" s="71" t="s">
        <v>300</v>
      </c>
      <c r="G1002" s="88">
        <v>46286.699039351901</v>
      </c>
      <c r="H1002" s="89">
        <v>46286</v>
      </c>
      <c r="I1002" s="71" t="s">
        <v>488</v>
      </c>
      <c r="J1002" s="71">
        <v>0</v>
      </c>
      <c r="K1002" s="71" t="s">
        <v>302</v>
      </c>
      <c r="L1002" s="71">
        <f t="shared" si="135"/>
        <v>9</v>
      </c>
      <c r="M1002" s="71" t="str">
        <f>IFERROR(INDEX(KALENDER!$D$3:$D$132,MATCH(H1002,KALENDER!$A$3:$A$132,0)),"Di luar periode")</f>
        <v>Hari Kerja</v>
      </c>
      <c r="N1002" s="71">
        <f t="shared" si="136"/>
        <v>0</v>
      </c>
      <c r="O1002" s="71">
        <f t="shared" si="137"/>
        <v>2</v>
      </c>
      <c r="P1002" s="71">
        <f t="shared" si="138"/>
        <v>0</v>
      </c>
      <c r="Q1002" s="71">
        <f t="shared" si="139"/>
        <v>0</v>
      </c>
      <c r="R1002" s="71">
        <f t="shared" si="140"/>
        <v>0</v>
      </c>
      <c r="S1002" s="71">
        <f t="shared" si="141"/>
        <v>0</v>
      </c>
      <c r="T1002" s="71">
        <f t="shared" si="142"/>
        <v>0</v>
      </c>
      <c r="U1002" s="71">
        <f>IF(AND(N1002=1,V1002=1),IF(COUNTIFS(AKTIVITAS!$B$2:$B$3052,B1002,AKTIVITAS!$E$2:$E$3052,H1002)&gt;0,1,0),0)</f>
        <v>0</v>
      </c>
      <c r="V1002" s="71">
        <f>IFERROR(IF(AND(H1002&gt;=INDEX(PEMAGANG!$J$3:$J$36,MATCH(B1002,PEMAGANG!$C$3:$C$36,0)),H1002&lt;=INDEX(PEMAGANG!$K$3:$K$36,MATCH(B1002,PEMAGANG!$C$3:$C$36,0))),1,0),0)</f>
        <v>1</v>
      </c>
      <c r="W1002" s="71">
        <f t="shared" si="143"/>
        <v>0</v>
      </c>
    </row>
    <row r="1003" spans="1:23" x14ac:dyDescent="0.2">
      <c r="A1003" s="71" t="s">
        <v>213</v>
      </c>
      <c r="B1003" s="71" t="s">
        <v>214</v>
      </c>
      <c r="C1003" s="71" t="s">
        <v>187</v>
      </c>
      <c r="D1003" s="71" t="s">
        <v>215</v>
      </c>
      <c r="E1003" s="71" t="s">
        <v>54</v>
      </c>
      <c r="F1003" s="71" t="s">
        <v>298</v>
      </c>
      <c r="G1003" s="88">
        <v>46287.2983564815</v>
      </c>
      <c r="H1003" s="89">
        <v>46287</v>
      </c>
      <c r="I1003" s="71" t="s">
        <v>479</v>
      </c>
      <c r="J1003" s="71">
        <v>-21</v>
      </c>
      <c r="K1003" s="71" t="s">
        <v>302</v>
      </c>
      <c r="L1003" s="71">
        <f t="shared" si="135"/>
        <v>9</v>
      </c>
      <c r="M1003" s="71" t="str">
        <f>IFERROR(INDEX(KALENDER!$D$3:$D$132,MATCH(H1003,KALENDER!$A$3:$A$132,0)),"Di luar periode")</f>
        <v>Hari Kerja</v>
      </c>
      <c r="N1003" s="71">
        <f t="shared" si="136"/>
        <v>1</v>
      </c>
      <c r="O1003" s="71">
        <f t="shared" si="137"/>
        <v>1</v>
      </c>
      <c r="P1003" s="71">
        <f t="shared" si="138"/>
        <v>1</v>
      </c>
      <c r="Q1003" s="71">
        <f t="shared" si="139"/>
        <v>0</v>
      </c>
      <c r="R1003" s="71">
        <f t="shared" si="140"/>
        <v>0</v>
      </c>
      <c r="S1003" s="71">
        <f t="shared" si="141"/>
        <v>0</v>
      </c>
      <c r="T1003" s="71">
        <f t="shared" si="142"/>
        <v>0</v>
      </c>
      <c r="U1003" s="71">
        <f>IF(AND(N1003=1,V1003=1),IF(COUNTIFS(AKTIVITAS!$B$2:$B$3052,B1003,AKTIVITAS!$E$2:$E$3052,H1003)&gt;0,1,0),0)</f>
        <v>1</v>
      </c>
      <c r="V1003" s="71">
        <f>IFERROR(IF(AND(H1003&gt;=INDEX(PEMAGANG!$J$3:$J$36,MATCH(B1003,PEMAGANG!$C$3:$C$36,0)),H1003&lt;=INDEX(PEMAGANG!$K$3:$K$36,MATCH(B1003,PEMAGANG!$C$3:$C$36,0))),1,0),0)</f>
        <v>1</v>
      </c>
      <c r="W1003" s="71">
        <f t="shared" si="143"/>
        <v>1</v>
      </c>
    </row>
    <row r="1004" spans="1:23" x14ac:dyDescent="0.2">
      <c r="A1004" s="71" t="s">
        <v>213</v>
      </c>
      <c r="B1004" s="71" t="s">
        <v>214</v>
      </c>
      <c r="C1004" s="71" t="s">
        <v>187</v>
      </c>
      <c r="D1004" s="71" t="s">
        <v>215</v>
      </c>
      <c r="E1004" s="71" t="s">
        <v>490</v>
      </c>
      <c r="F1004" s="71" t="s">
        <v>298</v>
      </c>
      <c r="G1004" s="88">
        <v>46287.2983564815</v>
      </c>
      <c r="H1004" s="89">
        <v>46287</v>
      </c>
      <c r="I1004" s="71" t="s">
        <v>479</v>
      </c>
      <c r="J1004" s="71">
        <v>-21</v>
      </c>
      <c r="K1004" s="71" t="s">
        <v>302</v>
      </c>
      <c r="L1004" s="71">
        <f t="shared" si="135"/>
        <v>9</v>
      </c>
      <c r="M1004" s="71" t="str">
        <f>IFERROR(INDEX(KALENDER!$D$3:$D$132,MATCH(H1004,KALENDER!$A$3:$A$132,0)),"Di luar periode")</f>
        <v>Hari Kerja</v>
      </c>
      <c r="N1004" s="71">
        <f t="shared" si="136"/>
        <v>0</v>
      </c>
      <c r="O1004" s="71">
        <f t="shared" si="137"/>
        <v>2</v>
      </c>
      <c r="P1004" s="71">
        <f t="shared" si="138"/>
        <v>0</v>
      </c>
      <c r="Q1004" s="71">
        <f t="shared" si="139"/>
        <v>0</v>
      </c>
      <c r="R1004" s="71">
        <f t="shared" si="140"/>
        <v>0</v>
      </c>
      <c r="S1004" s="71">
        <f t="shared" si="141"/>
        <v>0</v>
      </c>
      <c r="T1004" s="71">
        <f t="shared" si="142"/>
        <v>0</v>
      </c>
      <c r="U1004" s="71">
        <f>IF(AND(N1004=1,V1004=1),IF(COUNTIFS(AKTIVITAS!$B$2:$B$3052,B1004,AKTIVITAS!$E$2:$E$3052,H1004)&gt;0,1,0),0)</f>
        <v>0</v>
      </c>
      <c r="V1004" s="71">
        <f>IFERROR(IF(AND(H1004&gt;=INDEX(PEMAGANG!$J$3:$J$36,MATCH(B1004,PEMAGANG!$C$3:$C$36,0)),H1004&lt;=INDEX(PEMAGANG!$K$3:$K$36,MATCH(B1004,PEMAGANG!$C$3:$C$36,0))),1,0),0)</f>
        <v>1</v>
      </c>
      <c r="W1004" s="71">
        <f t="shared" si="143"/>
        <v>0</v>
      </c>
    </row>
    <row r="1005" spans="1:23" x14ac:dyDescent="0.2">
      <c r="A1005" s="71" t="s">
        <v>213</v>
      </c>
      <c r="B1005" s="71" t="s">
        <v>214</v>
      </c>
      <c r="C1005" s="71" t="s">
        <v>187</v>
      </c>
      <c r="D1005" s="71" t="s">
        <v>215</v>
      </c>
      <c r="E1005" s="71" t="s">
        <v>54</v>
      </c>
      <c r="F1005" s="71" t="s">
        <v>300</v>
      </c>
      <c r="G1005" s="88">
        <v>46287.688321759299</v>
      </c>
      <c r="H1005" s="89">
        <v>46287</v>
      </c>
      <c r="I1005" s="71" t="s">
        <v>336</v>
      </c>
      <c r="J1005" s="71">
        <v>0</v>
      </c>
      <c r="K1005" s="71" t="s">
        <v>302</v>
      </c>
      <c r="L1005" s="71">
        <f t="shared" si="135"/>
        <v>9</v>
      </c>
      <c r="M1005" s="71" t="str">
        <f>IFERROR(INDEX(KALENDER!$D$3:$D$132,MATCH(H1005,KALENDER!$A$3:$A$132,0)),"Di luar periode")</f>
        <v>Hari Kerja</v>
      </c>
      <c r="N1005" s="71">
        <f t="shared" si="136"/>
        <v>0</v>
      </c>
      <c r="O1005" s="71">
        <f t="shared" si="137"/>
        <v>2</v>
      </c>
      <c r="P1005" s="71">
        <f t="shared" si="138"/>
        <v>0</v>
      </c>
      <c r="Q1005" s="71">
        <f t="shared" si="139"/>
        <v>0</v>
      </c>
      <c r="R1005" s="71">
        <f t="shared" si="140"/>
        <v>0</v>
      </c>
      <c r="S1005" s="71">
        <f t="shared" si="141"/>
        <v>0</v>
      </c>
      <c r="T1005" s="71">
        <f t="shared" si="142"/>
        <v>0</v>
      </c>
      <c r="U1005" s="71">
        <f>IF(AND(N1005=1,V1005=1),IF(COUNTIFS(AKTIVITAS!$B$2:$B$3052,B1005,AKTIVITAS!$E$2:$E$3052,H1005)&gt;0,1,0),0)</f>
        <v>0</v>
      </c>
      <c r="V1005" s="71">
        <f>IFERROR(IF(AND(H1005&gt;=INDEX(PEMAGANG!$J$3:$J$36,MATCH(B1005,PEMAGANG!$C$3:$C$36,0)),H1005&lt;=INDEX(PEMAGANG!$K$3:$K$36,MATCH(B1005,PEMAGANG!$C$3:$C$36,0))),1,0),0)</f>
        <v>1</v>
      </c>
      <c r="W1005" s="71">
        <f t="shared" si="143"/>
        <v>0</v>
      </c>
    </row>
    <row r="1006" spans="1:23" x14ac:dyDescent="0.2">
      <c r="A1006" s="71" t="s">
        <v>213</v>
      </c>
      <c r="B1006" s="71" t="s">
        <v>214</v>
      </c>
      <c r="C1006" s="71" t="s">
        <v>187</v>
      </c>
      <c r="D1006" s="71" t="s">
        <v>215</v>
      </c>
      <c r="E1006" s="71" t="s">
        <v>490</v>
      </c>
      <c r="F1006" s="71" t="s">
        <v>300</v>
      </c>
      <c r="G1006" s="88">
        <v>46287.688321759299</v>
      </c>
      <c r="H1006" s="89">
        <v>46287</v>
      </c>
      <c r="I1006" s="71" t="s">
        <v>336</v>
      </c>
      <c r="J1006" s="71">
        <v>0</v>
      </c>
      <c r="K1006" s="71" t="s">
        <v>302</v>
      </c>
      <c r="L1006" s="71">
        <f t="shared" si="135"/>
        <v>9</v>
      </c>
      <c r="M1006" s="71" t="str">
        <f>IFERROR(INDEX(KALENDER!$D$3:$D$132,MATCH(H1006,KALENDER!$A$3:$A$132,0)),"Di luar periode")</f>
        <v>Hari Kerja</v>
      </c>
      <c r="N1006" s="71">
        <f t="shared" si="136"/>
        <v>0</v>
      </c>
      <c r="O1006" s="71">
        <f t="shared" si="137"/>
        <v>2</v>
      </c>
      <c r="P1006" s="71">
        <f t="shared" si="138"/>
        <v>0</v>
      </c>
      <c r="Q1006" s="71">
        <f t="shared" si="139"/>
        <v>0</v>
      </c>
      <c r="R1006" s="71">
        <f t="shared" si="140"/>
        <v>0</v>
      </c>
      <c r="S1006" s="71">
        <f t="shared" si="141"/>
        <v>0</v>
      </c>
      <c r="T1006" s="71">
        <f t="shared" si="142"/>
        <v>0</v>
      </c>
      <c r="U1006" s="71">
        <f>IF(AND(N1006=1,V1006=1),IF(COUNTIFS(AKTIVITAS!$B$2:$B$3052,B1006,AKTIVITAS!$E$2:$E$3052,H1006)&gt;0,1,0),0)</f>
        <v>0</v>
      </c>
      <c r="V1006" s="71">
        <f>IFERROR(IF(AND(H1006&gt;=INDEX(PEMAGANG!$J$3:$J$36,MATCH(B1006,PEMAGANG!$C$3:$C$36,0)),H1006&lt;=INDEX(PEMAGANG!$K$3:$K$36,MATCH(B1006,PEMAGANG!$C$3:$C$36,0))),1,0),0)</f>
        <v>1</v>
      </c>
      <c r="W1006" s="71">
        <f t="shared" si="143"/>
        <v>0</v>
      </c>
    </row>
    <row r="1007" spans="1:23" x14ac:dyDescent="0.2">
      <c r="A1007" s="71" t="s">
        <v>213</v>
      </c>
      <c r="B1007" s="71" t="s">
        <v>214</v>
      </c>
      <c r="C1007" s="71" t="s">
        <v>187</v>
      </c>
      <c r="D1007" s="71" t="s">
        <v>215</v>
      </c>
      <c r="E1007" s="71" t="s">
        <v>54</v>
      </c>
      <c r="F1007" s="71" t="s">
        <v>298</v>
      </c>
      <c r="G1007" s="88">
        <v>46288.304722222201</v>
      </c>
      <c r="H1007" s="89">
        <v>46288</v>
      </c>
      <c r="I1007" s="71" t="s">
        <v>326</v>
      </c>
      <c r="J1007" s="71">
        <v>-12</v>
      </c>
      <c r="K1007" s="71" t="s">
        <v>302</v>
      </c>
      <c r="L1007" s="71">
        <f t="shared" si="135"/>
        <v>9</v>
      </c>
      <c r="M1007" s="71" t="str">
        <f>IFERROR(INDEX(KALENDER!$D$3:$D$132,MATCH(H1007,KALENDER!$A$3:$A$132,0)),"Di luar periode")</f>
        <v>Hari Kerja</v>
      </c>
      <c r="N1007" s="71">
        <f t="shared" si="136"/>
        <v>1</v>
      </c>
      <c r="O1007" s="71">
        <f t="shared" si="137"/>
        <v>1</v>
      </c>
      <c r="P1007" s="71">
        <f t="shared" si="138"/>
        <v>1</v>
      </c>
      <c r="Q1007" s="71">
        <f t="shared" si="139"/>
        <v>0</v>
      </c>
      <c r="R1007" s="71">
        <f t="shared" si="140"/>
        <v>0</v>
      </c>
      <c r="S1007" s="71">
        <f t="shared" si="141"/>
        <v>0</v>
      </c>
      <c r="T1007" s="71">
        <f t="shared" si="142"/>
        <v>0</v>
      </c>
      <c r="U1007" s="71">
        <f>IF(AND(N1007=1,V1007=1),IF(COUNTIFS(AKTIVITAS!$B$2:$B$3052,B1007,AKTIVITAS!$E$2:$E$3052,H1007)&gt;0,1,0),0)</f>
        <v>0</v>
      </c>
      <c r="V1007" s="71">
        <f>IFERROR(IF(AND(H1007&gt;=INDEX(PEMAGANG!$J$3:$J$36,MATCH(B1007,PEMAGANG!$C$3:$C$36,0)),H1007&lt;=INDEX(PEMAGANG!$K$3:$K$36,MATCH(B1007,PEMAGANG!$C$3:$C$36,0))),1,0),0)</f>
        <v>1</v>
      </c>
      <c r="W1007" s="71">
        <f t="shared" si="143"/>
        <v>1</v>
      </c>
    </row>
    <row r="1008" spans="1:23" x14ac:dyDescent="0.2">
      <c r="A1008" s="71" t="s">
        <v>213</v>
      </c>
      <c r="B1008" s="71" t="s">
        <v>214</v>
      </c>
      <c r="C1008" s="71" t="s">
        <v>187</v>
      </c>
      <c r="D1008" s="71" t="s">
        <v>215</v>
      </c>
      <c r="E1008" s="71" t="s">
        <v>490</v>
      </c>
      <c r="F1008" s="71" t="s">
        <v>298</v>
      </c>
      <c r="G1008" s="88">
        <v>46288.304722222201</v>
      </c>
      <c r="H1008" s="89">
        <v>46288</v>
      </c>
      <c r="I1008" s="71" t="s">
        <v>326</v>
      </c>
      <c r="J1008" s="71">
        <v>-12</v>
      </c>
      <c r="K1008" s="71" t="s">
        <v>302</v>
      </c>
      <c r="L1008" s="71">
        <f t="shared" si="135"/>
        <v>9</v>
      </c>
      <c r="M1008" s="71" t="str">
        <f>IFERROR(INDEX(KALENDER!$D$3:$D$132,MATCH(H1008,KALENDER!$A$3:$A$132,0)),"Di luar periode")</f>
        <v>Hari Kerja</v>
      </c>
      <c r="N1008" s="71">
        <f t="shared" si="136"/>
        <v>0</v>
      </c>
      <c r="O1008" s="71">
        <f t="shared" si="137"/>
        <v>2</v>
      </c>
      <c r="P1008" s="71">
        <f t="shared" si="138"/>
        <v>0</v>
      </c>
      <c r="Q1008" s="71">
        <f t="shared" si="139"/>
        <v>0</v>
      </c>
      <c r="R1008" s="71">
        <f t="shared" si="140"/>
        <v>0</v>
      </c>
      <c r="S1008" s="71">
        <f t="shared" si="141"/>
        <v>0</v>
      </c>
      <c r="T1008" s="71">
        <f t="shared" si="142"/>
        <v>0</v>
      </c>
      <c r="U1008" s="71">
        <f>IF(AND(N1008=1,V1008=1),IF(COUNTIFS(AKTIVITAS!$B$2:$B$3052,B1008,AKTIVITAS!$E$2:$E$3052,H1008)&gt;0,1,0),0)</f>
        <v>0</v>
      </c>
      <c r="V1008" s="71">
        <f>IFERROR(IF(AND(H1008&gt;=INDEX(PEMAGANG!$J$3:$J$36,MATCH(B1008,PEMAGANG!$C$3:$C$36,0)),H1008&lt;=INDEX(PEMAGANG!$K$3:$K$36,MATCH(B1008,PEMAGANG!$C$3:$C$36,0))),1,0),0)</f>
        <v>1</v>
      </c>
      <c r="W1008" s="71">
        <f t="shared" si="143"/>
        <v>0</v>
      </c>
    </row>
    <row r="1009" spans="1:23" x14ac:dyDescent="0.2">
      <c r="A1009" s="71" t="s">
        <v>213</v>
      </c>
      <c r="B1009" s="71" t="s">
        <v>214</v>
      </c>
      <c r="C1009" s="71" t="s">
        <v>187</v>
      </c>
      <c r="D1009" s="71" t="s">
        <v>215</v>
      </c>
      <c r="E1009" s="71" t="s">
        <v>54</v>
      </c>
      <c r="F1009" s="71" t="s">
        <v>300</v>
      </c>
      <c r="G1009" s="88">
        <v>46288.693749999999</v>
      </c>
      <c r="H1009" s="89">
        <v>46288</v>
      </c>
      <c r="I1009" s="71" t="s">
        <v>308</v>
      </c>
      <c r="J1009" s="71">
        <v>0</v>
      </c>
      <c r="K1009" s="71" t="s">
        <v>302</v>
      </c>
      <c r="L1009" s="71">
        <f t="shared" si="135"/>
        <v>9</v>
      </c>
      <c r="M1009" s="71" t="str">
        <f>IFERROR(INDEX(KALENDER!$D$3:$D$132,MATCH(H1009,KALENDER!$A$3:$A$132,0)),"Di luar periode")</f>
        <v>Hari Kerja</v>
      </c>
      <c r="N1009" s="71">
        <f t="shared" si="136"/>
        <v>0</v>
      </c>
      <c r="O1009" s="71">
        <f t="shared" si="137"/>
        <v>2</v>
      </c>
      <c r="P1009" s="71">
        <f t="shared" si="138"/>
        <v>0</v>
      </c>
      <c r="Q1009" s="71">
        <f t="shared" si="139"/>
        <v>0</v>
      </c>
      <c r="R1009" s="71">
        <f t="shared" si="140"/>
        <v>0</v>
      </c>
      <c r="S1009" s="71">
        <f t="shared" si="141"/>
        <v>0</v>
      </c>
      <c r="T1009" s="71">
        <f t="shared" si="142"/>
        <v>0</v>
      </c>
      <c r="U1009" s="71">
        <f>IF(AND(N1009=1,V1009=1),IF(COUNTIFS(AKTIVITAS!$B$2:$B$3052,B1009,AKTIVITAS!$E$2:$E$3052,H1009)&gt;0,1,0),0)</f>
        <v>0</v>
      </c>
      <c r="V1009" s="71">
        <f>IFERROR(IF(AND(H1009&gt;=INDEX(PEMAGANG!$J$3:$J$36,MATCH(B1009,PEMAGANG!$C$3:$C$36,0)),H1009&lt;=INDEX(PEMAGANG!$K$3:$K$36,MATCH(B1009,PEMAGANG!$C$3:$C$36,0))),1,0),0)</f>
        <v>1</v>
      </c>
      <c r="W1009" s="71">
        <f t="shared" si="143"/>
        <v>0</v>
      </c>
    </row>
    <row r="1010" spans="1:23" x14ac:dyDescent="0.2">
      <c r="A1010" s="71" t="s">
        <v>213</v>
      </c>
      <c r="B1010" s="71" t="s">
        <v>214</v>
      </c>
      <c r="C1010" s="71" t="s">
        <v>187</v>
      </c>
      <c r="D1010" s="71" t="s">
        <v>215</v>
      </c>
      <c r="E1010" s="71" t="s">
        <v>490</v>
      </c>
      <c r="F1010" s="71" t="s">
        <v>300</v>
      </c>
      <c r="G1010" s="88">
        <v>46288.693749999999</v>
      </c>
      <c r="H1010" s="89">
        <v>46288</v>
      </c>
      <c r="I1010" s="71" t="s">
        <v>308</v>
      </c>
      <c r="J1010" s="71">
        <v>0</v>
      </c>
      <c r="K1010" s="71" t="s">
        <v>302</v>
      </c>
      <c r="L1010" s="71">
        <f t="shared" si="135"/>
        <v>9</v>
      </c>
      <c r="M1010" s="71" t="str">
        <f>IFERROR(INDEX(KALENDER!$D$3:$D$132,MATCH(H1010,KALENDER!$A$3:$A$132,0)),"Di luar periode")</f>
        <v>Hari Kerja</v>
      </c>
      <c r="N1010" s="71">
        <f t="shared" si="136"/>
        <v>0</v>
      </c>
      <c r="O1010" s="71">
        <f t="shared" si="137"/>
        <v>2</v>
      </c>
      <c r="P1010" s="71">
        <f t="shared" si="138"/>
        <v>0</v>
      </c>
      <c r="Q1010" s="71">
        <f t="shared" si="139"/>
        <v>0</v>
      </c>
      <c r="R1010" s="71">
        <f t="shared" si="140"/>
        <v>0</v>
      </c>
      <c r="S1010" s="71">
        <f t="shared" si="141"/>
        <v>0</v>
      </c>
      <c r="T1010" s="71">
        <f t="shared" si="142"/>
        <v>0</v>
      </c>
      <c r="U1010" s="71">
        <f>IF(AND(N1010=1,V1010=1),IF(COUNTIFS(AKTIVITAS!$B$2:$B$3052,B1010,AKTIVITAS!$E$2:$E$3052,H1010)&gt;0,1,0),0)</f>
        <v>0</v>
      </c>
      <c r="V1010" s="71">
        <f>IFERROR(IF(AND(H1010&gt;=INDEX(PEMAGANG!$J$3:$J$36,MATCH(B1010,PEMAGANG!$C$3:$C$36,0)),H1010&lt;=INDEX(PEMAGANG!$K$3:$K$36,MATCH(B1010,PEMAGANG!$C$3:$C$36,0))),1,0),0)</f>
        <v>1</v>
      </c>
      <c r="W1010" s="71">
        <f t="shared" si="143"/>
        <v>0</v>
      </c>
    </row>
    <row r="1011" spans="1:23" x14ac:dyDescent="0.2">
      <c r="A1011" s="71" t="s">
        <v>213</v>
      </c>
      <c r="B1011" s="71" t="s">
        <v>214</v>
      </c>
      <c r="C1011" s="71" t="s">
        <v>187</v>
      </c>
      <c r="D1011" s="71" t="s">
        <v>215</v>
      </c>
      <c r="E1011" s="71" t="s">
        <v>54</v>
      </c>
      <c r="F1011" s="71" t="s">
        <v>298</v>
      </c>
      <c r="G1011" s="88">
        <v>46289.305347222202</v>
      </c>
      <c r="H1011" s="89">
        <v>46289</v>
      </c>
      <c r="I1011" s="71" t="s">
        <v>321</v>
      </c>
      <c r="J1011" s="71">
        <v>-11</v>
      </c>
      <c r="K1011" s="71" t="s">
        <v>302</v>
      </c>
      <c r="L1011" s="71">
        <f t="shared" si="135"/>
        <v>9</v>
      </c>
      <c r="M1011" s="71" t="str">
        <f>IFERROR(INDEX(KALENDER!$D$3:$D$132,MATCH(H1011,KALENDER!$A$3:$A$132,0)),"Di luar periode")</f>
        <v>Hari Kerja</v>
      </c>
      <c r="N1011" s="71">
        <f t="shared" si="136"/>
        <v>1</v>
      </c>
      <c r="O1011" s="71">
        <f t="shared" si="137"/>
        <v>1</v>
      </c>
      <c r="P1011" s="71">
        <f t="shared" si="138"/>
        <v>1</v>
      </c>
      <c r="Q1011" s="71">
        <f t="shared" si="139"/>
        <v>0</v>
      </c>
      <c r="R1011" s="71">
        <f t="shared" si="140"/>
        <v>0</v>
      </c>
      <c r="S1011" s="71">
        <f t="shared" si="141"/>
        <v>0</v>
      </c>
      <c r="T1011" s="71">
        <f t="shared" si="142"/>
        <v>0</v>
      </c>
      <c r="U1011" s="71">
        <f>IF(AND(N1011=1,V1011=1),IF(COUNTIFS(AKTIVITAS!$B$2:$B$3052,B1011,AKTIVITAS!$E$2:$E$3052,H1011)&gt;0,1,0),0)</f>
        <v>1</v>
      </c>
      <c r="V1011" s="71">
        <f>IFERROR(IF(AND(H1011&gt;=INDEX(PEMAGANG!$J$3:$J$36,MATCH(B1011,PEMAGANG!$C$3:$C$36,0)),H1011&lt;=INDEX(PEMAGANG!$K$3:$K$36,MATCH(B1011,PEMAGANG!$C$3:$C$36,0))),1,0),0)</f>
        <v>1</v>
      </c>
      <c r="W1011" s="71">
        <f t="shared" si="143"/>
        <v>1</v>
      </c>
    </row>
    <row r="1012" spans="1:23" x14ac:dyDescent="0.2">
      <c r="A1012" s="71" t="s">
        <v>213</v>
      </c>
      <c r="B1012" s="71" t="s">
        <v>214</v>
      </c>
      <c r="C1012" s="71" t="s">
        <v>187</v>
      </c>
      <c r="D1012" s="71" t="s">
        <v>215</v>
      </c>
      <c r="E1012" s="71" t="s">
        <v>490</v>
      </c>
      <c r="F1012" s="71" t="s">
        <v>298</v>
      </c>
      <c r="G1012" s="88">
        <v>46289.305347222202</v>
      </c>
      <c r="H1012" s="89">
        <v>46289</v>
      </c>
      <c r="I1012" s="71" t="s">
        <v>321</v>
      </c>
      <c r="J1012" s="71">
        <v>-11</v>
      </c>
      <c r="K1012" s="71" t="s">
        <v>302</v>
      </c>
      <c r="L1012" s="71">
        <f t="shared" si="135"/>
        <v>9</v>
      </c>
      <c r="M1012" s="71" t="str">
        <f>IFERROR(INDEX(KALENDER!$D$3:$D$132,MATCH(H1012,KALENDER!$A$3:$A$132,0)),"Di luar periode")</f>
        <v>Hari Kerja</v>
      </c>
      <c r="N1012" s="71">
        <f t="shared" si="136"/>
        <v>0</v>
      </c>
      <c r="O1012" s="71">
        <f t="shared" si="137"/>
        <v>2</v>
      </c>
      <c r="P1012" s="71">
        <f t="shared" si="138"/>
        <v>0</v>
      </c>
      <c r="Q1012" s="71">
        <f t="shared" si="139"/>
        <v>0</v>
      </c>
      <c r="R1012" s="71">
        <f t="shared" si="140"/>
        <v>0</v>
      </c>
      <c r="S1012" s="71">
        <f t="shared" si="141"/>
        <v>0</v>
      </c>
      <c r="T1012" s="71">
        <f t="shared" si="142"/>
        <v>0</v>
      </c>
      <c r="U1012" s="71">
        <f>IF(AND(N1012=1,V1012=1),IF(COUNTIFS(AKTIVITAS!$B$2:$B$3052,B1012,AKTIVITAS!$E$2:$E$3052,H1012)&gt;0,1,0),0)</f>
        <v>0</v>
      </c>
      <c r="V1012" s="71">
        <f>IFERROR(IF(AND(H1012&gt;=INDEX(PEMAGANG!$J$3:$J$36,MATCH(B1012,PEMAGANG!$C$3:$C$36,0)),H1012&lt;=INDEX(PEMAGANG!$K$3:$K$36,MATCH(B1012,PEMAGANG!$C$3:$C$36,0))),1,0),0)</f>
        <v>1</v>
      </c>
      <c r="W1012" s="71">
        <f t="shared" si="143"/>
        <v>0</v>
      </c>
    </row>
    <row r="1013" spans="1:23" x14ac:dyDescent="0.2">
      <c r="A1013" s="71" t="s">
        <v>213</v>
      </c>
      <c r="B1013" s="71" t="s">
        <v>214</v>
      </c>
      <c r="C1013" s="71" t="s">
        <v>187</v>
      </c>
      <c r="D1013" s="71" t="s">
        <v>215</v>
      </c>
      <c r="E1013" s="71" t="s">
        <v>54</v>
      </c>
      <c r="F1013" s="71" t="s">
        <v>300</v>
      </c>
      <c r="G1013" s="88">
        <v>46289.688877314802</v>
      </c>
      <c r="H1013" s="89">
        <v>46289</v>
      </c>
      <c r="I1013" s="71" t="s">
        <v>336</v>
      </c>
      <c r="J1013" s="71">
        <v>0</v>
      </c>
      <c r="K1013" s="71" t="s">
        <v>302</v>
      </c>
      <c r="L1013" s="71">
        <f t="shared" si="135"/>
        <v>9</v>
      </c>
      <c r="M1013" s="71" t="str">
        <f>IFERROR(INDEX(KALENDER!$D$3:$D$132,MATCH(H1013,KALENDER!$A$3:$A$132,0)),"Di luar periode")</f>
        <v>Hari Kerja</v>
      </c>
      <c r="N1013" s="71">
        <f t="shared" si="136"/>
        <v>0</v>
      </c>
      <c r="O1013" s="71">
        <f t="shared" si="137"/>
        <v>2</v>
      </c>
      <c r="P1013" s="71">
        <f t="shared" si="138"/>
        <v>0</v>
      </c>
      <c r="Q1013" s="71">
        <f t="shared" si="139"/>
        <v>0</v>
      </c>
      <c r="R1013" s="71">
        <f t="shared" si="140"/>
        <v>0</v>
      </c>
      <c r="S1013" s="71">
        <f t="shared" si="141"/>
        <v>0</v>
      </c>
      <c r="T1013" s="71">
        <f t="shared" si="142"/>
        <v>0</v>
      </c>
      <c r="U1013" s="71">
        <f>IF(AND(N1013=1,V1013=1),IF(COUNTIFS(AKTIVITAS!$B$2:$B$3052,B1013,AKTIVITAS!$E$2:$E$3052,H1013)&gt;0,1,0),0)</f>
        <v>0</v>
      </c>
      <c r="V1013" s="71">
        <f>IFERROR(IF(AND(H1013&gt;=INDEX(PEMAGANG!$J$3:$J$36,MATCH(B1013,PEMAGANG!$C$3:$C$36,0)),H1013&lt;=INDEX(PEMAGANG!$K$3:$K$36,MATCH(B1013,PEMAGANG!$C$3:$C$36,0))),1,0),0)</f>
        <v>1</v>
      </c>
      <c r="W1013" s="71">
        <f t="shared" si="143"/>
        <v>0</v>
      </c>
    </row>
    <row r="1014" spans="1:23" x14ac:dyDescent="0.2">
      <c r="A1014" s="71" t="s">
        <v>213</v>
      </c>
      <c r="B1014" s="71" t="s">
        <v>214</v>
      </c>
      <c r="C1014" s="71" t="s">
        <v>187</v>
      </c>
      <c r="D1014" s="71" t="s">
        <v>215</v>
      </c>
      <c r="E1014" s="71" t="s">
        <v>490</v>
      </c>
      <c r="F1014" s="71" t="s">
        <v>300</v>
      </c>
      <c r="G1014" s="88">
        <v>46289.688877314802</v>
      </c>
      <c r="H1014" s="89">
        <v>46289</v>
      </c>
      <c r="I1014" s="71" t="s">
        <v>336</v>
      </c>
      <c r="J1014" s="71">
        <v>0</v>
      </c>
      <c r="K1014" s="71" t="s">
        <v>302</v>
      </c>
      <c r="L1014" s="71">
        <f t="shared" si="135"/>
        <v>9</v>
      </c>
      <c r="M1014" s="71" t="str">
        <f>IFERROR(INDEX(KALENDER!$D$3:$D$132,MATCH(H1014,KALENDER!$A$3:$A$132,0)),"Di luar periode")</f>
        <v>Hari Kerja</v>
      </c>
      <c r="N1014" s="71">
        <f t="shared" si="136"/>
        <v>0</v>
      </c>
      <c r="O1014" s="71">
        <f t="shared" si="137"/>
        <v>2</v>
      </c>
      <c r="P1014" s="71">
        <f t="shared" si="138"/>
        <v>0</v>
      </c>
      <c r="Q1014" s="71">
        <f t="shared" si="139"/>
        <v>0</v>
      </c>
      <c r="R1014" s="71">
        <f t="shared" si="140"/>
        <v>0</v>
      </c>
      <c r="S1014" s="71">
        <f t="shared" si="141"/>
        <v>0</v>
      </c>
      <c r="T1014" s="71">
        <f t="shared" si="142"/>
        <v>0</v>
      </c>
      <c r="U1014" s="71">
        <f>IF(AND(N1014=1,V1014=1),IF(COUNTIFS(AKTIVITAS!$B$2:$B$3052,B1014,AKTIVITAS!$E$2:$E$3052,H1014)&gt;0,1,0),0)</f>
        <v>0</v>
      </c>
      <c r="V1014" s="71">
        <f>IFERROR(IF(AND(H1014&gt;=INDEX(PEMAGANG!$J$3:$J$36,MATCH(B1014,PEMAGANG!$C$3:$C$36,0)),H1014&lt;=INDEX(PEMAGANG!$K$3:$K$36,MATCH(B1014,PEMAGANG!$C$3:$C$36,0))),1,0),0)</f>
        <v>1</v>
      </c>
      <c r="W1014" s="71">
        <f t="shared" si="143"/>
        <v>0</v>
      </c>
    </row>
    <row r="1015" spans="1:23" x14ac:dyDescent="0.2">
      <c r="A1015" s="71" t="s">
        <v>257</v>
      </c>
      <c r="B1015" s="71" t="s">
        <v>258</v>
      </c>
      <c r="C1015" s="71" t="s">
        <v>187</v>
      </c>
      <c r="D1015" s="71" t="s">
        <v>259</v>
      </c>
      <c r="E1015" s="71" t="s">
        <v>55</v>
      </c>
      <c r="F1015" s="71" t="s">
        <v>298</v>
      </c>
      <c r="G1015" s="88">
        <v>46175.275787036997</v>
      </c>
      <c r="H1015" s="89">
        <v>46175</v>
      </c>
      <c r="I1015" s="71" t="s">
        <v>493</v>
      </c>
      <c r="J1015" s="71">
        <v>-53</v>
      </c>
      <c r="K1015" s="71" t="s">
        <v>302</v>
      </c>
      <c r="L1015" s="71">
        <f t="shared" si="135"/>
        <v>6</v>
      </c>
      <c r="M1015" s="71" t="str">
        <f>IFERROR(INDEX(KALENDER!$D$3:$D$132,MATCH(H1015,KALENDER!$A$3:$A$132,0)),"Di luar periode")</f>
        <v>Hari Kerja</v>
      </c>
      <c r="N1015" s="71">
        <f t="shared" si="136"/>
        <v>1</v>
      </c>
      <c r="O1015" s="71">
        <f t="shared" si="137"/>
        <v>1</v>
      </c>
      <c r="P1015" s="71">
        <f t="shared" si="138"/>
        <v>1</v>
      </c>
      <c r="Q1015" s="71">
        <f t="shared" si="139"/>
        <v>0</v>
      </c>
      <c r="R1015" s="71">
        <f t="shared" si="140"/>
        <v>0</v>
      </c>
      <c r="S1015" s="71">
        <f t="shared" si="141"/>
        <v>0</v>
      </c>
      <c r="T1015" s="71">
        <f t="shared" si="142"/>
        <v>1</v>
      </c>
      <c r="U1015" s="71">
        <f>IF(AND(N1015=1,V1015=1),IF(COUNTIFS(AKTIVITAS!$B$2:$B$3052,B1015,AKTIVITAS!$E$2:$E$3052,H1015)&gt;0,1,0),0)</f>
        <v>1</v>
      </c>
      <c r="V1015" s="71">
        <f>IFERROR(IF(AND(H1015&gt;=INDEX(PEMAGANG!$J$3:$J$36,MATCH(B1015,PEMAGANG!$C$3:$C$36,0)),H1015&lt;=INDEX(PEMAGANG!$K$3:$K$36,MATCH(B1015,PEMAGANG!$C$3:$C$36,0))),1,0),0)</f>
        <v>1</v>
      </c>
      <c r="W1015" s="71">
        <f t="shared" si="143"/>
        <v>1</v>
      </c>
    </row>
    <row r="1016" spans="1:23" x14ac:dyDescent="0.2">
      <c r="A1016" s="71" t="s">
        <v>257</v>
      </c>
      <c r="B1016" s="71" t="s">
        <v>258</v>
      </c>
      <c r="C1016" s="71" t="s">
        <v>187</v>
      </c>
      <c r="D1016" s="71" t="s">
        <v>259</v>
      </c>
      <c r="E1016" s="71" t="s">
        <v>55</v>
      </c>
      <c r="F1016" s="71" t="s">
        <v>298</v>
      </c>
      <c r="G1016" s="88">
        <v>46177.278530092597</v>
      </c>
      <c r="H1016" s="89">
        <v>46177</v>
      </c>
      <c r="I1016" s="71" t="s">
        <v>494</v>
      </c>
      <c r="J1016" s="71">
        <v>-49</v>
      </c>
      <c r="K1016" s="71" t="s">
        <v>302</v>
      </c>
      <c r="L1016" s="71">
        <f t="shared" si="135"/>
        <v>6</v>
      </c>
      <c r="M1016" s="71" t="str">
        <f>IFERROR(INDEX(KALENDER!$D$3:$D$132,MATCH(H1016,KALENDER!$A$3:$A$132,0)),"Di luar periode")</f>
        <v>Hari Kerja</v>
      </c>
      <c r="N1016" s="71">
        <f t="shared" si="136"/>
        <v>1</v>
      </c>
      <c r="O1016" s="71">
        <f t="shared" si="137"/>
        <v>1</v>
      </c>
      <c r="P1016" s="71">
        <f t="shared" si="138"/>
        <v>1</v>
      </c>
      <c r="Q1016" s="71">
        <f t="shared" si="139"/>
        <v>0</v>
      </c>
      <c r="R1016" s="71">
        <f t="shared" si="140"/>
        <v>0</v>
      </c>
      <c r="S1016" s="71">
        <f t="shared" si="141"/>
        <v>0</v>
      </c>
      <c r="T1016" s="71">
        <f t="shared" si="142"/>
        <v>0</v>
      </c>
      <c r="U1016" s="71">
        <f>IF(AND(N1016=1,V1016=1),IF(COUNTIFS(AKTIVITAS!$B$2:$B$3052,B1016,AKTIVITAS!$E$2:$E$3052,H1016)&gt;0,1,0),0)</f>
        <v>1</v>
      </c>
      <c r="V1016" s="71">
        <f>IFERROR(IF(AND(H1016&gt;=INDEX(PEMAGANG!$J$3:$J$36,MATCH(B1016,PEMAGANG!$C$3:$C$36,0)),H1016&lt;=INDEX(PEMAGANG!$K$3:$K$36,MATCH(B1016,PEMAGANG!$C$3:$C$36,0))),1,0),0)</f>
        <v>1</v>
      </c>
      <c r="W1016" s="71">
        <f t="shared" si="143"/>
        <v>1</v>
      </c>
    </row>
    <row r="1017" spans="1:23" x14ac:dyDescent="0.2">
      <c r="A1017" s="71" t="s">
        <v>257</v>
      </c>
      <c r="B1017" s="71" t="s">
        <v>258</v>
      </c>
      <c r="C1017" s="71" t="s">
        <v>187</v>
      </c>
      <c r="D1017" s="71" t="s">
        <v>259</v>
      </c>
      <c r="E1017" s="71" t="s">
        <v>55</v>
      </c>
      <c r="F1017" s="71" t="s">
        <v>300</v>
      </c>
      <c r="G1017" s="88">
        <v>46177.687534722201</v>
      </c>
      <c r="H1017" s="89">
        <v>46177</v>
      </c>
      <c r="I1017" s="71" t="s">
        <v>330</v>
      </c>
      <c r="J1017" s="71">
        <v>0</v>
      </c>
      <c r="K1017" s="71" t="s">
        <v>302</v>
      </c>
      <c r="L1017" s="71">
        <f t="shared" si="135"/>
        <v>6</v>
      </c>
      <c r="M1017" s="71" t="str">
        <f>IFERROR(INDEX(KALENDER!$D$3:$D$132,MATCH(H1017,KALENDER!$A$3:$A$132,0)),"Di luar periode")</f>
        <v>Hari Kerja</v>
      </c>
      <c r="N1017" s="71">
        <f t="shared" si="136"/>
        <v>0</v>
      </c>
      <c r="O1017" s="71">
        <f t="shared" si="137"/>
        <v>1</v>
      </c>
      <c r="P1017" s="71">
        <f t="shared" si="138"/>
        <v>0</v>
      </c>
      <c r="Q1017" s="71">
        <f t="shared" si="139"/>
        <v>0</v>
      </c>
      <c r="R1017" s="71">
        <f t="shared" si="140"/>
        <v>0</v>
      </c>
      <c r="S1017" s="71">
        <f t="shared" si="141"/>
        <v>0</v>
      </c>
      <c r="T1017" s="71">
        <f t="shared" si="142"/>
        <v>0</v>
      </c>
      <c r="U1017" s="71">
        <f>IF(AND(N1017=1,V1017=1),IF(COUNTIFS(AKTIVITAS!$B$2:$B$3052,B1017,AKTIVITAS!$E$2:$E$3052,H1017)&gt;0,1,0),0)</f>
        <v>0</v>
      </c>
      <c r="V1017" s="71">
        <f>IFERROR(IF(AND(H1017&gt;=INDEX(PEMAGANG!$J$3:$J$36,MATCH(B1017,PEMAGANG!$C$3:$C$36,0)),H1017&lt;=INDEX(PEMAGANG!$K$3:$K$36,MATCH(B1017,PEMAGANG!$C$3:$C$36,0))),1,0),0)</f>
        <v>1</v>
      </c>
      <c r="W1017" s="71">
        <f t="shared" si="143"/>
        <v>0</v>
      </c>
    </row>
    <row r="1018" spans="1:23" x14ac:dyDescent="0.2">
      <c r="A1018" s="71" t="s">
        <v>257</v>
      </c>
      <c r="B1018" s="71" t="s">
        <v>258</v>
      </c>
      <c r="C1018" s="71" t="s">
        <v>187</v>
      </c>
      <c r="D1018" s="71" t="s">
        <v>259</v>
      </c>
      <c r="E1018" s="71" t="s">
        <v>55</v>
      </c>
      <c r="F1018" s="71" t="s">
        <v>298</v>
      </c>
      <c r="G1018" s="88">
        <v>46178.279282407399</v>
      </c>
      <c r="H1018" s="89">
        <v>46178</v>
      </c>
      <c r="I1018" s="71" t="s">
        <v>495</v>
      </c>
      <c r="J1018" s="71">
        <v>-48</v>
      </c>
      <c r="K1018" s="71" t="s">
        <v>302</v>
      </c>
      <c r="L1018" s="71">
        <f t="shared" si="135"/>
        <v>6</v>
      </c>
      <c r="M1018" s="71" t="str">
        <f>IFERROR(INDEX(KALENDER!$D$3:$D$132,MATCH(H1018,KALENDER!$A$3:$A$132,0)),"Di luar periode")</f>
        <v>Hari Kerja</v>
      </c>
      <c r="N1018" s="71">
        <f t="shared" si="136"/>
        <v>1</v>
      </c>
      <c r="O1018" s="71">
        <f t="shared" si="137"/>
        <v>1</v>
      </c>
      <c r="P1018" s="71">
        <f t="shared" si="138"/>
        <v>1</v>
      </c>
      <c r="Q1018" s="71">
        <f t="shared" si="139"/>
        <v>0</v>
      </c>
      <c r="R1018" s="71">
        <f t="shared" si="140"/>
        <v>0</v>
      </c>
      <c r="S1018" s="71">
        <f t="shared" si="141"/>
        <v>0</v>
      </c>
      <c r="T1018" s="71">
        <f t="shared" si="142"/>
        <v>0</v>
      </c>
      <c r="U1018" s="71">
        <f>IF(AND(N1018=1,V1018=1),IF(COUNTIFS(AKTIVITAS!$B$2:$B$3052,B1018,AKTIVITAS!$E$2:$E$3052,H1018)&gt;0,1,0),0)</f>
        <v>1</v>
      </c>
      <c r="V1018" s="71">
        <f>IFERROR(IF(AND(H1018&gt;=INDEX(PEMAGANG!$J$3:$J$36,MATCH(B1018,PEMAGANG!$C$3:$C$36,0)),H1018&lt;=INDEX(PEMAGANG!$K$3:$K$36,MATCH(B1018,PEMAGANG!$C$3:$C$36,0))),1,0),0)</f>
        <v>1</v>
      </c>
      <c r="W1018" s="71">
        <f t="shared" si="143"/>
        <v>1</v>
      </c>
    </row>
    <row r="1019" spans="1:23" x14ac:dyDescent="0.2">
      <c r="A1019" s="71" t="s">
        <v>257</v>
      </c>
      <c r="B1019" s="71" t="s">
        <v>258</v>
      </c>
      <c r="C1019" s="71" t="s">
        <v>187</v>
      </c>
      <c r="D1019" s="71" t="s">
        <v>259</v>
      </c>
      <c r="E1019" s="71" t="s">
        <v>55</v>
      </c>
      <c r="F1019" s="71" t="s">
        <v>300</v>
      </c>
      <c r="G1019" s="88">
        <v>46178.687777777799</v>
      </c>
      <c r="H1019" s="89">
        <v>46178</v>
      </c>
      <c r="I1019" s="71" t="s">
        <v>330</v>
      </c>
      <c r="J1019" s="71">
        <v>0</v>
      </c>
      <c r="K1019" s="71" t="s">
        <v>302</v>
      </c>
      <c r="L1019" s="71">
        <f t="shared" si="135"/>
        <v>6</v>
      </c>
      <c r="M1019" s="71" t="str">
        <f>IFERROR(INDEX(KALENDER!$D$3:$D$132,MATCH(H1019,KALENDER!$A$3:$A$132,0)),"Di luar periode")</f>
        <v>Hari Kerja</v>
      </c>
      <c r="N1019" s="71">
        <f t="shared" si="136"/>
        <v>0</v>
      </c>
      <c r="O1019" s="71">
        <f t="shared" si="137"/>
        <v>1</v>
      </c>
      <c r="P1019" s="71">
        <f t="shared" si="138"/>
        <v>0</v>
      </c>
      <c r="Q1019" s="71">
        <f t="shared" si="139"/>
        <v>0</v>
      </c>
      <c r="R1019" s="71">
        <f t="shared" si="140"/>
        <v>0</v>
      </c>
      <c r="S1019" s="71">
        <f t="shared" si="141"/>
        <v>0</v>
      </c>
      <c r="T1019" s="71">
        <f t="shared" si="142"/>
        <v>0</v>
      </c>
      <c r="U1019" s="71">
        <f>IF(AND(N1019=1,V1019=1),IF(COUNTIFS(AKTIVITAS!$B$2:$B$3052,B1019,AKTIVITAS!$E$2:$E$3052,H1019)&gt;0,1,0),0)</f>
        <v>0</v>
      </c>
      <c r="V1019" s="71">
        <f>IFERROR(IF(AND(H1019&gt;=INDEX(PEMAGANG!$J$3:$J$36,MATCH(B1019,PEMAGANG!$C$3:$C$36,0)),H1019&lt;=INDEX(PEMAGANG!$K$3:$K$36,MATCH(B1019,PEMAGANG!$C$3:$C$36,0))),1,0),0)</f>
        <v>1</v>
      </c>
      <c r="W1019" s="71">
        <f t="shared" si="143"/>
        <v>0</v>
      </c>
    </row>
    <row r="1020" spans="1:23" x14ac:dyDescent="0.2">
      <c r="A1020" s="71" t="s">
        <v>257</v>
      </c>
      <c r="B1020" s="71" t="s">
        <v>258</v>
      </c>
      <c r="C1020" s="71" t="s">
        <v>187</v>
      </c>
      <c r="D1020" s="71" t="s">
        <v>259</v>
      </c>
      <c r="E1020" s="71" t="s">
        <v>55</v>
      </c>
      <c r="F1020" s="71" t="s">
        <v>298</v>
      </c>
      <c r="G1020" s="88">
        <v>46181.270752314798</v>
      </c>
      <c r="H1020" s="89">
        <v>46181</v>
      </c>
      <c r="I1020" s="71" t="s">
        <v>496</v>
      </c>
      <c r="J1020" s="71">
        <v>-61</v>
      </c>
      <c r="K1020" s="71" t="s">
        <v>302</v>
      </c>
      <c r="L1020" s="71">
        <f t="shared" si="135"/>
        <v>6</v>
      </c>
      <c r="M1020" s="71" t="str">
        <f>IFERROR(INDEX(KALENDER!$D$3:$D$132,MATCH(H1020,KALENDER!$A$3:$A$132,0)),"Di luar periode")</f>
        <v>Hari Kerja</v>
      </c>
      <c r="N1020" s="71">
        <f t="shared" si="136"/>
        <v>1</v>
      </c>
      <c r="O1020" s="71">
        <f t="shared" si="137"/>
        <v>1</v>
      </c>
      <c r="P1020" s="71">
        <f t="shared" si="138"/>
        <v>1</v>
      </c>
      <c r="Q1020" s="71">
        <f t="shared" si="139"/>
        <v>0</v>
      </c>
      <c r="R1020" s="71">
        <f t="shared" si="140"/>
        <v>0</v>
      </c>
      <c r="S1020" s="71">
        <f t="shared" si="141"/>
        <v>0</v>
      </c>
      <c r="T1020" s="71">
        <f t="shared" si="142"/>
        <v>0</v>
      </c>
      <c r="U1020" s="71">
        <f>IF(AND(N1020=1,V1020=1),IF(COUNTIFS(AKTIVITAS!$B$2:$B$3052,B1020,AKTIVITAS!$E$2:$E$3052,H1020)&gt;0,1,0),0)</f>
        <v>1</v>
      </c>
      <c r="V1020" s="71">
        <f>IFERROR(IF(AND(H1020&gt;=INDEX(PEMAGANG!$J$3:$J$36,MATCH(B1020,PEMAGANG!$C$3:$C$36,0)),H1020&lt;=INDEX(PEMAGANG!$K$3:$K$36,MATCH(B1020,PEMAGANG!$C$3:$C$36,0))),1,0),0)</f>
        <v>1</v>
      </c>
      <c r="W1020" s="71">
        <f t="shared" si="143"/>
        <v>1</v>
      </c>
    </row>
    <row r="1021" spans="1:23" x14ac:dyDescent="0.2">
      <c r="A1021" s="71" t="s">
        <v>257</v>
      </c>
      <c r="B1021" s="71" t="s">
        <v>258</v>
      </c>
      <c r="C1021" s="71" t="s">
        <v>187</v>
      </c>
      <c r="D1021" s="71" t="s">
        <v>259</v>
      </c>
      <c r="E1021" s="71" t="s">
        <v>55</v>
      </c>
      <c r="F1021" s="71" t="s">
        <v>300</v>
      </c>
      <c r="G1021" s="88">
        <v>46181.687534722201</v>
      </c>
      <c r="H1021" s="89">
        <v>46181</v>
      </c>
      <c r="I1021" s="71" t="s">
        <v>330</v>
      </c>
      <c r="J1021" s="71">
        <v>0</v>
      </c>
      <c r="K1021" s="71" t="s">
        <v>302</v>
      </c>
      <c r="L1021" s="71">
        <f t="shared" si="135"/>
        <v>6</v>
      </c>
      <c r="M1021" s="71" t="str">
        <f>IFERROR(INDEX(KALENDER!$D$3:$D$132,MATCH(H1021,KALENDER!$A$3:$A$132,0)),"Di luar periode")</f>
        <v>Hari Kerja</v>
      </c>
      <c r="N1021" s="71">
        <f t="shared" si="136"/>
        <v>0</v>
      </c>
      <c r="O1021" s="71">
        <f t="shared" si="137"/>
        <v>1</v>
      </c>
      <c r="P1021" s="71">
        <f t="shared" si="138"/>
        <v>0</v>
      </c>
      <c r="Q1021" s="71">
        <f t="shared" si="139"/>
        <v>0</v>
      </c>
      <c r="R1021" s="71">
        <f t="shared" si="140"/>
        <v>0</v>
      </c>
      <c r="S1021" s="71">
        <f t="shared" si="141"/>
        <v>0</v>
      </c>
      <c r="T1021" s="71">
        <f t="shared" si="142"/>
        <v>0</v>
      </c>
      <c r="U1021" s="71">
        <f>IF(AND(N1021=1,V1021=1),IF(COUNTIFS(AKTIVITAS!$B$2:$B$3052,B1021,AKTIVITAS!$E$2:$E$3052,H1021)&gt;0,1,0),0)</f>
        <v>0</v>
      </c>
      <c r="V1021" s="71">
        <f>IFERROR(IF(AND(H1021&gt;=INDEX(PEMAGANG!$J$3:$J$36,MATCH(B1021,PEMAGANG!$C$3:$C$36,0)),H1021&lt;=INDEX(PEMAGANG!$K$3:$K$36,MATCH(B1021,PEMAGANG!$C$3:$C$36,0))),1,0),0)</f>
        <v>1</v>
      </c>
      <c r="W1021" s="71">
        <f t="shared" si="143"/>
        <v>0</v>
      </c>
    </row>
    <row r="1022" spans="1:23" x14ac:dyDescent="0.2">
      <c r="A1022" s="71" t="s">
        <v>257</v>
      </c>
      <c r="B1022" s="71" t="s">
        <v>258</v>
      </c>
      <c r="C1022" s="71" t="s">
        <v>187</v>
      </c>
      <c r="D1022" s="71" t="s">
        <v>259</v>
      </c>
      <c r="E1022" s="71" t="s">
        <v>55</v>
      </c>
      <c r="F1022" s="71" t="s">
        <v>298</v>
      </c>
      <c r="G1022" s="88">
        <v>46182.270173611098</v>
      </c>
      <c r="H1022" s="89">
        <v>46182</v>
      </c>
      <c r="I1022" s="71" t="s">
        <v>496</v>
      </c>
      <c r="J1022" s="71">
        <v>-61</v>
      </c>
      <c r="K1022" s="71" t="s">
        <v>302</v>
      </c>
      <c r="L1022" s="71">
        <f t="shared" si="135"/>
        <v>6</v>
      </c>
      <c r="M1022" s="71" t="str">
        <f>IFERROR(INDEX(KALENDER!$D$3:$D$132,MATCH(H1022,KALENDER!$A$3:$A$132,0)),"Di luar periode")</f>
        <v>Hari Kerja</v>
      </c>
      <c r="N1022" s="71">
        <f t="shared" si="136"/>
        <v>1</v>
      </c>
      <c r="O1022" s="71">
        <f t="shared" si="137"/>
        <v>1</v>
      </c>
      <c r="P1022" s="71">
        <f t="shared" si="138"/>
        <v>1</v>
      </c>
      <c r="Q1022" s="71">
        <f t="shared" si="139"/>
        <v>0</v>
      </c>
      <c r="R1022" s="71">
        <f t="shared" si="140"/>
        <v>0</v>
      </c>
      <c r="S1022" s="71">
        <f t="shared" si="141"/>
        <v>0</v>
      </c>
      <c r="T1022" s="71">
        <f t="shared" si="142"/>
        <v>0</v>
      </c>
      <c r="U1022" s="71">
        <f>IF(AND(N1022=1,V1022=1),IF(COUNTIFS(AKTIVITAS!$B$2:$B$3052,B1022,AKTIVITAS!$E$2:$E$3052,H1022)&gt;0,1,0),0)</f>
        <v>1</v>
      </c>
      <c r="V1022" s="71">
        <f>IFERROR(IF(AND(H1022&gt;=INDEX(PEMAGANG!$J$3:$J$36,MATCH(B1022,PEMAGANG!$C$3:$C$36,0)),H1022&lt;=INDEX(PEMAGANG!$K$3:$K$36,MATCH(B1022,PEMAGANG!$C$3:$C$36,0))),1,0),0)</f>
        <v>1</v>
      </c>
      <c r="W1022" s="71">
        <f t="shared" si="143"/>
        <v>1</v>
      </c>
    </row>
    <row r="1023" spans="1:23" x14ac:dyDescent="0.2">
      <c r="A1023" s="71" t="s">
        <v>257</v>
      </c>
      <c r="B1023" s="71" t="s">
        <v>258</v>
      </c>
      <c r="C1023" s="71" t="s">
        <v>187</v>
      </c>
      <c r="D1023" s="71" t="s">
        <v>259</v>
      </c>
      <c r="E1023" s="71" t="s">
        <v>55</v>
      </c>
      <c r="F1023" s="71" t="s">
        <v>300</v>
      </c>
      <c r="G1023" s="88">
        <v>46182.687569444497</v>
      </c>
      <c r="H1023" s="89">
        <v>46182</v>
      </c>
      <c r="I1023" s="71" t="s">
        <v>330</v>
      </c>
      <c r="J1023" s="71">
        <v>0</v>
      </c>
      <c r="K1023" s="71" t="s">
        <v>302</v>
      </c>
      <c r="L1023" s="71">
        <f t="shared" si="135"/>
        <v>6</v>
      </c>
      <c r="M1023" s="71" t="str">
        <f>IFERROR(INDEX(KALENDER!$D$3:$D$132,MATCH(H1023,KALENDER!$A$3:$A$132,0)),"Di luar periode")</f>
        <v>Hari Kerja</v>
      </c>
      <c r="N1023" s="71">
        <f t="shared" si="136"/>
        <v>0</v>
      </c>
      <c r="O1023" s="71">
        <f t="shared" si="137"/>
        <v>1</v>
      </c>
      <c r="P1023" s="71">
        <f t="shared" si="138"/>
        <v>0</v>
      </c>
      <c r="Q1023" s="71">
        <f t="shared" si="139"/>
        <v>0</v>
      </c>
      <c r="R1023" s="71">
        <f t="shared" si="140"/>
        <v>0</v>
      </c>
      <c r="S1023" s="71">
        <f t="shared" si="141"/>
        <v>0</v>
      </c>
      <c r="T1023" s="71">
        <f t="shared" si="142"/>
        <v>0</v>
      </c>
      <c r="U1023" s="71">
        <f>IF(AND(N1023=1,V1023=1),IF(COUNTIFS(AKTIVITAS!$B$2:$B$3052,B1023,AKTIVITAS!$E$2:$E$3052,H1023)&gt;0,1,0),0)</f>
        <v>0</v>
      </c>
      <c r="V1023" s="71">
        <f>IFERROR(IF(AND(H1023&gt;=INDEX(PEMAGANG!$J$3:$J$36,MATCH(B1023,PEMAGANG!$C$3:$C$36,0)),H1023&lt;=INDEX(PEMAGANG!$K$3:$K$36,MATCH(B1023,PEMAGANG!$C$3:$C$36,0))),1,0),0)</f>
        <v>1</v>
      </c>
      <c r="W1023" s="71">
        <f t="shared" si="143"/>
        <v>0</v>
      </c>
    </row>
    <row r="1024" spans="1:23" x14ac:dyDescent="0.2">
      <c r="A1024" s="71" t="s">
        <v>257</v>
      </c>
      <c r="B1024" s="71" t="s">
        <v>258</v>
      </c>
      <c r="C1024" s="71" t="s">
        <v>187</v>
      </c>
      <c r="D1024" s="71" t="s">
        <v>259</v>
      </c>
      <c r="E1024" s="71" t="s">
        <v>55</v>
      </c>
      <c r="F1024" s="71" t="s">
        <v>298</v>
      </c>
      <c r="G1024" s="88">
        <v>46184.272060185198</v>
      </c>
      <c r="H1024" s="89">
        <v>46184</v>
      </c>
      <c r="I1024" s="71" t="s">
        <v>332</v>
      </c>
      <c r="J1024" s="71">
        <v>-59</v>
      </c>
      <c r="K1024" s="71" t="s">
        <v>302</v>
      </c>
      <c r="L1024" s="71">
        <f t="shared" si="135"/>
        <v>6</v>
      </c>
      <c r="M1024" s="71" t="str">
        <f>IFERROR(INDEX(KALENDER!$D$3:$D$132,MATCH(H1024,KALENDER!$A$3:$A$132,0)),"Di luar periode")</f>
        <v>Hari Kerja</v>
      </c>
      <c r="N1024" s="71">
        <f t="shared" si="136"/>
        <v>1</v>
      </c>
      <c r="O1024" s="71">
        <f t="shared" si="137"/>
        <v>1</v>
      </c>
      <c r="P1024" s="71">
        <f t="shared" si="138"/>
        <v>1</v>
      </c>
      <c r="Q1024" s="71">
        <f t="shared" si="139"/>
        <v>0</v>
      </c>
      <c r="R1024" s="71">
        <f t="shared" si="140"/>
        <v>0</v>
      </c>
      <c r="S1024" s="71">
        <f t="shared" si="141"/>
        <v>0</v>
      </c>
      <c r="T1024" s="71">
        <f t="shared" si="142"/>
        <v>0</v>
      </c>
      <c r="U1024" s="71">
        <f>IF(AND(N1024=1,V1024=1),IF(COUNTIFS(AKTIVITAS!$B$2:$B$3052,B1024,AKTIVITAS!$E$2:$E$3052,H1024)&gt;0,1,0),0)</f>
        <v>1</v>
      </c>
      <c r="V1024" s="71">
        <f>IFERROR(IF(AND(H1024&gt;=INDEX(PEMAGANG!$J$3:$J$36,MATCH(B1024,PEMAGANG!$C$3:$C$36,0)),H1024&lt;=INDEX(PEMAGANG!$K$3:$K$36,MATCH(B1024,PEMAGANG!$C$3:$C$36,0))),1,0),0)</f>
        <v>1</v>
      </c>
      <c r="W1024" s="71">
        <f t="shared" si="143"/>
        <v>1</v>
      </c>
    </row>
    <row r="1025" spans="1:23" x14ac:dyDescent="0.2">
      <c r="A1025" s="71" t="s">
        <v>257</v>
      </c>
      <c r="B1025" s="71" t="s">
        <v>258</v>
      </c>
      <c r="C1025" s="71" t="s">
        <v>187</v>
      </c>
      <c r="D1025" s="71" t="s">
        <v>259</v>
      </c>
      <c r="E1025" s="71" t="s">
        <v>55</v>
      </c>
      <c r="F1025" s="71" t="s">
        <v>300</v>
      </c>
      <c r="G1025" s="88">
        <v>46184.6891666667</v>
      </c>
      <c r="H1025" s="89">
        <v>46184</v>
      </c>
      <c r="I1025" s="71" t="s">
        <v>306</v>
      </c>
      <c r="J1025" s="71">
        <v>0</v>
      </c>
      <c r="K1025" s="71" t="s">
        <v>302</v>
      </c>
      <c r="L1025" s="71">
        <f t="shared" si="135"/>
        <v>6</v>
      </c>
      <c r="M1025" s="71" t="str">
        <f>IFERROR(INDEX(KALENDER!$D$3:$D$132,MATCH(H1025,KALENDER!$A$3:$A$132,0)),"Di luar periode")</f>
        <v>Hari Kerja</v>
      </c>
      <c r="N1025" s="71">
        <f t="shared" si="136"/>
        <v>0</v>
      </c>
      <c r="O1025" s="71">
        <f t="shared" si="137"/>
        <v>1</v>
      </c>
      <c r="P1025" s="71">
        <f t="shared" si="138"/>
        <v>0</v>
      </c>
      <c r="Q1025" s="71">
        <f t="shared" si="139"/>
        <v>0</v>
      </c>
      <c r="R1025" s="71">
        <f t="shared" si="140"/>
        <v>0</v>
      </c>
      <c r="S1025" s="71">
        <f t="shared" si="141"/>
        <v>0</v>
      </c>
      <c r="T1025" s="71">
        <f t="shared" si="142"/>
        <v>0</v>
      </c>
      <c r="U1025" s="71">
        <f>IF(AND(N1025=1,V1025=1),IF(COUNTIFS(AKTIVITAS!$B$2:$B$3052,B1025,AKTIVITAS!$E$2:$E$3052,H1025)&gt;0,1,0),0)</f>
        <v>0</v>
      </c>
      <c r="V1025" s="71">
        <f>IFERROR(IF(AND(H1025&gt;=INDEX(PEMAGANG!$J$3:$J$36,MATCH(B1025,PEMAGANG!$C$3:$C$36,0)),H1025&lt;=INDEX(PEMAGANG!$K$3:$K$36,MATCH(B1025,PEMAGANG!$C$3:$C$36,0))),1,0),0)</f>
        <v>1</v>
      </c>
      <c r="W1025" s="71">
        <f t="shared" si="143"/>
        <v>0</v>
      </c>
    </row>
    <row r="1026" spans="1:23" x14ac:dyDescent="0.2">
      <c r="A1026" s="71" t="s">
        <v>257</v>
      </c>
      <c r="B1026" s="71" t="s">
        <v>258</v>
      </c>
      <c r="C1026" s="71" t="s">
        <v>187</v>
      </c>
      <c r="D1026" s="71" t="s">
        <v>259</v>
      </c>
      <c r="E1026" s="71" t="s">
        <v>55</v>
      </c>
      <c r="F1026" s="71" t="s">
        <v>298</v>
      </c>
      <c r="G1026" s="88">
        <v>46185.275300925903</v>
      </c>
      <c r="H1026" s="89">
        <v>46185</v>
      </c>
      <c r="I1026" s="71" t="s">
        <v>497</v>
      </c>
      <c r="J1026" s="71">
        <v>-54.000000000000099</v>
      </c>
      <c r="K1026" s="71" t="s">
        <v>302</v>
      </c>
      <c r="L1026" s="71">
        <f t="shared" ref="L1026:L1089" si="144">MONTH(H1026)</f>
        <v>6</v>
      </c>
      <c r="M1026" s="71" t="str">
        <f>IFERROR(INDEX(KALENDER!$D$3:$D$132,MATCH(H1026,KALENDER!$A$3:$A$132,0)),"Di luar periode")</f>
        <v>Hari Kerja</v>
      </c>
      <c r="N1026" s="71">
        <f t="shared" ref="N1026:N1089" si="145">IF(AND(B1026=B1025,H1026=H1025),0,1)</f>
        <v>1</v>
      </c>
      <c r="O1026" s="71">
        <f t="shared" ref="O1026:O1089" si="146">IF(N1026=1,0,O1025)+IF(F1026="MASUK",1,0)</f>
        <v>1</v>
      </c>
      <c r="P1026" s="71">
        <f t="shared" ref="P1026:P1089" si="147">IF(AND(N1026=1,M1026="Hari Kerja",V1026=1),1,0)</f>
        <v>1</v>
      </c>
      <c r="Q1026" s="71">
        <f t="shared" ref="Q1026:Q1089" si="148">IF(AND(N1026=1,OR(M1026&lt;&gt;"Hari Kerja",V1026=0)),1,0)</f>
        <v>0</v>
      </c>
      <c r="R1026" s="71">
        <f t="shared" ref="R1026:R1089" si="149">IF(AND(F1026="MASUK",O1026=1,N(J1026)&gt;0,V1026=1),1,0)</f>
        <v>0</v>
      </c>
      <c r="S1026" s="71">
        <f t="shared" ref="S1026:S1089" si="150">R1026*N(J1026)</f>
        <v>0</v>
      </c>
      <c r="T1026" s="71">
        <f t="shared" ref="T1026:T1089" si="151">IF(AND(N1026=1,V1026=1),IF(AND(COUNTIFS($B$2:$B$4094,B1026,$H$2:$H$4094,H1026,$F$2:$F$4094,"MASUK")&gt;0,COUNTIFS($B$2:$B$4094,B1026,$H$2:$H$4094,H1026,$F$2:$F$4094,"PULANG")=0),1,0),0)</f>
        <v>0</v>
      </c>
      <c r="U1026" s="71">
        <f>IF(AND(N1026=1,V1026=1),IF(COUNTIFS(AKTIVITAS!$B$2:$B$3052,B1026,AKTIVITAS!$E$2:$E$3052,H1026)&gt;0,1,0),0)</f>
        <v>1</v>
      </c>
      <c r="V1026" s="71">
        <f>IFERROR(IF(AND(H1026&gt;=INDEX(PEMAGANG!$J$3:$J$36,MATCH(B1026,PEMAGANG!$C$3:$C$36,0)),H1026&lt;=INDEX(PEMAGANG!$K$3:$K$36,MATCH(B1026,PEMAGANG!$C$3:$C$36,0))),1,0),0)</f>
        <v>1</v>
      </c>
      <c r="W1026" s="71">
        <f t="shared" ref="W1026:W1089" si="152">N1026*V1026</f>
        <v>1</v>
      </c>
    </row>
    <row r="1027" spans="1:23" x14ac:dyDescent="0.2">
      <c r="A1027" s="71" t="s">
        <v>257</v>
      </c>
      <c r="B1027" s="71" t="s">
        <v>258</v>
      </c>
      <c r="C1027" s="71" t="s">
        <v>187</v>
      </c>
      <c r="D1027" s="71" t="s">
        <v>259</v>
      </c>
      <c r="E1027" s="71" t="s">
        <v>55</v>
      </c>
      <c r="F1027" s="71" t="s">
        <v>300</v>
      </c>
      <c r="G1027" s="88">
        <v>46185.687627314801</v>
      </c>
      <c r="H1027" s="89">
        <v>46185</v>
      </c>
      <c r="I1027" s="71" t="s">
        <v>330</v>
      </c>
      <c r="J1027" s="71">
        <v>0</v>
      </c>
      <c r="K1027" s="71" t="s">
        <v>302</v>
      </c>
      <c r="L1027" s="71">
        <f t="shared" si="144"/>
        <v>6</v>
      </c>
      <c r="M1027" s="71" t="str">
        <f>IFERROR(INDEX(KALENDER!$D$3:$D$132,MATCH(H1027,KALENDER!$A$3:$A$132,0)),"Di luar periode")</f>
        <v>Hari Kerja</v>
      </c>
      <c r="N1027" s="71">
        <f t="shared" si="145"/>
        <v>0</v>
      </c>
      <c r="O1027" s="71">
        <f t="shared" si="146"/>
        <v>1</v>
      </c>
      <c r="P1027" s="71">
        <f t="shared" si="147"/>
        <v>0</v>
      </c>
      <c r="Q1027" s="71">
        <f t="shared" si="148"/>
        <v>0</v>
      </c>
      <c r="R1027" s="71">
        <f t="shared" si="149"/>
        <v>0</v>
      </c>
      <c r="S1027" s="71">
        <f t="shared" si="150"/>
        <v>0</v>
      </c>
      <c r="T1027" s="71">
        <f t="shared" si="151"/>
        <v>0</v>
      </c>
      <c r="U1027" s="71">
        <f>IF(AND(N1027=1,V1027=1),IF(COUNTIFS(AKTIVITAS!$B$2:$B$3052,B1027,AKTIVITAS!$E$2:$E$3052,H1027)&gt;0,1,0),0)</f>
        <v>0</v>
      </c>
      <c r="V1027" s="71">
        <f>IFERROR(IF(AND(H1027&gt;=INDEX(PEMAGANG!$J$3:$J$36,MATCH(B1027,PEMAGANG!$C$3:$C$36,0)),H1027&lt;=INDEX(PEMAGANG!$K$3:$K$36,MATCH(B1027,PEMAGANG!$C$3:$C$36,0))),1,0),0)</f>
        <v>1</v>
      </c>
      <c r="W1027" s="71">
        <f t="shared" si="152"/>
        <v>0</v>
      </c>
    </row>
    <row r="1028" spans="1:23" x14ac:dyDescent="0.2">
      <c r="A1028" s="71" t="s">
        <v>257</v>
      </c>
      <c r="B1028" s="71" t="s">
        <v>258</v>
      </c>
      <c r="C1028" s="71" t="s">
        <v>187</v>
      </c>
      <c r="D1028" s="71" t="s">
        <v>259</v>
      </c>
      <c r="E1028" s="71" t="s">
        <v>55</v>
      </c>
      <c r="F1028" s="71" t="s">
        <v>298</v>
      </c>
      <c r="G1028" s="88">
        <v>46188.271493055603</v>
      </c>
      <c r="H1028" s="89">
        <v>46188</v>
      </c>
      <c r="I1028" s="71" t="s">
        <v>498</v>
      </c>
      <c r="J1028" s="71">
        <v>-60</v>
      </c>
      <c r="K1028" s="71" t="s">
        <v>302</v>
      </c>
      <c r="L1028" s="71">
        <f t="shared" si="144"/>
        <v>6</v>
      </c>
      <c r="M1028" s="71" t="str">
        <f>IFERROR(INDEX(KALENDER!$D$3:$D$132,MATCH(H1028,KALENDER!$A$3:$A$132,0)),"Di luar periode")</f>
        <v>Hari Kerja</v>
      </c>
      <c r="N1028" s="71">
        <f t="shared" si="145"/>
        <v>1</v>
      </c>
      <c r="O1028" s="71">
        <f t="shared" si="146"/>
        <v>1</v>
      </c>
      <c r="P1028" s="71">
        <f t="shared" si="147"/>
        <v>1</v>
      </c>
      <c r="Q1028" s="71">
        <f t="shared" si="148"/>
        <v>0</v>
      </c>
      <c r="R1028" s="71">
        <f t="shared" si="149"/>
        <v>0</v>
      </c>
      <c r="S1028" s="71">
        <f t="shared" si="150"/>
        <v>0</v>
      </c>
      <c r="T1028" s="71">
        <f t="shared" si="151"/>
        <v>0</v>
      </c>
      <c r="U1028" s="71">
        <f>IF(AND(N1028=1,V1028=1),IF(COUNTIFS(AKTIVITAS!$B$2:$B$3052,B1028,AKTIVITAS!$E$2:$E$3052,H1028)&gt;0,1,0),0)</f>
        <v>1</v>
      </c>
      <c r="V1028" s="71">
        <f>IFERROR(IF(AND(H1028&gt;=INDEX(PEMAGANG!$J$3:$J$36,MATCH(B1028,PEMAGANG!$C$3:$C$36,0)),H1028&lt;=INDEX(PEMAGANG!$K$3:$K$36,MATCH(B1028,PEMAGANG!$C$3:$C$36,0))),1,0),0)</f>
        <v>1</v>
      </c>
      <c r="W1028" s="71">
        <f t="shared" si="152"/>
        <v>1</v>
      </c>
    </row>
    <row r="1029" spans="1:23" x14ac:dyDescent="0.2">
      <c r="A1029" s="71" t="s">
        <v>257</v>
      </c>
      <c r="B1029" s="71" t="s">
        <v>258</v>
      </c>
      <c r="C1029" s="71" t="s">
        <v>187</v>
      </c>
      <c r="D1029" s="71" t="s">
        <v>259</v>
      </c>
      <c r="E1029" s="71" t="s">
        <v>55</v>
      </c>
      <c r="F1029" s="71" t="s">
        <v>300</v>
      </c>
      <c r="G1029" s="88">
        <v>46188.687662037002</v>
      </c>
      <c r="H1029" s="89">
        <v>46188</v>
      </c>
      <c r="I1029" s="71" t="s">
        <v>330</v>
      </c>
      <c r="J1029" s="71">
        <v>0</v>
      </c>
      <c r="K1029" s="71" t="s">
        <v>302</v>
      </c>
      <c r="L1029" s="71">
        <f t="shared" si="144"/>
        <v>6</v>
      </c>
      <c r="M1029" s="71" t="str">
        <f>IFERROR(INDEX(KALENDER!$D$3:$D$132,MATCH(H1029,KALENDER!$A$3:$A$132,0)),"Di luar periode")</f>
        <v>Hari Kerja</v>
      </c>
      <c r="N1029" s="71">
        <f t="shared" si="145"/>
        <v>0</v>
      </c>
      <c r="O1029" s="71">
        <f t="shared" si="146"/>
        <v>1</v>
      </c>
      <c r="P1029" s="71">
        <f t="shared" si="147"/>
        <v>0</v>
      </c>
      <c r="Q1029" s="71">
        <f t="shared" si="148"/>
        <v>0</v>
      </c>
      <c r="R1029" s="71">
        <f t="shared" si="149"/>
        <v>0</v>
      </c>
      <c r="S1029" s="71">
        <f t="shared" si="150"/>
        <v>0</v>
      </c>
      <c r="T1029" s="71">
        <f t="shared" si="151"/>
        <v>0</v>
      </c>
      <c r="U1029" s="71">
        <f>IF(AND(N1029=1,V1029=1),IF(COUNTIFS(AKTIVITAS!$B$2:$B$3052,B1029,AKTIVITAS!$E$2:$E$3052,H1029)&gt;0,1,0),0)</f>
        <v>0</v>
      </c>
      <c r="V1029" s="71">
        <f>IFERROR(IF(AND(H1029&gt;=INDEX(PEMAGANG!$J$3:$J$36,MATCH(B1029,PEMAGANG!$C$3:$C$36,0)),H1029&lt;=INDEX(PEMAGANG!$K$3:$K$36,MATCH(B1029,PEMAGANG!$C$3:$C$36,0))),1,0),0)</f>
        <v>1</v>
      </c>
      <c r="W1029" s="71">
        <f t="shared" si="152"/>
        <v>0</v>
      </c>
    </row>
    <row r="1030" spans="1:23" x14ac:dyDescent="0.2">
      <c r="A1030" s="71" t="s">
        <v>257</v>
      </c>
      <c r="B1030" s="71" t="s">
        <v>258</v>
      </c>
      <c r="C1030" s="71" t="s">
        <v>187</v>
      </c>
      <c r="D1030" s="71" t="s">
        <v>259</v>
      </c>
      <c r="E1030" s="71" t="s">
        <v>55</v>
      </c>
      <c r="F1030" s="71" t="s">
        <v>298</v>
      </c>
      <c r="G1030" s="88">
        <v>46191.279930555596</v>
      </c>
      <c r="H1030" s="89">
        <v>46191</v>
      </c>
      <c r="I1030" s="71" t="s">
        <v>499</v>
      </c>
      <c r="J1030" s="71">
        <v>-47</v>
      </c>
      <c r="K1030" s="71" t="s">
        <v>302</v>
      </c>
      <c r="L1030" s="71">
        <f t="shared" si="144"/>
        <v>6</v>
      </c>
      <c r="M1030" s="71" t="str">
        <f>IFERROR(INDEX(KALENDER!$D$3:$D$132,MATCH(H1030,KALENDER!$A$3:$A$132,0)),"Di luar periode")</f>
        <v>Hari Kerja</v>
      </c>
      <c r="N1030" s="71">
        <f t="shared" si="145"/>
        <v>1</v>
      </c>
      <c r="O1030" s="71">
        <f t="shared" si="146"/>
        <v>1</v>
      </c>
      <c r="P1030" s="71">
        <f t="shared" si="147"/>
        <v>1</v>
      </c>
      <c r="Q1030" s="71">
        <f t="shared" si="148"/>
        <v>0</v>
      </c>
      <c r="R1030" s="71">
        <f t="shared" si="149"/>
        <v>0</v>
      </c>
      <c r="S1030" s="71">
        <f t="shared" si="150"/>
        <v>0</v>
      </c>
      <c r="T1030" s="71">
        <f t="shared" si="151"/>
        <v>0</v>
      </c>
      <c r="U1030" s="71">
        <f>IF(AND(N1030=1,V1030=1),IF(COUNTIFS(AKTIVITAS!$B$2:$B$3052,B1030,AKTIVITAS!$E$2:$E$3052,H1030)&gt;0,1,0),0)</f>
        <v>0</v>
      </c>
      <c r="V1030" s="71">
        <f>IFERROR(IF(AND(H1030&gt;=INDEX(PEMAGANG!$J$3:$J$36,MATCH(B1030,PEMAGANG!$C$3:$C$36,0)),H1030&lt;=INDEX(PEMAGANG!$K$3:$K$36,MATCH(B1030,PEMAGANG!$C$3:$C$36,0))),1,0),0)</f>
        <v>1</v>
      </c>
      <c r="W1030" s="71">
        <f t="shared" si="152"/>
        <v>1</v>
      </c>
    </row>
    <row r="1031" spans="1:23" x14ac:dyDescent="0.2">
      <c r="A1031" s="71" t="s">
        <v>257</v>
      </c>
      <c r="B1031" s="71" t="s">
        <v>258</v>
      </c>
      <c r="C1031" s="71" t="s">
        <v>187</v>
      </c>
      <c r="D1031" s="71" t="s">
        <v>259</v>
      </c>
      <c r="E1031" s="71" t="s">
        <v>55</v>
      </c>
      <c r="F1031" s="71" t="s">
        <v>300</v>
      </c>
      <c r="G1031" s="88">
        <v>46191.687928240703</v>
      </c>
      <c r="H1031" s="89">
        <v>46191</v>
      </c>
      <c r="I1031" s="71" t="s">
        <v>330</v>
      </c>
      <c r="J1031" s="71">
        <v>0</v>
      </c>
      <c r="K1031" s="71" t="s">
        <v>302</v>
      </c>
      <c r="L1031" s="71">
        <f t="shared" si="144"/>
        <v>6</v>
      </c>
      <c r="M1031" s="71" t="str">
        <f>IFERROR(INDEX(KALENDER!$D$3:$D$132,MATCH(H1031,KALENDER!$A$3:$A$132,0)),"Di luar periode")</f>
        <v>Hari Kerja</v>
      </c>
      <c r="N1031" s="71">
        <f t="shared" si="145"/>
        <v>0</v>
      </c>
      <c r="O1031" s="71">
        <f t="shared" si="146"/>
        <v>1</v>
      </c>
      <c r="P1031" s="71">
        <f t="shared" si="147"/>
        <v>0</v>
      </c>
      <c r="Q1031" s="71">
        <f t="shared" si="148"/>
        <v>0</v>
      </c>
      <c r="R1031" s="71">
        <f t="shared" si="149"/>
        <v>0</v>
      </c>
      <c r="S1031" s="71">
        <f t="shared" si="150"/>
        <v>0</v>
      </c>
      <c r="T1031" s="71">
        <f t="shared" si="151"/>
        <v>0</v>
      </c>
      <c r="U1031" s="71">
        <f>IF(AND(N1031=1,V1031=1),IF(COUNTIFS(AKTIVITAS!$B$2:$B$3052,B1031,AKTIVITAS!$E$2:$E$3052,H1031)&gt;0,1,0),0)</f>
        <v>0</v>
      </c>
      <c r="V1031" s="71">
        <f>IFERROR(IF(AND(H1031&gt;=INDEX(PEMAGANG!$J$3:$J$36,MATCH(B1031,PEMAGANG!$C$3:$C$36,0)),H1031&lt;=INDEX(PEMAGANG!$K$3:$K$36,MATCH(B1031,PEMAGANG!$C$3:$C$36,0))),1,0),0)</f>
        <v>1</v>
      </c>
      <c r="W1031" s="71">
        <f t="shared" si="152"/>
        <v>0</v>
      </c>
    </row>
    <row r="1032" spans="1:23" x14ac:dyDescent="0.2">
      <c r="A1032" s="71" t="s">
        <v>257</v>
      </c>
      <c r="B1032" s="71" t="s">
        <v>258</v>
      </c>
      <c r="C1032" s="71" t="s">
        <v>187</v>
      </c>
      <c r="D1032" s="71" t="s">
        <v>259</v>
      </c>
      <c r="E1032" s="71" t="s">
        <v>55</v>
      </c>
      <c r="F1032" s="71" t="s">
        <v>298</v>
      </c>
      <c r="G1032" s="88">
        <v>46192.272847222201</v>
      </c>
      <c r="H1032" s="89">
        <v>46192</v>
      </c>
      <c r="I1032" s="71" t="s">
        <v>453</v>
      </c>
      <c r="J1032" s="71">
        <v>-58</v>
      </c>
      <c r="K1032" s="71" t="s">
        <v>302</v>
      </c>
      <c r="L1032" s="71">
        <f t="shared" si="144"/>
        <v>6</v>
      </c>
      <c r="M1032" s="71" t="str">
        <f>IFERROR(INDEX(KALENDER!$D$3:$D$132,MATCH(H1032,KALENDER!$A$3:$A$132,0)),"Di luar periode")</f>
        <v>Hari Kerja</v>
      </c>
      <c r="N1032" s="71">
        <f t="shared" si="145"/>
        <v>1</v>
      </c>
      <c r="O1032" s="71">
        <f t="shared" si="146"/>
        <v>1</v>
      </c>
      <c r="P1032" s="71">
        <f t="shared" si="147"/>
        <v>1</v>
      </c>
      <c r="Q1032" s="71">
        <f t="shared" si="148"/>
        <v>0</v>
      </c>
      <c r="R1032" s="71">
        <f t="shared" si="149"/>
        <v>0</v>
      </c>
      <c r="S1032" s="71">
        <f t="shared" si="150"/>
        <v>0</v>
      </c>
      <c r="T1032" s="71">
        <f t="shared" si="151"/>
        <v>0</v>
      </c>
      <c r="U1032" s="71">
        <f>IF(AND(N1032=1,V1032=1),IF(COUNTIFS(AKTIVITAS!$B$2:$B$3052,B1032,AKTIVITAS!$E$2:$E$3052,H1032)&gt;0,1,0),0)</f>
        <v>1</v>
      </c>
      <c r="V1032" s="71">
        <f>IFERROR(IF(AND(H1032&gt;=INDEX(PEMAGANG!$J$3:$J$36,MATCH(B1032,PEMAGANG!$C$3:$C$36,0)),H1032&lt;=INDEX(PEMAGANG!$K$3:$K$36,MATCH(B1032,PEMAGANG!$C$3:$C$36,0))),1,0),0)</f>
        <v>1</v>
      </c>
      <c r="W1032" s="71">
        <f t="shared" si="152"/>
        <v>1</v>
      </c>
    </row>
    <row r="1033" spans="1:23" x14ac:dyDescent="0.2">
      <c r="A1033" s="71" t="s">
        <v>257</v>
      </c>
      <c r="B1033" s="71" t="s">
        <v>258</v>
      </c>
      <c r="C1033" s="71" t="s">
        <v>187</v>
      </c>
      <c r="D1033" s="71" t="s">
        <v>259</v>
      </c>
      <c r="E1033" s="71" t="s">
        <v>55</v>
      </c>
      <c r="F1033" s="71" t="s">
        <v>300</v>
      </c>
      <c r="G1033" s="88">
        <v>46192.689189814802</v>
      </c>
      <c r="H1033" s="89">
        <v>46192</v>
      </c>
      <c r="I1033" s="71" t="s">
        <v>306</v>
      </c>
      <c r="J1033" s="71">
        <v>0</v>
      </c>
      <c r="K1033" s="71" t="s">
        <v>302</v>
      </c>
      <c r="L1033" s="71">
        <f t="shared" si="144"/>
        <v>6</v>
      </c>
      <c r="M1033" s="71" t="str">
        <f>IFERROR(INDEX(KALENDER!$D$3:$D$132,MATCH(H1033,KALENDER!$A$3:$A$132,0)),"Di luar periode")</f>
        <v>Hari Kerja</v>
      </c>
      <c r="N1033" s="71">
        <f t="shared" si="145"/>
        <v>0</v>
      </c>
      <c r="O1033" s="71">
        <f t="shared" si="146"/>
        <v>1</v>
      </c>
      <c r="P1033" s="71">
        <f t="shared" si="147"/>
        <v>0</v>
      </c>
      <c r="Q1033" s="71">
        <f t="shared" si="148"/>
        <v>0</v>
      </c>
      <c r="R1033" s="71">
        <f t="shared" si="149"/>
        <v>0</v>
      </c>
      <c r="S1033" s="71">
        <f t="shared" si="150"/>
        <v>0</v>
      </c>
      <c r="T1033" s="71">
        <f t="shared" si="151"/>
        <v>0</v>
      </c>
      <c r="U1033" s="71">
        <f>IF(AND(N1033=1,V1033=1),IF(COUNTIFS(AKTIVITAS!$B$2:$B$3052,B1033,AKTIVITAS!$E$2:$E$3052,H1033)&gt;0,1,0),0)</f>
        <v>0</v>
      </c>
      <c r="V1033" s="71">
        <f>IFERROR(IF(AND(H1033&gt;=INDEX(PEMAGANG!$J$3:$J$36,MATCH(B1033,PEMAGANG!$C$3:$C$36,0)),H1033&lt;=INDEX(PEMAGANG!$K$3:$K$36,MATCH(B1033,PEMAGANG!$C$3:$C$36,0))),1,0),0)</f>
        <v>1</v>
      </c>
      <c r="W1033" s="71">
        <f t="shared" si="152"/>
        <v>0</v>
      </c>
    </row>
    <row r="1034" spans="1:23" x14ac:dyDescent="0.2">
      <c r="A1034" s="71" t="s">
        <v>257</v>
      </c>
      <c r="B1034" s="71" t="s">
        <v>258</v>
      </c>
      <c r="C1034" s="71" t="s">
        <v>187</v>
      </c>
      <c r="D1034" s="71" t="s">
        <v>259</v>
      </c>
      <c r="E1034" s="71" t="s">
        <v>55</v>
      </c>
      <c r="F1034" s="71" t="s">
        <v>298</v>
      </c>
      <c r="G1034" s="88">
        <v>46195.277025463001</v>
      </c>
      <c r="H1034" s="89">
        <v>46195</v>
      </c>
      <c r="I1034" s="71" t="s">
        <v>500</v>
      </c>
      <c r="J1034" s="71">
        <v>-52.000000000000099</v>
      </c>
      <c r="K1034" s="71" t="s">
        <v>302</v>
      </c>
      <c r="L1034" s="71">
        <f t="shared" si="144"/>
        <v>6</v>
      </c>
      <c r="M1034" s="71" t="str">
        <f>IFERROR(INDEX(KALENDER!$D$3:$D$132,MATCH(H1034,KALENDER!$A$3:$A$132,0)),"Di luar periode")</f>
        <v>Hari Kerja</v>
      </c>
      <c r="N1034" s="71">
        <f t="shared" si="145"/>
        <v>1</v>
      </c>
      <c r="O1034" s="71">
        <f t="shared" si="146"/>
        <v>1</v>
      </c>
      <c r="P1034" s="71">
        <f t="shared" si="147"/>
        <v>1</v>
      </c>
      <c r="Q1034" s="71">
        <f t="shared" si="148"/>
        <v>0</v>
      </c>
      <c r="R1034" s="71">
        <f t="shared" si="149"/>
        <v>0</v>
      </c>
      <c r="S1034" s="71">
        <f t="shared" si="150"/>
        <v>0</v>
      </c>
      <c r="T1034" s="71">
        <f t="shared" si="151"/>
        <v>0</v>
      </c>
      <c r="U1034" s="71">
        <f>IF(AND(N1034=1,V1034=1),IF(COUNTIFS(AKTIVITAS!$B$2:$B$3052,B1034,AKTIVITAS!$E$2:$E$3052,H1034)&gt;0,1,0),0)</f>
        <v>1</v>
      </c>
      <c r="V1034" s="71">
        <f>IFERROR(IF(AND(H1034&gt;=INDEX(PEMAGANG!$J$3:$J$36,MATCH(B1034,PEMAGANG!$C$3:$C$36,0)),H1034&lt;=INDEX(PEMAGANG!$K$3:$K$36,MATCH(B1034,PEMAGANG!$C$3:$C$36,0))),1,0),0)</f>
        <v>1</v>
      </c>
      <c r="W1034" s="71">
        <f t="shared" si="152"/>
        <v>1</v>
      </c>
    </row>
    <row r="1035" spans="1:23" x14ac:dyDescent="0.2">
      <c r="A1035" s="71" t="s">
        <v>257</v>
      </c>
      <c r="B1035" s="71" t="s">
        <v>258</v>
      </c>
      <c r="C1035" s="71" t="s">
        <v>187</v>
      </c>
      <c r="D1035" s="71" t="s">
        <v>259</v>
      </c>
      <c r="E1035" s="71" t="s">
        <v>55</v>
      </c>
      <c r="F1035" s="71" t="s">
        <v>300</v>
      </c>
      <c r="G1035" s="88">
        <v>46195.688287037003</v>
      </c>
      <c r="H1035" s="89">
        <v>46195</v>
      </c>
      <c r="I1035" s="71" t="s">
        <v>336</v>
      </c>
      <c r="J1035" s="71">
        <v>0</v>
      </c>
      <c r="K1035" s="71" t="s">
        <v>302</v>
      </c>
      <c r="L1035" s="71">
        <f t="shared" si="144"/>
        <v>6</v>
      </c>
      <c r="M1035" s="71" t="str">
        <f>IFERROR(INDEX(KALENDER!$D$3:$D$132,MATCH(H1035,KALENDER!$A$3:$A$132,0)),"Di luar periode")</f>
        <v>Hari Kerja</v>
      </c>
      <c r="N1035" s="71">
        <f t="shared" si="145"/>
        <v>0</v>
      </c>
      <c r="O1035" s="71">
        <f t="shared" si="146"/>
        <v>1</v>
      </c>
      <c r="P1035" s="71">
        <f t="shared" si="147"/>
        <v>0</v>
      </c>
      <c r="Q1035" s="71">
        <f t="shared" si="148"/>
        <v>0</v>
      </c>
      <c r="R1035" s="71">
        <f t="shared" si="149"/>
        <v>0</v>
      </c>
      <c r="S1035" s="71">
        <f t="shared" si="150"/>
        <v>0</v>
      </c>
      <c r="T1035" s="71">
        <f t="shared" si="151"/>
        <v>0</v>
      </c>
      <c r="U1035" s="71">
        <f>IF(AND(N1035=1,V1035=1),IF(COUNTIFS(AKTIVITAS!$B$2:$B$3052,B1035,AKTIVITAS!$E$2:$E$3052,H1035)&gt;0,1,0),0)</f>
        <v>0</v>
      </c>
      <c r="V1035" s="71">
        <f>IFERROR(IF(AND(H1035&gt;=INDEX(PEMAGANG!$J$3:$J$36,MATCH(B1035,PEMAGANG!$C$3:$C$36,0)),H1035&lt;=INDEX(PEMAGANG!$K$3:$K$36,MATCH(B1035,PEMAGANG!$C$3:$C$36,0))),1,0),0)</f>
        <v>1</v>
      </c>
      <c r="W1035" s="71">
        <f t="shared" si="152"/>
        <v>0</v>
      </c>
    </row>
    <row r="1036" spans="1:23" x14ac:dyDescent="0.2">
      <c r="A1036" s="71" t="s">
        <v>257</v>
      </c>
      <c r="B1036" s="71" t="s">
        <v>258</v>
      </c>
      <c r="C1036" s="71" t="s">
        <v>187</v>
      </c>
      <c r="D1036" s="71" t="s">
        <v>259</v>
      </c>
      <c r="E1036" s="71" t="s">
        <v>55</v>
      </c>
      <c r="F1036" s="71" t="s">
        <v>298</v>
      </c>
      <c r="G1036" s="88">
        <v>46196.275034722203</v>
      </c>
      <c r="H1036" s="89">
        <v>46196</v>
      </c>
      <c r="I1036" s="71" t="s">
        <v>497</v>
      </c>
      <c r="J1036" s="71">
        <v>-54.000000000000099</v>
      </c>
      <c r="K1036" s="71" t="s">
        <v>302</v>
      </c>
      <c r="L1036" s="71">
        <f t="shared" si="144"/>
        <v>6</v>
      </c>
      <c r="M1036" s="71" t="str">
        <f>IFERROR(INDEX(KALENDER!$D$3:$D$132,MATCH(H1036,KALENDER!$A$3:$A$132,0)),"Di luar periode")</f>
        <v>Hari Kerja</v>
      </c>
      <c r="N1036" s="71">
        <f t="shared" si="145"/>
        <v>1</v>
      </c>
      <c r="O1036" s="71">
        <f t="shared" si="146"/>
        <v>1</v>
      </c>
      <c r="P1036" s="71">
        <f t="shared" si="147"/>
        <v>1</v>
      </c>
      <c r="Q1036" s="71">
        <f t="shared" si="148"/>
        <v>0</v>
      </c>
      <c r="R1036" s="71">
        <f t="shared" si="149"/>
        <v>0</v>
      </c>
      <c r="S1036" s="71">
        <f t="shared" si="150"/>
        <v>0</v>
      </c>
      <c r="T1036" s="71">
        <f t="shared" si="151"/>
        <v>0</v>
      </c>
      <c r="U1036" s="71">
        <f>IF(AND(N1036=1,V1036=1),IF(COUNTIFS(AKTIVITAS!$B$2:$B$3052,B1036,AKTIVITAS!$E$2:$E$3052,H1036)&gt;0,1,0),0)</f>
        <v>1</v>
      </c>
      <c r="V1036" s="71">
        <f>IFERROR(IF(AND(H1036&gt;=INDEX(PEMAGANG!$J$3:$J$36,MATCH(B1036,PEMAGANG!$C$3:$C$36,0)),H1036&lt;=INDEX(PEMAGANG!$K$3:$K$36,MATCH(B1036,PEMAGANG!$C$3:$C$36,0))),1,0),0)</f>
        <v>1</v>
      </c>
      <c r="W1036" s="71">
        <f t="shared" si="152"/>
        <v>1</v>
      </c>
    </row>
    <row r="1037" spans="1:23" x14ac:dyDescent="0.2">
      <c r="A1037" s="71" t="s">
        <v>257</v>
      </c>
      <c r="B1037" s="71" t="s">
        <v>258</v>
      </c>
      <c r="C1037" s="71" t="s">
        <v>187</v>
      </c>
      <c r="D1037" s="71" t="s">
        <v>259</v>
      </c>
      <c r="E1037" s="71" t="s">
        <v>55</v>
      </c>
      <c r="F1037" s="71" t="s">
        <v>300</v>
      </c>
      <c r="G1037" s="88">
        <v>46196.687696759298</v>
      </c>
      <c r="H1037" s="89">
        <v>46196</v>
      </c>
      <c r="I1037" s="71" t="s">
        <v>330</v>
      </c>
      <c r="J1037" s="71">
        <v>0</v>
      </c>
      <c r="K1037" s="71" t="s">
        <v>302</v>
      </c>
      <c r="L1037" s="71">
        <f t="shared" si="144"/>
        <v>6</v>
      </c>
      <c r="M1037" s="71" t="str">
        <f>IFERROR(INDEX(KALENDER!$D$3:$D$132,MATCH(H1037,KALENDER!$A$3:$A$132,0)),"Di luar periode")</f>
        <v>Hari Kerja</v>
      </c>
      <c r="N1037" s="71">
        <f t="shared" si="145"/>
        <v>0</v>
      </c>
      <c r="O1037" s="71">
        <f t="shared" si="146"/>
        <v>1</v>
      </c>
      <c r="P1037" s="71">
        <f t="shared" si="147"/>
        <v>0</v>
      </c>
      <c r="Q1037" s="71">
        <f t="shared" si="148"/>
        <v>0</v>
      </c>
      <c r="R1037" s="71">
        <f t="shared" si="149"/>
        <v>0</v>
      </c>
      <c r="S1037" s="71">
        <f t="shared" si="150"/>
        <v>0</v>
      </c>
      <c r="T1037" s="71">
        <f t="shared" si="151"/>
        <v>0</v>
      </c>
      <c r="U1037" s="71">
        <f>IF(AND(N1037=1,V1037=1),IF(COUNTIFS(AKTIVITAS!$B$2:$B$3052,B1037,AKTIVITAS!$E$2:$E$3052,H1037)&gt;0,1,0),0)</f>
        <v>0</v>
      </c>
      <c r="V1037" s="71">
        <f>IFERROR(IF(AND(H1037&gt;=INDEX(PEMAGANG!$J$3:$J$36,MATCH(B1037,PEMAGANG!$C$3:$C$36,0)),H1037&lt;=INDEX(PEMAGANG!$K$3:$K$36,MATCH(B1037,PEMAGANG!$C$3:$C$36,0))),1,0),0)</f>
        <v>1</v>
      </c>
      <c r="W1037" s="71">
        <f t="shared" si="152"/>
        <v>0</v>
      </c>
    </row>
    <row r="1038" spans="1:23" x14ac:dyDescent="0.2">
      <c r="A1038" s="71" t="s">
        <v>257</v>
      </c>
      <c r="B1038" s="71" t="s">
        <v>258</v>
      </c>
      <c r="C1038" s="71" t="s">
        <v>187</v>
      </c>
      <c r="D1038" s="71" t="s">
        <v>259</v>
      </c>
      <c r="E1038" s="71" t="s">
        <v>55</v>
      </c>
      <c r="F1038" s="71" t="s">
        <v>298</v>
      </c>
      <c r="G1038" s="88">
        <v>46198.280949074098</v>
      </c>
      <c r="H1038" s="89">
        <v>46198</v>
      </c>
      <c r="I1038" s="71" t="s">
        <v>501</v>
      </c>
      <c r="J1038" s="71">
        <v>-46</v>
      </c>
      <c r="K1038" s="71" t="s">
        <v>302</v>
      </c>
      <c r="L1038" s="71">
        <f t="shared" si="144"/>
        <v>6</v>
      </c>
      <c r="M1038" s="71" t="str">
        <f>IFERROR(INDEX(KALENDER!$D$3:$D$132,MATCH(H1038,KALENDER!$A$3:$A$132,0)),"Di luar periode")</f>
        <v>Hari Kerja</v>
      </c>
      <c r="N1038" s="71">
        <f t="shared" si="145"/>
        <v>1</v>
      </c>
      <c r="O1038" s="71">
        <f t="shared" si="146"/>
        <v>1</v>
      </c>
      <c r="P1038" s="71">
        <f t="shared" si="147"/>
        <v>1</v>
      </c>
      <c r="Q1038" s="71">
        <f t="shared" si="148"/>
        <v>0</v>
      </c>
      <c r="R1038" s="71">
        <f t="shared" si="149"/>
        <v>0</v>
      </c>
      <c r="S1038" s="71">
        <f t="shared" si="150"/>
        <v>0</v>
      </c>
      <c r="T1038" s="71">
        <f t="shared" si="151"/>
        <v>0</v>
      </c>
      <c r="U1038" s="71">
        <f>IF(AND(N1038=1,V1038=1),IF(COUNTIFS(AKTIVITAS!$B$2:$B$3052,B1038,AKTIVITAS!$E$2:$E$3052,H1038)&gt;0,1,0),0)</f>
        <v>1</v>
      </c>
      <c r="V1038" s="71">
        <f>IFERROR(IF(AND(H1038&gt;=INDEX(PEMAGANG!$J$3:$J$36,MATCH(B1038,PEMAGANG!$C$3:$C$36,0)),H1038&lt;=INDEX(PEMAGANG!$K$3:$K$36,MATCH(B1038,PEMAGANG!$C$3:$C$36,0))),1,0),0)</f>
        <v>1</v>
      </c>
      <c r="W1038" s="71">
        <f t="shared" si="152"/>
        <v>1</v>
      </c>
    </row>
    <row r="1039" spans="1:23" x14ac:dyDescent="0.2">
      <c r="A1039" s="71" t="s">
        <v>257</v>
      </c>
      <c r="B1039" s="71" t="s">
        <v>258</v>
      </c>
      <c r="C1039" s="71" t="s">
        <v>187</v>
      </c>
      <c r="D1039" s="71" t="s">
        <v>259</v>
      </c>
      <c r="E1039" s="71" t="s">
        <v>55</v>
      </c>
      <c r="F1039" s="71" t="s">
        <v>300</v>
      </c>
      <c r="G1039" s="88">
        <v>46198.6879976852</v>
      </c>
      <c r="H1039" s="89">
        <v>46198</v>
      </c>
      <c r="I1039" s="71" t="s">
        <v>330</v>
      </c>
      <c r="J1039" s="71">
        <v>0</v>
      </c>
      <c r="K1039" s="71" t="s">
        <v>302</v>
      </c>
      <c r="L1039" s="71">
        <f t="shared" si="144"/>
        <v>6</v>
      </c>
      <c r="M1039" s="71" t="str">
        <f>IFERROR(INDEX(KALENDER!$D$3:$D$132,MATCH(H1039,KALENDER!$A$3:$A$132,0)),"Di luar periode")</f>
        <v>Hari Kerja</v>
      </c>
      <c r="N1039" s="71">
        <f t="shared" si="145"/>
        <v>0</v>
      </c>
      <c r="O1039" s="71">
        <f t="shared" si="146"/>
        <v>1</v>
      </c>
      <c r="P1039" s="71">
        <f t="shared" si="147"/>
        <v>0</v>
      </c>
      <c r="Q1039" s="71">
        <f t="shared" si="148"/>
        <v>0</v>
      </c>
      <c r="R1039" s="71">
        <f t="shared" si="149"/>
        <v>0</v>
      </c>
      <c r="S1039" s="71">
        <f t="shared" si="150"/>
        <v>0</v>
      </c>
      <c r="T1039" s="71">
        <f t="shared" si="151"/>
        <v>0</v>
      </c>
      <c r="U1039" s="71">
        <f>IF(AND(N1039=1,V1039=1),IF(COUNTIFS(AKTIVITAS!$B$2:$B$3052,B1039,AKTIVITAS!$E$2:$E$3052,H1039)&gt;0,1,0),0)</f>
        <v>0</v>
      </c>
      <c r="V1039" s="71">
        <f>IFERROR(IF(AND(H1039&gt;=INDEX(PEMAGANG!$J$3:$J$36,MATCH(B1039,PEMAGANG!$C$3:$C$36,0)),H1039&lt;=INDEX(PEMAGANG!$K$3:$K$36,MATCH(B1039,PEMAGANG!$C$3:$C$36,0))),1,0),0)</f>
        <v>1</v>
      </c>
      <c r="W1039" s="71">
        <f t="shared" si="152"/>
        <v>0</v>
      </c>
    </row>
    <row r="1040" spans="1:23" x14ac:dyDescent="0.2">
      <c r="A1040" s="71" t="s">
        <v>257</v>
      </c>
      <c r="B1040" s="71" t="s">
        <v>258</v>
      </c>
      <c r="C1040" s="71" t="s">
        <v>187</v>
      </c>
      <c r="D1040" s="71" t="s">
        <v>259</v>
      </c>
      <c r="E1040" s="71" t="s">
        <v>55</v>
      </c>
      <c r="F1040" s="71" t="s">
        <v>298</v>
      </c>
      <c r="G1040" s="88">
        <v>46199.280115740701</v>
      </c>
      <c r="H1040" s="89">
        <v>46199</v>
      </c>
      <c r="I1040" s="71" t="s">
        <v>499</v>
      </c>
      <c r="J1040" s="71">
        <v>-47</v>
      </c>
      <c r="K1040" s="71" t="s">
        <v>302</v>
      </c>
      <c r="L1040" s="71">
        <f t="shared" si="144"/>
        <v>6</v>
      </c>
      <c r="M1040" s="71" t="str">
        <f>IFERROR(INDEX(KALENDER!$D$3:$D$132,MATCH(H1040,KALENDER!$A$3:$A$132,0)),"Di luar periode")</f>
        <v>Hari Kerja</v>
      </c>
      <c r="N1040" s="71">
        <f t="shared" si="145"/>
        <v>1</v>
      </c>
      <c r="O1040" s="71">
        <f t="shared" si="146"/>
        <v>1</v>
      </c>
      <c r="P1040" s="71">
        <f t="shared" si="147"/>
        <v>1</v>
      </c>
      <c r="Q1040" s="71">
        <f t="shared" si="148"/>
        <v>0</v>
      </c>
      <c r="R1040" s="71">
        <f t="shared" si="149"/>
        <v>0</v>
      </c>
      <c r="S1040" s="71">
        <f t="shared" si="150"/>
        <v>0</v>
      </c>
      <c r="T1040" s="71">
        <f t="shared" si="151"/>
        <v>0</v>
      </c>
      <c r="U1040" s="71">
        <f>IF(AND(N1040=1,V1040=1),IF(COUNTIFS(AKTIVITAS!$B$2:$B$3052,B1040,AKTIVITAS!$E$2:$E$3052,H1040)&gt;0,1,0),0)</f>
        <v>1</v>
      </c>
      <c r="V1040" s="71">
        <f>IFERROR(IF(AND(H1040&gt;=INDEX(PEMAGANG!$J$3:$J$36,MATCH(B1040,PEMAGANG!$C$3:$C$36,0)),H1040&lt;=INDEX(PEMAGANG!$K$3:$K$36,MATCH(B1040,PEMAGANG!$C$3:$C$36,0))),1,0),0)</f>
        <v>1</v>
      </c>
      <c r="W1040" s="71">
        <f t="shared" si="152"/>
        <v>1</v>
      </c>
    </row>
    <row r="1041" spans="1:23" x14ac:dyDescent="0.2">
      <c r="A1041" s="71" t="s">
        <v>257</v>
      </c>
      <c r="B1041" s="71" t="s">
        <v>258</v>
      </c>
      <c r="C1041" s="71" t="s">
        <v>187</v>
      </c>
      <c r="D1041" s="71" t="s">
        <v>259</v>
      </c>
      <c r="E1041" s="71" t="s">
        <v>55</v>
      </c>
      <c r="F1041" s="71" t="s">
        <v>300</v>
      </c>
      <c r="G1041" s="88">
        <v>46199.687534722201</v>
      </c>
      <c r="H1041" s="89">
        <v>46199</v>
      </c>
      <c r="I1041" s="71" t="s">
        <v>330</v>
      </c>
      <c r="J1041" s="71">
        <v>0</v>
      </c>
      <c r="K1041" s="71" t="s">
        <v>302</v>
      </c>
      <c r="L1041" s="71">
        <f t="shared" si="144"/>
        <v>6</v>
      </c>
      <c r="M1041" s="71" t="str">
        <f>IFERROR(INDEX(KALENDER!$D$3:$D$132,MATCH(H1041,KALENDER!$A$3:$A$132,0)),"Di luar periode")</f>
        <v>Hari Kerja</v>
      </c>
      <c r="N1041" s="71">
        <f t="shared" si="145"/>
        <v>0</v>
      </c>
      <c r="O1041" s="71">
        <f t="shared" si="146"/>
        <v>1</v>
      </c>
      <c r="P1041" s="71">
        <f t="shared" si="147"/>
        <v>0</v>
      </c>
      <c r="Q1041" s="71">
        <f t="shared" si="148"/>
        <v>0</v>
      </c>
      <c r="R1041" s="71">
        <f t="shared" si="149"/>
        <v>0</v>
      </c>
      <c r="S1041" s="71">
        <f t="shared" si="150"/>
        <v>0</v>
      </c>
      <c r="T1041" s="71">
        <f t="shared" si="151"/>
        <v>0</v>
      </c>
      <c r="U1041" s="71">
        <f>IF(AND(N1041=1,V1041=1),IF(COUNTIFS(AKTIVITAS!$B$2:$B$3052,B1041,AKTIVITAS!$E$2:$E$3052,H1041)&gt;0,1,0),0)</f>
        <v>0</v>
      </c>
      <c r="V1041" s="71">
        <f>IFERROR(IF(AND(H1041&gt;=INDEX(PEMAGANG!$J$3:$J$36,MATCH(B1041,PEMAGANG!$C$3:$C$36,0)),H1041&lt;=INDEX(PEMAGANG!$K$3:$K$36,MATCH(B1041,PEMAGANG!$C$3:$C$36,0))),1,0),0)</f>
        <v>1</v>
      </c>
      <c r="W1041" s="71">
        <f t="shared" si="152"/>
        <v>0</v>
      </c>
    </row>
    <row r="1042" spans="1:23" x14ac:dyDescent="0.2">
      <c r="A1042" s="71" t="s">
        <v>257</v>
      </c>
      <c r="B1042" s="71" t="s">
        <v>258</v>
      </c>
      <c r="C1042" s="71" t="s">
        <v>187</v>
      </c>
      <c r="D1042" s="71" t="s">
        <v>259</v>
      </c>
      <c r="E1042" s="71" t="s">
        <v>55</v>
      </c>
      <c r="F1042" s="71" t="s">
        <v>298</v>
      </c>
      <c r="G1042" s="88">
        <v>46202.276620370401</v>
      </c>
      <c r="H1042" s="89">
        <v>46202</v>
      </c>
      <c r="I1042" s="71" t="s">
        <v>500</v>
      </c>
      <c r="J1042" s="71">
        <v>-52.000000000000099</v>
      </c>
      <c r="K1042" s="71" t="s">
        <v>302</v>
      </c>
      <c r="L1042" s="71">
        <f t="shared" si="144"/>
        <v>6</v>
      </c>
      <c r="M1042" s="71" t="str">
        <f>IFERROR(INDEX(KALENDER!$D$3:$D$132,MATCH(H1042,KALENDER!$A$3:$A$132,0)),"Di luar periode")</f>
        <v>Hari Kerja</v>
      </c>
      <c r="N1042" s="71">
        <f t="shared" si="145"/>
        <v>1</v>
      </c>
      <c r="O1042" s="71">
        <f t="shared" si="146"/>
        <v>1</v>
      </c>
      <c r="P1042" s="71">
        <f t="shared" si="147"/>
        <v>1</v>
      </c>
      <c r="Q1042" s="71">
        <f t="shared" si="148"/>
        <v>0</v>
      </c>
      <c r="R1042" s="71">
        <f t="shared" si="149"/>
        <v>0</v>
      </c>
      <c r="S1042" s="71">
        <f t="shared" si="150"/>
        <v>0</v>
      </c>
      <c r="T1042" s="71">
        <f t="shared" si="151"/>
        <v>0</v>
      </c>
      <c r="U1042" s="71">
        <f>IF(AND(N1042=1,V1042=1),IF(COUNTIFS(AKTIVITAS!$B$2:$B$3052,B1042,AKTIVITAS!$E$2:$E$3052,H1042)&gt;0,1,0),0)</f>
        <v>1</v>
      </c>
      <c r="V1042" s="71">
        <f>IFERROR(IF(AND(H1042&gt;=INDEX(PEMAGANG!$J$3:$J$36,MATCH(B1042,PEMAGANG!$C$3:$C$36,0)),H1042&lt;=INDEX(PEMAGANG!$K$3:$K$36,MATCH(B1042,PEMAGANG!$C$3:$C$36,0))),1,0),0)</f>
        <v>1</v>
      </c>
      <c r="W1042" s="71">
        <f t="shared" si="152"/>
        <v>1</v>
      </c>
    </row>
    <row r="1043" spans="1:23" x14ac:dyDescent="0.2">
      <c r="A1043" s="71" t="s">
        <v>257</v>
      </c>
      <c r="B1043" s="71" t="s">
        <v>258</v>
      </c>
      <c r="C1043" s="71" t="s">
        <v>187</v>
      </c>
      <c r="D1043" s="71" t="s">
        <v>259</v>
      </c>
      <c r="E1043" s="71" t="s">
        <v>55</v>
      </c>
      <c r="F1043" s="71" t="s">
        <v>300</v>
      </c>
      <c r="G1043" s="88">
        <v>46202.687511574099</v>
      </c>
      <c r="H1043" s="89">
        <v>46202</v>
      </c>
      <c r="I1043" s="71" t="s">
        <v>330</v>
      </c>
      <c r="J1043" s="71">
        <v>0</v>
      </c>
      <c r="K1043" s="71" t="s">
        <v>302</v>
      </c>
      <c r="L1043" s="71">
        <f t="shared" si="144"/>
        <v>6</v>
      </c>
      <c r="M1043" s="71" t="str">
        <f>IFERROR(INDEX(KALENDER!$D$3:$D$132,MATCH(H1043,KALENDER!$A$3:$A$132,0)),"Di luar periode")</f>
        <v>Hari Kerja</v>
      </c>
      <c r="N1043" s="71">
        <f t="shared" si="145"/>
        <v>0</v>
      </c>
      <c r="O1043" s="71">
        <f t="shared" si="146"/>
        <v>1</v>
      </c>
      <c r="P1043" s="71">
        <f t="shared" si="147"/>
        <v>0</v>
      </c>
      <c r="Q1043" s="71">
        <f t="shared" si="148"/>
        <v>0</v>
      </c>
      <c r="R1043" s="71">
        <f t="shared" si="149"/>
        <v>0</v>
      </c>
      <c r="S1043" s="71">
        <f t="shared" si="150"/>
        <v>0</v>
      </c>
      <c r="T1043" s="71">
        <f t="shared" si="151"/>
        <v>0</v>
      </c>
      <c r="U1043" s="71">
        <f>IF(AND(N1043=1,V1043=1),IF(COUNTIFS(AKTIVITAS!$B$2:$B$3052,B1043,AKTIVITAS!$E$2:$E$3052,H1043)&gt;0,1,0),0)</f>
        <v>0</v>
      </c>
      <c r="V1043" s="71">
        <f>IFERROR(IF(AND(H1043&gt;=INDEX(PEMAGANG!$J$3:$J$36,MATCH(B1043,PEMAGANG!$C$3:$C$36,0)),H1043&lt;=INDEX(PEMAGANG!$K$3:$K$36,MATCH(B1043,PEMAGANG!$C$3:$C$36,0))),1,0),0)</f>
        <v>1</v>
      </c>
      <c r="W1043" s="71">
        <f t="shared" si="152"/>
        <v>0</v>
      </c>
    </row>
    <row r="1044" spans="1:23" x14ac:dyDescent="0.2">
      <c r="A1044" s="71" t="s">
        <v>257</v>
      </c>
      <c r="B1044" s="71" t="s">
        <v>258</v>
      </c>
      <c r="C1044" s="71" t="s">
        <v>187</v>
      </c>
      <c r="D1044" s="71" t="s">
        <v>259</v>
      </c>
      <c r="E1044" s="71" t="s">
        <v>55</v>
      </c>
      <c r="F1044" s="71" t="s">
        <v>298</v>
      </c>
      <c r="G1044" s="88">
        <v>46203.277534722198</v>
      </c>
      <c r="H1044" s="89">
        <v>46203</v>
      </c>
      <c r="I1044" s="71" t="s">
        <v>502</v>
      </c>
      <c r="J1044" s="71">
        <v>-51</v>
      </c>
      <c r="K1044" s="71" t="s">
        <v>302</v>
      </c>
      <c r="L1044" s="71">
        <f t="shared" si="144"/>
        <v>6</v>
      </c>
      <c r="M1044" s="71" t="str">
        <f>IFERROR(INDEX(KALENDER!$D$3:$D$132,MATCH(H1044,KALENDER!$A$3:$A$132,0)),"Di luar periode")</f>
        <v>Hari Kerja</v>
      </c>
      <c r="N1044" s="71">
        <f t="shared" si="145"/>
        <v>1</v>
      </c>
      <c r="O1044" s="71">
        <f t="shared" si="146"/>
        <v>1</v>
      </c>
      <c r="P1044" s="71">
        <f t="shared" si="147"/>
        <v>1</v>
      </c>
      <c r="Q1044" s="71">
        <f t="shared" si="148"/>
        <v>0</v>
      </c>
      <c r="R1044" s="71">
        <f t="shared" si="149"/>
        <v>0</v>
      </c>
      <c r="S1044" s="71">
        <f t="shared" si="150"/>
        <v>0</v>
      </c>
      <c r="T1044" s="71">
        <f t="shared" si="151"/>
        <v>1</v>
      </c>
      <c r="U1044" s="71">
        <f>IF(AND(N1044=1,V1044=1),IF(COUNTIFS(AKTIVITAS!$B$2:$B$3052,B1044,AKTIVITAS!$E$2:$E$3052,H1044)&gt;0,1,0),0)</f>
        <v>0</v>
      </c>
      <c r="V1044" s="71">
        <f>IFERROR(IF(AND(H1044&gt;=INDEX(PEMAGANG!$J$3:$J$36,MATCH(B1044,PEMAGANG!$C$3:$C$36,0)),H1044&lt;=INDEX(PEMAGANG!$K$3:$K$36,MATCH(B1044,PEMAGANG!$C$3:$C$36,0))),1,0),0)</f>
        <v>1</v>
      </c>
      <c r="W1044" s="71">
        <f t="shared" si="152"/>
        <v>1</v>
      </c>
    </row>
    <row r="1045" spans="1:23" x14ac:dyDescent="0.2">
      <c r="A1045" s="71" t="s">
        <v>257</v>
      </c>
      <c r="B1045" s="71" t="s">
        <v>258</v>
      </c>
      <c r="C1045" s="71" t="s">
        <v>187</v>
      </c>
      <c r="D1045" s="71" t="s">
        <v>259</v>
      </c>
      <c r="E1045" s="71" t="s">
        <v>55</v>
      </c>
      <c r="F1045" s="71" t="s">
        <v>298</v>
      </c>
      <c r="G1045" s="88">
        <v>46205.2953935185</v>
      </c>
      <c r="H1045" s="89">
        <v>46205</v>
      </c>
      <c r="I1045" s="71" t="s">
        <v>355</v>
      </c>
      <c r="J1045" s="71">
        <v>-25</v>
      </c>
      <c r="K1045" s="71" t="s">
        <v>302</v>
      </c>
      <c r="L1045" s="71">
        <f t="shared" si="144"/>
        <v>7</v>
      </c>
      <c r="M1045" s="71" t="str">
        <f>IFERROR(INDEX(KALENDER!$D$3:$D$132,MATCH(H1045,KALENDER!$A$3:$A$132,0)),"Di luar periode")</f>
        <v>Hari Kerja</v>
      </c>
      <c r="N1045" s="71">
        <f t="shared" si="145"/>
        <v>1</v>
      </c>
      <c r="O1045" s="71">
        <f t="shared" si="146"/>
        <v>1</v>
      </c>
      <c r="P1045" s="71">
        <f t="shared" si="147"/>
        <v>1</v>
      </c>
      <c r="Q1045" s="71">
        <f t="shared" si="148"/>
        <v>0</v>
      </c>
      <c r="R1045" s="71">
        <f t="shared" si="149"/>
        <v>0</v>
      </c>
      <c r="S1045" s="71">
        <f t="shared" si="150"/>
        <v>0</v>
      </c>
      <c r="T1045" s="71">
        <f t="shared" si="151"/>
        <v>0</v>
      </c>
      <c r="U1045" s="71">
        <f>IF(AND(N1045=1,V1045=1),IF(COUNTIFS(AKTIVITAS!$B$2:$B$3052,B1045,AKTIVITAS!$E$2:$E$3052,H1045)&gt;0,1,0),0)</f>
        <v>1</v>
      </c>
      <c r="V1045" s="71">
        <f>IFERROR(IF(AND(H1045&gt;=INDEX(PEMAGANG!$J$3:$J$36,MATCH(B1045,PEMAGANG!$C$3:$C$36,0)),H1045&lt;=INDEX(PEMAGANG!$K$3:$K$36,MATCH(B1045,PEMAGANG!$C$3:$C$36,0))),1,0),0)</f>
        <v>1</v>
      </c>
      <c r="W1045" s="71">
        <f t="shared" si="152"/>
        <v>1</v>
      </c>
    </row>
    <row r="1046" spans="1:23" x14ac:dyDescent="0.2">
      <c r="A1046" s="71" t="s">
        <v>257</v>
      </c>
      <c r="B1046" s="71" t="s">
        <v>258</v>
      </c>
      <c r="C1046" s="71" t="s">
        <v>187</v>
      </c>
      <c r="D1046" s="71" t="s">
        <v>259</v>
      </c>
      <c r="E1046" s="71" t="s">
        <v>55</v>
      </c>
      <c r="F1046" s="71" t="s">
        <v>300</v>
      </c>
      <c r="G1046" s="88">
        <v>46205.6876388889</v>
      </c>
      <c r="H1046" s="89">
        <v>46205</v>
      </c>
      <c r="I1046" s="71" t="s">
        <v>330</v>
      </c>
      <c r="J1046" s="71">
        <v>0</v>
      </c>
      <c r="K1046" s="71" t="s">
        <v>302</v>
      </c>
      <c r="L1046" s="71">
        <f t="shared" si="144"/>
        <v>7</v>
      </c>
      <c r="M1046" s="71" t="str">
        <f>IFERROR(INDEX(KALENDER!$D$3:$D$132,MATCH(H1046,KALENDER!$A$3:$A$132,0)),"Di luar periode")</f>
        <v>Hari Kerja</v>
      </c>
      <c r="N1046" s="71">
        <f t="shared" si="145"/>
        <v>0</v>
      </c>
      <c r="O1046" s="71">
        <f t="shared" si="146"/>
        <v>1</v>
      </c>
      <c r="P1046" s="71">
        <f t="shared" si="147"/>
        <v>0</v>
      </c>
      <c r="Q1046" s="71">
        <f t="shared" si="148"/>
        <v>0</v>
      </c>
      <c r="R1046" s="71">
        <f t="shared" si="149"/>
        <v>0</v>
      </c>
      <c r="S1046" s="71">
        <f t="shared" si="150"/>
        <v>0</v>
      </c>
      <c r="T1046" s="71">
        <f t="shared" si="151"/>
        <v>0</v>
      </c>
      <c r="U1046" s="71">
        <f>IF(AND(N1046=1,V1046=1),IF(COUNTIFS(AKTIVITAS!$B$2:$B$3052,B1046,AKTIVITAS!$E$2:$E$3052,H1046)&gt;0,1,0),0)</f>
        <v>0</v>
      </c>
      <c r="V1046" s="71">
        <f>IFERROR(IF(AND(H1046&gt;=INDEX(PEMAGANG!$J$3:$J$36,MATCH(B1046,PEMAGANG!$C$3:$C$36,0)),H1046&lt;=INDEX(PEMAGANG!$K$3:$K$36,MATCH(B1046,PEMAGANG!$C$3:$C$36,0))),1,0),0)</f>
        <v>1</v>
      </c>
      <c r="W1046" s="71">
        <f t="shared" si="152"/>
        <v>0</v>
      </c>
    </row>
    <row r="1047" spans="1:23" x14ac:dyDescent="0.2">
      <c r="A1047" s="71" t="s">
        <v>257</v>
      </c>
      <c r="B1047" s="71" t="s">
        <v>258</v>
      </c>
      <c r="C1047" s="71" t="s">
        <v>187</v>
      </c>
      <c r="D1047" s="71" t="s">
        <v>259</v>
      </c>
      <c r="E1047" s="71" t="s">
        <v>55</v>
      </c>
      <c r="F1047" s="71" t="s">
        <v>298</v>
      </c>
      <c r="G1047" s="88">
        <v>46206.283668981501</v>
      </c>
      <c r="H1047" s="89">
        <v>46206</v>
      </c>
      <c r="I1047" s="71" t="s">
        <v>503</v>
      </c>
      <c r="J1047" s="71">
        <v>-42</v>
      </c>
      <c r="K1047" s="71" t="s">
        <v>302</v>
      </c>
      <c r="L1047" s="71">
        <f t="shared" si="144"/>
        <v>7</v>
      </c>
      <c r="M1047" s="71" t="str">
        <f>IFERROR(INDEX(KALENDER!$D$3:$D$132,MATCH(H1047,KALENDER!$A$3:$A$132,0)),"Di luar periode")</f>
        <v>Hari Kerja</v>
      </c>
      <c r="N1047" s="71">
        <f t="shared" si="145"/>
        <v>1</v>
      </c>
      <c r="O1047" s="71">
        <f t="shared" si="146"/>
        <v>1</v>
      </c>
      <c r="P1047" s="71">
        <f t="shared" si="147"/>
        <v>1</v>
      </c>
      <c r="Q1047" s="71">
        <f t="shared" si="148"/>
        <v>0</v>
      </c>
      <c r="R1047" s="71">
        <f t="shared" si="149"/>
        <v>0</v>
      </c>
      <c r="S1047" s="71">
        <f t="shared" si="150"/>
        <v>0</v>
      </c>
      <c r="T1047" s="71">
        <f t="shared" si="151"/>
        <v>0</v>
      </c>
      <c r="U1047" s="71">
        <f>IF(AND(N1047=1,V1047=1),IF(COUNTIFS(AKTIVITAS!$B$2:$B$3052,B1047,AKTIVITAS!$E$2:$E$3052,H1047)&gt;0,1,0),0)</f>
        <v>1</v>
      </c>
      <c r="V1047" s="71">
        <f>IFERROR(IF(AND(H1047&gt;=INDEX(PEMAGANG!$J$3:$J$36,MATCH(B1047,PEMAGANG!$C$3:$C$36,0)),H1047&lt;=INDEX(PEMAGANG!$K$3:$K$36,MATCH(B1047,PEMAGANG!$C$3:$C$36,0))),1,0),0)</f>
        <v>1</v>
      </c>
      <c r="W1047" s="71">
        <f t="shared" si="152"/>
        <v>1</v>
      </c>
    </row>
    <row r="1048" spans="1:23" x14ac:dyDescent="0.2">
      <c r="A1048" s="71" t="s">
        <v>257</v>
      </c>
      <c r="B1048" s="71" t="s">
        <v>258</v>
      </c>
      <c r="C1048" s="71" t="s">
        <v>187</v>
      </c>
      <c r="D1048" s="71" t="s">
        <v>259</v>
      </c>
      <c r="E1048" s="71" t="s">
        <v>55</v>
      </c>
      <c r="F1048" s="71" t="s">
        <v>300</v>
      </c>
      <c r="G1048" s="88">
        <v>46206.692581018498</v>
      </c>
      <c r="H1048" s="89">
        <v>46206</v>
      </c>
      <c r="I1048" s="71" t="s">
        <v>328</v>
      </c>
      <c r="J1048" s="71">
        <v>0</v>
      </c>
      <c r="K1048" s="71" t="s">
        <v>302</v>
      </c>
      <c r="L1048" s="71">
        <f t="shared" si="144"/>
        <v>7</v>
      </c>
      <c r="M1048" s="71" t="str">
        <f>IFERROR(INDEX(KALENDER!$D$3:$D$132,MATCH(H1048,KALENDER!$A$3:$A$132,0)),"Di luar periode")</f>
        <v>Hari Kerja</v>
      </c>
      <c r="N1048" s="71">
        <f t="shared" si="145"/>
        <v>0</v>
      </c>
      <c r="O1048" s="71">
        <f t="shared" si="146"/>
        <v>1</v>
      </c>
      <c r="P1048" s="71">
        <f t="shared" si="147"/>
        <v>0</v>
      </c>
      <c r="Q1048" s="71">
        <f t="shared" si="148"/>
        <v>0</v>
      </c>
      <c r="R1048" s="71">
        <f t="shared" si="149"/>
        <v>0</v>
      </c>
      <c r="S1048" s="71">
        <f t="shared" si="150"/>
        <v>0</v>
      </c>
      <c r="T1048" s="71">
        <f t="shared" si="151"/>
        <v>0</v>
      </c>
      <c r="U1048" s="71">
        <f>IF(AND(N1048=1,V1048=1),IF(COUNTIFS(AKTIVITAS!$B$2:$B$3052,B1048,AKTIVITAS!$E$2:$E$3052,H1048)&gt;0,1,0),0)</f>
        <v>0</v>
      </c>
      <c r="V1048" s="71">
        <f>IFERROR(IF(AND(H1048&gt;=INDEX(PEMAGANG!$J$3:$J$36,MATCH(B1048,PEMAGANG!$C$3:$C$36,0)),H1048&lt;=INDEX(PEMAGANG!$K$3:$K$36,MATCH(B1048,PEMAGANG!$C$3:$C$36,0))),1,0),0)</f>
        <v>1</v>
      </c>
      <c r="W1048" s="71">
        <f t="shared" si="152"/>
        <v>0</v>
      </c>
    </row>
    <row r="1049" spans="1:23" x14ac:dyDescent="0.2">
      <c r="A1049" s="71" t="s">
        <v>257</v>
      </c>
      <c r="B1049" s="71" t="s">
        <v>258</v>
      </c>
      <c r="C1049" s="71" t="s">
        <v>187</v>
      </c>
      <c r="D1049" s="71" t="s">
        <v>259</v>
      </c>
      <c r="E1049" s="71" t="s">
        <v>55</v>
      </c>
      <c r="F1049" s="71" t="s">
        <v>298</v>
      </c>
      <c r="G1049" s="88">
        <v>46209.2891087963</v>
      </c>
      <c r="H1049" s="89">
        <v>46209</v>
      </c>
      <c r="I1049" s="71" t="s">
        <v>504</v>
      </c>
      <c r="J1049" s="71">
        <v>-34</v>
      </c>
      <c r="K1049" s="71" t="s">
        <v>302</v>
      </c>
      <c r="L1049" s="71">
        <f t="shared" si="144"/>
        <v>7</v>
      </c>
      <c r="M1049" s="71" t="str">
        <f>IFERROR(INDEX(KALENDER!$D$3:$D$132,MATCH(H1049,KALENDER!$A$3:$A$132,0)),"Di luar periode")</f>
        <v>Hari Kerja</v>
      </c>
      <c r="N1049" s="71">
        <f t="shared" si="145"/>
        <v>1</v>
      </c>
      <c r="O1049" s="71">
        <f t="shared" si="146"/>
        <v>1</v>
      </c>
      <c r="P1049" s="71">
        <f t="shared" si="147"/>
        <v>1</v>
      </c>
      <c r="Q1049" s="71">
        <f t="shared" si="148"/>
        <v>0</v>
      </c>
      <c r="R1049" s="71">
        <f t="shared" si="149"/>
        <v>0</v>
      </c>
      <c r="S1049" s="71">
        <f t="shared" si="150"/>
        <v>0</v>
      </c>
      <c r="T1049" s="71">
        <f t="shared" si="151"/>
        <v>0</v>
      </c>
      <c r="U1049" s="71">
        <f>IF(AND(N1049=1,V1049=1),IF(COUNTIFS(AKTIVITAS!$B$2:$B$3052,B1049,AKTIVITAS!$E$2:$E$3052,H1049)&gt;0,1,0),0)</f>
        <v>1</v>
      </c>
      <c r="V1049" s="71">
        <f>IFERROR(IF(AND(H1049&gt;=INDEX(PEMAGANG!$J$3:$J$36,MATCH(B1049,PEMAGANG!$C$3:$C$36,0)),H1049&lt;=INDEX(PEMAGANG!$K$3:$K$36,MATCH(B1049,PEMAGANG!$C$3:$C$36,0))),1,0),0)</f>
        <v>1</v>
      </c>
      <c r="W1049" s="71">
        <f t="shared" si="152"/>
        <v>1</v>
      </c>
    </row>
    <row r="1050" spans="1:23" x14ac:dyDescent="0.2">
      <c r="A1050" s="71" t="s">
        <v>257</v>
      </c>
      <c r="B1050" s="71" t="s">
        <v>258</v>
      </c>
      <c r="C1050" s="71" t="s">
        <v>187</v>
      </c>
      <c r="D1050" s="71" t="s">
        <v>259</v>
      </c>
      <c r="E1050" s="71" t="s">
        <v>55</v>
      </c>
      <c r="F1050" s="71" t="s">
        <v>300</v>
      </c>
      <c r="G1050" s="88">
        <v>46209.687916666699</v>
      </c>
      <c r="H1050" s="89">
        <v>46209</v>
      </c>
      <c r="I1050" s="71" t="s">
        <v>330</v>
      </c>
      <c r="J1050" s="71">
        <v>0</v>
      </c>
      <c r="K1050" s="71" t="s">
        <v>302</v>
      </c>
      <c r="L1050" s="71">
        <f t="shared" si="144"/>
        <v>7</v>
      </c>
      <c r="M1050" s="71" t="str">
        <f>IFERROR(INDEX(KALENDER!$D$3:$D$132,MATCH(H1050,KALENDER!$A$3:$A$132,0)),"Di luar periode")</f>
        <v>Hari Kerja</v>
      </c>
      <c r="N1050" s="71">
        <f t="shared" si="145"/>
        <v>0</v>
      </c>
      <c r="O1050" s="71">
        <f t="shared" si="146"/>
        <v>1</v>
      </c>
      <c r="P1050" s="71">
        <f t="shared" si="147"/>
        <v>0</v>
      </c>
      <c r="Q1050" s="71">
        <f t="shared" si="148"/>
        <v>0</v>
      </c>
      <c r="R1050" s="71">
        <f t="shared" si="149"/>
        <v>0</v>
      </c>
      <c r="S1050" s="71">
        <f t="shared" si="150"/>
        <v>0</v>
      </c>
      <c r="T1050" s="71">
        <f t="shared" si="151"/>
        <v>0</v>
      </c>
      <c r="U1050" s="71">
        <f>IF(AND(N1050=1,V1050=1),IF(COUNTIFS(AKTIVITAS!$B$2:$B$3052,B1050,AKTIVITAS!$E$2:$E$3052,H1050)&gt;0,1,0),0)</f>
        <v>0</v>
      </c>
      <c r="V1050" s="71">
        <f>IFERROR(IF(AND(H1050&gt;=INDEX(PEMAGANG!$J$3:$J$36,MATCH(B1050,PEMAGANG!$C$3:$C$36,0)),H1050&lt;=INDEX(PEMAGANG!$K$3:$K$36,MATCH(B1050,PEMAGANG!$C$3:$C$36,0))),1,0),0)</f>
        <v>1</v>
      </c>
      <c r="W1050" s="71">
        <f t="shared" si="152"/>
        <v>0</v>
      </c>
    </row>
    <row r="1051" spans="1:23" x14ac:dyDescent="0.2">
      <c r="A1051" s="71" t="s">
        <v>257</v>
      </c>
      <c r="B1051" s="71" t="s">
        <v>258</v>
      </c>
      <c r="C1051" s="71" t="s">
        <v>187</v>
      </c>
      <c r="D1051" s="71" t="s">
        <v>259</v>
      </c>
      <c r="E1051" s="71" t="s">
        <v>55</v>
      </c>
      <c r="F1051" s="71" t="s">
        <v>298</v>
      </c>
      <c r="G1051" s="88">
        <v>46210.273020833301</v>
      </c>
      <c r="H1051" s="89">
        <v>46210</v>
      </c>
      <c r="I1051" s="71" t="s">
        <v>505</v>
      </c>
      <c r="J1051" s="71">
        <v>-57</v>
      </c>
      <c r="K1051" s="71" t="s">
        <v>302</v>
      </c>
      <c r="L1051" s="71">
        <f t="shared" si="144"/>
        <v>7</v>
      </c>
      <c r="M1051" s="71" t="str">
        <f>IFERROR(INDEX(KALENDER!$D$3:$D$132,MATCH(H1051,KALENDER!$A$3:$A$132,0)),"Di luar periode")</f>
        <v>Hari Kerja</v>
      </c>
      <c r="N1051" s="71">
        <f t="shared" si="145"/>
        <v>1</v>
      </c>
      <c r="O1051" s="71">
        <f t="shared" si="146"/>
        <v>1</v>
      </c>
      <c r="P1051" s="71">
        <f t="shared" si="147"/>
        <v>1</v>
      </c>
      <c r="Q1051" s="71">
        <f t="shared" si="148"/>
        <v>0</v>
      </c>
      <c r="R1051" s="71">
        <f t="shared" si="149"/>
        <v>0</v>
      </c>
      <c r="S1051" s="71">
        <f t="shared" si="150"/>
        <v>0</v>
      </c>
      <c r="T1051" s="71">
        <f t="shared" si="151"/>
        <v>0</v>
      </c>
      <c r="U1051" s="71">
        <f>IF(AND(N1051=1,V1051=1),IF(COUNTIFS(AKTIVITAS!$B$2:$B$3052,B1051,AKTIVITAS!$E$2:$E$3052,H1051)&gt;0,1,0),0)</f>
        <v>1</v>
      </c>
      <c r="V1051" s="71">
        <f>IFERROR(IF(AND(H1051&gt;=INDEX(PEMAGANG!$J$3:$J$36,MATCH(B1051,PEMAGANG!$C$3:$C$36,0)),H1051&lt;=INDEX(PEMAGANG!$K$3:$K$36,MATCH(B1051,PEMAGANG!$C$3:$C$36,0))),1,0),0)</f>
        <v>1</v>
      </c>
      <c r="W1051" s="71">
        <f t="shared" si="152"/>
        <v>1</v>
      </c>
    </row>
    <row r="1052" spans="1:23" x14ac:dyDescent="0.2">
      <c r="A1052" s="71" t="s">
        <v>257</v>
      </c>
      <c r="B1052" s="71" t="s">
        <v>258</v>
      </c>
      <c r="C1052" s="71" t="s">
        <v>187</v>
      </c>
      <c r="D1052" s="71" t="s">
        <v>259</v>
      </c>
      <c r="E1052" s="71" t="s">
        <v>55</v>
      </c>
      <c r="F1052" s="71" t="s">
        <v>300</v>
      </c>
      <c r="G1052" s="88">
        <v>46210.6875462963</v>
      </c>
      <c r="H1052" s="89">
        <v>46210</v>
      </c>
      <c r="I1052" s="71" t="s">
        <v>330</v>
      </c>
      <c r="J1052" s="71">
        <v>0</v>
      </c>
      <c r="K1052" s="71" t="s">
        <v>302</v>
      </c>
      <c r="L1052" s="71">
        <f t="shared" si="144"/>
        <v>7</v>
      </c>
      <c r="M1052" s="71" t="str">
        <f>IFERROR(INDEX(KALENDER!$D$3:$D$132,MATCH(H1052,KALENDER!$A$3:$A$132,0)),"Di luar periode")</f>
        <v>Hari Kerja</v>
      </c>
      <c r="N1052" s="71">
        <f t="shared" si="145"/>
        <v>0</v>
      </c>
      <c r="O1052" s="71">
        <f t="shared" si="146"/>
        <v>1</v>
      </c>
      <c r="P1052" s="71">
        <f t="shared" si="147"/>
        <v>0</v>
      </c>
      <c r="Q1052" s="71">
        <f t="shared" si="148"/>
        <v>0</v>
      </c>
      <c r="R1052" s="71">
        <f t="shared" si="149"/>
        <v>0</v>
      </c>
      <c r="S1052" s="71">
        <f t="shared" si="150"/>
        <v>0</v>
      </c>
      <c r="T1052" s="71">
        <f t="shared" si="151"/>
        <v>0</v>
      </c>
      <c r="U1052" s="71">
        <f>IF(AND(N1052=1,V1052=1),IF(COUNTIFS(AKTIVITAS!$B$2:$B$3052,B1052,AKTIVITAS!$E$2:$E$3052,H1052)&gt;0,1,0),0)</f>
        <v>0</v>
      </c>
      <c r="V1052" s="71">
        <f>IFERROR(IF(AND(H1052&gt;=INDEX(PEMAGANG!$J$3:$J$36,MATCH(B1052,PEMAGANG!$C$3:$C$36,0)),H1052&lt;=INDEX(PEMAGANG!$K$3:$K$36,MATCH(B1052,PEMAGANG!$C$3:$C$36,0))),1,0),0)</f>
        <v>1</v>
      </c>
      <c r="W1052" s="71">
        <f t="shared" si="152"/>
        <v>0</v>
      </c>
    </row>
    <row r="1053" spans="1:23" x14ac:dyDescent="0.2">
      <c r="A1053" s="71" t="s">
        <v>257</v>
      </c>
      <c r="B1053" s="71" t="s">
        <v>258</v>
      </c>
      <c r="C1053" s="71" t="s">
        <v>187</v>
      </c>
      <c r="D1053" s="71" t="s">
        <v>259</v>
      </c>
      <c r="E1053" s="71" t="s">
        <v>55</v>
      </c>
      <c r="F1053" s="71" t="s">
        <v>298</v>
      </c>
      <c r="G1053" s="88">
        <v>46211.268692129597</v>
      </c>
      <c r="H1053" s="89">
        <v>46211</v>
      </c>
      <c r="I1053" s="71" t="s">
        <v>443</v>
      </c>
      <c r="J1053" s="71">
        <v>-64</v>
      </c>
      <c r="K1053" s="71" t="s">
        <v>302</v>
      </c>
      <c r="L1053" s="71">
        <f t="shared" si="144"/>
        <v>7</v>
      </c>
      <c r="M1053" s="71" t="str">
        <f>IFERROR(INDEX(KALENDER!$D$3:$D$132,MATCH(H1053,KALENDER!$A$3:$A$132,0)),"Di luar periode")</f>
        <v>WFH</v>
      </c>
      <c r="N1053" s="71">
        <f t="shared" si="145"/>
        <v>1</v>
      </c>
      <c r="O1053" s="71">
        <f t="shared" si="146"/>
        <v>1</v>
      </c>
      <c r="P1053" s="71">
        <f t="shared" si="147"/>
        <v>0</v>
      </c>
      <c r="Q1053" s="71">
        <f t="shared" si="148"/>
        <v>1</v>
      </c>
      <c r="R1053" s="71">
        <f t="shared" si="149"/>
        <v>0</v>
      </c>
      <c r="S1053" s="71">
        <f t="shared" si="150"/>
        <v>0</v>
      </c>
      <c r="T1053" s="71">
        <f t="shared" si="151"/>
        <v>0</v>
      </c>
      <c r="U1053" s="71">
        <f>IF(AND(N1053=1,V1053=1),IF(COUNTIFS(AKTIVITAS!$B$2:$B$3052,B1053,AKTIVITAS!$E$2:$E$3052,H1053)&gt;0,1,0),0)</f>
        <v>1</v>
      </c>
      <c r="V1053" s="71">
        <f>IFERROR(IF(AND(H1053&gt;=INDEX(PEMAGANG!$J$3:$J$36,MATCH(B1053,PEMAGANG!$C$3:$C$36,0)),H1053&lt;=INDEX(PEMAGANG!$K$3:$K$36,MATCH(B1053,PEMAGANG!$C$3:$C$36,0))),1,0),0)</f>
        <v>1</v>
      </c>
      <c r="W1053" s="71">
        <f t="shared" si="152"/>
        <v>1</v>
      </c>
    </row>
    <row r="1054" spans="1:23" x14ac:dyDescent="0.2">
      <c r="A1054" s="71" t="s">
        <v>257</v>
      </c>
      <c r="B1054" s="71" t="s">
        <v>258</v>
      </c>
      <c r="C1054" s="71" t="s">
        <v>187</v>
      </c>
      <c r="D1054" s="71" t="s">
        <v>259</v>
      </c>
      <c r="E1054" s="71" t="s">
        <v>55</v>
      </c>
      <c r="F1054" s="71" t="s">
        <v>300</v>
      </c>
      <c r="G1054" s="88">
        <v>46211.688692129603</v>
      </c>
      <c r="H1054" s="89">
        <v>46211</v>
      </c>
      <c r="I1054" s="71" t="s">
        <v>336</v>
      </c>
      <c r="J1054" s="71">
        <v>0</v>
      </c>
      <c r="K1054" s="71" t="s">
        <v>302</v>
      </c>
      <c r="L1054" s="71">
        <f t="shared" si="144"/>
        <v>7</v>
      </c>
      <c r="M1054" s="71" t="str">
        <f>IFERROR(INDEX(KALENDER!$D$3:$D$132,MATCH(H1054,KALENDER!$A$3:$A$132,0)),"Di luar periode")</f>
        <v>WFH</v>
      </c>
      <c r="N1054" s="71">
        <f t="shared" si="145"/>
        <v>0</v>
      </c>
      <c r="O1054" s="71">
        <f t="shared" si="146"/>
        <v>1</v>
      </c>
      <c r="P1054" s="71">
        <f t="shared" si="147"/>
        <v>0</v>
      </c>
      <c r="Q1054" s="71">
        <f t="shared" si="148"/>
        <v>0</v>
      </c>
      <c r="R1054" s="71">
        <f t="shared" si="149"/>
        <v>0</v>
      </c>
      <c r="S1054" s="71">
        <f t="shared" si="150"/>
        <v>0</v>
      </c>
      <c r="T1054" s="71">
        <f t="shared" si="151"/>
        <v>0</v>
      </c>
      <c r="U1054" s="71">
        <f>IF(AND(N1054=1,V1054=1),IF(COUNTIFS(AKTIVITAS!$B$2:$B$3052,B1054,AKTIVITAS!$E$2:$E$3052,H1054)&gt;0,1,0),0)</f>
        <v>0</v>
      </c>
      <c r="V1054" s="71">
        <f>IFERROR(IF(AND(H1054&gt;=INDEX(PEMAGANG!$J$3:$J$36,MATCH(B1054,PEMAGANG!$C$3:$C$36,0)),H1054&lt;=INDEX(PEMAGANG!$K$3:$K$36,MATCH(B1054,PEMAGANG!$C$3:$C$36,0))),1,0),0)</f>
        <v>1</v>
      </c>
      <c r="W1054" s="71">
        <f t="shared" si="152"/>
        <v>0</v>
      </c>
    </row>
    <row r="1055" spans="1:23" x14ac:dyDescent="0.2">
      <c r="A1055" s="71" t="s">
        <v>257</v>
      </c>
      <c r="B1055" s="71" t="s">
        <v>258</v>
      </c>
      <c r="C1055" s="71" t="s">
        <v>187</v>
      </c>
      <c r="D1055" s="71" t="s">
        <v>259</v>
      </c>
      <c r="E1055" s="71" t="s">
        <v>55</v>
      </c>
      <c r="F1055" s="71" t="s">
        <v>298</v>
      </c>
      <c r="G1055" s="88">
        <v>46212.277361111097</v>
      </c>
      <c r="H1055" s="89">
        <v>46212</v>
      </c>
      <c r="I1055" s="71" t="s">
        <v>502</v>
      </c>
      <c r="J1055" s="71">
        <v>-51</v>
      </c>
      <c r="K1055" s="71" t="s">
        <v>302</v>
      </c>
      <c r="L1055" s="71">
        <f t="shared" si="144"/>
        <v>7</v>
      </c>
      <c r="M1055" s="71" t="str">
        <f>IFERROR(INDEX(KALENDER!$D$3:$D$132,MATCH(H1055,KALENDER!$A$3:$A$132,0)),"Di luar periode")</f>
        <v>Hari Kerja</v>
      </c>
      <c r="N1055" s="71">
        <f t="shared" si="145"/>
        <v>1</v>
      </c>
      <c r="O1055" s="71">
        <f t="shared" si="146"/>
        <v>1</v>
      </c>
      <c r="P1055" s="71">
        <f t="shared" si="147"/>
        <v>1</v>
      </c>
      <c r="Q1055" s="71">
        <f t="shared" si="148"/>
        <v>0</v>
      </c>
      <c r="R1055" s="71">
        <f t="shared" si="149"/>
        <v>0</v>
      </c>
      <c r="S1055" s="71">
        <f t="shared" si="150"/>
        <v>0</v>
      </c>
      <c r="T1055" s="71">
        <f t="shared" si="151"/>
        <v>0</v>
      </c>
      <c r="U1055" s="71">
        <f>IF(AND(N1055=1,V1055=1),IF(COUNTIFS(AKTIVITAS!$B$2:$B$3052,B1055,AKTIVITAS!$E$2:$E$3052,H1055)&gt;0,1,0),0)</f>
        <v>0</v>
      </c>
      <c r="V1055" s="71">
        <f>IFERROR(IF(AND(H1055&gt;=INDEX(PEMAGANG!$J$3:$J$36,MATCH(B1055,PEMAGANG!$C$3:$C$36,0)),H1055&lt;=INDEX(PEMAGANG!$K$3:$K$36,MATCH(B1055,PEMAGANG!$C$3:$C$36,0))),1,0),0)</f>
        <v>1</v>
      </c>
      <c r="W1055" s="71">
        <f t="shared" si="152"/>
        <v>1</v>
      </c>
    </row>
    <row r="1056" spans="1:23" x14ac:dyDescent="0.2">
      <c r="A1056" s="71" t="s">
        <v>257</v>
      </c>
      <c r="B1056" s="71" t="s">
        <v>258</v>
      </c>
      <c r="C1056" s="71" t="s">
        <v>187</v>
      </c>
      <c r="D1056" s="71" t="s">
        <v>259</v>
      </c>
      <c r="E1056" s="71" t="s">
        <v>55</v>
      </c>
      <c r="F1056" s="71" t="s">
        <v>300</v>
      </c>
      <c r="G1056" s="88">
        <v>46212.687604166698</v>
      </c>
      <c r="H1056" s="89">
        <v>46212</v>
      </c>
      <c r="I1056" s="71" t="s">
        <v>330</v>
      </c>
      <c r="J1056" s="71">
        <v>0</v>
      </c>
      <c r="K1056" s="71" t="s">
        <v>302</v>
      </c>
      <c r="L1056" s="71">
        <f t="shared" si="144"/>
        <v>7</v>
      </c>
      <c r="M1056" s="71" t="str">
        <f>IFERROR(INDEX(KALENDER!$D$3:$D$132,MATCH(H1056,KALENDER!$A$3:$A$132,0)),"Di luar periode")</f>
        <v>Hari Kerja</v>
      </c>
      <c r="N1056" s="71">
        <f t="shared" si="145"/>
        <v>0</v>
      </c>
      <c r="O1056" s="71">
        <f t="shared" si="146"/>
        <v>1</v>
      </c>
      <c r="P1056" s="71">
        <f t="shared" si="147"/>
        <v>0</v>
      </c>
      <c r="Q1056" s="71">
        <f t="shared" si="148"/>
        <v>0</v>
      </c>
      <c r="R1056" s="71">
        <f t="shared" si="149"/>
        <v>0</v>
      </c>
      <c r="S1056" s="71">
        <f t="shared" si="150"/>
        <v>0</v>
      </c>
      <c r="T1056" s="71">
        <f t="shared" si="151"/>
        <v>0</v>
      </c>
      <c r="U1056" s="71">
        <f>IF(AND(N1056=1,V1056=1),IF(COUNTIFS(AKTIVITAS!$B$2:$B$3052,B1056,AKTIVITAS!$E$2:$E$3052,H1056)&gt;0,1,0),0)</f>
        <v>0</v>
      </c>
      <c r="V1056" s="71">
        <f>IFERROR(IF(AND(H1056&gt;=INDEX(PEMAGANG!$J$3:$J$36,MATCH(B1056,PEMAGANG!$C$3:$C$36,0)),H1056&lt;=INDEX(PEMAGANG!$K$3:$K$36,MATCH(B1056,PEMAGANG!$C$3:$C$36,0))),1,0),0)</f>
        <v>1</v>
      </c>
      <c r="W1056" s="71">
        <f t="shared" si="152"/>
        <v>0</v>
      </c>
    </row>
    <row r="1057" spans="1:23" x14ac:dyDescent="0.2">
      <c r="A1057" s="71" t="s">
        <v>257</v>
      </c>
      <c r="B1057" s="71" t="s">
        <v>258</v>
      </c>
      <c r="C1057" s="71" t="s">
        <v>187</v>
      </c>
      <c r="D1057" s="71" t="s">
        <v>259</v>
      </c>
      <c r="E1057" s="71" t="s">
        <v>55</v>
      </c>
      <c r="F1057" s="71" t="s">
        <v>298</v>
      </c>
      <c r="G1057" s="88">
        <v>46213.282696759299</v>
      </c>
      <c r="H1057" s="89">
        <v>46213</v>
      </c>
      <c r="I1057" s="71" t="s">
        <v>506</v>
      </c>
      <c r="J1057" s="71">
        <v>-43</v>
      </c>
      <c r="K1057" s="71" t="s">
        <v>302</v>
      </c>
      <c r="L1057" s="71">
        <f t="shared" si="144"/>
        <v>7</v>
      </c>
      <c r="M1057" s="71" t="str">
        <f>IFERROR(INDEX(KALENDER!$D$3:$D$132,MATCH(H1057,KALENDER!$A$3:$A$132,0)),"Di luar periode")</f>
        <v>Hari Kerja</v>
      </c>
      <c r="N1057" s="71">
        <f t="shared" si="145"/>
        <v>1</v>
      </c>
      <c r="O1057" s="71">
        <f t="shared" si="146"/>
        <v>1</v>
      </c>
      <c r="P1057" s="71">
        <f t="shared" si="147"/>
        <v>1</v>
      </c>
      <c r="Q1057" s="71">
        <f t="shared" si="148"/>
        <v>0</v>
      </c>
      <c r="R1057" s="71">
        <f t="shared" si="149"/>
        <v>0</v>
      </c>
      <c r="S1057" s="71">
        <f t="shared" si="150"/>
        <v>0</v>
      </c>
      <c r="T1057" s="71">
        <f t="shared" si="151"/>
        <v>0</v>
      </c>
      <c r="U1057" s="71">
        <f>IF(AND(N1057=1,V1057=1),IF(COUNTIFS(AKTIVITAS!$B$2:$B$3052,B1057,AKTIVITAS!$E$2:$E$3052,H1057)&gt;0,1,0),0)</f>
        <v>1</v>
      </c>
      <c r="V1057" s="71">
        <f>IFERROR(IF(AND(H1057&gt;=INDEX(PEMAGANG!$J$3:$J$36,MATCH(B1057,PEMAGANG!$C$3:$C$36,0)),H1057&lt;=INDEX(PEMAGANG!$K$3:$K$36,MATCH(B1057,PEMAGANG!$C$3:$C$36,0))),1,0),0)</f>
        <v>1</v>
      </c>
      <c r="W1057" s="71">
        <f t="shared" si="152"/>
        <v>1</v>
      </c>
    </row>
    <row r="1058" spans="1:23" x14ac:dyDescent="0.2">
      <c r="A1058" s="71" t="s">
        <v>257</v>
      </c>
      <c r="B1058" s="71" t="s">
        <v>258</v>
      </c>
      <c r="C1058" s="71" t="s">
        <v>187</v>
      </c>
      <c r="D1058" s="71" t="s">
        <v>259</v>
      </c>
      <c r="E1058" s="71" t="s">
        <v>55</v>
      </c>
      <c r="F1058" s="71" t="s">
        <v>300</v>
      </c>
      <c r="G1058" s="88">
        <v>46213.688009259298</v>
      </c>
      <c r="H1058" s="89">
        <v>46213</v>
      </c>
      <c r="I1058" s="71" t="s">
        <v>330</v>
      </c>
      <c r="J1058" s="71">
        <v>0</v>
      </c>
      <c r="K1058" s="71" t="s">
        <v>302</v>
      </c>
      <c r="L1058" s="71">
        <f t="shared" si="144"/>
        <v>7</v>
      </c>
      <c r="M1058" s="71" t="str">
        <f>IFERROR(INDEX(KALENDER!$D$3:$D$132,MATCH(H1058,KALENDER!$A$3:$A$132,0)),"Di luar periode")</f>
        <v>Hari Kerja</v>
      </c>
      <c r="N1058" s="71">
        <f t="shared" si="145"/>
        <v>0</v>
      </c>
      <c r="O1058" s="71">
        <f t="shared" si="146"/>
        <v>1</v>
      </c>
      <c r="P1058" s="71">
        <f t="shared" si="147"/>
        <v>0</v>
      </c>
      <c r="Q1058" s="71">
        <f t="shared" si="148"/>
        <v>0</v>
      </c>
      <c r="R1058" s="71">
        <f t="shared" si="149"/>
        <v>0</v>
      </c>
      <c r="S1058" s="71">
        <f t="shared" si="150"/>
        <v>0</v>
      </c>
      <c r="T1058" s="71">
        <f t="shared" si="151"/>
        <v>0</v>
      </c>
      <c r="U1058" s="71">
        <f>IF(AND(N1058=1,V1058=1),IF(COUNTIFS(AKTIVITAS!$B$2:$B$3052,B1058,AKTIVITAS!$E$2:$E$3052,H1058)&gt;0,1,0),0)</f>
        <v>0</v>
      </c>
      <c r="V1058" s="71">
        <f>IFERROR(IF(AND(H1058&gt;=INDEX(PEMAGANG!$J$3:$J$36,MATCH(B1058,PEMAGANG!$C$3:$C$36,0)),H1058&lt;=INDEX(PEMAGANG!$K$3:$K$36,MATCH(B1058,PEMAGANG!$C$3:$C$36,0))),1,0),0)</f>
        <v>1</v>
      </c>
      <c r="W1058" s="71">
        <f t="shared" si="152"/>
        <v>0</v>
      </c>
    </row>
    <row r="1059" spans="1:23" x14ac:dyDescent="0.2">
      <c r="A1059" s="71" t="s">
        <v>257</v>
      </c>
      <c r="B1059" s="71" t="s">
        <v>258</v>
      </c>
      <c r="C1059" s="71" t="s">
        <v>187</v>
      </c>
      <c r="D1059" s="71" t="s">
        <v>259</v>
      </c>
      <c r="E1059" s="71" t="s">
        <v>55</v>
      </c>
      <c r="F1059" s="71" t="s">
        <v>298</v>
      </c>
      <c r="G1059" s="88">
        <v>46216.289849537003</v>
      </c>
      <c r="H1059" s="89">
        <v>46216</v>
      </c>
      <c r="I1059" s="71" t="s">
        <v>477</v>
      </c>
      <c r="J1059" s="71">
        <v>-33</v>
      </c>
      <c r="K1059" s="71" t="s">
        <v>302</v>
      </c>
      <c r="L1059" s="71">
        <f t="shared" si="144"/>
        <v>7</v>
      </c>
      <c r="M1059" s="71" t="str">
        <f>IFERROR(INDEX(KALENDER!$D$3:$D$132,MATCH(H1059,KALENDER!$A$3:$A$132,0)),"Di luar periode")</f>
        <v>Hari Kerja</v>
      </c>
      <c r="N1059" s="71">
        <f t="shared" si="145"/>
        <v>1</v>
      </c>
      <c r="O1059" s="71">
        <f t="shared" si="146"/>
        <v>1</v>
      </c>
      <c r="P1059" s="71">
        <f t="shared" si="147"/>
        <v>1</v>
      </c>
      <c r="Q1059" s="71">
        <f t="shared" si="148"/>
        <v>0</v>
      </c>
      <c r="R1059" s="71">
        <f t="shared" si="149"/>
        <v>0</v>
      </c>
      <c r="S1059" s="71">
        <f t="shared" si="150"/>
        <v>0</v>
      </c>
      <c r="T1059" s="71">
        <f t="shared" si="151"/>
        <v>0</v>
      </c>
      <c r="U1059" s="71">
        <f>IF(AND(N1059=1,V1059=1),IF(COUNTIFS(AKTIVITAS!$B$2:$B$3052,B1059,AKTIVITAS!$E$2:$E$3052,H1059)&gt;0,1,0),0)</f>
        <v>1</v>
      </c>
      <c r="V1059" s="71">
        <f>IFERROR(IF(AND(H1059&gt;=INDEX(PEMAGANG!$J$3:$J$36,MATCH(B1059,PEMAGANG!$C$3:$C$36,0)),H1059&lt;=INDEX(PEMAGANG!$K$3:$K$36,MATCH(B1059,PEMAGANG!$C$3:$C$36,0))),1,0),0)</f>
        <v>1</v>
      </c>
      <c r="W1059" s="71">
        <f t="shared" si="152"/>
        <v>1</v>
      </c>
    </row>
    <row r="1060" spans="1:23" x14ac:dyDescent="0.2">
      <c r="A1060" s="71" t="s">
        <v>257</v>
      </c>
      <c r="B1060" s="71" t="s">
        <v>258</v>
      </c>
      <c r="C1060" s="71" t="s">
        <v>187</v>
      </c>
      <c r="D1060" s="71" t="s">
        <v>259</v>
      </c>
      <c r="E1060" s="71" t="s">
        <v>55</v>
      </c>
      <c r="F1060" s="71" t="s">
        <v>300</v>
      </c>
      <c r="G1060" s="88">
        <v>46216.688159722202</v>
      </c>
      <c r="H1060" s="89">
        <v>46216</v>
      </c>
      <c r="I1060" s="71" t="s">
        <v>330</v>
      </c>
      <c r="J1060" s="71">
        <v>0</v>
      </c>
      <c r="K1060" s="71" t="s">
        <v>302</v>
      </c>
      <c r="L1060" s="71">
        <f t="shared" si="144"/>
        <v>7</v>
      </c>
      <c r="M1060" s="71" t="str">
        <f>IFERROR(INDEX(KALENDER!$D$3:$D$132,MATCH(H1060,KALENDER!$A$3:$A$132,0)),"Di luar periode")</f>
        <v>Hari Kerja</v>
      </c>
      <c r="N1060" s="71">
        <f t="shared" si="145"/>
        <v>0</v>
      </c>
      <c r="O1060" s="71">
        <f t="shared" si="146"/>
        <v>1</v>
      </c>
      <c r="P1060" s="71">
        <f t="shared" si="147"/>
        <v>0</v>
      </c>
      <c r="Q1060" s="71">
        <f t="shared" si="148"/>
        <v>0</v>
      </c>
      <c r="R1060" s="71">
        <f t="shared" si="149"/>
        <v>0</v>
      </c>
      <c r="S1060" s="71">
        <f t="shared" si="150"/>
        <v>0</v>
      </c>
      <c r="T1060" s="71">
        <f t="shared" si="151"/>
        <v>0</v>
      </c>
      <c r="U1060" s="71">
        <f>IF(AND(N1060=1,V1060=1),IF(COUNTIFS(AKTIVITAS!$B$2:$B$3052,B1060,AKTIVITAS!$E$2:$E$3052,H1060)&gt;0,1,0),0)</f>
        <v>0</v>
      </c>
      <c r="V1060" s="71">
        <f>IFERROR(IF(AND(H1060&gt;=INDEX(PEMAGANG!$J$3:$J$36,MATCH(B1060,PEMAGANG!$C$3:$C$36,0)),H1060&lt;=INDEX(PEMAGANG!$K$3:$K$36,MATCH(B1060,PEMAGANG!$C$3:$C$36,0))),1,0),0)</f>
        <v>1</v>
      </c>
      <c r="W1060" s="71">
        <f t="shared" si="152"/>
        <v>0</v>
      </c>
    </row>
    <row r="1061" spans="1:23" x14ac:dyDescent="0.2">
      <c r="A1061" s="71" t="s">
        <v>257</v>
      </c>
      <c r="B1061" s="71" t="s">
        <v>258</v>
      </c>
      <c r="C1061" s="71" t="s">
        <v>187</v>
      </c>
      <c r="D1061" s="71" t="s">
        <v>259</v>
      </c>
      <c r="E1061" s="71" t="s">
        <v>55</v>
      </c>
      <c r="F1061" s="71" t="s">
        <v>298</v>
      </c>
      <c r="G1061" s="88">
        <v>46217.280601851897</v>
      </c>
      <c r="H1061" s="89">
        <v>46217</v>
      </c>
      <c r="I1061" s="71" t="s">
        <v>501</v>
      </c>
      <c r="J1061" s="71">
        <v>-46</v>
      </c>
      <c r="K1061" s="71" t="s">
        <v>302</v>
      </c>
      <c r="L1061" s="71">
        <f t="shared" si="144"/>
        <v>7</v>
      </c>
      <c r="M1061" s="71" t="str">
        <f>IFERROR(INDEX(KALENDER!$D$3:$D$132,MATCH(H1061,KALENDER!$A$3:$A$132,0)),"Di luar periode")</f>
        <v>Hari Kerja</v>
      </c>
      <c r="N1061" s="71">
        <f t="shared" si="145"/>
        <v>1</v>
      </c>
      <c r="O1061" s="71">
        <f t="shared" si="146"/>
        <v>1</v>
      </c>
      <c r="P1061" s="71">
        <f t="shared" si="147"/>
        <v>1</v>
      </c>
      <c r="Q1061" s="71">
        <f t="shared" si="148"/>
        <v>0</v>
      </c>
      <c r="R1061" s="71">
        <f t="shared" si="149"/>
        <v>0</v>
      </c>
      <c r="S1061" s="71">
        <f t="shared" si="150"/>
        <v>0</v>
      </c>
      <c r="T1061" s="71">
        <f t="shared" si="151"/>
        <v>0</v>
      </c>
      <c r="U1061" s="71">
        <f>IF(AND(N1061=1,V1061=1),IF(COUNTIFS(AKTIVITAS!$B$2:$B$3052,B1061,AKTIVITAS!$E$2:$E$3052,H1061)&gt;0,1,0),0)</f>
        <v>1</v>
      </c>
      <c r="V1061" s="71">
        <f>IFERROR(IF(AND(H1061&gt;=INDEX(PEMAGANG!$J$3:$J$36,MATCH(B1061,PEMAGANG!$C$3:$C$36,0)),H1061&lt;=INDEX(PEMAGANG!$K$3:$K$36,MATCH(B1061,PEMAGANG!$C$3:$C$36,0))),1,0),0)</f>
        <v>1</v>
      </c>
      <c r="W1061" s="71">
        <f t="shared" si="152"/>
        <v>1</v>
      </c>
    </row>
    <row r="1062" spans="1:23" x14ac:dyDescent="0.2">
      <c r="A1062" s="71" t="s">
        <v>257</v>
      </c>
      <c r="B1062" s="71" t="s">
        <v>258</v>
      </c>
      <c r="C1062" s="71" t="s">
        <v>187</v>
      </c>
      <c r="D1062" s="71" t="s">
        <v>259</v>
      </c>
      <c r="E1062" s="71" t="s">
        <v>55</v>
      </c>
      <c r="F1062" s="71" t="s">
        <v>300</v>
      </c>
      <c r="G1062" s="88">
        <v>46217.688680555599</v>
      </c>
      <c r="H1062" s="89">
        <v>46217</v>
      </c>
      <c r="I1062" s="71" t="s">
        <v>336</v>
      </c>
      <c r="J1062" s="71">
        <v>0</v>
      </c>
      <c r="K1062" s="71" t="s">
        <v>302</v>
      </c>
      <c r="L1062" s="71">
        <f t="shared" si="144"/>
        <v>7</v>
      </c>
      <c r="M1062" s="71" t="str">
        <f>IFERROR(INDEX(KALENDER!$D$3:$D$132,MATCH(H1062,KALENDER!$A$3:$A$132,0)),"Di luar periode")</f>
        <v>Hari Kerja</v>
      </c>
      <c r="N1062" s="71">
        <f t="shared" si="145"/>
        <v>0</v>
      </c>
      <c r="O1062" s="71">
        <f t="shared" si="146"/>
        <v>1</v>
      </c>
      <c r="P1062" s="71">
        <f t="shared" si="147"/>
        <v>0</v>
      </c>
      <c r="Q1062" s="71">
        <f t="shared" si="148"/>
        <v>0</v>
      </c>
      <c r="R1062" s="71">
        <f t="shared" si="149"/>
        <v>0</v>
      </c>
      <c r="S1062" s="71">
        <f t="shared" si="150"/>
        <v>0</v>
      </c>
      <c r="T1062" s="71">
        <f t="shared" si="151"/>
        <v>0</v>
      </c>
      <c r="U1062" s="71">
        <f>IF(AND(N1062=1,V1062=1),IF(COUNTIFS(AKTIVITAS!$B$2:$B$3052,B1062,AKTIVITAS!$E$2:$E$3052,H1062)&gt;0,1,0),0)</f>
        <v>0</v>
      </c>
      <c r="V1062" s="71">
        <f>IFERROR(IF(AND(H1062&gt;=INDEX(PEMAGANG!$J$3:$J$36,MATCH(B1062,PEMAGANG!$C$3:$C$36,0)),H1062&lt;=INDEX(PEMAGANG!$K$3:$K$36,MATCH(B1062,PEMAGANG!$C$3:$C$36,0))),1,0),0)</f>
        <v>1</v>
      </c>
      <c r="W1062" s="71">
        <f t="shared" si="152"/>
        <v>0</v>
      </c>
    </row>
    <row r="1063" spans="1:23" x14ac:dyDescent="0.2">
      <c r="A1063" s="71" t="s">
        <v>257</v>
      </c>
      <c r="B1063" s="71" t="s">
        <v>258</v>
      </c>
      <c r="C1063" s="71" t="s">
        <v>187</v>
      </c>
      <c r="D1063" s="71" t="s">
        <v>259</v>
      </c>
      <c r="E1063" s="71" t="s">
        <v>55</v>
      </c>
      <c r="F1063" s="71" t="s">
        <v>298</v>
      </c>
      <c r="G1063" s="88">
        <v>46218.3198611111</v>
      </c>
      <c r="H1063" s="89">
        <v>46218</v>
      </c>
      <c r="I1063" s="71" t="s">
        <v>381</v>
      </c>
      <c r="J1063" s="71">
        <v>10</v>
      </c>
      <c r="K1063" s="71" t="s">
        <v>293</v>
      </c>
      <c r="L1063" s="71">
        <f t="shared" si="144"/>
        <v>7</v>
      </c>
      <c r="M1063" s="71" t="str">
        <f>IFERROR(INDEX(KALENDER!$D$3:$D$132,MATCH(H1063,KALENDER!$A$3:$A$132,0)),"Di luar periode")</f>
        <v>WFH</v>
      </c>
      <c r="N1063" s="71">
        <f t="shared" si="145"/>
        <v>1</v>
      </c>
      <c r="O1063" s="71">
        <f t="shared" si="146"/>
        <v>1</v>
      </c>
      <c r="P1063" s="71">
        <f t="shared" si="147"/>
        <v>0</v>
      </c>
      <c r="Q1063" s="71">
        <f t="shared" si="148"/>
        <v>1</v>
      </c>
      <c r="R1063" s="71">
        <f t="shared" si="149"/>
        <v>1</v>
      </c>
      <c r="S1063" s="71">
        <f t="shared" si="150"/>
        <v>10</v>
      </c>
      <c r="T1063" s="71">
        <f t="shared" si="151"/>
        <v>1</v>
      </c>
      <c r="U1063" s="71">
        <f>IF(AND(N1063=1,V1063=1),IF(COUNTIFS(AKTIVITAS!$B$2:$B$3052,B1063,AKTIVITAS!$E$2:$E$3052,H1063)&gt;0,1,0),0)</f>
        <v>1</v>
      </c>
      <c r="V1063" s="71">
        <f>IFERROR(IF(AND(H1063&gt;=INDEX(PEMAGANG!$J$3:$J$36,MATCH(B1063,PEMAGANG!$C$3:$C$36,0)),H1063&lt;=INDEX(PEMAGANG!$K$3:$K$36,MATCH(B1063,PEMAGANG!$C$3:$C$36,0))),1,0),0)</f>
        <v>1</v>
      </c>
      <c r="W1063" s="71">
        <f t="shared" si="152"/>
        <v>1</v>
      </c>
    </row>
    <row r="1064" spans="1:23" x14ac:dyDescent="0.2">
      <c r="A1064" s="71" t="s">
        <v>257</v>
      </c>
      <c r="B1064" s="71" t="s">
        <v>258</v>
      </c>
      <c r="C1064" s="71" t="s">
        <v>187</v>
      </c>
      <c r="D1064" s="71" t="s">
        <v>259</v>
      </c>
      <c r="E1064" s="71" t="s">
        <v>55</v>
      </c>
      <c r="F1064" s="71" t="s">
        <v>298</v>
      </c>
      <c r="G1064" s="88">
        <v>46219.283564814803</v>
      </c>
      <c r="H1064" s="89">
        <v>46219</v>
      </c>
      <c r="I1064" s="71" t="s">
        <v>503</v>
      </c>
      <c r="J1064" s="71">
        <v>-42</v>
      </c>
      <c r="K1064" s="71" t="s">
        <v>302</v>
      </c>
      <c r="L1064" s="71">
        <f t="shared" si="144"/>
        <v>7</v>
      </c>
      <c r="M1064" s="71" t="str">
        <f>IFERROR(INDEX(KALENDER!$D$3:$D$132,MATCH(H1064,KALENDER!$A$3:$A$132,0)),"Di luar periode")</f>
        <v>Hari Kerja</v>
      </c>
      <c r="N1064" s="71">
        <f t="shared" si="145"/>
        <v>1</v>
      </c>
      <c r="O1064" s="71">
        <f t="shared" si="146"/>
        <v>1</v>
      </c>
      <c r="P1064" s="71">
        <f t="shared" si="147"/>
        <v>1</v>
      </c>
      <c r="Q1064" s="71">
        <f t="shared" si="148"/>
        <v>0</v>
      </c>
      <c r="R1064" s="71">
        <f t="shared" si="149"/>
        <v>0</v>
      </c>
      <c r="S1064" s="71">
        <f t="shared" si="150"/>
        <v>0</v>
      </c>
      <c r="T1064" s="71">
        <f t="shared" si="151"/>
        <v>0</v>
      </c>
      <c r="U1064" s="71">
        <f>IF(AND(N1064=1,V1064=1),IF(COUNTIFS(AKTIVITAS!$B$2:$B$3052,B1064,AKTIVITAS!$E$2:$E$3052,H1064)&gt;0,1,0),0)</f>
        <v>1</v>
      </c>
      <c r="V1064" s="71">
        <f>IFERROR(IF(AND(H1064&gt;=INDEX(PEMAGANG!$J$3:$J$36,MATCH(B1064,PEMAGANG!$C$3:$C$36,0)),H1064&lt;=INDEX(PEMAGANG!$K$3:$K$36,MATCH(B1064,PEMAGANG!$C$3:$C$36,0))),1,0),0)</f>
        <v>1</v>
      </c>
      <c r="W1064" s="71">
        <f t="shared" si="152"/>
        <v>1</v>
      </c>
    </row>
    <row r="1065" spans="1:23" x14ac:dyDescent="0.2">
      <c r="A1065" s="71" t="s">
        <v>257</v>
      </c>
      <c r="B1065" s="71" t="s">
        <v>258</v>
      </c>
      <c r="C1065" s="71" t="s">
        <v>187</v>
      </c>
      <c r="D1065" s="71" t="s">
        <v>259</v>
      </c>
      <c r="E1065" s="71" t="s">
        <v>55</v>
      </c>
      <c r="F1065" s="71" t="s">
        <v>300</v>
      </c>
      <c r="G1065" s="88">
        <v>46219.687118055597</v>
      </c>
      <c r="H1065" s="89">
        <v>46219</v>
      </c>
      <c r="I1065" s="71" t="s">
        <v>507</v>
      </c>
      <c r="J1065" s="71">
        <v>0</v>
      </c>
      <c r="K1065" s="71" t="s">
        <v>302</v>
      </c>
      <c r="L1065" s="71">
        <f t="shared" si="144"/>
        <v>7</v>
      </c>
      <c r="M1065" s="71" t="str">
        <f>IFERROR(INDEX(KALENDER!$D$3:$D$132,MATCH(H1065,KALENDER!$A$3:$A$132,0)),"Di luar periode")</f>
        <v>Hari Kerja</v>
      </c>
      <c r="N1065" s="71">
        <f t="shared" si="145"/>
        <v>0</v>
      </c>
      <c r="O1065" s="71">
        <f t="shared" si="146"/>
        <v>1</v>
      </c>
      <c r="P1065" s="71">
        <f t="shared" si="147"/>
        <v>0</v>
      </c>
      <c r="Q1065" s="71">
        <f t="shared" si="148"/>
        <v>0</v>
      </c>
      <c r="R1065" s="71">
        <f t="shared" si="149"/>
        <v>0</v>
      </c>
      <c r="S1065" s="71">
        <f t="shared" si="150"/>
        <v>0</v>
      </c>
      <c r="T1065" s="71">
        <f t="shared" si="151"/>
        <v>0</v>
      </c>
      <c r="U1065" s="71">
        <f>IF(AND(N1065=1,V1065=1),IF(COUNTIFS(AKTIVITAS!$B$2:$B$3052,B1065,AKTIVITAS!$E$2:$E$3052,H1065)&gt;0,1,0),0)</f>
        <v>0</v>
      </c>
      <c r="V1065" s="71">
        <f>IFERROR(IF(AND(H1065&gt;=INDEX(PEMAGANG!$J$3:$J$36,MATCH(B1065,PEMAGANG!$C$3:$C$36,0)),H1065&lt;=INDEX(PEMAGANG!$K$3:$K$36,MATCH(B1065,PEMAGANG!$C$3:$C$36,0))),1,0),0)</f>
        <v>1</v>
      </c>
      <c r="W1065" s="71">
        <f t="shared" si="152"/>
        <v>0</v>
      </c>
    </row>
    <row r="1066" spans="1:23" x14ac:dyDescent="0.2">
      <c r="A1066" s="71" t="s">
        <v>257</v>
      </c>
      <c r="B1066" s="71" t="s">
        <v>258</v>
      </c>
      <c r="C1066" s="71" t="s">
        <v>187</v>
      </c>
      <c r="D1066" s="71" t="s">
        <v>259</v>
      </c>
      <c r="E1066" s="71" t="s">
        <v>55</v>
      </c>
      <c r="F1066" s="71" t="s">
        <v>298</v>
      </c>
      <c r="G1066" s="88">
        <v>46220.276550925897</v>
      </c>
      <c r="H1066" s="89">
        <v>46220</v>
      </c>
      <c r="I1066" s="71" t="s">
        <v>500</v>
      </c>
      <c r="J1066" s="71">
        <v>-52.000000000000099</v>
      </c>
      <c r="K1066" s="71" t="s">
        <v>302</v>
      </c>
      <c r="L1066" s="71">
        <f t="shared" si="144"/>
        <v>7</v>
      </c>
      <c r="M1066" s="71" t="str">
        <f>IFERROR(INDEX(KALENDER!$D$3:$D$132,MATCH(H1066,KALENDER!$A$3:$A$132,0)),"Di luar periode")</f>
        <v>Hari Kerja</v>
      </c>
      <c r="N1066" s="71">
        <f t="shared" si="145"/>
        <v>1</v>
      </c>
      <c r="O1066" s="71">
        <f t="shared" si="146"/>
        <v>1</v>
      </c>
      <c r="P1066" s="71">
        <f t="shared" si="147"/>
        <v>1</v>
      </c>
      <c r="Q1066" s="71">
        <f t="shared" si="148"/>
        <v>0</v>
      </c>
      <c r="R1066" s="71">
        <f t="shared" si="149"/>
        <v>0</v>
      </c>
      <c r="S1066" s="71">
        <f t="shared" si="150"/>
        <v>0</v>
      </c>
      <c r="T1066" s="71">
        <f t="shared" si="151"/>
        <v>0</v>
      </c>
      <c r="U1066" s="71">
        <f>IF(AND(N1066=1,V1066=1),IF(COUNTIFS(AKTIVITAS!$B$2:$B$3052,B1066,AKTIVITAS!$E$2:$E$3052,H1066)&gt;0,1,0),0)</f>
        <v>1</v>
      </c>
      <c r="V1066" s="71">
        <f>IFERROR(IF(AND(H1066&gt;=INDEX(PEMAGANG!$J$3:$J$36,MATCH(B1066,PEMAGANG!$C$3:$C$36,0)),H1066&lt;=INDEX(PEMAGANG!$K$3:$K$36,MATCH(B1066,PEMAGANG!$C$3:$C$36,0))),1,0),0)</f>
        <v>1</v>
      </c>
      <c r="W1066" s="71">
        <f t="shared" si="152"/>
        <v>1</v>
      </c>
    </row>
    <row r="1067" spans="1:23" x14ac:dyDescent="0.2">
      <c r="A1067" s="71" t="s">
        <v>257</v>
      </c>
      <c r="B1067" s="71" t="s">
        <v>258</v>
      </c>
      <c r="C1067" s="71" t="s">
        <v>187</v>
      </c>
      <c r="D1067" s="71" t="s">
        <v>259</v>
      </c>
      <c r="E1067" s="71" t="s">
        <v>55</v>
      </c>
      <c r="F1067" s="71" t="s">
        <v>300</v>
      </c>
      <c r="G1067" s="88">
        <v>46220.687881944497</v>
      </c>
      <c r="H1067" s="89">
        <v>46220</v>
      </c>
      <c r="I1067" s="71" t="s">
        <v>330</v>
      </c>
      <c r="J1067" s="71">
        <v>0</v>
      </c>
      <c r="K1067" s="71" t="s">
        <v>302</v>
      </c>
      <c r="L1067" s="71">
        <f t="shared" si="144"/>
        <v>7</v>
      </c>
      <c r="M1067" s="71" t="str">
        <f>IFERROR(INDEX(KALENDER!$D$3:$D$132,MATCH(H1067,KALENDER!$A$3:$A$132,0)),"Di luar periode")</f>
        <v>Hari Kerja</v>
      </c>
      <c r="N1067" s="71">
        <f t="shared" si="145"/>
        <v>0</v>
      </c>
      <c r="O1067" s="71">
        <f t="shared" si="146"/>
        <v>1</v>
      </c>
      <c r="P1067" s="71">
        <f t="shared" si="147"/>
        <v>0</v>
      </c>
      <c r="Q1067" s="71">
        <f t="shared" si="148"/>
        <v>0</v>
      </c>
      <c r="R1067" s="71">
        <f t="shared" si="149"/>
        <v>0</v>
      </c>
      <c r="S1067" s="71">
        <f t="shared" si="150"/>
        <v>0</v>
      </c>
      <c r="T1067" s="71">
        <f t="shared" si="151"/>
        <v>0</v>
      </c>
      <c r="U1067" s="71">
        <f>IF(AND(N1067=1,V1067=1),IF(COUNTIFS(AKTIVITAS!$B$2:$B$3052,B1067,AKTIVITAS!$E$2:$E$3052,H1067)&gt;0,1,0),0)</f>
        <v>0</v>
      </c>
      <c r="V1067" s="71">
        <f>IFERROR(IF(AND(H1067&gt;=INDEX(PEMAGANG!$J$3:$J$36,MATCH(B1067,PEMAGANG!$C$3:$C$36,0)),H1067&lt;=INDEX(PEMAGANG!$K$3:$K$36,MATCH(B1067,PEMAGANG!$C$3:$C$36,0))),1,0),0)</f>
        <v>1</v>
      </c>
      <c r="W1067" s="71">
        <f t="shared" si="152"/>
        <v>0</v>
      </c>
    </row>
    <row r="1068" spans="1:23" x14ac:dyDescent="0.2">
      <c r="A1068" s="71" t="s">
        <v>257</v>
      </c>
      <c r="B1068" s="71" t="s">
        <v>258</v>
      </c>
      <c r="C1068" s="71" t="s">
        <v>187</v>
      </c>
      <c r="D1068" s="71" t="s">
        <v>259</v>
      </c>
      <c r="E1068" s="71" t="s">
        <v>55</v>
      </c>
      <c r="F1068" s="71" t="s">
        <v>298</v>
      </c>
      <c r="G1068" s="88">
        <v>46223.280763888899</v>
      </c>
      <c r="H1068" s="89">
        <v>46223</v>
      </c>
      <c r="I1068" s="71" t="s">
        <v>501</v>
      </c>
      <c r="J1068" s="71">
        <v>-46</v>
      </c>
      <c r="K1068" s="71" t="s">
        <v>302</v>
      </c>
      <c r="L1068" s="71">
        <f t="shared" si="144"/>
        <v>7</v>
      </c>
      <c r="M1068" s="71" t="str">
        <f>IFERROR(INDEX(KALENDER!$D$3:$D$132,MATCH(H1068,KALENDER!$A$3:$A$132,0)),"Di luar periode")</f>
        <v>Hari Kerja</v>
      </c>
      <c r="N1068" s="71">
        <f t="shared" si="145"/>
        <v>1</v>
      </c>
      <c r="O1068" s="71">
        <f t="shared" si="146"/>
        <v>1</v>
      </c>
      <c r="P1068" s="71">
        <f t="shared" si="147"/>
        <v>1</v>
      </c>
      <c r="Q1068" s="71">
        <f t="shared" si="148"/>
        <v>0</v>
      </c>
      <c r="R1068" s="71">
        <f t="shared" si="149"/>
        <v>0</v>
      </c>
      <c r="S1068" s="71">
        <f t="shared" si="150"/>
        <v>0</v>
      </c>
      <c r="T1068" s="71">
        <f t="shared" si="151"/>
        <v>0</v>
      </c>
      <c r="U1068" s="71">
        <f>IF(AND(N1068=1,V1068=1),IF(COUNTIFS(AKTIVITAS!$B$2:$B$3052,B1068,AKTIVITAS!$E$2:$E$3052,H1068)&gt;0,1,0),0)</f>
        <v>1</v>
      </c>
      <c r="V1068" s="71">
        <f>IFERROR(IF(AND(H1068&gt;=INDEX(PEMAGANG!$J$3:$J$36,MATCH(B1068,PEMAGANG!$C$3:$C$36,0)),H1068&lt;=INDEX(PEMAGANG!$K$3:$K$36,MATCH(B1068,PEMAGANG!$C$3:$C$36,0))),1,0),0)</f>
        <v>1</v>
      </c>
      <c r="W1068" s="71">
        <f t="shared" si="152"/>
        <v>1</v>
      </c>
    </row>
    <row r="1069" spans="1:23" x14ac:dyDescent="0.2">
      <c r="A1069" s="71" t="s">
        <v>257</v>
      </c>
      <c r="B1069" s="71" t="s">
        <v>258</v>
      </c>
      <c r="C1069" s="71" t="s">
        <v>187</v>
      </c>
      <c r="D1069" s="71" t="s">
        <v>259</v>
      </c>
      <c r="E1069" s="71" t="s">
        <v>55</v>
      </c>
      <c r="F1069" s="71" t="s">
        <v>300</v>
      </c>
      <c r="G1069" s="88">
        <v>46223.691261574102</v>
      </c>
      <c r="H1069" s="89">
        <v>46223</v>
      </c>
      <c r="I1069" s="71" t="s">
        <v>310</v>
      </c>
      <c r="J1069" s="71">
        <v>0</v>
      </c>
      <c r="K1069" s="71" t="s">
        <v>302</v>
      </c>
      <c r="L1069" s="71">
        <f t="shared" si="144"/>
        <v>7</v>
      </c>
      <c r="M1069" s="71" t="str">
        <f>IFERROR(INDEX(KALENDER!$D$3:$D$132,MATCH(H1069,KALENDER!$A$3:$A$132,0)),"Di luar periode")</f>
        <v>Hari Kerja</v>
      </c>
      <c r="N1069" s="71">
        <f t="shared" si="145"/>
        <v>0</v>
      </c>
      <c r="O1069" s="71">
        <f t="shared" si="146"/>
        <v>1</v>
      </c>
      <c r="P1069" s="71">
        <f t="shared" si="147"/>
        <v>0</v>
      </c>
      <c r="Q1069" s="71">
        <f t="shared" si="148"/>
        <v>0</v>
      </c>
      <c r="R1069" s="71">
        <f t="shared" si="149"/>
        <v>0</v>
      </c>
      <c r="S1069" s="71">
        <f t="shared" si="150"/>
        <v>0</v>
      </c>
      <c r="T1069" s="71">
        <f t="shared" si="151"/>
        <v>0</v>
      </c>
      <c r="U1069" s="71">
        <f>IF(AND(N1069=1,V1069=1),IF(COUNTIFS(AKTIVITAS!$B$2:$B$3052,B1069,AKTIVITAS!$E$2:$E$3052,H1069)&gt;0,1,0),0)</f>
        <v>0</v>
      </c>
      <c r="V1069" s="71">
        <f>IFERROR(IF(AND(H1069&gt;=INDEX(PEMAGANG!$J$3:$J$36,MATCH(B1069,PEMAGANG!$C$3:$C$36,0)),H1069&lt;=INDEX(PEMAGANG!$K$3:$K$36,MATCH(B1069,PEMAGANG!$C$3:$C$36,0))),1,0),0)</f>
        <v>1</v>
      </c>
      <c r="W1069" s="71">
        <f t="shared" si="152"/>
        <v>0</v>
      </c>
    </row>
    <row r="1070" spans="1:23" x14ac:dyDescent="0.2">
      <c r="A1070" s="71" t="s">
        <v>257</v>
      </c>
      <c r="B1070" s="71" t="s">
        <v>258</v>
      </c>
      <c r="C1070" s="71" t="s">
        <v>187</v>
      </c>
      <c r="D1070" s="71" t="s">
        <v>259</v>
      </c>
      <c r="E1070" s="71" t="s">
        <v>55</v>
      </c>
      <c r="F1070" s="71" t="s">
        <v>298</v>
      </c>
      <c r="G1070" s="88">
        <v>46224.293993055602</v>
      </c>
      <c r="H1070" s="89">
        <v>46224</v>
      </c>
      <c r="I1070" s="71" t="s">
        <v>483</v>
      </c>
      <c r="J1070" s="71">
        <v>-27</v>
      </c>
      <c r="K1070" s="71" t="s">
        <v>302</v>
      </c>
      <c r="L1070" s="71">
        <f t="shared" si="144"/>
        <v>7</v>
      </c>
      <c r="M1070" s="71" t="str">
        <f>IFERROR(INDEX(KALENDER!$D$3:$D$132,MATCH(H1070,KALENDER!$A$3:$A$132,0)),"Di luar periode")</f>
        <v>Hari Kerja</v>
      </c>
      <c r="N1070" s="71">
        <f t="shared" si="145"/>
        <v>1</v>
      </c>
      <c r="O1070" s="71">
        <f t="shared" si="146"/>
        <v>1</v>
      </c>
      <c r="P1070" s="71">
        <f t="shared" si="147"/>
        <v>1</v>
      </c>
      <c r="Q1070" s="71">
        <f t="shared" si="148"/>
        <v>0</v>
      </c>
      <c r="R1070" s="71">
        <f t="shared" si="149"/>
        <v>0</v>
      </c>
      <c r="S1070" s="71">
        <f t="shared" si="150"/>
        <v>0</v>
      </c>
      <c r="T1070" s="71">
        <f t="shared" si="151"/>
        <v>0</v>
      </c>
      <c r="U1070" s="71">
        <f>IF(AND(N1070=1,V1070=1),IF(COUNTIFS(AKTIVITAS!$B$2:$B$3052,B1070,AKTIVITAS!$E$2:$E$3052,H1070)&gt;0,1,0),0)</f>
        <v>1</v>
      </c>
      <c r="V1070" s="71">
        <f>IFERROR(IF(AND(H1070&gt;=INDEX(PEMAGANG!$J$3:$J$36,MATCH(B1070,PEMAGANG!$C$3:$C$36,0)),H1070&lt;=INDEX(PEMAGANG!$K$3:$K$36,MATCH(B1070,PEMAGANG!$C$3:$C$36,0))),1,0),0)</f>
        <v>1</v>
      </c>
      <c r="W1070" s="71">
        <f t="shared" si="152"/>
        <v>1</v>
      </c>
    </row>
    <row r="1071" spans="1:23" x14ac:dyDescent="0.2">
      <c r="A1071" s="71" t="s">
        <v>257</v>
      </c>
      <c r="B1071" s="71" t="s">
        <v>258</v>
      </c>
      <c r="C1071" s="71" t="s">
        <v>187</v>
      </c>
      <c r="D1071" s="71" t="s">
        <v>259</v>
      </c>
      <c r="E1071" s="71" t="s">
        <v>55</v>
      </c>
      <c r="F1071" s="71" t="s">
        <v>300</v>
      </c>
      <c r="G1071" s="88">
        <v>46224.6902430556</v>
      </c>
      <c r="H1071" s="89">
        <v>46224</v>
      </c>
      <c r="I1071" s="71" t="s">
        <v>316</v>
      </c>
      <c r="J1071" s="71">
        <v>0</v>
      </c>
      <c r="K1071" s="71" t="s">
        <v>302</v>
      </c>
      <c r="L1071" s="71">
        <f t="shared" si="144"/>
        <v>7</v>
      </c>
      <c r="M1071" s="71" t="str">
        <f>IFERROR(INDEX(KALENDER!$D$3:$D$132,MATCH(H1071,KALENDER!$A$3:$A$132,0)),"Di luar periode")</f>
        <v>Hari Kerja</v>
      </c>
      <c r="N1071" s="71">
        <f t="shared" si="145"/>
        <v>0</v>
      </c>
      <c r="O1071" s="71">
        <f t="shared" si="146"/>
        <v>1</v>
      </c>
      <c r="P1071" s="71">
        <f t="shared" si="147"/>
        <v>0</v>
      </c>
      <c r="Q1071" s="71">
        <f t="shared" si="148"/>
        <v>0</v>
      </c>
      <c r="R1071" s="71">
        <f t="shared" si="149"/>
        <v>0</v>
      </c>
      <c r="S1071" s="71">
        <f t="shared" si="150"/>
        <v>0</v>
      </c>
      <c r="T1071" s="71">
        <f t="shared" si="151"/>
        <v>0</v>
      </c>
      <c r="U1071" s="71">
        <f>IF(AND(N1071=1,V1071=1),IF(COUNTIFS(AKTIVITAS!$B$2:$B$3052,B1071,AKTIVITAS!$E$2:$E$3052,H1071)&gt;0,1,0),0)</f>
        <v>0</v>
      </c>
      <c r="V1071" s="71">
        <f>IFERROR(IF(AND(H1071&gt;=INDEX(PEMAGANG!$J$3:$J$36,MATCH(B1071,PEMAGANG!$C$3:$C$36,0)),H1071&lt;=INDEX(PEMAGANG!$K$3:$K$36,MATCH(B1071,PEMAGANG!$C$3:$C$36,0))),1,0),0)</f>
        <v>1</v>
      </c>
      <c r="W1071" s="71">
        <f t="shared" si="152"/>
        <v>0</v>
      </c>
    </row>
    <row r="1072" spans="1:23" x14ac:dyDescent="0.2">
      <c r="A1072" s="71" t="s">
        <v>257</v>
      </c>
      <c r="B1072" s="71" t="s">
        <v>258</v>
      </c>
      <c r="C1072" s="71" t="s">
        <v>187</v>
      </c>
      <c r="D1072" s="71" t="s">
        <v>259</v>
      </c>
      <c r="E1072" s="71" t="s">
        <v>55</v>
      </c>
      <c r="F1072" s="71" t="s">
        <v>298</v>
      </c>
      <c r="G1072" s="88">
        <v>46225.286053240699</v>
      </c>
      <c r="H1072" s="89">
        <v>46225</v>
      </c>
      <c r="I1072" s="71" t="s">
        <v>508</v>
      </c>
      <c r="J1072" s="71">
        <v>-39</v>
      </c>
      <c r="K1072" s="71" t="s">
        <v>302</v>
      </c>
      <c r="L1072" s="71">
        <f t="shared" si="144"/>
        <v>7</v>
      </c>
      <c r="M1072" s="71" t="str">
        <f>IFERROR(INDEX(KALENDER!$D$3:$D$132,MATCH(H1072,KALENDER!$A$3:$A$132,0)),"Di luar periode")</f>
        <v>WFH</v>
      </c>
      <c r="N1072" s="71">
        <f t="shared" si="145"/>
        <v>1</v>
      </c>
      <c r="O1072" s="71">
        <f t="shared" si="146"/>
        <v>1</v>
      </c>
      <c r="P1072" s="71">
        <f t="shared" si="147"/>
        <v>0</v>
      </c>
      <c r="Q1072" s="71">
        <f t="shared" si="148"/>
        <v>1</v>
      </c>
      <c r="R1072" s="71">
        <f t="shared" si="149"/>
        <v>0</v>
      </c>
      <c r="S1072" s="71">
        <f t="shared" si="150"/>
        <v>0</v>
      </c>
      <c r="T1072" s="71">
        <f t="shared" si="151"/>
        <v>0</v>
      </c>
      <c r="U1072" s="71">
        <f>IF(AND(N1072=1,V1072=1),IF(COUNTIFS(AKTIVITAS!$B$2:$B$3052,B1072,AKTIVITAS!$E$2:$E$3052,H1072)&gt;0,1,0),0)</f>
        <v>1</v>
      </c>
      <c r="V1072" s="71">
        <f>IFERROR(IF(AND(H1072&gt;=INDEX(PEMAGANG!$J$3:$J$36,MATCH(B1072,PEMAGANG!$C$3:$C$36,0)),H1072&lt;=INDEX(PEMAGANG!$K$3:$K$36,MATCH(B1072,PEMAGANG!$C$3:$C$36,0))),1,0),0)</f>
        <v>1</v>
      </c>
      <c r="W1072" s="71">
        <f t="shared" si="152"/>
        <v>1</v>
      </c>
    </row>
    <row r="1073" spans="1:23" x14ac:dyDescent="0.2">
      <c r="A1073" s="71" t="s">
        <v>257</v>
      </c>
      <c r="B1073" s="71" t="s">
        <v>258</v>
      </c>
      <c r="C1073" s="71" t="s">
        <v>187</v>
      </c>
      <c r="D1073" s="71" t="s">
        <v>259</v>
      </c>
      <c r="E1073" s="71" t="s">
        <v>55</v>
      </c>
      <c r="F1073" s="71" t="s">
        <v>300</v>
      </c>
      <c r="G1073" s="88">
        <v>46225.690833333298</v>
      </c>
      <c r="H1073" s="89">
        <v>46225</v>
      </c>
      <c r="I1073" s="71" t="s">
        <v>314</v>
      </c>
      <c r="J1073" s="71">
        <v>0</v>
      </c>
      <c r="K1073" s="71" t="s">
        <v>302</v>
      </c>
      <c r="L1073" s="71">
        <f t="shared" si="144"/>
        <v>7</v>
      </c>
      <c r="M1073" s="71" t="str">
        <f>IFERROR(INDEX(KALENDER!$D$3:$D$132,MATCH(H1073,KALENDER!$A$3:$A$132,0)),"Di luar periode")</f>
        <v>WFH</v>
      </c>
      <c r="N1073" s="71">
        <f t="shared" si="145"/>
        <v>0</v>
      </c>
      <c r="O1073" s="71">
        <f t="shared" si="146"/>
        <v>1</v>
      </c>
      <c r="P1073" s="71">
        <f t="shared" si="147"/>
        <v>0</v>
      </c>
      <c r="Q1073" s="71">
        <f t="shared" si="148"/>
        <v>0</v>
      </c>
      <c r="R1073" s="71">
        <f t="shared" si="149"/>
        <v>0</v>
      </c>
      <c r="S1073" s="71">
        <f t="shared" si="150"/>
        <v>0</v>
      </c>
      <c r="T1073" s="71">
        <f t="shared" si="151"/>
        <v>0</v>
      </c>
      <c r="U1073" s="71">
        <f>IF(AND(N1073=1,V1073=1),IF(COUNTIFS(AKTIVITAS!$B$2:$B$3052,B1073,AKTIVITAS!$E$2:$E$3052,H1073)&gt;0,1,0),0)</f>
        <v>0</v>
      </c>
      <c r="V1073" s="71">
        <f>IFERROR(IF(AND(H1073&gt;=INDEX(PEMAGANG!$J$3:$J$36,MATCH(B1073,PEMAGANG!$C$3:$C$36,0)),H1073&lt;=INDEX(PEMAGANG!$K$3:$K$36,MATCH(B1073,PEMAGANG!$C$3:$C$36,0))),1,0),0)</f>
        <v>1</v>
      </c>
      <c r="W1073" s="71">
        <f t="shared" si="152"/>
        <v>0</v>
      </c>
    </row>
    <row r="1074" spans="1:23" x14ac:dyDescent="0.2">
      <c r="A1074" s="71" t="s">
        <v>257</v>
      </c>
      <c r="B1074" s="71" t="s">
        <v>258</v>
      </c>
      <c r="C1074" s="71" t="s">
        <v>187</v>
      </c>
      <c r="D1074" s="71" t="s">
        <v>259</v>
      </c>
      <c r="E1074" s="71" t="s">
        <v>55</v>
      </c>
      <c r="F1074" s="71" t="s">
        <v>298</v>
      </c>
      <c r="G1074" s="88">
        <v>46226.302766203698</v>
      </c>
      <c r="H1074" s="89">
        <v>46226</v>
      </c>
      <c r="I1074" s="71" t="s">
        <v>370</v>
      </c>
      <c r="J1074" s="71">
        <v>-15</v>
      </c>
      <c r="K1074" s="71" t="s">
        <v>302</v>
      </c>
      <c r="L1074" s="71">
        <f t="shared" si="144"/>
        <v>7</v>
      </c>
      <c r="M1074" s="71" t="str">
        <f>IFERROR(INDEX(KALENDER!$D$3:$D$132,MATCH(H1074,KALENDER!$A$3:$A$132,0)),"Di luar periode")</f>
        <v>Hari Kerja</v>
      </c>
      <c r="N1074" s="71">
        <f t="shared" si="145"/>
        <v>1</v>
      </c>
      <c r="O1074" s="71">
        <f t="shared" si="146"/>
        <v>1</v>
      </c>
      <c r="P1074" s="71">
        <f t="shared" si="147"/>
        <v>1</v>
      </c>
      <c r="Q1074" s="71">
        <f t="shared" si="148"/>
        <v>0</v>
      </c>
      <c r="R1074" s="71">
        <f t="shared" si="149"/>
        <v>0</v>
      </c>
      <c r="S1074" s="71">
        <f t="shared" si="150"/>
        <v>0</v>
      </c>
      <c r="T1074" s="71">
        <f t="shared" si="151"/>
        <v>0</v>
      </c>
      <c r="U1074" s="71">
        <f>IF(AND(N1074=1,V1074=1),IF(COUNTIFS(AKTIVITAS!$B$2:$B$3052,B1074,AKTIVITAS!$E$2:$E$3052,H1074)&gt;0,1,0),0)</f>
        <v>1</v>
      </c>
      <c r="V1074" s="71">
        <f>IFERROR(IF(AND(H1074&gt;=INDEX(PEMAGANG!$J$3:$J$36,MATCH(B1074,PEMAGANG!$C$3:$C$36,0)),H1074&lt;=INDEX(PEMAGANG!$K$3:$K$36,MATCH(B1074,PEMAGANG!$C$3:$C$36,0))),1,0),0)</f>
        <v>1</v>
      </c>
      <c r="W1074" s="71">
        <f t="shared" si="152"/>
        <v>1</v>
      </c>
    </row>
    <row r="1075" spans="1:23" x14ac:dyDescent="0.2">
      <c r="A1075" s="71" t="s">
        <v>257</v>
      </c>
      <c r="B1075" s="71" t="s">
        <v>258</v>
      </c>
      <c r="C1075" s="71" t="s">
        <v>187</v>
      </c>
      <c r="D1075" s="71" t="s">
        <v>259</v>
      </c>
      <c r="E1075" s="71" t="s">
        <v>55</v>
      </c>
      <c r="F1075" s="71" t="s">
        <v>300</v>
      </c>
      <c r="G1075" s="88">
        <v>46226.689652777801</v>
      </c>
      <c r="H1075" s="89">
        <v>46226</v>
      </c>
      <c r="I1075" s="71" t="s">
        <v>316</v>
      </c>
      <c r="J1075" s="71">
        <v>0</v>
      </c>
      <c r="K1075" s="71" t="s">
        <v>302</v>
      </c>
      <c r="L1075" s="71">
        <f t="shared" si="144"/>
        <v>7</v>
      </c>
      <c r="M1075" s="71" t="str">
        <f>IFERROR(INDEX(KALENDER!$D$3:$D$132,MATCH(H1075,KALENDER!$A$3:$A$132,0)),"Di luar periode")</f>
        <v>Hari Kerja</v>
      </c>
      <c r="N1075" s="71">
        <f t="shared" si="145"/>
        <v>0</v>
      </c>
      <c r="O1075" s="71">
        <f t="shared" si="146"/>
        <v>1</v>
      </c>
      <c r="P1075" s="71">
        <f t="shared" si="147"/>
        <v>0</v>
      </c>
      <c r="Q1075" s="71">
        <f t="shared" si="148"/>
        <v>0</v>
      </c>
      <c r="R1075" s="71">
        <f t="shared" si="149"/>
        <v>0</v>
      </c>
      <c r="S1075" s="71">
        <f t="shared" si="150"/>
        <v>0</v>
      </c>
      <c r="T1075" s="71">
        <f t="shared" si="151"/>
        <v>0</v>
      </c>
      <c r="U1075" s="71">
        <f>IF(AND(N1075=1,V1075=1),IF(COUNTIFS(AKTIVITAS!$B$2:$B$3052,B1075,AKTIVITAS!$E$2:$E$3052,H1075)&gt;0,1,0),0)</f>
        <v>0</v>
      </c>
      <c r="V1075" s="71">
        <f>IFERROR(IF(AND(H1075&gt;=INDEX(PEMAGANG!$J$3:$J$36,MATCH(B1075,PEMAGANG!$C$3:$C$36,0)),H1075&lt;=INDEX(PEMAGANG!$K$3:$K$36,MATCH(B1075,PEMAGANG!$C$3:$C$36,0))),1,0),0)</f>
        <v>1</v>
      </c>
      <c r="W1075" s="71">
        <f t="shared" si="152"/>
        <v>0</v>
      </c>
    </row>
    <row r="1076" spans="1:23" x14ac:dyDescent="0.2">
      <c r="A1076" s="71" t="s">
        <v>257</v>
      </c>
      <c r="B1076" s="71" t="s">
        <v>258</v>
      </c>
      <c r="C1076" s="71" t="s">
        <v>187</v>
      </c>
      <c r="D1076" s="71" t="s">
        <v>259</v>
      </c>
      <c r="E1076" s="71" t="s">
        <v>55</v>
      </c>
      <c r="F1076" s="71" t="s">
        <v>298</v>
      </c>
      <c r="G1076" s="88">
        <v>46227.281168981499</v>
      </c>
      <c r="H1076" s="89">
        <v>46227</v>
      </c>
      <c r="I1076" s="71" t="s">
        <v>501</v>
      </c>
      <c r="J1076" s="71">
        <v>-46</v>
      </c>
      <c r="K1076" s="71" t="s">
        <v>302</v>
      </c>
      <c r="L1076" s="71">
        <f t="shared" si="144"/>
        <v>7</v>
      </c>
      <c r="M1076" s="71" t="str">
        <f>IFERROR(INDEX(KALENDER!$D$3:$D$132,MATCH(H1076,KALENDER!$A$3:$A$132,0)),"Di luar periode")</f>
        <v>Hari Kerja</v>
      </c>
      <c r="N1076" s="71">
        <f t="shared" si="145"/>
        <v>1</v>
      </c>
      <c r="O1076" s="71">
        <f t="shared" si="146"/>
        <v>1</v>
      </c>
      <c r="P1076" s="71">
        <f t="shared" si="147"/>
        <v>1</v>
      </c>
      <c r="Q1076" s="71">
        <f t="shared" si="148"/>
        <v>0</v>
      </c>
      <c r="R1076" s="71">
        <f t="shared" si="149"/>
        <v>0</v>
      </c>
      <c r="S1076" s="71">
        <f t="shared" si="150"/>
        <v>0</v>
      </c>
      <c r="T1076" s="71">
        <f t="shared" si="151"/>
        <v>0</v>
      </c>
      <c r="U1076" s="71">
        <f>IF(AND(N1076=1,V1076=1),IF(COUNTIFS(AKTIVITAS!$B$2:$B$3052,B1076,AKTIVITAS!$E$2:$E$3052,H1076)&gt;0,1,0),0)</f>
        <v>1</v>
      </c>
      <c r="V1076" s="71">
        <f>IFERROR(IF(AND(H1076&gt;=INDEX(PEMAGANG!$J$3:$J$36,MATCH(B1076,PEMAGANG!$C$3:$C$36,0)),H1076&lt;=INDEX(PEMAGANG!$K$3:$K$36,MATCH(B1076,PEMAGANG!$C$3:$C$36,0))),1,0),0)</f>
        <v>1</v>
      </c>
      <c r="W1076" s="71">
        <f t="shared" si="152"/>
        <v>1</v>
      </c>
    </row>
    <row r="1077" spans="1:23" x14ac:dyDescent="0.2">
      <c r="A1077" s="71" t="s">
        <v>257</v>
      </c>
      <c r="B1077" s="71" t="s">
        <v>258</v>
      </c>
      <c r="C1077" s="71" t="s">
        <v>187</v>
      </c>
      <c r="D1077" s="71" t="s">
        <v>259</v>
      </c>
      <c r="E1077" s="71" t="s">
        <v>55</v>
      </c>
      <c r="F1077" s="71" t="s">
        <v>300</v>
      </c>
      <c r="G1077" s="88">
        <v>46227.691134259301</v>
      </c>
      <c r="H1077" s="89">
        <v>46227</v>
      </c>
      <c r="I1077" s="71" t="s">
        <v>310</v>
      </c>
      <c r="J1077" s="71">
        <v>0</v>
      </c>
      <c r="K1077" s="71" t="s">
        <v>302</v>
      </c>
      <c r="L1077" s="71">
        <f t="shared" si="144"/>
        <v>7</v>
      </c>
      <c r="M1077" s="71" t="str">
        <f>IFERROR(INDEX(KALENDER!$D$3:$D$132,MATCH(H1077,KALENDER!$A$3:$A$132,0)),"Di luar periode")</f>
        <v>Hari Kerja</v>
      </c>
      <c r="N1077" s="71">
        <f t="shared" si="145"/>
        <v>0</v>
      </c>
      <c r="O1077" s="71">
        <f t="shared" si="146"/>
        <v>1</v>
      </c>
      <c r="P1077" s="71">
        <f t="shared" si="147"/>
        <v>0</v>
      </c>
      <c r="Q1077" s="71">
        <f t="shared" si="148"/>
        <v>0</v>
      </c>
      <c r="R1077" s="71">
        <f t="shared" si="149"/>
        <v>0</v>
      </c>
      <c r="S1077" s="71">
        <f t="shared" si="150"/>
        <v>0</v>
      </c>
      <c r="T1077" s="71">
        <f t="shared" si="151"/>
        <v>0</v>
      </c>
      <c r="U1077" s="71">
        <f>IF(AND(N1077=1,V1077=1),IF(COUNTIFS(AKTIVITAS!$B$2:$B$3052,B1077,AKTIVITAS!$E$2:$E$3052,H1077)&gt;0,1,0),0)</f>
        <v>0</v>
      </c>
      <c r="V1077" s="71">
        <f>IFERROR(IF(AND(H1077&gt;=INDEX(PEMAGANG!$J$3:$J$36,MATCH(B1077,PEMAGANG!$C$3:$C$36,0)),H1077&lt;=INDEX(PEMAGANG!$K$3:$K$36,MATCH(B1077,PEMAGANG!$C$3:$C$36,0))),1,0),0)</f>
        <v>1</v>
      </c>
      <c r="W1077" s="71">
        <f t="shared" si="152"/>
        <v>0</v>
      </c>
    </row>
    <row r="1078" spans="1:23" x14ac:dyDescent="0.2">
      <c r="A1078" s="71" t="s">
        <v>257</v>
      </c>
      <c r="B1078" s="71" t="s">
        <v>258</v>
      </c>
      <c r="C1078" s="71" t="s">
        <v>187</v>
      </c>
      <c r="D1078" s="71" t="s">
        <v>259</v>
      </c>
      <c r="E1078" s="71" t="s">
        <v>55</v>
      </c>
      <c r="F1078" s="71" t="s">
        <v>298</v>
      </c>
      <c r="G1078" s="88">
        <v>46230.288726851897</v>
      </c>
      <c r="H1078" s="89">
        <v>46230</v>
      </c>
      <c r="I1078" s="71" t="s">
        <v>353</v>
      </c>
      <c r="J1078" s="71">
        <v>-35</v>
      </c>
      <c r="K1078" s="71" t="s">
        <v>302</v>
      </c>
      <c r="L1078" s="71">
        <f t="shared" si="144"/>
        <v>7</v>
      </c>
      <c r="M1078" s="71" t="str">
        <f>IFERROR(INDEX(KALENDER!$D$3:$D$132,MATCH(H1078,KALENDER!$A$3:$A$132,0)),"Di luar periode")</f>
        <v>Hari Kerja</v>
      </c>
      <c r="N1078" s="71">
        <f t="shared" si="145"/>
        <v>1</v>
      </c>
      <c r="O1078" s="71">
        <f t="shared" si="146"/>
        <v>1</v>
      </c>
      <c r="P1078" s="71">
        <f t="shared" si="147"/>
        <v>1</v>
      </c>
      <c r="Q1078" s="71">
        <f t="shared" si="148"/>
        <v>0</v>
      </c>
      <c r="R1078" s="71">
        <f t="shared" si="149"/>
        <v>0</v>
      </c>
      <c r="S1078" s="71">
        <f t="shared" si="150"/>
        <v>0</v>
      </c>
      <c r="T1078" s="71">
        <f t="shared" si="151"/>
        <v>0</v>
      </c>
      <c r="U1078" s="71">
        <f>IF(AND(N1078=1,V1078=1),IF(COUNTIFS(AKTIVITAS!$B$2:$B$3052,B1078,AKTIVITAS!$E$2:$E$3052,H1078)&gt;0,1,0),0)</f>
        <v>1</v>
      </c>
      <c r="V1078" s="71">
        <f>IFERROR(IF(AND(H1078&gt;=INDEX(PEMAGANG!$J$3:$J$36,MATCH(B1078,PEMAGANG!$C$3:$C$36,0)),H1078&lt;=INDEX(PEMAGANG!$K$3:$K$36,MATCH(B1078,PEMAGANG!$C$3:$C$36,0))),1,0),0)</f>
        <v>1</v>
      </c>
      <c r="W1078" s="71">
        <f t="shared" si="152"/>
        <v>1</v>
      </c>
    </row>
    <row r="1079" spans="1:23" x14ac:dyDescent="0.2">
      <c r="A1079" s="71" t="s">
        <v>257</v>
      </c>
      <c r="B1079" s="71" t="s">
        <v>258</v>
      </c>
      <c r="C1079" s="71" t="s">
        <v>187</v>
      </c>
      <c r="D1079" s="71" t="s">
        <v>259</v>
      </c>
      <c r="E1079" s="71" t="s">
        <v>55</v>
      </c>
      <c r="F1079" s="71" t="s">
        <v>300</v>
      </c>
      <c r="G1079" s="88">
        <v>46230.688298611101</v>
      </c>
      <c r="H1079" s="89">
        <v>46230</v>
      </c>
      <c r="I1079" s="71" t="s">
        <v>336</v>
      </c>
      <c r="J1079" s="71">
        <v>0</v>
      </c>
      <c r="K1079" s="71" t="s">
        <v>302</v>
      </c>
      <c r="L1079" s="71">
        <f t="shared" si="144"/>
        <v>7</v>
      </c>
      <c r="M1079" s="71" t="str">
        <f>IFERROR(INDEX(KALENDER!$D$3:$D$132,MATCH(H1079,KALENDER!$A$3:$A$132,0)),"Di luar periode")</f>
        <v>Hari Kerja</v>
      </c>
      <c r="N1079" s="71">
        <f t="shared" si="145"/>
        <v>0</v>
      </c>
      <c r="O1079" s="71">
        <f t="shared" si="146"/>
        <v>1</v>
      </c>
      <c r="P1079" s="71">
        <f t="shared" si="147"/>
        <v>0</v>
      </c>
      <c r="Q1079" s="71">
        <f t="shared" si="148"/>
        <v>0</v>
      </c>
      <c r="R1079" s="71">
        <f t="shared" si="149"/>
        <v>0</v>
      </c>
      <c r="S1079" s="71">
        <f t="shared" si="150"/>
        <v>0</v>
      </c>
      <c r="T1079" s="71">
        <f t="shared" si="151"/>
        <v>0</v>
      </c>
      <c r="U1079" s="71">
        <f>IF(AND(N1079=1,V1079=1),IF(COUNTIFS(AKTIVITAS!$B$2:$B$3052,B1079,AKTIVITAS!$E$2:$E$3052,H1079)&gt;0,1,0),0)</f>
        <v>0</v>
      </c>
      <c r="V1079" s="71">
        <f>IFERROR(IF(AND(H1079&gt;=INDEX(PEMAGANG!$J$3:$J$36,MATCH(B1079,PEMAGANG!$C$3:$C$36,0)),H1079&lt;=INDEX(PEMAGANG!$K$3:$K$36,MATCH(B1079,PEMAGANG!$C$3:$C$36,0))),1,0),0)</f>
        <v>1</v>
      </c>
      <c r="W1079" s="71">
        <f t="shared" si="152"/>
        <v>0</v>
      </c>
    </row>
    <row r="1080" spans="1:23" x14ac:dyDescent="0.2">
      <c r="A1080" s="71" t="s">
        <v>257</v>
      </c>
      <c r="B1080" s="71" t="s">
        <v>258</v>
      </c>
      <c r="C1080" s="71" t="s">
        <v>187</v>
      </c>
      <c r="D1080" s="71" t="s">
        <v>259</v>
      </c>
      <c r="E1080" s="71" t="s">
        <v>55</v>
      </c>
      <c r="F1080" s="71" t="s">
        <v>298</v>
      </c>
      <c r="G1080" s="88">
        <v>46231.307569444398</v>
      </c>
      <c r="H1080" s="89">
        <v>46231</v>
      </c>
      <c r="I1080" s="71" t="s">
        <v>313</v>
      </c>
      <c r="J1080" s="71">
        <v>-8.0000000000000497</v>
      </c>
      <c r="K1080" s="71" t="s">
        <v>302</v>
      </c>
      <c r="L1080" s="71">
        <f t="shared" si="144"/>
        <v>7</v>
      </c>
      <c r="M1080" s="71" t="str">
        <f>IFERROR(INDEX(KALENDER!$D$3:$D$132,MATCH(H1080,KALENDER!$A$3:$A$132,0)),"Di luar periode")</f>
        <v>Hari Kerja</v>
      </c>
      <c r="N1080" s="71">
        <f t="shared" si="145"/>
        <v>1</v>
      </c>
      <c r="O1080" s="71">
        <f t="shared" si="146"/>
        <v>1</v>
      </c>
      <c r="P1080" s="71">
        <f t="shared" si="147"/>
        <v>1</v>
      </c>
      <c r="Q1080" s="71">
        <f t="shared" si="148"/>
        <v>0</v>
      </c>
      <c r="R1080" s="71">
        <f t="shared" si="149"/>
        <v>0</v>
      </c>
      <c r="S1080" s="71">
        <f t="shared" si="150"/>
        <v>0</v>
      </c>
      <c r="T1080" s="71">
        <f t="shared" si="151"/>
        <v>0</v>
      </c>
      <c r="U1080" s="71">
        <f>IF(AND(N1080=1,V1080=1),IF(COUNTIFS(AKTIVITAS!$B$2:$B$3052,B1080,AKTIVITAS!$E$2:$E$3052,H1080)&gt;0,1,0),0)</f>
        <v>1</v>
      </c>
      <c r="V1080" s="71">
        <f>IFERROR(IF(AND(H1080&gt;=INDEX(PEMAGANG!$J$3:$J$36,MATCH(B1080,PEMAGANG!$C$3:$C$36,0)),H1080&lt;=INDEX(PEMAGANG!$K$3:$K$36,MATCH(B1080,PEMAGANG!$C$3:$C$36,0))),1,0),0)</f>
        <v>1</v>
      </c>
      <c r="W1080" s="71">
        <f t="shared" si="152"/>
        <v>1</v>
      </c>
    </row>
    <row r="1081" spans="1:23" x14ac:dyDescent="0.2">
      <c r="A1081" s="71" t="s">
        <v>257</v>
      </c>
      <c r="B1081" s="71" t="s">
        <v>258</v>
      </c>
      <c r="C1081" s="71" t="s">
        <v>187</v>
      </c>
      <c r="D1081" s="71" t="s">
        <v>259</v>
      </c>
      <c r="E1081" s="71" t="s">
        <v>55</v>
      </c>
      <c r="F1081" s="71" t="s">
        <v>300</v>
      </c>
      <c r="G1081" s="88">
        <v>46231.690659722197</v>
      </c>
      <c r="H1081" s="89">
        <v>46231</v>
      </c>
      <c r="I1081" s="71" t="s">
        <v>314</v>
      </c>
      <c r="J1081" s="71">
        <v>0</v>
      </c>
      <c r="K1081" s="71" t="s">
        <v>302</v>
      </c>
      <c r="L1081" s="71">
        <f t="shared" si="144"/>
        <v>7</v>
      </c>
      <c r="M1081" s="71" t="str">
        <f>IFERROR(INDEX(KALENDER!$D$3:$D$132,MATCH(H1081,KALENDER!$A$3:$A$132,0)),"Di luar periode")</f>
        <v>Hari Kerja</v>
      </c>
      <c r="N1081" s="71">
        <f t="shared" si="145"/>
        <v>0</v>
      </c>
      <c r="O1081" s="71">
        <f t="shared" si="146"/>
        <v>1</v>
      </c>
      <c r="P1081" s="71">
        <f t="shared" si="147"/>
        <v>0</v>
      </c>
      <c r="Q1081" s="71">
        <f t="shared" si="148"/>
        <v>0</v>
      </c>
      <c r="R1081" s="71">
        <f t="shared" si="149"/>
        <v>0</v>
      </c>
      <c r="S1081" s="71">
        <f t="shared" si="150"/>
        <v>0</v>
      </c>
      <c r="T1081" s="71">
        <f t="shared" si="151"/>
        <v>0</v>
      </c>
      <c r="U1081" s="71">
        <f>IF(AND(N1081=1,V1081=1),IF(COUNTIFS(AKTIVITAS!$B$2:$B$3052,B1081,AKTIVITAS!$E$2:$E$3052,H1081)&gt;0,1,0),0)</f>
        <v>0</v>
      </c>
      <c r="V1081" s="71">
        <f>IFERROR(IF(AND(H1081&gt;=INDEX(PEMAGANG!$J$3:$J$36,MATCH(B1081,PEMAGANG!$C$3:$C$36,0)),H1081&lt;=INDEX(PEMAGANG!$K$3:$K$36,MATCH(B1081,PEMAGANG!$C$3:$C$36,0))),1,0),0)</f>
        <v>1</v>
      </c>
      <c r="W1081" s="71">
        <f t="shared" si="152"/>
        <v>0</v>
      </c>
    </row>
    <row r="1082" spans="1:23" x14ac:dyDescent="0.2">
      <c r="A1082" s="71" t="s">
        <v>257</v>
      </c>
      <c r="B1082" s="71" t="s">
        <v>258</v>
      </c>
      <c r="C1082" s="71" t="s">
        <v>187</v>
      </c>
      <c r="D1082" s="71" t="s">
        <v>259</v>
      </c>
      <c r="E1082" s="71" t="s">
        <v>55</v>
      </c>
      <c r="F1082" s="71" t="s">
        <v>298</v>
      </c>
      <c r="G1082" s="88">
        <v>46232.264826388899</v>
      </c>
      <c r="H1082" s="89">
        <v>46232</v>
      </c>
      <c r="I1082" s="71" t="s">
        <v>448</v>
      </c>
      <c r="J1082" s="71">
        <v>-69</v>
      </c>
      <c r="K1082" s="71" t="s">
        <v>302</v>
      </c>
      <c r="L1082" s="71">
        <f t="shared" si="144"/>
        <v>7</v>
      </c>
      <c r="M1082" s="71" t="str">
        <f>IFERROR(INDEX(KALENDER!$D$3:$D$132,MATCH(H1082,KALENDER!$A$3:$A$132,0)),"Di luar periode")</f>
        <v>WFH</v>
      </c>
      <c r="N1082" s="71">
        <f t="shared" si="145"/>
        <v>1</v>
      </c>
      <c r="O1082" s="71">
        <f t="shared" si="146"/>
        <v>1</v>
      </c>
      <c r="P1082" s="71">
        <f t="shared" si="147"/>
        <v>0</v>
      </c>
      <c r="Q1082" s="71">
        <f t="shared" si="148"/>
        <v>1</v>
      </c>
      <c r="R1082" s="71">
        <f t="shared" si="149"/>
        <v>0</v>
      </c>
      <c r="S1082" s="71">
        <f t="shared" si="150"/>
        <v>0</v>
      </c>
      <c r="T1082" s="71">
        <f t="shared" si="151"/>
        <v>1</v>
      </c>
      <c r="U1082" s="71">
        <f>IF(AND(N1082=1,V1082=1),IF(COUNTIFS(AKTIVITAS!$B$2:$B$3052,B1082,AKTIVITAS!$E$2:$E$3052,H1082)&gt;0,1,0),0)</f>
        <v>0</v>
      </c>
      <c r="V1082" s="71">
        <f>IFERROR(IF(AND(H1082&gt;=INDEX(PEMAGANG!$J$3:$J$36,MATCH(B1082,PEMAGANG!$C$3:$C$36,0)),H1082&lt;=INDEX(PEMAGANG!$K$3:$K$36,MATCH(B1082,PEMAGANG!$C$3:$C$36,0))),1,0),0)</f>
        <v>1</v>
      </c>
      <c r="W1082" s="71">
        <f t="shared" si="152"/>
        <v>1</v>
      </c>
    </row>
    <row r="1083" spans="1:23" x14ac:dyDescent="0.2">
      <c r="A1083" s="71" t="s">
        <v>257</v>
      </c>
      <c r="B1083" s="71" t="s">
        <v>258</v>
      </c>
      <c r="C1083" s="71" t="s">
        <v>187</v>
      </c>
      <c r="D1083" s="71" t="s">
        <v>259</v>
      </c>
      <c r="E1083" s="71" t="s">
        <v>55</v>
      </c>
      <c r="F1083" s="71" t="s">
        <v>298</v>
      </c>
      <c r="G1083" s="88">
        <v>46233.283263888901</v>
      </c>
      <c r="H1083" s="89">
        <v>46233</v>
      </c>
      <c r="I1083" s="71" t="s">
        <v>506</v>
      </c>
      <c r="J1083" s="71">
        <v>-43</v>
      </c>
      <c r="K1083" s="71" t="s">
        <v>302</v>
      </c>
      <c r="L1083" s="71">
        <f t="shared" si="144"/>
        <v>7</v>
      </c>
      <c r="M1083" s="71" t="str">
        <f>IFERROR(INDEX(KALENDER!$D$3:$D$132,MATCH(H1083,KALENDER!$A$3:$A$132,0)),"Di luar periode")</f>
        <v>Hari Kerja</v>
      </c>
      <c r="N1083" s="71">
        <f t="shared" si="145"/>
        <v>1</v>
      </c>
      <c r="O1083" s="71">
        <f t="shared" si="146"/>
        <v>1</v>
      </c>
      <c r="P1083" s="71">
        <f t="shared" si="147"/>
        <v>1</v>
      </c>
      <c r="Q1083" s="71">
        <f t="shared" si="148"/>
        <v>0</v>
      </c>
      <c r="R1083" s="71">
        <f t="shared" si="149"/>
        <v>0</v>
      </c>
      <c r="S1083" s="71">
        <f t="shared" si="150"/>
        <v>0</v>
      </c>
      <c r="T1083" s="71">
        <f t="shared" si="151"/>
        <v>0</v>
      </c>
      <c r="U1083" s="71">
        <f>IF(AND(N1083=1,V1083=1),IF(COUNTIFS(AKTIVITAS!$B$2:$B$3052,B1083,AKTIVITAS!$E$2:$E$3052,H1083)&gt;0,1,0),0)</f>
        <v>1</v>
      </c>
      <c r="V1083" s="71">
        <f>IFERROR(IF(AND(H1083&gt;=INDEX(PEMAGANG!$J$3:$J$36,MATCH(B1083,PEMAGANG!$C$3:$C$36,0)),H1083&lt;=INDEX(PEMAGANG!$K$3:$K$36,MATCH(B1083,PEMAGANG!$C$3:$C$36,0))),1,0),0)</f>
        <v>1</v>
      </c>
      <c r="W1083" s="71">
        <f t="shared" si="152"/>
        <v>1</v>
      </c>
    </row>
    <row r="1084" spans="1:23" x14ac:dyDescent="0.2">
      <c r="A1084" s="71" t="s">
        <v>257</v>
      </c>
      <c r="B1084" s="71" t="s">
        <v>258</v>
      </c>
      <c r="C1084" s="71" t="s">
        <v>187</v>
      </c>
      <c r="D1084" s="71" t="s">
        <v>259</v>
      </c>
      <c r="E1084" s="71" t="s">
        <v>55</v>
      </c>
      <c r="F1084" s="71" t="s">
        <v>300</v>
      </c>
      <c r="G1084" s="88">
        <v>46233.691840277803</v>
      </c>
      <c r="H1084" s="89">
        <v>46233</v>
      </c>
      <c r="I1084" s="71" t="s">
        <v>344</v>
      </c>
      <c r="J1084" s="71">
        <v>0</v>
      </c>
      <c r="K1084" s="71" t="s">
        <v>302</v>
      </c>
      <c r="L1084" s="71">
        <f t="shared" si="144"/>
        <v>7</v>
      </c>
      <c r="M1084" s="71" t="str">
        <f>IFERROR(INDEX(KALENDER!$D$3:$D$132,MATCH(H1084,KALENDER!$A$3:$A$132,0)),"Di luar periode")</f>
        <v>Hari Kerja</v>
      </c>
      <c r="N1084" s="71">
        <f t="shared" si="145"/>
        <v>0</v>
      </c>
      <c r="O1084" s="71">
        <f t="shared" si="146"/>
        <v>1</v>
      </c>
      <c r="P1084" s="71">
        <f t="shared" si="147"/>
        <v>0</v>
      </c>
      <c r="Q1084" s="71">
        <f t="shared" si="148"/>
        <v>0</v>
      </c>
      <c r="R1084" s="71">
        <f t="shared" si="149"/>
        <v>0</v>
      </c>
      <c r="S1084" s="71">
        <f t="shared" si="150"/>
        <v>0</v>
      </c>
      <c r="T1084" s="71">
        <f t="shared" si="151"/>
        <v>0</v>
      </c>
      <c r="U1084" s="71">
        <f>IF(AND(N1084=1,V1084=1),IF(COUNTIFS(AKTIVITAS!$B$2:$B$3052,B1084,AKTIVITAS!$E$2:$E$3052,H1084)&gt;0,1,0),0)</f>
        <v>0</v>
      </c>
      <c r="V1084" s="71">
        <f>IFERROR(IF(AND(H1084&gt;=INDEX(PEMAGANG!$J$3:$J$36,MATCH(B1084,PEMAGANG!$C$3:$C$36,0)),H1084&lt;=INDEX(PEMAGANG!$K$3:$K$36,MATCH(B1084,PEMAGANG!$C$3:$C$36,0))),1,0),0)</f>
        <v>1</v>
      </c>
      <c r="W1084" s="71">
        <f t="shared" si="152"/>
        <v>0</v>
      </c>
    </row>
    <row r="1085" spans="1:23" x14ac:dyDescent="0.2">
      <c r="A1085" s="71" t="s">
        <v>257</v>
      </c>
      <c r="B1085" s="71" t="s">
        <v>258</v>
      </c>
      <c r="C1085" s="71" t="s">
        <v>187</v>
      </c>
      <c r="D1085" s="71" t="s">
        <v>259</v>
      </c>
      <c r="E1085" s="71" t="s">
        <v>55</v>
      </c>
      <c r="F1085" s="71" t="s">
        <v>298</v>
      </c>
      <c r="G1085" s="88">
        <v>46234.2825578704</v>
      </c>
      <c r="H1085" s="89">
        <v>46234</v>
      </c>
      <c r="I1085" s="71" t="s">
        <v>509</v>
      </c>
      <c r="J1085" s="71">
        <v>-44</v>
      </c>
      <c r="K1085" s="71" t="s">
        <v>302</v>
      </c>
      <c r="L1085" s="71">
        <f t="shared" si="144"/>
        <v>7</v>
      </c>
      <c r="M1085" s="71" t="str">
        <f>IFERROR(INDEX(KALENDER!$D$3:$D$132,MATCH(H1085,KALENDER!$A$3:$A$132,0)),"Di luar periode")</f>
        <v>Hari Kerja</v>
      </c>
      <c r="N1085" s="71">
        <f t="shared" si="145"/>
        <v>1</v>
      </c>
      <c r="O1085" s="71">
        <f t="shared" si="146"/>
        <v>1</v>
      </c>
      <c r="P1085" s="71">
        <f t="shared" si="147"/>
        <v>1</v>
      </c>
      <c r="Q1085" s="71">
        <f t="shared" si="148"/>
        <v>0</v>
      </c>
      <c r="R1085" s="71">
        <f t="shared" si="149"/>
        <v>0</v>
      </c>
      <c r="S1085" s="71">
        <f t="shared" si="150"/>
        <v>0</v>
      </c>
      <c r="T1085" s="71">
        <f t="shared" si="151"/>
        <v>0</v>
      </c>
      <c r="U1085" s="71">
        <f>IF(AND(N1085=1,V1085=1),IF(COUNTIFS(AKTIVITAS!$B$2:$B$3052,B1085,AKTIVITAS!$E$2:$E$3052,H1085)&gt;0,1,0),0)</f>
        <v>1</v>
      </c>
      <c r="V1085" s="71">
        <f>IFERROR(IF(AND(H1085&gt;=INDEX(PEMAGANG!$J$3:$J$36,MATCH(B1085,PEMAGANG!$C$3:$C$36,0)),H1085&lt;=INDEX(PEMAGANG!$K$3:$K$36,MATCH(B1085,PEMAGANG!$C$3:$C$36,0))),1,0),0)</f>
        <v>1</v>
      </c>
      <c r="W1085" s="71">
        <f t="shared" si="152"/>
        <v>1</v>
      </c>
    </row>
    <row r="1086" spans="1:23" x14ac:dyDescent="0.2">
      <c r="A1086" s="71" t="s">
        <v>257</v>
      </c>
      <c r="B1086" s="71" t="s">
        <v>258</v>
      </c>
      <c r="C1086" s="71" t="s">
        <v>187</v>
      </c>
      <c r="D1086" s="71" t="s">
        <v>259</v>
      </c>
      <c r="E1086" s="71" t="s">
        <v>55</v>
      </c>
      <c r="F1086" s="71" t="s">
        <v>300</v>
      </c>
      <c r="G1086" s="88">
        <v>46234.687870370399</v>
      </c>
      <c r="H1086" s="89">
        <v>46234</v>
      </c>
      <c r="I1086" s="71" t="s">
        <v>330</v>
      </c>
      <c r="J1086" s="71">
        <v>0</v>
      </c>
      <c r="K1086" s="71" t="s">
        <v>302</v>
      </c>
      <c r="L1086" s="71">
        <f t="shared" si="144"/>
        <v>7</v>
      </c>
      <c r="M1086" s="71" t="str">
        <f>IFERROR(INDEX(KALENDER!$D$3:$D$132,MATCH(H1086,KALENDER!$A$3:$A$132,0)),"Di luar periode")</f>
        <v>Hari Kerja</v>
      </c>
      <c r="N1086" s="71">
        <f t="shared" si="145"/>
        <v>0</v>
      </c>
      <c r="O1086" s="71">
        <f t="shared" si="146"/>
        <v>1</v>
      </c>
      <c r="P1086" s="71">
        <f t="shared" si="147"/>
        <v>0</v>
      </c>
      <c r="Q1086" s="71">
        <f t="shared" si="148"/>
        <v>0</v>
      </c>
      <c r="R1086" s="71">
        <f t="shared" si="149"/>
        <v>0</v>
      </c>
      <c r="S1086" s="71">
        <f t="shared" si="150"/>
        <v>0</v>
      </c>
      <c r="T1086" s="71">
        <f t="shared" si="151"/>
        <v>0</v>
      </c>
      <c r="U1086" s="71">
        <f>IF(AND(N1086=1,V1086=1),IF(COUNTIFS(AKTIVITAS!$B$2:$B$3052,B1086,AKTIVITAS!$E$2:$E$3052,H1086)&gt;0,1,0),0)</f>
        <v>0</v>
      </c>
      <c r="V1086" s="71">
        <f>IFERROR(IF(AND(H1086&gt;=INDEX(PEMAGANG!$J$3:$J$36,MATCH(B1086,PEMAGANG!$C$3:$C$36,0)),H1086&lt;=INDEX(PEMAGANG!$K$3:$K$36,MATCH(B1086,PEMAGANG!$C$3:$C$36,0))),1,0),0)</f>
        <v>1</v>
      </c>
      <c r="W1086" s="71">
        <f t="shared" si="152"/>
        <v>0</v>
      </c>
    </row>
    <row r="1087" spans="1:23" x14ac:dyDescent="0.2">
      <c r="A1087" s="71" t="s">
        <v>257</v>
      </c>
      <c r="B1087" s="71" t="s">
        <v>258</v>
      </c>
      <c r="C1087" s="71" t="s">
        <v>187</v>
      </c>
      <c r="D1087" s="71" t="s">
        <v>259</v>
      </c>
      <c r="E1087" s="71" t="s">
        <v>55</v>
      </c>
      <c r="F1087" s="71" t="s">
        <v>298</v>
      </c>
      <c r="G1087" s="88">
        <v>46237.283287036997</v>
      </c>
      <c r="H1087" s="89">
        <v>46237</v>
      </c>
      <c r="I1087" s="71" t="s">
        <v>506</v>
      </c>
      <c r="J1087" s="71">
        <v>-43</v>
      </c>
      <c r="K1087" s="71" t="s">
        <v>302</v>
      </c>
      <c r="L1087" s="71">
        <f t="shared" si="144"/>
        <v>8</v>
      </c>
      <c r="M1087" s="71" t="str">
        <f>IFERROR(INDEX(KALENDER!$D$3:$D$132,MATCH(H1087,KALENDER!$A$3:$A$132,0)),"Di luar periode")</f>
        <v>Hari Kerja</v>
      </c>
      <c r="N1087" s="71">
        <f t="shared" si="145"/>
        <v>1</v>
      </c>
      <c r="O1087" s="71">
        <f t="shared" si="146"/>
        <v>1</v>
      </c>
      <c r="P1087" s="71">
        <f t="shared" si="147"/>
        <v>1</v>
      </c>
      <c r="Q1087" s="71">
        <f t="shared" si="148"/>
        <v>0</v>
      </c>
      <c r="R1087" s="71">
        <f t="shared" si="149"/>
        <v>0</v>
      </c>
      <c r="S1087" s="71">
        <f t="shared" si="150"/>
        <v>0</v>
      </c>
      <c r="T1087" s="71">
        <f t="shared" si="151"/>
        <v>0</v>
      </c>
      <c r="U1087" s="71">
        <f>IF(AND(N1087=1,V1087=1),IF(COUNTIFS(AKTIVITAS!$B$2:$B$3052,B1087,AKTIVITAS!$E$2:$E$3052,H1087)&gt;0,1,0),0)</f>
        <v>1</v>
      </c>
      <c r="V1087" s="71">
        <f>IFERROR(IF(AND(H1087&gt;=INDEX(PEMAGANG!$J$3:$J$36,MATCH(B1087,PEMAGANG!$C$3:$C$36,0)),H1087&lt;=INDEX(PEMAGANG!$K$3:$K$36,MATCH(B1087,PEMAGANG!$C$3:$C$36,0))),1,0),0)</f>
        <v>1</v>
      </c>
      <c r="W1087" s="71">
        <f t="shared" si="152"/>
        <v>1</v>
      </c>
    </row>
    <row r="1088" spans="1:23" x14ac:dyDescent="0.2">
      <c r="A1088" s="71" t="s">
        <v>257</v>
      </c>
      <c r="B1088" s="71" t="s">
        <v>258</v>
      </c>
      <c r="C1088" s="71" t="s">
        <v>187</v>
      </c>
      <c r="D1088" s="71" t="s">
        <v>259</v>
      </c>
      <c r="E1088" s="71" t="s">
        <v>55</v>
      </c>
      <c r="F1088" s="71" t="s">
        <v>300</v>
      </c>
      <c r="G1088" s="88">
        <v>46237.6906018519</v>
      </c>
      <c r="H1088" s="89">
        <v>46237</v>
      </c>
      <c r="I1088" s="71" t="s">
        <v>314</v>
      </c>
      <c r="J1088" s="71">
        <v>0</v>
      </c>
      <c r="K1088" s="71" t="s">
        <v>302</v>
      </c>
      <c r="L1088" s="71">
        <f t="shared" si="144"/>
        <v>8</v>
      </c>
      <c r="M1088" s="71" t="str">
        <f>IFERROR(INDEX(KALENDER!$D$3:$D$132,MATCH(H1088,KALENDER!$A$3:$A$132,0)),"Di luar periode")</f>
        <v>Hari Kerja</v>
      </c>
      <c r="N1088" s="71">
        <f t="shared" si="145"/>
        <v>0</v>
      </c>
      <c r="O1088" s="71">
        <f t="shared" si="146"/>
        <v>1</v>
      </c>
      <c r="P1088" s="71">
        <f t="shared" si="147"/>
        <v>0</v>
      </c>
      <c r="Q1088" s="71">
        <f t="shared" si="148"/>
        <v>0</v>
      </c>
      <c r="R1088" s="71">
        <f t="shared" si="149"/>
        <v>0</v>
      </c>
      <c r="S1088" s="71">
        <f t="shared" si="150"/>
        <v>0</v>
      </c>
      <c r="T1088" s="71">
        <f t="shared" si="151"/>
        <v>0</v>
      </c>
      <c r="U1088" s="71">
        <f>IF(AND(N1088=1,V1088=1),IF(COUNTIFS(AKTIVITAS!$B$2:$B$3052,B1088,AKTIVITAS!$E$2:$E$3052,H1088)&gt;0,1,0),0)</f>
        <v>0</v>
      </c>
      <c r="V1088" s="71">
        <f>IFERROR(IF(AND(H1088&gt;=INDEX(PEMAGANG!$J$3:$J$36,MATCH(B1088,PEMAGANG!$C$3:$C$36,0)),H1088&lt;=INDEX(PEMAGANG!$K$3:$K$36,MATCH(B1088,PEMAGANG!$C$3:$C$36,0))),1,0),0)</f>
        <v>1</v>
      </c>
      <c r="W1088" s="71">
        <f t="shared" si="152"/>
        <v>0</v>
      </c>
    </row>
    <row r="1089" spans="1:23" x14ac:dyDescent="0.2">
      <c r="A1089" s="71" t="s">
        <v>257</v>
      </c>
      <c r="B1089" s="71" t="s">
        <v>258</v>
      </c>
      <c r="C1089" s="71" t="s">
        <v>187</v>
      </c>
      <c r="D1089" s="71" t="s">
        <v>259</v>
      </c>
      <c r="E1089" s="71" t="s">
        <v>55</v>
      </c>
      <c r="F1089" s="71" t="s">
        <v>298</v>
      </c>
      <c r="G1089" s="88">
        <v>46238.287812499999</v>
      </c>
      <c r="H1089" s="89">
        <v>46238</v>
      </c>
      <c r="I1089" s="71" t="s">
        <v>348</v>
      </c>
      <c r="J1089" s="71">
        <v>-36</v>
      </c>
      <c r="K1089" s="71" t="s">
        <v>302</v>
      </c>
      <c r="L1089" s="71">
        <f t="shared" si="144"/>
        <v>8</v>
      </c>
      <c r="M1089" s="71" t="str">
        <f>IFERROR(INDEX(KALENDER!$D$3:$D$132,MATCH(H1089,KALENDER!$A$3:$A$132,0)),"Di luar periode")</f>
        <v>Hari Kerja</v>
      </c>
      <c r="N1089" s="71">
        <f t="shared" si="145"/>
        <v>1</v>
      </c>
      <c r="O1089" s="71">
        <f t="shared" si="146"/>
        <v>1</v>
      </c>
      <c r="P1089" s="71">
        <f t="shared" si="147"/>
        <v>1</v>
      </c>
      <c r="Q1089" s="71">
        <f t="shared" si="148"/>
        <v>0</v>
      </c>
      <c r="R1089" s="71">
        <f t="shared" si="149"/>
        <v>0</v>
      </c>
      <c r="S1089" s="71">
        <f t="shared" si="150"/>
        <v>0</v>
      </c>
      <c r="T1089" s="71">
        <f t="shared" si="151"/>
        <v>0</v>
      </c>
      <c r="U1089" s="71">
        <f>IF(AND(N1089=1,V1089=1),IF(COUNTIFS(AKTIVITAS!$B$2:$B$3052,B1089,AKTIVITAS!$E$2:$E$3052,H1089)&gt;0,1,0),0)</f>
        <v>1</v>
      </c>
      <c r="V1089" s="71">
        <f>IFERROR(IF(AND(H1089&gt;=INDEX(PEMAGANG!$J$3:$J$36,MATCH(B1089,PEMAGANG!$C$3:$C$36,0)),H1089&lt;=INDEX(PEMAGANG!$K$3:$K$36,MATCH(B1089,PEMAGANG!$C$3:$C$36,0))),1,0),0)</f>
        <v>1</v>
      </c>
      <c r="W1089" s="71">
        <f t="shared" si="152"/>
        <v>1</v>
      </c>
    </row>
    <row r="1090" spans="1:23" x14ac:dyDescent="0.2">
      <c r="A1090" s="71" t="s">
        <v>257</v>
      </c>
      <c r="B1090" s="71" t="s">
        <v>258</v>
      </c>
      <c r="C1090" s="71" t="s">
        <v>187</v>
      </c>
      <c r="D1090" s="71" t="s">
        <v>259</v>
      </c>
      <c r="E1090" s="71" t="s">
        <v>55</v>
      </c>
      <c r="F1090" s="71" t="s">
        <v>300</v>
      </c>
      <c r="G1090" s="88">
        <v>46238.6897916667</v>
      </c>
      <c r="H1090" s="89">
        <v>46238</v>
      </c>
      <c r="I1090" s="71" t="s">
        <v>316</v>
      </c>
      <c r="J1090" s="71">
        <v>0</v>
      </c>
      <c r="K1090" s="71" t="s">
        <v>302</v>
      </c>
      <c r="L1090" s="71">
        <f t="shared" ref="L1090:L1153" si="153">MONTH(H1090)</f>
        <v>8</v>
      </c>
      <c r="M1090" s="71" t="str">
        <f>IFERROR(INDEX(KALENDER!$D$3:$D$132,MATCH(H1090,KALENDER!$A$3:$A$132,0)),"Di luar periode")</f>
        <v>Hari Kerja</v>
      </c>
      <c r="N1090" s="71">
        <f t="shared" ref="N1090:N1153" si="154">IF(AND(B1090=B1089,H1090=H1089),0,1)</f>
        <v>0</v>
      </c>
      <c r="O1090" s="71">
        <f t="shared" ref="O1090:O1153" si="155">IF(N1090=1,0,O1089)+IF(F1090="MASUK",1,0)</f>
        <v>1</v>
      </c>
      <c r="P1090" s="71">
        <f t="shared" ref="P1090:P1153" si="156">IF(AND(N1090=1,M1090="Hari Kerja",V1090=1),1,0)</f>
        <v>0</v>
      </c>
      <c r="Q1090" s="71">
        <f t="shared" ref="Q1090:Q1153" si="157">IF(AND(N1090=1,OR(M1090&lt;&gt;"Hari Kerja",V1090=0)),1,0)</f>
        <v>0</v>
      </c>
      <c r="R1090" s="71">
        <f t="shared" ref="R1090:R1153" si="158">IF(AND(F1090="MASUK",O1090=1,N(J1090)&gt;0,V1090=1),1,0)</f>
        <v>0</v>
      </c>
      <c r="S1090" s="71">
        <f t="shared" ref="S1090:S1153" si="159">R1090*N(J1090)</f>
        <v>0</v>
      </c>
      <c r="T1090" s="71">
        <f t="shared" ref="T1090:T1153" si="160">IF(AND(N1090=1,V1090=1),IF(AND(COUNTIFS($B$2:$B$4094,B1090,$H$2:$H$4094,H1090,$F$2:$F$4094,"MASUK")&gt;0,COUNTIFS($B$2:$B$4094,B1090,$H$2:$H$4094,H1090,$F$2:$F$4094,"PULANG")=0),1,0),0)</f>
        <v>0</v>
      </c>
      <c r="U1090" s="71">
        <f>IF(AND(N1090=1,V1090=1),IF(COUNTIFS(AKTIVITAS!$B$2:$B$3052,B1090,AKTIVITAS!$E$2:$E$3052,H1090)&gt;0,1,0),0)</f>
        <v>0</v>
      </c>
      <c r="V1090" s="71">
        <f>IFERROR(IF(AND(H1090&gt;=INDEX(PEMAGANG!$J$3:$J$36,MATCH(B1090,PEMAGANG!$C$3:$C$36,0)),H1090&lt;=INDEX(PEMAGANG!$K$3:$K$36,MATCH(B1090,PEMAGANG!$C$3:$C$36,0))),1,0),0)</f>
        <v>1</v>
      </c>
      <c r="W1090" s="71">
        <f t="shared" ref="W1090:W1153" si="161">N1090*V1090</f>
        <v>0</v>
      </c>
    </row>
    <row r="1091" spans="1:23" x14ac:dyDescent="0.2">
      <c r="A1091" s="71" t="s">
        <v>257</v>
      </c>
      <c r="B1091" s="71" t="s">
        <v>258</v>
      </c>
      <c r="C1091" s="71" t="s">
        <v>187</v>
      </c>
      <c r="D1091" s="71" t="s">
        <v>259</v>
      </c>
      <c r="E1091" s="71" t="s">
        <v>55</v>
      </c>
      <c r="F1091" s="71" t="s">
        <v>298</v>
      </c>
      <c r="G1091" s="88">
        <v>46239.291099536997</v>
      </c>
      <c r="H1091" s="89">
        <v>46239</v>
      </c>
      <c r="I1091" s="71" t="s">
        <v>485</v>
      </c>
      <c r="J1091" s="71">
        <v>-31</v>
      </c>
      <c r="K1091" s="71" t="s">
        <v>302</v>
      </c>
      <c r="L1091" s="71">
        <f t="shared" si="153"/>
        <v>8</v>
      </c>
      <c r="M1091" s="71" t="str">
        <f>IFERROR(INDEX(KALENDER!$D$3:$D$132,MATCH(H1091,KALENDER!$A$3:$A$132,0)),"Di luar periode")</f>
        <v>Hari Kerja</v>
      </c>
      <c r="N1091" s="71">
        <f t="shared" si="154"/>
        <v>1</v>
      </c>
      <c r="O1091" s="71">
        <f t="shared" si="155"/>
        <v>1</v>
      </c>
      <c r="P1091" s="71">
        <f t="shared" si="156"/>
        <v>1</v>
      </c>
      <c r="Q1091" s="71">
        <f t="shared" si="157"/>
        <v>0</v>
      </c>
      <c r="R1091" s="71">
        <f t="shared" si="158"/>
        <v>0</v>
      </c>
      <c r="S1091" s="71">
        <f t="shared" si="159"/>
        <v>0</v>
      </c>
      <c r="T1091" s="71">
        <f t="shared" si="160"/>
        <v>0</v>
      </c>
      <c r="U1091" s="71">
        <f>IF(AND(N1091=1,V1091=1),IF(COUNTIFS(AKTIVITAS!$B$2:$B$3052,B1091,AKTIVITAS!$E$2:$E$3052,H1091)&gt;0,1,0),0)</f>
        <v>1</v>
      </c>
      <c r="V1091" s="71">
        <f>IFERROR(IF(AND(H1091&gt;=INDEX(PEMAGANG!$J$3:$J$36,MATCH(B1091,PEMAGANG!$C$3:$C$36,0)),H1091&lt;=INDEX(PEMAGANG!$K$3:$K$36,MATCH(B1091,PEMAGANG!$C$3:$C$36,0))),1,0),0)</f>
        <v>1</v>
      </c>
      <c r="W1091" s="71">
        <f t="shared" si="161"/>
        <v>1</v>
      </c>
    </row>
    <row r="1092" spans="1:23" x14ac:dyDescent="0.2">
      <c r="A1092" s="71" t="s">
        <v>257</v>
      </c>
      <c r="B1092" s="71" t="s">
        <v>258</v>
      </c>
      <c r="C1092" s="71" t="s">
        <v>187</v>
      </c>
      <c r="D1092" s="71" t="s">
        <v>259</v>
      </c>
      <c r="E1092" s="71" t="s">
        <v>55</v>
      </c>
      <c r="F1092" s="71" t="s">
        <v>300</v>
      </c>
      <c r="G1092" s="88">
        <v>46239.689375000002</v>
      </c>
      <c r="H1092" s="89">
        <v>46239</v>
      </c>
      <c r="I1092" s="71" t="s">
        <v>306</v>
      </c>
      <c r="J1092" s="71">
        <v>0</v>
      </c>
      <c r="K1092" s="71" t="s">
        <v>302</v>
      </c>
      <c r="L1092" s="71">
        <f t="shared" si="153"/>
        <v>8</v>
      </c>
      <c r="M1092" s="71" t="str">
        <f>IFERROR(INDEX(KALENDER!$D$3:$D$132,MATCH(H1092,KALENDER!$A$3:$A$132,0)),"Di luar periode")</f>
        <v>Hari Kerja</v>
      </c>
      <c r="N1092" s="71">
        <f t="shared" si="154"/>
        <v>0</v>
      </c>
      <c r="O1092" s="71">
        <f t="shared" si="155"/>
        <v>1</v>
      </c>
      <c r="P1092" s="71">
        <f t="shared" si="156"/>
        <v>0</v>
      </c>
      <c r="Q1092" s="71">
        <f t="shared" si="157"/>
        <v>0</v>
      </c>
      <c r="R1092" s="71">
        <f t="shared" si="158"/>
        <v>0</v>
      </c>
      <c r="S1092" s="71">
        <f t="shared" si="159"/>
        <v>0</v>
      </c>
      <c r="T1092" s="71">
        <f t="shared" si="160"/>
        <v>0</v>
      </c>
      <c r="U1092" s="71">
        <f>IF(AND(N1092=1,V1092=1),IF(COUNTIFS(AKTIVITAS!$B$2:$B$3052,B1092,AKTIVITAS!$E$2:$E$3052,H1092)&gt;0,1,0),0)</f>
        <v>0</v>
      </c>
      <c r="V1092" s="71">
        <f>IFERROR(IF(AND(H1092&gt;=INDEX(PEMAGANG!$J$3:$J$36,MATCH(B1092,PEMAGANG!$C$3:$C$36,0)),H1092&lt;=INDEX(PEMAGANG!$K$3:$K$36,MATCH(B1092,PEMAGANG!$C$3:$C$36,0))),1,0),0)</f>
        <v>1</v>
      </c>
      <c r="W1092" s="71">
        <f t="shared" si="161"/>
        <v>0</v>
      </c>
    </row>
    <row r="1093" spans="1:23" x14ac:dyDescent="0.2">
      <c r="A1093" s="71" t="s">
        <v>257</v>
      </c>
      <c r="B1093" s="71" t="s">
        <v>258</v>
      </c>
      <c r="C1093" s="71" t="s">
        <v>187</v>
      </c>
      <c r="D1093" s="71" t="s">
        <v>259</v>
      </c>
      <c r="E1093" s="71" t="s">
        <v>55</v>
      </c>
      <c r="F1093" s="71" t="s">
        <v>298</v>
      </c>
      <c r="G1093" s="88">
        <v>46240.289212962998</v>
      </c>
      <c r="H1093" s="89">
        <v>46240</v>
      </c>
      <c r="I1093" s="71" t="s">
        <v>504</v>
      </c>
      <c r="J1093" s="71">
        <v>-34</v>
      </c>
      <c r="K1093" s="71" t="s">
        <v>302</v>
      </c>
      <c r="L1093" s="71">
        <f t="shared" si="153"/>
        <v>8</v>
      </c>
      <c r="M1093" s="71" t="str">
        <f>IFERROR(INDEX(KALENDER!$D$3:$D$132,MATCH(H1093,KALENDER!$A$3:$A$132,0)),"Di luar periode")</f>
        <v>Hari Kerja</v>
      </c>
      <c r="N1093" s="71">
        <f t="shared" si="154"/>
        <v>1</v>
      </c>
      <c r="O1093" s="71">
        <f t="shared" si="155"/>
        <v>1</v>
      </c>
      <c r="P1093" s="71">
        <f t="shared" si="156"/>
        <v>1</v>
      </c>
      <c r="Q1093" s="71">
        <f t="shared" si="157"/>
        <v>0</v>
      </c>
      <c r="R1093" s="71">
        <f t="shared" si="158"/>
        <v>0</v>
      </c>
      <c r="S1093" s="71">
        <f t="shared" si="159"/>
        <v>0</v>
      </c>
      <c r="T1093" s="71">
        <f t="shared" si="160"/>
        <v>0</v>
      </c>
      <c r="U1093" s="71">
        <f>IF(AND(N1093=1,V1093=1),IF(COUNTIFS(AKTIVITAS!$B$2:$B$3052,B1093,AKTIVITAS!$E$2:$E$3052,H1093)&gt;0,1,0),0)</f>
        <v>1</v>
      </c>
      <c r="V1093" s="71">
        <f>IFERROR(IF(AND(H1093&gt;=INDEX(PEMAGANG!$J$3:$J$36,MATCH(B1093,PEMAGANG!$C$3:$C$36,0)),H1093&lt;=INDEX(PEMAGANG!$K$3:$K$36,MATCH(B1093,PEMAGANG!$C$3:$C$36,0))),1,0),0)</f>
        <v>1</v>
      </c>
      <c r="W1093" s="71">
        <f t="shared" si="161"/>
        <v>1</v>
      </c>
    </row>
    <row r="1094" spans="1:23" x14ac:dyDescent="0.2">
      <c r="A1094" s="71" t="s">
        <v>257</v>
      </c>
      <c r="B1094" s="71" t="s">
        <v>258</v>
      </c>
      <c r="C1094" s="71" t="s">
        <v>187</v>
      </c>
      <c r="D1094" s="71" t="s">
        <v>259</v>
      </c>
      <c r="E1094" s="71" t="s">
        <v>55</v>
      </c>
      <c r="F1094" s="71" t="s">
        <v>300</v>
      </c>
      <c r="G1094" s="88">
        <v>46240.6879513889</v>
      </c>
      <c r="H1094" s="89">
        <v>46240</v>
      </c>
      <c r="I1094" s="71" t="s">
        <v>330</v>
      </c>
      <c r="J1094" s="71">
        <v>0</v>
      </c>
      <c r="K1094" s="71" t="s">
        <v>302</v>
      </c>
      <c r="L1094" s="71">
        <f t="shared" si="153"/>
        <v>8</v>
      </c>
      <c r="M1094" s="71" t="str">
        <f>IFERROR(INDEX(KALENDER!$D$3:$D$132,MATCH(H1094,KALENDER!$A$3:$A$132,0)),"Di luar periode")</f>
        <v>Hari Kerja</v>
      </c>
      <c r="N1094" s="71">
        <f t="shared" si="154"/>
        <v>0</v>
      </c>
      <c r="O1094" s="71">
        <f t="shared" si="155"/>
        <v>1</v>
      </c>
      <c r="P1094" s="71">
        <f t="shared" si="156"/>
        <v>0</v>
      </c>
      <c r="Q1094" s="71">
        <f t="shared" si="157"/>
        <v>0</v>
      </c>
      <c r="R1094" s="71">
        <f t="shared" si="158"/>
        <v>0</v>
      </c>
      <c r="S1094" s="71">
        <f t="shared" si="159"/>
        <v>0</v>
      </c>
      <c r="T1094" s="71">
        <f t="shared" si="160"/>
        <v>0</v>
      </c>
      <c r="U1094" s="71">
        <f>IF(AND(N1094=1,V1094=1),IF(COUNTIFS(AKTIVITAS!$B$2:$B$3052,B1094,AKTIVITAS!$E$2:$E$3052,H1094)&gt;0,1,0),0)</f>
        <v>0</v>
      </c>
      <c r="V1094" s="71">
        <f>IFERROR(IF(AND(H1094&gt;=INDEX(PEMAGANG!$J$3:$J$36,MATCH(B1094,PEMAGANG!$C$3:$C$36,0)),H1094&lt;=INDEX(PEMAGANG!$K$3:$K$36,MATCH(B1094,PEMAGANG!$C$3:$C$36,0))),1,0),0)</f>
        <v>1</v>
      </c>
      <c r="W1094" s="71">
        <f t="shared" si="161"/>
        <v>0</v>
      </c>
    </row>
    <row r="1095" spans="1:23" x14ac:dyDescent="0.2">
      <c r="A1095" s="71" t="s">
        <v>257</v>
      </c>
      <c r="B1095" s="71" t="s">
        <v>258</v>
      </c>
      <c r="C1095" s="71" t="s">
        <v>187</v>
      </c>
      <c r="D1095" s="71" t="s">
        <v>259</v>
      </c>
      <c r="E1095" s="71" t="s">
        <v>55</v>
      </c>
      <c r="F1095" s="71" t="s">
        <v>298</v>
      </c>
      <c r="G1095" s="88">
        <v>46241.299675925897</v>
      </c>
      <c r="H1095" s="89">
        <v>46241</v>
      </c>
      <c r="I1095" s="71" t="s">
        <v>402</v>
      </c>
      <c r="J1095" s="71">
        <v>-19</v>
      </c>
      <c r="K1095" s="71" t="s">
        <v>302</v>
      </c>
      <c r="L1095" s="71">
        <f t="shared" si="153"/>
        <v>8</v>
      </c>
      <c r="M1095" s="71" t="str">
        <f>IFERROR(INDEX(KALENDER!$D$3:$D$132,MATCH(H1095,KALENDER!$A$3:$A$132,0)),"Di luar periode")</f>
        <v>Hari Kerja</v>
      </c>
      <c r="N1095" s="71">
        <f t="shared" si="154"/>
        <v>1</v>
      </c>
      <c r="O1095" s="71">
        <f t="shared" si="155"/>
        <v>1</v>
      </c>
      <c r="P1095" s="71">
        <f t="shared" si="156"/>
        <v>1</v>
      </c>
      <c r="Q1095" s="71">
        <f t="shared" si="157"/>
        <v>0</v>
      </c>
      <c r="R1095" s="71">
        <f t="shared" si="158"/>
        <v>0</v>
      </c>
      <c r="S1095" s="71">
        <f t="shared" si="159"/>
        <v>0</v>
      </c>
      <c r="T1095" s="71">
        <f t="shared" si="160"/>
        <v>0</v>
      </c>
      <c r="U1095" s="71">
        <f>IF(AND(N1095=1,V1095=1),IF(COUNTIFS(AKTIVITAS!$B$2:$B$3052,B1095,AKTIVITAS!$E$2:$E$3052,H1095)&gt;0,1,0),0)</f>
        <v>1</v>
      </c>
      <c r="V1095" s="71">
        <f>IFERROR(IF(AND(H1095&gt;=INDEX(PEMAGANG!$J$3:$J$36,MATCH(B1095,PEMAGANG!$C$3:$C$36,0)),H1095&lt;=INDEX(PEMAGANG!$K$3:$K$36,MATCH(B1095,PEMAGANG!$C$3:$C$36,0))),1,0),0)</f>
        <v>1</v>
      </c>
      <c r="W1095" s="71">
        <f t="shared" si="161"/>
        <v>1</v>
      </c>
    </row>
    <row r="1096" spans="1:23" x14ac:dyDescent="0.2">
      <c r="A1096" s="71" t="s">
        <v>257</v>
      </c>
      <c r="B1096" s="71" t="s">
        <v>258</v>
      </c>
      <c r="C1096" s="71" t="s">
        <v>187</v>
      </c>
      <c r="D1096" s="71" t="s">
        <v>259</v>
      </c>
      <c r="E1096" s="71" t="s">
        <v>55</v>
      </c>
      <c r="F1096" s="71" t="s">
        <v>300</v>
      </c>
      <c r="G1096" s="88">
        <v>46241.6881712963</v>
      </c>
      <c r="H1096" s="89">
        <v>46241</v>
      </c>
      <c r="I1096" s="71" t="s">
        <v>330</v>
      </c>
      <c r="J1096" s="71">
        <v>0</v>
      </c>
      <c r="K1096" s="71" t="s">
        <v>302</v>
      </c>
      <c r="L1096" s="71">
        <f t="shared" si="153"/>
        <v>8</v>
      </c>
      <c r="M1096" s="71" t="str">
        <f>IFERROR(INDEX(KALENDER!$D$3:$D$132,MATCH(H1096,KALENDER!$A$3:$A$132,0)),"Di luar periode")</f>
        <v>Hari Kerja</v>
      </c>
      <c r="N1096" s="71">
        <f t="shared" si="154"/>
        <v>0</v>
      </c>
      <c r="O1096" s="71">
        <f t="shared" si="155"/>
        <v>1</v>
      </c>
      <c r="P1096" s="71">
        <f t="shared" si="156"/>
        <v>0</v>
      </c>
      <c r="Q1096" s="71">
        <f t="shared" si="157"/>
        <v>0</v>
      </c>
      <c r="R1096" s="71">
        <f t="shared" si="158"/>
        <v>0</v>
      </c>
      <c r="S1096" s="71">
        <f t="shared" si="159"/>
        <v>0</v>
      </c>
      <c r="T1096" s="71">
        <f t="shared" si="160"/>
        <v>0</v>
      </c>
      <c r="U1096" s="71">
        <f>IF(AND(N1096=1,V1096=1),IF(COUNTIFS(AKTIVITAS!$B$2:$B$3052,B1096,AKTIVITAS!$E$2:$E$3052,H1096)&gt;0,1,0),0)</f>
        <v>0</v>
      </c>
      <c r="V1096" s="71">
        <f>IFERROR(IF(AND(H1096&gt;=INDEX(PEMAGANG!$J$3:$J$36,MATCH(B1096,PEMAGANG!$C$3:$C$36,0)),H1096&lt;=INDEX(PEMAGANG!$K$3:$K$36,MATCH(B1096,PEMAGANG!$C$3:$C$36,0))),1,0),0)</f>
        <v>1</v>
      </c>
      <c r="W1096" s="71">
        <f t="shared" si="161"/>
        <v>0</v>
      </c>
    </row>
    <row r="1097" spans="1:23" x14ac:dyDescent="0.2">
      <c r="A1097" s="71" t="s">
        <v>257</v>
      </c>
      <c r="B1097" s="71" t="s">
        <v>258</v>
      </c>
      <c r="C1097" s="71" t="s">
        <v>187</v>
      </c>
      <c r="D1097" s="71" t="s">
        <v>259</v>
      </c>
      <c r="E1097" s="71" t="s">
        <v>55</v>
      </c>
      <c r="F1097" s="71" t="s">
        <v>298</v>
      </c>
      <c r="G1097" s="88">
        <v>46244.281770833302</v>
      </c>
      <c r="H1097" s="89">
        <v>46244</v>
      </c>
      <c r="I1097" s="71" t="s">
        <v>510</v>
      </c>
      <c r="J1097" s="71">
        <v>-45</v>
      </c>
      <c r="K1097" s="71" t="s">
        <v>302</v>
      </c>
      <c r="L1097" s="71">
        <f t="shared" si="153"/>
        <v>8</v>
      </c>
      <c r="M1097" s="71" t="str">
        <f>IFERROR(INDEX(KALENDER!$D$3:$D$132,MATCH(H1097,KALENDER!$A$3:$A$132,0)),"Di luar periode")</f>
        <v>Hari Kerja</v>
      </c>
      <c r="N1097" s="71">
        <f t="shared" si="154"/>
        <v>1</v>
      </c>
      <c r="O1097" s="71">
        <f t="shared" si="155"/>
        <v>1</v>
      </c>
      <c r="P1097" s="71">
        <f t="shared" si="156"/>
        <v>1</v>
      </c>
      <c r="Q1097" s="71">
        <f t="shared" si="157"/>
        <v>0</v>
      </c>
      <c r="R1097" s="71">
        <f t="shared" si="158"/>
        <v>0</v>
      </c>
      <c r="S1097" s="71">
        <f t="shared" si="159"/>
        <v>0</v>
      </c>
      <c r="T1097" s="71">
        <f t="shared" si="160"/>
        <v>0</v>
      </c>
      <c r="U1097" s="71">
        <f>IF(AND(N1097=1,V1097=1),IF(COUNTIFS(AKTIVITAS!$B$2:$B$3052,B1097,AKTIVITAS!$E$2:$E$3052,H1097)&gt;0,1,0),0)</f>
        <v>1</v>
      </c>
      <c r="V1097" s="71">
        <f>IFERROR(IF(AND(H1097&gt;=INDEX(PEMAGANG!$J$3:$J$36,MATCH(B1097,PEMAGANG!$C$3:$C$36,0)),H1097&lt;=INDEX(PEMAGANG!$K$3:$K$36,MATCH(B1097,PEMAGANG!$C$3:$C$36,0))),1,0),0)</f>
        <v>1</v>
      </c>
      <c r="W1097" s="71">
        <f t="shared" si="161"/>
        <v>1</v>
      </c>
    </row>
    <row r="1098" spans="1:23" x14ac:dyDescent="0.2">
      <c r="A1098" s="71" t="s">
        <v>257</v>
      </c>
      <c r="B1098" s="71" t="s">
        <v>258</v>
      </c>
      <c r="C1098" s="71" t="s">
        <v>187</v>
      </c>
      <c r="D1098" s="71" t="s">
        <v>259</v>
      </c>
      <c r="E1098" s="71" t="s">
        <v>55</v>
      </c>
      <c r="F1098" s="71" t="s">
        <v>300</v>
      </c>
      <c r="G1098" s="88">
        <v>46244.687615740702</v>
      </c>
      <c r="H1098" s="89">
        <v>46244</v>
      </c>
      <c r="I1098" s="71" t="s">
        <v>330</v>
      </c>
      <c r="J1098" s="71">
        <v>0</v>
      </c>
      <c r="K1098" s="71" t="s">
        <v>302</v>
      </c>
      <c r="L1098" s="71">
        <f t="shared" si="153"/>
        <v>8</v>
      </c>
      <c r="M1098" s="71" t="str">
        <f>IFERROR(INDEX(KALENDER!$D$3:$D$132,MATCH(H1098,KALENDER!$A$3:$A$132,0)),"Di luar periode")</f>
        <v>Hari Kerja</v>
      </c>
      <c r="N1098" s="71">
        <f t="shared" si="154"/>
        <v>0</v>
      </c>
      <c r="O1098" s="71">
        <f t="shared" si="155"/>
        <v>1</v>
      </c>
      <c r="P1098" s="71">
        <f t="shared" si="156"/>
        <v>0</v>
      </c>
      <c r="Q1098" s="71">
        <f t="shared" si="157"/>
        <v>0</v>
      </c>
      <c r="R1098" s="71">
        <f t="shared" si="158"/>
        <v>0</v>
      </c>
      <c r="S1098" s="71">
        <f t="shared" si="159"/>
        <v>0</v>
      </c>
      <c r="T1098" s="71">
        <f t="shared" si="160"/>
        <v>0</v>
      </c>
      <c r="U1098" s="71">
        <f>IF(AND(N1098=1,V1098=1),IF(COUNTIFS(AKTIVITAS!$B$2:$B$3052,B1098,AKTIVITAS!$E$2:$E$3052,H1098)&gt;0,1,0),0)</f>
        <v>0</v>
      </c>
      <c r="V1098" s="71">
        <f>IFERROR(IF(AND(H1098&gt;=INDEX(PEMAGANG!$J$3:$J$36,MATCH(B1098,PEMAGANG!$C$3:$C$36,0)),H1098&lt;=INDEX(PEMAGANG!$K$3:$K$36,MATCH(B1098,PEMAGANG!$C$3:$C$36,0))),1,0),0)</f>
        <v>1</v>
      </c>
      <c r="W1098" s="71">
        <f t="shared" si="161"/>
        <v>0</v>
      </c>
    </row>
    <row r="1099" spans="1:23" x14ac:dyDescent="0.2">
      <c r="A1099" s="71" t="s">
        <v>257</v>
      </c>
      <c r="B1099" s="71" t="s">
        <v>258</v>
      </c>
      <c r="C1099" s="71" t="s">
        <v>187</v>
      </c>
      <c r="D1099" s="71" t="s">
        <v>259</v>
      </c>
      <c r="E1099" s="71" t="s">
        <v>55</v>
      </c>
      <c r="F1099" s="71" t="s">
        <v>298</v>
      </c>
      <c r="G1099" s="88">
        <v>46245.290868055599</v>
      </c>
      <c r="H1099" s="89">
        <v>46245</v>
      </c>
      <c r="I1099" s="71" t="s">
        <v>511</v>
      </c>
      <c r="J1099" s="71">
        <v>-32</v>
      </c>
      <c r="K1099" s="71" t="s">
        <v>302</v>
      </c>
      <c r="L1099" s="71">
        <f t="shared" si="153"/>
        <v>8</v>
      </c>
      <c r="M1099" s="71" t="str">
        <f>IFERROR(INDEX(KALENDER!$D$3:$D$132,MATCH(H1099,KALENDER!$A$3:$A$132,0)),"Di luar periode")</f>
        <v>Hari Kerja</v>
      </c>
      <c r="N1099" s="71">
        <f t="shared" si="154"/>
        <v>1</v>
      </c>
      <c r="O1099" s="71">
        <f t="shared" si="155"/>
        <v>1</v>
      </c>
      <c r="P1099" s="71">
        <f t="shared" si="156"/>
        <v>1</v>
      </c>
      <c r="Q1099" s="71">
        <f t="shared" si="157"/>
        <v>0</v>
      </c>
      <c r="R1099" s="71">
        <f t="shared" si="158"/>
        <v>0</v>
      </c>
      <c r="S1099" s="71">
        <f t="shared" si="159"/>
        <v>0</v>
      </c>
      <c r="T1099" s="71">
        <f t="shared" si="160"/>
        <v>0</v>
      </c>
      <c r="U1099" s="71">
        <f>IF(AND(N1099=1,V1099=1),IF(COUNTIFS(AKTIVITAS!$B$2:$B$3052,B1099,AKTIVITAS!$E$2:$E$3052,H1099)&gt;0,1,0),0)</f>
        <v>1</v>
      </c>
      <c r="V1099" s="71">
        <f>IFERROR(IF(AND(H1099&gt;=INDEX(PEMAGANG!$J$3:$J$36,MATCH(B1099,PEMAGANG!$C$3:$C$36,0)),H1099&lt;=INDEX(PEMAGANG!$K$3:$K$36,MATCH(B1099,PEMAGANG!$C$3:$C$36,0))),1,0),0)</f>
        <v>1</v>
      </c>
      <c r="W1099" s="71">
        <f t="shared" si="161"/>
        <v>1</v>
      </c>
    </row>
    <row r="1100" spans="1:23" x14ac:dyDescent="0.2">
      <c r="A1100" s="71" t="s">
        <v>257</v>
      </c>
      <c r="B1100" s="71" t="s">
        <v>258</v>
      </c>
      <c r="C1100" s="71" t="s">
        <v>187</v>
      </c>
      <c r="D1100" s="71" t="s">
        <v>259</v>
      </c>
      <c r="E1100" s="71" t="s">
        <v>55</v>
      </c>
      <c r="F1100" s="71" t="s">
        <v>300</v>
      </c>
      <c r="G1100" s="88">
        <v>46245.687986111101</v>
      </c>
      <c r="H1100" s="89">
        <v>46245</v>
      </c>
      <c r="I1100" s="71" t="s">
        <v>330</v>
      </c>
      <c r="J1100" s="71">
        <v>0</v>
      </c>
      <c r="K1100" s="71" t="s">
        <v>302</v>
      </c>
      <c r="L1100" s="71">
        <f t="shared" si="153"/>
        <v>8</v>
      </c>
      <c r="M1100" s="71" t="str">
        <f>IFERROR(INDEX(KALENDER!$D$3:$D$132,MATCH(H1100,KALENDER!$A$3:$A$132,0)),"Di luar periode")</f>
        <v>Hari Kerja</v>
      </c>
      <c r="N1100" s="71">
        <f t="shared" si="154"/>
        <v>0</v>
      </c>
      <c r="O1100" s="71">
        <f t="shared" si="155"/>
        <v>1</v>
      </c>
      <c r="P1100" s="71">
        <f t="shared" si="156"/>
        <v>0</v>
      </c>
      <c r="Q1100" s="71">
        <f t="shared" si="157"/>
        <v>0</v>
      </c>
      <c r="R1100" s="71">
        <f t="shared" si="158"/>
        <v>0</v>
      </c>
      <c r="S1100" s="71">
        <f t="shared" si="159"/>
        <v>0</v>
      </c>
      <c r="T1100" s="71">
        <f t="shared" si="160"/>
        <v>0</v>
      </c>
      <c r="U1100" s="71">
        <f>IF(AND(N1100=1,V1100=1),IF(COUNTIFS(AKTIVITAS!$B$2:$B$3052,B1100,AKTIVITAS!$E$2:$E$3052,H1100)&gt;0,1,0),0)</f>
        <v>0</v>
      </c>
      <c r="V1100" s="71">
        <f>IFERROR(IF(AND(H1100&gt;=INDEX(PEMAGANG!$J$3:$J$36,MATCH(B1100,PEMAGANG!$C$3:$C$36,0)),H1100&lt;=INDEX(PEMAGANG!$K$3:$K$36,MATCH(B1100,PEMAGANG!$C$3:$C$36,0))),1,0),0)</f>
        <v>1</v>
      </c>
      <c r="W1100" s="71">
        <f t="shared" si="161"/>
        <v>0</v>
      </c>
    </row>
    <row r="1101" spans="1:23" x14ac:dyDescent="0.2">
      <c r="A1101" s="71" t="s">
        <v>257</v>
      </c>
      <c r="B1101" s="71" t="s">
        <v>258</v>
      </c>
      <c r="C1101" s="71" t="s">
        <v>187</v>
      </c>
      <c r="D1101" s="71" t="s">
        <v>259</v>
      </c>
      <c r="E1101" s="71" t="s">
        <v>55</v>
      </c>
      <c r="F1101" s="71" t="s">
        <v>298</v>
      </c>
      <c r="G1101" s="88">
        <v>46246.290925925903</v>
      </c>
      <c r="H1101" s="89">
        <v>46246</v>
      </c>
      <c r="I1101" s="71" t="s">
        <v>511</v>
      </c>
      <c r="J1101" s="71">
        <v>-32</v>
      </c>
      <c r="K1101" s="71" t="s">
        <v>302</v>
      </c>
      <c r="L1101" s="71">
        <f t="shared" si="153"/>
        <v>8</v>
      </c>
      <c r="M1101" s="71" t="str">
        <f>IFERROR(INDEX(KALENDER!$D$3:$D$132,MATCH(H1101,KALENDER!$A$3:$A$132,0)),"Di luar periode")</f>
        <v>Hari Kerja</v>
      </c>
      <c r="N1101" s="71">
        <f t="shared" si="154"/>
        <v>1</v>
      </c>
      <c r="O1101" s="71">
        <f t="shared" si="155"/>
        <v>1</v>
      </c>
      <c r="P1101" s="71">
        <f t="shared" si="156"/>
        <v>1</v>
      </c>
      <c r="Q1101" s="71">
        <f t="shared" si="157"/>
        <v>0</v>
      </c>
      <c r="R1101" s="71">
        <f t="shared" si="158"/>
        <v>0</v>
      </c>
      <c r="S1101" s="71">
        <f t="shared" si="159"/>
        <v>0</v>
      </c>
      <c r="T1101" s="71">
        <f t="shared" si="160"/>
        <v>0</v>
      </c>
      <c r="U1101" s="71">
        <f>IF(AND(N1101=1,V1101=1),IF(COUNTIFS(AKTIVITAS!$B$2:$B$3052,B1101,AKTIVITAS!$E$2:$E$3052,H1101)&gt;0,1,0),0)</f>
        <v>1</v>
      </c>
      <c r="V1101" s="71">
        <f>IFERROR(IF(AND(H1101&gt;=INDEX(PEMAGANG!$J$3:$J$36,MATCH(B1101,PEMAGANG!$C$3:$C$36,0)),H1101&lt;=INDEX(PEMAGANG!$K$3:$K$36,MATCH(B1101,PEMAGANG!$C$3:$C$36,0))),1,0),0)</f>
        <v>1</v>
      </c>
      <c r="W1101" s="71">
        <f t="shared" si="161"/>
        <v>1</v>
      </c>
    </row>
    <row r="1102" spans="1:23" x14ac:dyDescent="0.2">
      <c r="A1102" s="71" t="s">
        <v>257</v>
      </c>
      <c r="B1102" s="71" t="s">
        <v>258</v>
      </c>
      <c r="C1102" s="71" t="s">
        <v>187</v>
      </c>
      <c r="D1102" s="71" t="s">
        <v>259</v>
      </c>
      <c r="E1102" s="71" t="s">
        <v>55</v>
      </c>
      <c r="F1102" s="71" t="s">
        <v>300</v>
      </c>
      <c r="G1102" s="88">
        <v>46246.690266203703</v>
      </c>
      <c r="H1102" s="89">
        <v>46246</v>
      </c>
      <c r="I1102" s="71" t="s">
        <v>316</v>
      </c>
      <c r="J1102" s="71">
        <v>0</v>
      </c>
      <c r="K1102" s="71" t="s">
        <v>302</v>
      </c>
      <c r="L1102" s="71">
        <f t="shared" si="153"/>
        <v>8</v>
      </c>
      <c r="M1102" s="71" t="str">
        <f>IFERROR(INDEX(KALENDER!$D$3:$D$132,MATCH(H1102,KALENDER!$A$3:$A$132,0)),"Di luar periode")</f>
        <v>Hari Kerja</v>
      </c>
      <c r="N1102" s="71">
        <f t="shared" si="154"/>
        <v>0</v>
      </c>
      <c r="O1102" s="71">
        <f t="shared" si="155"/>
        <v>1</v>
      </c>
      <c r="P1102" s="71">
        <f t="shared" si="156"/>
        <v>0</v>
      </c>
      <c r="Q1102" s="71">
        <f t="shared" si="157"/>
        <v>0</v>
      </c>
      <c r="R1102" s="71">
        <f t="shared" si="158"/>
        <v>0</v>
      </c>
      <c r="S1102" s="71">
        <f t="shared" si="159"/>
        <v>0</v>
      </c>
      <c r="T1102" s="71">
        <f t="shared" si="160"/>
        <v>0</v>
      </c>
      <c r="U1102" s="71">
        <f>IF(AND(N1102=1,V1102=1),IF(COUNTIFS(AKTIVITAS!$B$2:$B$3052,B1102,AKTIVITAS!$E$2:$E$3052,H1102)&gt;0,1,0),0)</f>
        <v>0</v>
      </c>
      <c r="V1102" s="71">
        <f>IFERROR(IF(AND(H1102&gt;=INDEX(PEMAGANG!$J$3:$J$36,MATCH(B1102,PEMAGANG!$C$3:$C$36,0)),H1102&lt;=INDEX(PEMAGANG!$K$3:$K$36,MATCH(B1102,PEMAGANG!$C$3:$C$36,0))),1,0),0)</f>
        <v>1</v>
      </c>
      <c r="W1102" s="71">
        <f t="shared" si="161"/>
        <v>0</v>
      </c>
    </row>
    <row r="1103" spans="1:23" x14ac:dyDescent="0.2">
      <c r="A1103" s="71" t="s">
        <v>257</v>
      </c>
      <c r="B1103" s="71" t="s">
        <v>258</v>
      </c>
      <c r="C1103" s="71" t="s">
        <v>187</v>
      </c>
      <c r="D1103" s="71" t="s">
        <v>259</v>
      </c>
      <c r="E1103" s="71" t="s">
        <v>55</v>
      </c>
      <c r="F1103" s="71" t="s">
        <v>298</v>
      </c>
      <c r="G1103" s="88">
        <v>46247.2816087963</v>
      </c>
      <c r="H1103" s="89">
        <v>46247</v>
      </c>
      <c r="I1103" s="71" t="s">
        <v>510</v>
      </c>
      <c r="J1103" s="71">
        <v>-45</v>
      </c>
      <c r="K1103" s="71" t="s">
        <v>302</v>
      </c>
      <c r="L1103" s="71">
        <f t="shared" si="153"/>
        <v>8</v>
      </c>
      <c r="M1103" s="71" t="str">
        <f>IFERROR(INDEX(KALENDER!$D$3:$D$132,MATCH(H1103,KALENDER!$A$3:$A$132,0)),"Di luar periode")</f>
        <v>Hari Kerja</v>
      </c>
      <c r="N1103" s="71">
        <f t="shared" si="154"/>
        <v>1</v>
      </c>
      <c r="O1103" s="71">
        <f t="shared" si="155"/>
        <v>1</v>
      </c>
      <c r="P1103" s="71">
        <f t="shared" si="156"/>
        <v>1</v>
      </c>
      <c r="Q1103" s="71">
        <f t="shared" si="157"/>
        <v>0</v>
      </c>
      <c r="R1103" s="71">
        <f t="shared" si="158"/>
        <v>0</v>
      </c>
      <c r="S1103" s="71">
        <f t="shared" si="159"/>
        <v>0</v>
      </c>
      <c r="T1103" s="71">
        <f t="shared" si="160"/>
        <v>0</v>
      </c>
      <c r="U1103" s="71">
        <f>IF(AND(N1103=1,V1103=1),IF(COUNTIFS(AKTIVITAS!$B$2:$B$3052,B1103,AKTIVITAS!$E$2:$E$3052,H1103)&gt;0,1,0),0)</f>
        <v>1</v>
      </c>
      <c r="V1103" s="71">
        <f>IFERROR(IF(AND(H1103&gt;=INDEX(PEMAGANG!$J$3:$J$36,MATCH(B1103,PEMAGANG!$C$3:$C$36,0)),H1103&lt;=INDEX(PEMAGANG!$K$3:$K$36,MATCH(B1103,PEMAGANG!$C$3:$C$36,0))),1,0),0)</f>
        <v>1</v>
      </c>
      <c r="W1103" s="71">
        <f t="shared" si="161"/>
        <v>1</v>
      </c>
    </row>
    <row r="1104" spans="1:23" x14ac:dyDescent="0.2">
      <c r="A1104" s="71" t="s">
        <v>257</v>
      </c>
      <c r="B1104" s="71" t="s">
        <v>258</v>
      </c>
      <c r="C1104" s="71" t="s">
        <v>187</v>
      </c>
      <c r="D1104" s="71" t="s">
        <v>259</v>
      </c>
      <c r="E1104" s="71" t="s">
        <v>55</v>
      </c>
      <c r="F1104" s="71" t="s">
        <v>300</v>
      </c>
      <c r="G1104" s="88">
        <v>46247.6875462963</v>
      </c>
      <c r="H1104" s="89">
        <v>46247</v>
      </c>
      <c r="I1104" s="71" t="s">
        <v>330</v>
      </c>
      <c r="J1104" s="71">
        <v>0</v>
      </c>
      <c r="K1104" s="71" t="s">
        <v>302</v>
      </c>
      <c r="L1104" s="71">
        <f t="shared" si="153"/>
        <v>8</v>
      </c>
      <c r="M1104" s="71" t="str">
        <f>IFERROR(INDEX(KALENDER!$D$3:$D$132,MATCH(H1104,KALENDER!$A$3:$A$132,0)),"Di luar periode")</f>
        <v>Hari Kerja</v>
      </c>
      <c r="N1104" s="71">
        <f t="shared" si="154"/>
        <v>0</v>
      </c>
      <c r="O1104" s="71">
        <f t="shared" si="155"/>
        <v>1</v>
      </c>
      <c r="P1104" s="71">
        <f t="shared" si="156"/>
        <v>0</v>
      </c>
      <c r="Q1104" s="71">
        <f t="shared" si="157"/>
        <v>0</v>
      </c>
      <c r="R1104" s="71">
        <f t="shared" si="158"/>
        <v>0</v>
      </c>
      <c r="S1104" s="71">
        <f t="shared" si="159"/>
        <v>0</v>
      </c>
      <c r="T1104" s="71">
        <f t="shared" si="160"/>
        <v>0</v>
      </c>
      <c r="U1104" s="71">
        <f>IF(AND(N1104=1,V1104=1),IF(COUNTIFS(AKTIVITAS!$B$2:$B$3052,B1104,AKTIVITAS!$E$2:$E$3052,H1104)&gt;0,1,0),0)</f>
        <v>0</v>
      </c>
      <c r="V1104" s="71">
        <f>IFERROR(IF(AND(H1104&gt;=INDEX(PEMAGANG!$J$3:$J$36,MATCH(B1104,PEMAGANG!$C$3:$C$36,0)),H1104&lt;=INDEX(PEMAGANG!$K$3:$K$36,MATCH(B1104,PEMAGANG!$C$3:$C$36,0))),1,0),0)</f>
        <v>1</v>
      </c>
      <c r="W1104" s="71">
        <f t="shared" si="161"/>
        <v>0</v>
      </c>
    </row>
    <row r="1105" spans="1:23" x14ac:dyDescent="0.2">
      <c r="A1105" s="71" t="s">
        <v>257</v>
      </c>
      <c r="B1105" s="71" t="s">
        <v>258</v>
      </c>
      <c r="C1105" s="71" t="s">
        <v>187</v>
      </c>
      <c r="D1105" s="71" t="s">
        <v>259</v>
      </c>
      <c r="E1105" s="71" t="s">
        <v>55</v>
      </c>
      <c r="F1105" s="71" t="s">
        <v>298</v>
      </c>
      <c r="G1105" s="88">
        <v>46248.287476851903</v>
      </c>
      <c r="H1105" s="89">
        <v>46248</v>
      </c>
      <c r="I1105" s="71" t="s">
        <v>512</v>
      </c>
      <c r="J1105" s="71">
        <v>-37</v>
      </c>
      <c r="K1105" s="71" t="s">
        <v>302</v>
      </c>
      <c r="L1105" s="71">
        <f t="shared" si="153"/>
        <v>8</v>
      </c>
      <c r="M1105" s="71" t="str">
        <f>IFERROR(INDEX(KALENDER!$D$3:$D$132,MATCH(H1105,KALENDER!$A$3:$A$132,0)),"Di luar periode")</f>
        <v>Hari Kerja</v>
      </c>
      <c r="N1105" s="71">
        <f t="shared" si="154"/>
        <v>1</v>
      </c>
      <c r="O1105" s="71">
        <f t="shared" si="155"/>
        <v>1</v>
      </c>
      <c r="P1105" s="71">
        <f t="shared" si="156"/>
        <v>1</v>
      </c>
      <c r="Q1105" s="71">
        <f t="shared" si="157"/>
        <v>0</v>
      </c>
      <c r="R1105" s="71">
        <f t="shared" si="158"/>
        <v>0</v>
      </c>
      <c r="S1105" s="71">
        <f t="shared" si="159"/>
        <v>0</v>
      </c>
      <c r="T1105" s="71">
        <f t="shared" si="160"/>
        <v>0</v>
      </c>
      <c r="U1105" s="71">
        <f>IF(AND(N1105=1,V1105=1),IF(COUNTIFS(AKTIVITAS!$B$2:$B$3052,B1105,AKTIVITAS!$E$2:$E$3052,H1105)&gt;0,1,0),0)</f>
        <v>1</v>
      </c>
      <c r="V1105" s="71">
        <f>IFERROR(IF(AND(H1105&gt;=INDEX(PEMAGANG!$J$3:$J$36,MATCH(B1105,PEMAGANG!$C$3:$C$36,0)),H1105&lt;=INDEX(PEMAGANG!$K$3:$K$36,MATCH(B1105,PEMAGANG!$C$3:$C$36,0))),1,0),0)</f>
        <v>1</v>
      </c>
      <c r="W1105" s="71">
        <f t="shared" si="161"/>
        <v>1</v>
      </c>
    </row>
    <row r="1106" spans="1:23" x14ac:dyDescent="0.2">
      <c r="A1106" s="71" t="s">
        <v>257</v>
      </c>
      <c r="B1106" s="71" t="s">
        <v>258</v>
      </c>
      <c r="C1106" s="71" t="s">
        <v>187</v>
      </c>
      <c r="D1106" s="71" t="s">
        <v>259</v>
      </c>
      <c r="E1106" s="71" t="s">
        <v>55</v>
      </c>
      <c r="F1106" s="71" t="s">
        <v>300</v>
      </c>
      <c r="G1106" s="88">
        <v>46248.691284722197</v>
      </c>
      <c r="H1106" s="89">
        <v>46248</v>
      </c>
      <c r="I1106" s="71" t="s">
        <v>310</v>
      </c>
      <c r="J1106" s="71">
        <v>0</v>
      </c>
      <c r="K1106" s="71" t="s">
        <v>302</v>
      </c>
      <c r="L1106" s="71">
        <f t="shared" si="153"/>
        <v>8</v>
      </c>
      <c r="M1106" s="71" t="str">
        <f>IFERROR(INDEX(KALENDER!$D$3:$D$132,MATCH(H1106,KALENDER!$A$3:$A$132,0)),"Di luar periode")</f>
        <v>Hari Kerja</v>
      </c>
      <c r="N1106" s="71">
        <f t="shared" si="154"/>
        <v>0</v>
      </c>
      <c r="O1106" s="71">
        <f t="shared" si="155"/>
        <v>1</v>
      </c>
      <c r="P1106" s="71">
        <f t="shared" si="156"/>
        <v>0</v>
      </c>
      <c r="Q1106" s="71">
        <f t="shared" si="157"/>
        <v>0</v>
      </c>
      <c r="R1106" s="71">
        <f t="shared" si="158"/>
        <v>0</v>
      </c>
      <c r="S1106" s="71">
        <f t="shared" si="159"/>
        <v>0</v>
      </c>
      <c r="T1106" s="71">
        <f t="shared" si="160"/>
        <v>0</v>
      </c>
      <c r="U1106" s="71">
        <f>IF(AND(N1106=1,V1106=1),IF(COUNTIFS(AKTIVITAS!$B$2:$B$3052,B1106,AKTIVITAS!$E$2:$E$3052,H1106)&gt;0,1,0),0)</f>
        <v>0</v>
      </c>
      <c r="V1106" s="71">
        <f>IFERROR(IF(AND(H1106&gt;=INDEX(PEMAGANG!$J$3:$J$36,MATCH(B1106,PEMAGANG!$C$3:$C$36,0)),H1106&lt;=INDEX(PEMAGANG!$K$3:$K$36,MATCH(B1106,PEMAGANG!$C$3:$C$36,0))),1,0),0)</f>
        <v>1</v>
      </c>
      <c r="W1106" s="71">
        <f t="shared" si="161"/>
        <v>0</v>
      </c>
    </row>
    <row r="1107" spans="1:23" x14ac:dyDescent="0.2">
      <c r="A1107" s="71" t="s">
        <v>257</v>
      </c>
      <c r="B1107" s="71" t="s">
        <v>258</v>
      </c>
      <c r="C1107" s="71" t="s">
        <v>187</v>
      </c>
      <c r="D1107" s="71" t="s">
        <v>259</v>
      </c>
      <c r="E1107" s="71" t="s">
        <v>55</v>
      </c>
      <c r="F1107" s="71" t="s">
        <v>298</v>
      </c>
      <c r="G1107" s="88">
        <v>46252.282071759299</v>
      </c>
      <c r="H1107" s="89">
        <v>46252</v>
      </c>
      <c r="I1107" s="71" t="s">
        <v>509</v>
      </c>
      <c r="J1107" s="71">
        <v>-44</v>
      </c>
      <c r="K1107" s="71" t="s">
        <v>302</v>
      </c>
      <c r="L1107" s="71">
        <f t="shared" si="153"/>
        <v>8</v>
      </c>
      <c r="M1107" s="71" t="str">
        <f>IFERROR(INDEX(KALENDER!$D$3:$D$132,MATCH(H1107,KALENDER!$A$3:$A$132,0)),"Di luar periode")</f>
        <v>Hari Kerja</v>
      </c>
      <c r="N1107" s="71">
        <f t="shared" si="154"/>
        <v>1</v>
      </c>
      <c r="O1107" s="71">
        <f t="shared" si="155"/>
        <v>1</v>
      </c>
      <c r="P1107" s="71">
        <f t="shared" si="156"/>
        <v>1</v>
      </c>
      <c r="Q1107" s="71">
        <f t="shared" si="157"/>
        <v>0</v>
      </c>
      <c r="R1107" s="71">
        <f t="shared" si="158"/>
        <v>0</v>
      </c>
      <c r="S1107" s="71">
        <f t="shared" si="159"/>
        <v>0</v>
      </c>
      <c r="T1107" s="71">
        <f t="shared" si="160"/>
        <v>0</v>
      </c>
      <c r="U1107" s="71">
        <f>IF(AND(N1107=1,V1107=1),IF(COUNTIFS(AKTIVITAS!$B$2:$B$3052,B1107,AKTIVITAS!$E$2:$E$3052,H1107)&gt;0,1,0),0)</f>
        <v>1</v>
      </c>
      <c r="V1107" s="71">
        <f>IFERROR(IF(AND(H1107&gt;=INDEX(PEMAGANG!$J$3:$J$36,MATCH(B1107,PEMAGANG!$C$3:$C$36,0)),H1107&lt;=INDEX(PEMAGANG!$K$3:$K$36,MATCH(B1107,PEMAGANG!$C$3:$C$36,0))),1,0),0)</f>
        <v>1</v>
      </c>
      <c r="W1107" s="71">
        <f t="shared" si="161"/>
        <v>1</v>
      </c>
    </row>
    <row r="1108" spans="1:23" x14ac:dyDescent="0.2">
      <c r="A1108" s="71" t="s">
        <v>257</v>
      </c>
      <c r="B1108" s="71" t="s">
        <v>258</v>
      </c>
      <c r="C1108" s="71" t="s">
        <v>187</v>
      </c>
      <c r="D1108" s="71" t="s">
        <v>259</v>
      </c>
      <c r="E1108" s="71" t="s">
        <v>55</v>
      </c>
      <c r="F1108" s="71" t="s">
        <v>300</v>
      </c>
      <c r="G1108" s="88">
        <v>46252.691215277802</v>
      </c>
      <c r="H1108" s="89">
        <v>46252</v>
      </c>
      <c r="I1108" s="71" t="s">
        <v>310</v>
      </c>
      <c r="J1108" s="71">
        <v>0</v>
      </c>
      <c r="K1108" s="71" t="s">
        <v>302</v>
      </c>
      <c r="L1108" s="71">
        <f t="shared" si="153"/>
        <v>8</v>
      </c>
      <c r="M1108" s="71" t="str">
        <f>IFERROR(INDEX(KALENDER!$D$3:$D$132,MATCH(H1108,KALENDER!$A$3:$A$132,0)),"Di luar periode")</f>
        <v>Hari Kerja</v>
      </c>
      <c r="N1108" s="71">
        <f t="shared" si="154"/>
        <v>0</v>
      </c>
      <c r="O1108" s="71">
        <f t="shared" si="155"/>
        <v>1</v>
      </c>
      <c r="P1108" s="71">
        <f t="shared" si="156"/>
        <v>0</v>
      </c>
      <c r="Q1108" s="71">
        <f t="shared" si="157"/>
        <v>0</v>
      </c>
      <c r="R1108" s="71">
        <f t="shared" si="158"/>
        <v>0</v>
      </c>
      <c r="S1108" s="71">
        <f t="shared" si="159"/>
        <v>0</v>
      </c>
      <c r="T1108" s="71">
        <f t="shared" si="160"/>
        <v>0</v>
      </c>
      <c r="U1108" s="71">
        <f>IF(AND(N1108=1,V1108=1),IF(COUNTIFS(AKTIVITAS!$B$2:$B$3052,B1108,AKTIVITAS!$E$2:$E$3052,H1108)&gt;0,1,0),0)</f>
        <v>0</v>
      </c>
      <c r="V1108" s="71">
        <f>IFERROR(IF(AND(H1108&gt;=INDEX(PEMAGANG!$J$3:$J$36,MATCH(B1108,PEMAGANG!$C$3:$C$36,0)),H1108&lt;=INDEX(PEMAGANG!$K$3:$K$36,MATCH(B1108,PEMAGANG!$C$3:$C$36,0))),1,0),0)</f>
        <v>1</v>
      </c>
      <c r="W1108" s="71">
        <f t="shared" si="161"/>
        <v>0</v>
      </c>
    </row>
    <row r="1109" spans="1:23" x14ac:dyDescent="0.2">
      <c r="A1109" s="71" t="s">
        <v>257</v>
      </c>
      <c r="B1109" s="71" t="s">
        <v>258</v>
      </c>
      <c r="C1109" s="71" t="s">
        <v>187</v>
      </c>
      <c r="D1109" s="71" t="s">
        <v>259</v>
      </c>
      <c r="E1109" s="71" t="s">
        <v>55</v>
      </c>
      <c r="F1109" s="71" t="s">
        <v>298</v>
      </c>
      <c r="G1109" s="88">
        <v>46253.2762731482</v>
      </c>
      <c r="H1109" s="89">
        <v>46253</v>
      </c>
      <c r="I1109" s="71" t="s">
        <v>493</v>
      </c>
      <c r="J1109" s="71">
        <v>-53</v>
      </c>
      <c r="K1109" s="71" t="s">
        <v>302</v>
      </c>
      <c r="L1109" s="71">
        <f t="shared" si="153"/>
        <v>8</v>
      </c>
      <c r="M1109" s="71" t="str">
        <f>IFERROR(INDEX(KALENDER!$D$3:$D$132,MATCH(H1109,KALENDER!$A$3:$A$132,0)),"Di luar periode")</f>
        <v>Hari Kerja</v>
      </c>
      <c r="N1109" s="71">
        <f t="shared" si="154"/>
        <v>1</v>
      </c>
      <c r="O1109" s="71">
        <f t="shared" si="155"/>
        <v>1</v>
      </c>
      <c r="P1109" s="71">
        <f t="shared" si="156"/>
        <v>1</v>
      </c>
      <c r="Q1109" s="71">
        <f t="shared" si="157"/>
        <v>0</v>
      </c>
      <c r="R1109" s="71">
        <f t="shared" si="158"/>
        <v>0</v>
      </c>
      <c r="S1109" s="71">
        <f t="shared" si="159"/>
        <v>0</v>
      </c>
      <c r="T1109" s="71">
        <f t="shared" si="160"/>
        <v>0</v>
      </c>
      <c r="U1109" s="71">
        <f>IF(AND(N1109=1,V1109=1),IF(COUNTIFS(AKTIVITAS!$B$2:$B$3052,B1109,AKTIVITAS!$E$2:$E$3052,H1109)&gt;0,1,0),0)</f>
        <v>1</v>
      </c>
      <c r="V1109" s="71">
        <f>IFERROR(IF(AND(H1109&gt;=INDEX(PEMAGANG!$J$3:$J$36,MATCH(B1109,PEMAGANG!$C$3:$C$36,0)),H1109&lt;=INDEX(PEMAGANG!$K$3:$K$36,MATCH(B1109,PEMAGANG!$C$3:$C$36,0))),1,0),0)</f>
        <v>1</v>
      </c>
      <c r="W1109" s="71">
        <f t="shared" si="161"/>
        <v>1</v>
      </c>
    </row>
    <row r="1110" spans="1:23" x14ac:dyDescent="0.2">
      <c r="A1110" s="71" t="s">
        <v>257</v>
      </c>
      <c r="B1110" s="71" t="s">
        <v>258</v>
      </c>
      <c r="C1110" s="71" t="s">
        <v>187</v>
      </c>
      <c r="D1110" s="71" t="s">
        <v>259</v>
      </c>
      <c r="E1110" s="71" t="s">
        <v>55</v>
      </c>
      <c r="F1110" s="71" t="s">
        <v>300</v>
      </c>
      <c r="G1110" s="88">
        <v>46253.687557870398</v>
      </c>
      <c r="H1110" s="89">
        <v>46253</v>
      </c>
      <c r="I1110" s="71" t="s">
        <v>330</v>
      </c>
      <c r="J1110" s="71">
        <v>0</v>
      </c>
      <c r="K1110" s="71" t="s">
        <v>302</v>
      </c>
      <c r="L1110" s="71">
        <f t="shared" si="153"/>
        <v>8</v>
      </c>
      <c r="M1110" s="71" t="str">
        <f>IFERROR(INDEX(KALENDER!$D$3:$D$132,MATCH(H1110,KALENDER!$A$3:$A$132,0)),"Di luar periode")</f>
        <v>Hari Kerja</v>
      </c>
      <c r="N1110" s="71">
        <f t="shared" si="154"/>
        <v>0</v>
      </c>
      <c r="O1110" s="71">
        <f t="shared" si="155"/>
        <v>1</v>
      </c>
      <c r="P1110" s="71">
        <f t="shared" si="156"/>
        <v>0</v>
      </c>
      <c r="Q1110" s="71">
        <f t="shared" si="157"/>
        <v>0</v>
      </c>
      <c r="R1110" s="71">
        <f t="shared" si="158"/>
        <v>0</v>
      </c>
      <c r="S1110" s="71">
        <f t="shared" si="159"/>
        <v>0</v>
      </c>
      <c r="T1110" s="71">
        <f t="shared" si="160"/>
        <v>0</v>
      </c>
      <c r="U1110" s="71">
        <f>IF(AND(N1110=1,V1110=1),IF(COUNTIFS(AKTIVITAS!$B$2:$B$3052,B1110,AKTIVITAS!$E$2:$E$3052,H1110)&gt;0,1,0),0)</f>
        <v>0</v>
      </c>
      <c r="V1110" s="71">
        <f>IFERROR(IF(AND(H1110&gt;=INDEX(PEMAGANG!$J$3:$J$36,MATCH(B1110,PEMAGANG!$C$3:$C$36,0)),H1110&lt;=INDEX(PEMAGANG!$K$3:$K$36,MATCH(B1110,PEMAGANG!$C$3:$C$36,0))),1,0),0)</f>
        <v>1</v>
      </c>
      <c r="W1110" s="71">
        <f t="shared" si="161"/>
        <v>0</v>
      </c>
    </row>
    <row r="1111" spans="1:23" x14ac:dyDescent="0.2">
      <c r="A1111" s="71" t="s">
        <v>257</v>
      </c>
      <c r="B1111" s="71" t="s">
        <v>258</v>
      </c>
      <c r="C1111" s="71" t="s">
        <v>187</v>
      </c>
      <c r="D1111" s="71" t="s">
        <v>259</v>
      </c>
      <c r="E1111" s="71" t="s">
        <v>55</v>
      </c>
      <c r="F1111" s="71" t="s">
        <v>298</v>
      </c>
      <c r="G1111" s="88">
        <v>46254.280046296299</v>
      </c>
      <c r="H1111" s="89">
        <v>46254</v>
      </c>
      <c r="I1111" s="71" t="s">
        <v>499</v>
      </c>
      <c r="J1111" s="71">
        <v>-47</v>
      </c>
      <c r="K1111" s="71" t="s">
        <v>302</v>
      </c>
      <c r="L1111" s="71">
        <f t="shared" si="153"/>
        <v>8</v>
      </c>
      <c r="M1111" s="71" t="str">
        <f>IFERROR(INDEX(KALENDER!$D$3:$D$132,MATCH(H1111,KALENDER!$A$3:$A$132,0)),"Di luar periode")</f>
        <v>Hari Kerja</v>
      </c>
      <c r="N1111" s="71">
        <f t="shared" si="154"/>
        <v>1</v>
      </c>
      <c r="O1111" s="71">
        <f t="shared" si="155"/>
        <v>1</v>
      </c>
      <c r="P1111" s="71">
        <f t="shared" si="156"/>
        <v>1</v>
      </c>
      <c r="Q1111" s="71">
        <f t="shared" si="157"/>
        <v>0</v>
      </c>
      <c r="R1111" s="71">
        <f t="shared" si="158"/>
        <v>0</v>
      </c>
      <c r="S1111" s="71">
        <f t="shared" si="159"/>
        <v>0</v>
      </c>
      <c r="T1111" s="71">
        <f t="shared" si="160"/>
        <v>0</v>
      </c>
      <c r="U1111" s="71">
        <f>IF(AND(N1111=1,V1111=1),IF(COUNTIFS(AKTIVITAS!$B$2:$B$3052,B1111,AKTIVITAS!$E$2:$E$3052,H1111)&gt;0,1,0),0)</f>
        <v>1</v>
      </c>
      <c r="V1111" s="71">
        <f>IFERROR(IF(AND(H1111&gt;=INDEX(PEMAGANG!$J$3:$J$36,MATCH(B1111,PEMAGANG!$C$3:$C$36,0)),H1111&lt;=INDEX(PEMAGANG!$K$3:$K$36,MATCH(B1111,PEMAGANG!$C$3:$C$36,0))),1,0),0)</f>
        <v>1</v>
      </c>
      <c r="W1111" s="71">
        <f t="shared" si="161"/>
        <v>1</v>
      </c>
    </row>
    <row r="1112" spans="1:23" x14ac:dyDescent="0.2">
      <c r="A1112" s="71" t="s">
        <v>257</v>
      </c>
      <c r="B1112" s="71" t="s">
        <v>258</v>
      </c>
      <c r="C1112" s="71" t="s">
        <v>187</v>
      </c>
      <c r="D1112" s="71" t="s">
        <v>259</v>
      </c>
      <c r="E1112" s="71" t="s">
        <v>55</v>
      </c>
      <c r="F1112" s="71" t="s">
        <v>300</v>
      </c>
      <c r="G1112" s="88">
        <v>46254.691261574102</v>
      </c>
      <c r="H1112" s="89">
        <v>46254</v>
      </c>
      <c r="I1112" s="71" t="s">
        <v>310</v>
      </c>
      <c r="J1112" s="71">
        <v>0</v>
      </c>
      <c r="K1112" s="71" t="s">
        <v>302</v>
      </c>
      <c r="L1112" s="71">
        <f t="shared" si="153"/>
        <v>8</v>
      </c>
      <c r="M1112" s="71" t="str">
        <f>IFERROR(INDEX(KALENDER!$D$3:$D$132,MATCH(H1112,KALENDER!$A$3:$A$132,0)),"Di luar periode")</f>
        <v>Hari Kerja</v>
      </c>
      <c r="N1112" s="71">
        <f t="shared" si="154"/>
        <v>0</v>
      </c>
      <c r="O1112" s="71">
        <f t="shared" si="155"/>
        <v>1</v>
      </c>
      <c r="P1112" s="71">
        <f t="shared" si="156"/>
        <v>0</v>
      </c>
      <c r="Q1112" s="71">
        <f t="shared" si="157"/>
        <v>0</v>
      </c>
      <c r="R1112" s="71">
        <f t="shared" si="158"/>
        <v>0</v>
      </c>
      <c r="S1112" s="71">
        <f t="shared" si="159"/>
        <v>0</v>
      </c>
      <c r="T1112" s="71">
        <f t="shared" si="160"/>
        <v>0</v>
      </c>
      <c r="U1112" s="71">
        <f>IF(AND(N1112=1,V1112=1),IF(COUNTIFS(AKTIVITAS!$B$2:$B$3052,B1112,AKTIVITAS!$E$2:$E$3052,H1112)&gt;0,1,0),0)</f>
        <v>0</v>
      </c>
      <c r="V1112" s="71">
        <f>IFERROR(IF(AND(H1112&gt;=INDEX(PEMAGANG!$J$3:$J$36,MATCH(B1112,PEMAGANG!$C$3:$C$36,0)),H1112&lt;=INDEX(PEMAGANG!$K$3:$K$36,MATCH(B1112,PEMAGANG!$C$3:$C$36,0))),1,0),0)</f>
        <v>1</v>
      </c>
      <c r="W1112" s="71">
        <f t="shared" si="161"/>
        <v>0</v>
      </c>
    </row>
    <row r="1113" spans="1:23" x14ac:dyDescent="0.2">
      <c r="A1113" s="71" t="s">
        <v>257</v>
      </c>
      <c r="B1113" s="71" t="s">
        <v>258</v>
      </c>
      <c r="C1113" s="71" t="s">
        <v>187</v>
      </c>
      <c r="D1113" s="71" t="s">
        <v>259</v>
      </c>
      <c r="E1113" s="71" t="s">
        <v>55</v>
      </c>
      <c r="F1113" s="71" t="s">
        <v>298</v>
      </c>
      <c r="G1113" s="88">
        <v>46255.286192129599</v>
      </c>
      <c r="H1113" s="89">
        <v>46255</v>
      </c>
      <c r="I1113" s="71" t="s">
        <v>513</v>
      </c>
      <c r="J1113" s="71">
        <v>-67.999999999999901</v>
      </c>
      <c r="K1113" s="71" t="s">
        <v>302</v>
      </c>
      <c r="L1113" s="71">
        <f t="shared" si="153"/>
        <v>8</v>
      </c>
      <c r="M1113" s="71" t="str">
        <f>IFERROR(INDEX(KALENDER!$D$3:$D$132,MATCH(H1113,KALENDER!$A$3:$A$132,0)),"Di luar periode")</f>
        <v>Hari Kerja</v>
      </c>
      <c r="N1113" s="71">
        <f t="shared" si="154"/>
        <v>1</v>
      </c>
      <c r="O1113" s="71">
        <f t="shared" si="155"/>
        <v>1</v>
      </c>
      <c r="P1113" s="71">
        <f t="shared" si="156"/>
        <v>1</v>
      </c>
      <c r="Q1113" s="71">
        <f t="shared" si="157"/>
        <v>0</v>
      </c>
      <c r="R1113" s="71">
        <f t="shared" si="158"/>
        <v>0</v>
      </c>
      <c r="S1113" s="71">
        <f t="shared" si="159"/>
        <v>0</v>
      </c>
      <c r="T1113" s="71">
        <f t="shared" si="160"/>
        <v>0</v>
      </c>
      <c r="U1113" s="71">
        <f>IF(AND(N1113=1,V1113=1),IF(COUNTIFS(AKTIVITAS!$B$2:$B$3052,B1113,AKTIVITAS!$E$2:$E$3052,H1113)&gt;0,1,0),0)</f>
        <v>1</v>
      </c>
      <c r="V1113" s="71">
        <f>IFERROR(IF(AND(H1113&gt;=INDEX(PEMAGANG!$J$3:$J$36,MATCH(B1113,PEMAGANG!$C$3:$C$36,0)),H1113&lt;=INDEX(PEMAGANG!$K$3:$K$36,MATCH(B1113,PEMAGANG!$C$3:$C$36,0))),1,0),0)</f>
        <v>1</v>
      </c>
      <c r="W1113" s="71">
        <f t="shared" si="161"/>
        <v>1</v>
      </c>
    </row>
    <row r="1114" spans="1:23" x14ac:dyDescent="0.2">
      <c r="A1114" s="71" t="s">
        <v>257</v>
      </c>
      <c r="B1114" s="71" t="s">
        <v>258</v>
      </c>
      <c r="C1114" s="71" t="s">
        <v>187</v>
      </c>
      <c r="D1114" s="71" t="s">
        <v>259</v>
      </c>
      <c r="E1114" s="71" t="s">
        <v>55</v>
      </c>
      <c r="F1114" s="71" t="s">
        <v>300</v>
      </c>
      <c r="G1114" s="88">
        <v>46255.6878587963</v>
      </c>
      <c r="H1114" s="89">
        <v>46255</v>
      </c>
      <c r="I1114" s="71" t="s">
        <v>330</v>
      </c>
      <c r="J1114" s="71">
        <v>0</v>
      </c>
      <c r="K1114" s="71" t="s">
        <v>302</v>
      </c>
      <c r="L1114" s="71">
        <f t="shared" si="153"/>
        <v>8</v>
      </c>
      <c r="M1114" s="71" t="str">
        <f>IFERROR(INDEX(KALENDER!$D$3:$D$132,MATCH(H1114,KALENDER!$A$3:$A$132,0)),"Di luar periode")</f>
        <v>Hari Kerja</v>
      </c>
      <c r="N1114" s="71">
        <f t="shared" si="154"/>
        <v>0</v>
      </c>
      <c r="O1114" s="71">
        <f t="shared" si="155"/>
        <v>1</v>
      </c>
      <c r="P1114" s="71">
        <f t="shared" si="156"/>
        <v>0</v>
      </c>
      <c r="Q1114" s="71">
        <f t="shared" si="157"/>
        <v>0</v>
      </c>
      <c r="R1114" s="71">
        <f t="shared" si="158"/>
        <v>0</v>
      </c>
      <c r="S1114" s="71">
        <f t="shared" si="159"/>
        <v>0</v>
      </c>
      <c r="T1114" s="71">
        <f t="shared" si="160"/>
        <v>0</v>
      </c>
      <c r="U1114" s="71">
        <f>IF(AND(N1114=1,V1114=1),IF(COUNTIFS(AKTIVITAS!$B$2:$B$3052,B1114,AKTIVITAS!$E$2:$E$3052,H1114)&gt;0,1,0),0)</f>
        <v>0</v>
      </c>
      <c r="V1114" s="71">
        <f>IFERROR(IF(AND(H1114&gt;=INDEX(PEMAGANG!$J$3:$J$36,MATCH(B1114,PEMAGANG!$C$3:$C$36,0)),H1114&lt;=INDEX(PEMAGANG!$K$3:$K$36,MATCH(B1114,PEMAGANG!$C$3:$C$36,0))),1,0),0)</f>
        <v>1</v>
      </c>
      <c r="W1114" s="71">
        <f t="shared" si="161"/>
        <v>0</v>
      </c>
    </row>
    <row r="1115" spans="1:23" x14ac:dyDescent="0.2">
      <c r="A1115" s="71" t="s">
        <v>257</v>
      </c>
      <c r="B1115" s="71" t="s">
        <v>258</v>
      </c>
      <c r="C1115" s="71" t="s">
        <v>187</v>
      </c>
      <c r="D1115" s="71" t="s">
        <v>259</v>
      </c>
      <c r="E1115" s="71" t="s">
        <v>55</v>
      </c>
      <c r="F1115" s="71" t="s">
        <v>298</v>
      </c>
      <c r="G1115" s="88">
        <v>46258.286342592597</v>
      </c>
      <c r="H1115" s="89">
        <v>46258</v>
      </c>
      <c r="I1115" s="71" t="s">
        <v>513</v>
      </c>
      <c r="J1115" s="71">
        <v>-67.999999999999901</v>
      </c>
      <c r="K1115" s="71" t="s">
        <v>302</v>
      </c>
      <c r="L1115" s="71">
        <f t="shared" si="153"/>
        <v>8</v>
      </c>
      <c r="M1115" s="71" t="str">
        <f>IFERROR(INDEX(KALENDER!$D$3:$D$132,MATCH(H1115,KALENDER!$A$3:$A$132,0)),"Di luar periode")</f>
        <v>Hari Kerja</v>
      </c>
      <c r="N1115" s="71">
        <f t="shared" si="154"/>
        <v>1</v>
      </c>
      <c r="O1115" s="71">
        <f t="shared" si="155"/>
        <v>1</v>
      </c>
      <c r="P1115" s="71">
        <f t="shared" si="156"/>
        <v>1</v>
      </c>
      <c r="Q1115" s="71">
        <f t="shared" si="157"/>
        <v>0</v>
      </c>
      <c r="R1115" s="71">
        <f t="shared" si="158"/>
        <v>0</v>
      </c>
      <c r="S1115" s="71">
        <f t="shared" si="159"/>
        <v>0</v>
      </c>
      <c r="T1115" s="71">
        <f t="shared" si="160"/>
        <v>0</v>
      </c>
      <c r="U1115" s="71">
        <f>IF(AND(N1115=1,V1115=1),IF(COUNTIFS(AKTIVITAS!$B$2:$B$3052,B1115,AKTIVITAS!$E$2:$E$3052,H1115)&gt;0,1,0),0)</f>
        <v>1</v>
      </c>
      <c r="V1115" s="71">
        <f>IFERROR(IF(AND(H1115&gt;=INDEX(PEMAGANG!$J$3:$J$36,MATCH(B1115,PEMAGANG!$C$3:$C$36,0)),H1115&lt;=INDEX(PEMAGANG!$K$3:$K$36,MATCH(B1115,PEMAGANG!$C$3:$C$36,0))),1,0),0)</f>
        <v>1</v>
      </c>
      <c r="W1115" s="71">
        <f t="shared" si="161"/>
        <v>1</v>
      </c>
    </row>
    <row r="1116" spans="1:23" x14ac:dyDescent="0.2">
      <c r="A1116" s="71" t="s">
        <v>257</v>
      </c>
      <c r="B1116" s="71" t="s">
        <v>258</v>
      </c>
      <c r="C1116" s="71" t="s">
        <v>187</v>
      </c>
      <c r="D1116" s="71" t="s">
        <v>259</v>
      </c>
      <c r="E1116" s="71" t="s">
        <v>55</v>
      </c>
      <c r="F1116" s="71" t="s">
        <v>300</v>
      </c>
      <c r="G1116" s="88">
        <v>46258.689131944499</v>
      </c>
      <c r="H1116" s="89">
        <v>46258</v>
      </c>
      <c r="I1116" s="71" t="s">
        <v>306</v>
      </c>
      <c r="J1116" s="71">
        <v>0</v>
      </c>
      <c r="K1116" s="71" t="s">
        <v>302</v>
      </c>
      <c r="L1116" s="71">
        <f t="shared" si="153"/>
        <v>8</v>
      </c>
      <c r="M1116" s="71" t="str">
        <f>IFERROR(INDEX(KALENDER!$D$3:$D$132,MATCH(H1116,KALENDER!$A$3:$A$132,0)),"Di luar periode")</f>
        <v>Hari Kerja</v>
      </c>
      <c r="N1116" s="71">
        <f t="shared" si="154"/>
        <v>0</v>
      </c>
      <c r="O1116" s="71">
        <f t="shared" si="155"/>
        <v>1</v>
      </c>
      <c r="P1116" s="71">
        <f t="shared" si="156"/>
        <v>0</v>
      </c>
      <c r="Q1116" s="71">
        <f t="shared" si="157"/>
        <v>0</v>
      </c>
      <c r="R1116" s="71">
        <f t="shared" si="158"/>
        <v>0</v>
      </c>
      <c r="S1116" s="71">
        <f t="shared" si="159"/>
        <v>0</v>
      </c>
      <c r="T1116" s="71">
        <f t="shared" si="160"/>
        <v>0</v>
      </c>
      <c r="U1116" s="71">
        <f>IF(AND(N1116=1,V1116=1),IF(COUNTIFS(AKTIVITAS!$B$2:$B$3052,B1116,AKTIVITAS!$E$2:$E$3052,H1116)&gt;0,1,0),0)</f>
        <v>0</v>
      </c>
      <c r="V1116" s="71">
        <f>IFERROR(IF(AND(H1116&gt;=INDEX(PEMAGANG!$J$3:$J$36,MATCH(B1116,PEMAGANG!$C$3:$C$36,0)),H1116&lt;=INDEX(PEMAGANG!$K$3:$K$36,MATCH(B1116,PEMAGANG!$C$3:$C$36,0))),1,0),0)</f>
        <v>1</v>
      </c>
      <c r="W1116" s="71">
        <f t="shared" si="161"/>
        <v>0</v>
      </c>
    </row>
    <row r="1117" spans="1:23" x14ac:dyDescent="0.2">
      <c r="A1117" s="71" t="s">
        <v>257</v>
      </c>
      <c r="B1117" s="71" t="s">
        <v>258</v>
      </c>
      <c r="C1117" s="71" t="s">
        <v>187</v>
      </c>
      <c r="D1117" s="71" t="s">
        <v>259</v>
      </c>
      <c r="E1117" s="71" t="s">
        <v>55</v>
      </c>
      <c r="F1117" s="71" t="s">
        <v>298</v>
      </c>
      <c r="G1117" s="88">
        <v>46260.279606481497</v>
      </c>
      <c r="H1117" s="89">
        <v>46260</v>
      </c>
      <c r="I1117" s="71" t="s">
        <v>495</v>
      </c>
      <c r="J1117" s="71">
        <v>-78</v>
      </c>
      <c r="K1117" s="71" t="s">
        <v>302</v>
      </c>
      <c r="L1117" s="71">
        <f t="shared" si="153"/>
        <v>8</v>
      </c>
      <c r="M1117" s="71" t="str">
        <f>IFERROR(INDEX(KALENDER!$D$3:$D$132,MATCH(H1117,KALENDER!$A$3:$A$132,0)),"Di luar periode")</f>
        <v>Hari Kerja</v>
      </c>
      <c r="N1117" s="71">
        <f t="shared" si="154"/>
        <v>1</v>
      </c>
      <c r="O1117" s="71">
        <f t="shared" si="155"/>
        <v>1</v>
      </c>
      <c r="P1117" s="71">
        <f t="shared" si="156"/>
        <v>1</v>
      </c>
      <c r="Q1117" s="71">
        <f t="shared" si="157"/>
        <v>0</v>
      </c>
      <c r="R1117" s="71">
        <f t="shared" si="158"/>
        <v>0</v>
      </c>
      <c r="S1117" s="71">
        <f t="shared" si="159"/>
        <v>0</v>
      </c>
      <c r="T1117" s="71">
        <f t="shared" si="160"/>
        <v>0</v>
      </c>
      <c r="U1117" s="71">
        <f>IF(AND(N1117=1,V1117=1),IF(COUNTIFS(AKTIVITAS!$B$2:$B$3052,B1117,AKTIVITAS!$E$2:$E$3052,H1117)&gt;0,1,0),0)</f>
        <v>1</v>
      </c>
      <c r="V1117" s="71">
        <f>IFERROR(IF(AND(H1117&gt;=INDEX(PEMAGANG!$J$3:$J$36,MATCH(B1117,PEMAGANG!$C$3:$C$36,0)),H1117&lt;=INDEX(PEMAGANG!$K$3:$K$36,MATCH(B1117,PEMAGANG!$C$3:$C$36,0))),1,0),0)</f>
        <v>1</v>
      </c>
      <c r="W1117" s="71">
        <f t="shared" si="161"/>
        <v>1</v>
      </c>
    </row>
    <row r="1118" spans="1:23" x14ac:dyDescent="0.2">
      <c r="A1118" s="71" t="s">
        <v>257</v>
      </c>
      <c r="B1118" s="71" t="s">
        <v>258</v>
      </c>
      <c r="C1118" s="71" t="s">
        <v>187</v>
      </c>
      <c r="D1118" s="71" t="s">
        <v>259</v>
      </c>
      <c r="E1118" s="71" t="s">
        <v>55</v>
      </c>
      <c r="F1118" s="71" t="s">
        <v>300</v>
      </c>
      <c r="G1118" s="88">
        <v>46260.688229166699</v>
      </c>
      <c r="H1118" s="89">
        <v>46260</v>
      </c>
      <c r="I1118" s="71" t="s">
        <v>336</v>
      </c>
      <c r="J1118" s="71">
        <v>0</v>
      </c>
      <c r="K1118" s="71" t="s">
        <v>302</v>
      </c>
      <c r="L1118" s="71">
        <f t="shared" si="153"/>
        <v>8</v>
      </c>
      <c r="M1118" s="71" t="str">
        <f>IFERROR(INDEX(KALENDER!$D$3:$D$132,MATCH(H1118,KALENDER!$A$3:$A$132,0)),"Di luar periode")</f>
        <v>Hari Kerja</v>
      </c>
      <c r="N1118" s="71">
        <f t="shared" si="154"/>
        <v>0</v>
      </c>
      <c r="O1118" s="71">
        <f t="shared" si="155"/>
        <v>1</v>
      </c>
      <c r="P1118" s="71">
        <f t="shared" si="156"/>
        <v>0</v>
      </c>
      <c r="Q1118" s="71">
        <f t="shared" si="157"/>
        <v>0</v>
      </c>
      <c r="R1118" s="71">
        <f t="shared" si="158"/>
        <v>0</v>
      </c>
      <c r="S1118" s="71">
        <f t="shared" si="159"/>
        <v>0</v>
      </c>
      <c r="T1118" s="71">
        <f t="shared" si="160"/>
        <v>0</v>
      </c>
      <c r="U1118" s="71">
        <f>IF(AND(N1118=1,V1118=1),IF(COUNTIFS(AKTIVITAS!$B$2:$B$3052,B1118,AKTIVITAS!$E$2:$E$3052,H1118)&gt;0,1,0),0)</f>
        <v>0</v>
      </c>
      <c r="V1118" s="71">
        <f>IFERROR(IF(AND(H1118&gt;=INDEX(PEMAGANG!$J$3:$J$36,MATCH(B1118,PEMAGANG!$C$3:$C$36,0)),H1118&lt;=INDEX(PEMAGANG!$K$3:$K$36,MATCH(B1118,PEMAGANG!$C$3:$C$36,0))),1,0),0)</f>
        <v>1</v>
      </c>
      <c r="W1118" s="71">
        <f t="shared" si="161"/>
        <v>0</v>
      </c>
    </row>
    <row r="1119" spans="1:23" x14ac:dyDescent="0.2">
      <c r="A1119" s="71" t="s">
        <v>257</v>
      </c>
      <c r="B1119" s="71" t="s">
        <v>258</v>
      </c>
      <c r="C1119" s="71" t="s">
        <v>187</v>
      </c>
      <c r="D1119" s="71" t="s">
        <v>259</v>
      </c>
      <c r="E1119" s="71" t="s">
        <v>55</v>
      </c>
      <c r="F1119" s="71" t="s">
        <v>298</v>
      </c>
      <c r="G1119" s="88">
        <v>46261.2827777778</v>
      </c>
      <c r="H1119" s="89">
        <v>46261</v>
      </c>
      <c r="I1119" s="71" t="s">
        <v>506</v>
      </c>
      <c r="J1119" s="71">
        <v>-73</v>
      </c>
      <c r="K1119" s="71" t="s">
        <v>302</v>
      </c>
      <c r="L1119" s="71">
        <f t="shared" si="153"/>
        <v>8</v>
      </c>
      <c r="M1119" s="71" t="str">
        <f>IFERROR(INDEX(KALENDER!$D$3:$D$132,MATCH(H1119,KALENDER!$A$3:$A$132,0)),"Di luar periode")</f>
        <v>Hari Kerja</v>
      </c>
      <c r="N1119" s="71">
        <f t="shared" si="154"/>
        <v>1</v>
      </c>
      <c r="O1119" s="71">
        <f t="shared" si="155"/>
        <v>1</v>
      </c>
      <c r="P1119" s="71">
        <f t="shared" si="156"/>
        <v>1</v>
      </c>
      <c r="Q1119" s="71">
        <f t="shared" si="157"/>
        <v>0</v>
      </c>
      <c r="R1119" s="71">
        <f t="shared" si="158"/>
        <v>0</v>
      </c>
      <c r="S1119" s="71">
        <f t="shared" si="159"/>
        <v>0</v>
      </c>
      <c r="T1119" s="71">
        <f t="shared" si="160"/>
        <v>0</v>
      </c>
      <c r="U1119" s="71">
        <f>IF(AND(N1119=1,V1119=1),IF(COUNTIFS(AKTIVITAS!$B$2:$B$3052,B1119,AKTIVITAS!$E$2:$E$3052,H1119)&gt;0,1,0),0)</f>
        <v>1</v>
      </c>
      <c r="V1119" s="71">
        <f>IFERROR(IF(AND(H1119&gt;=INDEX(PEMAGANG!$J$3:$J$36,MATCH(B1119,PEMAGANG!$C$3:$C$36,0)),H1119&lt;=INDEX(PEMAGANG!$K$3:$K$36,MATCH(B1119,PEMAGANG!$C$3:$C$36,0))),1,0),0)</f>
        <v>1</v>
      </c>
      <c r="W1119" s="71">
        <f t="shared" si="161"/>
        <v>1</v>
      </c>
    </row>
    <row r="1120" spans="1:23" x14ac:dyDescent="0.2">
      <c r="A1120" s="71" t="s">
        <v>257</v>
      </c>
      <c r="B1120" s="71" t="s">
        <v>258</v>
      </c>
      <c r="C1120" s="71" t="s">
        <v>187</v>
      </c>
      <c r="D1120" s="71" t="s">
        <v>259</v>
      </c>
      <c r="E1120" s="71" t="s">
        <v>55</v>
      </c>
      <c r="F1120" s="71" t="s">
        <v>300</v>
      </c>
      <c r="G1120" s="88">
        <v>46261.6875925926</v>
      </c>
      <c r="H1120" s="89">
        <v>46261</v>
      </c>
      <c r="I1120" s="71" t="s">
        <v>330</v>
      </c>
      <c r="J1120" s="71">
        <v>0</v>
      </c>
      <c r="K1120" s="71" t="s">
        <v>302</v>
      </c>
      <c r="L1120" s="71">
        <f t="shared" si="153"/>
        <v>8</v>
      </c>
      <c r="M1120" s="71" t="str">
        <f>IFERROR(INDEX(KALENDER!$D$3:$D$132,MATCH(H1120,KALENDER!$A$3:$A$132,0)),"Di luar periode")</f>
        <v>Hari Kerja</v>
      </c>
      <c r="N1120" s="71">
        <f t="shared" si="154"/>
        <v>0</v>
      </c>
      <c r="O1120" s="71">
        <f t="shared" si="155"/>
        <v>1</v>
      </c>
      <c r="P1120" s="71">
        <f t="shared" si="156"/>
        <v>0</v>
      </c>
      <c r="Q1120" s="71">
        <f t="shared" si="157"/>
        <v>0</v>
      </c>
      <c r="R1120" s="71">
        <f t="shared" si="158"/>
        <v>0</v>
      </c>
      <c r="S1120" s="71">
        <f t="shared" si="159"/>
        <v>0</v>
      </c>
      <c r="T1120" s="71">
        <f t="shared" si="160"/>
        <v>0</v>
      </c>
      <c r="U1120" s="71">
        <f>IF(AND(N1120=1,V1120=1),IF(COUNTIFS(AKTIVITAS!$B$2:$B$3052,B1120,AKTIVITAS!$E$2:$E$3052,H1120)&gt;0,1,0),0)</f>
        <v>0</v>
      </c>
      <c r="V1120" s="71">
        <f>IFERROR(IF(AND(H1120&gt;=INDEX(PEMAGANG!$J$3:$J$36,MATCH(B1120,PEMAGANG!$C$3:$C$36,0)),H1120&lt;=INDEX(PEMAGANG!$K$3:$K$36,MATCH(B1120,PEMAGANG!$C$3:$C$36,0))),1,0),0)</f>
        <v>1</v>
      </c>
      <c r="W1120" s="71">
        <f t="shared" si="161"/>
        <v>0</v>
      </c>
    </row>
    <row r="1121" spans="1:23" x14ac:dyDescent="0.2">
      <c r="A1121" s="71" t="s">
        <v>257</v>
      </c>
      <c r="B1121" s="71" t="s">
        <v>258</v>
      </c>
      <c r="C1121" s="71" t="s">
        <v>187</v>
      </c>
      <c r="D1121" s="71" t="s">
        <v>259</v>
      </c>
      <c r="E1121" s="71" t="s">
        <v>55</v>
      </c>
      <c r="F1121" s="71" t="s">
        <v>298</v>
      </c>
      <c r="G1121" s="88">
        <v>46262.272685185198</v>
      </c>
      <c r="H1121" s="89">
        <v>46262</v>
      </c>
      <c r="I1121" s="71" t="s">
        <v>453</v>
      </c>
      <c r="J1121" s="71">
        <v>-88</v>
      </c>
      <c r="K1121" s="71" t="s">
        <v>302</v>
      </c>
      <c r="L1121" s="71">
        <f t="shared" si="153"/>
        <v>8</v>
      </c>
      <c r="M1121" s="71" t="str">
        <f>IFERROR(INDEX(KALENDER!$D$3:$D$132,MATCH(H1121,KALENDER!$A$3:$A$132,0)),"Di luar periode")</f>
        <v>Hari Kerja</v>
      </c>
      <c r="N1121" s="71">
        <f t="shared" si="154"/>
        <v>1</v>
      </c>
      <c r="O1121" s="71">
        <f t="shared" si="155"/>
        <v>1</v>
      </c>
      <c r="P1121" s="71">
        <f t="shared" si="156"/>
        <v>1</v>
      </c>
      <c r="Q1121" s="71">
        <f t="shared" si="157"/>
        <v>0</v>
      </c>
      <c r="R1121" s="71">
        <f t="shared" si="158"/>
        <v>0</v>
      </c>
      <c r="S1121" s="71">
        <f t="shared" si="159"/>
        <v>0</v>
      </c>
      <c r="T1121" s="71">
        <f t="shared" si="160"/>
        <v>0</v>
      </c>
      <c r="U1121" s="71">
        <f>IF(AND(N1121=1,V1121=1),IF(COUNTIFS(AKTIVITAS!$B$2:$B$3052,B1121,AKTIVITAS!$E$2:$E$3052,H1121)&gt;0,1,0),0)</f>
        <v>1</v>
      </c>
      <c r="V1121" s="71">
        <f>IFERROR(IF(AND(H1121&gt;=INDEX(PEMAGANG!$J$3:$J$36,MATCH(B1121,PEMAGANG!$C$3:$C$36,0)),H1121&lt;=INDEX(PEMAGANG!$K$3:$K$36,MATCH(B1121,PEMAGANG!$C$3:$C$36,0))),1,0),0)</f>
        <v>1</v>
      </c>
      <c r="W1121" s="71">
        <f t="shared" si="161"/>
        <v>1</v>
      </c>
    </row>
    <row r="1122" spans="1:23" x14ac:dyDescent="0.2">
      <c r="A1122" s="71" t="s">
        <v>257</v>
      </c>
      <c r="B1122" s="71" t="s">
        <v>258</v>
      </c>
      <c r="C1122" s="71" t="s">
        <v>187</v>
      </c>
      <c r="D1122" s="71" t="s">
        <v>259</v>
      </c>
      <c r="E1122" s="71" t="s">
        <v>55</v>
      </c>
      <c r="F1122" s="71" t="s">
        <v>300</v>
      </c>
      <c r="G1122" s="88">
        <v>46262.688414351898</v>
      </c>
      <c r="H1122" s="89">
        <v>46262</v>
      </c>
      <c r="I1122" s="71" t="s">
        <v>336</v>
      </c>
      <c r="J1122" s="71">
        <v>0</v>
      </c>
      <c r="K1122" s="71" t="s">
        <v>302</v>
      </c>
      <c r="L1122" s="71">
        <f t="shared" si="153"/>
        <v>8</v>
      </c>
      <c r="M1122" s="71" t="str">
        <f>IFERROR(INDEX(KALENDER!$D$3:$D$132,MATCH(H1122,KALENDER!$A$3:$A$132,0)),"Di luar periode")</f>
        <v>Hari Kerja</v>
      </c>
      <c r="N1122" s="71">
        <f t="shared" si="154"/>
        <v>0</v>
      </c>
      <c r="O1122" s="71">
        <f t="shared" si="155"/>
        <v>1</v>
      </c>
      <c r="P1122" s="71">
        <f t="shared" si="156"/>
        <v>0</v>
      </c>
      <c r="Q1122" s="71">
        <f t="shared" si="157"/>
        <v>0</v>
      </c>
      <c r="R1122" s="71">
        <f t="shared" si="158"/>
        <v>0</v>
      </c>
      <c r="S1122" s="71">
        <f t="shared" si="159"/>
        <v>0</v>
      </c>
      <c r="T1122" s="71">
        <f t="shared" si="160"/>
        <v>0</v>
      </c>
      <c r="U1122" s="71">
        <f>IF(AND(N1122=1,V1122=1),IF(COUNTIFS(AKTIVITAS!$B$2:$B$3052,B1122,AKTIVITAS!$E$2:$E$3052,H1122)&gt;0,1,0),0)</f>
        <v>0</v>
      </c>
      <c r="V1122" s="71">
        <f>IFERROR(IF(AND(H1122&gt;=INDEX(PEMAGANG!$J$3:$J$36,MATCH(B1122,PEMAGANG!$C$3:$C$36,0)),H1122&lt;=INDEX(PEMAGANG!$K$3:$K$36,MATCH(B1122,PEMAGANG!$C$3:$C$36,0))),1,0),0)</f>
        <v>1</v>
      </c>
      <c r="W1122" s="71">
        <f t="shared" si="161"/>
        <v>0</v>
      </c>
    </row>
    <row r="1123" spans="1:23" x14ac:dyDescent="0.2">
      <c r="A1123" s="71" t="s">
        <v>257</v>
      </c>
      <c r="B1123" s="71" t="s">
        <v>258</v>
      </c>
      <c r="C1123" s="71" t="s">
        <v>187</v>
      </c>
      <c r="D1123" s="71" t="s">
        <v>259</v>
      </c>
      <c r="E1123" s="71" t="s">
        <v>55</v>
      </c>
      <c r="F1123" s="71" t="s">
        <v>298</v>
      </c>
      <c r="G1123" s="88">
        <v>46265.300266203703</v>
      </c>
      <c r="H1123" s="89">
        <v>46265</v>
      </c>
      <c r="I1123" s="71" t="s">
        <v>478</v>
      </c>
      <c r="J1123" s="71">
        <v>-48</v>
      </c>
      <c r="K1123" s="71" t="s">
        <v>302</v>
      </c>
      <c r="L1123" s="71">
        <f t="shared" si="153"/>
        <v>8</v>
      </c>
      <c r="M1123" s="71" t="str">
        <f>IFERROR(INDEX(KALENDER!$D$3:$D$132,MATCH(H1123,KALENDER!$A$3:$A$132,0)),"Di luar periode")</f>
        <v>Hari Kerja</v>
      </c>
      <c r="N1123" s="71">
        <f t="shared" si="154"/>
        <v>1</v>
      </c>
      <c r="O1123" s="71">
        <f t="shared" si="155"/>
        <v>1</v>
      </c>
      <c r="P1123" s="71">
        <f t="shared" si="156"/>
        <v>1</v>
      </c>
      <c r="Q1123" s="71">
        <f t="shared" si="157"/>
        <v>0</v>
      </c>
      <c r="R1123" s="71">
        <f t="shared" si="158"/>
        <v>0</v>
      </c>
      <c r="S1123" s="71">
        <f t="shared" si="159"/>
        <v>0</v>
      </c>
      <c r="T1123" s="71">
        <f t="shared" si="160"/>
        <v>0</v>
      </c>
      <c r="U1123" s="71">
        <f>IF(AND(N1123=1,V1123=1),IF(COUNTIFS(AKTIVITAS!$B$2:$B$3052,B1123,AKTIVITAS!$E$2:$E$3052,H1123)&gt;0,1,0),0)</f>
        <v>1</v>
      </c>
      <c r="V1123" s="71">
        <f>IFERROR(IF(AND(H1123&gt;=INDEX(PEMAGANG!$J$3:$J$36,MATCH(B1123,PEMAGANG!$C$3:$C$36,0)),H1123&lt;=INDEX(PEMAGANG!$K$3:$K$36,MATCH(B1123,PEMAGANG!$C$3:$C$36,0))),1,0),0)</f>
        <v>1</v>
      </c>
      <c r="W1123" s="71">
        <f t="shared" si="161"/>
        <v>1</v>
      </c>
    </row>
    <row r="1124" spans="1:23" x14ac:dyDescent="0.2">
      <c r="A1124" s="71" t="s">
        <v>257</v>
      </c>
      <c r="B1124" s="71" t="s">
        <v>258</v>
      </c>
      <c r="C1124" s="71" t="s">
        <v>187</v>
      </c>
      <c r="D1124" s="71" t="s">
        <v>259</v>
      </c>
      <c r="E1124" s="71" t="s">
        <v>55</v>
      </c>
      <c r="F1124" s="71" t="s">
        <v>300</v>
      </c>
      <c r="G1124" s="88">
        <v>46265.688738425903</v>
      </c>
      <c r="H1124" s="89">
        <v>46265</v>
      </c>
      <c r="I1124" s="71" t="s">
        <v>336</v>
      </c>
      <c r="J1124" s="71">
        <v>0</v>
      </c>
      <c r="K1124" s="71" t="s">
        <v>302</v>
      </c>
      <c r="L1124" s="71">
        <f t="shared" si="153"/>
        <v>8</v>
      </c>
      <c r="M1124" s="71" t="str">
        <f>IFERROR(INDEX(KALENDER!$D$3:$D$132,MATCH(H1124,KALENDER!$A$3:$A$132,0)),"Di luar periode")</f>
        <v>Hari Kerja</v>
      </c>
      <c r="N1124" s="71">
        <f t="shared" si="154"/>
        <v>0</v>
      </c>
      <c r="O1124" s="71">
        <f t="shared" si="155"/>
        <v>1</v>
      </c>
      <c r="P1124" s="71">
        <f t="shared" si="156"/>
        <v>0</v>
      </c>
      <c r="Q1124" s="71">
        <f t="shared" si="157"/>
        <v>0</v>
      </c>
      <c r="R1124" s="71">
        <f t="shared" si="158"/>
        <v>0</v>
      </c>
      <c r="S1124" s="71">
        <f t="shared" si="159"/>
        <v>0</v>
      </c>
      <c r="T1124" s="71">
        <f t="shared" si="160"/>
        <v>0</v>
      </c>
      <c r="U1124" s="71">
        <f>IF(AND(N1124=1,V1124=1),IF(COUNTIFS(AKTIVITAS!$B$2:$B$3052,B1124,AKTIVITAS!$E$2:$E$3052,H1124)&gt;0,1,0),0)</f>
        <v>0</v>
      </c>
      <c r="V1124" s="71">
        <f>IFERROR(IF(AND(H1124&gt;=INDEX(PEMAGANG!$J$3:$J$36,MATCH(B1124,PEMAGANG!$C$3:$C$36,0)),H1124&lt;=INDEX(PEMAGANG!$K$3:$K$36,MATCH(B1124,PEMAGANG!$C$3:$C$36,0))),1,0),0)</f>
        <v>1</v>
      </c>
      <c r="W1124" s="71">
        <f t="shared" si="161"/>
        <v>0</v>
      </c>
    </row>
    <row r="1125" spans="1:23" x14ac:dyDescent="0.2">
      <c r="A1125" s="71" t="s">
        <v>257</v>
      </c>
      <c r="B1125" s="71" t="s">
        <v>258</v>
      </c>
      <c r="C1125" s="71" t="s">
        <v>187</v>
      </c>
      <c r="D1125" s="71" t="s">
        <v>259</v>
      </c>
      <c r="E1125" s="71" t="s">
        <v>55</v>
      </c>
      <c r="F1125" s="71" t="s">
        <v>298</v>
      </c>
      <c r="G1125" s="88">
        <v>46266.284814814797</v>
      </c>
      <c r="H1125" s="89">
        <v>46266</v>
      </c>
      <c r="I1125" s="71" t="s">
        <v>514</v>
      </c>
      <c r="J1125" s="71">
        <v>-70</v>
      </c>
      <c r="K1125" s="71" t="s">
        <v>302</v>
      </c>
      <c r="L1125" s="71">
        <f t="shared" si="153"/>
        <v>9</v>
      </c>
      <c r="M1125" s="71" t="str">
        <f>IFERROR(INDEX(KALENDER!$D$3:$D$132,MATCH(H1125,KALENDER!$A$3:$A$132,0)),"Di luar periode")</f>
        <v>Hari Kerja</v>
      </c>
      <c r="N1125" s="71">
        <f t="shared" si="154"/>
        <v>1</v>
      </c>
      <c r="O1125" s="71">
        <f t="shared" si="155"/>
        <v>1</v>
      </c>
      <c r="P1125" s="71">
        <f t="shared" si="156"/>
        <v>1</v>
      </c>
      <c r="Q1125" s="71">
        <f t="shared" si="157"/>
        <v>0</v>
      </c>
      <c r="R1125" s="71">
        <f t="shared" si="158"/>
        <v>0</v>
      </c>
      <c r="S1125" s="71">
        <f t="shared" si="159"/>
        <v>0</v>
      </c>
      <c r="T1125" s="71">
        <f t="shared" si="160"/>
        <v>0</v>
      </c>
      <c r="U1125" s="71">
        <f>IF(AND(N1125=1,V1125=1),IF(COUNTIFS(AKTIVITAS!$B$2:$B$3052,B1125,AKTIVITAS!$E$2:$E$3052,H1125)&gt;0,1,0),0)</f>
        <v>1</v>
      </c>
      <c r="V1125" s="71">
        <f>IFERROR(IF(AND(H1125&gt;=INDEX(PEMAGANG!$J$3:$J$36,MATCH(B1125,PEMAGANG!$C$3:$C$36,0)),H1125&lt;=INDEX(PEMAGANG!$K$3:$K$36,MATCH(B1125,PEMAGANG!$C$3:$C$36,0))),1,0),0)</f>
        <v>1</v>
      </c>
      <c r="W1125" s="71">
        <f t="shared" si="161"/>
        <v>1</v>
      </c>
    </row>
    <row r="1126" spans="1:23" x14ac:dyDescent="0.2">
      <c r="A1126" s="71" t="s">
        <v>257</v>
      </c>
      <c r="B1126" s="71" t="s">
        <v>258</v>
      </c>
      <c r="C1126" s="71" t="s">
        <v>187</v>
      </c>
      <c r="D1126" s="71" t="s">
        <v>259</v>
      </c>
      <c r="E1126" s="71" t="s">
        <v>55</v>
      </c>
      <c r="F1126" s="71" t="s">
        <v>300</v>
      </c>
      <c r="G1126" s="88">
        <v>46266.6949074074</v>
      </c>
      <c r="H1126" s="89">
        <v>46266</v>
      </c>
      <c r="I1126" s="71" t="s">
        <v>343</v>
      </c>
      <c r="J1126" s="71">
        <v>0</v>
      </c>
      <c r="K1126" s="71" t="s">
        <v>302</v>
      </c>
      <c r="L1126" s="71">
        <f t="shared" si="153"/>
        <v>9</v>
      </c>
      <c r="M1126" s="71" t="str">
        <f>IFERROR(INDEX(KALENDER!$D$3:$D$132,MATCH(H1126,KALENDER!$A$3:$A$132,0)),"Di luar periode")</f>
        <v>Hari Kerja</v>
      </c>
      <c r="N1126" s="71">
        <f t="shared" si="154"/>
        <v>0</v>
      </c>
      <c r="O1126" s="71">
        <f t="shared" si="155"/>
        <v>1</v>
      </c>
      <c r="P1126" s="71">
        <f t="shared" si="156"/>
        <v>0</v>
      </c>
      <c r="Q1126" s="71">
        <f t="shared" si="157"/>
        <v>0</v>
      </c>
      <c r="R1126" s="71">
        <f t="shared" si="158"/>
        <v>0</v>
      </c>
      <c r="S1126" s="71">
        <f t="shared" si="159"/>
        <v>0</v>
      </c>
      <c r="T1126" s="71">
        <f t="shared" si="160"/>
        <v>0</v>
      </c>
      <c r="U1126" s="71">
        <f>IF(AND(N1126=1,V1126=1),IF(COUNTIFS(AKTIVITAS!$B$2:$B$3052,B1126,AKTIVITAS!$E$2:$E$3052,H1126)&gt;0,1,0),0)</f>
        <v>0</v>
      </c>
      <c r="V1126" s="71">
        <f>IFERROR(IF(AND(H1126&gt;=INDEX(PEMAGANG!$J$3:$J$36,MATCH(B1126,PEMAGANG!$C$3:$C$36,0)),H1126&lt;=INDEX(PEMAGANG!$K$3:$K$36,MATCH(B1126,PEMAGANG!$C$3:$C$36,0))),1,0),0)</f>
        <v>1</v>
      </c>
      <c r="W1126" s="71">
        <f t="shared" si="161"/>
        <v>0</v>
      </c>
    </row>
    <row r="1127" spans="1:23" x14ac:dyDescent="0.2">
      <c r="A1127" s="71" t="s">
        <v>257</v>
      </c>
      <c r="B1127" s="71" t="s">
        <v>258</v>
      </c>
      <c r="C1127" s="71" t="s">
        <v>187</v>
      </c>
      <c r="D1127" s="71" t="s">
        <v>259</v>
      </c>
      <c r="E1127" s="71" t="s">
        <v>55</v>
      </c>
      <c r="F1127" s="71" t="s">
        <v>298</v>
      </c>
      <c r="G1127" s="88">
        <v>46267.2820138889</v>
      </c>
      <c r="H1127" s="89">
        <v>46267</v>
      </c>
      <c r="I1127" s="71" t="s">
        <v>509</v>
      </c>
      <c r="J1127" s="71">
        <v>-74</v>
      </c>
      <c r="K1127" s="71" t="s">
        <v>302</v>
      </c>
      <c r="L1127" s="71">
        <f t="shared" si="153"/>
        <v>9</v>
      </c>
      <c r="M1127" s="71" t="str">
        <f>IFERROR(INDEX(KALENDER!$D$3:$D$132,MATCH(H1127,KALENDER!$A$3:$A$132,0)),"Di luar periode")</f>
        <v>Hari Kerja</v>
      </c>
      <c r="N1127" s="71">
        <f t="shared" si="154"/>
        <v>1</v>
      </c>
      <c r="O1127" s="71">
        <f t="shared" si="155"/>
        <v>1</v>
      </c>
      <c r="P1127" s="71">
        <f t="shared" si="156"/>
        <v>1</v>
      </c>
      <c r="Q1127" s="71">
        <f t="shared" si="157"/>
        <v>0</v>
      </c>
      <c r="R1127" s="71">
        <f t="shared" si="158"/>
        <v>0</v>
      </c>
      <c r="S1127" s="71">
        <f t="shared" si="159"/>
        <v>0</v>
      </c>
      <c r="T1127" s="71">
        <f t="shared" si="160"/>
        <v>0</v>
      </c>
      <c r="U1127" s="71">
        <f>IF(AND(N1127=1,V1127=1),IF(COUNTIFS(AKTIVITAS!$B$2:$B$3052,B1127,AKTIVITAS!$E$2:$E$3052,H1127)&gt;0,1,0),0)</f>
        <v>1</v>
      </c>
      <c r="V1127" s="71">
        <f>IFERROR(IF(AND(H1127&gt;=INDEX(PEMAGANG!$J$3:$J$36,MATCH(B1127,PEMAGANG!$C$3:$C$36,0)),H1127&lt;=INDEX(PEMAGANG!$K$3:$K$36,MATCH(B1127,PEMAGANG!$C$3:$C$36,0))),1,0),0)</f>
        <v>1</v>
      </c>
      <c r="W1127" s="71">
        <f t="shared" si="161"/>
        <v>1</v>
      </c>
    </row>
    <row r="1128" spans="1:23" x14ac:dyDescent="0.2">
      <c r="A1128" s="71" t="s">
        <v>257</v>
      </c>
      <c r="B1128" s="71" t="s">
        <v>258</v>
      </c>
      <c r="C1128" s="71" t="s">
        <v>187</v>
      </c>
      <c r="D1128" s="71" t="s">
        <v>259</v>
      </c>
      <c r="E1128" s="71" t="s">
        <v>55</v>
      </c>
      <c r="F1128" s="71" t="s">
        <v>300</v>
      </c>
      <c r="G1128" s="88">
        <v>46267.689351851899</v>
      </c>
      <c r="H1128" s="89">
        <v>46267</v>
      </c>
      <c r="I1128" s="71" t="s">
        <v>306</v>
      </c>
      <c r="J1128" s="71">
        <v>0</v>
      </c>
      <c r="K1128" s="71" t="s">
        <v>302</v>
      </c>
      <c r="L1128" s="71">
        <f t="shared" si="153"/>
        <v>9</v>
      </c>
      <c r="M1128" s="71" t="str">
        <f>IFERROR(INDEX(KALENDER!$D$3:$D$132,MATCH(H1128,KALENDER!$A$3:$A$132,0)),"Di luar periode")</f>
        <v>Hari Kerja</v>
      </c>
      <c r="N1128" s="71">
        <f t="shared" si="154"/>
        <v>0</v>
      </c>
      <c r="O1128" s="71">
        <f t="shared" si="155"/>
        <v>1</v>
      </c>
      <c r="P1128" s="71">
        <f t="shared" si="156"/>
        <v>0</v>
      </c>
      <c r="Q1128" s="71">
        <f t="shared" si="157"/>
        <v>0</v>
      </c>
      <c r="R1128" s="71">
        <f t="shared" si="158"/>
        <v>0</v>
      </c>
      <c r="S1128" s="71">
        <f t="shared" si="159"/>
        <v>0</v>
      </c>
      <c r="T1128" s="71">
        <f t="shared" si="160"/>
        <v>0</v>
      </c>
      <c r="U1128" s="71">
        <f>IF(AND(N1128=1,V1128=1),IF(COUNTIFS(AKTIVITAS!$B$2:$B$3052,B1128,AKTIVITAS!$E$2:$E$3052,H1128)&gt;0,1,0),0)</f>
        <v>0</v>
      </c>
      <c r="V1128" s="71">
        <f>IFERROR(IF(AND(H1128&gt;=INDEX(PEMAGANG!$J$3:$J$36,MATCH(B1128,PEMAGANG!$C$3:$C$36,0)),H1128&lt;=INDEX(PEMAGANG!$K$3:$K$36,MATCH(B1128,PEMAGANG!$C$3:$C$36,0))),1,0),0)</f>
        <v>1</v>
      </c>
      <c r="W1128" s="71">
        <f t="shared" si="161"/>
        <v>0</v>
      </c>
    </row>
    <row r="1129" spans="1:23" x14ac:dyDescent="0.2">
      <c r="A1129" s="71" t="s">
        <v>257</v>
      </c>
      <c r="B1129" s="71" t="s">
        <v>258</v>
      </c>
      <c r="C1129" s="71" t="s">
        <v>187</v>
      </c>
      <c r="D1129" s="71" t="s">
        <v>259</v>
      </c>
      <c r="E1129" s="71" t="s">
        <v>55</v>
      </c>
      <c r="F1129" s="71" t="s">
        <v>298</v>
      </c>
      <c r="G1129" s="88">
        <v>46268.278402777803</v>
      </c>
      <c r="H1129" s="89">
        <v>46268</v>
      </c>
      <c r="I1129" s="71" t="s">
        <v>484</v>
      </c>
      <c r="J1129" s="71">
        <v>-80</v>
      </c>
      <c r="K1129" s="71" t="s">
        <v>302</v>
      </c>
      <c r="L1129" s="71">
        <f t="shared" si="153"/>
        <v>9</v>
      </c>
      <c r="M1129" s="71" t="str">
        <f>IFERROR(INDEX(KALENDER!$D$3:$D$132,MATCH(H1129,KALENDER!$A$3:$A$132,0)),"Di luar periode")</f>
        <v>Hari Kerja</v>
      </c>
      <c r="N1129" s="71">
        <f t="shared" si="154"/>
        <v>1</v>
      </c>
      <c r="O1129" s="71">
        <f t="shared" si="155"/>
        <v>1</v>
      </c>
      <c r="P1129" s="71">
        <f t="shared" si="156"/>
        <v>1</v>
      </c>
      <c r="Q1129" s="71">
        <f t="shared" si="157"/>
        <v>0</v>
      </c>
      <c r="R1129" s="71">
        <f t="shared" si="158"/>
        <v>0</v>
      </c>
      <c r="S1129" s="71">
        <f t="shared" si="159"/>
        <v>0</v>
      </c>
      <c r="T1129" s="71">
        <f t="shared" si="160"/>
        <v>0</v>
      </c>
      <c r="U1129" s="71">
        <f>IF(AND(N1129=1,V1129=1),IF(COUNTIFS(AKTIVITAS!$B$2:$B$3052,B1129,AKTIVITAS!$E$2:$E$3052,H1129)&gt;0,1,0),0)</f>
        <v>1</v>
      </c>
      <c r="V1129" s="71">
        <f>IFERROR(IF(AND(H1129&gt;=INDEX(PEMAGANG!$J$3:$J$36,MATCH(B1129,PEMAGANG!$C$3:$C$36,0)),H1129&lt;=INDEX(PEMAGANG!$K$3:$K$36,MATCH(B1129,PEMAGANG!$C$3:$C$36,0))),1,0),0)</f>
        <v>1</v>
      </c>
      <c r="W1129" s="71">
        <f t="shared" si="161"/>
        <v>1</v>
      </c>
    </row>
    <row r="1130" spans="1:23" x14ac:dyDescent="0.2">
      <c r="A1130" s="71" t="s">
        <v>257</v>
      </c>
      <c r="B1130" s="71" t="s">
        <v>258</v>
      </c>
      <c r="C1130" s="71" t="s">
        <v>187</v>
      </c>
      <c r="D1130" s="71" t="s">
        <v>259</v>
      </c>
      <c r="E1130" s="71" t="s">
        <v>55</v>
      </c>
      <c r="F1130" s="71" t="s">
        <v>300</v>
      </c>
      <c r="G1130" s="88">
        <v>46268.689652777801</v>
      </c>
      <c r="H1130" s="89">
        <v>46268</v>
      </c>
      <c r="I1130" s="71" t="s">
        <v>316</v>
      </c>
      <c r="J1130" s="71">
        <v>0</v>
      </c>
      <c r="K1130" s="71" t="s">
        <v>302</v>
      </c>
      <c r="L1130" s="71">
        <f t="shared" si="153"/>
        <v>9</v>
      </c>
      <c r="M1130" s="71" t="str">
        <f>IFERROR(INDEX(KALENDER!$D$3:$D$132,MATCH(H1130,KALENDER!$A$3:$A$132,0)),"Di luar periode")</f>
        <v>Hari Kerja</v>
      </c>
      <c r="N1130" s="71">
        <f t="shared" si="154"/>
        <v>0</v>
      </c>
      <c r="O1130" s="71">
        <f t="shared" si="155"/>
        <v>1</v>
      </c>
      <c r="P1130" s="71">
        <f t="shared" si="156"/>
        <v>0</v>
      </c>
      <c r="Q1130" s="71">
        <f t="shared" si="157"/>
        <v>0</v>
      </c>
      <c r="R1130" s="71">
        <f t="shared" si="158"/>
        <v>0</v>
      </c>
      <c r="S1130" s="71">
        <f t="shared" si="159"/>
        <v>0</v>
      </c>
      <c r="T1130" s="71">
        <f t="shared" si="160"/>
        <v>0</v>
      </c>
      <c r="U1130" s="71">
        <f>IF(AND(N1130=1,V1130=1),IF(COUNTIFS(AKTIVITAS!$B$2:$B$3052,B1130,AKTIVITAS!$E$2:$E$3052,H1130)&gt;0,1,0),0)</f>
        <v>0</v>
      </c>
      <c r="V1130" s="71">
        <f>IFERROR(IF(AND(H1130&gt;=INDEX(PEMAGANG!$J$3:$J$36,MATCH(B1130,PEMAGANG!$C$3:$C$36,0)),H1130&lt;=INDEX(PEMAGANG!$K$3:$K$36,MATCH(B1130,PEMAGANG!$C$3:$C$36,0))),1,0),0)</f>
        <v>1</v>
      </c>
      <c r="W1130" s="71">
        <f t="shared" si="161"/>
        <v>0</v>
      </c>
    </row>
    <row r="1131" spans="1:23" x14ac:dyDescent="0.2">
      <c r="A1131" s="71" t="s">
        <v>257</v>
      </c>
      <c r="B1131" s="71" t="s">
        <v>258</v>
      </c>
      <c r="C1131" s="71" t="s">
        <v>187</v>
      </c>
      <c r="D1131" s="71" t="s">
        <v>259</v>
      </c>
      <c r="E1131" s="71" t="s">
        <v>55</v>
      </c>
      <c r="F1131" s="71" t="s">
        <v>300</v>
      </c>
      <c r="G1131" s="88">
        <v>46269.688460648198</v>
      </c>
      <c r="H1131" s="89">
        <v>46269</v>
      </c>
      <c r="I1131" s="71" t="s">
        <v>336</v>
      </c>
      <c r="J1131" s="71">
        <v>0</v>
      </c>
      <c r="K1131" s="71" t="s">
        <v>302</v>
      </c>
      <c r="L1131" s="71">
        <f t="shared" si="153"/>
        <v>9</v>
      </c>
      <c r="M1131" s="71" t="str">
        <f>IFERROR(INDEX(KALENDER!$D$3:$D$132,MATCH(H1131,KALENDER!$A$3:$A$132,0)),"Di luar periode")</f>
        <v>Hari Kerja</v>
      </c>
      <c r="N1131" s="71">
        <f t="shared" si="154"/>
        <v>1</v>
      </c>
      <c r="O1131" s="71">
        <f t="shared" si="155"/>
        <v>0</v>
      </c>
      <c r="P1131" s="71">
        <f t="shared" si="156"/>
        <v>1</v>
      </c>
      <c r="Q1131" s="71">
        <f t="shared" si="157"/>
        <v>0</v>
      </c>
      <c r="R1131" s="71">
        <f t="shared" si="158"/>
        <v>0</v>
      </c>
      <c r="S1131" s="71">
        <f t="shared" si="159"/>
        <v>0</v>
      </c>
      <c r="T1131" s="71">
        <f t="shared" si="160"/>
        <v>0</v>
      </c>
      <c r="U1131" s="71">
        <f>IF(AND(N1131=1,V1131=1),IF(COUNTIFS(AKTIVITAS!$B$2:$B$3052,B1131,AKTIVITAS!$E$2:$E$3052,H1131)&gt;0,1,0),0)</f>
        <v>1</v>
      </c>
      <c r="V1131" s="71">
        <f>IFERROR(IF(AND(H1131&gt;=INDEX(PEMAGANG!$J$3:$J$36,MATCH(B1131,PEMAGANG!$C$3:$C$36,0)),H1131&lt;=INDEX(PEMAGANG!$K$3:$K$36,MATCH(B1131,PEMAGANG!$C$3:$C$36,0))),1,0),0)</f>
        <v>1</v>
      </c>
      <c r="W1131" s="71">
        <f t="shared" si="161"/>
        <v>1</v>
      </c>
    </row>
    <row r="1132" spans="1:23" x14ac:dyDescent="0.2">
      <c r="A1132" s="71" t="s">
        <v>257</v>
      </c>
      <c r="B1132" s="71" t="s">
        <v>258</v>
      </c>
      <c r="C1132" s="71" t="s">
        <v>187</v>
      </c>
      <c r="D1132" s="71" t="s">
        <v>259</v>
      </c>
      <c r="E1132" s="71" t="s">
        <v>55</v>
      </c>
      <c r="F1132" s="71" t="s">
        <v>298</v>
      </c>
      <c r="G1132" s="88">
        <v>46272.287233796298</v>
      </c>
      <c r="H1132" s="89">
        <v>46272</v>
      </c>
      <c r="I1132" s="71" t="s">
        <v>512</v>
      </c>
      <c r="J1132" s="71">
        <v>-67</v>
      </c>
      <c r="K1132" s="71" t="s">
        <v>302</v>
      </c>
      <c r="L1132" s="71">
        <f t="shared" si="153"/>
        <v>9</v>
      </c>
      <c r="M1132" s="71" t="str">
        <f>IFERROR(INDEX(KALENDER!$D$3:$D$132,MATCH(H1132,KALENDER!$A$3:$A$132,0)),"Di luar periode")</f>
        <v>Hari Kerja</v>
      </c>
      <c r="N1132" s="71">
        <f t="shared" si="154"/>
        <v>1</v>
      </c>
      <c r="O1132" s="71">
        <f t="shared" si="155"/>
        <v>1</v>
      </c>
      <c r="P1132" s="71">
        <f t="shared" si="156"/>
        <v>1</v>
      </c>
      <c r="Q1132" s="71">
        <f t="shared" si="157"/>
        <v>0</v>
      </c>
      <c r="R1132" s="71">
        <f t="shared" si="158"/>
        <v>0</v>
      </c>
      <c r="S1132" s="71">
        <f t="shared" si="159"/>
        <v>0</v>
      </c>
      <c r="T1132" s="71">
        <f t="shared" si="160"/>
        <v>0</v>
      </c>
      <c r="U1132" s="71">
        <f>IF(AND(N1132=1,V1132=1),IF(COUNTIFS(AKTIVITAS!$B$2:$B$3052,B1132,AKTIVITAS!$E$2:$E$3052,H1132)&gt;0,1,0),0)</f>
        <v>1</v>
      </c>
      <c r="V1132" s="71">
        <f>IFERROR(IF(AND(H1132&gt;=INDEX(PEMAGANG!$J$3:$J$36,MATCH(B1132,PEMAGANG!$C$3:$C$36,0)),H1132&lt;=INDEX(PEMAGANG!$K$3:$K$36,MATCH(B1132,PEMAGANG!$C$3:$C$36,0))),1,0),0)</f>
        <v>1</v>
      </c>
      <c r="W1132" s="71">
        <f t="shared" si="161"/>
        <v>1</v>
      </c>
    </row>
    <row r="1133" spans="1:23" x14ac:dyDescent="0.2">
      <c r="A1133" s="71" t="s">
        <v>257</v>
      </c>
      <c r="B1133" s="71" t="s">
        <v>258</v>
      </c>
      <c r="C1133" s="71" t="s">
        <v>187</v>
      </c>
      <c r="D1133" s="71" t="s">
        <v>259</v>
      </c>
      <c r="E1133" s="71" t="s">
        <v>55</v>
      </c>
      <c r="F1133" s="71" t="s">
        <v>300</v>
      </c>
      <c r="G1133" s="88">
        <v>46272.691504629598</v>
      </c>
      <c r="H1133" s="89">
        <v>46272</v>
      </c>
      <c r="I1133" s="71" t="s">
        <v>310</v>
      </c>
      <c r="J1133" s="71">
        <v>0</v>
      </c>
      <c r="K1133" s="71" t="s">
        <v>302</v>
      </c>
      <c r="L1133" s="71">
        <f t="shared" si="153"/>
        <v>9</v>
      </c>
      <c r="M1133" s="71" t="str">
        <f>IFERROR(INDEX(KALENDER!$D$3:$D$132,MATCH(H1133,KALENDER!$A$3:$A$132,0)),"Di luar periode")</f>
        <v>Hari Kerja</v>
      </c>
      <c r="N1133" s="71">
        <f t="shared" si="154"/>
        <v>0</v>
      </c>
      <c r="O1133" s="71">
        <f t="shared" si="155"/>
        <v>1</v>
      </c>
      <c r="P1133" s="71">
        <f t="shared" si="156"/>
        <v>0</v>
      </c>
      <c r="Q1133" s="71">
        <f t="shared" si="157"/>
        <v>0</v>
      </c>
      <c r="R1133" s="71">
        <f t="shared" si="158"/>
        <v>0</v>
      </c>
      <c r="S1133" s="71">
        <f t="shared" si="159"/>
        <v>0</v>
      </c>
      <c r="T1133" s="71">
        <f t="shared" si="160"/>
        <v>0</v>
      </c>
      <c r="U1133" s="71">
        <f>IF(AND(N1133=1,V1133=1),IF(COUNTIFS(AKTIVITAS!$B$2:$B$3052,B1133,AKTIVITAS!$E$2:$E$3052,H1133)&gt;0,1,0),0)</f>
        <v>0</v>
      </c>
      <c r="V1133" s="71">
        <f>IFERROR(IF(AND(H1133&gt;=INDEX(PEMAGANG!$J$3:$J$36,MATCH(B1133,PEMAGANG!$C$3:$C$36,0)),H1133&lt;=INDEX(PEMAGANG!$K$3:$K$36,MATCH(B1133,PEMAGANG!$C$3:$C$36,0))),1,0),0)</f>
        <v>1</v>
      </c>
      <c r="W1133" s="71">
        <f t="shared" si="161"/>
        <v>0</v>
      </c>
    </row>
    <row r="1134" spans="1:23" x14ac:dyDescent="0.2">
      <c r="A1134" s="71" t="s">
        <v>257</v>
      </c>
      <c r="B1134" s="71" t="s">
        <v>258</v>
      </c>
      <c r="C1134" s="71" t="s">
        <v>187</v>
      </c>
      <c r="D1134" s="71" t="s">
        <v>259</v>
      </c>
      <c r="E1134" s="71" t="s">
        <v>55</v>
      </c>
      <c r="F1134" s="71" t="s">
        <v>298</v>
      </c>
      <c r="G1134" s="88">
        <v>46273.309016203697</v>
      </c>
      <c r="H1134" s="89">
        <v>46273</v>
      </c>
      <c r="I1134" s="71" t="s">
        <v>303</v>
      </c>
      <c r="J1134" s="71">
        <v>-36</v>
      </c>
      <c r="K1134" s="71" t="s">
        <v>302</v>
      </c>
      <c r="L1134" s="71">
        <f t="shared" si="153"/>
        <v>9</v>
      </c>
      <c r="M1134" s="71" t="str">
        <f>IFERROR(INDEX(KALENDER!$D$3:$D$132,MATCH(H1134,KALENDER!$A$3:$A$132,0)),"Di luar periode")</f>
        <v>Hari Kerja</v>
      </c>
      <c r="N1134" s="71">
        <f t="shared" si="154"/>
        <v>1</v>
      </c>
      <c r="O1134" s="71">
        <f t="shared" si="155"/>
        <v>1</v>
      </c>
      <c r="P1134" s="71">
        <f t="shared" si="156"/>
        <v>1</v>
      </c>
      <c r="Q1134" s="71">
        <f t="shared" si="157"/>
        <v>0</v>
      </c>
      <c r="R1134" s="71">
        <f t="shared" si="158"/>
        <v>0</v>
      </c>
      <c r="S1134" s="71">
        <f t="shared" si="159"/>
        <v>0</v>
      </c>
      <c r="T1134" s="71">
        <f t="shared" si="160"/>
        <v>0</v>
      </c>
      <c r="U1134" s="71">
        <f>IF(AND(N1134=1,V1134=1),IF(COUNTIFS(AKTIVITAS!$B$2:$B$3052,B1134,AKTIVITAS!$E$2:$E$3052,H1134)&gt;0,1,0),0)</f>
        <v>1</v>
      </c>
      <c r="V1134" s="71">
        <f>IFERROR(IF(AND(H1134&gt;=INDEX(PEMAGANG!$J$3:$J$36,MATCH(B1134,PEMAGANG!$C$3:$C$36,0)),H1134&lt;=INDEX(PEMAGANG!$K$3:$K$36,MATCH(B1134,PEMAGANG!$C$3:$C$36,0))),1,0),0)</f>
        <v>1</v>
      </c>
      <c r="W1134" s="71">
        <f t="shared" si="161"/>
        <v>1</v>
      </c>
    </row>
    <row r="1135" spans="1:23" x14ac:dyDescent="0.2">
      <c r="A1135" s="71" t="s">
        <v>257</v>
      </c>
      <c r="B1135" s="71" t="s">
        <v>258</v>
      </c>
      <c r="C1135" s="71" t="s">
        <v>187</v>
      </c>
      <c r="D1135" s="71" t="s">
        <v>259</v>
      </c>
      <c r="E1135" s="71" t="s">
        <v>55</v>
      </c>
      <c r="F1135" s="71" t="s">
        <v>300</v>
      </c>
      <c r="G1135" s="88">
        <v>46273.6906018519</v>
      </c>
      <c r="H1135" s="89">
        <v>46273</v>
      </c>
      <c r="I1135" s="71" t="s">
        <v>314</v>
      </c>
      <c r="J1135" s="71">
        <v>0</v>
      </c>
      <c r="K1135" s="71" t="s">
        <v>302</v>
      </c>
      <c r="L1135" s="71">
        <f t="shared" si="153"/>
        <v>9</v>
      </c>
      <c r="M1135" s="71" t="str">
        <f>IFERROR(INDEX(KALENDER!$D$3:$D$132,MATCH(H1135,KALENDER!$A$3:$A$132,0)),"Di luar periode")</f>
        <v>Hari Kerja</v>
      </c>
      <c r="N1135" s="71">
        <f t="shared" si="154"/>
        <v>0</v>
      </c>
      <c r="O1135" s="71">
        <f t="shared" si="155"/>
        <v>1</v>
      </c>
      <c r="P1135" s="71">
        <f t="shared" si="156"/>
        <v>0</v>
      </c>
      <c r="Q1135" s="71">
        <f t="shared" si="157"/>
        <v>0</v>
      </c>
      <c r="R1135" s="71">
        <f t="shared" si="158"/>
        <v>0</v>
      </c>
      <c r="S1135" s="71">
        <f t="shared" si="159"/>
        <v>0</v>
      </c>
      <c r="T1135" s="71">
        <f t="shared" si="160"/>
        <v>0</v>
      </c>
      <c r="U1135" s="71">
        <f>IF(AND(N1135=1,V1135=1),IF(COUNTIFS(AKTIVITAS!$B$2:$B$3052,B1135,AKTIVITAS!$E$2:$E$3052,H1135)&gt;0,1,0),0)</f>
        <v>0</v>
      </c>
      <c r="V1135" s="71">
        <f>IFERROR(IF(AND(H1135&gt;=INDEX(PEMAGANG!$J$3:$J$36,MATCH(B1135,PEMAGANG!$C$3:$C$36,0)),H1135&lt;=INDEX(PEMAGANG!$K$3:$K$36,MATCH(B1135,PEMAGANG!$C$3:$C$36,0))),1,0),0)</f>
        <v>1</v>
      </c>
      <c r="W1135" s="71">
        <f t="shared" si="161"/>
        <v>0</v>
      </c>
    </row>
    <row r="1136" spans="1:23" x14ac:dyDescent="0.2">
      <c r="A1136" s="71" t="s">
        <v>257</v>
      </c>
      <c r="B1136" s="71" t="s">
        <v>258</v>
      </c>
      <c r="C1136" s="71" t="s">
        <v>187</v>
      </c>
      <c r="D1136" s="71" t="s">
        <v>259</v>
      </c>
      <c r="E1136" s="71" t="s">
        <v>55</v>
      </c>
      <c r="F1136" s="71" t="s">
        <v>298</v>
      </c>
      <c r="G1136" s="88">
        <v>46274.283900463</v>
      </c>
      <c r="H1136" s="89">
        <v>46274</v>
      </c>
      <c r="I1136" s="71" t="s">
        <v>503</v>
      </c>
      <c r="J1136" s="71">
        <v>-72</v>
      </c>
      <c r="K1136" s="71" t="s">
        <v>302</v>
      </c>
      <c r="L1136" s="71">
        <f t="shared" si="153"/>
        <v>9</v>
      </c>
      <c r="M1136" s="71" t="str">
        <f>IFERROR(INDEX(KALENDER!$D$3:$D$132,MATCH(H1136,KALENDER!$A$3:$A$132,0)),"Di luar periode")</f>
        <v>Hari Kerja</v>
      </c>
      <c r="N1136" s="71">
        <f t="shared" si="154"/>
        <v>1</v>
      </c>
      <c r="O1136" s="71">
        <f t="shared" si="155"/>
        <v>1</v>
      </c>
      <c r="P1136" s="71">
        <f t="shared" si="156"/>
        <v>1</v>
      </c>
      <c r="Q1136" s="71">
        <f t="shared" si="157"/>
        <v>0</v>
      </c>
      <c r="R1136" s="71">
        <f t="shared" si="158"/>
        <v>0</v>
      </c>
      <c r="S1136" s="71">
        <f t="shared" si="159"/>
        <v>0</v>
      </c>
      <c r="T1136" s="71">
        <f t="shared" si="160"/>
        <v>0</v>
      </c>
      <c r="U1136" s="71">
        <f>IF(AND(N1136=1,V1136=1),IF(COUNTIFS(AKTIVITAS!$B$2:$B$3052,B1136,AKTIVITAS!$E$2:$E$3052,H1136)&gt;0,1,0),0)</f>
        <v>1</v>
      </c>
      <c r="V1136" s="71">
        <f>IFERROR(IF(AND(H1136&gt;=INDEX(PEMAGANG!$J$3:$J$36,MATCH(B1136,PEMAGANG!$C$3:$C$36,0)),H1136&lt;=INDEX(PEMAGANG!$K$3:$K$36,MATCH(B1136,PEMAGANG!$C$3:$C$36,0))),1,0),0)</f>
        <v>1</v>
      </c>
      <c r="W1136" s="71">
        <f t="shared" si="161"/>
        <v>1</v>
      </c>
    </row>
    <row r="1137" spans="1:23" x14ac:dyDescent="0.2">
      <c r="A1137" s="71" t="s">
        <v>257</v>
      </c>
      <c r="B1137" s="71" t="s">
        <v>258</v>
      </c>
      <c r="C1137" s="71" t="s">
        <v>187</v>
      </c>
      <c r="D1137" s="71" t="s">
        <v>259</v>
      </c>
      <c r="E1137" s="71" t="s">
        <v>55</v>
      </c>
      <c r="F1137" s="71" t="s">
        <v>300</v>
      </c>
      <c r="G1137" s="88">
        <v>46274.6882175926</v>
      </c>
      <c r="H1137" s="89">
        <v>46274</v>
      </c>
      <c r="I1137" s="71" t="s">
        <v>336</v>
      </c>
      <c r="J1137" s="71">
        <v>0</v>
      </c>
      <c r="K1137" s="71" t="s">
        <v>302</v>
      </c>
      <c r="L1137" s="71">
        <f t="shared" si="153"/>
        <v>9</v>
      </c>
      <c r="M1137" s="71" t="str">
        <f>IFERROR(INDEX(KALENDER!$D$3:$D$132,MATCH(H1137,KALENDER!$A$3:$A$132,0)),"Di luar periode")</f>
        <v>Hari Kerja</v>
      </c>
      <c r="N1137" s="71">
        <f t="shared" si="154"/>
        <v>0</v>
      </c>
      <c r="O1137" s="71">
        <f t="shared" si="155"/>
        <v>1</v>
      </c>
      <c r="P1137" s="71">
        <f t="shared" si="156"/>
        <v>0</v>
      </c>
      <c r="Q1137" s="71">
        <f t="shared" si="157"/>
        <v>0</v>
      </c>
      <c r="R1137" s="71">
        <f t="shared" si="158"/>
        <v>0</v>
      </c>
      <c r="S1137" s="71">
        <f t="shared" si="159"/>
        <v>0</v>
      </c>
      <c r="T1137" s="71">
        <f t="shared" si="160"/>
        <v>0</v>
      </c>
      <c r="U1137" s="71">
        <f>IF(AND(N1137=1,V1137=1),IF(COUNTIFS(AKTIVITAS!$B$2:$B$3052,B1137,AKTIVITAS!$E$2:$E$3052,H1137)&gt;0,1,0),0)</f>
        <v>0</v>
      </c>
      <c r="V1137" s="71">
        <f>IFERROR(IF(AND(H1137&gt;=INDEX(PEMAGANG!$J$3:$J$36,MATCH(B1137,PEMAGANG!$C$3:$C$36,0)),H1137&lt;=INDEX(PEMAGANG!$K$3:$K$36,MATCH(B1137,PEMAGANG!$C$3:$C$36,0))),1,0),0)</f>
        <v>1</v>
      </c>
      <c r="W1137" s="71">
        <f t="shared" si="161"/>
        <v>0</v>
      </c>
    </row>
    <row r="1138" spans="1:23" x14ac:dyDescent="0.2">
      <c r="A1138" s="71" t="s">
        <v>257</v>
      </c>
      <c r="B1138" s="71" t="s">
        <v>258</v>
      </c>
      <c r="C1138" s="71" t="s">
        <v>187</v>
      </c>
      <c r="D1138" s="71" t="s">
        <v>259</v>
      </c>
      <c r="E1138" s="71" t="s">
        <v>55</v>
      </c>
      <c r="F1138" s="71" t="s">
        <v>298</v>
      </c>
      <c r="G1138" s="88">
        <v>46275.279976851903</v>
      </c>
      <c r="H1138" s="89">
        <v>46275</v>
      </c>
      <c r="I1138" s="71" t="s">
        <v>499</v>
      </c>
      <c r="J1138" s="71">
        <v>-77</v>
      </c>
      <c r="K1138" s="71" t="s">
        <v>302</v>
      </c>
      <c r="L1138" s="71">
        <f t="shared" si="153"/>
        <v>9</v>
      </c>
      <c r="M1138" s="71" t="str">
        <f>IFERROR(INDEX(KALENDER!$D$3:$D$132,MATCH(H1138,KALENDER!$A$3:$A$132,0)),"Di luar periode")</f>
        <v>Hari Kerja</v>
      </c>
      <c r="N1138" s="71">
        <f t="shared" si="154"/>
        <v>1</v>
      </c>
      <c r="O1138" s="71">
        <f t="shared" si="155"/>
        <v>1</v>
      </c>
      <c r="P1138" s="71">
        <f t="shared" si="156"/>
        <v>1</v>
      </c>
      <c r="Q1138" s="71">
        <f t="shared" si="157"/>
        <v>0</v>
      </c>
      <c r="R1138" s="71">
        <f t="shared" si="158"/>
        <v>0</v>
      </c>
      <c r="S1138" s="71">
        <f t="shared" si="159"/>
        <v>0</v>
      </c>
      <c r="T1138" s="71">
        <f t="shared" si="160"/>
        <v>0</v>
      </c>
      <c r="U1138" s="71">
        <f>IF(AND(N1138=1,V1138=1),IF(COUNTIFS(AKTIVITAS!$B$2:$B$3052,B1138,AKTIVITAS!$E$2:$E$3052,H1138)&gt;0,1,0),0)</f>
        <v>1</v>
      </c>
      <c r="V1138" s="71">
        <f>IFERROR(IF(AND(H1138&gt;=INDEX(PEMAGANG!$J$3:$J$36,MATCH(B1138,PEMAGANG!$C$3:$C$36,0)),H1138&lt;=INDEX(PEMAGANG!$K$3:$K$36,MATCH(B1138,PEMAGANG!$C$3:$C$36,0))),1,0),0)</f>
        <v>1</v>
      </c>
      <c r="W1138" s="71">
        <f t="shared" si="161"/>
        <v>1</v>
      </c>
    </row>
    <row r="1139" spans="1:23" x14ac:dyDescent="0.2">
      <c r="A1139" s="71" t="s">
        <v>257</v>
      </c>
      <c r="B1139" s="71" t="s">
        <v>258</v>
      </c>
      <c r="C1139" s="71" t="s">
        <v>187</v>
      </c>
      <c r="D1139" s="71" t="s">
        <v>259</v>
      </c>
      <c r="E1139" s="71" t="s">
        <v>55</v>
      </c>
      <c r="F1139" s="71" t="s">
        <v>298</v>
      </c>
      <c r="G1139" s="88">
        <v>46275.279976851903</v>
      </c>
      <c r="H1139" s="89">
        <v>46275</v>
      </c>
      <c r="I1139" s="71" t="s">
        <v>499</v>
      </c>
      <c r="J1139" s="71">
        <v>-47</v>
      </c>
      <c r="K1139" s="71" t="s">
        <v>302</v>
      </c>
      <c r="L1139" s="71">
        <f t="shared" si="153"/>
        <v>9</v>
      </c>
      <c r="M1139" s="71" t="str">
        <f>IFERROR(INDEX(KALENDER!$D$3:$D$132,MATCH(H1139,KALENDER!$A$3:$A$132,0)),"Di luar periode")</f>
        <v>Hari Kerja</v>
      </c>
      <c r="N1139" s="71">
        <f t="shared" si="154"/>
        <v>0</v>
      </c>
      <c r="O1139" s="71">
        <f t="shared" si="155"/>
        <v>2</v>
      </c>
      <c r="P1139" s="71">
        <f t="shared" si="156"/>
        <v>0</v>
      </c>
      <c r="Q1139" s="71">
        <f t="shared" si="157"/>
        <v>0</v>
      </c>
      <c r="R1139" s="71">
        <f t="shared" si="158"/>
        <v>0</v>
      </c>
      <c r="S1139" s="71">
        <f t="shared" si="159"/>
        <v>0</v>
      </c>
      <c r="T1139" s="71">
        <f t="shared" si="160"/>
        <v>0</v>
      </c>
      <c r="U1139" s="71">
        <f>IF(AND(N1139=1,V1139=1),IF(COUNTIFS(AKTIVITAS!$B$2:$B$3052,B1139,AKTIVITAS!$E$2:$E$3052,H1139)&gt;0,1,0),0)</f>
        <v>0</v>
      </c>
      <c r="V1139" s="71">
        <f>IFERROR(IF(AND(H1139&gt;=INDEX(PEMAGANG!$J$3:$J$36,MATCH(B1139,PEMAGANG!$C$3:$C$36,0)),H1139&lt;=INDEX(PEMAGANG!$K$3:$K$36,MATCH(B1139,PEMAGANG!$C$3:$C$36,0))),1,0),0)</f>
        <v>1</v>
      </c>
      <c r="W1139" s="71">
        <f t="shared" si="161"/>
        <v>0</v>
      </c>
    </row>
    <row r="1140" spans="1:23" x14ac:dyDescent="0.2">
      <c r="A1140" s="71" t="s">
        <v>257</v>
      </c>
      <c r="B1140" s="71" t="s">
        <v>258</v>
      </c>
      <c r="C1140" s="71" t="s">
        <v>187</v>
      </c>
      <c r="D1140" s="71" t="s">
        <v>259</v>
      </c>
      <c r="E1140" s="71" t="s">
        <v>55</v>
      </c>
      <c r="F1140" s="71" t="s">
        <v>300</v>
      </c>
      <c r="G1140" s="88">
        <v>46275.687280092599</v>
      </c>
      <c r="H1140" s="89">
        <v>46275</v>
      </c>
      <c r="I1140" s="71" t="s">
        <v>507</v>
      </c>
      <c r="J1140" s="71">
        <v>0</v>
      </c>
      <c r="K1140" s="71" t="s">
        <v>302</v>
      </c>
      <c r="L1140" s="71">
        <f t="shared" si="153"/>
        <v>9</v>
      </c>
      <c r="M1140" s="71" t="str">
        <f>IFERROR(INDEX(KALENDER!$D$3:$D$132,MATCH(H1140,KALENDER!$A$3:$A$132,0)),"Di luar periode")</f>
        <v>Hari Kerja</v>
      </c>
      <c r="N1140" s="71">
        <f t="shared" si="154"/>
        <v>0</v>
      </c>
      <c r="O1140" s="71">
        <f t="shared" si="155"/>
        <v>2</v>
      </c>
      <c r="P1140" s="71">
        <f t="shared" si="156"/>
        <v>0</v>
      </c>
      <c r="Q1140" s="71">
        <f t="shared" si="157"/>
        <v>0</v>
      </c>
      <c r="R1140" s="71">
        <f t="shared" si="158"/>
        <v>0</v>
      </c>
      <c r="S1140" s="71">
        <f t="shared" si="159"/>
        <v>0</v>
      </c>
      <c r="T1140" s="71">
        <f t="shared" si="160"/>
        <v>0</v>
      </c>
      <c r="U1140" s="71">
        <f>IF(AND(N1140=1,V1140=1),IF(COUNTIFS(AKTIVITAS!$B$2:$B$3052,B1140,AKTIVITAS!$E$2:$E$3052,H1140)&gt;0,1,0),0)</f>
        <v>0</v>
      </c>
      <c r="V1140" s="71">
        <f>IFERROR(IF(AND(H1140&gt;=INDEX(PEMAGANG!$J$3:$J$36,MATCH(B1140,PEMAGANG!$C$3:$C$36,0)),H1140&lt;=INDEX(PEMAGANG!$K$3:$K$36,MATCH(B1140,PEMAGANG!$C$3:$C$36,0))),1,0),0)</f>
        <v>1</v>
      </c>
      <c r="W1140" s="71">
        <f t="shared" si="161"/>
        <v>0</v>
      </c>
    </row>
    <row r="1141" spans="1:23" x14ac:dyDescent="0.2">
      <c r="A1141" s="71" t="s">
        <v>257</v>
      </c>
      <c r="B1141" s="71" t="s">
        <v>258</v>
      </c>
      <c r="C1141" s="71" t="s">
        <v>187</v>
      </c>
      <c r="D1141" s="71" t="s">
        <v>259</v>
      </c>
      <c r="E1141" s="71" t="s">
        <v>55</v>
      </c>
      <c r="F1141" s="71" t="s">
        <v>298</v>
      </c>
      <c r="G1141" s="88">
        <v>46279.275590277801</v>
      </c>
      <c r="H1141" s="89">
        <v>46279</v>
      </c>
      <c r="I1141" s="71" t="s">
        <v>497</v>
      </c>
      <c r="J1141" s="71">
        <v>-54.000000000000099</v>
      </c>
      <c r="K1141" s="71" t="s">
        <v>302</v>
      </c>
      <c r="L1141" s="71">
        <f t="shared" si="153"/>
        <v>9</v>
      </c>
      <c r="M1141" s="71" t="str">
        <f>IFERROR(INDEX(KALENDER!$D$3:$D$132,MATCH(H1141,KALENDER!$A$3:$A$132,0)),"Di luar periode")</f>
        <v>Hari Kerja</v>
      </c>
      <c r="N1141" s="71">
        <f t="shared" si="154"/>
        <v>1</v>
      </c>
      <c r="O1141" s="71">
        <f t="shared" si="155"/>
        <v>1</v>
      </c>
      <c r="P1141" s="71">
        <f t="shared" si="156"/>
        <v>1</v>
      </c>
      <c r="Q1141" s="71">
        <f t="shared" si="157"/>
        <v>0</v>
      </c>
      <c r="R1141" s="71">
        <f t="shared" si="158"/>
        <v>0</v>
      </c>
      <c r="S1141" s="71">
        <f t="shared" si="159"/>
        <v>0</v>
      </c>
      <c r="T1141" s="71">
        <f t="shared" si="160"/>
        <v>0</v>
      </c>
      <c r="U1141" s="71">
        <f>IF(AND(N1141=1,V1141=1),IF(COUNTIFS(AKTIVITAS!$B$2:$B$3052,B1141,AKTIVITAS!$E$2:$E$3052,H1141)&gt;0,1,0),0)</f>
        <v>1</v>
      </c>
      <c r="V1141" s="71">
        <f>IFERROR(IF(AND(H1141&gt;=INDEX(PEMAGANG!$J$3:$J$36,MATCH(B1141,PEMAGANG!$C$3:$C$36,0)),H1141&lt;=INDEX(PEMAGANG!$K$3:$K$36,MATCH(B1141,PEMAGANG!$C$3:$C$36,0))),1,0),0)</f>
        <v>1</v>
      </c>
      <c r="W1141" s="71">
        <f t="shared" si="161"/>
        <v>1</v>
      </c>
    </row>
    <row r="1142" spans="1:23" x14ac:dyDescent="0.2">
      <c r="A1142" s="71" t="s">
        <v>257</v>
      </c>
      <c r="B1142" s="71" t="s">
        <v>258</v>
      </c>
      <c r="C1142" s="71" t="s">
        <v>187</v>
      </c>
      <c r="D1142" s="71" t="s">
        <v>259</v>
      </c>
      <c r="E1142" s="71" t="s">
        <v>55</v>
      </c>
      <c r="F1142" s="71" t="s">
        <v>300</v>
      </c>
      <c r="G1142" s="88">
        <v>46279.690578703703</v>
      </c>
      <c r="H1142" s="89">
        <v>46279</v>
      </c>
      <c r="I1142" s="71" t="s">
        <v>314</v>
      </c>
      <c r="J1142" s="71">
        <v>0</v>
      </c>
      <c r="K1142" s="71" t="s">
        <v>302</v>
      </c>
      <c r="L1142" s="71">
        <f t="shared" si="153"/>
        <v>9</v>
      </c>
      <c r="M1142" s="71" t="str">
        <f>IFERROR(INDEX(KALENDER!$D$3:$D$132,MATCH(H1142,KALENDER!$A$3:$A$132,0)),"Di luar periode")</f>
        <v>Hari Kerja</v>
      </c>
      <c r="N1142" s="71">
        <f t="shared" si="154"/>
        <v>0</v>
      </c>
      <c r="O1142" s="71">
        <f t="shared" si="155"/>
        <v>1</v>
      </c>
      <c r="P1142" s="71">
        <f t="shared" si="156"/>
        <v>0</v>
      </c>
      <c r="Q1142" s="71">
        <f t="shared" si="157"/>
        <v>0</v>
      </c>
      <c r="R1142" s="71">
        <f t="shared" si="158"/>
        <v>0</v>
      </c>
      <c r="S1142" s="71">
        <f t="shared" si="159"/>
        <v>0</v>
      </c>
      <c r="T1142" s="71">
        <f t="shared" si="160"/>
        <v>0</v>
      </c>
      <c r="U1142" s="71">
        <f>IF(AND(N1142=1,V1142=1),IF(COUNTIFS(AKTIVITAS!$B$2:$B$3052,B1142,AKTIVITAS!$E$2:$E$3052,H1142)&gt;0,1,0),0)</f>
        <v>0</v>
      </c>
      <c r="V1142" s="71">
        <f>IFERROR(IF(AND(H1142&gt;=INDEX(PEMAGANG!$J$3:$J$36,MATCH(B1142,PEMAGANG!$C$3:$C$36,0)),H1142&lt;=INDEX(PEMAGANG!$K$3:$K$36,MATCH(B1142,PEMAGANG!$C$3:$C$36,0))),1,0),0)</f>
        <v>1</v>
      </c>
      <c r="W1142" s="71">
        <f t="shared" si="161"/>
        <v>0</v>
      </c>
    </row>
    <row r="1143" spans="1:23" x14ac:dyDescent="0.2">
      <c r="A1143" s="71" t="s">
        <v>257</v>
      </c>
      <c r="B1143" s="71" t="s">
        <v>258</v>
      </c>
      <c r="C1143" s="71" t="s">
        <v>187</v>
      </c>
      <c r="D1143" s="71" t="s">
        <v>259</v>
      </c>
      <c r="E1143" s="71" t="s">
        <v>55</v>
      </c>
      <c r="F1143" s="71" t="s">
        <v>298</v>
      </c>
      <c r="G1143" s="88">
        <v>46280.275625000002</v>
      </c>
      <c r="H1143" s="89">
        <v>46280</v>
      </c>
      <c r="I1143" s="71" t="s">
        <v>497</v>
      </c>
      <c r="J1143" s="71">
        <v>-54.000000000000099</v>
      </c>
      <c r="K1143" s="71" t="s">
        <v>302</v>
      </c>
      <c r="L1143" s="71">
        <f t="shared" si="153"/>
        <v>9</v>
      </c>
      <c r="M1143" s="71" t="str">
        <f>IFERROR(INDEX(KALENDER!$D$3:$D$132,MATCH(H1143,KALENDER!$A$3:$A$132,0)),"Di luar periode")</f>
        <v>Hari Kerja</v>
      </c>
      <c r="N1143" s="71">
        <f t="shared" si="154"/>
        <v>1</v>
      </c>
      <c r="O1143" s="71">
        <f t="shared" si="155"/>
        <v>1</v>
      </c>
      <c r="P1143" s="71">
        <f t="shared" si="156"/>
        <v>1</v>
      </c>
      <c r="Q1143" s="71">
        <f t="shared" si="157"/>
        <v>0</v>
      </c>
      <c r="R1143" s="71">
        <f t="shared" si="158"/>
        <v>0</v>
      </c>
      <c r="S1143" s="71">
        <f t="shared" si="159"/>
        <v>0</v>
      </c>
      <c r="T1143" s="71">
        <f t="shared" si="160"/>
        <v>0</v>
      </c>
      <c r="U1143" s="71">
        <f>IF(AND(N1143=1,V1143=1),IF(COUNTIFS(AKTIVITAS!$B$2:$B$3052,B1143,AKTIVITAS!$E$2:$E$3052,H1143)&gt;0,1,0),0)</f>
        <v>1</v>
      </c>
      <c r="V1143" s="71">
        <f>IFERROR(IF(AND(H1143&gt;=INDEX(PEMAGANG!$J$3:$J$36,MATCH(B1143,PEMAGANG!$C$3:$C$36,0)),H1143&lt;=INDEX(PEMAGANG!$K$3:$K$36,MATCH(B1143,PEMAGANG!$C$3:$C$36,0))),1,0),0)</f>
        <v>1</v>
      </c>
      <c r="W1143" s="71">
        <f t="shared" si="161"/>
        <v>1</v>
      </c>
    </row>
    <row r="1144" spans="1:23" x14ac:dyDescent="0.2">
      <c r="A1144" s="71" t="s">
        <v>257</v>
      </c>
      <c r="B1144" s="71" t="s">
        <v>258</v>
      </c>
      <c r="C1144" s="71" t="s">
        <v>187</v>
      </c>
      <c r="D1144" s="71" t="s">
        <v>259</v>
      </c>
      <c r="E1144" s="71" t="s">
        <v>55</v>
      </c>
      <c r="F1144" s="71" t="s">
        <v>300</v>
      </c>
      <c r="G1144" s="88">
        <v>46280.693356481497</v>
      </c>
      <c r="H1144" s="89">
        <v>46280</v>
      </c>
      <c r="I1144" s="71" t="s">
        <v>317</v>
      </c>
      <c r="J1144" s="71">
        <v>0</v>
      </c>
      <c r="K1144" s="71" t="s">
        <v>302</v>
      </c>
      <c r="L1144" s="71">
        <f t="shared" si="153"/>
        <v>9</v>
      </c>
      <c r="M1144" s="71" t="str">
        <f>IFERROR(INDEX(KALENDER!$D$3:$D$132,MATCH(H1144,KALENDER!$A$3:$A$132,0)),"Di luar periode")</f>
        <v>Hari Kerja</v>
      </c>
      <c r="N1144" s="71">
        <f t="shared" si="154"/>
        <v>0</v>
      </c>
      <c r="O1144" s="71">
        <f t="shared" si="155"/>
        <v>1</v>
      </c>
      <c r="P1144" s="71">
        <f t="shared" si="156"/>
        <v>0</v>
      </c>
      <c r="Q1144" s="71">
        <f t="shared" si="157"/>
        <v>0</v>
      </c>
      <c r="R1144" s="71">
        <f t="shared" si="158"/>
        <v>0</v>
      </c>
      <c r="S1144" s="71">
        <f t="shared" si="159"/>
        <v>0</v>
      </c>
      <c r="T1144" s="71">
        <f t="shared" si="160"/>
        <v>0</v>
      </c>
      <c r="U1144" s="71">
        <f>IF(AND(N1144=1,V1144=1),IF(COUNTIFS(AKTIVITAS!$B$2:$B$3052,B1144,AKTIVITAS!$E$2:$E$3052,H1144)&gt;0,1,0),0)</f>
        <v>0</v>
      </c>
      <c r="V1144" s="71">
        <f>IFERROR(IF(AND(H1144&gt;=INDEX(PEMAGANG!$J$3:$J$36,MATCH(B1144,PEMAGANG!$C$3:$C$36,0)),H1144&lt;=INDEX(PEMAGANG!$K$3:$K$36,MATCH(B1144,PEMAGANG!$C$3:$C$36,0))),1,0),0)</f>
        <v>1</v>
      </c>
      <c r="W1144" s="71">
        <f t="shared" si="161"/>
        <v>0</v>
      </c>
    </row>
    <row r="1145" spans="1:23" x14ac:dyDescent="0.2">
      <c r="A1145" s="71" t="s">
        <v>257</v>
      </c>
      <c r="B1145" s="71" t="s">
        <v>258</v>
      </c>
      <c r="C1145" s="71" t="s">
        <v>187</v>
      </c>
      <c r="D1145" s="71" t="s">
        <v>259</v>
      </c>
      <c r="E1145" s="71" t="s">
        <v>55</v>
      </c>
      <c r="F1145" s="71" t="s">
        <v>298</v>
      </c>
      <c r="G1145" s="88">
        <v>46281.277951388904</v>
      </c>
      <c r="H1145" s="89">
        <v>46281</v>
      </c>
      <c r="I1145" s="71" t="s">
        <v>484</v>
      </c>
      <c r="J1145" s="71">
        <v>-50</v>
      </c>
      <c r="K1145" s="71" t="s">
        <v>302</v>
      </c>
      <c r="L1145" s="71">
        <f t="shared" si="153"/>
        <v>9</v>
      </c>
      <c r="M1145" s="71" t="str">
        <f>IFERROR(INDEX(KALENDER!$D$3:$D$132,MATCH(H1145,KALENDER!$A$3:$A$132,0)),"Di luar periode")</f>
        <v>Hari Kerja</v>
      </c>
      <c r="N1145" s="71">
        <f t="shared" si="154"/>
        <v>1</v>
      </c>
      <c r="O1145" s="71">
        <f t="shared" si="155"/>
        <v>1</v>
      </c>
      <c r="P1145" s="71">
        <f t="shared" si="156"/>
        <v>1</v>
      </c>
      <c r="Q1145" s="71">
        <f t="shared" si="157"/>
        <v>0</v>
      </c>
      <c r="R1145" s="71">
        <f t="shared" si="158"/>
        <v>0</v>
      </c>
      <c r="S1145" s="71">
        <f t="shared" si="159"/>
        <v>0</v>
      </c>
      <c r="T1145" s="71">
        <f t="shared" si="160"/>
        <v>0</v>
      </c>
      <c r="U1145" s="71">
        <f>IF(AND(N1145=1,V1145=1),IF(COUNTIFS(AKTIVITAS!$B$2:$B$3052,B1145,AKTIVITAS!$E$2:$E$3052,H1145)&gt;0,1,0),0)</f>
        <v>1</v>
      </c>
      <c r="V1145" s="71">
        <f>IFERROR(IF(AND(H1145&gt;=INDEX(PEMAGANG!$J$3:$J$36,MATCH(B1145,PEMAGANG!$C$3:$C$36,0)),H1145&lt;=INDEX(PEMAGANG!$K$3:$K$36,MATCH(B1145,PEMAGANG!$C$3:$C$36,0))),1,0),0)</f>
        <v>1</v>
      </c>
      <c r="W1145" s="71">
        <f t="shared" si="161"/>
        <v>1</v>
      </c>
    </row>
    <row r="1146" spans="1:23" x14ac:dyDescent="0.2">
      <c r="A1146" s="71" t="s">
        <v>257</v>
      </c>
      <c r="B1146" s="71" t="s">
        <v>258</v>
      </c>
      <c r="C1146" s="71" t="s">
        <v>187</v>
      </c>
      <c r="D1146" s="71" t="s">
        <v>259</v>
      </c>
      <c r="E1146" s="71" t="s">
        <v>55</v>
      </c>
      <c r="F1146" s="71" t="s">
        <v>300</v>
      </c>
      <c r="G1146" s="88">
        <v>46281.690439814804</v>
      </c>
      <c r="H1146" s="89">
        <v>46281</v>
      </c>
      <c r="I1146" s="71" t="s">
        <v>314</v>
      </c>
      <c r="J1146" s="71">
        <v>0</v>
      </c>
      <c r="K1146" s="71" t="s">
        <v>302</v>
      </c>
      <c r="L1146" s="71">
        <f t="shared" si="153"/>
        <v>9</v>
      </c>
      <c r="M1146" s="71" t="str">
        <f>IFERROR(INDEX(KALENDER!$D$3:$D$132,MATCH(H1146,KALENDER!$A$3:$A$132,0)),"Di luar periode")</f>
        <v>Hari Kerja</v>
      </c>
      <c r="N1146" s="71">
        <f t="shared" si="154"/>
        <v>0</v>
      </c>
      <c r="O1146" s="71">
        <f t="shared" si="155"/>
        <v>1</v>
      </c>
      <c r="P1146" s="71">
        <f t="shared" si="156"/>
        <v>0</v>
      </c>
      <c r="Q1146" s="71">
        <f t="shared" si="157"/>
        <v>0</v>
      </c>
      <c r="R1146" s="71">
        <f t="shared" si="158"/>
        <v>0</v>
      </c>
      <c r="S1146" s="71">
        <f t="shared" si="159"/>
        <v>0</v>
      </c>
      <c r="T1146" s="71">
        <f t="shared" si="160"/>
        <v>0</v>
      </c>
      <c r="U1146" s="71">
        <f>IF(AND(N1146=1,V1146=1),IF(COUNTIFS(AKTIVITAS!$B$2:$B$3052,B1146,AKTIVITAS!$E$2:$E$3052,H1146)&gt;0,1,0),0)</f>
        <v>0</v>
      </c>
      <c r="V1146" s="71">
        <f>IFERROR(IF(AND(H1146&gt;=INDEX(PEMAGANG!$J$3:$J$36,MATCH(B1146,PEMAGANG!$C$3:$C$36,0)),H1146&lt;=INDEX(PEMAGANG!$K$3:$K$36,MATCH(B1146,PEMAGANG!$C$3:$C$36,0))),1,0),0)</f>
        <v>1</v>
      </c>
      <c r="W1146" s="71">
        <f t="shared" si="161"/>
        <v>0</v>
      </c>
    </row>
    <row r="1147" spans="1:23" x14ac:dyDescent="0.2">
      <c r="A1147" s="71" t="s">
        <v>257</v>
      </c>
      <c r="B1147" s="71" t="s">
        <v>258</v>
      </c>
      <c r="C1147" s="71" t="s">
        <v>187</v>
      </c>
      <c r="D1147" s="71" t="s">
        <v>259</v>
      </c>
      <c r="E1147" s="71" t="s">
        <v>55</v>
      </c>
      <c r="F1147" s="71" t="s">
        <v>298</v>
      </c>
      <c r="G1147" s="88">
        <v>46282.311701388899</v>
      </c>
      <c r="H1147" s="89">
        <v>46282</v>
      </c>
      <c r="I1147" s="71" t="s">
        <v>377</v>
      </c>
      <c r="J1147" s="71">
        <v>-1.99999999999999</v>
      </c>
      <c r="K1147" s="71" t="s">
        <v>302</v>
      </c>
      <c r="L1147" s="71">
        <f t="shared" si="153"/>
        <v>9</v>
      </c>
      <c r="M1147" s="71" t="str">
        <f>IFERROR(INDEX(KALENDER!$D$3:$D$132,MATCH(H1147,KALENDER!$A$3:$A$132,0)),"Di luar periode")</f>
        <v>Hari Kerja</v>
      </c>
      <c r="N1147" s="71">
        <f t="shared" si="154"/>
        <v>1</v>
      </c>
      <c r="O1147" s="71">
        <f t="shared" si="155"/>
        <v>1</v>
      </c>
      <c r="P1147" s="71">
        <f t="shared" si="156"/>
        <v>1</v>
      </c>
      <c r="Q1147" s="71">
        <f t="shared" si="157"/>
        <v>0</v>
      </c>
      <c r="R1147" s="71">
        <f t="shared" si="158"/>
        <v>0</v>
      </c>
      <c r="S1147" s="71">
        <f t="shared" si="159"/>
        <v>0</v>
      </c>
      <c r="T1147" s="71">
        <f t="shared" si="160"/>
        <v>0</v>
      </c>
      <c r="U1147" s="71">
        <f>IF(AND(N1147=1,V1147=1),IF(COUNTIFS(AKTIVITAS!$B$2:$B$3052,B1147,AKTIVITAS!$E$2:$E$3052,H1147)&gt;0,1,0),0)</f>
        <v>1</v>
      </c>
      <c r="V1147" s="71">
        <f>IFERROR(IF(AND(H1147&gt;=INDEX(PEMAGANG!$J$3:$J$36,MATCH(B1147,PEMAGANG!$C$3:$C$36,0)),H1147&lt;=INDEX(PEMAGANG!$K$3:$K$36,MATCH(B1147,PEMAGANG!$C$3:$C$36,0))),1,0),0)</f>
        <v>1</v>
      </c>
      <c r="W1147" s="71">
        <f t="shared" si="161"/>
        <v>1</v>
      </c>
    </row>
    <row r="1148" spans="1:23" x14ac:dyDescent="0.2">
      <c r="A1148" s="71" t="s">
        <v>257</v>
      </c>
      <c r="B1148" s="71" t="s">
        <v>258</v>
      </c>
      <c r="C1148" s="71" t="s">
        <v>187</v>
      </c>
      <c r="D1148" s="71" t="s">
        <v>259</v>
      </c>
      <c r="E1148" s="71" t="s">
        <v>55</v>
      </c>
      <c r="F1148" s="71" t="s">
        <v>300</v>
      </c>
      <c r="G1148" s="88">
        <v>46282.688958333303</v>
      </c>
      <c r="H1148" s="89">
        <v>46282</v>
      </c>
      <c r="I1148" s="71" t="s">
        <v>306</v>
      </c>
      <c r="J1148" s="71">
        <v>0</v>
      </c>
      <c r="K1148" s="71" t="s">
        <v>302</v>
      </c>
      <c r="L1148" s="71">
        <f t="shared" si="153"/>
        <v>9</v>
      </c>
      <c r="M1148" s="71" t="str">
        <f>IFERROR(INDEX(KALENDER!$D$3:$D$132,MATCH(H1148,KALENDER!$A$3:$A$132,0)),"Di luar periode")</f>
        <v>Hari Kerja</v>
      </c>
      <c r="N1148" s="71">
        <f t="shared" si="154"/>
        <v>0</v>
      </c>
      <c r="O1148" s="71">
        <f t="shared" si="155"/>
        <v>1</v>
      </c>
      <c r="P1148" s="71">
        <f t="shared" si="156"/>
        <v>0</v>
      </c>
      <c r="Q1148" s="71">
        <f t="shared" si="157"/>
        <v>0</v>
      </c>
      <c r="R1148" s="71">
        <f t="shared" si="158"/>
        <v>0</v>
      </c>
      <c r="S1148" s="71">
        <f t="shared" si="159"/>
        <v>0</v>
      </c>
      <c r="T1148" s="71">
        <f t="shared" si="160"/>
        <v>0</v>
      </c>
      <c r="U1148" s="71">
        <f>IF(AND(N1148=1,V1148=1),IF(COUNTIFS(AKTIVITAS!$B$2:$B$3052,B1148,AKTIVITAS!$E$2:$E$3052,H1148)&gt;0,1,0),0)</f>
        <v>0</v>
      </c>
      <c r="V1148" s="71">
        <f>IFERROR(IF(AND(H1148&gt;=INDEX(PEMAGANG!$J$3:$J$36,MATCH(B1148,PEMAGANG!$C$3:$C$36,0)),H1148&lt;=INDEX(PEMAGANG!$K$3:$K$36,MATCH(B1148,PEMAGANG!$C$3:$C$36,0))),1,0),0)</f>
        <v>1</v>
      </c>
      <c r="W1148" s="71">
        <f t="shared" si="161"/>
        <v>0</v>
      </c>
    </row>
    <row r="1149" spans="1:23" x14ac:dyDescent="0.2">
      <c r="A1149" s="71" t="s">
        <v>257</v>
      </c>
      <c r="B1149" s="71" t="s">
        <v>258</v>
      </c>
      <c r="C1149" s="71" t="s">
        <v>187</v>
      </c>
      <c r="D1149" s="71" t="s">
        <v>259</v>
      </c>
      <c r="E1149" s="71" t="s">
        <v>55</v>
      </c>
      <c r="F1149" s="71" t="s">
        <v>298</v>
      </c>
      <c r="G1149" s="88">
        <v>46283.288425925901</v>
      </c>
      <c r="H1149" s="89">
        <v>46283</v>
      </c>
      <c r="I1149" s="71" t="s">
        <v>353</v>
      </c>
      <c r="J1149" s="71">
        <v>-35</v>
      </c>
      <c r="K1149" s="71" t="s">
        <v>302</v>
      </c>
      <c r="L1149" s="71">
        <f t="shared" si="153"/>
        <v>9</v>
      </c>
      <c r="M1149" s="71" t="str">
        <f>IFERROR(INDEX(KALENDER!$D$3:$D$132,MATCH(H1149,KALENDER!$A$3:$A$132,0)),"Di luar periode")</f>
        <v>Hari Kerja</v>
      </c>
      <c r="N1149" s="71">
        <f t="shared" si="154"/>
        <v>1</v>
      </c>
      <c r="O1149" s="71">
        <f t="shared" si="155"/>
        <v>1</v>
      </c>
      <c r="P1149" s="71">
        <f t="shared" si="156"/>
        <v>1</v>
      </c>
      <c r="Q1149" s="71">
        <f t="shared" si="157"/>
        <v>0</v>
      </c>
      <c r="R1149" s="71">
        <f t="shared" si="158"/>
        <v>0</v>
      </c>
      <c r="S1149" s="71">
        <f t="shared" si="159"/>
        <v>0</v>
      </c>
      <c r="T1149" s="71">
        <f t="shared" si="160"/>
        <v>1</v>
      </c>
      <c r="U1149" s="71">
        <f>IF(AND(N1149=1,V1149=1),IF(COUNTIFS(AKTIVITAS!$B$2:$B$3052,B1149,AKTIVITAS!$E$2:$E$3052,H1149)&gt;0,1,0),0)</f>
        <v>1</v>
      </c>
      <c r="V1149" s="71">
        <f>IFERROR(IF(AND(H1149&gt;=INDEX(PEMAGANG!$J$3:$J$36,MATCH(B1149,PEMAGANG!$C$3:$C$36,0)),H1149&lt;=INDEX(PEMAGANG!$K$3:$K$36,MATCH(B1149,PEMAGANG!$C$3:$C$36,0))),1,0),0)</f>
        <v>1</v>
      </c>
      <c r="W1149" s="71">
        <f t="shared" si="161"/>
        <v>1</v>
      </c>
    </row>
    <row r="1150" spans="1:23" x14ac:dyDescent="0.2">
      <c r="A1150" s="71" t="s">
        <v>257</v>
      </c>
      <c r="B1150" s="71" t="s">
        <v>258</v>
      </c>
      <c r="C1150" s="71" t="s">
        <v>187</v>
      </c>
      <c r="D1150" s="71" t="s">
        <v>259</v>
      </c>
      <c r="E1150" s="71" t="s">
        <v>55</v>
      </c>
      <c r="F1150" s="71" t="s">
        <v>298</v>
      </c>
      <c r="G1150" s="88">
        <v>46286.279780092598</v>
      </c>
      <c r="H1150" s="89">
        <v>46286</v>
      </c>
      <c r="I1150" s="71" t="s">
        <v>495</v>
      </c>
      <c r="J1150" s="71">
        <v>-48</v>
      </c>
      <c r="K1150" s="71" t="s">
        <v>302</v>
      </c>
      <c r="L1150" s="71">
        <f t="shared" si="153"/>
        <v>9</v>
      </c>
      <c r="M1150" s="71" t="str">
        <f>IFERROR(INDEX(KALENDER!$D$3:$D$132,MATCH(H1150,KALENDER!$A$3:$A$132,0)),"Di luar periode")</f>
        <v>Hari Kerja</v>
      </c>
      <c r="N1150" s="71">
        <f t="shared" si="154"/>
        <v>1</v>
      </c>
      <c r="O1150" s="71">
        <f t="shared" si="155"/>
        <v>1</v>
      </c>
      <c r="P1150" s="71">
        <f t="shared" si="156"/>
        <v>1</v>
      </c>
      <c r="Q1150" s="71">
        <f t="shared" si="157"/>
        <v>0</v>
      </c>
      <c r="R1150" s="71">
        <f t="shared" si="158"/>
        <v>0</v>
      </c>
      <c r="S1150" s="71">
        <f t="shared" si="159"/>
        <v>0</v>
      </c>
      <c r="T1150" s="71">
        <f t="shared" si="160"/>
        <v>0</v>
      </c>
      <c r="U1150" s="71">
        <f>IF(AND(N1150=1,V1150=1),IF(COUNTIFS(AKTIVITAS!$B$2:$B$3052,B1150,AKTIVITAS!$E$2:$E$3052,H1150)&gt;0,1,0),0)</f>
        <v>1</v>
      </c>
      <c r="V1150" s="71">
        <f>IFERROR(IF(AND(H1150&gt;=INDEX(PEMAGANG!$J$3:$J$36,MATCH(B1150,PEMAGANG!$C$3:$C$36,0)),H1150&lt;=INDEX(PEMAGANG!$K$3:$K$36,MATCH(B1150,PEMAGANG!$C$3:$C$36,0))),1,0),0)</f>
        <v>1</v>
      </c>
      <c r="W1150" s="71">
        <f t="shared" si="161"/>
        <v>1</v>
      </c>
    </row>
    <row r="1151" spans="1:23" x14ac:dyDescent="0.2">
      <c r="A1151" s="71" t="s">
        <v>257</v>
      </c>
      <c r="B1151" s="71" t="s">
        <v>258</v>
      </c>
      <c r="C1151" s="71" t="s">
        <v>187</v>
      </c>
      <c r="D1151" s="71" t="s">
        <v>259</v>
      </c>
      <c r="E1151" s="71" t="s">
        <v>55</v>
      </c>
      <c r="F1151" s="71" t="s">
        <v>300</v>
      </c>
      <c r="G1151" s="88">
        <v>46286.689872685201</v>
      </c>
      <c r="H1151" s="89">
        <v>46286</v>
      </c>
      <c r="I1151" s="71" t="s">
        <v>316</v>
      </c>
      <c r="J1151" s="71">
        <v>0</v>
      </c>
      <c r="K1151" s="71" t="s">
        <v>302</v>
      </c>
      <c r="L1151" s="71">
        <f t="shared" si="153"/>
        <v>9</v>
      </c>
      <c r="M1151" s="71" t="str">
        <f>IFERROR(INDEX(KALENDER!$D$3:$D$132,MATCH(H1151,KALENDER!$A$3:$A$132,0)),"Di luar periode")</f>
        <v>Hari Kerja</v>
      </c>
      <c r="N1151" s="71">
        <f t="shared" si="154"/>
        <v>0</v>
      </c>
      <c r="O1151" s="71">
        <f t="shared" si="155"/>
        <v>1</v>
      </c>
      <c r="P1151" s="71">
        <f t="shared" si="156"/>
        <v>0</v>
      </c>
      <c r="Q1151" s="71">
        <f t="shared" si="157"/>
        <v>0</v>
      </c>
      <c r="R1151" s="71">
        <f t="shared" si="158"/>
        <v>0</v>
      </c>
      <c r="S1151" s="71">
        <f t="shared" si="159"/>
        <v>0</v>
      </c>
      <c r="T1151" s="71">
        <f t="shared" si="160"/>
        <v>0</v>
      </c>
      <c r="U1151" s="71">
        <f>IF(AND(N1151=1,V1151=1),IF(COUNTIFS(AKTIVITAS!$B$2:$B$3052,B1151,AKTIVITAS!$E$2:$E$3052,H1151)&gt;0,1,0),0)</f>
        <v>0</v>
      </c>
      <c r="V1151" s="71">
        <f>IFERROR(IF(AND(H1151&gt;=INDEX(PEMAGANG!$J$3:$J$36,MATCH(B1151,PEMAGANG!$C$3:$C$36,0)),H1151&lt;=INDEX(PEMAGANG!$K$3:$K$36,MATCH(B1151,PEMAGANG!$C$3:$C$36,0))),1,0),0)</f>
        <v>1</v>
      </c>
      <c r="W1151" s="71">
        <f t="shared" si="161"/>
        <v>0</v>
      </c>
    </row>
    <row r="1152" spans="1:23" x14ac:dyDescent="0.2">
      <c r="A1152" s="71" t="s">
        <v>257</v>
      </c>
      <c r="B1152" s="71" t="s">
        <v>258</v>
      </c>
      <c r="C1152" s="71" t="s">
        <v>187</v>
      </c>
      <c r="D1152" s="71" t="s">
        <v>259</v>
      </c>
      <c r="E1152" s="71" t="s">
        <v>55</v>
      </c>
      <c r="F1152" s="71" t="s">
        <v>298</v>
      </c>
      <c r="G1152" s="88">
        <v>46287.267893518503</v>
      </c>
      <c r="H1152" s="89">
        <v>46287</v>
      </c>
      <c r="I1152" s="71" t="s">
        <v>425</v>
      </c>
      <c r="J1152" s="71">
        <v>-65</v>
      </c>
      <c r="K1152" s="71" t="s">
        <v>302</v>
      </c>
      <c r="L1152" s="71">
        <f t="shared" si="153"/>
        <v>9</v>
      </c>
      <c r="M1152" s="71" t="str">
        <f>IFERROR(INDEX(KALENDER!$D$3:$D$132,MATCH(H1152,KALENDER!$A$3:$A$132,0)),"Di luar periode")</f>
        <v>Hari Kerja</v>
      </c>
      <c r="N1152" s="71">
        <f t="shared" si="154"/>
        <v>1</v>
      </c>
      <c r="O1152" s="71">
        <f t="shared" si="155"/>
        <v>1</v>
      </c>
      <c r="P1152" s="71">
        <f t="shared" si="156"/>
        <v>1</v>
      </c>
      <c r="Q1152" s="71">
        <f t="shared" si="157"/>
        <v>0</v>
      </c>
      <c r="R1152" s="71">
        <f t="shared" si="158"/>
        <v>0</v>
      </c>
      <c r="S1152" s="71">
        <f t="shared" si="159"/>
        <v>0</v>
      </c>
      <c r="T1152" s="71">
        <f t="shared" si="160"/>
        <v>0</v>
      </c>
      <c r="U1152" s="71">
        <f>IF(AND(N1152=1,V1152=1),IF(COUNTIFS(AKTIVITAS!$B$2:$B$3052,B1152,AKTIVITAS!$E$2:$E$3052,H1152)&gt;0,1,0),0)</f>
        <v>1</v>
      </c>
      <c r="V1152" s="71">
        <f>IFERROR(IF(AND(H1152&gt;=INDEX(PEMAGANG!$J$3:$J$36,MATCH(B1152,PEMAGANG!$C$3:$C$36,0)),H1152&lt;=INDEX(PEMAGANG!$K$3:$K$36,MATCH(B1152,PEMAGANG!$C$3:$C$36,0))),1,0),0)</f>
        <v>1</v>
      </c>
      <c r="W1152" s="71">
        <f t="shared" si="161"/>
        <v>1</v>
      </c>
    </row>
    <row r="1153" spans="1:23" x14ac:dyDescent="0.2">
      <c r="A1153" s="71" t="s">
        <v>257</v>
      </c>
      <c r="B1153" s="71" t="s">
        <v>258</v>
      </c>
      <c r="C1153" s="71" t="s">
        <v>187</v>
      </c>
      <c r="D1153" s="71" t="s">
        <v>259</v>
      </c>
      <c r="E1153" s="71" t="s">
        <v>55</v>
      </c>
      <c r="F1153" s="71" t="s">
        <v>300</v>
      </c>
      <c r="G1153" s="88">
        <v>46287.688101851898</v>
      </c>
      <c r="H1153" s="89">
        <v>46287</v>
      </c>
      <c r="I1153" s="71" t="s">
        <v>330</v>
      </c>
      <c r="J1153" s="71">
        <v>0</v>
      </c>
      <c r="K1153" s="71" t="s">
        <v>302</v>
      </c>
      <c r="L1153" s="71">
        <f t="shared" si="153"/>
        <v>9</v>
      </c>
      <c r="M1153" s="71" t="str">
        <f>IFERROR(INDEX(KALENDER!$D$3:$D$132,MATCH(H1153,KALENDER!$A$3:$A$132,0)),"Di luar periode")</f>
        <v>Hari Kerja</v>
      </c>
      <c r="N1153" s="71">
        <f t="shared" si="154"/>
        <v>0</v>
      </c>
      <c r="O1153" s="71">
        <f t="shared" si="155"/>
        <v>1</v>
      </c>
      <c r="P1153" s="71">
        <f t="shared" si="156"/>
        <v>0</v>
      </c>
      <c r="Q1153" s="71">
        <f t="shared" si="157"/>
        <v>0</v>
      </c>
      <c r="R1153" s="71">
        <f t="shared" si="158"/>
        <v>0</v>
      </c>
      <c r="S1153" s="71">
        <f t="shared" si="159"/>
        <v>0</v>
      </c>
      <c r="T1153" s="71">
        <f t="shared" si="160"/>
        <v>0</v>
      </c>
      <c r="U1153" s="71">
        <f>IF(AND(N1153=1,V1153=1),IF(COUNTIFS(AKTIVITAS!$B$2:$B$3052,B1153,AKTIVITAS!$E$2:$E$3052,H1153)&gt;0,1,0),0)</f>
        <v>0</v>
      </c>
      <c r="V1153" s="71">
        <f>IFERROR(IF(AND(H1153&gt;=INDEX(PEMAGANG!$J$3:$J$36,MATCH(B1153,PEMAGANG!$C$3:$C$36,0)),H1153&lt;=INDEX(PEMAGANG!$K$3:$K$36,MATCH(B1153,PEMAGANG!$C$3:$C$36,0))),1,0),0)</f>
        <v>1</v>
      </c>
      <c r="W1153" s="71">
        <f t="shared" si="161"/>
        <v>0</v>
      </c>
    </row>
    <row r="1154" spans="1:23" x14ac:dyDescent="0.2">
      <c r="A1154" s="71" t="s">
        <v>257</v>
      </c>
      <c r="B1154" s="71" t="s">
        <v>258</v>
      </c>
      <c r="C1154" s="71" t="s">
        <v>187</v>
      </c>
      <c r="D1154" s="71" t="s">
        <v>259</v>
      </c>
      <c r="E1154" s="71" t="s">
        <v>55</v>
      </c>
      <c r="F1154" s="71" t="s">
        <v>298</v>
      </c>
      <c r="G1154" s="88">
        <v>46288.276921296303</v>
      </c>
      <c r="H1154" s="89">
        <v>46288</v>
      </c>
      <c r="I1154" s="71" t="s">
        <v>500</v>
      </c>
      <c r="J1154" s="71">
        <v>-52.000000000000099</v>
      </c>
      <c r="K1154" s="71" t="s">
        <v>302</v>
      </c>
      <c r="L1154" s="71">
        <f t="shared" ref="L1154:L1217" si="162">MONTH(H1154)</f>
        <v>9</v>
      </c>
      <c r="M1154" s="71" t="str">
        <f>IFERROR(INDEX(KALENDER!$D$3:$D$132,MATCH(H1154,KALENDER!$A$3:$A$132,0)),"Di luar periode")</f>
        <v>Hari Kerja</v>
      </c>
      <c r="N1154" s="71">
        <f t="shared" ref="N1154:N1217" si="163">IF(AND(B1154=B1153,H1154=H1153),0,1)</f>
        <v>1</v>
      </c>
      <c r="O1154" s="71">
        <f t="shared" ref="O1154:O1217" si="164">IF(N1154=1,0,O1153)+IF(F1154="MASUK",1,0)</f>
        <v>1</v>
      </c>
      <c r="P1154" s="71">
        <f t="shared" ref="P1154:P1217" si="165">IF(AND(N1154=1,M1154="Hari Kerja",V1154=1),1,0)</f>
        <v>1</v>
      </c>
      <c r="Q1154" s="71">
        <f t="shared" ref="Q1154:Q1217" si="166">IF(AND(N1154=1,OR(M1154&lt;&gt;"Hari Kerja",V1154=0)),1,0)</f>
        <v>0</v>
      </c>
      <c r="R1154" s="71">
        <f t="shared" ref="R1154:R1217" si="167">IF(AND(F1154="MASUK",O1154=1,N(J1154)&gt;0,V1154=1),1,0)</f>
        <v>0</v>
      </c>
      <c r="S1154" s="71">
        <f t="shared" ref="S1154:S1217" si="168">R1154*N(J1154)</f>
        <v>0</v>
      </c>
      <c r="T1154" s="71">
        <f t="shared" ref="T1154:T1217" si="169">IF(AND(N1154=1,V1154=1),IF(AND(COUNTIFS($B$2:$B$4094,B1154,$H$2:$H$4094,H1154,$F$2:$F$4094,"MASUK")&gt;0,COUNTIFS($B$2:$B$4094,B1154,$H$2:$H$4094,H1154,$F$2:$F$4094,"PULANG")=0),1,0),0)</f>
        <v>0</v>
      </c>
      <c r="U1154" s="71">
        <f>IF(AND(N1154=1,V1154=1),IF(COUNTIFS(AKTIVITAS!$B$2:$B$3052,B1154,AKTIVITAS!$E$2:$E$3052,H1154)&gt;0,1,0),0)</f>
        <v>1</v>
      </c>
      <c r="V1154" s="71">
        <f>IFERROR(IF(AND(H1154&gt;=INDEX(PEMAGANG!$J$3:$J$36,MATCH(B1154,PEMAGANG!$C$3:$C$36,0)),H1154&lt;=INDEX(PEMAGANG!$K$3:$K$36,MATCH(B1154,PEMAGANG!$C$3:$C$36,0))),1,0),0)</f>
        <v>1</v>
      </c>
      <c r="W1154" s="71">
        <f t="shared" ref="W1154:W1217" si="170">N1154*V1154</f>
        <v>1</v>
      </c>
    </row>
    <row r="1155" spans="1:23" x14ac:dyDescent="0.2">
      <c r="A1155" s="71" t="s">
        <v>257</v>
      </c>
      <c r="B1155" s="71" t="s">
        <v>258</v>
      </c>
      <c r="C1155" s="71" t="s">
        <v>187</v>
      </c>
      <c r="D1155" s="71" t="s">
        <v>259</v>
      </c>
      <c r="E1155" s="71" t="s">
        <v>55</v>
      </c>
      <c r="F1155" s="71" t="s">
        <v>300</v>
      </c>
      <c r="G1155" s="88">
        <v>46288.688599537003</v>
      </c>
      <c r="H1155" s="89">
        <v>46288</v>
      </c>
      <c r="I1155" s="71" t="s">
        <v>336</v>
      </c>
      <c r="J1155" s="71">
        <v>0</v>
      </c>
      <c r="K1155" s="71" t="s">
        <v>302</v>
      </c>
      <c r="L1155" s="71">
        <f t="shared" si="162"/>
        <v>9</v>
      </c>
      <c r="M1155" s="71" t="str">
        <f>IFERROR(INDEX(KALENDER!$D$3:$D$132,MATCH(H1155,KALENDER!$A$3:$A$132,0)),"Di luar periode")</f>
        <v>Hari Kerja</v>
      </c>
      <c r="N1155" s="71">
        <f t="shared" si="163"/>
        <v>0</v>
      </c>
      <c r="O1155" s="71">
        <f t="shared" si="164"/>
        <v>1</v>
      </c>
      <c r="P1155" s="71">
        <f t="shared" si="165"/>
        <v>0</v>
      </c>
      <c r="Q1155" s="71">
        <f t="shared" si="166"/>
        <v>0</v>
      </c>
      <c r="R1155" s="71">
        <f t="shared" si="167"/>
        <v>0</v>
      </c>
      <c r="S1155" s="71">
        <f t="shared" si="168"/>
        <v>0</v>
      </c>
      <c r="T1155" s="71">
        <f t="shared" si="169"/>
        <v>0</v>
      </c>
      <c r="U1155" s="71">
        <f>IF(AND(N1155=1,V1155=1),IF(COUNTIFS(AKTIVITAS!$B$2:$B$3052,B1155,AKTIVITAS!$E$2:$E$3052,H1155)&gt;0,1,0),0)</f>
        <v>0</v>
      </c>
      <c r="V1155" s="71">
        <f>IFERROR(IF(AND(H1155&gt;=INDEX(PEMAGANG!$J$3:$J$36,MATCH(B1155,PEMAGANG!$C$3:$C$36,0)),H1155&lt;=INDEX(PEMAGANG!$K$3:$K$36,MATCH(B1155,PEMAGANG!$C$3:$C$36,0))),1,0),0)</f>
        <v>1</v>
      </c>
      <c r="W1155" s="71">
        <f t="shared" si="170"/>
        <v>0</v>
      </c>
    </row>
    <row r="1156" spans="1:23" x14ac:dyDescent="0.2">
      <c r="A1156" s="71" t="s">
        <v>257</v>
      </c>
      <c r="B1156" s="71" t="s">
        <v>258</v>
      </c>
      <c r="C1156" s="71" t="s">
        <v>187</v>
      </c>
      <c r="D1156" s="71" t="s">
        <v>259</v>
      </c>
      <c r="E1156" s="71" t="s">
        <v>55</v>
      </c>
      <c r="F1156" s="71" t="s">
        <v>298</v>
      </c>
      <c r="G1156" s="88">
        <v>46289.2808449074</v>
      </c>
      <c r="H1156" s="89">
        <v>46289</v>
      </c>
      <c r="I1156" s="71" t="s">
        <v>501</v>
      </c>
      <c r="J1156" s="71">
        <v>-46</v>
      </c>
      <c r="K1156" s="71" t="s">
        <v>302</v>
      </c>
      <c r="L1156" s="71">
        <f t="shared" si="162"/>
        <v>9</v>
      </c>
      <c r="M1156" s="71" t="str">
        <f>IFERROR(INDEX(KALENDER!$D$3:$D$132,MATCH(H1156,KALENDER!$A$3:$A$132,0)),"Di luar periode")</f>
        <v>Hari Kerja</v>
      </c>
      <c r="N1156" s="71">
        <f t="shared" si="163"/>
        <v>1</v>
      </c>
      <c r="O1156" s="71">
        <f t="shared" si="164"/>
        <v>1</v>
      </c>
      <c r="P1156" s="71">
        <f t="shared" si="165"/>
        <v>1</v>
      </c>
      <c r="Q1156" s="71">
        <f t="shared" si="166"/>
        <v>0</v>
      </c>
      <c r="R1156" s="71">
        <f t="shared" si="167"/>
        <v>0</v>
      </c>
      <c r="S1156" s="71">
        <f t="shared" si="168"/>
        <v>0</v>
      </c>
      <c r="T1156" s="71">
        <f t="shared" si="169"/>
        <v>0</v>
      </c>
      <c r="U1156" s="71">
        <f>IF(AND(N1156=1,V1156=1),IF(COUNTIFS(AKTIVITAS!$B$2:$B$3052,B1156,AKTIVITAS!$E$2:$E$3052,H1156)&gt;0,1,0),0)</f>
        <v>1</v>
      </c>
      <c r="V1156" s="71">
        <f>IFERROR(IF(AND(H1156&gt;=INDEX(PEMAGANG!$J$3:$J$36,MATCH(B1156,PEMAGANG!$C$3:$C$36,0)),H1156&lt;=INDEX(PEMAGANG!$K$3:$K$36,MATCH(B1156,PEMAGANG!$C$3:$C$36,0))),1,0),0)</f>
        <v>1</v>
      </c>
      <c r="W1156" s="71">
        <f t="shared" si="170"/>
        <v>1</v>
      </c>
    </row>
    <row r="1157" spans="1:23" x14ac:dyDescent="0.2">
      <c r="A1157" s="71" t="s">
        <v>257</v>
      </c>
      <c r="B1157" s="71" t="s">
        <v>258</v>
      </c>
      <c r="C1157" s="71" t="s">
        <v>187</v>
      </c>
      <c r="D1157" s="71" t="s">
        <v>259</v>
      </c>
      <c r="E1157" s="71" t="s">
        <v>55</v>
      </c>
      <c r="F1157" s="71" t="s">
        <v>300</v>
      </c>
      <c r="G1157" s="88">
        <v>46289.689259259299</v>
      </c>
      <c r="H1157" s="89">
        <v>46289</v>
      </c>
      <c r="I1157" s="71" t="s">
        <v>306</v>
      </c>
      <c r="J1157" s="71">
        <v>0</v>
      </c>
      <c r="K1157" s="71" t="s">
        <v>302</v>
      </c>
      <c r="L1157" s="71">
        <f t="shared" si="162"/>
        <v>9</v>
      </c>
      <c r="M1157" s="71" t="str">
        <f>IFERROR(INDEX(KALENDER!$D$3:$D$132,MATCH(H1157,KALENDER!$A$3:$A$132,0)),"Di luar periode")</f>
        <v>Hari Kerja</v>
      </c>
      <c r="N1157" s="71">
        <f t="shared" si="163"/>
        <v>0</v>
      </c>
      <c r="O1157" s="71">
        <f t="shared" si="164"/>
        <v>1</v>
      </c>
      <c r="P1157" s="71">
        <f t="shared" si="165"/>
        <v>0</v>
      </c>
      <c r="Q1157" s="71">
        <f t="shared" si="166"/>
        <v>0</v>
      </c>
      <c r="R1157" s="71">
        <f t="shared" si="167"/>
        <v>0</v>
      </c>
      <c r="S1157" s="71">
        <f t="shared" si="168"/>
        <v>0</v>
      </c>
      <c r="T1157" s="71">
        <f t="shared" si="169"/>
        <v>0</v>
      </c>
      <c r="U1157" s="71">
        <f>IF(AND(N1157=1,V1157=1),IF(COUNTIFS(AKTIVITAS!$B$2:$B$3052,B1157,AKTIVITAS!$E$2:$E$3052,H1157)&gt;0,1,0),0)</f>
        <v>0</v>
      </c>
      <c r="V1157" s="71">
        <f>IFERROR(IF(AND(H1157&gt;=INDEX(PEMAGANG!$J$3:$J$36,MATCH(B1157,PEMAGANG!$C$3:$C$36,0)),H1157&lt;=INDEX(PEMAGANG!$K$3:$K$36,MATCH(B1157,PEMAGANG!$C$3:$C$36,0))),1,0),0)</f>
        <v>1</v>
      </c>
      <c r="W1157" s="71">
        <f t="shared" si="170"/>
        <v>0</v>
      </c>
    </row>
    <row r="1158" spans="1:23" x14ac:dyDescent="0.2">
      <c r="A1158" s="71" t="s">
        <v>257</v>
      </c>
      <c r="B1158" s="71" t="s">
        <v>258</v>
      </c>
      <c r="C1158" s="71" t="s">
        <v>187</v>
      </c>
      <c r="D1158" s="71" t="s">
        <v>259</v>
      </c>
      <c r="E1158" s="71" t="s">
        <v>55</v>
      </c>
      <c r="F1158" s="71" t="s">
        <v>298</v>
      </c>
      <c r="G1158" s="88">
        <v>46290.281666666699</v>
      </c>
      <c r="H1158" s="89">
        <v>46290</v>
      </c>
      <c r="I1158" s="71" t="s">
        <v>510</v>
      </c>
      <c r="J1158" s="71">
        <v>-45</v>
      </c>
      <c r="K1158" s="71" t="s">
        <v>302</v>
      </c>
      <c r="L1158" s="71">
        <f t="shared" si="162"/>
        <v>9</v>
      </c>
      <c r="M1158" s="71" t="str">
        <f>IFERROR(INDEX(KALENDER!$D$3:$D$132,MATCH(H1158,KALENDER!$A$3:$A$132,0)),"Di luar periode")</f>
        <v>Hari Kerja</v>
      </c>
      <c r="N1158" s="71">
        <f t="shared" si="163"/>
        <v>1</v>
      </c>
      <c r="O1158" s="71">
        <f t="shared" si="164"/>
        <v>1</v>
      </c>
      <c r="P1158" s="71">
        <f t="shared" si="165"/>
        <v>1</v>
      </c>
      <c r="Q1158" s="71">
        <f t="shared" si="166"/>
        <v>0</v>
      </c>
      <c r="R1158" s="71">
        <f t="shared" si="167"/>
        <v>0</v>
      </c>
      <c r="S1158" s="71">
        <f t="shared" si="168"/>
        <v>0</v>
      </c>
      <c r="T1158" s="71">
        <f t="shared" si="169"/>
        <v>0</v>
      </c>
      <c r="U1158" s="71">
        <f>IF(AND(N1158=1,V1158=1),IF(COUNTIFS(AKTIVITAS!$B$2:$B$3052,B1158,AKTIVITAS!$E$2:$E$3052,H1158)&gt;0,1,0),0)</f>
        <v>1</v>
      </c>
      <c r="V1158" s="71">
        <f>IFERROR(IF(AND(H1158&gt;=INDEX(PEMAGANG!$J$3:$J$36,MATCH(B1158,PEMAGANG!$C$3:$C$36,0)),H1158&lt;=INDEX(PEMAGANG!$K$3:$K$36,MATCH(B1158,PEMAGANG!$C$3:$C$36,0))),1,0),0)</f>
        <v>1</v>
      </c>
      <c r="W1158" s="71">
        <f t="shared" si="170"/>
        <v>1</v>
      </c>
    </row>
    <row r="1159" spans="1:23" x14ac:dyDescent="0.2">
      <c r="A1159" s="71" t="s">
        <v>257</v>
      </c>
      <c r="B1159" s="71" t="s">
        <v>258</v>
      </c>
      <c r="C1159" s="71" t="s">
        <v>187</v>
      </c>
      <c r="D1159" s="71" t="s">
        <v>259</v>
      </c>
      <c r="E1159" s="71" t="s">
        <v>55</v>
      </c>
      <c r="F1159" s="71" t="s">
        <v>300</v>
      </c>
      <c r="G1159" s="88">
        <v>46290.6894328704</v>
      </c>
      <c r="H1159" s="89">
        <v>46290</v>
      </c>
      <c r="I1159" s="71" t="s">
        <v>306</v>
      </c>
      <c r="J1159" s="71">
        <v>0</v>
      </c>
      <c r="K1159" s="71" t="s">
        <v>302</v>
      </c>
      <c r="L1159" s="71">
        <f t="shared" si="162"/>
        <v>9</v>
      </c>
      <c r="M1159" s="71" t="str">
        <f>IFERROR(INDEX(KALENDER!$D$3:$D$132,MATCH(H1159,KALENDER!$A$3:$A$132,0)),"Di luar periode")</f>
        <v>Hari Kerja</v>
      </c>
      <c r="N1159" s="71">
        <f t="shared" si="163"/>
        <v>0</v>
      </c>
      <c r="O1159" s="71">
        <f t="shared" si="164"/>
        <v>1</v>
      </c>
      <c r="P1159" s="71">
        <f t="shared" si="165"/>
        <v>0</v>
      </c>
      <c r="Q1159" s="71">
        <f t="shared" si="166"/>
        <v>0</v>
      </c>
      <c r="R1159" s="71">
        <f t="shared" si="167"/>
        <v>0</v>
      </c>
      <c r="S1159" s="71">
        <f t="shared" si="168"/>
        <v>0</v>
      </c>
      <c r="T1159" s="71">
        <f t="shared" si="169"/>
        <v>0</v>
      </c>
      <c r="U1159" s="71">
        <f>IF(AND(N1159=1,V1159=1),IF(COUNTIFS(AKTIVITAS!$B$2:$B$3052,B1159,AKTIVITAS!$E$2:$E$3052,H1159)&gt;0,1,0),0)</f>
        <v>0</v>
      </c>
      <c r="V1159" s="71">
        <f>IFERROR(IF(AND(H1159&gt;=INDEX(PEMAGANG!$J$3:$J$36,MATCH(B1159,PEMAGANG!$C$3:$C$36,0)),H1159&lt;=INDEX(PEMAGANG!$K$3:$K$36,MATCH(B1159,PEMAGANG!$C$3:$C$36,0))),1,0),0)</f>
        <v>1</v>
      </c>
      <c r="W1159" s="71">
        <f t="shared" si="170"/>
        <v>0</v>
      </c>
    </row>
    <row r="1160" spans="1:23" x14ac:dyDescent="0.2">
      <c r="A1160" s="71" t="s">
        <v>235</v>
      </c>
      <c r="B1160" s="71" t="s">
        <v>236</v>
      </c>
      <c r="C1160" s="71" t="s">
        <v>187</v>
      </c>
      <c r="D1160" s="71" t="s">
        <v>237</v>
      </c>
      <c r="E1160" s="71" t="s">
        <v>40</v>
      </c>
      <c r="F1160" s="71" t="s">
        <v>298</v>
      </c>
      <c r="G1160" s="88">
        <v>46175.311932870398</v>
      </c>
      <c r="H1160" s="89">
        <v>46175</v>
      </c>
      <c r="I1160" s="71" t="s">
        <v>365</v>
      </c>
      <c r="J1160" s="71">
        <v>-0.999999999999996</v>
      </c>
      <c r="K1160" s="71" t="s">
        <v>302</v>
      </c>
      <c r="L1160" s="71">
        <f t="shared" si="162"/>
        <v>6</v>
      </c>
      <c r="M1160" s="71" t="str">
        <f>IFERROR(INDEX(KALENDER!$D$3:$D$132,MATCH(H1160,KALENDER!$A$3:$A$132,0)),"Di luar periode")</f>
        <v>Hari Kerja</v>
      </c>
      <c r="N1160" s="71">
        <f t="shared" si="163"/>
        <v>1</v>
      </c>
      <c r="O1160" s="71">
        <f t="shared" si="164"/>
        <v>1</v>
      </c>
      <c r="P1160" s="71">
        <f t="shared" si="165"/>
        <v>1</v>
      </c>
      <c r="Q1160" s="71">
        <f t="shared" si="166"/>
        <v>0</v>
      </c>
      <c r="R1160" s="71">
        <f t="shared" si="167"/>
        <v>0</v>
      </c>
      <c r="S1160" s="71">
        <f t="shared" si="168"/>
        <v>0</v>
      </c>
      <c r="T1160" s="71">
        <f t="shared" si="169"/>
        <v>0</v>
      </c>
      <c r="U1160" s="71">
        <f>IF(AND(N1160=1,V1160=1),IF(COUNTIFS(AKTIVITAS!$B$2:$B$3052,B1160,AKTIVITAS!$E$2:$E$3052,H1160)&gt;0,1,0),0)</f>
        <v>1</v>
      </c>
      <c r="V1160" s="71">
        <f>IFERROR(IF(AND(H1160&gt;=INDEX(PEMAGANG!$J$3:$J$36,MATCH(B1160,PEMAGANG!$C$3:$C$36,0)),H1160&lt;=INDEX(PEMAGANG!$K$3:$K$36,MATCH(B1160,PEMAGANG!$C$3:$C$36,0))),1,0),0)</f>
        <v>1</v>
      </c>
      <c r="W1160" s="71">
        <f t="shared" si="170"/>
        <v>1</v>
      </c>
    </row>
    <row r="1161" spans="1:23" x14ac:dyDescent="0.2">
      <c r="A1161" s="71" t="s">
        <v>235</v>
      </c>
      <c r="B1161" s="71" t="s">
        <v>236</v>
      </c>
      <c r="C1161" s="71" t="s">
        <v>187</v>
      </c>
      <c r="D1161" s="71" t="s">
        <v>237</v>
      </c>
      <c r="E1161" s="71" t="s">
        <v>40</v>
      </c>
      <c r="F1161" s="71" t="s">
        <v>300</v>
      </c>
      <c r="G1161" s="88">
        <v>46175.690844907404</v>
      </c>
      <c r="H1161" s="89">
        <v>46175</v>
      </c>
      <c r="I1161" s="71" t="s">
        <v>314</v>
      </c>
      <c r="J1161" s="71">
        <v>0</v>
      </c>
      <c r="K1161" s="71" t="s">
        <v>302</v>
      </c>
      <c r="L1161" s="71">
        <f t="shared" si="162"/>
        <v>6</v>
      </c>
      <c r="M1161" s="71" t="str">
        <f>IFERROR(INDEX(KALENDER!$D$3:$D$132,MATCH(H1161,KALENDER!$A$3:$A$132,0)),"Di luar periode")</f>
        <v>Hari Kerja</v>
      </c>
      <c r="N1161" s="71">
        <f t="shared" si="163"/>
        <v>0</v>
      </c>
      <c r="O1161" s="71">
        <f t="shared" si="164"/>
        <v>1</v>
      </c>
      <c r="P1161" s="71">
        <f t="shared" si="165"/>
        <v>0</v>
      </c>
      <c r="Q1161" s="71">
        <f t="shared" si="166"/>
        <v>0</v>
      </c>
      <c r="R1161" s="71">
        <f t="shared" si="167"/>
        <v>0</v>
      </c>
      <c r="S1161" s="71">
        <f t="shared" si="168"/>
        <v>0</v>
      </c>
      <c r="T1161" s="71">
        <f t="shared" si="169"/>
        <v>0</v>
      </c>
      <c r="U1161" s="71">
        <f>IF(AND(N1161=1,V1161=1),IF(COUNTIFS(AKTIVITAS!$B$2:$B$3052,B1161,AKTIVITAS!$E$2:$E$3052,H1161)&gt;0,1,0),0)</f>
        <v>0</v>
      </c>
      <c r="V1161" s="71">
        <f>IFERROR(IF(AND(H1161&gt;=INDEX(PEMAGANG!$J$3:$J$36,MATCH(B1161,PEMAGANG!$C$3:$C$36,0)),H1161&lt;=INDEX(PEMAGANG!$K$3:$K$36,MATCH(B1161,PEMAGANG!$C$3:$C$36,0))),1,0),0)</f>
        <v>1</v>
      </c>
      <c r="W1161" s="71">
        <f t="shared" si="170"/>
        <v>0</v>
      </c>
    </row>
    <row r="1162" spans="1:23" x14ac:dyDescent="0.2">
      <c r="A1162" s="71" t="s">
        <v>235</v>
      </c>
      <c r="B1162" s="71" t="s">
        <v>236</v>
      </c>
      <c r="C1162" s="71" t="s">
        <v>187</v>
      </c>
      <c r="D1162" s="71" t="s">
        <v>237</v>
      </c>
      <c r="E1162" s="71" t="s">
        <v>40</v>
      </c>
      <c r="F1162" s="71" t="s">
        <v>298</v>
      </c>
      <c r="G1162" s="88">
        <v>46177.313414351898</v>
      </c>
      <c r="H1162" s="89">
        <v>46177</v>
      </c>
      <c r="I1162" s="71" t="s">
        <v>392</v>
      </c>
      <c r="J1162" s="71">
        <v>0.999999999999996</v>
      </c>
      <c r="K1162" s="71" t="s">
        <v>293</v>
      </c>
      <c r="L1162" s="71">
        <f t="shared" si="162"/>
        <v>6</v>
      </c>
      <c r="M1162" s="71" t="str">
        <f>IFERROR(INDEX(KALENDER!$D$3:$D$132,MATCH(H1162,KALENDER!$A$3:$A$132,0)),"Di luar periode")</f>
        <v>Hari Kerja</v>
      </c>
      <c r="N1162" s="71">
        <f t="shared" si="163"/>
        <v>1</v>
      </c>
      <c r="O1162" s="71">
        <f t="shared" si="164"/>
        <v>1</v>
      </c>
      <c r="P1162" s="71">
        <f t="shared" si="165"/>
        <v>1</v>
      </c>
      <c r="Q1162" s="71">
        <f t="shared" si="166"/>
        <v>0</v>
      </c>
      <c r="R1162" s="71">
        <f t="shared" si="167"/>
        <v>1</v>
      </c>
      <c r="S1162" s="71">
        <f t="shared" si="168"/>
        <v>0.999999999999996</v>
      </c>
      <c r="T1162" s="71">
        <f t="shared" si="169"/>
        <v>0</v>
      </c>
      <c r="U1162" s="71">
        <f>IF(AND(N1162=1,V1162=1),IF(COUNTIFS(AKTIVITAS!$B$2:$B$3052,B1162,AKTIVITAS!$E$2:$E$3052,H1162)&gt;0,1,0),0)</f>
        <v>1</v>
      </c>
      <c r="V1162" s="71">
        <f>IFERROR(IF(AND(H1162&gt;=INDEX(PEMAGANG!$J$3:$J$36,MATCH(B1162,PEMAGANG!$C$3:$C$36,0)),H1162&lt;=INDEX(PEMAGANG!$K$3:$K$36,MATCH(B1162,PEMAGANG!$C$3:$C$36,0))),1,0),0)</f>
        <v>1</v>
      </c>
      <c r="W1162" s="71">
        <f t="shared" si="170"/>
        <v>1</v>
      </c>
    </row>
    <row r="1163" spans="1:23" x14ac:dyDescent="0.2">
      <c r="A1163" s="71" t="s">
        <v>235</v>
      </c>
      <c r="B1163" s="71" t="s">
        <v>236</v>
      </c>
      <c r="C1163" s="71" t="s">
        <v>187</v>
      </c>
      <c r="D1163" s="71" t="s">
        <v>237</v>
      </c>
      <c r="E1163" s="71" t="s">
        <v>40</v>
      </c>
      <c r="F1163" s="71" t="s">
        <v>300</v>
      </c>
      <c r="G1163" s="88">
        <v>46177.690324074101</v>
      </c>
      <c r="H1163" s="89">
        <v>46177</v>
      </c>
      <c r="I1163" s="71" t="s">
        <v>314</v>
      </c>
      <c r="J1163" s="71">
        <v>0</v>
      </c>
      <c r="K1163" s="71" t="s">
        <v>302</v>
      </c>
      <c r="L1163" s="71">
        <f t="shared" si="162"/>
        <v>6</v>
      </c>
      <c r="M1163" s="71" t="str">
        <f>IFERROR(INDEX(KALENDER!$D$3:$D$132,MATCH(H1163,KALENDER!$A$3:$A$132,0)),"Di luar periode")</f>
        <v>Hari Kerja</v>
      </c>
      <c r="N1163" s="71">
        <f t="shared" si="163"/>
        <v>0</v>
      </c>
      <c r="O1163" s="71">
        <f t="shared" si="164"/>
        <v>1</v>
      </c>
      <c r="P1163" s="71">
        <f t="shared" si="165"/>
        <v>0</v>
      </c>
      <c r="Q1163" s="71">
        <f t="shared" si="166"/>
        <v>0</v>
      </c>
      <c r="R1163" s="71">
        <f t="shared" si="167"/>
        <v>0</v>
      </c>
      <c r="S1163" s="71">
        <f t="shared" si="168"/>
        <v>0</v>
      </c>
      <c r="T1163" s="71">
        <f t="shared" si="169"/>
        <v>0</v>
      </c>
      <c r="U1163" s="71">
        <f>IF(AND(N1163=1,V1163=1),IF(COUNTIFS(AKTIVITAS!$B$2:$B$3052,B1163,AKTIVITAS!$E$2:$E$3052,H1163)&gt;0,1,0),0)</f>
        <v>0</v>
      </c>
      <c r="V1163" s="71">
        <f>IFERROR(IF(AND(H1163&gt;=INDEX(PEMAGANG!$J$3:$J$36,MATCH(B1163,PEMAGANG!$C$3:$C$36,0)),H1163&lt;=INDEX(PEMAGANG!$K$3:$K$36,MATCH(B1163,PEMAGANG!$C$3:$C$36,0))),1,0),0)</f>
        <v>1</v>
      </c>
      <c r="W1163" s="71">
        <f t="shared" si="170"/>
        <v>0</v>
      </c>
    </row>
    <row r="1164" spans="1:23" x14ac:dyDescent="0.2">
      <c r="A1164" s="71" t="s">
        <v>235</v>
      </c>
      <c r="B1164" s="71" t="s">
        <v>236</v>
      </c>
      <c r="C1164" s="71" t="s">
        <v>187</v>
      </c>
      <c r="D1164" s="71" t="s">
        <v>237</v>
      </c>
      <c r="E1164" s="71" t="s">
        <v>40</v>
      </c>
      <c r="F1164" s="71" t="s">
        <v>298</v>
      </c>
      <c r="G1164" s="88">
        <v>46178.319374999999</v>
      </c>
      <c r="H1164" s="89">
        <v>46178</v>
      </c>
      <c r="I1164" s="71" t="s">
        <v>515</v>
      </c>
      <c r="J1164" s="71">
        <v>9.0000000000000497</v>
      </c>
      <c r="K1164" s="71" t="s">
        <v>293</v>
      </c>
      <c r="L1164" s="71">
        <f t="shared" si="162"/>
        <v>6</v>
      </c>
      <c r="M1164" s="71" t="str">
        <f>IFERROR(INDEX(KALENDER!$D$3:$D$132,MATCH(H1164,KALENDER!$A$3:$A$132,0)),"Di luar periode")</f>
        <v>Hari Kerja</v>
      </c>
      <c r="N1164" s="71">
        <f t="shared" si="163"/>
        <v>1</v>
      </c>
      <c r="O1164" s="71">
        <f t="shared" si="164"/>
        <v>1</v>
      </c>
      <c r="P1164" s="71">
        <f t="shared" si="165"/>
        <v>1</v>
      </c>
      <c r="Q1164" s="71">
        <f t="shared" si="166"/>
        <v>0</v>
      </c>
      <c r="R1164" s="71">
        <f t="shared" si="167"/>
        <v>1</v>
      </c>
      <c r="S1164" s="71">
        <f t="shared" si="168"/>
        <v>9.0000000000000497</v>
      </c>
      <c r="T1164" s="71">
        <f t="shared" si="169"/>
        <v>0</v>
      </c>
      <c r="U1164" s="71">
        <f>IF(AND(N1164=1,V1164=1),IF(COUNTIFS(AKTIVITAS!$B$2:$B$3052,B1164,AKTIVITAS!$E$2:$E$3052,H1164)&gt;0,1,0),0)</f>
        <v>1</v>
      </c>
      <c r="V1164" s="71">
        <f>IFERROR(IF(AND(H1164&gt;=INDEX(PEMAGANG!$J$3:$J$36,MATCH(B1164,PEMAGANG!$C$3:$C$36,0)),H1164&lt;=INDEX(PEMAGANG!$K$3:$K$36,MATCH(B1164,PEMAGANG!$C$3:$C$36,0))),1,0),0)</f>
        <v>1</v>
      </c>
      <c r="W1164" s="71">
        <f t="shared" si="170"/>
        <v>1</v>
      </c>
    </row>
    <row r="1165" spans="1:23" x14ac:dyDescent="0.2">
      <c r="A1165" s="71" t="s">
        <v>235</v>
      </c>
      <c r="B1165" s="71" t="s">
        <v>236</v>
      </c>
      <c r="C1165" s="71" t="s">
        <v>187</v>
      </c>
      <c r="D1165" s="71" t="s">
        <v>237</v>
      </c>
      <c r="E1165" s="71" t="s">
        <v>40</v>
      </c>
      <c r="F1165" s="71" t="s">
        <v>300</v>
      </c>
      <c r="G1165" s="88">
        <v>46178.695231481499</v>
      </c>
      <c r="H1165" s="89">
        <v>46178</v>
      </c>
      <c r="I1165" s="71" t="s">
        <v>319</v>
      </c>
      <c r="J1165" s="71">
        <v>0</v>
      </c>
      <c r="K1165" s="71" t="s">
        <v>302</v>
      </c>
      <c r="L1165" s="71">
        <f t="shared" si="162"/>
        <v>6</v>
      </c>
      <c r="M1165" s="71" t="str">
        <f>IFERROR(INDEX(KALENDER!$D$3:$D$132,MATCH(H1165,KALENDER!$A$3:$A$132,0)),"Di luar periode")</f>
        <v>Hari Kerja</v>
      </c>
      <c r="N1165" s="71">
        <f t="shared" si="163"/>
        <v>0</v>
      </c>
      <c r="O1165" s="71">
        <f t="shared" si="164"/>
        <v>1</v>
      </c>
      <c r="P1165" s="71">
        <f t="shared" si="165"/>
        <v>0</v>
      </c>
      <c r="Q1165" s="71">
        <f t="shared" si="166"/>
        <v>0</v>
      </c>
      <c r="R1165" s="71">
        <f t="shared" si="167"/>
        <v>0</v>
      </c>
      <c r="S1165" s="71">
        <f t="shared" si="168"/>
        <v>0</v>
      </c>
      <c r="T1165" s="71">
        <f t="shared" si="169"/>
        <v>0</v>
      </c>
      <c r="U1165" s="71">
        <f>IF(AND(N1165=1,V1165=1),IF(COUNTIFS(AKTIVITAS!$B$2:$B$3052,B1165,AKTIVITAS!$E$2:$E$3052,H1165)&gt;0,1,0),0)</f>
        <v>0</v>
      </c>
      <c r="V1165" s="71">
        <f>IFERROR(IF(AND(H1165&gt;=INDEX(PEMAGANG!$J$3:$J$36,MATCH(B1165,PEMAGANG!$C$3:$C$36,0)),H1165&lt;=INDEX(PEMAGANG!$K$3:$K$36,MATCH(B1165,PEMAGANG!$C$3:$C$36,0))),1,0),0)</f>
        <v>1</v>
      </c>
      <c r="W1165" s="71">
        <f t="shared" si="170"/>
        <v>0</v>
      </c>
    </row>
    <row r="1166" spans="1:23" x14ac:dyDescent="0.2">
      <c r="A1166" s="71" t="s">
        <v>235</v>
      </c>
      <c r="B1166" s="71" t="s">
        <v>236</v>
      </c>
      <c r="C1166" s="71" t="s">
        <v>187</v>
      </c>
      <c r="D1166" s="71" t="s">
        <v>237</v>
      </c>
      <c r="E1166" s="71" t="s">
        <v>40</v>
      </c>
      <c r="F1166" s="71" t="s">
        <v>298</v>
      </c>
      <c r="G1166" s="88">
        <v>46181.310393518499</v>
      </c>
      <c r="H1166" s="89">
        <v>46181</v>
      </c>
      <c r="I1166" s="71" t="s">
        <v>315</v>
      </c>
      <c r="J1166" s="71">
        <v>-3.9999999999999898</v>
      </c>
      <c r="K1166" s="71" t="s">
        <v>302</v>
      </c>
      <c r="L1166" s="71">
        <f t="shared" si="162"/>
        <v>6</v>
      </c>
      <c r="M1166" s="71" t="str">
        <f>IFERROR(INDEX(KALENDER!$D$3:$D$132,MATCH(H1166,KALENDER!$A$3:$A$132,0)),"Di luar periode")</f>
        <v>Hari Kerja</v>
      </c>
      <c r="N1166" s="71">
        <f t="shared" si="163"/>
        <v>1</v>
      </c>
      <c r="O1166" s="71">
        <f t="shared" si="164"/>
        <v>1</v>
      </c>
      <c r="P1166" s="71">
        <f t="shared" si="165"/>
        <v>1</v>
      </c>
      <c r="Q1166" s="71">
        <f t="shared" si="166"/>
        <v>0</v>
      </c>
      <c r="R1166" s="71">
        <f t="shared" si="167"/>
        <v>0</v>
      </c>
      <c r="S1166" s="71">
        <f t="shared" si="168"/>
        <v>0</v>
      </c>
      <c r="T1166" s="71">
        <f t="shared" si="169"/>
        <v>0</v>
      </c>
      <c r="U1166" s="71">
        <f>IF(AND(N1166=1,V1166=1),IF(COUNTIFS(AKTIVITAS!$B$2:$B$3052,B1166,AKTIVITAS!$E$2:$E$3052,H1166)&gt;0,1,0),0)</f>
        <v>1</v>
      </c>
      <c r="V1166" s="71">
        <f>IFERROR(IF(AND(H1166&gt;=INDEX(PEMAGANG!$J$3:$J$36,MATCH(B1166,PEMAGANG!$C$3:$C$36,0)),H1166&lt;=INDEX(PEMAGANG!$K$3:$K$36,MATCH(B1166,PEMAGANG!$C$3:$C$36,0))),1,0),0)</f>
        <v>1</v>
      </c>
      <c r="W1166" s="71">
        <f t="shared" si="170"/>
        <v>1</v>
      </c>
    </row>
    <row r="1167" spans="1:23" x14ac:dyDescent="0.2">
      <c r="A1167" s="71" t="s">
        <v>235</v>
      </c>
      <c r="B1167" s="71" t="s">
        <v>236</v>
      </c>
      <c r="C1167" s="71" t="s">
        <v>187</v>
      </c>
      <c r="D1167" s="71" t="s">
        <v>237</v>
      </c>
      <c r="E1167" s="71" t="s">
        <v>40</v>
      </c>
      <c r="F1167" s="71" t="s">
        <v>300</v>
      </c>
      <c r="G1167" s="88">
        <v>46181.688993055599</v>
      </c>
      <c r="H1167" s="89">
        <v>46181</v>
      </c>
      <c r="I1167" s="71" t="s">
        <v>306</v>
      </c>
      <c r="J1167" s="71">
        <v>0</v>
      </c>
      <c r="K1167" s="71" t="s">
        <v>302</v>
      </c>
      <c r="L1167" s="71">
        <f t="shared" si="162"/>
        <v>6</v>
      </c>
      <c r="M1167" s="71" t="str">
        <f>IFERROR(INDEX(KALENDER!$D$3:$D$132,MATCH(H1167,KALENDER!$A$3:$A$132,0)),"Di luar periode")</f>
        <v>Hari Kerja</v>
      </c>
      <c r="N1167" s="71">
        <f t="shared" si="163"/>
        <v>0</v>
      </c>
      <c r="O1167" s="71">
        <f t="shared" si="164"/>
        <v>1</v>
      </c>
      <c r="P1167" s="71">
        <f t="shared" si="165"/>
        <v>0</v>
      </c>
      <c r="Q1167" s="71">
        <f t="shared" si="166"/>
        <v>0</v>
      </c>
      <c r="R1167" s="71">
        <f t="shared" si="167"/>
        <v>0</v>
      </c>
      <c r="S1167" s="71">
        <f t="shared" si="168"/>
        <v>0</v>
      </c>
      <c r="T1167" s="71">
        <f t="shared" si="169"/>
        <v>0</v>
      </c>
      <c r="U1167" s="71">
        <f>IF(AND(N1167=1,V1167=1),IF(COUNTIFS(AKTIVITAS!$B$2:$B$3052,B1167,AKTIVITAS!$E$2:$E$3052,H1167)&gt;0,1,0),0)</f>
        <v>0</v>
      </c>
      <c r="V1167" s="71">
        <f>IFERROR(IF(AND(H1167&gt;=INDEX(PEMAGANG!$J$3:$J$36,MATCH(B1167,PEMAGANG!$C$3:$C$36,0)),H1167&lt;=INDEX(PEMAGANG!$K$3:$K$36,MATCH(B1167,PEMAGANG!$C$3:$C$36,0))),1,0),0)</f>
        <v>1</v>
      </c>
      <c r="W1167" s="71">
        <f t="shared" si="170"/>
        <v>0</v>
      </c>
    </row>
    <row r="1168" spans="1:23" x14ac:dyDescent="0.2">
      <c r="A1168" s="71" t="s">
        <v>235</v>
      </c>
      <c r="B1168" s="71" t="s">
        <v>236</v>
      </c>
      <c r="C1168" s="71" t="s">
        <v>187</v>
      </c>
      <c r="D1168" s="71" t="s">
        <v>237</v>
      </c>
      <c r="E1168" s="71" t="s">
        <v>40</v>
      </c>
      <c r="F1168" s="71" t="s">
        <v>298</v>
      </c>
      <c r="G1168" s="88">
        <v>46182.313506944498</v>
      </c>
      <c r="H1168" s="89">
        <v>46182</v>
      </c>
      <c r="I1168" s="71" t="s">
        <v>392</v>
      </c>
      <c r="J1168" s="71">
        <v>0.999999999999996</v>
      </c>
      <c r="K1168" s="71" t="s">
        <v>293</v>
      </c>
      <c r="L1168" s="71">
        <f t="shared" si="162"/>
        <v>6</v>
      </c>
      <c r="M1168" s="71" t="str">
        <f>IFERROR(INDEX(KALENDER!$D$3:$D$132,MATCH(H1168,KALENDER!$A$3:$A$132,0)),"Di luar periode")</f>
        <v>Hari Kerja</v>
      </c>
      <c r="N1168" s="71">
        <f t="shared" si="163"/>
        <v>1</v>
      </c>
      <c r="O1168" s="71">
        <f t="shared" si="164"/>
        <v>1</v>
      </c>
      <c r="P1168" s="71">
        <f t="shared" si="165"/>
        <v>1</v>
      </c>
      <c r="Q1168" s="71">
        <f t="shared" si="166"/>
        <v>0</v>
      </c>
      <c r="R1168" s="71">
        <f t="shared" si="167"/>
        <v>1</v>
      </c>
      <c r="S1168" s="71">
        <f t="shared" si="168"/>
        <v>0.999999999999996</v>
      </c>
      <c r="T1168" s="71">
        <f t="shared" si="169"/>
        <v>0</v>
      </c>
      <c r="U1168" s="71">
        <f>IF(AND(N1168=1,V1168=1),IF(COUNTIFS(AKTIVITAS!$B$2:$B$3052,B1168,AKTIVITAS!$E$2:$E$3052,H1168)&gt;0,1,0),0)</f>
        <v>1</v>
      </c>
      <c r="V1168" s="71">
        <f>IFERROR(IF(AND(H1168&gt;=INDEX(PEMAGANG!$J$3:$J$36,MATCH(B1168,PEMAGANG!$C$3:$C$36,0)),H1168&lt;=INDEX(PEMAGANG!$K$3:$K$36,MATCH(B1168,PEMAGANG!$C$3:$C$36,0))),1,0),0)</f>
        <v>1</v>
      </c>
      <c r="W1168" s="71">
        <f t="shared" si="170"/>
        <v>1</v>
      </c>
    </row>
    <row r="1169" spans="1:23" x14ac:dyDescent="0.2">
      <c r="A1169" s="71" t="s">
        <v>235</v>
      </c>
      <c r="B1169" s="71" t="s">
        <v>236</v>
      </c>
      <c r="C1169" s="71" t="s">
        <v>187</v>
      </c>
      <c r="D1169" s="71" t="s">
        <v>237</v>
      </c>
      <c r="E1169" s="71" t="s">
        <v>40</v>
      </c>
      <c r="F1169" s="71" t="s">
        <v>300</v>
      </c>
      <c r="G1169" s="88">
        <v>46182.688333333303</v>
      </c>
      <c r="H1169" s="89">
        <v>46182</v>
      </c>
      <c r="I1169" s="71" t="s">
        <v>336</v>
      </c>
      <c r="J1169" s="71">
        <v>0</v>
      </c>
      <c r="K1169" s="71" t="s">
        <v>302</v>
      </c>
      <c r="L1169" s="71">
        <f t="shared" si="162"/>
        <v>6</v>
      </c>
      <c r="M1169" s="71" t="str">
        <f>IFERROR(INDEX(KALENDER!$D$3:$D$132,MATCH(H1169,KALENDER!$A$3:$A$132,0)),"Di luar periode")</f>
        <v>Hari Kerja</v>
      </c>
      <c r="N1169" s="71">
        <f t="shared" si="163"/>
        <v>0</v>
      </c>
      <c r="O1169" s="71">
        <f t="shared" si="164"/>
        <v>1</v>
      </c>
      <c r="P1169" s="71">
        <f t="shared" si="165"/>
        <v>0</v>
      </c>
      <c r="Q1169" s="71">
        <f t="shared" si="166"/>
        <v>0</v>
      </c>
      <c r="R1169" s="71">
        <f t="shared" si="167"/>
        <v>0</v>
      </c>
      <c r="S1169" s="71">
        <f t="shared" si="168"/>
        <v>0</v>
      </c>
      <c r="T1169" s="71">
        <f t="shared" si="169"/>
        <v>0</v>
      </c>
      <c r="U1169" s="71">
        <f>IF(AND(N1169=1,V1169=1),IF(COUNTIFS(AKTIVITAS!$B$2:$B$3052,B1169,AKTIVITAS!$E$2:$E$3052,H1169)&gt;0,1,0),0)</f>
        <v>0</v>
      </c>
      <c r="V1169" s="71">
        <f>IFERROR(IF(AND(H1169&gt;=INDEX(PEMAGANG!$J$3:$J$36,MATCH(B1169,PEMAGANG!$C$3:$C$36,0)),H1169&lt;=INDEX(PEMAGANG!$K$3:$K$36,MATCH(B1169,PEMAGANG!$C$3:$C$36,0))),1,0),0)</f>
        <v>1</v>
      </c>
      <c r="W1169" s="71">
        <f t="shared" si="170"/>
        <v>0</v>
      </c>
    </row>
    <row r="1170" spans="1:23" x14ac:dyDescent="0.2">
      <c r="A1170" s="71" t="s">
        <v>235</v>
      </c>
      <c r="B1170" s="71" t="s">
        <v>236</v>
      </c>
      <c r="C1170" s="71" t="s">
        <v>187</v>
      </c>
      <c r="D1170" s="71" t="s">
        <v>237</v>
      </c>
      <c r="E1170" s="71" t="s">
        <v>40</v>
      </c>
      <c r="F1170" s="71" t="s">
        <v>298</v>
      </c>
      <c r="G1170" s="88">
        <v>46184.308043981502</v>
      </c>
      <c r="H1170" s="89">
        <v>46184</v>
      </c>
      <c r="I1170" s="71" t="s">
        <v>311</v>
      </c>
      <c r="J1170" s="71">
        <v>-6.9999999999999796</v>
      </c>
      <c r="K1170" s="71" t="s">
        <v>302</v>
      </c>
      <c r="L1170" s="71">
        <f t="shared" si="162"/>
        <v>6</v>
      </c>
      <c r="M1170" s="71" t="str">
        <f>IFERROR(INDEX(KALENDER!$D$3:$D$132,MATCH(H1170,KALENDER!$A$3:$A$132,0)),"Di luar periode")</f>
        <v>Hari Kerja</v>
      </c>
      <c r="N1170" s="71">
        <f t="shared" si="163"/>
        <v>1</v>
      </c>
      <c r="O1170" s="71">
        <f t="shared" si="164"/>
        <v>1</v>
      </c>
      <c r="P1170" s="71">
        <f t="shared" si="165"/>
        <v>1</v>
      </c>
      <c r="Q1170" s="71">
        <f t="shared" si="166"/>
        <v>0</v>
      </c>
      <c r="R1170" s="71">
        <f t="shared" si="167"/>
        <v>0</v>
      </c>
      <c r="S1170" s="71">
        <f t="shared" si="168"/>
        <v>0</v>
      </c>
      <c r="T1170" s="71">
        <f t="shared" si="169"/>
        <v>0</v>
      </c>
      <c r="U1170" s="71">
        <f>IF(AND(N1170=1,V1170=1),IF(COUNTIFS(AKTIVITAS!$B$2:$B$3052,B1170,AKTIVITAS!$E$2:$E$3052,H1170)&gt;0,1,0),0)</f>
        <v>1</v>
      </c>
      <c r="V1170" s="71">
        <f>IFERROR(IF(AND(H1170&gt;=INDEX(PEMAGANG!$J$3:$J$36,MATCH(B1170,PEMAGANG!$C$3:$C$36,0)),H1170&lt;=INDEX(PEMAGANG!$K$3:$K$36,MATCH(B1170,PEMAGANG!$C$3:$C$36,0))),1,0),0)</f>
        <v>1</v>
      </c>
      <c r="W1170" s="71">
        <f t="shared" si="170"/>
        <v>1</v>
      </c>
    </row>
    <row r="1171" spans="1:23" x14ac:dyDescent="0.2">
      <c r="A1171" s="71" t="s">
        <v>235</v>
      </c>
      <c r="B1171" s="71" t="s">
        <v>236</v>
      </c>
      <c r="C1171" s="71" t="s">
        <v>187</v>
      </c>
      <c r="D1171" s="71" t="s">
        <v>237</v>
      </c>
      <c r="E1171" s="71" t="s">
        <v>40</v>
      </c>
      <c r="F1171" s="71" t="s">
        <v>300</v>
      </c>
      <c r="G1171" s="88">
        <v>46184.689143518503</v>
      </c>
      <c r="H1171" s="89">
        <v>46184</v>
      </c>
      <c r="I1171" s="71" t="s">
        <v>306</v>
      </c>
      <c r="J1171" s="71">
        <v>0</v>
      </c>
      <c r="K1171" s="71" t="s">
        <v>302</v>
      </c>
      <c r="L1171" s="71">
        <f t="shared" si="162"/>
        <v>6</v>
      </c>
      <c r="M1171" s="71" t="str">
        <f>IFERROR(INDEX(KALENDER!$D$3:$D$132,MATCH(H1171,KALENDER!$A$3:$A$132,0)),"Di luar periode")</f>
        <v>Hari Kerja</v>
      </c>
      <c r="N1171" s="71">
        <f t="shared" si="163"/>
        <v>0</v>
      </c>
      <c r="O1171" s="71">
        <f t="shared" si="164"/>
        <v>1</v>
      </c>
      <c r="P1171" s="71">
        <f t="shared" si="165"/>
        <v>0</v>
      </c>
      <c r="Q1171" s="71">
        <f t="shared" si="166"/>
        <v>0</v>
      </c>
      <c r="R1171" s="71">
        <f t="shared" si="167"/>
        <v>0</v>
      </c>
      <c r="S1171" s="71">
        <f t="shared" si="168"/>
        <v>0</v>
      </c>
      <c r="T1171" s="71">
        <f t="shared" si="169"/>
        <v>0</v>
      </c>
      <c r="U1171" s="71">
        <f>IF(AND(N1171=1,V1171=1),IF(COUNTIFS(AKTIVITAS!$B$2:$B$3052,B1171,AKTIVITAS!$E$2:$E$3052,H1171)&gt;0,1,0),0)</f>
        <v>0</v>
      </c>
      <c r="V1171" s="71">
        <f>IFERROR(IF(AND(H1171&gt;=INDEX(PEMAGANG!$J$3:$J$36,MATCH(B1171,PEMAGANG!$C$3:$C$36,0)),H1171&lt;=INDEX(PEMAGANG!$K$3:$K$36,MATCH(B1171,PEMAGANG!$C$3:$C$36,0))),1,0),0)</f>
        <v>1</v>
      </c>
      <c r="W1171" s="71">
        <f t="shared" si="170"/>
        <v>0</v>
      </c>
    </row>
    <row r="1172" spans="1:23" x14ac:dyDescent="0.2">
      <c r="A1172" s="71" t="s">
        <v>235</v>
      </c>
      <c r="B1172" s="71" t="s">
        <v>236</v>
      </c>
      <c r="C1172" s="71" t="s">
        <v>187</v>
      </c>
      <c r="D1172" s="71" t="s">
        <v>237</v>
      </c>
      <c r="E1172" s="71" t="s">
        <v>40</v>
      </c>
      <c r="F1172" s="71" t="s">
        <v>298</v>
      </c>
      <c r="G1172" s="88">
        <v>46185.315462963001</v>
      </c>
      <c r="H1172" s="89">
        <v>46185</v>
      </c>
      <c r="I1172" s="71" t="s">
        <v>373</v>
      </c>
      <c r="J1172" s="71">
        <v>3.9999999999999898</v>
      </c>
      <c r="K1172" s="71" t="s">
        <v>293</v>
      </c>
      <c r="L1172" s="71">
        <f t="shared" si="162"/>
        <v>6</v>
      </c>
      <c r="M1172" s="71" t="str">
        <f>IFERROR(INDEX(KALENDER!$D$3:$D$132,MATCH(H1172,KALENDER!$A$3:$A$132,0)),"Di luar periode")</f>
        <v>Hari Kerja</v>
      </c>
      <c r="N1172" s="71">
        <f t="shared" si="163"/>
        <v>1</v>
      </c>
      <c r="O1172" s="71">
        <f t="shared" si="164"/>
        <v>1</v>
      </c>
      <c r="P1172" s="71">
        <f t="shared" si="165"/>
        <v>1</v>
      </c>
      <c r="Q1172" s="71">
        <f t="shared" si="166"/>
        <v>0</v>
      </c>
      <c r="R1172" s="71">
        <f t="shared" si="167"/>
        <v>1</v>
      </c>
      <c r="S1172" s="71">
        <f t="shared" si="168"/>
        <v>3.9999999999999898</v>
      </c>
      <c r="T1172" s="71">
        <f t="shared" si="169"/>
        <v>0</v>
      </c>
      <c r="U1172" s="71">
        <f>IF(AND(N1172=1,V1172=1),IF(COUNTIFS(AKTIVITAS!$B$2:$B$3052,B1172,AKTIVITAS!$E$2:$E$3052,H1172)&gt;0,1,0),0)</f>
        <v>1</v>
      </c>
      <c r="V1172" s="71">
        <f>IFERROR(IF(AND(H1172&gt;=INDEX(PEMAGANG!$J$3:$J$36,MATCH(B1172,PEMAGANG!$C$3:$C$36,0)),H1172&lt;=INDEX(PEMAGANG!$K$3:$K$36,MATCH(B1172,PEMAGANG!$C$3:$C$36,0))),1,0),0)</f>
        <v>1</v>
      </c>
      <c r="W1172" s="71">
        <f t="shared" si="170"/>
        <v>1</v>
      </c>
    </row>
    <row r="1173" spans="1:23" x14ac:dyDescent="0.2">
      <c r="A1173" s="71" t="s">
        <v>235</v>
      </c>
      <c r="B1173" s="71" t="s">
        <v>236</v>
      </c>
      <c r="C1173" s="71" t="s">
        <v>187</v>
      </c>
      <c r="D1173" s="71" t="s">
        <v>237</v>
      </c>
      <c r="E1173" s="71" t="s">
        <v>40</v>
      </c>
      <c r="F1173" s="71" t="s">
        <v>300</v>
      </c>
      <c r="G1173" s="88">
        <v>46185.689606481501</v>
      </c>
      <c r="H1173" s="89">
        <v>46185</v>
      </c>
      <c r="I1173" s="71" t="s">
        <v>316</v>
      </c>
      <c r="J1173" s="71">
        <v>0</v>
      </c>
      <c r="K1173" s="71" t="s">
        <v>302</v>
      </c>
      <c r="L1173" s="71">
        <f t="shared" si="162"/>
        <v>6</v>
      </c>
      <c r="M1173" s="71" t="str">
        <f>IFERROR(INDEX(KALENDER!$D$3:$D$132,MATCH(H1173,KALENDER!$A$3:$A$132,0)),"Di luar periode")</f>
        <v>Hari Kerja</v>
      </c>
      <c r="N1173" s="71">
        <f t="shared" si="163"/>
        <v>0</v>
      </c>
      <c r="O1173" s="71">
        <f t="shared" si="164"/>
        <v>1</v>
      </c>
      <c r="P1173" s="71">
        <f t="shared" si="165"/>
        <v>0</v>
      </c>
      <c r="Q1173" s="71">
        <f t="shared" si="166"/>
        <v>0</v>
      </c>
      <c r="R1173" s="71">
        <f t="shared" si="167"/>
        <v>0</v>
      </c>
      <c r="S1173" s="71">
        <f t="shared" si="168"/>
        <v>0</v>
      </c>
      <c r="T1173" s="71">
        <f t="shared" si="169"/>
        <v>0</v>
      </c>
      <c r="U1173" s="71">
        <f>IF(AND(N1173=1,V1173=1),IF(COUNTIFS(AKTIVITAS!$B$2:$B$3052,B1173,AKTIVITAS!$E$2:$E$3052,H1173)&gt;0,1,0),0)</f>
        <v>0</v>
      </c>
      <c r="V1173" s="71">
        <f>IFERROR(IF(AND(H1173&gt;=INDEX(PEMAGANG!$J$3:$J$36,MATCH(B1173,PEMAGANG!$C$3:$C$36,0)),H1173&lt;=INDEX(PEMAGANG!$K$3:$K$36,MATCH(B1173,PEMAGANG!$C$3:$C$36,0))),1,0),0)</f>
        <v>1</v>
      </c>
      <c r="W1173" s="71">
        <f t="shared" si="170"/>
        <v>0</v>
      </c>
    </row>
    <row r="1174" spans="1:23" x14ac:dyDescent="0.2">
      <c r="A1174" s="71" t="s">
        <v>235</v>
      </c>
      <c r="B1174" s="71" t="s">
        <v>236</v>
      </c>
      <c r="C1174" s="71" t="s">
        <v>187</v>
      </c>
      <c r="D1174" s="71" t="s">
        <v>237</v>
      </c>
      <c r="E1174" s="71" t="s">
        <v>40</v>
      </c>
      <c r="F1174" s="71" t="s">
        <v>298</v>
      </c>
      <c r="G1174" s="88">
        <v>46188.313495370399</v>
      </c>
      <c r="H1174" s="89">
        <v>46188</v>
      </c>
      <c r="I1174" s="71" t="s">
        <v>392</v>
      </c>
      <c r="J1174" s="71">
        <v>0.999999999999996</v>
      </c>
      <c r="K1174" s="71" t="s">
        <v>293</v>
      </c>
      <c r="L1174" s="71">
        <f t="shared" si="162"/>
        <v>6</v>
      </c>
      <c r="M1174" s="71" t="str">
        <f>IFERROR(INDEX(KALENDER!$D$3:$D$132,MATCH(H1174,KALENDER!$A$3:$A$132,0)),"Di luar periode")</f>
        <v>Hari Kerja</v>
      </c>
      <c r="N1174" s="71">
        <f t="shared" si="163"/>
        <v>1</v>
      </c>
      <c r="O1174" s="71">
        <f t="shared" si="164"/>
        <v>1</v>
      </c>
      <c r="P1174" s="71">
        <f t="shared" si="165"/>
        <v>1</v>
      </c>
      <c r="Q1174" s="71">
        <f t="shared" si="166"/>
        <v>0</v>
      </c>
      <c r="R1174" s="71">
        <f t="shared" si="167"/>
        <v>1</v>
      </c>
      <c r="S1174" s="71">
        <f t="shared" si="168"/>
        <v>0.999999999999996</v>
      </c>
      <c r="T1174" s="71">
        <f t="shared" si="169"/>
        <v>0</v>
      </c>
      <c r="U1174" s="71">
        <f>IF(AND(N1174=1,V1174=1),IF(COUNTIFS(AKTIVITAS!$B$2:$B$3052,B1174,AKTIVITAS!$E$2:$E$3052,H1174)&gt;0,1,0),0)</f>
        <v>1</v>
      </c>
      <c r="V1174" s="71">
        <f>IFERROR(IF(AND(H1174&gt;=INDEX(PEMAGANG!$J$3:$J$36,MATCH(B1174,PEMAGANG!$C$3:$C$36,0)),H1174&lt;=INDEX(PEMAGANG!$K$3:$K$36,MATCH(B1174,PEMAGANG!$C$3:$C$36,0))),1,0),0)</f>
        <v>1</v>
      </c>
      <c r="W1174" s="71">
        <f t="shared" si="170"/>
        <v>1</v>
      </c>
    </row>
    <row r="1175" spans="1:23" x14ac:dyDescent="0.2">
      <c r="A1175" s="71" t="s">
        <v>235</v>
      </c>
      <c r="B1175" s="71" t="s">
        <v>236</v>
      </c>
      <c r="C1175" s="71" t="s">
        <v>187</v>
      </c>
      <c r="D1175" s="71" t="s">
        <v>237</v>
      </c>
      <c r="E1175" s="71" t="s">
        <v>40</v>
      </c>
      <c r="F1175" s="71" t="s">
        <v>300</v>
      </c>
      <c r="G1175" s="88">
        <v>46188.688831018502</v>
      </c>
      <c r="H1175" s="89">
        <v>46188</v>
      </c>
      <c r="I1175" s="71" t="s">
        <v>336</v>
      </c>
      <c r="J1175" s="71">
        <v>0</v>
      </c>
      <c r="K1175" s="71" t="s">
        <v>302</v>
      </c>
      <c r="L1175" s="71">
        <f t="shared" si="162"/>
        <v>6</v>
      </c>
      <c r="M1175" s="71" t="str">
        <f>IFERROR(INDEX(KALENDER!$D$3:$D$132,MATCH(H1175,KALENDER!$A$3:$A$132,0)),"Di luar periode")</f>
        <v>Hari Kerja</v>
      </c>
      <c r="N1175" s="71">
        <f t="shared" si="163"/>
        <v>0</v>
      </c>
      <c r="O1175" s="71">
        <f t="shared" si="164"/>
        <v>1</v>
      </c>
      <c r="P1175" s="71">
        <f t="shared" si="165"/>
        <v>0</v>
      </c>
      <c r="Q1175" s="71">
        <f t="shared" si="166"/>
        <v>0</v>
      </c>
      <c r="R1175" s="71">
        <f t="shared" si="167"/>
        <v>0</v>
      </c>
      <c r="S1175" s="71">
        <f t="shared" si="168"/>
        <v>0</v>
      </c>
      <c r="T1175" s="71">
        <f t="shared" si="169"/>
        <v>0</v>
      </c>
      <c r="U1175" s="71">
        <f>IF(AND(N1175=1,V1175=1),IF(COUNTIFS(AKTIVITAS!$B$2:$B$3052,B1175,AKTIVITAS!$E$2:$E$3052,H1175)&gt;0,1,0),0)</f>
        <v>0</v>
      </c>
      <c r="V1175" s="71">
        <f>IFERROR(IF(AND(H1175&gt;=INDEX(PEMAGANG!$J$3:$J$36,MATCH(B1175,PEMAGANG!$C$3:$C$36,0)),H1175&lt;=INDEX(PEMAGANG!$K$3:$K$36,MATCH(B1175,PEMAGANG!$C$3:$C$36,0))),1,0),0)</f>
        <v>1</v>
      </c>
      <c r="W1175" s="71">
        <f t="shared" si="170"/>
        <v>0</v>
      </c>
    </row>
    <row r="1176" spans="1:23" x14ac:dyDescent="0.2">
      <c r="A1176" s="71" t="s">
        <v>235</v>
      </c>
      <c r="B1176" s="71" t="s">
        <v>236</v>
      </c>
      <c r="C1176" s="71" t="s">
        <v>187</v>
      </c>
      <c r="D1176" s="71" t="s">
        <v>237</v>
      </c>
      <c r="E1176" s="71" t="s">
        <v>40</v>
      </c>
      <c r="F1176" s="71" t="s">
        <v>298</v>
      </c>
      <c r="G1176" s="88">
        <v>46192.311412037001</v>
      </c>
      <c r="H1176" s="89">
        <v>46192</v>
      </c>
      <c r="I1176" s="71" t="s">
        <v>377</v>
      </c>
      <c r="J1176" s="71">
        <v>-1.99999999999999</v>
      </c>
      <c r="K1176" s="71" t="s">
        <v>302</v>
      </c>
      <c r="L1176" s="71">
        <f t="shared" si="162"/>
        <v>6</v>
      </c>
      <c r="M1176" s="71" t="str">
        <f>IFERROR(INDEX(KALENDER!$D$3:$D$132,MATCH(H1176,KALENDER!$A$3:$A$132,0)),"Di luar periode")</f>
        <v>Hari Kerja</v>
      </c>
      <c r="N1176" s="71">
        <f t="shared" si="163"/>
        <v>1</v>
      </c>
      <c r="O1176" s="71">
        <f t="shared" si="164"/>
        <v>1</v>
      </c>
      <c r="P1176" s="71">
        <f t="shared" si="165"/>
        <v>1</v>
      </c>
      <c r="Q1176" s="71">
        <f t="shared" si="166"/>
        <v>0</v>
      </c>
      <c r="R1176" s="71">
        <f t="shared" si="167"/>
        <v>0</v>
      </c>
      <c r="S1176" s="71">
        <f t="shared" si="168"/>
        <v>0</v>
      </c>
      <c r="T1176" s="71">
        <f t="shared" si="169"/>
        <v>1</v>
      </c>
      <c r="U1176" s="71">
        <f>IF(AND(N1176=1,V1176=1),IF(COUNTIFS(AKTIVITAS!$B$2:$B$3052,B1176,AKTIVITAS!$E$2:$E$3052,H1176)&gt;0,1,0),0)</f>
        <v>1</v>
      </c>
      <c r="V1176" s="71">
        <f>IFERROR(IF(AND(H1176&gt;=INDEX(PEMAGANG!$J$3:$J$36,MATCH(B1176,PEMAGANG!$C$3:$C$36,0)),H1176&lt;=INDEX(PEMAGANG!$K$3:$K$36,MATCH(B1176,PEMAGANG!$C$3:$C$36,0))),1,0),0)</f>
        <v>1</v>
      </c>
      <c r="W1176" s="71">
        <f t="shared" si="170"/>
        <v>1</v>
      </c>
    </row>
    <row r="1177" spans="1:23" x14ac:dyDescent="0.2">
      <c r="A1177" s="71" t="s">
        <v>235</v>
      </c>
      <c r="B1177" s="71" t="s">
        <v>236</v>
      </c>
      <c r="C1177" s="71" t="s">
        <v>187</v>
      </c>
      <c r="D1177" s="71" t="s">
        <v>237</v>
      </c>
      <c r="E1177" s="71" t="s">
        <v>40</v>
      </c>
      <c r="F1177" s="71" t="s">
        <v>298</v>
      </c>
      <c r="G1177" s="88">
        <v>46206.3132638889</v>
      </c>
      <c r="H1177" s="89">
        <v>46206</v>
      </c>
      <c r="I1177" s="71" t="s">
        <v>392</v>
      </c>
      <c r="J1177" s="71">
        <v>0.999999999999996</v>
      </c>
      <c r="K1177" s="71" t="s">
        <v>293</v>
      </c>
      <c r="L1177" s="71">
        <f t="shared" si="162"/>
        <v>7</v>
      </c>
      <c r="M1177" s="71" t="str">
        <f>IFERROR(INDEX(KALENDER!$D$3:$D$132,MATCH(H1177,KALENDER!$A$3:$A$132,0)),"Di luar periode")</f>
        <v>Hari Kerja</v>
      </c>
      <c r="N1177" s="71">
        <f t="shared" si="163"/>
        <v>1</v>
      </c>
      <c r="O1177" s="71">
        <f t="shared" si="164"/>
        <v>1</v>
      </c>
      <c r="P1177" s="71">
        <f t="shared" si="165"/>
        <v>1</v>
      </c>
      <c r="Q1177" s="71">
        <f t="shared" si="166"/>
        <v>0</v>
      </c>
      <c r="R1177" s="71">
        <f t="shared" si="167"/>
        <v>1</v>
      </c>
      <c r="S1177" s="71">
        <f t="shared" si="168"/>
        <v>0.999999999999996</v>
      </c>
      <c r="T1177" s="71">
        <f t="shared" si="169"/>
        <v>0</v>
      </c>
      <c r="U1177" s="71">
        <f>IF(AND(N1177=1,V1177=1),IF(COUNTIFS(AKTIVITAS!$B$2:$B$3052,B1177,AKTIVITAS!$E$2:$E$3052,H1177)&gt;0,1,0),0)</f>
        <v>1</v>
      </c>
      <c r="V1177" s="71">
        <f>IFERROR(IF(AND(H1177&gt;=INDEX(PEMAGANG!$J$3:$J$36,MATCH(B1177,PEMAGANG!$C$3:$C$36,0)),H1177&lt;=INDEX(PEMAGANG!$K$3:$K$36,MATCH(B1177,PEMAGANG!$C$3:$C$36,0))),1,0),0)</f>
        <v>1</v>
      </c>
      <c r="W1177" s="71">
        <f t="shared" si="170"/>
        <v>1</v>
      </c>
    </row>
    <row r="1178" spans="1:23" x14ac:dyDescent="0.2">
      <c r="A1178" s="71" t="s">
        <v>235</v>
      </c>
      <c r="B1178" s="71" t="s">
        <v>236</v>
      </c>
      <c r="C1178" s="71" t="s">
        <v>187</v>
      </c>
      <c r="D1178" s="71" t="s">
        <v>237</v>
      </c>
      <c r="E1178" s="71" t="s">
        <v>40</v>
      </c>
      <c r="F1178" s="71" t="s">
        <v>300</v>
      </c>
      <c r="G1178" s="88">
        <v>46206.692337963003</v>
      </c>
      <c r="H1178" s="89">
        <v>46206</v>
      </c>
      <c r="I1178" s="71" t="s">
        <v>344</v>
      </c>
      <c r="J1178" s="71">
        <v>0</v>
      </c>
      <c r="K1178" s="71" t="s">
        <v>302</v>
      </c>
      <c r="L1178" s="71">
        <f t="shared" si="162"/>
        <v>7</v>
      </c>
      <c r="M1178" s="71" t="str">
        <f>IFERROR(INDEX(KALENDER!$D$3:$D$132,MATCH(H1178,KALENDER!$A$3:$A$132,0)),"Di luar periode")</f>
        <v>Hari Kerja</v>
      </c>
      <c r="N1178" s="71">
        <f t="shared" si="163"/>
        <v>0</v>
      </c>
      <c r="O1178" s="71">
        <f t="shared" si="164"/>
        <v>1</v>
      </c>
      <c r="P1178" s="71">
        <f t="shared" si="165"/>
        <v>0</v>
      </c>
      <c r="Q1178" s="71">
        <f t="shared" si="166"/>
        <v>0</v>
      </c>
      <c r="R1178" s="71">
        <f t="shared" si="167"/>
        <v>0</v>
      </c>
      <c r="S1178" s="71">
        <f t="shared" si="168"/>
        <v>0</v>
      </c>
      <c r="T1178" s="71">
        <f t="shared" si="169"/>
        <v>0</v>
      </c>
      <c r="U1178" s="71">
        <f>IF(AND(N1178=1,V1178=1),IF(COUNTIFS(AKTIVITAS!$B$2:$B$3052,B1178,AKTIVITAS!$E$2:$E$3052,H1178)&gt;0,1,0),0)</f>
        <v>0</v>
      </c>
      <c r="V1178" s="71">
        <f>IFERROR(IF(AND(H1178&gt;=INDEX(PEMAGANG!$J$3:$J$36,MATCH(B1178,PEMAGANG!$C$3:$C$36,0)),H1178&lt;=INDEX(PEMAGANG!$K$3:$K$36,MATCH(B1178,PEMAGANG!$C$3:$C$36,0))),1,0),0)</f>
        <v>1</v>
      </c>
      <c r="W1178" s="71">
        <f t="shared" si="170"/>
        <v>0</v>
      </c>
    </row>
    <row r="1179" spans="1:23" x14ac:dyDescent="0.2">
      <c r="A1179" s="71" t="s">
        <v>235</v>
      </c>
      <c r="B1179" s="71" t="s">
        <v>236</v>
      </c>
      <c r="C1179" s="71" t="s">
        <v>187</v>
      </c>
      <c r="D1179" s="71" t="s">
        <v>237</v>
      </c>
      <c r="E1179" s="71" t="s">
        <v>40</v>
      </c>
      <c r="F1179" s="71" t="s">
        <v>298</v>
      </c>
      <c r="G1179" s="88">
        <v>46209.3125925926</v>
      </c>
      <c r="H1179" s="89">
        <v>46209</v>
      </c>
      <c r="I1179" s="71" t="s">
        <v>335</v>
      </c>
      <c r="J1179" s="71">
        <v>0</v>
      </c>
      <c r="K1179" s="71" t="s">
        <v>302</v>
      </c>
      <c r="L1179" s="71">
        <f t="shared" si="162"/>
        <v>7</v>
      </c>
      <c r="M1179" s="71" t="str">
        <f>IFERROR(INDEX(KALENDER!$D$3:$D$132,MATCH(H1179,KALENDER!$A$3:$A$132,0)),"Di luar periode")</f>
        <v>Hari Kerja</v>
      </c>
      <c r="N1179" s="71">
        <f t="shared" si="163"/>
        <v>1</v>
      </c>
      <c r="O1179" s="71">
        <f t="shared" si="164"/>
        <v>1</v>
      </c>
      <c r="P1179" s="71">
        <f t="shared" si="165"/>
        <v>1</v>
      </c>
      <c r="Q1179" s="71">
        <f t="shared" si="166"/>
        <v>0</v>
      </c>
      <c r="R1179" s="71">
        <f t="shared" si="167"/>
        <v>0</v>
      </c>
      <c r="S1179" s="71">
        <f t="shared" si="168"/>
        <v>0</v>
      </c>
      <c r="T1179" s="71">
        <f t="shared" si="169"/>
        <v>0</v>
      </c>
      <c r="U1179" s="71">
        <f>IF(AND(N1179=1,V1179=1),IF(COUNTIFS(AKTIVITAS!$B$2:$B$3052,B1179,AKTIVITAS!$E$2:$E$3052,H1179)&gt;0,1,0),0)</f>
        <v>1</v>
      </c>
      <c r="V1179" s="71">
        <f>IFERROR(IF(AND(H1179&gt;=INDEX(PEMAGANG!$J$3:$J$36,MATCH(B1179,PEMAGANG!$C$3:$C$36,0)),H1179&lt;=INDEX(PEMAGANG!$K$3:$K$36,MATCH(B1179,PEMAGANG!$C$3:$C$36,0))),1,0),0)</f>
        <v>1</v>
      </c>
      <c r="W1179" s="71">
        <f t="shared" si="170"/>
        <v>1</v>
      </c>
    </row>
    <row r="1180" spans="1:23" x14ac:dyDescent="0.2">
      <c r="A1180" s="71" t="s">
        <v>235</v>
      </c>
      <c r="B1180" s="71" t="s">
        <v>236</v>
      </c>
      <c r="C1180" s="71" t="s">
        <v>187</v>
      </c>
      <c r="D1180" s="71" t="s">
        <v>237</v>
      </c>
      <c r="E1180" s="71" t="s">
        <v>40</v>
      </c>
      <c r="F1180" s="71" t="s">
        <v>300</v>
      </c>
      <c r="G1180" s="88">
        <v>46209.692430555602</v>
      </c>
      <c r="H1180" s="89">
        <v>46209</v>
      </c>
      <c r="I1180" s="71" t="s">
        <v>328</v>
      </c>
      <c r="J1180" s="71">
        <v>0</v>
      </c>
      <c r="K1180" s="71" t="s">
        <v>302</v>
      </c>
      <c r="L1180" s="71">
        <f t="shared" si="162"/>
        <v>7</v>
      </c>
      <c r="M1180" s="71" t="str">
        <f>IFERROR(INDEX(KALENDER!$D$3:$D$132,MATCH(H1180,KALENDER!$A$3:$A$132,0)),"Di luar periode")</f>
        <v>Hari Kerja</v>
      </c>
      <c r="N1180" s="71">
        <f t="shared" si="163"/>
        <v>0</v>
      </c>
      <c r="O1180" s="71">
        <f t="shared" si="164"/>
        <v>1</v>
      </c>
      <c r="P1180" s="71">
        <f t="shared" si="165"/>
        <v>0</v>
      </c>
      <c r="Q1180" s="71">
        <f t="shared" si="166"/>
        <v>0</v>
      </c>
      <c r="R1180" s="71">
        <f t="shared" si="167"/>
        <v>0</v>
      </c>
      <c r="S1180" s="71">
        <f t="shared" si="168"/>
        <v>0</v>
      </c>
      <c r="T1180" s="71">
        <f t="shared" si="169"/>
        <v>0</v>
      </c>
      <c r="U1180" s="71">
        <f>IF(AND(N1180=1,V1180=1),IF(COUNTIFS(AKTIVITAS!$B$2:$B$3052,B1180,AKTIVITAS!$E$2:$E$3052,H1180)&gt;0,1,0),0)</f>
        <v>0</v>
      </c>
      <c r="V1180" s="71">
        <f>IFERROR(IF(AND(H1180&gt;=INDEX(PEMAGANG!$J$3:$J$36,MATCH(B1180,PEMAGANG!$C$3:$C$36,0)),H1180&lt;=INDEX(PEMAGANG!$K$3:$K$36,MATCH(B1180,PEMAGANG!$C$3:$C$36,0))),1,0),0)</f>
        <v>1</v>
      </c>
      <c r="W1180" s="71">
        <f t="shared" si="170"/>
        <v>0</v>
      </c>
    </row>
    <row r="1181" spans="1:23" x14ac:dyDescent="0.2">
      <c r="A1181" s="71" t="s">
        <v>235</v>
      </c>
      <c r="B1181" s="71" t="s">
        <v>236</v>
      </c>
      <c r="C1181" s="71" t="s">
        <v>187</v>
      </c>
      <c r="D1181" s="71" t="s">
        <v>237</v>
      </c>
      <c r="E1181" s="71" t="s">
        <v>40</v>
      </c>
      <c r="F1181" s="71" t="s">
        <v>298</v>
      </c>
      <c r="G1181" s="88">
        <v>46210.308020833298</v>
      </c>
      <c r="H1181" s="89">
        <v>46210</v>
      </c>
      <c r="I1181" s="71" t="s">
        <v>311</v>
      </c>
      <c r="J1181" s="71">
        <v>-6.9999999999999796</v>
      </c>
      <c r="K1181" s="71" t="s">
        <v>302</v>
      </c>
      <c r="L1181" s="71">
        <f t="shared" si="162"/>
        <v>7</v>
      </c>
      <c r="M1181" s="71" t="str">
        <f>IFERROR(INDEX(KALENDER!$D$3:$D$132,MATCH(H1181,KALENDER!$A$3:$A$132,0)),"Di luar periode")</f>
        <v>Hari Kerja</v>
      </c>
      <c r="N1181" s="71">
        <f t="shared" si="163"/>
        <v>1</v>
      </c>
      <c r="O1181" s="71">
        <f t="shared" si="164"/>
        <v>1</v>
      </c>
      <c r="P1181" s="71">
        <f t="shared" si="165"/>
        <v>1</v>
      </c>
      <c r="Q1181" s="71">
        <f t="shared" si="166"/>
        <v>0</v>
      </c>
      <c r="R1181" s="71">
        <f t="shared" si="167"/>
        <v>0</v>
      </c>
      <c r="S1181" s="71">
        <f t="shared" si="168"/>
        <v>0</v>
      </c>
      <c r="T1181" s="71">
        <f t="shared" si="169"/>
        <v>0</v>
      </c>
      <c r="U1181" s="71">
        <f>IF(AND(N1181=1,V1181=1),IF(COUNTIFS(AKTIVITAS!$B$2:$B$3052,B1181,AKTIVITAS!$E$2:$E$3052,H1181)&gt;0,1,0),0)</f>
        <v>1</v>
      </c>
      <c r="V1181" s="71">
        <f>IFERROR(IF(AND(H1181&gt;=INDEX(PEMAGANG!$J$3:$J$36,MATCH(B1181,PEMAGANG!$C$3:$C$36,0)),H1181&lt;=INDEX(PEMAGANG!$K$3:$K$36,MATCH(B1181,PEMAGANG!$C$3:$C$36,0))),1,0),0)</f>
        <v>1</v>
      </c>
      <c r="W1181" s="71">
        <f t="shared" si="170"/>
        <v>1</v>
      </c>
    </row>
    <row r="1182" spans="1:23" x14ac:dyDescent="0.2">
      <c r="A1182" s="71" t="s">
        <v>235</v>
      </c>
      <c r="B1182" s="71" t="s">
        <v>236</v>
      </c>
      <c r="C1182" s="71" t="s">
        <v>187</v>
      </c>
      <c r="D1182" s="71" t="s">
        <v>237</v>
      </c>
      <c r="E1182" s="71" t="s">
        <v>40</v>
      </c>
      <c r="F1182" s="71" t="s">
        <v>300</v>
      </c>
      <c r="G1182" s="88">
        <v>46210.691689814797</v>
      </c>
      <c r="H1182" s="89">
        <v>46210</v>
      </c>
      <c r="I1182" s="71" t="s">
        <v>344</v>
      </c>
      <c r="J1182" s="71">
        <v>0</v>
      </c>
      <c r="K1182" s="71" t="s">
        <v>302</v>
      </c>
      <c r="L1182" s="71">
        <f t="shared" si="162"/>
        <v>7</v>
      </c>
      <c r="M1182" s="71" t="str">
        <f>IFERROR(INDEX(KALENDER!$D$3:$D$132,MATCH(H1182,KALENDER!$A$3:$A$132,0)),"Di luar periode")</f>
        <v>Hari Kerja</v>
      </c>
      <c r="N1182" s="71">
        <f t="shared" si="163"/>
        <v>0</v>
      </c>
      <c r="O1182" s="71">
        <f t="shared" si="164"/>
        <v>1</v>
      </c>
      <c r="P1182" s="71">
        <f t="shared" si="165"/>
        <v>0</v>
      </c>
      <c r="Q1182" s="71">
        <f t="shared" si="166"/>
        <v>0</v>
      </c>
      <c r="R1182" s="71">
        <f t="shared" si="167"/>
        <v>0</v>
      </c>
      <c r="S1182" s="71">
        <f t="shared" si="168"/>
        <v>0</v>
      </c>
      <c r="T1182" s="71">
        <f t="shared" si="169"/>
        <v>0</v>
      </c>
      <c r="U1182" s="71">
        <f>IF(AND(N1182=1,V1182=1),IF(COUNTIFS(AKTIVITAS!$B$2:$B$3052,B1182,AKTIVITAS!$E$2:$E$3052,H1182)&gt;0,1,0),0)</f>
        <v>0</v>
      </c>
      <c r="V1182" s="71">
        <f>IFERROR(IF(AND(H1182&gt;=INDEX(PEMAGANG!$J$3:$J$36,MATCH(B1182,PEMAGANG!$C$3:$C$36,0)),H1182&lt;=INDEX(PEMAGANG!$K$3:$K$36,MATCH(B1182,PEMAGANG!$C$3:$C$36,0))),1,0),0)</f>
        <v>1</v>
      </c>
      <c r="W1182" s="71">
        <f t="shared" si="170"/>
        <v>0</v>
      </c>
    </row>
    <row r="1183" spans="1:23" x14ac:dyDescent="0.2">
      <c r="A1183" s="71" t="s">
        <v>235</v>
      </c>
      <c r="B1183" s="71" t="s">
        <v>236</v>
      </c>
      <c r="C1183" s="71" t="s">
        <v>187</v>
      </c>
      <c r="D1183" s="71" t="s">
        <v>237</v>
      </c>
      <c r="E1183" s="71" t="s">
        <v>40</v>
      </c>
      <c r="F1183" s="71" t="s">
        <v>298</v>
      </c>
      <c r="G1183" s="88">
        <v>46216.311481481498</v>
      </c>
      <c r="H1183" s="89">
        <v>46216</v>
      </c>
      <c r="I1183" s="71" t="s">
        <v>377</v>
      </c>
      <c r="J1183" s="71">
        <v>-1.99999999999999</v>
      </c>
      <c r="K1183" s="71" t="s">
        <v>302</v>
      </c>
      <c r="L1183" s="71">
        <f t="shared" si="162"/>
        <v>7</v>
      </c>
      <c r="M1183" s="71" t="str">
        <f>IFERROR(INDEX(KALENDER!$D$3:$D$132,MATCH(H1183,KALENDER!$A$3:$A$132,0)),"Di luar periode")</f>
        <v>Hari Kerja</v>
      </c>
      <c r="N1183" s="71">
        <f t="shared" si="163"/>
        <v>1</v>
      </c>
      <c r="O1183" s="71">
        <f t="shared" si="164"/>
        <v>1</v>
      </c>
      <c r="P1183" s="71">
        <f t="shared" si="165"/>
        <v>1</v>
      </c>
      <c r="Q1183" s="71">
        <f t="shared" si="166"/>
        <v>0</v>
      </c>
      <c r="R1183" s="71">
        <f t="shared" si="167"/>
        <v>0</v>
      </c>
      <c r="S1183" s="71">
        <f t="shared" si="168"/>
        <v>0</v>
      </c>
      <c r="T1183" s="71">
        <f t="shared" si="169"/>
        <v>0</v>
      </c>
      <c r="U1183" s="71">
        <f>IF(AND(N1183=1,V1183=1),IF(COUNTIFS(AKTIVITAS!$B$2:$B$3052,B1183,AKTIVITAS!$E$2:$E$3052,H1183)&gt;0,1,0),0)</f>
        <v>1</v>
      </c>
      <c r="V1183" s="71">
        <f>IFERROR(IF(AND(H1183&gt;=INDEX(PEMAGANG!$J$3:$J$36,MATCH(B1183,PEMAGANG!$C$3:$C$36,0)),H1183&lt;=INDEX(PEMAGANG!$K$3:$K$36,MATCH(B1183,PEMAGANG!$C$3:$C$36,0))),1,0),0)</f>
        <v>1</v>
      </c>
      <c r="W1183" s="71">
        <f t="shared" si="170"/>
        <v>1</v>
      </c>
    </row>
    <row r="1184" spans="1:23" x14ac:dyDescent="0.2">
      <c r="A1184" s="71" t="s">
        <v>235</v>
      </c>
      <c r="B1184" s="71" t="s">
        <v>236</v>
      </c>
      <c r="C1184" s="71" t="s">
        <v>187</v>
      </c>
      <c r="D1184" s="71" t="s">
        <v>237</v>
      </c>
      <c r="E1184" s="71" t="s">
        <v>40</v>
      </c>
      <c r="F1184" s="71" t="s">
        <v>300</v>
      </c>
      <c r="G1184" s="88">
        <v>46216.689016203702</v>
      </c>
      <c r="H1184" s="89">
        <v>46216</v>
      </c>
      <c r="I1184" s="71" t="s">
        <v>306</v>
      </c>
      <c r="J1184" s="71">
        <v>0</v>
      </c>
      <c r="K1184" s="71" t="s">
        <v>302</v>
      </c>
      <c r="L1184" s="71">
        <f t="shared" si="162"/>
        <v>7</v>
      </c>
      <c r="M1184" s="71" t="str">
        <f>IFERROR(INDEX(KALENDER!$D$3:$D$132,MATCH(H1184,KALENDER!$A$3:$A$132,0)),"Di luar periode")</f>
        <v>Hari Kerja</v>
      </c>
      <c r="N1184" s="71">
        <f t="shared" si="163"/>
        <v>0</v>
      </c>
      <c r="O1184" s="71">
        <f t="shared" si="164"/>
        <v>1</v>
      </c>
      <c r="P1184" s="71">
        <f t="shared" si="165"/>
        <v>0</v>
      </c>
      <c r="Q1184" s="71">
        <f t="shared" si="166"/>
        <v>0</v>
      </c>
      <c r="R1184" s="71">
        <f t="shared" si="167"/>
        <v>0</v>
      </c>
      <c r="S1184" s="71">
        <f t="shared" si="168"/>
        <v>0</v>
      </c>
      <c r="T1184" s="71">
        <f t="shared" si="169"/>
        <v>0</v>
      </c>
      <c r="U1184" s="71">
        <f>IF(AND(N1184=1,V1184=1),IF(COUNTIFS(AKTIVITAS!$B$2:$B$3052,B1184,AKTIVITAS!$E$2:$E$3052,H1184)&gt;0,1,0),0)</f>
        <v>0</v>
      </c>
      <c r="V1184" s="71">
        <f>IFERROR(IF(AND(H1184&gt;=INDEX(PEMAGANG!$J$3:$J$36,MATCH(B1184,PEMAGANG!$C$3:$C$36,0)),H1184&lt;=INDEX(PEMAGANG!$K$3:$K$36,MATCH(B1184,PEMAGANG!$C$3:$C$36,0))),1,0),0)</f>
        <v>1</v>
      </c>
      <c r="W1184" s="71">
        <f t="shared" si="170"/>
        <v>0</v>
      </c>
    </row>
    <row r="1185" spans="1:23" x14ac:dyDescent="0.2">
      <c r="A1185" s="71" t="s">
        <v>235</v>
      </c>
      <c r="B1185" s="71" t="s">
        <v>236</v>
      </c>
      <c r="C1185" s="71" t="s">
        <v>187</v>
      </c>
      <c r="D1185" s="71" t="s">
        <v>237</v>
      </c>
      <c r="E1185" s="71" t="s">
        <v>40</v>
      </c>
      <c r="F1185" s="71" t="s">
        <v>298</v>
      </c>
      <c r="G1185" s="88">
        <v>46217.309872685197</v>
      </c>
      <c r="H1185" s="89">
        <v>46217</v>
      </c>
      <c r="I1185" s="71" t="s">
        <v>315</v>
      </c>
      <c r="J1185" s="71">
        <v>-3.9999999999999898</v>
      </c>
      <c r="K1185" s="71" t="s">
        <v>302</v>
      </c>
      <c r="L1185" s="71">
        <f t="shared" si="162"/>
        <v>7</v>
      </c>
      <c r="M1185" s="71" t="str">
        <f>IFERROR(INDEX(KALENDER!$D$3:$D$132,MATCH(H1185,KALENDER!$A$3:$A$132,0)),"Di luar periode")</f>
        <v>Hari Kerja</v>
      </c>
      <c r="N1185" s="71">
        <f t="shared" si="163"/>
        <v>1</v>
      </c>
      <c r="O1185" s="71">
        <f t="shared" si="164"/>
        <v>1</v>
      </c>
      <c r="P1185" s="71">
        <f t="shared" si="165"/>
        <v>1</v>
      </c>
      <c r="Q1185" s="71">
        <f t="shared" si="166"/>
        <v>0</v>
      </c>
      <c r="R1185" s="71">
        <f t="shared" si="167"/>
        <v>0</v>
      </c>
      <c r="S1185" s="71">
        <f t="shared" si="168"/>
        <v>0</v>
      </c>
      <c r="T1185" s="71">
        <f t="shared" si="169"/>
        <v>0</v>
      </c>
      <c r="U1185" s="71">
        <f>IF(AND(N1185=1,V1185=1),IF(COUNTIFS(AKTIVITAS!$B$2:$B$3052,B1185,AKTIVITAS!$E$2:$E$3052,H1185)&gt;0,1,0),0)</f>
        <v>1</v>
      </c>
      <c r="V1185" s="71">
        <f>IFERROR(IF(AND(H1185&gt;=INDEX(PEMAGANG!$J$3:$J$36,MATCH(B1185,PEMAGANG!$C$3:$C$36,0)),H1185&lt;=INDEX(PEMAGANG!$K$3:$K$36,MATCH(B1185,PEMAGANG!$C$3:$C$36,0))),1,0),0)</f>
        <v>1</v>
      </c>
      <c r="W1185" s="71">
        <f t="shared" si="170"/>
        <v>1</v>
      </c>
    </row>
    <row r="1186" spans="1:23" x14ac:dyDescent="0.2">
      <c r="A1186" s="71" t="s">
        <v>235</v>
      </c>
      <c r="B1186" s="71" t="s">
        <v>236</v>
      </c>
      <c r="C1186" s="71" t="s">
        <v>187</v>
      </c>
      <c r="D1186" s="71" t="s">
        <v>237</v>
      </c>
      <c r="E1186" s="71" t="s">
        <v>40</v>
      </c>
      <c r="F1186" s="71" t="s">
        <v>300</v>
      </c>
      <c r="G1186" s="88">
        <v>46217.698645833298</v>
      </c>
      <c r="H1186" s="89">
        <v>46217</v>
      </c>
      <c r="I1186" s="71" t="s">
        <v>488</v>
      </c>
      <c r="J1186" s="71">
        <v>0</v>
      </c>
      <c r="K1186" s="71" t="s">
        <v>302</v>
      </c>
      <c r="L1186" s="71">
        <f t="shared" si="162"/>
        <v>7</v>
      </c>
      <c r="M1186" s="71" t="str">
        <f>IFERROR(INDEX(KALENDER!$D$3:$D$132,MATCH(H1186,KALENDER!$A$3:$A$132,0)),"Di luar periode")</f>
        <v>Hari Kerja</v>
      </c>
      <c r="N1186" s="71">
        <f t="shared" si="163"/>
        <v>0</v>
      </c>
      <c r="O1186" s="71">
        <f t="shared" si="164"/>
        <v>1</v>
      </c>
      <c r="P1186" s="71">
        <f t="shared" si="165"/>
        <v>0</v>
      </c>
      <c r="Q1186" s="71">
        <f t="shared" si="166"/>
        <v>0</v>
      </c>
      <c r="R1186" s="71">
        <f t="shared" si="167"/>
        <v>0</v>
      </c>
      <c r="S1186" s="71">
        <f t="shared" si="168"/>
        <v>0</v>
      </c>
      <c r="T1186" s="71">
        <f t="shared" si="169"/>
        <v>0</v>
      </c>
      <c r="U1186" s="71">
        <f>IF(AND(N1186=1,V1186=1),IF(COUNTIFS(AKTIVITAS!$B$2:$B$3052,B1186,AKTIVITAS!$E$2:$E$3052,H1186)&gt;0,1,0),0)</f>
        <v>0</v>
      </c>
      <c r="V1186" s="71">
        <f>IFERROR(IF(AND(H1186&gt;=INDEX(PEMAGANG!$J$3:$J$36,MATCH(B1186,PEMAGANG!$C$3:$C$36,0)),H1186&lt;=INDEX(PEMAGANG!$K$3:$K$36,MATCH(B1186,PEMAGANG!$C$3:$C$36,0))),1,0),0)</f>
        <v>1</v>
      </c>
      <c r="W1186" s="71">
        <f t="shared" si="170"/>
        <v>0</v>
      </c>
    </row>
    <row r="1187" spans="1:23" x14ac:dyDescent="0.2">
      <c r="A1187" s="71" t="s">
        <v>235</v>
      </c>
      <c r="B1187" s="71" t="s">
        <v>236</v>
      </c>
      <c r="C1187" s="71" t="s">
        <v>187</v>
      </c>
      <c r="D1187" s="71" t="s">
        <v>237</v>
      </c>
      <c r="E1187" s="71" t="s">
        <v>40</v>
      </c>
      <c r="F1187" s="71" t="s">
        <v>298</v>
      </c>
      <c r="G1187" s="88">
        <v>46218.3121412037</v>
      </c>
      <c r="H1187" s="89">
        <v>46218</v>
      </c>
      <c r="I1187" s="71" t="s">
        <v>365</v>
      </c>
      <c r="J1187" s="71">
        <v>-0.999999999999996</v>
      </c>
      <c r="K1187" s="71" t="s">
        <v>302</v>
      </c>
      <c r="L1187" s="71">
        <f t="shared" si="162"/>
        <v>7</v>
      </c>
      <c r="M1187" s="71" t="str">
        <f>IFERROR(INDEX(KALENDER!$D$3:$D$132,MATCH(H1187,KALENDER!$A$3:$A$132,0)),"Di luar periode")</f>
        <v>WFH</v>
      </c>
      <c r="N1187" s="71">
        <f t="shared" si="163"/>
        <v>1</v>
      </c>
      <c r="O1187" s="71">
        <f t="shared" si="164"/>
        <v>1</v>
      </c>
      <c r="P1187" s="71">
        <f t="shared" si="165"/>
        <v>0</v>
      </c>
      <c r="Q1187" s="71">
        <f t="shared" si="166"/>
        <v>1</v>
      </c>
      <c r="R1187" s="71">
        <f t="shared" si="167"/>
        <v>0</v>
      </c>
      <c r="S1187" s="71">
        <f t="shared" si="168"/>
        <v>0</v>
      </c>
      <c r="T1187" s="71">
        <f t="shared" si="169"/>
        <v>0</v>
      </c>
      <c r="U1187" s="71">
        <f>IF(AND(N1187=1,V1187=1),IF(COUNTIFS(AKTIVITAS!$B$2:$B$3052,B1187,AKTIVITAS!$E$2:$E$3052,H1187)&gt;0,1,0),0)</f>
        <v>1</v>
      </c>
      <c r="V1187" s="71">
        <f>IFERROR(IF(AND(H1187&gt;=INDEX(PEMAGANG!$J$3:$J$36,MATCH(B1187,PEMAGANG!$C$3:$C$36,0)),H1187&lt;=INDEX(PEMAGANG!$K$3:$K$36,MATCH(B1187,PEMAGANG!$C$3:$C$36,0))),1,0),0)</f>
        <v>1</v>
      </c>
      <c r="W1187" s="71">
        <f t="shared" si="170"/>
        <v>1</v>
      </c>
    </row>
    <row r="1188" spans="1:23" x14ac:dyDescent="0.2">
      <c r="A1188" s="71" t="s">
        <v>235</v>
      </c>
      <c r="B1188" s="71" t="s">
        <v>236</v>
      </c>
      <c r="C1188" s="71" t="s">
        <v>187</v>
      </c>
      <c r="D1188" s="71" t="s">
        <v>237</v>
      </c>
      <c r="E1188" s="71" t="s">
        <v>40</v>
      </c>
      <c r="F1188" s="71" t="s">
        <v>300</v>
      </c>
      <c r="G1188" s="88">
        <v>46218.693217592598</v>
      </c>
      <c r="H1188" s="89">
        <v>46218</v>
      </c>
      <c r="I1188" s="71" t="s">
        <v>317</v>
      </c>
      <c r="J1188" s="71">
        <v>0</v>
      </c>
      <c r="K1188" s="71" t="s">
        <v>302</v>
      </c>
      <c r="L1188" s="71">
        <f t="shared" si="162"/>
        <v>7</v>
      </c>
      <c r="M1188" s="71" t="str">
        <f>IFERROR(INDEX(KALENDER!$D$3:$D$132,MATCH(H1188,KALENDER!$A$3:$A$132,0)),"Di luar periode")</f>
        <v>WFH</v>
      </c>
      <c r="N1188" s="71">
        <f t="shared" si="163"/>
        <v>0</v>
      </c>
      <c r="O1188" s="71">
        <f t="shared" si="164"/>
        <v>1</v>
      </c>
      <c r="P1188" s="71">
        <f t="shared" si="165"/>
        <v>0</v>
      </c>
      <c r="Q1188" s="71">
        <f t="shared" si="166"/>
        <v>0</v>
      </c>
      <c r="R1188" s="71">
        <f t="shared" si="167"/>
        <v>0</v>
      </c>
      <c r="S1188" s="71">
        <f t="shared" si="168"/>
        <v>0</v>
      </c>
      <c r="T1188" s="71">
        <f t="shared" si="169"/>
        <v>0</v>
      </c>
      <c r="U1188" s="71">
        <f>IF(AND(N1188=1,V1188=1),IF(COUNTIFS(AKTIVITAS!$B$2:$B$3052,B1188,AKTIVITAS!$E$2:$E$3052,H1188)&gt;0,1,0),0)</f>
        <v>0</v>
      </c>
      <c r="V1188" s="71">
        <f>IFERROR(IF(AND(H1188&gt;=INDEX(PEMAGANG!$J$3:$J$36,MATCH(B1188,PEMAGANG!$C$3:$C$36,0)),H1188&lt;=INDEX(PEMAGANG!$K$3:$K$36,MATCH(B1188,PEMAGANG!$C$3:$C$36,0))),1,0),0)</f>
        <v>1</v>
      </c>
      <c r="W1188" s="71">
        <f t="shared" si="170"/>
        <v>0</v>
      </c>
    </row>
    <row r="1189" spans="1:23" x14ac:dyDescent="0.2">
      <c r="A1189" s="71" t="s">
        <v>235</v>
      </c>
      <c r="B1189" s="71" t="s">
        <v>236</v>
      </c>
      <c r="C1189" s="71" t="s">
        <v>187</v>
      </c>
      <c r="D1189" s="71" t="s">
        <v>237</v>
      </c>
      <c r="E1189" s="71" t="s">
        <v>40</v>
      </c>
      <c r="F1189" s="71" t="s">
        <v>298</v>
      </c>
      <c r="G1189" s="88">
        <v>46219.313784722202</v>
      </c>
      <c r="H1189" s="89">
        <v>46219</v>
      </c>
      <c r="I1189" s="71" t="s">
        <v>392</v>
      </c>
      <c r="J1189" s="71">
        <v>0.999999999999996</v>
      </c>
      <c r="K1189" s="71" t="s">
        <v>293</v>
      </c>
      <c r="L1189" s="71">
        <f t="shared" si="162"/>
        <v>7</v>
      </c>
      <c r="M1189" s="71" t="str">
        <f>IFERROR(INDEX(KALENDER!$D$3:$D$132,MATCH(H1189,KALENDER!$A$3:$A$132,0)),"Di luar periode")</f>
        <v>Hari Kerja</v>
      </c>
      <c r="N1189" s="71">
        <f t="shared" si="163"/>
        <v>1</v>
      </c>
      <c r="O1189" s="71">
        <f t="shared" si="164"/>
        <v>1</v>
      </c>
      <c r="P1189" s="71">
        <f t="shared" si="165"/>
        <v>1</v>
      </c>
      <c r="Q1189" s="71">
        <f t="shared" si="166"/>
        <v>0</v>
      </c>
      <c r="R1189" s="71">
        <f t="shared" si="167"/>
        <v>1</v>
      </c>
      <c r="S1189" s="71">
        <f t="shared" si="168"/>
        <v>0.999999999999996</v>
      </c>
      <c r="T1189" s="71">
        <f t="shared" si="169"/>
        <v>0</v>
      </c>
      <c r="U1189" s="71">
        <f>IF(AND(N1189=1,V1189=1),IF(COUNTIFS(AKTIVITAS!$B$2:$B$3052,B1189,AKTIVITAS!$E$2:$E$3052,H1189)&gt;0,1,0),0)</f>
        <v>1</v>
      </c>
      <c r="V1189" s="71">
        <f>IFERROR(IF(AND(H1189&gt;=INDEX(PEMAGANG!$J$3:$J$36,MATCH(B1189,PEMAGANG!$C$3:$C$36,0)),H1189&lt;=INDEX(PEMAGANG!$K$3:$K$36,MATCH(B1189,PEMAGANG!$C$3:$C$36,0))),1,0),0)</f>
        <v>1</v>
      </c>
      <c r="W1189" s="71">
        <f t="shared" si="170"/>
        <v>1</v>
      </c>
    </row>
    <row r="1190" spans="1:23" x14ac:dyDescent="0.2">
      <c r="A1190" s="71" t="s">
        <v>235</v>
      </c>
      <c r="B1190" s="71" t="s">
        <v>236</v>
      </c>
      <c r="C1190" s="71" t="s">
        <v>187</v>
      </c>
      <c r="D1190" s="71" t="s">
        <v>237</v>
      </c>
      <c r="E1190" s="71" t="s">
        <v>40</v>
      </c>
      <c r="F1190" s="71" t="s">
        <v>300</v>
      </c>
      <c r="G1190" s="88">
        <v>46219.691979166702</v>
      </c>
      <c r="H1190" s="89">
        <v>46219</v>
      </c>
      <c r="I1190" s="71" t="s">
        <v>344</v>
      </c>
      <c r="J1190" s="71">
        <v>0</v>
      </c>
      <c r="K1190" s="71" t="s">
        <v>302</v>
      </c>
      <c r="L1190" s="71">
        <f t="shared" si="162"/>
        <v>7</v>
      </c>
      <c r="M1190" s="71" t="str">
        <f>IFERROR(INDEX(KALENDER!$D$3:$D$132,MATCH(H1190,KALENDER!$A$3:$A$132,0)),"Di luar periode")</f>
        <v>Hari Kerja</v>
      </c>
      <c r="N1190" s="71">
        <f t="shared" si="163"/>
        <v>0</v>
      </c>
      <c r="O1190" s="71">
        <f t="shared" si="164"/>
        <v>1</v>
      </c>
      <c r="P1190" s="71">
        <f t="shared" si="165"/>
        <v>0</v>
      </c>
      <c r="Q1190" s="71">
        <f t="shared" si="166"/>
        <v>0</v>
      </c>
      <c r="R1190" s="71">
        <f t="shared" si="167"/>
        <v>0</v>
      </c>
      <c r="S1190" s="71">
        <f t="shared" si="168"/>
        <v>0</v>
      </c>
      <c r="T1190" s="71">
        <f t="shared" si="169"/>
        <v>0</v>
      </c>
      <c r="U1190" s="71">
        <f>IF(AND(N1190=1,V1190=1),IF(COUNTIFS(AKTIVITAS!$B$2:$B$3052,B1190,AKTIVITAS!$E$2:$E$3052,H1190)&gt;0,1,0),0)</f>
        <v>0</v>
      </c>
      <c r="V1190" s="71">
        <f>IFERROR(IF(AND(H1190&gt;=INDEX(PEMAGANG!$J$3:$J$36,MATCH(B1190,PEMAGANG!$C$3:$C$36,0)),H1190&lt;=INDEX(PEMAGANG!$K$3:$K$36,MATCH(B1190,PEMAGANG!$C$3:$C$36,0))),1,0),0)</f>
        <v>1</v>
      </c>
      <c r="W1190" s="71">
        <f t="shared" si="170"/>
        <v>0</v>
      </c>
    </row>
    <row r="1191" spans="1:23" x14ac:dyDescent="0.2">
      <c r="A1191" s="71" t="s">
        <v>235</v>
      </c>
      <c r="B1191" s="71" t="s">
        <v>236</v>
      </c>
      <c r="C1191" s="71" t="s">
        <v>187</v>
      </c>
      <c r="D1191" s="71" t="s">
        <v>237</v>
      </c>
      <c r="E1191" s="71" t="s">
        <v>40</v>
      </c>
      <c r="F1191" s="71" t="s">
        <v>298</v>
      </c>
      <c r="G1191" s="88">
        <v>46220.315104166701</v>
      </c>
      <c r="H1191" s="89">
        <v>46220</v>
      </c>
      <c r="I1191" s="71" t="s">
        <v>383</v>
      </c>
      <c r="J1191" s="71">
        <v>2.9999999999999898</v>
      </c>
      <c r="K1191" s="71" t="s">
        <v>293</v>
      </c>
      <c r="L1191" s="71">
        <f t="shared" si="162"/>
        <v>7</v>
      </c>
      <c r="M1191" s="71" t="str">
        <f>IFERROR(INDEX(KALENDER!$D$3:$D$132,MATCH(H1191,KALENDER!$A$3:$A$132,0)),"Di luar periode")</f>
        <v>Hari Kerja</v>
      </c>
      <c r="N1191" s="71">
        <f t="shared" si="163"/>
        <v>1</v>
      </c>
      <c r="O1191" s="71">
        <f t="shared" si="164"/>
        <v>1</v>
      </c>
      <c r="P1191" s="71">
        <f t="shared" si="165"/>
        <v>1</v>
      </c>
      <c r="Q1191" s="71">
        <f t="shared" si="166"/>
        <v>0</v>
      </c>
      <c r="R1191" s="71">
        <f t="shared" si="167"/>
        <v>1</v>
      </c>
      <c r="S1191" s="71">
        <f t="shared" si="168"/>
        <v>2.9999999999999898</v>
      </c>
      <c r="T1191" s="71">
        <f t="shared" si="169"/>
        <v>0</v>
      </c>
      <c r="U1191" s="71">
        <f>IF(AND(N1191=1,V1191=1),IF(COUNTIFS(AKTIVITAS!$B$2:$B$3052,B1191,AKTIVITAS!$E$2:$E$3052,H1191)&gt;0,1,0),0)</f>
        <v>1</v>
      </c>
      <c r="V1191" s="71">
        <f>IFERROR(IF(AND(H1191&gt;=INDEX(PEMAGANG!$J$3:$J$36,MATCH(B1191,PEMAGANG!$C$3:$C$36,0)),H1191&lt;=INDEX(PEMAGANG!$K$3:$K$36,MATCH(B1191,PEMAGANG!$C$3:$C$36,0))),1,0),0)</f>
        <v>1</v>
      </c>
      <c r="W1191" s="71">
        <f t="shared" si="170"/>
        <v>1</v>
      </c>
    </row>
    <row r="1192" spans="1:23" x14ac:dyDescent="0.2">
      <c r="A1192" s="71" t="s">
        <v>235</v>
      </c>
      <c r="B1192" s="71" t="s">
        <v>236</v>
      </c>
      <c r="C1192" s="71" t="s">
        <v>187</v>
      </c>
      <c r="D1192" s="71" t="s">
        <v>237</v>
      </c>
      <c r="E1192" s="71" t="s">
        <v>40</v>
      </c>
      <c r="F1192" s="71" t="s">
        <v>300</v>
      </c>
      <c r="G1192" s="88">
        <v>46220.688344907401</v>
      </c>
      <c r="H1192" s="89">
        <v>46220</v>
      </c>
      <c r="I1192" s="71" t="s">
        <v>336</v>
      </c>
      <c r="J1192" s="71">
        <v>0</v>
      </c>
      <c r="K1192" s="71" t="s">
        <v>302</v>
      </c>
      <c r="L1192" s="71">
        <f t="shared" si="162"/>
        <v>7</v>
      </c>
      <c r="M1192" s="71" t="str">
        <f>IFERROR(INDEX(KALENDER!$D$3:$D$132,MATCH(H1192,KALENDER!$A$3:$A$132,0)),"Di luar periode")</f>
        <v>Hari Kerja</v>
      </c>
      <c r="N1192" s="71">
        <f t="shared" si="163"/>
        <v>0</v>
      </c>
      <c r="O1192" s="71">
        <f t="shared" si="164"/>
        <v>1</v>
      </c>
      <c r="P1192" s="71">
        <f t="shared" si="165"/>
        <v>0</v>
      </c>
      <c r="Q1192" s="71">
        <f t="shared" si="166"/>
        <v>0</v>
      </c>
      <c r="R1192" s="71">
        <f t="shared" si="167"/>
        <v>0</v>
      </c>
      <c r="S1192" s="71">
        <f t="shared" si="168"/>
        <v>0</v>
      </c>
      <c r="T1192" s="71">
        <f t="shared" si="169"/>
        <v>0</v>
      </c>
      <c r="U1192" s="71">
        <f>IF(AND(N1192=1,V1192=1),IF(COUNTIFS(AKTIVITAS!$B$2:$B$3052,B1192,AKTIVITAS!$E$2:$E$3052,H1192)&gt;0,1,0),0)</f>
        <v>0</v>
      </c>
      <c r="V1192" s="71">
        <f>IFERROR(IF(AND(H1192&gt;=INDEX(PEMAGANG!$J$3:$J$36,MATCH(B1192,PEMAGANG!$C$3:$C$36,0)),H1192&lt;=INDEX(PEMAGANG!$K$3:$K$36,MATCH(B1192,PEMAGANG!$C$3:$C$36,0))),1,0),0)</f>
        <v>1</v>
      </c>
      <c r="W1192" s="71">
        <f t="shared" si="170"/>
        <v>0</v>
      </c>
    </row>
    <row r="1193" spans="1:23" x14ac:dyDescent="0.2">
      <c r="A1193" s="71" t="s">
        <v>235</v>
      </c>
      <c r="B1193" s="71" t="s">
        <v>236</v>
      </c>
      <c r="C1193" s="71" t="s">
        <v>187</v>
      </c>
      <c r="D1193" s="71" t="s">
        <v>237</v>
      </c>
      <c r="E1193" s="71" t="s">
        <v>40</v>
      </c>
      <c r="F1193" s="71" t="s">
        <v>298</v>
      </c>
      <c r="G1193" s="88">
        <v>46223.293900463003</v>
      </c>
      <c r="H1193" s="89">
        <v>46223</v>
      </c>
      <c r="I1193" s="71" t="s">
        <v>483</v>
      </c>
      <c r="J1193" s="71">
        <v>-27</v>
      </c>
      <c r="K1193" s="71" t="s">
        <v>302</v>
      </c>
      <c r="L1193" s="71">
        <f t="shared" si="162"/>
        <v>7</v>
      </c>
      <c r="M1193" s="71" t="str">
        <f>IFERROR(INDEX(KALENDER!$D$3:$D$132,MATCH(H1193,KALENDER!$A$3:$A$132,0)),"Di luar periode")</f>
        <v>Hari Kerja</v>
      </c>
      <c r="N1193" s="71">
        <f t="shared" si="163"/>
        <v>1</v>
      </c>
      <c r="O1193" s="71">
        <f t="shared" si="164"/>
        <v>1</v>
      </c>
      <c r="P1193" s="71">
        <f t="shared" si="165"/>
        <v>1</v>
      </c>
      <c r="Q1193" s="71">
        <f t="shared" si="166"/>
        <v>0</v>
      </c>
      <c r="R1193" s="71">
        <f t="shared" si="167"/>
        <v>0</v>
      </c>
      <c r="S1193" s="71">
        <f t="shared" si="168"/>
        <v>0</v>
      </c>
      <c r="T1193" s="71">
        <f t="shared" si="169"/>
        <v>0</v>
      </c>
      <c r="U1193" s="71">
        <f>IF(AND(N1193=1,V1193=1),IF(COUNTIFS(AKTIVITAS!$B$2:$B$3052,B1193,AKTIVITAS!$E$2:$E$3052,H1193)&gt;0,1,0),0)</f>
        <v>1</v>
      </c>
      <c r="V1193" s="71">
        <f>IFERROR(IF(AND(H1193&gt;=INDEX(PEMAGANG!$J$3:$J$36,MATCH(B1193,PEMAGANG!$C$3:$C$36,0)),H1193&lt;=INDEX(PEMAGANG!$K$3:$K$36,MATCH(B1193,PEMAGANG!$C$3:$C$36,0))),1,0),0)</f>
        <v>1</v>
      </c>
      <c r="W1193" s="71">
        <f t="shared" si="170"/>
        <v>1</v>
      </c>
    </row>
    <row r="1194" spans="1:23" x14ac:dyDescent="0.2">
      <c r="A1194" s="71" t="s">
        <v>235</v>
      </c>
      <c r="B1194" s="71" t="s">
        <v>236</v>
      </c>
      <c r="C1194" s="71" t="s">
        <v>187</v>
      </c>
      <c r="D1194" s="71" t="s">
        <v>237</v>
      </c>
      <c r="E1194" s="71" t="s">
        <v>40</v>
      </c>
      <c r="F1194" s="71" t="s">
        <v>300</v>
      </c>
      <c r="G1194" s="88">
        <v>46223.688460648198</v>
      </c>
      <c r="H1194" s="89">
        <v>46223</v>
      </c>
      <c r="I1194" s="71" t="s">
        <v>336</v>
      </c>
      <c r="J1194" s="71">
        <v>0</v>
      </c>
      <c r="K1194" s="71" t="s">
        <v>302</v>
      </c>
      <c r="L1194" s="71">
        <f t="shared" si="162"/>
        <v>7</v>
      </c>
      <c r="M1194" s="71" t="str">
        <f>IFERROR(INDEX(KALENDER!$D$3:$D$132,MATCH(H1194,KALENDER!$A$3:$A$132,0)),"Di luar periode")</f>
        <v>Hari Kerja</v>
      </c>
      <c r="N1194" s="71">
        <f t="shared" si="163"/>
        <v>0</v>
      </c>
      <c r="O1194" s="71">
        <f t="shared" si="164"/>
        <v>1</v>
      </c>
      <c r="P1194" s="71">
        <f t="shared" si="165"/>
        <v>0</v>
      </c>
      <c r="Q1194" s="71">
        <f t="shared" si="166"/>
        <v>0</v>
      </c>
      <c r="R1194" s="71">
        <f t="shared" si="167"/>
        <v>0</v>
      </c>
      <c r="S1194" s="71">
        <f t="shared" si="168"/>
        <v>0</v>
      </c>
      <c r="T1194" s="71">
        <f t="shared" si="169"/>
        <v>0</v>
      </c>
      <c r="U1194" s="71">
        <f>IF(AND(N1194=1,V1194=1),IF(COUNTIFS(AKTIVITAS!$B$2:$B$3052,B1194,AKTIVITAS!$E$2:$E$3052,H1194)&gt;0,1,0),0)</f>
        <v>0</v>
      </c>
      <c r="V1194" s="71">
        <f>IFERROR(IF(AND(H1194&gt;=INDEX(PEMAGANG!$J$3:$J$36,MATCH(B1194,PEMAGANG!$C$3:$C$36,0)),H1194&lt;=INDEX(PEMAGANG!$K$3:$K$36,MATCH(B1194,PEMAGANG!$C$3:$C$36,0))),1,0),0)</f>
        <v>1</v>
      </c>
      <c r="W1194" s="71">
        <f t="shared" si="170"/>
        <v>0</v>
      </c>
    </row>
    <row r="1195" spans="1:23" x14ac:dyDescent="0.2">
      <c r="A1195" s="71" t="s">
        <v>235</v>
      </c>
      <c r="B1195" s="71" t="s">
        <v>236</v>
      </c>
      <c r="C1195" s="71" t="s">
        <v>187</v>
      </c>
      <c r="D1195" s="71" t="s">
        <v>237</v>
      </c>
      <c r="E1195" s="71" t="s">
        <v>40</v>
      </c>
      <c r="F1195" s="71" t="s">
        <v>298</v>
      </c>
      <c r="G1195" s="88">
        <v>46224.308553240699</v>
      </c>
      <c r="H1195" s="89">
        <v>46224</v>
      </c>
      <c r="I1195" s="71" t="s">
        <v>303</v>
      </c>
      <c r="J1195" s="71">
        <v>-5.9999999999999796</v>
      </c>
      <c r="K1195" s="71" t="s">
        <v>302</v>
      </c>
      <c r="L1195" s="71">
        <f t="shared" si="162"/>
        <v>7</v>
      </c>
      <c r="M1195" s="71" t="str">
        <f>IFERROR(INDEX(KALENDER!$D$3:$D$132,MATCH(H1195,KALENDER!$A$3:$A$132,0)),"Di luar periode")</f>
        <v>Hari Kerja</v>
      </c>
      <c r="N1195" s="71">
        <f t="shared" si="163"/>
        <v>1</v>
      </c>
      <c r="O1195" s="71">
        <f t="shared" si="164"/>
        <v>1</v>
      </c>
      <c r="P1195" s="71">
        <f t="shared" si="165"/>
        <v>1</v>
      </c>
      <c r="Q1195" s="71">
        <f t="shared" si="166"/>
        <v>0</v>
      </c>
      <c r="R1195" s="71">
        <f t="shared" si="167"/>
        <v>0</v>
      </c>
      <c r="S1195" s="71">
        <f t="shared" si="168"/>
        <v>0</v>
      </c>
      <c r="T1195" s="71">
        <f t="shared" si="169"/>
        <v>0</v>
      </c>
      <c r="U1195" s="71">
        <f>IF(AND(N1195=1,V1195=1),IF(COUNTIFS(AKTIVITAS!$B$2:$B$3052,B1195,AKTIVITAS!$E$2:$E$3052,H1195)&gt;0,1,0),0)</f>
        <v>1</v>
      </c>
      <c r="V1195" s="71">
        <f>IFERROR(IF(AND(H1195&gt;=INDEX(PEMAGANG!$J$3:$J$36,MATCH(B1195,PEMAGANG!$C$3:$C$36,0)),H1195&lt;=INDEX(PEMAGANG!$K$3:$K$36,MATCH(B1195,PEMAGANG!$C$3:$C$36,0))),1,0),0)</f>
        <v>1</v>
      </c>
      <c r="W1195" s="71">
        <f t="shared" si="170"/>
        <v>1</v>
      </c>
    </row>
    <row r="1196" spans="1:23" x14ac:dyDescent="0.2">
      <c r="A1196" s="71" t="s">
        <v>235</v>
      </c>
      <c r="B1196" s="71" t="s">
        <v>236</v>
      </c>
      <c r="C1196" s="71" t="s">
        <v>187</v>
      </c>
      <c r="D1196" s="71" t="s">
        <v>237</v>
      </c>
      <c r="E1196" s="71" t="s">
        <v>40</v>
      </c>
      <c r="F1196" s="71" t="s">
        <v>300</v>
      </c>
      <c r="G1196" s="88">
        <v>46224.689490740697</v>
      </c>
      <c r="H1196" s="89">
        <v>46224</v>
      </c>
      <c r="I1196" s="71" t="s">
        <v>306</v>
      </c>
      <c r="J1196" s="71">
        <v>0</v>
      </c>
      <c r="K1196" s="71" t="s">
        <v>302</v>
      </c>
      <c r="L1196" s="71">
        <f t="shared" si="162"/>
        <v>7</v>
      </c>
      <c r="M1196" s="71" t="str">
        <f>IFERROR(INDEX(KALENDER!$D$3:$D$132,MATCH(H1196,KALENDER!$A$3:$A$132,0)),"Di luar periode")</f>
        <v>Hari Kerja</v>
      </c>
      <c r="N1196" s="71">
        <f t="shared" si="163"/>
        <v>0</v>
      </c>
      <c r="O1196" s="71">
        <f t="shared" si="164"/>
        <v>1</v>
      </c>
      <c r="P1196" s="71">
        <f t="shared" si="165"/>
        <v>0</v>
      </c>
      <c r="Q1196" s="71">
        <f t="shared" si="166"/>
        <v>0</v>
      </c>
      <c r="R1196" s="71">
        <f t="shared" si="167"/>
        <v>0</v>
      </c>
      <c r="S1196" s="71">
        <f t="shared" si="168"/>
        <v>0</v>
      </c>
      <c r="T1196" s="71">
        <f t="shared" si="169"/>
        <v>0</v>
      </c>
      <c r="U1196" s="71">
        <f>IF(AND(N1196=1,V1196=1),IF(COUNTIFS(AKTIVITAS!$B$2:$B$3052,B1196,AKTIVITAS!$E$2:$E$3052,H1196)&gt;0,1,0),0)</f>
        <v>0</v>
      </c>
      <c r="V1196" s="71">
        <f>IFERROR(IF(AND(H1196&gt;=INDEX(PEMAGANG!$J$3:$J$36,MATCH(B1196,PEMAGANG!$C$3:$C$36,0)),H1196&lt;=INDEX(PEMAGANG!$K$3:$K$36,MATCH(B1196,PEMAGANG!$C$3:$C$36,0))),1,0),0)</f>
        <v>1</v>
      </c>
      <c r="W1196" s="71">
        <f t="shared" si="170"/>
        <v>0</v>
      </c>
    </row>
    <row r="1197" spans="1:23" x14ac:dyDescent="0.2">
      <c r="A1197" s="71" t="s">
        <v>235</v>
      </c>
      <c r="B1197" s="71" t="s">
        <v>236</v>
      </c>
      <c r="C1197" s="71" t="s">
        <v>187</v>
      </c>
      <c r="D1197" s="71" t="s">
        <v>237</v>
      </c>
      <c r="E1197" s="71" t="s">
        <v>40</v>
      </c>
      <c r="F1197" s="71" t="s">
        <v>298</v>
      </c>
      <c r="G1197" s="88">
        <v>46226.311076388898</v>
      </c>
      <c r="H1197" s="89">
        <v>46226</v>
      </c>
      <c r="I1197" s="71" t="s">
        <v>309</v>
      </c>
      <c r="J1197" s="71">
        <v>-2.9999999999999898</v>
      </c>
      <c r="K1197" s="71" t="s">
        <v>302</v>
      </c>
      <c r="L1197" s="71">
        <f t="shared" si="162"/>
        <v>7</v>
      </c>
      <c r="M1197" s="71" t="str">
        <f>IFERROR(INDEX(KALENDER!$D$3:$D$132,MATCH(H1197,KALENDER!$A$3:$A$132,0)),"Di luar periode")</f>
        <v>Hari Kerja</v>
      </c>
      <c r="N1197" s="71">
        <f t="shared" si="163"/>
        <v>1</v>
      </c>
      <c r="O1197" s="71">
        <f t="shared" si="164"/>
        <v>1</v>
      </c>
      <c r="P1197" s="71">
        <f t="shared" si="165"/>
        <v>1</v>
      </c>
      <c r="Q1197" s="71">
        <f t="shared" si="166"/>
        <v>0</v>
      </c>
      <c r="R1197" s="71">
        <f t="shared" si="167"/>
        <v>0</v>
      </c>
      <c r="S1197" s="71">
        <f t="shared" si="168"/>
        <v>0</v>
      </c>
      <c r="T1197" s="71">
        <f t="shared" si="169"/>
        <v>0</v>
      </c>
      <c r="U1197" s="71">
        <f>IF(AND(N1197=1,V1197=1),IF(COUNTIFS(AKTIVITAS!$B$2:$B$3052,B1197,AKTIVITAS!$E$2:$E$3052,H1197)&gt;0,1,0),0)</f>
        <v>0</v>
      </c>
      <c r="V1197" s="71">
        <f>IFERROR(IF(AND(H1197&gt;=INDEX(PEMAGANG!$J$3:$J$36,MATCH(B1197,PEMAGANG!$C$3:$C$36,0)),H1197&lt;=INDEX(PEMAGANG!$K$3:$K$36,MATCH(B1197,PEMAGANG!$C$3:$C$36,0))),1,0),0)</f>
        <v>1</v>
      </c>
      <c r="W1197" s="71">
        <f t="shared" si="170"/>
        <v>1</v>
      </c>
    </row>
    <row r="1198" spans="1:23" x14ac:dyDescent="0.2">
      <c r="A1198" s="71" t="s">
        <v>235</v>
      </c>
      <c r="B1198" s="71" t="s">
        <v>236</v>
      </c>
      <c r="C1198" s="71" t="s">
        <v>187</v>
      </c>
      <c r="D1198" s="71" t="s">
        <v>237</v>
      </c>
      <c r="E1198" s="71" t="s">
        <v>40</v>
      </c>
      <c r="F1198" s="71" t="s">
        <v>300</v>
      </c>
      <c r="G1198" s="88">
        <v>46226.692025463002</v>
      </c>
      <c r="H1198" s="89">
        <v>46226</v>
      </c>
      <c r="I1198" s="71" t="s">
        <v>344</v>
      </c>
      <c r="J1198" s="71">
        <v>0</v>
      </c>
      <c r="K1198" s="71" t="s">
        <v>302</v>
      </c>
      <c r="L1198" s="71">
        <f t="shared" si="162"/>
        <v>7</v>
      </c>
      <c r="M1198" s="71" t="str">
        <f>IFERROR(INDEX(KALENDER!$D$3:$D$132,MATCH(H1198,KALENDER!$A$3:$A$132,0)),"Di luar periode")</f>
        <v>Hari Kerja</v>
      </c>
      <c r="N1198" s="71">
        <f t="shared" si="163"/>
        <v>0</v>
      </c>
      <c r="O1198" s="71">
        <f t="shared" si="164"/>
        <v>1</v>
      </c>
      <c r="P1198" s="71">
        <f t="shared" si="165"/>
        <v>0</v>
      </c>
      <c r="Q1198" s="71">
        <f t="shared" si="166"/>
        <v>0</v>
      </c>
      <c r="R1198" s="71">
        <f t="shared" si="167"/>
        <v>0</v>
      </c>
      <c r="S1198" s="71">
        <f t="shared" si="168"/>
        <v>0</v>
      </c>
      <c r="T1198" s="71">
        <f t="shared" si="169"/>
        <v>0</v>
      </c>
      <c r="U1198" s="71">
        <f>IF(AND(N1198=1,V1198=1),IF(COUNTIFS(AKTIVITAS!$B$2:$B$3052,B1198,AKTIVITAS!$E$2:$E$3052,H1198)&gt;0,1,0),0)</f>
        <v>0</v>
      </c>
      <c r="V1198" s="71">
        <f>IFERROR(IF(AND(H1198&gt;=INDEX(PEMAGANG!$J$3:$J$36,MATCH(B1198,PEMAGANG!$C$3:$C$36,0)),H1198&lt;=INDEX(PEMAGANG!$K$3:$K$36,MATCH(B1198,PEMAGANG!$C$3:$C$36,0))),1,0),0)</f>
        <v>1</v>
      </c>
      <c r="W1198" s="71">
        <f t="shared" si="170"/>
        <v>0</v>
      </c>
    </row>
    <row r="1199" spans="1:23" x14ac:dyDescent="0.2">
      <c r="A1199" s="71" t="s">
        <v>235</v>
      </c>
      <c r="B1199" s="71" t="s">
        <v>236</v>
      </c>
      <c r="C1199" s="71" t="s">
        <v>187</v>
      </c>
      <c r="D1199" s="71" t="s">
        <v>237</v>
      </c>
      <c r="E1199" s="71" t="s">
        <v>40</v>
      </c>
      <c r="F1199" s="71" t="s">
        <v>298</v>
      </c>
      <c r="G1199" s="88">
        <v>46227.310532407399</v>
      </c>
      <c r="H1199" s="89">
        <v>46227</v>
      </c>
      <c r="I1199" s="71" t="s">
        <v>309</v>
      </c>
      <c r="J1199" s="71">
        <v>-2.9999999999999898</v>
      </c>
      <c r="K1199" s="71" t="s">
        <v>302</v>
      </c>
      <c r="L1199" s="71">
        <f t="shared" si="162"/>
        <v>7</v>
      </c>
      <c r="M1199" s="71" t="str">
        <f>IFERROR(INDEX(KALENDER!$D$3:$D$132,MATCH(H1199,KALENDER!$A$3:$A$132,0)),"Di luar periode")</f>
        <v>Hari Kerja</v>
      </c>
      <c r="N1199" s="71">
        <f t="shared" si="163"/>
        <v>1</v>
      </c>
      <c r="O1199" s="71">
        <f t="shared" si="164"/>
        <v>1</v>
      </c>
      <c r="P1199" s="71">
        <f t="shared" si="165"/>
        <v>1</v>
      </c>
      <c r="Q1199" s="71">
        <f t="shared" si="166"/>
        <v>0</v>
      </c>
      <c r="R1199" s="71">
        <f t="shared" si="167"/>
        <v>0</v>
      </c>
      <c r="S1199" s="71">
        <f t="shared" si="168"/>
        <v>0</v>
      </c>
      <c r="T1199" s="71">
        <f t="shared" si="169"/>
        <v>0</v>
      </c>
      <c r="U1199" s="71">
        <f>IF(AND(N1199=1,V1199=1),IF(COUNTIFS(AKTIVITAS!$B$2:$B$3052,B1199,AKTIVITAS!$E$2:$E$3052,H1199)&gt;0,1,0),0)</f>
        <v>1</v>
      </c>
      <c r="V1199" s="71">
        <f>IFERROR(IF(AND(H1199&gt;=INDEX(PEMAGANG!$J$3:$J$36,MATCH(B1199,PEMAGANG!$C$3:$C$36,0)),H1199&lt;=INDEX(PEMAGANG!$K$3:$K$36,MATCH(B1199,PEMAGANG!$C$3:$C$36,0))),1,0),0)</f>
        <v>1</v>
      </c>
      <c r="W1199" s="71">
        <f t="shared" si="170"/>
        <v>1</v>
      </c>
    </row>
    <row r="1200" spans="1:23" x14ac:dyDescent="0.2">
      <c r="A1200" s="71" t="s">
        <v>235</v>
      </c>
      <c r="B1200" s="71" t="s">
        <v>236</v>
      </c>
      <c r="C1200" s="71" t="s">
        <v>187</v>
      </c>
      <c r="D1200" s="71" t="s">
        <v>237</v>
      </c>
      <c r="E1200" s="71" t="s">
        <v>40</v>
      </c>
      <c r="F1200" s="71" t="s">
        <v>300</v>
      </c>
      <c r="G1200" s="88">
        <v>46227.691261574102</v>
      </c>
      <c r="H1200" s="89">
        <v>46227</v>
      </c>
      <c r="I1200" s="71" t="s">
        <v>310</v>
      </c>
      <c r="J1200" s="71">
        <v>0</v>
      </c>
      <c r="K1200" s="71" t="s">
        <v>302</v>
      </c>
      <c r="L1200" s="71">
        <f t="shared" si="162"/>
        <v>7</v>
      </c>
      <c r="M1200" s="71" t="str">
        <f>IFERROR(INDEX(KALENDER!$D$3:$D$132,MATCH(H1200,KALENDER!$A$3:$A$132,0)),"Di luar periode")</f>
        <v>Hari Kerja</v>
      </c>
      <c r="N1200" s="71">
        <f t="shared" si="163"/>
        <v>0</v>
      </c>
      <c r="O1200" s="71">
        <f t="shared" si="164"/>
        <v>1</v>
      </c>
      <c r="P1200" s="71">
        <f t="shared" si="165"/>
        <v>0</v>
      </c>
      <c r="Q1200" s="71">
        <f t="shared" si="166"/>
        <v>0</v>
      </c>
      <c r="R1200" s="71">
        <f t="shared" si="167"/>
        <v>0</v>
      </c>
      <c r="S1200" s="71">
        <f t="shared" si="168"/>
        <v>0</v>
      </c>
      <c r="T1200" s="71">
        <f t="shared" si="169"/>
        <v>0</v>
      </c>
      <c r="U1200" s="71">
        <f>IF(AND(N1200=1,V1200=1),IF(COUNTIFS(AKTIVITAS!$B$2:$B$3052,B1200,AKTIVITAS!$E$2:$E$3052,H1200)&gt;0,1,0),0)</f>
        <v>0</v>
      </c>
      <c r="V1200" s="71">
        <f>IFERROR(IF(AND(H1200&gt;=INDEX(PEMAGANG!$J$3:$J$36,MATCH(B1200,PEMAGANG!$C$3:$C$36,0)),H1200&lt;=INDEX(PEMAGANG!$K$3:$K$36,MATCH(B1200,PEMAGANG!$C$3:$C$36,0))),1,0),0)</f>
        <v>1</v>
      </c>
      <c r="W1200" s="71">
        <f t="shared" si="170"/>
        <v>0</v>
      </c>
    </row>
    <row r="1201" spans="1:23" x14ac:dyDescent="0.2">
      <c r="A1201" s="71" t="s">
        <v>235</v>
      </c>
      <c r="B1201" s="71" t="s">
        <v>236</v>
      </c>
      <c r="C1201" s="71" t="s">
        <v>187</v>
      </c>
      <c r="D1201" s="71" t="s">
        <v>237</v>
      </c>
      <c r="E1201" s="71" t="s">
        <v>40</v>
      </c>
      <c r="F1201" s="71" t="s">
        <v>298</v>
      </c>
      <c r="G1201" s="88">
        <v>46230.310543981497</v>
      </c>
      <c r="H1201" s="89">
        <v>46230</v>
      </c>
      <c r="I1201" s="71" t="s">
        <v>309</v>
      </c>
      <c r="J1201" s="71">
        <v>-2.9999999999999898</v>
      </c>
      <c r="K1201" s="71" t="s">
        <v>302</v>
      </c>
      <c r="L1201" s="71">
        <f t="shared" si="162"/>
        <v>7</v>
      </c>
      <c r="M1201" s="71" t="str">
        <f>IFERROR(INDEX(KALENDER!$D$3:$D$132,MATCH(H1201,KALENDER!$A$3:$A$132,0)),"Di luar periode")</f>
        <v>Hari Kerja</v>
      </c>
      <c r="N1201" s="71">
        <f t="shared" si="163"/>
        <v>1</v>
      </c>
      <c r="O1201" s="71">
        <f t="shared" si="164"/>
        <v>1</v>
      </c>
      <c r="P1201" s="71">
        <f t="shared" si="165"/>
        <v>1</v>
      </c>
      <c r="Q1201" s="71">
        <f t="shared" si="166"/>
        <v>0</v>
      </c>
      <c r="R1201" s="71">
        <f t="shared" si="167"/>
        <v>0</v>
      </c>
      <c r="S1201" s="71">
        <f t="shared" si="168"/>
        <v>0</v>
      </c>
      <c r="T1201" s="71">
        <f t="shared" si="169"/>
        <v>0</v>
      </c>
      <c r="U1201" s="71">
        <f>IF(AND(N1201=1,V1201=1),IF(COUNTIFS(AKTIVITAS!$B$2:$B$3052,B1201,AKTIVITAS!$E$2:$E$3052,H1201)&gt;0,1,0),0)</f>
        <v>1</v>
      </c>
      <c r="V1201" s="71">
        <f>IFERROR(IF(AND(H1201&gt;=INDEX(PEMAGANG!$J$3:$J$36,MATCH(B1201,PEMAGANG!$C$3:$C$36,0)),H1201&lt;=INDEX(PEMAGANG!$K$3:$K$36,MATCH(B1201,PEMAGANG!$C$3:$C$36,0))),1,0),0)</f>
        <v>1</v>
      </c>
      <c r="W1201" s="71">
        <f t="shared" si="170"/>
        <v>1</v>
      </c>
    </row>
    <row r="1202" spans="1:23" x14ac:dyDescent="0.2">
      <c r="A1202" s="71" t="s">
        <v>235</v>
      </c>
      <c r="B1202" s="71" t="s">
        <v>236</v>
      </c>
      <c r="C1202" s="71" t="s">
        <v>187</v>
      </c>
      <c r="D1202" s="71" t="s">
        <v>237</v>
      </c>
      <c r="E1202" s="71" t="s">
        <v>40</v>
      </c>
      <c r="F1202" s="71" t="s">
        <v>300</v>
      </c>
      <c r="G1202" s="88">
        <v>46230.687731481499</v>
      </c>
      <c r="H1202" s="89">
        <v>46230</v>
      </c>
      <c r="I1202" s="71" t="s">
        <v>330</v>
      </c>
      <c r="J1202" s="71">
        <v>0</v>
      </c>
      <c r="K1202" s="71" t="s">
        <v>302</v>
      </c>
      <c r="L1202" s="71">
        <f t="shared" si="162"/>
        <v>7</v>
      </c>
      <c r="M1202" s="71" t="str">
        <f>IFERROR(INDEX(KALENDER!$D$3:$D$132,MATCH(H1202,KALENDER!$A$3:$A$132,0)),"Di luar periode")</f>
        <v>Hari Kerja</v>
      </c>
      <c r="N1202" s="71">
        <f t="shared" si="163"/>
        <v>0</v>
      </c>
      <c r="O1202" s="71">
        <f t="shared" si="164"/>
        <v>1</v>
      </c>
      <c r="P1202" s="71">
        <f t="shared" si="165"/>
        <v>0</v>
      </c>
      <c r="Q1202" s="71">
        <f t="shared" si="166"/>
        <v>0</v>
      </c>
      <c r="R1202" s="71">
        <f t="shared" si="167"/>
        <v>0</v>
      </c>
      <c r="S1202" s="71">
        <f t="shared" si="168"/>
        <v>0</v>
      </c>
      <c r="T1202" s="71">
        <f t="shared" si="169"/>
        <v>0</v>
      </c>
      <c r="U1202" s="71">
        <f>IF(AND(N1202=1,V1202=1),IF(COUNTIFS(AKTIVITAS!$B$2:$B$3052,B1202,AKTIVITAS!$E$2:$E$3052,H1202)&gt;0,1,0),0)</f>
        <v>0</v>
      </c>
      <c r="V1202" s="71">
        <f>IFERROR(IF(AND(H1202&gt;=INDEX(PEMAGANG!$J$3:$J$36,MATCH(B1202,PEMAGANG!$C$3:$C$36,0)),H1202&lt;=INDEX(PEMAGANG!$K$3:$K$36,MATCH(B1202,PEMAGANG!$C$3:$C$36,0))),1,0),0)</f>
        <v>1</v>
      </c>
      <c r="W1202" s="71">
        <f t="shared" si="170"/>
        <v>0</v>
      </c>
    </row>
    <row r="1203" spans="1:23" x14ac:dyDescent="0.2">
      <c r="A1203" s="71" t="s">
        <v>235</v>
      </c>
      <c r="B1203" s="71" t="s">
        <v>236</v>
      </c>
      <c r="C1203" s="71" t="s">
        <v>187</v>
      </c>
      <c r="D1203" s="71" t="s">
        <v>237</v>
      </c>
      <c r="E1203" s="71" t="s">
        <v>40</v>
      </c>
      <c r="F1203" s="71" t="s">
        <v>298</v>
      </c>
      <c r="G1203" s="88">
        <v>46231.312881944497</v>
      </c>
      <c r="H1203" s="89">
        <v>46231</v>
      </c>
      <c r="I1203" s="71" t="s">
        <v>335</v>
      </c>
      <c r="J1203" s="71">
        <v>0</v>
      </c>
      <c r="K1203" s="71" t="s">
        <v>302</v>
      </c>
      <c r="L1203" s="71">
        <f t="shared" si="162"/>
        <v>7</v>
      </c>
      <c r="M1203" s="71" t="str">
        <f>IFERROR(INDEX(KALENDER!$D$3:$D$132,MATCH(H1203,KALENDER!$A$3:$A$132,0)),"Di luar periode")</f>
        <v>Hari Kerja</v>
      </c>
      <c r="N1203" s="71">
        <f t="shared" si="163"/>
        <v>1</v>
      </c>
      <c r="O1203" s="71">
        <f t="shared" si="164"/>
        <v>1</v>
      </c>
      <c r="P1203" s="71">
        <f t="shared" si="165"/>
        <v>1</v>
      </c>
      <c r="Q1203" s="71">
        <f t="shared" si="166"/>
        <v>0</v>
      </c>
      <c r="R1203" s="71">
        <f t="shared" si="167"/>
        <v>0</v>
      </c>
      <c r="S1203" s="71">
        <f t="shared" si="168"/>
        <v>0</v>
      </c>
      <c r="T1203" s="71">
        <f t="shared" si="169"/>
        <v>0</v>
      </c>
      <c r="U1203" s="71">
        <f>IF(AND(N1203=1,V1203=1),IF(COUNTIFS(AKTIVITAS!$B$2:$B$3052,B1203,AKTIVITAS!$E$2:$E$3052,H1203)&gt;0,1,0),0)</f>
        <v>1</v>
      </c>
      <c r="V1203" s="71">
        <f>IFERROR(IF(AND(H1203&gt;=INDEX(PEMAGANG!$J$3:$J$36,MATCH(B1203,PEMAGANG!$C$3:$C$36,0)),H1203&lt;=INDEX(PEMAGANG!$K$3:$K$36,MATCH(B1203,PEMAGANG!$C$3:$C$36,0))),1,0),0)</f>
        <v>1</v>
      </c>
      <c r="W1203" s="71">
        <f t="shared" si="170"/>
        <v>1</v>
      </c>
    </row>
    <row r="1204" spans="1:23" x14ac:dyDescent="0.2">
      <c r="A1204" s="71" t="s">
        <v>235</v>
      </c>
      <c r="B1204" s="71" t="s">
        <v>236</v>
      </c>
      <c r="C1204" s="71" t="s">
        <v>187</v>
      </c>
      <c r="D1204" s="71" t="s">
        <v>237</v>
      </c>
      <c r="E1204" s="71" t="s">
        <v>40</v>
      </c>
      <c r="F1204" s="71" t="s">
        <v>300</v>
      </c>
      <c r="G1204" s="88">
        <v>46231.6882638889</v>
      </c>
      <c r="H1204" s="89">
        <v>46231</v>
      </c>
      <c r="I1204" s="71" t="s">
        <v>336</v>
      </c>
      <c r="J1204" s="71">
        <v>0</v>
      </c>
      <c r="K1204" s="71" t="s">
        <v>302</v>
      </c>
      <c r="L1204" s="71">
        <f t="shared" si="162"/>
        <v>7</v>
      </c>
      <c r="M1204" s="71" t="str">
        <f>IFERROR(INDEX(KALENDER!$D$3:$D$132,MATCH(H1204,KALENDER!$A$3:$A$132,0)),"Di luar periode")</f>
        <v>Hari Kerja</v>
      </c>
      <c r="N1204" s="71">
        <f t="shared" si="163"/>
        <v>0</v>
      </c>
      <c r="O1204" s="71">
        <f t="shared" si="164"/>
        <v>1</v>
      </c>
      <c r="P1204" s="71">
        <f t="shared" si="165"/>
        <v>0</v>
      </c>
      <c r="Q1204" s="71">
        <f t="shared" si="166"/>
        <v>0</v>
      </c>
      <c r="R1204" s="71">
        <f t="shared" si="167"/>
        <v>0</v>
      </c>
      <c r="S1204" s="71">
        <f t="shared" si="168"/>
        <v>0</v>
      </c>
      <c r="T1204" s="71">
        <f t="shared" si="169"/>
        <v>0</v>
      </c>
      <c r="U1204" s="71">
        <f>IF(AND(N1204=1,V1204=1),IF(COUNTIFS(AKTIVITAS!$B$2:$B$3052,B1204,AKTIVITAS!$E$2:$E$3052,H1204)&gt;0,1,0),0)</f>
        <v>0</v>
      </c>
      <c r="V1204" s="71">
        <f>IFERROR(IF(AND(H1204&gt;=INDEX(PEMAGANG!$J$3:$J$36,MATCH(B1204,PEMAGANG!$C$3:$C$36,0)),H1204&lt;=INDEX(PEMAGANG!$K$3:$K$36,MATCH(B1204,PEMAGANG!$C$3:$C$36,0))),1,0),0)</f>
        <v>1</v>
      </c>
      <c r="W1204" s="71">
        <f t="shared" si="170"/>
        <v>0</v>
      </c>
    </row>
    <row r="1205" spans="1:23" x14ac:dyDescent="0.2">
      <c r="A1205" s="71" t="s">
        <v>235</v>
      </c>
      <c r="B1205" s="71" t="s">
        <v>236</v>
      </c>
      <c r="C1205" s="71" t="s">
        <v>187</v>
      </c>
      <c r="D1205" s="71" t="s">
        <v>237</v>
      </c>
      <c r="E1205" s="71" t="s">
        <v>40</v>
      </c>
      <c r="F1205" s="71" t="s">
        <v>298</v>
      </c>
      <c r="G1205" s="88">
        <v>46233.3126388889</v>
      </c>
      <c r="H1205" s="89">
        <v>46233</v>
      </c>
      <c r="I1205" s="71" t="s">
        <v>335</v>
      </c>
      <c r="J1205" s="71">
        <v>0</v>
      </c>
      <c r="K1205" s="71" t="s">
        <v>302</v>
      </c>
      <c r="L1205" s="71">
        <f t="shared" si="162"/>
        <v>7</v>
      </c>
      <c r="M1205" s="71" t="str">
        <f>IFERROR(INDEX(KALENDER!$D$3:$D$132,MATCH(H1205,KALENDER!$A$3:$A$132,0)),"Di luar periode")</f>
        <v>Hari Kerja</v>
      </c>
      <c r="N1205" s="71">
        <f t="shared" si="163"/>
        <v>1</v>
      </c>
      <c r="O1205" s="71">
        <f t="shared" si="164"/>
        <v>1</v>
      </c>
      <c r="P1205" s="71">
        <f t="shared" si="165"/>
        <v>1</v>
      </c>
      <c r="Q1205" s="71">
        <f t="shared" si="166"/>
        <v>0</v>
      </c>
      <c r="R1205" s="71">
        <f t="shared" si="167"/>
        <v>0</v>
      </c>
      <c r="S1205" s="71">
        <f t="shared" si="168"/>
        <v>0</v>
      </c>
      <c r="T1205" s="71">
        <f t="shared" si="169"/>
        <v>0</v>
      </c>
      <c r="U1205" s="71">
        <f>IF(AND(N1205=1,V1205=1),IF(COUNTIFS(AKTIVITAS!$B$2:$B$3052,B1205,AKTIVITAS!$E$2:$E$3052,H1205)&gt;0,1,0),0)</f>
        <v>1</v>
      </c>
      <c r="V1205" s="71">
        <f>IFERROR(IF(AND(H1205&gt;=INDEX(PEMAGANG!$J$3:$J$36,MATCH(B1205,PEMAGANG!$C$3:$C$36,0)),H1205&lt;=INDEX(PEMAGANG!$K$3:$K$36,MATCH(B1205,PEMAGANG!$C$3:$C$36,0))),1,0),0)</f>
        <v>1</v>
      </c>
      <c r="W1205" s="71">
        <f t="shared" si="170"/>
        <v>1</v>
      </c>
    </row>
    <row r="1206" spans="1:23" x14ac:dyDescent="0.2">
      <c r="A1206" s="71" t="s">
        <v>235</v>
      </c>
      <c r="B1206" s="71" t="s">
        <v>236</v>
      </c>
      <c r="C1206" s="71" t="s">
        <v>187</v>
      </c>
      <c r="D1206" s="71" t="s">
        <v>237</v>
      </c>
      <c r="E1206" s="71" t="s">
        <v>40</v>
      </c>
      <c r="F1206" s="71" t="s">
        <v>300</v>
      </c>
      <c r="G1206" s="88">
        <v>46233.777430555601</v>
      </c>
      <c r="H1206" s="89">
        <v>46233</v>
      </c>
      <c r="I1206" s="71" t="s">
        <v>358</v>
      </c>
      <c r="J1206" s="71">
        <v>0</v>
      </c>
      <c r="K1206" s="71" t="s">
        <v>302</v>
      </c>
      <c r="L1206" s="71">
        <f t="shared" si="162"/>
        <v>7</v>
      </c>
      <c r="M1206" s="71" t="str">
        <f>IFERROR(INDEX(KALENDER!$D$3:$D$132,MATCH(H1206,KALENDER!$A$3:$A$132,0)),"Di luar periode")</f>
        <v>Hari Kerja</v>
      </c>
      <c r="N1206" s="71">
        <f t="shared" si="163"/>
        <v>0</v>
      </c>
      <c r="O1206" s="71">
        <f t="shared" si="164"/>
        <v>1</v>
      </c>
      <c r="P1206" s="71">
        <f t="shared" si="165"/>
        <v>0</v>
      </c>
      <c r="Q1206" s="71">
        <f t="shared" si="166"/>
        <v>0</v>
      </c>
      <c r="R1206" s="71">
        <f t="shared" si="167"/>
        <v>0</v>
      </c>
      <c r="S1206" s="71">
        <f t="shared" si="168"/>
        <v>0</v>
      </c>
      <c r="T1206" s="71">
        <f t="shared" si="169"/>
        <v>0</v>
      </c>
      <c r="U1206" s="71">
        <f>IF(AND(N1206=1,V1206=1),IF(COUNTIFS(AKTIVITAS!$B$2:$B$3052,B1206,AKTIVITAS!$E$2:$E$3052,H1206)&gt;0,1,0),0)</f>
        <v>0</v>
      </c>
      <c r="V1206" s="71">
        <f>IFERROR(IF(AND(H1206&gt;=INDEX(PEMAGANG!$J$3:$J$36,MATCH(B1206,PEMAGANG!$C$3:$C$36,0)),H1206&lt;=INDEX(PEMAGANG!$K$3:$K$36,MATCH(B1206,PEMAGANG!$C$3:$C$36,0))),1,0),0)</f>
        <v>1</v>
      </c>
      <c r="W1206" s="71">
        <f t="shared" si="170"/>
        <v>0</v>
      </c>
    </row>
    <row r="1207" spans="1:23" x14ac:dyDescent="0.2">
      <c r="A1207" s="71" t="s">
        <v>235</v>
      </c>
      <c r="B1207" s="71" t="s">
        <v>236</v>
      </c>
      <c r="C1207" s="71" t="s">
        <v>187</v>
      </c>
      <c r="D1207" s="71" t="s">
        <v>237</v>
      </c>
      <c r="E1207" s="71" t="s">
        <v>40</v>
      </c>
      <c r="F1207" s="71" t="s">
        <v>298</v>
      </c>
      <c r="G1207" s="88">
        <v>46234.313020833302</v>
      </c>
      <c r="H1207" s="89">
        <v>46234</v>
      </c>
      <c r="I1207" s="71" t="s">
        <v>335</v>
      </c>
      <c r="J1207" s="71">
        <v>0</v>
      </c>
      <c r="K1207" s="71" t="s">
        <v>302</v>
      </c>
      <c r="L1207" s="71">
        <f t="shared" si="162"/>
        <v>7</v>
      </c>
      <c r="M1207" s="71" t="str">
        <f>IFERROR(INDEX(KALENDER!$D$3:$D$132,MATCH(H1207,KALENDER!$A$3:$A$132,0)),"Di luar periode")</f>
        <v>Hari Kerja</v>
      </c>
      <c r="N1207" s="71">
        <f t="shared" si="163"/>
        <v>1</v>
      </c>
      <c r="O1207" s="71">
        <f t="shared" si="164"/>
        <v>1</v>
      </c>
      <c r="P1207" s="71">
        <f t="shared" si="165"/>
        <v>1</v>
      </c>
      <c r="Q1207" s="71">
        <f t="shared" si="166"/>
        <v>0</v>
      </c>
      <c r="R1207" s="71">
        <f t="shared" si="167"/>
        <v>0</v>
      </c>
      <c r="S1207" s="71">
        <f t="shared" si="168"/>
        <v>0</v>
      </c>
      <c r="T1207" s="71">
        <f t="shared" si="169"/>
        <v>0</v>
      </c>
      <c r="U1207" s="71">
        <f>IF(AND(N1207=1,V1207=1),IF(COUNTIFS(AKTIVITAS!$B$2:$B$3052,B1207,AKTIVITAS!$E$2:$E$3052,H1207)&gt;0,1,0),0)</f>
        <v>1</v>
      </c>
      <c r="V1207" s="71">
        <f>IFERROR(IF(AND(H1207&gt;=INDEX(PEMAGANG!$J$3:$J$36,MATCH(B1207,PEMAGANG!$C$3:$C$36,0)),H1207&lt;=INDEX(PEMAGANG!$K$3:$K$36,MATCH(B1207,PEMAGANG!$C$3:$C$36,0))),1,0),0)</f>
        <v>1</v>
      </c>
      <c r="W1207" s="71">
        <f t="shared" si="170"/>
        <v>1</v>
      </c>
    </row>
    <row r="1208" spans="1:23" x14ac:dyDescent="0.2">
      <c r="A1208" s="71" t="s">
        <v>235</v>
      </c>
      <c r="B1208" s="71" t="s">
        <v>236</v>
      </c>
      <c r="C1208" s="71" t="s">
        <v>187</v>
      </c>
      <c r="D1208" s="71" t="s">
        <v>237</v>
      </c>
      <c r="E1208" s="71" t="s">
        <v>40</v>
      </c>
      <c r="F1208" s="71" t="s">
        <v>300</v>
      </c>
      <c r="G1208" s="88">
        <v>46234.688773148198</v>
      </c>
      <c r="H1208" s="89">
        <v>46234</v>
      </c>
      <c r="I1208" s="71" t="s">
        <v>336</v>
      </c>
      <c r="J1208" s="71">
        <v>0</v>
      </c>
      <c r="K1208" s="71" t="s">
        <v>302</v>
      </c>
      <c r="L1208" s="71">
        <f t="shared" si="162"/>
        <v>7</v>
      </c>
      <c r="M1208" s="71" t="str">
        <f>IFERROR(INDEX(KALENDER!$D$3:$D$132,MATCH(H1208,KALENDER!$A$3:$A$132,0)),"Di luar periode")</f>
        <v>Hari Kerja</v>
      </c>
      <c r="N1208" s="71">
        <f t="shared" si="163"/>
        <v>0</v>
      </c>
      <c r="O1208" s="71">
        <f t="shared" si="164"/>
        <v>1</v>
      </c>
      <c r="P1208" s="71">
        <f t="shared" si="165"/>
        <v>0</v>
      </c>
      <c r="Q1208" s="71">
        <f t="shared" si="166"/>
        <v>0</v>
      </c>
      <c r="R1208" s="71">
        <f t="shared" si="167"/>
        <v>0</v>
      </c>
      <c r="S1208" s="71">
        <f t="shared" si="168"/>
        <v>0</v>
      </c>
      <c r="T1208" s="71">
        <f t="shared" si="169"/>
        <v>0</v>
      </c>
      <c r="U1208" s="71">
        <f>IF(AND(N1208=1,V1208=1),IF(COUNTIFS(AKTIVITAS!$B$2:$B$3052,B1208,AKTIVITAS!$E$2:$E$3052,H1208)&gt;0,1,0),0)</f>
        <v>0</v>
      </c>
      <c r="V1208" s="71">
        <f>IFERROR(IF(AND(H1208&gt;=INDEX(PEMAGANG!$J$3:$J$36,MATCH(B1208,PEMAGANG!$C$3:$C$36,0)),H1208&lt;=INDEX(PEMAGANG!$K$3:$K$36,MATCH(B1208,PEMAGANG!$C$3:$C$36,0))),1,0),0)</f>
        <v>1</v>
      </c>
      <c r="W1208" s="71">
        <f t="shared" si="170"/>
        <v>0</v>
      </c>
    </row>
    <row r="1209" spans="1:23" x14ac:dyDescent="0.2">
      <c r="A1209" s="71" t="s">
        <v>235</v>
      </c>
      <c r="B1209" s="71" t="s">
        <v>236</v>
      </c>
      <c r="C1209" s="71" t="s">
        <v>187</v>
      </c>
      <c r="D1209" s="71" t="s">
        <v>237</v>
      </c>
      <c r="E1209" s="71" t="s">
        <v>40</v>
      </c>
      <c r="F1209" s="71" t="s">
        <v>298</v>
      </c>
      <c r="G1209" s="88">
        <v>46237.307569444398</v>
      </c>
      <c r="H1209" s="89">
        <v>46237</v>
      </c>
      <c r="I1209" s="71" t="s">
        <v>313</v>
      </c>
      <c r="J1209" s="71">
        <v>-8.0000000000000497</v>
      </c>
      <c r="K1209" s="71" t="s">
        <v>302</v>
      </c>
      <c r="L1209" s="71">
        <f t="shared" si="162"/>
        <v>8</v>
      </c>
      <c r="M1209" s="71" t="str">
        <f>IFERROR(INDEX(KALENDER!$D$3:$D$132,MATCH(H1209,KALENDER!$A$3:$A$132,0)),"Di luar periode")</f>
        <v>Hari Kerja</v>
      </c>
      <c r="N1209" s="71">
        <f t="shared" si="163"/>
        <v>1</v>
      </c>
      <c r="O1209" s="71">
        <f t="shared" si="164"/>
        <v>1</v>
      </c>
      <c r="P1209" s="71">
        <f t="shared" si="165"/>
        <v>1</v>
      </c>
      <c r="Q1209" s="71">
        <f t="shared" si="166"/>
        <v>0</v>
      </c>
      <c r="R1209" s="71">
        <f t="shared" si="167"/>
        <v>0</v>
      </c>
      <c r="S1209" s="71">
        <f t="shared" si="168"/>
        <v>0</v>
      </c>
      <c r="T1209" s="71">
        <f t="shared" si="169"/>
        <v>0</v>
      </c>
      <c r="U1209" s="71">
        <f>IF(AND(N1209=1,V1209=1),IF(COUNTIFS(AKTIVITAS!$B$2:$B$3052,B1209,AKTIVITAS!$E$2:$E$3052,H1209)&gt;0,1,0),0)</f>
        <v>1</v>
      </c>
      <c r="V1209" s="71">
        <f>IFERROR(IF(AND(H1209&gt;=INDEX(PEMAGANG!$J$3:$J$36,MATCH(B1209,PEMAGANG!$C$3:$C$36,0)),H1209&lt;=INDEX(PEMAGANG!$K$3:$K$36,MATCH(B1209,PEMAGANG!$C$3:$C$36,0))),1,0),0)</f>
        <v>1</v>
      </c>
      <c r="W1209" s="71">
        <f t="shared" si="170"/>
        <v>1</v>
      </c>
    </row>
    <row r="1210" spans="1:23" x14ac:dyDescent="0.2">
      <c r="A1210" s="71" t="s">
        <v>235</v>
      </c>
      <c r="B1210" s="71" t="s">
        <v>236</v>
      </c>
      <c r="C1210" s="71" t="s">
        <v>187</v>
      </c>
      <c r="D1210" s="71" t="s">
        <v>237</v>
      </c>
      <c r="E1210" s="71" t="s">
        <v>40</v>
      </c>
      <c r="F1210" s="71" t="s">
        <v>300</v>
      </c>
      <c r="G1210" s="88">
        <v>46237.6903356482</v>
      </c>
      <c r="H1210" s="89">
        <v>46237</v>
      </c>
      <c r="I1210" s="71" t="s">
        <v>314</v>
      </c>
      <c r="J1210" s="71">
        <v>0</v>
      </c>
      <c r="K1210" s="71" t="s">
        <v>302</v>
      </c>
      <c r="L1210" s="71">
        <f t="shared" si="162"/>
        <v>8</v>
      </c>
      <c r="M1210" s="71" t="str">
        <f>IFERROR(INDEX(KALENDER!$D$3:$D$132,MATCH(H1210,KALENDER!$A$3:$A$132,0)),"Di luar periode")</f>
        <v>Hari Kerja</v>
      </c>
      <c r="N1210" s="71">
        <f t="shared" si="163"/>
        <v>0</v>
      </c>
      <c r="O1210" s="71">
        <f t="shared" si="164"/>
        <v>1</v>
      </c>
      <c r="P1210" s="71">
        <f t="shared" si="165"/>
        <v>0</v>
      </c>
      <c r="Q1210" s="71">
        <f t="shared" si="166"/>
        <v>0</v>
      </c>
      <c r="R1210" s="71">
        <f t="shared" si="167"/>
        <v>0</v>
      </c>
      <c r="S1210" s="71">
        <f t="shared" si="168"/>
        <v>0</v>
      </c>
      <c r="T1210" s="71">
        <f t="shared" si="169"/>
        <v>0</v>
      </c>
      <c r="U1210" s="71">
        <f>IF(AND(N1210=1,V1210=1),IF(COUNTIFS(AKTIVITAS!$B$2:$B$3052,B1210,AKTIVITAS!$E$2:$E$3052,H1210)&gt;0,1,0),0)</f>
        <v>0</v>
      </c>
      <c r="V1210" s="71">
        <f>IFERROR(IF(AND(H1210&gt;=INDEX(PEMAGANG!$J$3:$J$36,MATCH(B1210,PEMAGANG!$C$3:$C$36,0)),H1210&lt;=INDEX(PEMAGANG!$K$3:$K$36,MATCH(B1210,PEMAGANG!$C$3:$C$36,0))),1,0),0)</f>
        <v>1</v>
      </c>
      <c r="W1210" s="71">
        <f t="shared" si="170"/>
        <v>0</v>
      </c>
    </row>
    <row r="1211" spans="1:23" x14ac:dyDescent="0.2">
      <c r="A1211" s="71" t="s">
        <v>235</v>
      </c>
      <c r="B1211" s="71" t="s">
        <v>236</v>
      </c>
      <c r="C1211" s="71" t="s">
        <v>187</v>
      </c>
      <c r="D1211" s="71" t="s">
        <v>237</v>
      </c>
      <c r="E1211" s="71" t="s">
        <v>40</v>
      </c>
      <c r="F1211" s="71" t="s">
        <v>298</v>
      </c>
      <c r="G1211" s="88">
        <v>46238.3125462963</v>
      </c>
      <c r="H1211" s="89">
        <v>46238</v>
      </c>
      <c r="I1211" s="71" t="s">
        <v>335</v>
      </c>
      <c r="J1211" s="71">
        <v>0</v>
      </c>
      <c r="K1211" s="71" t="s">
        <v>302</v>
      </c>
      <c r="L1211" s="71">
        <f t="shared" si="162"/>
        <v>8</v>
      </c>
      <c r="M1211" s="71" t="str">
        <f>IFERROR(INDEX(KALENDER!$D$3:$D$132,MATCH(H1211,KALENDER!$A$3:$A$132,0)),"Di luar periode")</f>
        <v>Hari Kerja</v>
      </c>
      <c r="N1211" s="71">
        <f t="shared" si="163"/>
        <v>1</v>
      </c>
      <c r="O1211" s="71">
        <f t="shared" si="164"/>
        <v>1</v>
      </c>
      <c r="P1211" s="71">
        <f t="shared" si="165"/>
        <v>1</v>
      </c>
      <c r="Q1211" s="71">
        <f t="shared" si="166"/>
        <v>0</v>
      </c>
      <c r="R1211" s="71">
        <f t="shared" si="167"/>
        <v>0</v>
      </c>
      <c r="S1211" s="71">
        <f t="shared" si="168"/>
        <v>0</v>
      </c>
      <c r="T1211" s="71">
        <f t="shared" si="169"/>
        <v>0</v>
      </c>
      <c r="U1211" s="71">
        <f>IF(AND(N1211=1,V1211=1),IF(COUNTIFS(AKTIVITAS!$B$2:$B$3052,B1211,AKTIVITAS!$E$2:$E$3052,H1211)&gt;0,1,0),0)</f>
        <v>1</v>
      </c>
      <c r="V1211" s="71">
        <f>IFERROR(IF(AND(H1211&gt;=INDEX(PEMAGANG!$J$3:$J$36,MATCH(B1211,PEMAGANG!$C$3:$C$36,0)),H1211&lt;=INDEX(PEMAGANG!$K$3:$K$36,MATCH(B1211,PEMAGANG!$C$3:$C$36,0))),1,0),0)</f>
        <v>1</v>
      </c>
      <c r="W1211" s="71">
        <f t="shared" si="170"/>
        <v>1</v>
      </c>
    </row>
    <row r="1212" spans="1:23" x14ac:dyDescent="0.2">
      <c r="A1212" s="71" t="s">
        <v>235</v>
      </c>
      <c r="B1212" s="71" t="s">
        <v>236</v>
      </c>
      <c r="C1212" s="71" t="s">
        <v>187</v>
      </c>
      <c r="D1212" s="71" t="s">
        <v>237</v>
      </c>
      <c r="E1212" s="71" t="s">
        <v>40</v>
      </c>
      <c r="F1212" s="71" t="s">
        <v>300</v>
      </c>
      <c r="G1212" s="88">
        <v>46238.688587962999</v>
      </c>
      <c r="H1212" s="89">
        <v>46238</v>
      </c>
      <c r="I1212" s="71" t="s">
        <v>336</v>
      </c>
      <c r="J1212" s="71">
        <v>0</v>
      </c>
      <c r="K1212" s="71" t="s">
        <v>302</v>
      </c>
      <c r="L1212" s="71">
        <f t="shared" si="162"/>
        <v>8</v>
      </c>
      <c r="M1212" s="71" t="str">
        <f>IFERROR(INDEX(KALENDER!$D$3:$D$132,MATCH(H1212,KALENDER!$A$3:$A$132,0)),"Di luar periode")</f>
        <v>Hari Kerja</v>
      </c>
      <c r="N1212" s="71">
        <f t="shared" si="163"/>
        <v>0</v>
      </c>
      <c r="O1212" s="71">
        <f t="shared" si="164"/>
        <v>1</v>
      </c>
      <c r="P1212" s="71">
        <f t="shared" si="165"/>
        <v>0</v>
      </c>
      <c r="Q1212" s="71">
        <f t="shared" si="166"/>
        <v>0</v>
      </c>
      <c r="R1212" s="71">
        <f t="shared" si="167"/>
        <v>0</v>
      </c>
      <c r="S1212" s="71">
        <f t="shared" si="168"/>
        <v>0</v>
      </c>
      <c r="T1212" s="71">
        <f t="shared" si="169"/>
        <v>0</v>
      </c>
      <c r="U1212" s="71">
        <f>IF(AND(N1212=1,V1212=1),IF(COUNTIFS(AKTIVITAS!$B$2:$B$3052,B1212,AKTIVITAS!$E$2:$E$3052,H1212)&gt;0,1,0),0)</f>
        <v>0</v>
      </c>
      <c r="V1212" s="71">
        <f>IFERROR(IF(AND(H1212&gt;=INDEX(PEMAGANG!$J$3:$J$36,MATCH(B1212,PEMAGANG!$C$3:$C$36,0)),H1212&lt;=INDEX(PEMAGANG!$K$3:$K$36,MATCH(B1212,PEMAGANG!$C$3:$C$36,0))),1,0),0)</f>
        <v>1</v>
      </c>
      <c r="W1212" s="71">
        <f t="shared" si="170"/>
        <v>0</v>
      </c>
    </row>
    <row r="1213" spans="1:23" x14ac:dyDescent="0.2">
      <c r="A1213" s="71" t="s">
        <v>235</v>
      </c>
      <c r="B1213" s="71" t="s">
        <v>236</v>
      </c>
      <c r="C1213" s="71" t="s">
        <v>187</v>
      </c>
      <c r="D1213" s="71" t="s">
        <v>237</v>
      </c>
      <c r="E1213" s="71" t="s">
        <v>40</v>
      </c>
      <c r="F1213" s="71" t="s">
        <v>298</v>
      </c>
      <c r="G1213" s="88">
        <v>46239.311932870398</v>
      </c>
      <c r="H1213" s="89">
        <v>46239</v>
      </c>
      <c r="I1213" s="71" t="s">
        <v>365</v>
      </c>
      <c r="J1213" s="71">
        <v>-0.999999999999996</v>
      </c>
      <c r="K1213" s="71" t="s">
        <v>302</v>
      </c>
      <c r="L1213" s="71">
        <f t="shared" si="162"/>
        <v>8</v>
      </c>
      <c r="M1213" s="71" t="str">
        <f>IFERROR(INDEX(KALENDER!$D$3:$D$132,MATCH(H1213,KALENDER!$A$3:$A$132,0)),"Di luar periode")</f>
        <v>Hari Kerja</v>
      </c>
      <c r="N1213" s="71">
        <f t="shared" si="163"/>
        <v>1</v>
      </c>
      <c r="O1213" s="71">
        <f t="shared" si="164"/>
        <v>1</v>
      </c>
      <c r="P1213" s="71">
        <f t="shared" si="165"/>
        <v>1</v>
      </c>
      <c r="Q1213" s="71">
        <f t="shared" si="166"/>
        <v>0</v>
      </c>
      <c r="R1213" s="71">
        <f t="shared" si="167"/>
        <v>0</v>
      </c>
      <c r="S1213" s="71">
        <f t="shared" si="168"/>
        <v>0</v>
      </c>
      <c r="T1213" s="71">
        <f t="shared" si="169"/>
        <v>0</v>
      </c>
      <c r="U1213" s="71">
        <f>IF(AND(N1213=1,V1213=1),IF(COUNTIFS(AKTIVITAS!$B$2:$B$3052,B1213,AKTIVITAS!$E$2:$E$3052,H1213)&gt;0,1,0),0)</f>
        <v>1</v>
      </c>
      <c r="V1213" s="71">
        <f>IFERROR(IF(AND(H1213&gt;=INDEX(PEMAGANG!$J$3:$J$36,MATCH(B1213,PEMAGANG!$C$3:$C$36,0)),H1213&lt;=INDEX(PEMAGANG!$K$3:$K$36,MATCH(B1213,PEMAGANG!$C$3:$C$36,0))),1,0),0)</f>
        <v>1</v>
      </c>
      <c r="W1213" s="71">
        <f t="shared" si="170"/>
        <v>1</v>
      </c>
    </row>
    <row r="1214" spans="1:23" x14ac:dyDescent="0.2">
      <c r="A1214" s="71" t="s">
        <v>235</v>
      </c>
      <c r="B1214" s="71" t="s">
        <v>236</v>
      </c>
      <c r="C1214" s="71" t="s">
        <v>187</v>
      </c>
      <c r="D1214" s="71" t="s">
        <v>237</v>
      </c>
      <c r="E1214" s="71" t="s">
        <v>40</v>
      </c>
      <c r="F1214" s="71" t="s">
        <v>300</v>
      </c>
      <c r="G1214" s="88">
        <v>46239.687870370399</v>
      </c>
      <c r="H1214" s="89">
        <v>46239</v>
      </c>
      <c r="I1214" s="71" t="s">
        <v>330</v>
      </c>
      <c r="J1214" s="71">
        <v>0</v>
      </c>
      <c r="K1214" s="71" t="s">
        <v>302</v>
      </c>
      <c r="L1214" s="71">
        <f t="shared" si="162"/>
        <v>8</v>
      </c>
      <c r="M1214" s="71" t="str">
        <f>IFERROR(INDEX(KALENDER!$D$3:$D$132,MATCH(H1214,KALENDER!$A$3:$A$132,0)),"Di luar periode")</f>
        <v>Hari Kerja</v>
      </c>
      <c r="N1214" s="71">
        <f t="shared" si="163"/>
        <v>0</v>
      </c>
      <c r="O1214" s="71">
        <f t="shared" si="164"/>
        <v>1</v>
      </c>
      <c r="P1214" s="71">
        <f t="shared" si="165"/>
        <v>0</v>
      </c>
      <c r="Q1214" s="71">
        <f t="shared" si="166"/>
        <v>0</v>
      </c>
      <c r="R1214" s="71">
        <f t="shared" si="167"/>
        <v>0</v>
      </c>
      <c r="S1214" s="71">
        <f t="shared" si="168"/>
        <v>0</v>
      </c>
      <c r="T1214" s="71">
        <f t="shared" si="169"/>
        <v>0</v>
      </c>
      <c r="U1214" s="71">
        <f>IF(AND(N1214=1,V1214=1),IF(COUNTIFS(AKTIVITAS!$B$2:$B$3052,B1214,AKTIVITAS!$E$2:$E$3052,H1214)&gt;0,1,0),0)</f>
        <v>0</v>
      </c>
      <c r="V1214" s="71">
        <f>IFERROR(IF(AND(H1214&gt;=INDEX(PEMAGANG!$J$3:$J$36,MATCH(B1214,PEMAGANG!$C$3:$C$36,0)),H1214&lt;=INDEX(PEMAGANG!$K$3:$K$36,MATCH(B1214,PEMAGANG!$C$3:$C$36,0))),1,0),0)</f>
        <v>1</v>
      </c>
      <c r="W1214" s="71">
        <f t="shared" si="170"/>
        <v>0</v>
      </c>
    </row>
    <row r="1215" spans="1:23" x14ac:dyDescent="0.2">
      <c r="A1215" s="71" t="s">
        <v>235</v>
      </c>
      <c r="B1215" s="71" t="s">
        <v>236</v>
      </c>
      <c r="C1215" s="71" t="s">
        <v>187</v>
      </c>
      <c r="D1215" s="71" t="s">
        <v>237</v>
      </c>
      <c r="E1215" s="71" t="s">
        <v>40</v>
      </c>
      <c r="F1215" s="71" t="s">
        <v>298</v>
      </c>
      <c r="G1215" s="88">
        <v>46240.314548611103</v>
      </c>
      <c r="H1215" s="89">
        <v>46240</v>
      </c>
      <c r="I1215" s="71" t="s">
        <v>338</v>
      </c>
      <c r="J1215" s="71">
        <v>1.99999999999999</v>
      </c>
      <c r="K1215" s="71" t="s">
        <v>293</v>
      </c>
      <c r="L1215" s="71">
        <f t="shared" si="162"/>
        <v>8</v>
      </c>
      <c r="M1215" s="71" t="str">
        <f>IFERROR(INDEX(KALENDER!$D$3:$D$132,MATCH(H1215,KALENDER!$A$3:$A$132,0)),"Di luar periode")</f>
        <v>Hari Kerja</v>
      </c>
      <c r="N1215" s="71">
        <f t="shared" si="163"/>
        <v>1</v>
      </c>
      <c r="O1215" s="71">
        <f t="shared" si="164"/>
        <v>1</v>
      </c>
      <c r="P1215" s="71">
        <f t="shared" si="165"/>
        <v>1</v>
      </c>
      <c r="Q1215" s="71">
        <f t="shared" si="166"/>
        <v>0</v>
      </c>
      <c r="R1215" s="71">
        <f t="shared" si="167"/>
        <v>1</v>
      </c>
      <c r="S1215" s="71">
        <f t="shared" si="168"/>
        <v>1.99999999999999</v>
      </c>
      <c r="T1215" s="71">
        <f t="shared" si="169"/>
        <v>0</v>
      </c>
      <c r="U1215" s="71">
        <f>IF(AND(N1215=1,V1215=1),IF(COUNTIFS(AKTIVITAS!$B$2:$B$3052,B1215,AKTIVITAS!$E$2:$E$3052,H1215)&gt;0,1,0),0)</f>
        <v>1</v>
      </c>
      <c r="V1215" s="71">
        <f>IFERROR(IF(AND(H1215&gt;=INDEX(PEMAGANG!$J$3:$J$36,MATCH(B1215,PEMAGANG!$C$3:$C$36,0)),H1215&lt;=INDEX(PEMAGANG!$K$3:$K$36,MATCH(B1215,PEMAGANG!$C$3:$C$36,0))),1,0),0)</f>
        <v>1</v>
      </c>
      <c r="W1215" s="71">
        <f t="shared" si="170"/>
        <v>1</v>
      </c>
    </row>
    <row r="1216" spans="1:23" x14ac:dyDescent="0.2">
      <c r="A1216" s="71" t="s">
        <v>235</v>
      </c>
      <c r="B1216" s="71" t="s">
        <v>236</v>
      </c>
      <c r="C1216" s="71" t="s">
        <v>187</v>
      </c>
      <c r="D1216" s="71" t="s">
        <v>237</v>
      </c>
      <c r="E1216" s="71" t="s">
        <v>40</v>
      </c>
      <c r="F1216" s="71" t="s">
        <v>300</v>
      </c>
      <c r="G1216" s="88">
        <v>46240.688958333303</v>
      </c>
      <c r="H1216" s="89">
        <v>46240</v>
      </c>
      <c r="I1216" s="71" t="s">
        <v>306</v>
      </c>
      <c r="J1216" s="71">
        <v>0</v>
      </c>
      <c r="K1216" s="71" t="s">
        <v>302</v>
      </c>
      <c r="L1216" s="71">
        <f t="shared" si="162"/>
        <v>8</v>
      </c>
      <c r="M1216" s="71" t="str">
        <f>IFERROR(INDEX(KALENDER!$D$3:$D$132,MATCH(H1216,KALENDER!$A$3:$A$132,0)),"Di luar periode")</f>
        <v>Hari Kerja</v>
      </c>
      <c r="N1216" s="71">
        <f t="shared" si="163"/>
        <v>0</v>
      </c>
      <c r="O1216" s="71">
        <f t="shared" si="164"/>
        <v>1</v>
      </c>
      <c r="P1216" s="71">
        <f t="shared" si="165"/>
        <v>0</v>
      </c>
      <c r="Q1216" s="71">
        <f t="shared" si="166"/>
        <v>0</v>
      </c>
      <c r="R1216" s="71">
        <f t="shared" si="167"/>
        <v>0</v>
      </c>
      <c r="S1216" s="71">
        <f t="shared" si="168"/>
        <v>0</v>
      </c>
      <c r="T1216" s="71">
        <f t="shared" si="169"/>
        <v>0</v>
      </c>
      <c r="U1216" s="71">
        <f>IF(AND(N1216=1,V1216=1),IF(COUNTIFS(AKTIVITAS!$B$2:$B$3052,B1216,AKTIVITAS!$E$2:$E$3052,H1216)&gt;0,1,0),0)</f>
        <v>0</v>
      </c>
      <c r="V1216" s="71">
        <f>IFERROR(IF(AND(H1216&gt;=INDEX(PEMAGANG!$J$3:$J$36,MATCH(B1216,PEMAGANG!$C$3:$C$36,0)),H1216&lt;=INDEX(PEMAGANG!$K$3:$K$36,MATCH(B1216,PEMAGANG!$C$3:$C$36,0))),1,0),0)</f>
        <v>1</v>
      </c>
      <c r="W1216" s="71">
        <f t="shared" si="170"/>
        <v>0</v>
      </c>
    </row>
    <row r="1217" spans="1:23" x14ac:dyDescent="0.2">
      <c r="A1217" s="71" t="s">
        <v>235</v>
      </c>
      <c r="B1217" s="71" t="s">
        <v>236</v>
      </c>
      <c r="C1217" s="71" t="s">
        <v>187</v>
      </c>
      <c r="D1217" s="71" t="s">
        <v>237</v>
      </c>
      <c r="E1217" s="71" t="s">
        <v>40</v>
      </c>
      <c r="F1217" s="71" t="s">
        <v>298</v>
      </c>
      <c r="G1217" s="88">
        <v>46241.314016203702</v>
      </c>
      <c r="H1217" s="89">
        <v>46241</v>
      </c>
      <c r="I1217" s="71" t="s">
        <v>338</v>
      </c>
      <c r="J1217" s="71">
        <v>1.99999999999999</v>
      </c>
      <c r="K1217" s="71" t="s">
        <v>293</v>
      </c>
      <c r="L1217" s="71">
        <f t="shared" si="162"/>
        <v>8</v>
      </c>
      <c r="M1217" s="71" t="str">
        <f>IFERROR(INDEX(KALENDER!$D$3:$D$132,MATCH(H1217,KALENDER!$A$3:$A$132,0)),"Di luar periode")</f>
        <v>Hari Kerja</v>
      </c>
      <c r="N1217" s="71">
        <f t="shared" si="163"/>
        <v>1</v>
      </c>
      <c r="O1217" s="71">
        <f t="shared" si="164"/>
        <v>1</v>
      </c>
      <c r="P1217" s="71">
        <f t="shared" si="165"/>
        <v>1</v>
      </c>
      <c r="Q1217" s="71">
        <f t="shared" si="166"/>
        <v>0</v>
      </c>
      <c r="R1217" s="71">
        <f t="shared" si="167"/>
        <v>1</v>
      </c>
      <c r="S1217" s="71">
        <f t="shared" si="168"/>
        <v>1.99999999999999</v>
      </c>
      <c r="T1217" s="71">
        <f t="shared" si="169"/>
        <v>0</v>
      </c>
      <c r="U1217" s="71">
        <f>IF(AND(N1217=1,V1217=1),IF(COUNTIFS(AKTIVITAS!$B$2:$B$3052,B1217,AKTIVITAS!$E$2:$E$3052,H1217)&gt;0,1,0),0)</f>
        <v>1</v>
      </c>
      <c r="V1217" s="71">
        <f>IFERROR(IF(AND(H1217&gt;=INDEX(PEMAGANG!$J$3:$J$36,MATCH(B1217,PEMAGANG!$C$3:$C$36,0)),H1217&lt;=INDEX(PEMAGANG!$K$3:$K$36,MATCH(B1217,PEMAGANG!$C$3:$C$36,0))),1,0),0)</f>
        <v>1</v>
      </c>
      <c r="W1217" s="71">
        <f t="shared" si="170"/>
        <v>1</v>
      </c>
    </row>
    <row r="1218" spans="1:23" x14ac:dyDescent="0.2">
      <c r="A1218" s="71" t="s">
        <v>235</v>
      </c>
      <c r="B1218" s="71" t="s">
        <v>236</v>
      </c>
      <c r="C1218" s="71" t="s">
        <v>187</v>
      </c>
      <c r="D1218" s="71" t="s">
        <v>237</v>
      </c>
      <c r="E1218" s="71" t="s">
        <v>40</v>
      </c>
      <c r="F1218" s="71" t="s">
        <v>300</v>
      </c>
      <c r="G1218" s="88">
        <v>46241.695543981499</v>
      </c>
      <c r="H1218" s="89">
        <v>46241</v>
      </c>
      <c r="I1218" s="71" t="s">
        <v>319</v>
      </c>
      <c r="J1218" s="71">
        <v>0</v>
      </c>
      <c r="K1218" s="71" t="s">
        <v>302</v>
      </c>
      <c r="L1218" s="71">
        <f t="shared" ref="L1218:L1281" si="171">MONTH(H1218)</f>
        <v>8</v>
      </c>
      <c r="M1218" s="71" t="str">
        <f>IFERROR(INDEX(KALENDER!$D$3:$D$132,MATCH(H1218,KALENDER!$A$3:$A$132,0)),"Di luar periode")</f>
        <v>Hari Kerja</v>
      </c>
      <c r="N1218" s="71">
        <f t="shared" ref="N1218:N1281" si="172">IF(AND(B1218=B1217,H1218=H1217),0,1)</f>
        <v>0</v>
      </c>
      <c r="O1218" s="71">
        <f t="shared" ref="O1218:O1281" si="173">IF(N1218=1,0,O1217)+IF(F1218="MASUK",1,0)</f>
        <v>1</v>
      </c>
      <c r="P1218" s="71">
        <f t="shared" ref="P1218:P1281" si="174">IF(AND(N1218=1,M1218="Hari Kerja",V1218=1),1,0)</f>
        <v>0</v>
      </c>
      <c r="Q1218" s="71">
        <f t="shared" ref="Q1218:Q1281" si="175">IF(AND(N1218=1,OR(M1218&lt;&gt;"Hari Kerja",V1218=0)),1,0)</f>
        <v>0</v>
      </c>
      <c r="R1218" s="71">
        <f t="shared" ref="R1218:R1281" si="176">IF(AND(F1218="MASUK",O1218=1,N(J1218)&gt;0,V1218=1),1,0)</f>
        <v>0</v>
      </c>
      <c r="S1218" s="71">
        <f t="shared" ref="S1218:S1281" si="177">R1218*N(J1218)</f>
        <v>0</v>
      </c>
      <c r="T1218" s="71">
        <f t="shared" ref="T1218:T1281" si="178">IF(AND(N1218=1,V1218=1),IF(AND(COUNTIFS($B$2:$B$4094,B1218,$H$2:$H$4094,H1218,$F$2:$F$4094,"MASUK")&gt;0,COUNTIFS($B$2:$B$4094,B1218,$H$2:$H$4094,H1218,$F$2:$F$4094,"PULANG")=0),1,0),0)</f>
        <v>0</v>
      </c>
      <c r="U1218" s="71">
        <f>IF(AND(N1218=1,V1218=1),IF(COUNTIFS(AKTIVITAS!$B$2:$B$3052,B1218,AKTIVITAS!$E$2:$E$3052,H1218)&gt;0,1,0),0)</f>
        <v>0</v>
      </c>
      <c r="V1218" s="71">
        <f>IFERROR(IF(AND(H1218&gt;=INDEX(PEMAGANG!$J$3:$J$36,MATCH(B1218,PEMAGANG!$C$3:$C$36,0)),H1218&lt;=INDEX(PEMAGANG!$K$3:$K$36,MATCH(B1218,PEMAGANG!$C$3:$C$36,0))),1,0),0)</f>
        <v>1</v>
      </c>
      <c r="W1218" s="71">
        <f t="shared" ref="W1218:W1281" si="179">N1218*V1218</f>
        <v>0</v>
      </c>
    </row>
    <row r="1219" spans="1:23" x14ac:dyDescent="0.2">
      <c r="A1219" s="71" t="s">
        <v>235</v>
      </c>
      <c r="B1219" s="71" t="s">
        <v>236</v>
      </c>
      <c r="C1219" s="71" t="s">
        <v>187</v>
      </c>
      <c r="D1219" s="71" t="s">
        <v>237</v>
      </c>
      <c r="E1219" s="71" t="s">
        <v>40</v>
      </c>
      <c r="F1219" s="71" t="s">
        <v>298</v>
      </c>
      <c r="G1219" s="88">
        <v>46244.3125462963</v>
      </c>
      <c r="H1219" s="89">
        <v>46244</v>
      </c>
      <c r="I1219" s="71" t="s">
        <v>335</v>
      </c>
      <c r="J1219" s="71">
        <v>0</v>
      </c>
      <c r="K1219" s="71" t="s">
        <v>302</v>
      </c>
      <c r="L1219" s="71">
        <f t="shared" si="171"/>
        <v>8</v>
      </c>
      <c r="M1219" s="71" t="str">
        <f>IFERROR(INDEX(KALENDER!$D$3:$D$132,MATCH(H1219,KALENDER!$A$3:$A$132,0)),"Di luar periode")</f>
        <v>Hari Kerja</v>
      </c>
      <c r="N1219" s="71">
        <f t="shared" si="172"/>
        <v>1</v>
      </c>
      <c r="O1219" s="71">
        <f t="shared" si="173"/>
        <v>1</v>
      </c>
      <c r="P1219" s="71">
        <f t="shared" si="174"/>
        <v>1</v>
      </c>
      <c r="Q1219" s="71">
        <f t="shared" si="175"/>
        <v>0</v>
      </c>
      <c r="R1219" s="71">
        <f t="shared" si="176"/>
        <v>0</v>
      </c>
      <c r="S1219" s="71">
        <f t="shared" si="177"/>
        <v>0</v>
      </c>
      <c r="T1219" s="71">
        <f t="shared" si="178"/>
        <v>1</v>
      </c>
      <c r="U1219" s="71">
        <f>IF(AND(N1219=1,V1219=1),IF(COUNTIFS(AKTIVITAS!$B$2:$B$3052,B1219,AKTIVITAS!$E$2:$E$3052,H1219)&gt;0,1,0),0)</f>
        <v>1</v>
      </c>
      <c r="V1219" s="71">
        <f>IFERROR(IF(AND(H1219&gt;=INDEX(PEMAGANG!$J$3:$J$36,MATCH(B1219,PEMAGANG!$C$3:$C$36,0)),H1219&lt;=INDEX(PEMAGANG!$K$3:$K$36,MATCH(B1219,PEMAGANG!$C$3:$C$36,0))),1,0),0)</f>
        <v>1</v>
      </c>
      <c r="W1219" s="71">
        <f t="shared" si="179"/>
        <v>1</v>
      </c>
    </row>
    <row r="1220" spans="1:23" x14ac:dyDescent="0.2">
      <c r="A1220" s="71" t="s">
        <v>235</v>
      </c>
      <c r="B1220" s="71" t="s">
        <v>236</v>
      </c>
      <c r="C1220" s="71" t="s">
        <v>187</v>
      </c>
      <c r="D1220" s="71" t="s">
        <v>237</v>
      </c>
      <c r="E1220" s="71" t="s">
        <v>40</v>
      </c>
      <c r="F1220" s="71" t="s">
        <v>298</v>
      </c>
      <c r="G1220" s="88">
        <v>46246.312245370398</v>
      </c>
      <c r="H1220" s="89">
        <v>46246</v>
      </c>
      <c r="I1220" s="71" t="s">
        <v>365</v>
      </c>
      <c r="J1220" s="71">
        <v>-0.999999999999996</v>
      </c>
      <c r="K1220" s="71" t="s">
        <v>302</v>
      </c>
      <c r="L1220" s="71">
        <f t="shared" si="171"/>
        <v>8</v>
      </c>
      <c r="M1220" s="71" t="str">
        <f>IFERROR(INDEX(KALENDER!$D$3:$D$132,MATCH(H1220,KALENDER!$A$3:$A$132,0)),"Di luar periode")</f>
        <v>Hari Kerja</v>
      </c>
      <c r="N1220" s="71">
        <f t="shared" si="172"/>
        <v>1</v>
      </c>
      <c r="O1220" s="71">
        <f t="shared" si="173"/>
        <v>1</v>
      </c>
      <c r="P1220" s="71">
        <f t="shared" si="174"/>
        <v>1</v>
      </c>
      <c r="Q1220" s="71">
        <f t="shared" si="175"/>
        <v>0</v>
      </c>
      <c r="R1220" s="71">
        <f t="shared" si="176"/>
        <v>0</v>
      </c>
      <c r="S1220" s="71">
        <f t="shared" si="177"/>
        <v>0</v>
      </c>
      <c r="T1220" s="71">
        <f t="shared" si="178"/>
        <v>0</v>
      </c>
      <c r="U1220" s="71">
        <f>IF(AND(N1220=1,V1220=1),IF(COUNTIFS(AKTIVITAS!$B$2:$B$3052,B1220,AKTIVITAS!$E$2:$E$3052,H1220)&gt;0,1,0),0)</f>
        <v>1</v>
      </c>
      <c r="V1220" s="71">
        <f>IFERROR(IF(AND(H1220&gt;=INDEX(PEMAGANG!$J$3:$J$36,MATCH(B1220,PEMAGANG!$C$3:$C$36,0)),H1220&lt;=INDEX(PEMAGANG!$K$3:$K$36,MATCH(B1220,PEMAGANG!$C$3:$C$36,0))),1,0),0)</f>
        <v>1</v>
      </c>
      <c r="W1220" s="71">
        <f t="shared" si="179"/>
        <v>1</v>
      </c>
    </row>
    <row r="1221" spans="1:23" x14ac:dyDescent="0.2">
      <c r="A1221" s="71" t="s">
        <v>235</v>
      </c>
      <c r="B1221" s="71" t="s">
        <v>236</v>
      </c>
      <c r="C1221" s="71" t="s">
        <v>187</v>
      </c>
      <c r="D1221" s="71" t="s">
        <v>237</v>
      </c>
      <c r="E1221" s="71" t="s">
        <v>40</v>
      </c>
      <c r="F1221" s="71" t="s">
        <v>300</v>
      </c>
      <c r="G1221" s="88">
        <v>46246.688240740703</v>
      </c>
      <c r="H1221" s="89">
        <v>46246</v>
      </c>
      <c r="I1221" s="71" t="s">
        <v>336</v>
      </c>
      <c r="J1221" s="71">
        <v>0</v>
      </c>
      <c r="K1221" s="71" t="s">
        <v>302</v>
      </c>
      <c r="L1221" s="71">
        <f t="shared" si="171"/>
        <v>8</v>
      </c>
      <c r="M1221" s="71" t="str">
        <f>IFERROR(INDEX(KALENDER!$D$3:$D$132,MATCH(H1221,KALENDER!$A$3:$A$132,0)),"Di luar periode")</f>
        <v>Hari Kerja</v>
      </c>
      <c r="N1221" s="71">
        <f t="shared" si="172"/>
        <v>0</v>
      </c>
      <c r="O1221" s="71">
        <f t="shared" si="173"/>
        <v>1</v>
      </c>
      <c r="P1221" s="71">
        <f t="shared" si="174"/>
        <v>0</v>
      </c>
      <c r="Q1221" s="71">
        <f t="shared" si="175"/>
        <v>0</v>
      </c>
      <c r="R1221" s="71">
        <f t="shared" si="176"/>
        <v>0</v>
      </c>
      <c r="S1221" s="71">
        <f t="shared" si="177"/>
        <v>0</v>
      </c>
      <c r="T1221" s="71">
        <f t="shared" si="178"/>
        <v>0</v>
      </c>
      <c r="U1221" s="71">
        <f>IF(AND(N1221=1,V1221=1),IF(COUNTIFS(AKTIVITAS!$B$2:$B$3052,B1221,AKTIVITAS!$E$2:$E$3052,H1221)&gt;0,1,0),0)</f>
        <v>0</v>
      </c>
      <c r="V1221" s="71">
        <f>IFERROR(IF(AND(H1221&gt;=INDEX(PEMAGANG!$J$3:$J$36,MATCH(B1221,PEMAGANG!$C$3:$C$36,0)),H1221&lt;=INDEX(PEMAGANG!$K$3:$K$36,MATCH(B1221,PEMAGANG!$C$3:$C$36,0))),1,0),0)</f>
        <v>1</v>
      </c>
      <c r="W1221" s="71">
        <f t="shared" si="179"/>
        <v>0</v>
      </c>
    </row>
    <row r="1222" spans="1:23" x14ac:dyDescent="0.2">
      <c r="A1222" s="71" t="s">
        <v>235</v>
      </c>
      <c r="B1222" s="71" t="s">
        <v>236</v>
      </c>
      <c r="C1222" s="71" t="s">
        <v>187</v>
      </c>
      <c r="D1222" s="71" t="s">
        <v>237</v>
      </c>
      <c r="E1222" s="71" t="s">
        <v>40</v>
      </c>
      <c r="F1222" s="71" t="s">
        <v>298</v>
      </c>
      <c r="G1222" s="88">
        <v>46247.312291666698</v>
      </c>
      <c r="H1222" s="89">
        <v>46247</v>
      </c>
      <c r="I1222" s="71" t="s">
        <v>365</v>
      </c>
      <c r="J1222" s="71">
        <v>-0.999999999999996</v>
      </c>
      <c r="K1222" s="71" t="s">
        <v>302</v>
      </c>
      <c r="L1222" s="71">
        <f t="shared" si="171"/>
        <v>8</v>
      </c>
      <c r="M1222" s="71" t="str">
        <f>IFERROR(INDEX(KALENDER!$D$3:$D$132,MATCH(H1222,KALENDER!$A$3:$A$132,0)),"Di luar periode")</f>
        <v>Hari Kerja</v>
      </c>
      <c r="N1222" s="71">
        <f t="shared" si="172"/>
        <v>1</v>
      </c>
      <c r="O1222" s="71">
        <f t="shared" si="173"/>
        <v>1</v>
      </c>
      <c r="P1222" s="71">
        <f t="shared" si="174"/>
        <v>1</v>
      </c>
      <c r="Q1222" s="71">
        <f t="shared" si="175"/>
        <v>0</v>
      </c>
      <c r="R1222" s="71">
        <f t="shared" si="176"/>
        <v>0</v>
      </c>
      <c r="S1222" s="71">
        <f t="shared" si="177"/>
        <v>0</v>
      </c>
      <c r="T1222" s="71">
        <f t="shared" si="178"/>
        <v>0</v>
      </c>
      <c r="U1222" s="71">
        <f>IF(AND(N1222=1,V1222=1),IF(COUNTIFS(AKTIVITAS!$B$2:$B$3052,B1222,AKTIVITAS!$E$2:$E$3052,H1222)&gt;0,1,0),0)</f>
        <v>1</v>
      </c>
      <c r="V1222" s="71">
        <f>IFERROR(IF(AND(H1222&gt;=INDEX(PEMAGANG!$J$3:$J$36,MATCH(B1222,PEMAGANG!$C$3:$C$36,0)),H1222&lt;=INDEX(PEMAGANG!$K$3:$K$36,MATCH(B1222,PEMAGANG!$C$3:$C$36,0))),1,0),0)</f>
        <v>1</v>
      </c>
      <c r="W1222" s="71">
        <f t="shared" si="179"/>
        <v>1</v>
      </c>
    </row>
    <row r="1223" spans="1:23" x14ac:dyDescent="0.2">
      <c r="A1223" s="71" t="s">
        <v>235</v>
      </c>
      <c r="B1223" s="71" t="s">
        <v>236</v>
      </c>
      <c r="C1223" s="71" t="s">
        <v>187</v>
      </c>
      <c r="D1223" s="71" t="s">
        <v>237</v>
      </c>
      <c r="E1223" s="71" t="s">
        <v>40</v>
      </c>
      <c r="F1223" s="71" t="s">
        <v>300</v>
      </c>
      <c r="G1223" s="88">
        <v>46247.6896180556</v>
      </c>
      <c r="H1223" s="89">
        <v>46247</v>
      </c>
      <c r="I1223" s="71" t="s">
        <v>316</v>
      </c>
      <c r="J1223" s="71">
        <v>0</v>
      </c>
      <c r="K1223" s="71" t="s">
        <v>302</v>
      </c>
      <c r="L1223" s="71">
        <f t="shared" si="171"/>
        <v>8</v>
      </c>
      <c r="M1223" s="71" t="str">
        <f>IFERROR(INDEX(KALENDER!$D$3:$D$132,MATCH(H1223,KALENDER!$A$3:$A$132,0)),"Di luar periode")</f>
        <v>Hari Kerja</v>
      </c>
      <c r="N1223" s="71">
        <f t="shared" si="172"/>
        <v>0</v>
      </c>
      <c r="O1223" s="71">
        <f t="shared" si="173"/>
        <v>1</v>
      </c>
      <c r="P1223" s="71">
        <f t="shared" si="174"/>
        <v>0</v>
      </c>
      <c r="Q1223" s="71">
        <f t="shared" si="175"/>
        <v>0</v>
      </c>
      <c r="R1223" s="71">
        <f t="shared" si="176"/>
        <v>0</v>
      </c>
      <c r="S1223" s="71">
        <f t="shared" si="177"/>
        <v>0</v>
      </c>
      <c r="T1223" s="71">
        <f t="shared" si="178"/>
        <v>0</v>
      </c>
      <c r="U1223" s="71">
        <f>IF(AND(N1223=1,V1223=1),IF(COUNTIFS(AKTIVITAS!$B$2:$B$3052,B1223,AKTIVITAS!$E$2:$E$3052,H1223)&gt;0,1,0),0)</f>
        <v>0</v>
      </c>
      <c r="V1223" s="71">
        <f>IFERROR(IF(AND(H1223&gt;=INDEX(PEMAGANG!$J$3:$J$36,MATCH(B1223,PEMAGANG!$C$3:$C$36,0)),H1223&lt;=INDEX(PEMAGANG!$K$3:$K$36,MATCH(B1223,PEMAGANG!$C$3:$C$36,0))),1,0),0)</f>
        <v>1</v>
      </c>
      <c r="W1223" s="71">
        <f t="shared" si="179"/>
        <v>0</v>
      </c>
    </row>
    <row r="1224" spans="1:23" x14ac:dyDescent="0.2">
      <c r="A1224" s="71" t="s">
        <v>235</v>
      </c>
      <c r="B1224" s="71" t="s">
        <v>236</v>
      </c>
      <c r="C1224" s="71" t="s">
        <v>187</v>
      </c>
      <c r="D1224" s="71" t="s">
        <v>237</v>
      </c>
      <c r="E1224" s="71" t="s">
        <v>40</v>
      </c>
      <c r="F1224" s="71" t="s">
        <v>298</v>
      </c>
      <c r="G1224" s="88">
        <v>46248.310787037</v>
      </c>
      <c r="H1224" s="89">
        <v>46248</v>
      </c>
      <c r="I1224" s="71" t="s">
        <v>309</v>
      </c>
      <c r="J1224" s="71">
        <v>-2.9999999999999898</v>
      </c>
      <c r="K1224" s="71" t="s">
        <v>302</v>
      </c>
      <c r="L1224" s="71">
        <f t="shared" si="171"/>
        <v>8</v>
      </c>
      <c r="M1224" s="71" t="str">
        <f>IFERROR(INDEX(KALENDER!$D$3:$D$132,MATCH(H1224,KALENDER!$A$3:$A$132,0)),"Di luar periode")</f>
        <v>Hari Kerja</v>
      </c>
      <c r="N1224" s="71">
        <f t="shared" si="172"/>
        <v>1</v>
      </c>
      <c r="O1224" s="71">
        <f t="shared" si="173"/>
        <v>1</v>
      </c>
      <c r="P1224" s="71">
        <f t="shared" si="174"/>
        <v>1</v>
      </c>
      <c r="Q1224" s="71">
        <f t="shared" si="175"/>
        <v>0</v>
      </c>
      <c r="R1224" s="71">
        <f t="shared" si="176"/>
        <v>0</v>
      </c>
      <c r="S1224" s="71">
        <f t="shared" si="177"/>
        <v>0</v>
      </c>
      <c r="T1224" s="71">
        <f t="shared" si="178"/>
        <v>0</v>
      </c>
      <c r="U1224" s="71">
        <f>IF(AND(N1224=1,V1224=1),IF(COUNTIFS(AKTIVITAS!$B$2:$B$3052,B1224,AKTIVITAS!$E$2:$E$3052,H1224)&gt;0,1,0),0)</f>
        <v>1</v>
      </c>
      <c r="V1224" s="71">
        <f>IFERROR(IF(AND(H1224&gt;=INDEX(PEMAGANG!$J$3:$J$36,MATCH(B1224,PEMAGANG!$C$3:$C$36,0)),H1224&lt;=INDEX(PEMAGANG!$K$3:$K$36,MATCH(B1224,PEMAGANG!$C$3:$C$36,0))),1,0),0)</f>
        <v>1</v>
      </c>
      <c r="W1224" s="71">
        <f t="shared" si="179"/>
        <v>1</v>
      </c>
    </row>
    <row r="1225" spans="1:23" x14ac:dyDescent="0.2">
      <c r="A1225" s="71" t="s">
        <v>235</v>
      </c>
      <c r="B1225" s="71" t="s">
        <v>236</v>
      </c>
      <c r="C1225" s="71" t="s">
        <v>187</v>
      </c>
      <c r="D1225" s="71" t="s">
        <v>237</v>
      </c>
      <c r="E1225" s="71" t="s">
        <v>40</v>
      </c>
      <c r="F1225" s="71" t="s">
        <v>300</v>
      </c>
      <c r="G1225" s="88">
        <v>46248.689861111103</v>
      </c>
      <c r="H1225" s="89">
        <v>46248</v>
      </c>
      <c r="I1225" s="71" t="s">
        <v>316</v>
      </c>
      <c r="J1225" s="71">
        <v>0</v>
      </c>
      <c r="K1225" s="71" t="s">
        <v>302</v>
      </c>
      <c r="L1225" s="71">
        <f t="shared" si="171"/>
        <v>8</v>
      </c>
      <c r="M1225" s="71" t="str">
        <f>IFERROR(INDEX(KALENDER!$D$3:$D$132,MATCH(H1225,KALENDER!$A$3:$A$132,0)),"Di luar periode")</f>
        <v>Hari Kerja</v>
      </c>
      <c r="N1225" s="71">
        <f t="shared" si="172"/>
        <v>0</v>
      </c>
      <c r="O1225" s="71">
        <f t="shared" si="173"/>
        <v>1</v>
      </c>
      <c r="P1225" s="71">
        <f t="shared" si="174"/>
        <v>0</v>
      </c>
      <c r="Q1225" s="71">
        <f t="shared" si="175"/>
        <v>0</v>
      </c>
      <c r="R1225" s="71">
        <f t="shared" si="176"/>
        <v>0</v>
      </c>
      <c r="S1225" s="71">
        <f t="shared" si="177"/>
        <v>0</v>
      </c>
      <c r="T1225" s="71">
        <f t="shared" si="178"/>
        <v>0</v>
      </c>
      <c r="U1225" s="71">
        <f>IF(AND(N1225=1,V1225=1),IF(COUNTIFS(AKTIVITAS!$B$2:$B$3052,B1225,AKTIVITAS!$E$2:$E$3052,H1225)&gt;0,1,0),0)</f>
        <v>0</v>
      </c>
      <c r="V1225" s="71">
        <f>IFERROR(IF(AND(H1225&gt;=INDEX(PEMAGANG!$J$3:$J$36,MATCH(B1225,PEMAGANG!$C$3:$C$36,0)),H1225&lt;=INDEX(PEMAGANG!$K$3:$K$36,MATCH(B1225,PEMAGANG!$C$3:$C$36,0))),1,0),0)</f>
        <v>1</v>
      </c>
      <c r="W1225" s="71">
        <f t="shared" si="179"/>
        <v>0</v>
      </c>
    </row>
    <row r="1226" spans="1:23" x14ac:dyDescent="0.2">
      <c r="A1226" s="71" t="s">
        <v>235</v>
      </c>
      <c r="B1226" s="71" t="s">
        <v>236</v>
      </c>
      <c r="C1226" s="71" t="s">
        <v>187</v>
      </c>
      <c r="D1226" s="71" t="s">
        <v>237</v>
      </c>
      <c r="E1226" s="71" t="s">
        <v>40</v>
      </c>
      <c r="F1226" s="71" t="s">
        <v>298</v>
      </c>
      <c r="G1226" s="88">
        <v>46252.315173611103</v>
      </c>
      <c r="H1226" s="89">
        <v>46252</v>
      </c>
      <c r="I1226" s="71" t="s">
        <v>383</v>
      </c>
      <c r="J1226" s="71">
        <v>2.9999999999999898</v>
      </c>
      <c r="K1226" s="71" t="s">
        <v>293</v>
      </c>
      <c r="L1226" s="71">
        <f t="shared" si="171"/>
        <v>8</v>
      </c>
      <c r="M1226" s="71" t="str">
        <f>IFERROR(INDEX(KALENDER!$D$3:$D$132,MATCH(H1226,KALENDER!$A$3:$A$132,0)),"Di luar periode")</f>
        <v>Hari Kerja</v>
      </c>
      <c r="N1226" s="71">
        <f t="shared" si="172"/>
        <v>1</v>
      </c>
      <c r="O1226" s="71">
        <f t="shared" si="173"/>
        <v>1</v>
      </c>
      <c r="P1226" s="71">
        <f t="shared" si="174"/>
        <v>1</v>
      </c>
      <c r="Q1226" s="71">
        <f t="shared" si="175"/>
        <v>0</v>
      </c>
      <c r="R1226" s="71">
        <f t="shared" si="176"/>
        <v>1</v>
      </c>
      <c r="S1226" s="71">
        <f t="shared" si="177"/>
        <v>2.9999999999999898</v>
      </c>
      <c r="T1226" s="71">
        <f t="shared" si="178"/>
        <v>0</v>
      </c>
      <c r="U1226" s="71">
        <f>IF(AND(N1226=1,V1226=1),IF(COUNTIFS(AKTIVITAS!$B$2:$B$3052,B1226,AKTIVITAS!$E$2:$E$3052,H1226)&gt;0,1,0),0)</f>
        <v>1</v>
      </c>
      <c r="V1226" s="71">
        <f>IFERROR(IF(AND(H1226&gt;=INDEX(PEMAGANG!$J$3:$J$36,MATCH(B1226,PEMAGANG!$C$3:$C$36,0)),H1226&lt;=INDEX(PEMAGANG!$K$3:$K$36,MATCH(B1226,PEMAGANG!$C$3:$C$36,0))),1,0),0)</f>
        <v>1</v>
      </c>
      <c r="W1226" s="71">
        <f t="shared" si="179"/>
        <v>1</v>
      </c>
    </row>
    <row r="1227" spans="1:23" x14ac:dyDescent="0.2">
      <c r="A1227" s="71" t="s">
        <v>235</v>
      </c>
      <c r="B1227" s="71" t="s">
        <v>236</v>
      </c>
      <c r="C1227" s="71" t="s">
        <v>187</v>
      </c>
      <c r="D1227" s="71" t="s">
        <v>237</v>
      </c>
      <c r="E1227" s="71" t="s">
        <v>40</v>
      </c>
      <c r="F1227" s="71" t="s">
        <v>300</v>
      </c>
      <c r="G1227" s="88">
        <v>46252.690625000003</v>
      </c>
      <c r="H1227" s="89">
        <v>46252</v>
      </c>
      <c r="I1227" s="71" t="s">
        <v>314</v>
      </c>
      <c r="J1227" s="71">
        <v>0</v>
      </c>
      <c r="K1227" s="71" t="s">
        <v>302</v>
      </c>
      <c r="L1227" s="71">
        <f t="shared" si="171"/>
        <v>8</v>
      </c>
      <c r="M1227" s="71" t="str">
        <f>IFERROR(INDEX(KALENDER!$D$3:$D$132,MATCH(H1227,KALENDER!$A$3:$A$132,0)),"Di luar periode")</f>
        <v>Hari Kerja</v>
      </c>
      <c r="N1227" s="71">
        <f t="shared" si="172"/>
        <v>0</v>
      </c>
      <c r="O1227" s="71">
        <f t="shared" si="173"/>
        <v>1</v>
      </c>
      <c r="P1227" s="71">
        <f t="shared" si="174"/>
        <v>0</v>
      </c>
      <c r="Q1227" s="71">
        <f t="shared" si="175"/>
        <v>0</v>
      </c>
      <c r="R1227" s="71">
        <f t="shared" si="176"/>
        <v>0</v>
      </c>
      <c r="S1227" s="71">
        <f t="shared" si="177"/>
        <v>0</v>
      </c>
      <c r="T1227" s="71">
        <f t="shared" si="178"/>
        <v>0</v>
      </c>
      <c r="U1227" s="71">
        <f>IF(AND(N1227=1,V1227=1),IF(COUNTIFS(AKTIVITAS!$B$2:$B$3052,B1227,AKTIVITAS!$E$2:$E$3052,H1227)&gt;0,1,0),0)</f>
        <v>0</v>
      </c>
      <c r="V1227" s="71">
        <f>IFERROR(IF(AND(H1227&gt;=INDEX(PEMAGANG!$J$3:$J$36,MATCH(B1227,PEMAGANG!$C$3:$C$36,0)),H1227&lt;=INDEX(PEMAGANG!$K$3:$K$36,MATCH(B1227,PEMAGANG!$C$3:$C$36,0))),1,0),0)</f>
        <v>1</v>
      </c>
      <c r="W1227" s="71">
        <f t="shared" si="179"/>
        <v>0</v>
      </c>
    </row>
    <row r="1228" spans="1:23" x14ac:dyDescent="0.2">
      <c r="A1228" s="71" t="s">
        <v>235</v>
      </c>
      <c r="B1228" s="71" t="s">
        <v>236</v>
      </c>
      <c r="C1228" s="71" t="s">
        <v>187</v>
      </c>
      <c r="D1228" s="71" t="s">
        <v>237</v>
      </c>
      <c r="E1228" s="71" t="s">
        <v>40</v>
      </c>
      <c r="F1228" s="71" t="s">
        <v>298</v>
      </c>
      <c r="G1228" s="88">
        <v>46253.310682870397</v>
      </c>
      <c r="H1228" s="89">
        <v>46253</v>
      </c>
      <c r="I1228" s="71" t="s">
        <v>309</v>
      </c>
      <c r="J1228" s="71">
        <v>-2.9999999999999898</v>
      </c>
      <c r="K1228" s="71" t="s">
        <v>302</v>
      </c>
      <c r="L1228" s="71">
        <f t="shared" si="171"/>
        <v>8</v>
      </c>
      <c r="M1228" s="71" t="str">
        <f>IFERROR(INDEX(KALENDER!$D$3:$D$132,MATCH(H1228,KALENDER!$A$3:$A$132,0)),"Di luar periode")</f>
        <v>Hari Kerja</v>
      </c>
      <c r="N1228" s="71">
        <f t="shared" si="172"/>
        <v>1</v>
      </c>
      <c r="O1228" s="71">
        <f t="shared" si="173"/>
        <v>1</v>
      </c>
      <c r="P1228" s="71">
        <f t="shared" si="174"/>
        <v>1</v>
      </c>
      <c r="Q1228" s="71">
        <f t="shared" si="175"/>
        <v>0</v>
      </c>
      <c r="R1228" s="71">
        <f t="shared" si="176"/>
        <v>0</v>
      </c>
      <c r="S1228" s="71">
        <f t="shared" si="177"/>
        <v>0</v>
      </c>
      <c r="T1228" s="71">
        <f t="shared" si="178"/>
        <v>0</v>
      </c>
      <c r="U1228" s="71">
        <f>IF(AND(N1228=1,V1228=1),IF(COUNTIFS(AKTIVITAS!$B$2:$B$3052,B1228,AKTIVITAS!$E$2:$E$3052,H1228)&gt;0,1,0),0)</f>
        <v>0</v>
      </c>
      <c r="V1228" s="71">
        <f>IFERROR(IF(AND(H1228&gt;=INDEX(PEMAGANG!$J$3:$J$36,MATCH(B1228,PEMAGANG!$C$3:$C$36,0)),H1228&lt;=INDEX(PEMAGANG!$K$3:$K$36,MATCH(B1228,PEMAGANG!$C$3:$C$36,0))),1,0),0)</f>
        <v>1</v>
      </c>
      <c r="W1228" s="71">
        <f t="shared" si="179"/>
        <v>1</v>
      </c>
    </row>
    <row r="1229" spans="1:23" x14ac:dyDescent="0.2">
      <c r="A1229" s="71" t="s">
        <v>235</v>
      </c>
      <c r="B1229" s="71" t="s">
        <v>236</v>
      </c>
      <c r="C1229" s="71" t="s">
        <v>187</v>
      </c>
      <c r="D1229" s="71" t="s">
        <v>237</v>
      </c>
      <c r="E1229" s="71" t="s">
        <v>40</v>
      </c>
      <c r="F1229" s="71" t="s">
        <v>300</v>
      </c>
      <c r="G1229" s="88">
        <v>46253.696273148198</v>
      </c>
      <c r="H1229" s="89">
        <v>46253</v>
      </c>
      <c r="I1229" s="71" t="s">
        <v>320</v>
      </c>
      <c r="J1229" s="71">
        <v>0</v>
      </c>
      <c r="K1229" s="71" t="s">
        <v>302</v>
      </c>
      <c r="L1229" s="71">
        <f t="shared" si="171"/>
        <v>8</v>
      </c>
      <c r="M1229" s="71" t="str">
        <f>IFERROR(INDEX(KALENDER!$D$3:$D$132,MATCH(H1229,KALENDER!$A$3:$A$132,0)),"Di luar periode")</f>
        <v>Hari Kerja</v>
      </c>
      <c r="N1229" s="71">
        <f t="shared" si="172"/>
        <v>0</v>
      </c>
      <c r="O1229" s="71">
        <f t="shared" si="173"/>
        <v>1</v>
      </c>
      <c r="P1229" s="71">
        <f t="shared" si="174"/>
        <v>0</v>
      </c>
      <c r="Q1229" s="71">
        <f t="shared" si="175"/>
        <v>0</v>
      </c>
      <c r="R1229" s="71">
        <f t="shared" si="176"/>
        <v>0</v>
      </c>
      <c r="S1229" s="71">
        <f t="shared" si="177"/>
        <v>0</v>
      </c>
      <c r="T1229" s="71">
        <f t="shared" si="178"/>
        <v>0</v>
      </c>
      <c r="U1229" s="71">
        <f>IF(AND(N1229=1,V1229=1),IF(COUNTIFS(AKTIVITAS!$B$2:$B$3052,B1229,AKTIVITAS!$E$2:$E$3052,H1229)&gt;0,1,0),0)</f>
        <v>0</v>
      </c>
      <c r="V1229" s="71">
        <f>IFERROR(IF(AND(H1229&gt;=INDEX(PEMAGANG!$J$3:$J$36,MATCH(B1229,PEMAGANG!$C$3:$C$36,0)),H1229&lt;=INDEX(PEMAGANG!$K$3:$K$36,MATCH(B1229,PEMAGANG!$C$3:$C$36,0))),1,0),0)</f>
        <v>1</v>
      </c>
      <c r="W1229" s="71">
        <f t="shared" si="179"/>
        <v>0</v>
      </c>
    </row>
    <row r="1230" spans="1:23" x14ac:dyDescent="0.2">
      <c r="A1230" s="71" t="s">
        <v>235</v>
      </c>
      <c r="B1230" s="71" t="s">
        <v>236</v>
      </c>
      <c r="C1230" s="71" t="s">
        <v>187</v>
      </c>
      <c r="D1230" s="71" t="s">
        <v>237</v>
      </c>
      <c r="E1230" s="71" t="s">
        <v>40</v>
      </c>
      <c r="F1230" s="71" t="s">
        <v>298</v>
      </c>
      <c r="G1230" s="88">
        <v>46254.313333333303</v>
      </c>
      <c r="H1230" s="89">
        <v>46254</v>
      </c>
      <c r="I1230" s="71" t="s">
        <v>392</v>
      </c>
      <c r="J1230" s="71">
        <v>0.999999999999996</v>
      </c>
      <c r="K1230" s="71" t="s">
        <v>293</v>
      </c>
      <c r="L1230" s="71">
        <f t="shared" si="171"/>
        <v>8</v>
      </c>
      <c r="M1230" s="71" t="str">
        <f>IFERROR(INDEX(KALENDER!$D$3:$D$132,MATCH(H1230,KALENDER!$A$3:$A$132,0)),"Di luar periode")</f>
        <v>Hari Kerja</v>
      </c>
      <c r="N1230" s="71">
        <f t="shared" si="172"/>
        <v>1</v>
      </c>
      <c r="O1230" s="71">
        <f t="shared" si="173"/>
        <v>1</v>
      </c>
      <c r="P1230" s="71">
        <f t="shared" si="174"/>
        <v>1</v>
      </c>
      <c r="Q1230" s="71">
        <f t="shared" si="175"/>
        <v>0</v>
      </c>
      <c r="R1230" s="71">
        <f t="shared" si="176"/>
        <v>1</v>
      </c>
      <c r="S1230" s="71">
        <f t="shared" si="177"/>
        <v>0.999999999999996</v>
      </c>
      <c r="T1230" s="71">
        <f t="shared" si="178"/>
        <v>0</v>
      </c>
      <c r="U1230" s="71">
        <f>IF(AND(N1230=1,V1230=1),IF(COUNTIFS(AKTIVITAS!$B$2:$B$3052,B1230,AKTIVITAS!$E$2:$E$3052,H1230)&gt;0,1,0),0)</f>
        <v>1</v>
      </c>
      <c r="V1230" s="71">
        <f>IFERROR(IF(AND(H1230&gt;=INDEX(PEMAGANG!$J$3:$J$36,MATCH(B1230,PEMAGANG!$C$3:$C$36,0)),H1230&lt;=INDEX(PEMAGANG!$K$3:$K$36,MATCH(B1230,PEMAGANG!$C$3:$C$36,0))),1,0),0)</f>
        <v>1</v>
      </c>
      <c r="W1230" s="71">
        <f t="shared" si="179"/>
        <v>1</v>
      </c>
    </row>
    <row r="1231" spans="1:23" x14ac:dyDescent="0.2">
      <c r="A1231" s="71" t="s">
        <v>235</v>
      </c>
      <c r="B1231" s="71" t="s">
        <v>236</v>
      </c>
      <c r="C1231" s="71" t="s">
        <v>187</v>
      </c>
      <c r="D1231" s="71" t="s">
        <v>237</v>
      </c>
      <c r="E1231" s="71" t="s">
        <v>40</v>
      </c>
      <c r="F1231" s="71" t="s">
        <v>300</v>
      </c>
      <c r="G1231" s="88">
        <v>46254.694386574098</v>
      </c>
      <c r="H1231" s="89">
        <v>46254</v>
      </c>
      <c r="I1231" s="71" t="s">
        <v>308</v>
      </c>
      <c r="J1231" s="71">
        <v>0</v>
      </c>
      <c r="K1231" s="71" t="s">
        <v>302</v>
      </c>
      <c r="L1231" s="71">
        <f t="shared" si="171"/>
        <v>8</v>
      </c>
      <c r="M1231" s="71" t="str">
        <f>IFERROR(INDEX(KALENDER!$D$3:$D$132,MATCH(H1231,KALENDER!$A$3:$A$132,0)),"Di luar periode")</f>
        <v>Hari Kerja</v>
      </c>
      <c r="N1231" s="71">
        <f t="shared" si="172"/>
        <v>0</v>
      </c>
      <c r="O1231" s="71">
        <f t="shared" si="173"/>
        <v>1</v>
      </c>
      <c r="P1231" s="71">
        <f t="shared" si="174"/>
        <v>0</v>
      </c>
      <c r="Q1231" s="71">
        <f t="shared" si="175"/>
        <v>0</v>
      </c>
      <c r="R1231" s="71">
        <f t="shared" si="176"/>
        <v>0</v>
      </c>
      <c r="S1231" s="71">
        <f t="shared" si="177"/>
        <v>0</v>
      </c>
      <c r="T1231" s="71">
        <f t="shared" si="178"/>
        <v>0</v>
      </c>
      <c r="U1231" s="71">
        <f>IF(AND(N1231=1,V1231=1),IF(COUNTIFS(AKTIVITAS!$B$2:$B$3052,B1231,AKTIVITAS!$E$2:$E$3052,H1231)&gt;0,1,0),0)</f>
        <v>0</v>
      </c>
      <c r="V1231" s="71">
        <f>IFERROR(IF(AND(H1231&gt;=INDEX(PEMAGANG!$J$3:$J$36,MATCH(B1231,PEMAGANG!$C$3:$C$36,0)),H1231&lt;=INDEX(PEMAGANG!$K$3:$K$36,MATCH(B1231,PEMAGANG!$C$3:$C$36,0))),1,0),0)</f>
        <v>1</v>
      </c>
      <c r="W1231" s="71">
        <f t="shared" si="179"/>
        <v>0</v>
      </c>
    </row>
    <row r="1232" spans="1:23" x14ac:dyDescent="0.2">
      <c r="A1232" s="71" t="s">
        <v>235</v>
      </c>
      <c r="B1232" s="71" t="s">
        <v>236</v>
      </c>
      <c r="C1232" s="71" t="s">
        <v>187</v>
      </c>
      <c r="D1232" s="71" t="s">
        <v>237</v>
      </c>
      <c r="E1232" s="71" t="s">
        <v>40</v>
      </c>
      <c r="F1232" s="71" t="s">
        <v>298</v>
      </c>
      <c r="G1232" s="88">
        <v>46255.347812499997</v>
      </c>
      <c r="H1232" s="89">
        <v>46255</v>
      </c>
      <c r="I1232" s="71" t="s">
        <v>516</v>
      </c>
      <c r="J1232" s="71">
        <v>20.000000000000099</v>
      </c>
      <c r="K1232" s="71" t="s">
        <v>293</v>
      </c>
      <c r="L1232" s="71">
        <f t="shared" si="171"/>
        <v>8</v>
      </c>
      <c r="M1232" s="71" t="str">
        <f>IFERROR(INDEX(KALENDER!$D$3:$D$132,MATCH(H1232,KALENDER!$A$3:$A$132,0)),"Di luar periode")</f>
        <v>Hari Kerja</v>
      </c>
      <c r="N1232" s="71">
        <f t="shared" si="172"/>
        <v>1</v>
      </c>
      <c r="O1232" s="71">
        <f t="shared" si="173"/>
        <v>1</v>
      </c>
      <c r="P1232" s="71">
        <f t="shared" si="174"/>
        <v>1</v>
      </c>
      <c r="Q1232" s="71">
        <f t="shared" si="175"/>
        <v>0</v>
      </c>
      <c r="R1232" s="71">
        <f t="shared" si="176"/>
        <v>1</v>
      </c>
      <c r="S1232" s="71">
        <f t="shared" si="177"/>
        <v>20.000000000000099</v>
      </c>
      <c r="T1232" s="71">
        <f t="shared" si="178"/>
        <v>0</v>
      </c>
      <c r="U1232" s="71">
        <f>IF(AND(N1232=1,V1232=1),IF(COUNTIFS(AKTIVITAS!$B$2:$B$3052,B1232,AKTIVITAS!$E$2:$E$3052,H1232)&gt;0,1,0),0)</f>
        <v>1</v>
      </c>
      <c r="V1232" s="71">
        <f>IFERROR(IF(AND(H1232&gt;=INDEX(PEMAGANG!$J$3:$J$36,MATCH(B1232,PEMAGANG!$C$3:$C$36,0)),H1232&lt;=INDEX(PEMAGANG!$K$3:$K$36,MATCH(B1232,PEMAGANG!$C$3:$C$36,0))),1,0),0)</f>
        <v>1</v>
      </c>
      <c r="W1232" s="71">
        <f t="shared" si="179"/>
        <v>1</v>
      </c>
    </row>
    <row r="1233" spans="1:23" x14ac:dyDescent="0.2">
      <c r="A1233" s="71" t="s">
        <v>235</v>
      </c>
      <c r="B1233" s="71" t="s">
        <v>236</v>
      </c>
      <c r="C1233" s="71" t="s">
        <v>187</v>
      </c>
      <c r="D1233" s="71" t="s">
        <v>237</v>
      </c>
      <c r="E1233" s="71" t="s">
        <v>40</v>
      </c>
      <c r="F1233" s="71" t="s">
        <v>300</v>
      </c>
      <c r="G1233" s="88">
        <v>46255.732662037</v>
      </c>
      <c r="H1233" s="89">
        <v>46255</v>
      </c>
      <c r="I1233" s="71" t="s">
        <v>517</v>
      </c>
      <c r="J1233" s="71">
        <v>0</v>
      </c>
      <c r="K1233" s="71" t="s">
        <v>302</v>
      </c>
      <c r="L1233" s="71">
        <f t="shared" si="171"/>
        <v>8</v>
      </c>
      <c r="M1233" s="71" t="str">
        <f>IFERROR(INDEX(KALENDER!$D$3:$D$132,MATCH(H1233,KALENDER!$A$3:$A$132,0)),"Di luar periode")</f>
        <v>Hari Kerja</v>
      </c>
      <c r="N1233" s="71">
        <f t="shared" si="172"/>
        <v>0</v>
      </c>
      <c r="O1233" s="71">
        <f t="shared" si="173"/>
        <v>1</v>
      </c>
      <c r="P1233" s="71">
        <f t="shared" si="174"/>
        <v>0</v>
      </c>
      <c r="Q1233" s="71">
        <f t="shared" si="175"/>
        <v>0</v>
      </c>
      <c r="R1233" s="71">
        <f t="shared" si="176"/>
        <v>0</v>
      </c>
      <c r="S1233" s="71">
        <f t="shared" si="177"/>
        <v>0</v>
      </c>
      <c r="T1233" s="71">
        <f t="shared" si="178"/>
        <v>0</v>
      </c>
      <c r="U1233" s="71">
        <f>IF(AND(N1233=1,V1233=1),IF(COUNTIFS(AKTIVITAS!$B$2:$B$3052,B1233,AKTIVITAS!$E$2:$E$3052,H1233)&gt;0,1,0),0)</f>
        <v>0</v>
      </c>
      <c r="V1233" s="71">
        <f>IFERROR(IF(AND(H1233&gt;=INDEX(PEMAGANG!$J$3:$J$36,MATCH(B1233,PEMAGANG!$C$3:$C$36,0)),H1233&lt;=INDEX(PEMAGANG!$K$3:$K$36,MATCH(B1233,PEMAGANG!$C$3:$C$36,0))),1,0),0)</f>
        <v>1</v>
      </c>
      <c r="W1233" s="71">
        <f t="shared" si="179"/>
        <v>0</v>
      </c>
    </row>
    <row r="1234" spans="1:23" x14ac:dyDescent="0.2">
      <c r="A1234" s="71" t="s">
        <v>235</v>
      </c>
      <c r="B1234" s="71" t="s">
        <v>236</v>
      </c>
      <c r="C1234" s="71" t="s">
        <v>187</v>
      </c>
      <c r="D1234" s="71" t="s">
        <v>237</v>
      </c>
      <c r="E1234" s="71" t="s">
        <v>40</v>
      </c>
      <c r="F1234" s="71" t="s">
        <v>298</v>
      </c>
      <c r="G1234" s="88">
        <v>46258.3125462963</v>
      </c>
      <c r="H1234" s="89">
        <v>46258</v>
      </c>
      <c r="I1234" s="71" t="s">
        <v>335</v>
      </c>
      <c r="J1234" s="71">
        <v>-30</v>
      </c>
      <c r="K1234" s="71" t="s">
        <v>302</v>
      </c>
      <c r="L1234" s="71">
        <f t="shared" si="171"/>
        <v>8</v>
      </c>
      <c r="M1234" s="71" t="str">
        <f>IFERROR(INDEX(KALENDER!$D$3:$D$132,MATCH(H1234,KALENDER!$A$3:$A$132,0)),"Di luar periode")</f>
        <v>Hari Kerja</v>
      </c>
      <c r="N1234" s="71">
        <f t="shared" si="172"/>
        <v>1</v>
      </c>
      <c r="O1234" s="71">
        <f t="shared" si="173"/>
        <v>1</v>
      </c>
      <c r="P1234" s="71">
        <f t="shared" si="174"/>
        <v>1</v>
      </c>
      <c r="Q1234" s="71">
        <f t="shared" si="175"/>
        <v>0</v>
      </c>
      <c r="R1234" s="71">
        <f t="shared" si="176"/>
        <v>0</v>
      </c>
      <c r="S1234" s="71">
        <f t="shared" si="177"/>
        <v>0</v>
      </c>
      <c r="T1234" s="71">
        <f t="shared" si="178"/>
        <v>0</v>
      </c>
      <c r="U1234" s="71">
        <f>IF(AND(N1234=1,V1234=1),IF(COUNTIFS(AKTIVITAS!$B$2:$B$3052,B1234,AKTIVITAS!$E$2:$E$3052,H1234)&gt;0,1,0),0)</f>
        <v>1</v>
      </c>
      <c r="V1234" s="71">
        <f>IFERROR(IF(AND(H1234&gt;=INDEX(PEMAGANG!$J$3:$J$36,MATCH(B1234,PEMAGANG!$C$3:$C$36,0)),H1234&lt;=INDEX(PEMAGANG!$K$3:$K$36,MATCH(B1234,PEMAGANG!$C$3:$C$36,0))),1,0),0)</f>
        <v>1</v>
      </c>
      <c r="W1234" s="71">
        <f t="shared" si="179"/>
        <v>1</v>
      </c>
    </row>
    <row r="1235" spans="1:23" x14ac:dyDescent="0.2">
      <c r="A1235" s="71" t="s">
        <v>235</v>
      </c>
      <c r="B1235" s="71" t="s">
        <v>236</v>
      </c>
      <c r="C1235" s="71" t="s">
        <v>187</v>
      </c>
      <c r="D1235" s="71" t="s">
        <v>237</v>
      </c>
      <c r="E1235" s="71" t="s">
        <v>40</v>
      </c>
      <c r="F1235" s="71" t="s">
        <v>300</v>
      </c>
      <c r="G1235" s="88">
        <v>46258.687962962998</v>
      </c>
      <c r="H1235" s="89">
        <v>46258</v>
      </c>
      <c r="I1235" s="71" t="s">
        <v>330</v>
      </c>
      <c r="J1235" s="71">
        <v>0</v>
      </c>
      <c r="K1235" s="71" t="s">
        <v>302</v>
      </c>
      <c r="L1235" s="71">
        <f t="shared" si="171"/>
        <v>8</v>
      </c>
      <c r="M1235" s="71" t="str">
        <f>IFERROR(INDEX(KALENDER!$D$3:$D$132,MATCH(H1235,KALENDER!$A$3:$A$132,0)),"Di luar periode")</f>
        <v>Hari Kerja</v>
      </c>
      <c r="N1235" s="71">
        <f t="shared" si="172"/>
        <v>0</v>
      </c>
      <c r="O1235" s="71">
        <f t="shared" si="173"/>
        <v>1</v>
      </c>
      <c r="P1235" s="71">
        <f t="shared" si="174"/>
        <v>0</v>
      </c>
      <c r="Q1235" s="71">
        <f t="shared" si="175"/>
        <v>0</v>
      </c>
      <c r="R1235" s="71">
        <f t="shared" si="176"/>
        <v>0</v>
      </c>
      <c r="S1235" s="71">
        <f t="shared" si="177"/>
        <v>0</v>
      </c>
      <c r="T1235" s="71">
        <f t="shared" si="178"/>
        <v>0</v>
      </c>
      <c r="U1235" s="71">
        <f>IF(AND(N1235=1,V1235=1),IF(COUNTIFS(AKTIVITAS!$B$2:$B$3052,B1235,AKTIVITAS!$E$2:$E$3052,H1235)&gt;0,1,0),0)</f>
        <v>0</v>
      </c>
      <c r="V1235" s="71">
        <f>IFERROR(IF(AND(H1235&gt;=INDEX(PEMAGANG!$J$3:$J$36,MATCH(B1235,PEMAGANG!$C$3:$C$36,0)),H1235&lt;=INDEX(PEMAGANG!$K$3:$K$36,MATCH(B1235,PEMAGANG!$C$3:$C$36,0))),1,0),0)</f>
        <v>1</v>
      </c>
      <c r="W1235" s="71">
        <f t="shared" si="179"/>
        <v>0</v>
      </c>
    </row>
    <row r="1236" spans="1:23" x14ac:dyDescent="0.2">
      <c r="A1236" s="71" t="s">
        <v>235</v>
      </c>
      <c r="B1236" s="71" t="s">
        <v>236</v>
      </c>
      <c r="C1236" s="71" t="s">
        <v>187</v>
      </c>
      <c r="D1236" s="71" t="s">
        <v>237</v>
      </c>
      <c r="E1236" s="71" t="s">
        <v>40</v>
      </c>
      <c r="F1236" s="71" t="s">
        <v>298</v>
      </c>
      <c r="G1236" s="88">
        <v>46260.310324074097</v>
      </c>
      <c r="H1236" s="89">
        <v>46260</v>
      </c>
      <c r="I1236" s="71" t="s">
        <v>315</v>
      </c>
      <c r="J1236" s="71">
        <v>-34</v>
      </c>
      <c r="K1236" s="71" t="s">
        <v>302</v>
      </c>
      <c r="L1236" s="71">
        <f t="shared" si="171"/>
        <v>8</v>
      </c>
      <c r="M1236" s="71" t="str">
        <f>IFERROR(INDEX(KALENDER!$D$3:$D$132,MATCH(H1236,KALENDER!$A$3:$A$132,0)),"Di luar periode")</f>
        <v>Hari Kerja</v>
      </c>
      <c r="N1236" s="71">
        <f t="shared" si="172"/>
        <v>1</v>
      </c>
      <c r="O1236" s="71">
        <f t="shared" si="173"/>
        <v>1</v>
      </c>
      <c r="P1236" s="71">
        <f t="shared" si="174"/>
        <v>1</v>
      </c>
      <c r="Q1236" s="71">
        <f t="shared" si="175"/>
        <v>0</v>
      </c>
      <c r="R1236" s="71">
        <f t="shared" si="176"/>
        <v>0</v>
      </c>
      <c r="S1236" s="71">
        <f t="shared" si="177"/>
        <v>0</v>
      </c>
      <c r="T1236" s="71">
        <f t="shared" si="178"/>
        <v>0</v>
      </c>
      <c r="U1236" s="71">
        <f>IF(AND(N1236=1,V1236=1),IF(COUNTIFS(AKTIVITAS!$B$2:$B$3052,B1236,AKTIVITAS!$E$2:$E$3052,H1236)&gt;0,1,0),0)</f>
        <v>1</v>
      </c>
      <c r="V1236" s="71">
        <f>IFERROR(IF(AND(H1236&gt;=INDEX(PEMAGANG!$J$3:$J$36,MATCH(B1236,PEMAGANG!$C$3:$C$36,0)),H1236&lt;=INDEX(PEMAGANG!$K$3:$K$36,MATCH(B1236,PEMAGANG!$C$3:$C$36,0))),1,0),0)</f>
        <v>1</v>
      </c>
      <c r="W1236" s="71">
        <f t="shared" si="179"/>
        <v>1</v>
      </c>
    </row>
    <row r="1237" spans="1:23" x14ac:dyDescent="0.2">
      <c r="A1237" s="71" t="s">
        <v>235</v>
      </c>
      <c r="B1237" s="71" t="s">
        <v>236</v>
      </c>
      <c r="C1237" s="71" t="s">
        <v>187</v>
      </c>
      <c r="D1237" s="71" t="s">
        <v>237</v>
      </c>
      <c r="E1237" s="71" t="s">
        <v>40</v>
      </c>
      <c r="F1237" s="71" t="s">
        <v>300</v>
      </c>
      <c r="G1237" s="88">
        <v>46260.6897916667</v>
      </c>
      <c r="H1237" s="89">
        <v>46260</v>
      </c>
      <c r="I1237" s="71" t="s">
        <v>316</v>
      </c>
      <c r="J1237" s="71">
        <v>0</v>
      </c>
      <c r="K1237" s="71" t="s">
        <v>302</v>
      </c>
      <c r="L1237" s="71">
        <f t="shared" si="171"/>
        <v>8</v>
      </c>
      <c r="M1237" s="71" t="str">
        <f>IFERROR(INDEX(KALENDER!$D$3:$D$132,MATCH(H1237,KALENDER!$A$3:$A$132,0)),"Di luar periode")</f>
        <v>Hari Kerja</v>
      </c>
      <c r="N1237" s="71">
        <f t="shared" si="172"/>
        <v>0</v>
      </c>
      <c r="O1237" s="71">
        <f t="shared" si="173"/>
        <v>1</v>
      </c>
      <c r="P1237" s="71">
        <f t="shared" si="174"/>
        <v>0</v>
      </c>
      <c r="Q1237" s="71">
        <f t="shared" si="175"/>
        <v>0</v>
      </c>
      <c r="R1237" s="71">
        <f t="shared" si="176"/>
        <v>0</v>
      </c>
      <c r="S1237" s="71">
        <f t="shared" si="177"/>
        <v>0</v>
      </c>
      <c r="T1237" s="71">
        <f t="shared" si="178"/>
        <v>0</v>
      </c>
      <c r="U1237" s="71">
        <f>IF(AND(N1237=1,V1237=1),IF(COUNTIFS(AKTIVITAS!$B$2:$B$3052,B1237,AKTIVITAS!$E$2:$E$3052,H1237)&gt;0,1,0),0)</f>
        <v>0</v>
      </c>
      <c r="V1237" s="71">
        <f>IFERROR(IF(AND(H1237&gt;=INDEX(PEMAGANG!$J$3:$J$36,MATCH(B1237,PEMAGANG!$C$3:$C$36,0)),H1237&lt;=INDEX(PEMAGANG!$K$3:$K$36,MATCH(B1237,PEMAGANG!$C$3:$C$36,0))),1,0),0)</f>
        <v>1</v>
      </c>
      <c r="W1237" s="71">
        <f t="shared" si="179"/>
        <v>0</v>
      </c>
    </row>
    <row r="1238" spans="1:23" x14ac:dyDescent="0.2">
      <c r="A1238" s="71" t="s">
        <v>235</v>
      </c>
      <c r="B1238" s="71" t="s">
        <v>236</v>
      </c>
      <c r="C1238" s="71" t="s">
        <v>187</v>
      </c>
      <c r="D1238" s="71" t="s">
        <v>237</v>
      </c>
      <c r="E1238" s="71" t="s">
        <v>40</v>
      </c>
      <c r="F1238" s="71" t="s">
        <v>298</v>
      </c>
      <c r="G1238" s="88">
        <v>46261.3133101852</v>
      </c>
      <c r="H1238" s="89">
        <v>46261</v>
      </c>
      <c r="I1238" s="71" t="s">
        <v>392</v>
      </c>
      <c r="J1238" s="71">
        <v>-29</v>
      </c>
      <c r="K1238" s="71" t="s">
        <v>302</v>
      </c>
      <c r="L1238" s="71">
        <f t="shared" si="171"/>
        <v>8</v>
      </c>
      <c r="M1238" s="71" t="str">
        <f>IFERROR(INDEX(KALENDER!$D$3:$D$132,MATCH(H1238,KALENDER!$A$3:$A$132,0)),"Di luar periode")</f>
        <v>Hari Kerja</v>
      </c>
      <c r="N1238" s="71">
        <f t="shared" si="172"/>
        <v>1</v>
      </c>
      <c r="O1238" s="71">
        <f t="shared" si="173"/>
        <v>1</v>
      </c>
      <c r="P1238" s="71">
        <f t="shared" si="174"/>
        <v>1</v>
      </c>
      <c r="Q1238" s="71">
        <f t="shared" si="175"/>
        <v>0</v>
      </c>
      <c r="R1238" s="71">
        <f t="shared" si="176"/>
        <v>0</v>
      </c>
      <c r="S1238" s="71">
        <f t="shared" si="177"/>
        <v>0</v>
      </c>
      <c r="T1238" s="71">
        <f t="shared" si="178"/>
        <v>0</v>
      </c>
      <c r="U1238" s="71">
        <f>IF(AND(N1238=1,V1238=1),IF(COUNTIFS(AKTIVITAS!$B$2:$B$3052,B1238,AKTIVITAS!$E$2:$E$3052,H1238)&gt;0,1,0),0)</f>
        <v>1</v>
      </c>
      <c r="V1238" s="71">
        <f>IFERROR(IF(AND(H1238&gt;=INDEX(PEMAGANG!$J$3:$J$36,MATCH(B1238,PEMAGANG!$C$3:$C$36,0)),H1238&lt;=INDEX(PEMAGANG!$K$3:$K$36,MATCH(B1238,PEMAGANG!$C$3:$C$36,0))),1,0),0)</f>
        <v>1</v>
      </c>
      <c r="W1238" s="71">
        <f t="shared" si="179"/>
        <v>1</v>
      </c>
    </row>
    <row r="1239" spans="1:23" x14ac:dyDescent="0.2">
      <c r="A1239" s="71" t="s">
        <v>235</v>
      </c>
      <c r="B1239" s="71" t="s">
        <v>236</v>
      </c>
      <c r="C1239" s="71" t="s">
        <v>187</v>
      </c>
      <c r="D1239" s="71" t="s">
        <v>237</v>
      </c>
      <c r="E1239" s="71" t="s">
        <v>40</v>
      </c>
      <c r="F1239" s="71" t="s">
        <v>300</v>
      </c>
      <c r="G1239" s="88">
        <v>46261.689085648199</v>
      </c>
      <c r="H1239" s="89">
        <v>46261</v>
      </c>
      <c r="I1239" s="71" t="s">
        <v>306</v>
      </c>
      <c r="J1239" s="71">
        <v>0</v>
      </c>
      <c r="K1239" s="71" t="s">
        <v>302</v>
      </c>
      <c r="L1239" s="71">
        <f t="shared" si="171"/>
        <v>8</v>
      </c>
      <c r="M1239" s="71" t="str">
        <f>IFERROR(INDEX(KALENDER!$D$3:$D$132,MATCH(H1239,KALENDER!$A$3:$A$132,0)),"Di luar periode")</f>
        <v>Hari Kerja</v>
      </c>
      <c r="N1239" s="71">
        <f t="shared" si="172"/>
        <v>0</v>
      </c>
      <c r="O1239" s="71">
        <f t="shared" si="173"/>
        <v>1</v>
      </c>
      <c r="P1239" s="71">
        <f t="shared" si="174"/>
        <v>0</v>
      </c>
      <c r="Q1239" s="71">
        <f t="shared" si="175"/>
        <v>0</v>
      </c>
      <c r="R1239" s="71">
        <f t="shared" si="176"/>
        <v>0</v>
      </c>
      <c r="S1239" s="71">
        <f t="shared" si="177"/>
        <v>0</v>
      </c>
      <c r="T1239" s="71">
        <f t="shared" si="178"/>
        <v>0</v>
      </c>
      <c r="U1239" s="71">
        <f>IF(AND(N1239=1,V1239=1),IF(COUNTIFS(AKTIVITAS!$B$2:$B$3052,B1239,AKTIVITAS!$E$2:$E$3052,H1239)&gt;0,1,0),0)</f>
        <v>0</v>
      </c>
      <c r="V1239" s="71">
        <f>IFERROR(IF(AND(H1239&gt;=INDEX(PEMAGANG!$J$3:$J$36,MATCH(B1239,PEMAGANG!$C$3:$C$36,0)),H1239&lt;=INDEX(PEMAGANG!$K$3:$K$36,MATCH(B1239,PEMAGANG!$C$3:$C$36,0))),1,0),0)</f>
        <v>1</v>
      </c>
      <c r="W1239" s="71">
        <f t="shared" si="179"/>
        <v>0</v>
      </c>
    </row>
    <row r="1240" spans="1:23" x14ac:dyDescent="0.2">
      <c r="A1240" s="71" t="s">
        <v>235</v>
      </c>
      <c r="B1240" s="71" t="s">
        <v>236</v>
      </c>
      <c r="C1240" s="71" t="s">
        <v>187</v>
      </c>
      <c r="D1240" s="71" t="s">
        <v>237</v>
      </c>
      <c r="E1240" s="71" t="s">
        <v>40</v>
      </c>
      <c r="F1240" s="71" t="s">
        <v>298</v>
      </c>
      <c r="G1240" s="88">
        <v>46262.316909722198</v>
      </c>
      <c r="H1240" s="89">
        <v>46262</v>
      </c>
      <c r="I1240" s="71" t="s">
        <v>376</v>
      </c>
      <c r="J1240" s="71">
        <v>-24</v>
      </c>
      <c r="K1240" s="71" t="s">
        <v>302</v>
      </c>
      <c r="L1240" s="71">
        <f t="shared" si="171"/>
        <v>8</v>
      </c>
      <c r="M1240" s="71" t="str">
        <f>IFERROR(INDEX(KALENDER!$D$3:$D$132,MATCH(H1240,KALENDER!$A$3:$A$132,0)),"Di luar periode")</f>
        <v>Hari Kerja</v>
      </c>
      <c r="N1240" s="71">
        <f t="shared" si="172"/>
        <v>1</v>
      </c>
      <c r="O1240" s="71">
        <f t="shared" si="173"/>
        <v>1</v>
      </c>
      <c r="P1240" s="71">
        <f t="shared" si="174"/>
        <v>1</v>
      </c>
      <c r="Q1240" s="71">
        <f t="shared" si="175"/>
        <v>0</v>
      </c>
      <c r="R1240" s="71">
        <f t="shared" si="176"/>
        <v>0</v>
      </c>
      <c r="S1240" s="71">
        <f t="shared" si="177"/>
        <v>0</v>
      </c>
      <c r="T1240" s="71">
        <f t="shared" si="178"/>
        <v>0</v>
      </c>
      <c r="U1240" s="71">
        <f>IF(AND(N1240=1,V1240=1),IF(COUNTIFS(AKTIVITAS!$B$2:$B$3052,B1240,AKTIVITAS!$E$2:$E$3052,H1240)&gt;0,1,0),0)</f>
        <v>1</v>
      </c>
      <c r="V1240" s="71">
        <f>IFERROR(IF(AND(H1240&gt;=INDEX(PEMAGANG!$J$3:$J$36,MATCH(B1240,PEMAGANG!$C$3:$C$36,0)),H1240&lt;=INDEX(PEMAGANG!$K$3:$K$36,MATCH(B1240,PEMAGANG!$C$3:$C$36,0))),1,0),0)</f>
        <v>1</v>
      </c>
      <c r="W1240" s="71">
        <f t="shared" si="179"/>
        <v>1</v>
      </c>
    </row>
    <row r="1241" spans="1:23" x14ac:dyDescent="0.2">
      <c r="A1241" s="71" t="s">
        <v>235</v>
      </c>
      <c r="B1241" s="71" t="s">
        <v>236</v>
      </c>
      <c r="C1241" s="71" t="s">
        <v>187</v>
      </c>
      <c r="D1241" s="71" t="s">
        <v>237</v>
      </c>
      <c r="E1241" s="71" t="s">
        <v>40</v>
      </c>
      <c r="F1241" s="71" t="s">
        <v>300</v>
      </c>
      <c r="G1241" s="88">
        <v>46262.697592592602</v>
      </c>
      <c r="H1241" s="89">
        <v>46262</v>
      </c>
      <c r="I1241" s="71" t="s">
        <v>312</v>
      </c>
      <c r="J1241" s="71">
        <v>0</v>
      </c>
      <c r="K1241" s="71" t="s">
        <v>302</v>
      </c>
      <c r="L1241" s="71">
        <f t="shared" si="171"/>
        <v>8</v>
      </c>
      <c r="M1241" s="71" t="str">
        <f>IFERROR(INDEX(KALENDER!$D$3:$D$132,MATCH(H1241,KALENDER!$A$3:$A$132,0)),"Di luar periode")</f>
        <v>Hari Kerja</v>
      </c>
      <c r="N1241" s="71">
        <f t="shared" si="172"/>
        <v>0</v>
      </c>
      <c r="O1241" s="71">
        <f t="shared" si="173"/>
        <v>1</v>
      </c>
      <c r="P1241" s="71">
        <f t="shared" si="174"/>
        <v>0</v>
      </c>
      <c r="Q1241" s="71">
        <f t="shared" si="175"/>
        <v>0</v>
      </c>
      <c r="R1241" s="71">
        <f t="shared" si="176"/>
        <v>0</v>
      </c>
      <c r="S1241" s="71">
        <f t="shared" si="177"/>
        <v>0</v>
      </c>
      <c r="T1241" s="71">
        <f t="shared" si="178"/>
        <v>0</v>
      </c>
      <c r="U1241" s="71">
        <f>IF(AND(N1241=1,V1241=1),IF(COUNTIFS(AKTIVITAS!$B$2:$B$3052,B1241,AKTIVITAS!$E$2:$E$3052,H1241)&gt;0,1,0),0)</f>
        <v>0</v>
      </c>
      <c r="V1241" s="71">
        <f>IFERROR(IF(AND(H1241&gt;=INDEX(PEMAGANG!$J$3:$J$36,MATCH(B1241,PEMAGANG!$C$3:$C$36,0)),H1241&lt;=INDEX(PEMAGANG!$K$3:$K$36,MATCH(B1241,PEMAGANG!$C$3:$C$36,0))),1,0),0)</f>
        <v>1</v>
      </c>
      <c r="W1241" s="71">
        <f t="shared" si="179"/>
        <v>0</v>
      </c>
    </row>
    <row r="1242" spans="1:23" x14ac:dyDescent="0.2">
      <c r="A1242" s="71" t="s">
        <v>235</v>
      </c>
      <c r="B1242" s="71" t="s">
        <v>236</v>
      </c>
      <c r="C1242" s="71" t="s">
        <v>187</v>
      </c>
      <c r="D1242" s="71" t="s">
        <v>237</v>
      </c>
      <c r="E1242" s="71" t="s">
        <v>40</v>
      </c>
      <c r="F1242" s="71" t="s">
        <v>298</v>
      </c>
      <c r="G1242" s="88">
        <v>46265.310856481497</v>
      </c>
      <c r="H1242" s="89">
        <v>46265</v>
      </c>
      <c r="I1242" s="71" t="s">
        <v>309</v>
      </c>
      <c r="J1242" s="71">
        <v>-33</v>
      </c>
      <c r="K1242" s="71" t="s">
        <v>302</v>
      </c>
      <c r="L1242" s="71">
        <f t="shared" si="171"/>
        <v>8</v>
      </c>
      <c r="M1242" s="71" t="str">
        <f>IFERROR(INDEX(KALENDER!$D$3:$D$132,MATCH(H1242,KALENDER!$A$3:$A$132,0)),"Di luar periode")</f>
        <v>Hari Kerja</v>
      </c>
      <c r="N1242" s="71">
        <f t="shared" si="172"/>
        <v>1</v>
      </c>
      <c r="O1242" s="71">
        <f t="shared" si="173"/>
        <v>1</v>
      </c>
      <c r="P1242" s="71">
        <f t="shared" si="174"/>
        <v>1</v>
      </c>
      <c r="Q1242" s="71">
        <f t="shared" si="175"/>
        <v>0</v>
      </c>
      <c r="R1242" s="71">
        <f t="shared" si="176"/>
        <v>0</v>
      </c>
      <c r="S1242" s="71">
        <f t="shared" si="177"/>
        <v>0</v>
      </c>
      <c r="T1242" s="71">
        <f t="shared" si="178"/>
        <v>0</v>
      </c>
      <c r="U1242" s="71">
        <f>IF(AND(N1242=1,V1242=1),IF(COUNTIFS(AKTIVITAS!$B$2:$B$3052,B1242,AKTIVITAS!$E$2:$E$3052,H1242)&gt;0,1,0),0)</f>
        <v>1</v>
      </c>
      <c r="V1242" s="71">
        <f>IFERROR(IF(AND(H1242&gt;=INDEX(PEMAGANG!$J$3:$J$36,MATCH(B1242,PEMAGANG!$C$3:$C$36,0)),H1242&lt;=INDEX(PEMAGANG!$K$3:$K$36,MATCH(B1242,PEMAGANG!$C$3:$C$36,0))),1,0),0)</f>
        <v>1</v>
      </c>
      <c r="W1242" s="71">
        <f t="shared" si="179"/>
        <v>1</v>
      </c>
    </row>
    <row r="1243" spans="1:23" x14ac:dyDescent="0.2">
      <c r="A1243" s="71" t="s">
        <v>235</v>
      </c>
      <c r="B1243" s="71" t="s">
        <v>236</v>
      </c>
      <c r="C1243" s="71" t="s">
        <v>187</v>
      </c>
      <c r="D1243" s="71" t="s">
        <v>237</v>
      </c>
      <c r="E1243" s="71" t="s">
        <v>40</v>
      </c>
      <c r="F1243" s="71" t="s">
        <v>300</v>
      </c>
      <c r="G1243" s="88">
        <v>46265.688703703701</v>
      </c>
      <c r="H1243" s="89">
        <v>46265</v>
      </c>
      <c r="I1243" s="71" t="s">
        <v>336</v>
      </c>
      <c r="J1243" s="71">
        <v>0</v>
      </c>
      <c r="K1243" s="71" t="s">
        <v>302</v>
      </c>
      <c r="L1243" s="71">
        <f t="shared" si="171"/>
        <v>8</v>
      </c>
      <c r="M1243" s="71" t="str">
        <f>IFERROR(INDEX(KALENDER!$D$3:$D$132,MATCH(H1243,KALENDER!$A$3:$A$132,0)),"Di luar periode")</f>
        <v>Hari Kerja</v>
      </c>
      <c r="N1243" s="71">
        <f t="shared" si="172"/>
        <v>0</v>
      </c>
      <c r="O1243" s="71">
        <f t="shared" si="173"/>
        <v>1</v>
      </c>
      <c r="P1243" s="71">
        <f t="shared" si="174"/>
        <v>0</v>
      </c>
      <c r="Q1243" s="71">
        <f t="shared" si="175"/>
        <v>0</v>
      </c>
      <c r="R1243" s="71">
        <f t="shared" si="176"/>
        <v>0</v>
      </c>
      <c r="S1243" s="71">
        <f t="shared" si="177"/>
        <v>0</v>
      </c>
      <c r="T1243" s="71">
        <f t="shared" si="178"/>
        <v>0</v>
      </c>
      <c r="U1243" s="71">
        <f>IF(AND(N1243=1,V1243=1),IF(COUNTIFS(AKTIVITAS!$B$2:$B$3052,B1243,AKTIVITAS!$E$2:$E$3052,H1243)&gt;0,1,0),0)</f>
        <v>0</v>
      </c>
      <c r="V1243" s="71">
        <f>IFERROR(IF(AND(H1243&gt;=INDEX(PEMAGANG!$J$3:$J$36,MATCH(B1243,PEMAGANG!$C$3:$C$36,0)),H1243&lt;=INDEX(PEMAGANG!$K$3:$K$36,MATCH(B1243,PEMAGANG!$C$3:$C$36,0))),1,0),0)</f>
        <v>1</v>
      </c>
      <c r="W1243" s="71">
        <f t="shared" si="179"/>
        <v>0</v>
      </c>
    </row>
    <row r="1244" spans="1:23" x14ac:dyDescent="0.2">
      <c r="A1244" s="71" t="s">
        <v>235</v>
      </c>
      <c r="B1244" s="71" t="s">
        <v>236</v>
      </c>
      <c r="C1244" s="71" t="s">
        <v>187</v>
      </c>
      <c r="D1244" s="71" t="s">
        <v>237</v>
      </c>
      <c r="E1244" s="71" t="s">
        <v>40</v>
      </c>
      <c r="F1244" s="71" t="s">
        <v>298</v>
      </c>
      <c r="G1244" s="88">
        <v>46266.311921296299</v>
      </c>
      <c r="H1244" s="89">
        <v>46266</v>
      </c>
      <c r="I1244" s="71" t="s">
        <v>365</v>
      </c>
      <c r="J1244" s="71">
        <v>-31</v>
      </c>
      <c r="K1244" s="71" t="s">
        <v>302</v>
      </c>
      <c r="L1244" s="71">
        <f t="shared" si="171"/>
        <v>9</v>
      </c>
      <c r="M1244" s="71" t="str">
        <f>IFERROR(INDEX(KALENDER!$D$3:$D$132,MATCH(H1244,KALENDER!$A$3:$A$132,0)),"Di luar periode")</f>
        <v>Hari Kerja</v>
      </c>
      <c r="N1244" s="71">
        <f t="shared" si="172"/>
        <v>1</v>
      </c>
      <c r="O1244" s="71">
        <f t="shared" si="173"/>
        <v>1</v>
      </c>
      <c r="P1244" s="71">
        <f t="shared" si="174"/>
        <v>1</v>
      </c>
      <c r="Q1244" s="71">
        <f t="shared" si="175"/>
        <v>0</v>
      </c>
      <c r="R1244" s="71">
        <f t="shared" si="176"/>
        <v>0</v>
      </c>
      <c r="S1244" s="71">
        <f t="shared" si="177"/>
        <v>0</v>
      </c>
      <c r="T1244" s="71">
        <f t="shared" si="178"/>
        <v>0</v>
      </c>
      <c r="U1244" s="71">
        <f>IF(AND(N1244=1,V1244=1),IF(COUNTIFS(AKTIVITAS!$B$2:$B$3052,B1244,AKTIVITAS!$E$2:$E$3052,H1244)&gt;0,1,0),0)</f>
        <v>1</v>
      </c>
      <c r="V1244" s="71">
        <f>IFERROR(IF(AND(H1244&gt;=INDEX(PEMAGANG!$J$3:$J$36,MATCH(B1244,PEMAGANG!$C$3:$C$36,0)),H1244&lt;=INDEX(PEMAGANG!$K$3:$K$36,MATCH(B1244,PEMAGANG!$C$3:$C$36,0))),1,0),0)</f>
        <v>1</v>
      </c>
      <c r="W1244" s="71">
        <f t="shared" si="179"/>
        <v>1</v>
      </c>
    </row>
    <row r="1245" spans="1:23" x14ac:dyDescent="0.2">
      <c r="A1245" s="71" t="s">
        <v>235</v>
      </c>
      <c r="B1245" s="71" t="s">
        <v>236</v>
      </c>
      <c r="C1245" s="71" t="s">
        <v>187</v>
      </c>
      <c r="D1245" s="71" t="s">
        <v>237</v>
      </c>
      <c r="E1245" s="71" t="s">
        <v>40</v>
      </c>
      <c r="F1245" s="71" t="s">
        <v>300</v>
      </c>
      <c r="G1245" s="88">
        <v>46266.695821759298</v>
      </c>
      <c r="H1245" s="89">
        <v>46266</v>
      </c>
      <c r="I1245" s="71" t="s">
        <v>319</v>
      </c>
      <c r="J1245" s="71">
        <v>0</v>
      </c>
      <c r="K1245" s="71" t="s">
        <v>302</v>
      </c>
      <c r="L1245" s="71">
        <f t="shared" si="171"/>
        <v>9</v>
      </c>
      <c r="M1245" s="71" t="str">
        <f>IFERROR(INDEX(KALENDER!$D$3:$D$132,MATCH(H1245,KALENDER!$A$3:$A$132,0)),"Di luar periode")</f>
        <v>Hari Kerja</v>
      </c>
      <c r="N1245" s="71">
        <f t="shared" si="172"/>
        <v>0</v>
      </c>
      <c r="O1245" s="71">
        <f t="shared" si="173"/>
        <v>1</v>
      </c>
      <c r="P1245" s="71">
        <f t="shared" si="174"/>
        <v>0</v>
      </c>
      <c r="Q1245" s="71">
        <f t="shared" si="175"/>
        <v>0</v>
      </c>
      <c r="R1245" s="71">
        <f t="shared" si="176"/>
        <v>0</v>
      </c>
      <c r="S1245" s="71">
        <f t="shared" si="177"/>
        <v>0</v>
      </c>
      <c r="T1245" s="71">
        <f t="shared" si="178"/>
        <v>0</v>
      </c>
      <c r="U1245" s="71">
        <f>IF(AND(N1245=1,V1245=1),IF(COUNTIFS(AKTIVITAS!$B$2:$B$3052,B1245,AKTIVITAS!$E$2:$E$3052,H1245)&gt;0,1,0),0)</f>
        <v>0</v>
      </c>
      <c r="V1245" s="71">
        <f>IFERROR(IF(AND(H1245&gt;=INDEX(PEMAGANG!$J$3:$J$36,MATCH(B1245,PEMAGANG!$C$3:$C$36,0)),H1245&lt;=INDEX(PEMAGANG!$K$3:$K$36,MATCH(B1245,PEMAGANG!$C$3:$C$36,0))),1,0),0)</f>
        <v>1</v>
      </c>
      <c r="W1245" s="71">
        <f t="shared" si="179"/>
        <v>0</v>
      </c>
    </row>
    <row r="1246" spans="1:23" x14ac:dyDescent="0.2">
      <c r="A1246" s="71" t="s">
        <v>235</v>
      </c>
      <c r="B1246" s="71" t="s">
        <v>236</v>
      </c>
      <c r="C1246" s="71" t="s">
        <v>187</v>
      </c>
      <c r="D1246" s="71" t="s">
        <v>237</v>
      </c>
      <c r="E1246" s="71" t="s">
        <v>40</v>
      </c>
      <c r="F1246" s="71" t="s">
        <v>298</v>
      </c>
      <c r="G1246" s="88">
        <v>46267.312465277799</v>
      </c>
      <c r="H1246" s="89">
        <v>46267</v>
      </c>
      <c r="I1246" s="71" t="s">
        <v>365</v>
      </c>
      <c r="J1246" s="71">
        <v>-31</v>
      </c>
      <c r="K1246" s="71" t="s">
        <v>302</v>
      </c>
      <c r="L1246" s="71">
        <f t="shared" si="171"/>
        <v>9</v>
      </c>
      <c r="M1246" s="71" t="str">
        <f>IFERROR(INDEX(KALENDER!$D$3:$D$132,MATCH(H1246,KALENDER!$A$3:$A$132,0)),"Di luar periode")</f>
        <v>Hari Kerja</v>
      </c>
      <c r="N1246" s="71">
        <f t="shared" si="172"/>
        <v>1</v>
      </c>
      <c r="O1246" s="71">
        <f t="shared" si="173"/>
        <v>1</v>
      </c>
      <c r="P1246" s="71">
        <f t="shared" si="174"/>
        <v>1</v>
      </c>
      <c r="Q1246" s="71">
        <f t="shared" si="175"/>
        <v>0</v>
      </c>
      <c r="R1246" s="71">
        <f t="shared" si="176"/>
        <v>0</v>
      </c>
      <c r="S1246" s="71">
        <f t="shared" si="177"/>
        <v>0</v>
      </c>
      <c r="T1246" s="71">
        <f t="shared" si="178"/>
        <v>0</v>
      </c>
      <c r="U1246" s="71">
        <f>IF(AND(N1246=1,V1246=1),IF(COUNTIFS(AKTIVITAS!$B$2:$B$3052,B1246,AKTIVITAS!$E$2:$E$3052,H1246)&gt;0,1,0),0)</f>
        <v>1</v>
      </c>
      <c r="V1246" s="71">
        <f>IFERROR(IF(AND(H1246&gt;=INDEX(PEMAGANG!$J$3:$J$36,MATCH(B1246,PEMAGANG!$C$3:$C$36,0)),H1246&lt;=INDEX(PEMAGANG!$K$3:$K$36,MATCH(B1246,PEMAGANG!$C$3:$C$36,0))),1,0),0)</f>
        <v>1</v>
      </c>
      <c r="W1246" s="71">
        <f t="shared" si="179"/>
        <v>1</v>
      </c>
    </row>
    <row r="1247" spans="1:23" x14ac:dyDescent="0.2">
      <c r="A1247" s="71" t="s">
        <v>235</v>
      </c>
      <c r="B1247" s="71" t="s">
        <v>236</v>
      </c>
      <c r="C1247" s="71" t="s">
        <v>187</v>
      </c>
      <c r="D1247" s="71" t="s">
        <v>237</v>
      </c>
      <c r="E1247" s="71" t="s">
        <v>40</v>
      </c>
      <c r="F1247" s="71" t="s">
        <v>300</v>
      </c>
      <c r="G1247" s="88">
        <v>46267.692638888897</v>
      </c>
      <c r="H1247" s="89">
        <v>46267</v>
      </c>
      <c r="I1247" s="71" t="s">
        <v>328</v>
      </c>
      <c r="J1247" s="71">
        <v>0</v>
      </c>
      <c r="K1247" s="71" t="s">
        <v>302</v>
      </c>
      <c r="L1247" s="71">
        <f t="shared" si="171"/>
        <v>9</v>
      </c>
      <c r="M1247" s="71" t="str">
        <f>IFERROR(INDEX(KALENDER!$D$3:$D$132,MATCH(H1247,KALENDER!$A$3:$A$132,0)),"Di luar periode")</f>
        <v>Hari Kerja</v>
      </c>
      <c r="N1247" s="71">
        <f t="shared" si="172"/>
        <v>0</v>
      </c>
      <c r="O1247" s="71">
        <f t="shared" si="173"/>
        <v>1</v>
      </c>
      <c r="P1247" s="71">
        <f t="shared" si="174"/>
        <v>0</v>
      </c>
      <c r="Q1247" s="71">
        <f t="shared" si="175"/>
        <v>0</v>
      </c>
      <c r="R1247" s="71">
        <f t="shared" si="176"/>
        <v>0</v>
      </c>
      <c r="S1247" s="71">
        <f t="shared" si="177"/>
        <v>0</v>
      </c>
      <c r="T1247" s="71">
        <f t="shared" si="178"/>
        <v>0</v>
      </c>
      <c r="U1247" s="71">
        <f>IF(AND(N1247=1,V1247=1),IF(COUNTIFS(AKTIVITAS!$B$2:$B$3052,B1247,AKTIVITAS!$E$2:$E$3052,H1247)&gt;0,1,0),0)</f>
        <v>0</v>
      </c>
      <c r="V1247" s="71">
        <f>IFERROR(IF(AND(H1247&gt;=INDEX(PEMAGANG!$J$3:$J$36,MATCH(B1247,PEMAGANG!$C$3:$C$36,0)),H1247&lt;=INDEX(PEMAGANG!$K$3:$K$36,MATCH(B1247,PEMAGANG!$C$3:$C$36,0))),1,0),0)</f>
        <v>1</v>
      </c>
      <c r="W1247" s="71">
        <f t="shared" si="179"/>
        <v>0</v>
      </c>
    </row>
    <row r="1248" spans="1:23" x14ac:dyDescent="0.2">
      <c r="A1248" s="71" t="s">
        <v>235</v>
      </c>
      <c r="B1248" s="71" t="s">
        <v>236</v>
      </c>
      <c r="C1248" s="71" t="s">
        <v>187</v>
      </c>
      <c r="D1248" s="71" t="s">
        <v>237</v>
      </c>
      <c r="E1248" s="71" t="s">
        <v>40</v>
      </c>
      <c r="F1248" s="71" t="s">
        <v>298</v>
      </c>
      <c r="G1248" s="88">
        <v>46268.316157407397</v>
      </c>
      <c r="H1248" s="89">
        <v>46268</v>
      </c>
      <c r="I1248" s="71" t="s">
        <v>339</v>
      </c>
      <c r="J1248" s="71">
        <v>-25</v>
      </c>
      <c r="K1248" s="71" t="s">
        <v>302</v>
      </c>
      <c r="L1248" s="71">
        <f t="shared" si="171"/>
        <v>9</v>
      </c>
      <c r="M1248" s="71" t="str">
        <f>IFERROR(INDEX(KALENDER!$D$3:$D$132,MATCH(H1248,KALENDER!$A$3:$A$132,0)),"Di luar periode")</f>
        <v>Hari Kerja</v>
      </c>
      <c r="N1248" s="71">
        <f t="shared" si="172"/>
        <v>1</v>
      </c>
      <c r="O1248" s="71">
        <f t="shared" si="173"/>
        <v>1</v>
      </c>
      <c r="P1248" s="71">
        <f t="shared" si="174"/>
        <v>1</v>
      </c>
      <c r="Q1248" s="71">
        <f t="shared" si="175"/>
        <v>0</v>
      </c>
      <c r="R1248" s="71">
        <f t="shared" si="176"/>
        <v>0</v>
      </c>
      <c r="S1248" s="71">
        <f t="shared" si="177"/>
        <v>0</v>
      </c>
      <c r="T1248" s="71">
        <f t="shared" si="178"/>
        <v>0</v>
      </c>
      <c r="U1248" s="71">
        <f>IF(AND(N1248=1,V1248=1),IF(COUNTIFS(AKTIVITAS!$B$2:$B$3052,B1248,AKTIVITAS!$E$2:$E$3052,H1248)&gt;0,1,0),0)</f>
        <v>1</v>
      </c>
      <c r="V1248" s="71">
        <f>IFERROR(IF(AND(H1248&gt;=INDEX(PEMAGANG!$J$3:$J$36,MATCH(B1248,PEMAGANG!$C$3:$C$36,0)),H1248&lt;=INDEX(PEMAGANG!$K$3:$K$36,MATCH(B1248,PEMAGANG!$C$3:$C$36,0))),1,0),0)</f>
        <v>1</v>
      </c>
      <c r="W1248" s="71">
        <f t="shared" si="179"/>
        <v>1</v>
      </c>
    </row>
    <row r="1249" spans="1:23" x14ac:dyDescent="0.2">
      <c r="A1249" s="71" t="s">
        <v>235</v>
      </c>
      <c r="B1249" s="71" t="s">
        <v>236</v>
      </c>
      <c r="C1249" s="71" t="s">
        <v>187</v>
      </c>
      <c r="D1249" s="71" t="s">
        <v>237</v>
      </c>
      <c r="E1249" s="71" t="s">
        <v>40</v>
      </c>
      <c r="F1249" s="71" t="s">
        <v>300</v>
      </c>
      <c r="G1249" s="88">
        <v>46268.693009259303</v>
      </c>
      <c r="H1249" s="89">
        <v>46268</v>
      </c>
      <c r="I1249" s="71" t="s">
        <v>328</v>
      </c>
      <c r="J1249" s="71">
        <v>0</v>
      </c>
      <c r="K1249" s="71" t="s">
        <v>302</v>
      </c>
      <c r="L1249" s="71">
        <f t="shared" si="171"/>
        <v>9</v>
      </c>
      <c r="M1249" s="71" t="str">
        <f>IFERROR(INDEX(KALENDER!$D$3:$D$132,MATCH(H1249,KALENDER!$A$3:$A$132,0)),"Di luar periode")</f>
        <v>Hari Kerja</v>
      </c>
      <c r="N1249" s="71">
        <f t="shared" si="172"/>
        <v>0</v>
      </c>
      <c r="O1249" s="71">
        <f t="shared" si="173"/>
        <v>1</v>
      </c>
      <c r="P1249" s="71">
        <f t="shared" si="174"/>
        <v>0</v>
      </c>
      <c r="Q1249" s="71">
        <f t="shared" si="175"/>
        <v>0</v>
      </c>
      <c r="R1249" s="71">
        <f t="shared" si="176"/>
        <v>0</v>
      </c>
      <c r="S1249" s="71">
        <f t="shared" si="177"/>
        <v>0</v>
      </c>
      <c r="T1249" s="71">
        <f t="shared" si="178"/>
        <v>0</v>
      </c>
      <c r="U1249" s="71">
        <f>IF(AND(N1249=1,V1249=1),IF(COUNTIFS(AKTIVITAS!$B$2:$B$3052,B1249,AKTIVITAS!$E$2:$E$3052,H1249)&gt;0,1,0),0)</f>
        <v>0</v>
      </c>
      <c r="V1249" s="71">
        <f>IFERROR(IF(AND(H1249&gt;=INDEX(PEMAGANG!$J$3:$J$36,MATCH(B1249,PEMAGANG!$C$3:$C$36,0)),H1249&lt;=INDEX(PEMAGANG!$K$3:$K$36,MATCH(B1249,PEMAGANG!$C$3:$C$36,0))),1,0),0)</f>
        <v>1</v>
      </c>
      <c r="W1249" s="71">
        <f t="shared" si="179"/>
        <v>0</v>
      </c>
    </row>
    <row r="1250" spans="1:23" x14ac:dyDescent="0.2">
      <c r="A1250" s="71" t="s">
        <v>235</v>
      </c>
      <c r="B1250" s="71" t="s">
        <v>236</v>
      </c>
      <c r="C1250" s="71" t="s">
        <v>187</v>
      </c>
      <c r="D1250" s="71" t="s">
        <v>237</v>
      </c>
      <c r="E1250" s="71" t="s">
        <v>40</v>
      </c>
      <c r="F1250" s="71" t="s">
        <v>300</v>
      </c>
      <c r="G1250" s="88">
        <v>46269.689189814802</v>
      </c>
      <c r="H1250" s="89">
        <v>46269</v>
      </c>
      <c r="I1250" s="71" t="s">
        <v>306</v>
      </c>
      <c r="J1250" s="71">
        <v>0</v>
      </c>
      <c r="K1250" s="71" t="s">
        <v>302</v>
      </c>
      <c r="L1250" s="71">
        <f t="shared" si="171"/>
        <v>9</v>
      </c>
      <c r="M1250" s="71" t="str">
        <f>IFERROR(INDEX(KALENDER!$D$3:$D$132,MATCH(H1250,KALENDER!$A$3:$A$132,0)),"Di luar periode")</f>
        <v>Hari Kerja</v>
      </c>
      <c r="N1250" s="71">
        <f t="shared" si="172"/>
        <v>1</v>
      </c>
      <c r="O1250" s="71">
        <f t="shared" si="173"/>
        <v>0</v>
      </c>
      <c r="P1250" s="71">
        <f t="shared" si="174"/>
        <v>1</v>
      </c>
      <c r="Q1250" s="71">
        <f t="shared" si="175"/>
        <v>0</v>
      </c>
      <c r="R1250" s="71">
        <f t="shared" si="176"/>
        <v>0</v>
      </c>
      <c r="S1250" s="71">
        <f t="shared" si="177"/>
        <v>0</v>
      </c>
      <c r="T1250" s="71">
        <f t="shared" si="178"/>
        <v>0</v>
      </c>
      <c r="U1250" s="71">
        <f>IF(AND(N1250=1,V1250=1),IF(COUNTIFS(AKTIVITAS!$B$2:$B$3052,B1250,AKTIVITAS!$E$2:$E$3052,H1250)&gt;0,1,0),0)</f>
        <v>1</v>
      </c>
      <c r="V1250" s="71">
        <f>IFERROR(IF(AND(H1250&gt;=INDEX(PEMAGANG!$J$3:$J$36,MATCH(B1250,PEMAGANG!$C$3:$C$36,0)),H1250&lt;=INDEX(PEMAGANG!$K$3:$K$36,MATCH(B1250,PEMAGANG!$C$3:$C$36,0))),1,0),0)</f>
        <v>1</v>
      </c>
      <c r="W1250" s="71">
        <f t="shared" si="179"/>
        <v>1</v>
      </c>
    </row>
    <row r="1251" spans="1:23" x14ac:dyDescent="0.2">
      <c r="A1251" s="71" t="s">
        <v>235</v>
      </c>
      <c r="B1251" s="71" t="s">
        <v>236</v>
      </c>
      <c r="C1251" s="71" t="s">
        <v>187</v>
      </c>
      <c r="D1251" s="71" t="s">
        <v>237</v>
      </c>
      <c r="E1251" s="71" t="s">
        <v>40</v>
      </c>
      <c r="F1251" s="71" t="s">
        <v>298</v>
      </c>
      <c r="G1251" s="88">
        <v>46272.3132638889</v>
      </c>
      <c r="H1251" s="89">
        <v>46272</v>
      </c>
      <c r="I1251" s="71" t="s">
        <v>392</v>
      </c>
      <c r="J1251" s="71">
        <v>-29</v>
      </c>
      <c r="K1251" s="71" t="s">
        <v>302</v>
      </c>
      <c r="L1251" s="71">
        <f t="shared" si="171"/>
        <v>9</v>
      </c>
      <c r="M1251" s="71" t="str">
        <f>IFERROR(INDEX(KALENDER!$D$3:$D$132,MATCH(H1251,KALENDER!$A$3:$A$132,0)),"Di luar periode")</f>
        <v>Hari Kerja</v>
      </c>
      <c r="N1251" s="71">
        <f t="shared" si="172"/>
        <v>1</v>
      </c>
      <c r="O1251" s="71">
        <f t="shared" si="173"/>
        <v>1</v>
      </c>
      <c r="P1251" s="71">
        <f t="shared" si="174"/>
        <v>1</v>
      </c>
      <c r="Q1251" s="71">
        <f t="shared" si="175"/>
        <v>0</v>
      </c>
      <c r="R1251" s="71">
        <f t="shared" si="176"/>
        <v>0</v>
      </c>
      <c r="S1251" s="71">
        <f t="shared" si="177"/>
        <v>0</v>
      </c>
      <c r="T1251" s="71">
        <f t="shared" si="178"/>
        <v>0</v>
      </c>
      <c r="U1251" s="71">
        <f>IF(AND(N1251=1,V1251=1),IF(COUNTIFS(AKTIVITAS!$B$2:$B$3052,B1251,AKTIVITAS!$E$2:$E$3052,H1251)&gt;0,1,0),0)</f>
        <v>1</v>
      </c>
      <c r="V1251" s="71">
        <f>IFERROR(IF(AND(H1251&gt;=INDEX(PEMAGANG!$J$3:$J$36,MATCH(B1251,PEMAGANG!$C$3:$C$36,0)),H1251&lt;=INDEX(PEMAGANG!$K$3:$K$36,MATCH(B1251,PEMAGANG!$C$3:$C$36,0))),1,0),0)</f>
        <v>1</v>
      </c>
      <c r="W1251" s="71">
        <f t="shared" si="179"/>
        <v>1</v>
      </c>
    </row>
    <row r="1252" spans="1:23" x14ac:dyDescent="0.2">
      <c r="A1252" s="71" t="s">
        <v>235</v>
      </c>
      <c r="B1252" s="71" t="s">
        <v>236</v>
      </c>
      <c r="C1252" s="71" t="s">
        <v>187</v>
      </c>
      <c r="D1252" s="71" t="s">
        <v>237</v>
      </c>
      <c r="E1252" s="71" t="s">
        <v>40</v>
      </c>
      <c r="F1252" s="71" t="s">
        <v>300</v>
      </c>
      <c r="G1252" s="88">
        <v>46272.688657407401</v>
      </c>
      <c r="H1252" s="89">
        <v>46272</v>
      </c>
      <c r="I1252" s="71" t="s">
        <v>336</v>
      </c>
      <c r="J1252" s="71">
        <v>0</v>
      </c>
      <c r="K1252" s="71" t="s">
        <v>302</v>
      </c>
      <c r="L1252" s="71">
        <f t="shared" si="171"/>
        <v>9</v>
      </c>
      <c r="M1252" s="71" t="str">
        <f>IFERROR(INDEX(KALENDER!$D$3:$D$132,MATCH(H1252,KALENDER!$A$3:$A$132,0)),"Di luar periode")</f>
        <v>Hari Kerja</v>
      </c>
      <c r="N1252" s="71">
        <f t="shared" si="172"/>
        <v>0</v>
      </c>
      <c r="O1252" s="71">
        <f t="shared" si="173"/>
        <v>1</v>
      </c>
      <c r="P1252" s="71">
        <f t="shared" si="174"/>
        <v>0</v>
      </c>
      <c r="Q1252" s="71">
        <f t="shared" si="175"/>
        <v>0</v>
      </c>
      <c r="R1252" s="71">
        <f t="shared" si="176"/>
        <v>0</v>
      </c>
      <c r="S1252" s="71">
        <f t="shared" si="177"/>
        <v>0</v>
      </c>
      <c r="T1252" s="71">
        <f t="shared" si="178"/>
        <v>0</v>
      </c>
      <c r="U1252" s="71">
        <f>IF(AND(N1252=1,V1252=1),IF(COUNTIFS(AKTIVITAS!$B$2:$B$3052,B1252,AKTIVITAS!$E$2:$E$3052,H1252)&gt;0,1,0),0)</f>
        <v>0</v>
      </c>
      <c r="V1252" s="71">
        <f>IFERROR(IF(AND(H1252&gt;=INDEX(PEMAGANG!$J$3:$J$36,MATCH(B1252,PEMAGANG!$C$3:$C$36,0)),H1252&lt;=INDEX(PEMAGANG!$K$3:$K$36,MATCH(B1252,PEMAGANG!$C$3:$C$36,0))),1,0),0)</f>
        <v>1</v>
      </c>
      <c r="W1252" s="71">
        <f t="shared" si="179"/>
        <v>0</v>
      </c>
    </row>
    <row r="1253" spans="1:23" x14ac:dyDescent="0.2">
      <c r="A1253" s="71" t="s">
        <v>235</v>
      </c>
      <c r="B1253" s="71" t="s">
        <v>236</v>
      </c>
      <c r="C1253" s="71" t="s">
        <v>187</v>
      </c>
      <c r="D1253" s="71" t="s">
        <v>237</v>
      </c>
      <c r="E1253" s="71" t="s">
        <v>40</v>
      </c>
      <c r="F1253" s="71" t="s">
        <v>298</v>
      </c>
      <c r="G1253" s="88">
        <v>46273.309328703697</v>
      </c>
      <c r="H1253" s="89">
        <v>46273</v>
      </c>
      <c r="I1253" s="71" t="s">
        <v>307</v>
      </c>
      <c r="J1253" s="71">
        <v>-35</v>
      </c>
      <c r="K1253" s="71" t="s">
        <v>302</v>
      </c>
      <c r="L1253" s="71">
        <f t="shared" si="171"/>
        <v>9</v>
      </c>
      <c r="M1253" s="71" t="str">
        <f>IFERROR(INDEX(KALENDER!$D$3:$D$132,MATCH(H1253,KALENDER!$A$3:$A$132,0)),"Di luar periode")</f>
        <v>Hari Kerja</v>
      </c>
      <c r="N1253" s="71">
        <f t="shared" si="172"/>
        <v>1</v>
      </c>
      <c r="O1253" s="71">
        <f t="shared" si="173"/>
        <v>1</v>
      </c>
      <c r="P1253" s="71">
        <f t="shared" si="174"/>
        <v>1</v>
      </c>
      <c r="Q1253" s="71">
        <f t="shared" si="175"/>
        <v>0</v>
      </c>
      <c r="R1253" s="71">
        <f t="shared" si="176"/>
        <v>0</v>
      </c>
      <c r="S1253" s="71">
        <f t="shared" si="177"/>
        <v>0</v>
      </c>
      <c r="T1253" s="71">
        <f t="shared" si="178"/>
        <v>0</v>
      </c>
      <c r="U1253" s="71">
        <f>IF(AND(N1253=1,V1253=1),IF(COUNTIFS(AKTIVITAS!$B$2:$B$3052,B1253,AKTIVITAS!$E$2:$E$3052,H1253)&gt;0,1,0),0)</f>
        <v>1</v>
      </c>
      <c r="V1253" s="71">
        <f>IFERROR(IF(AND(H1253&gt;=INDEX(PEMAGANG!$J$3:$J$36,MATCH(B1253,PEMAGANG!$C$3:$C$36,0)),H1253&lt;=INDEX(PEMAGANG!$K$3:$K$36,MATCH(B1253,PEMAGANG!$C$3:$C$36,0))),1,0),0)</f>
        <v>1</v>
      </c>
      <c r="W1253" s="71">
        <f t="shared" si="179"/>
        <v>1</v>
      </c>
    </row>
    <row r="1254" spans="1:23" x14ac:dyDescent="0.2">
      <c r="A1254" s="71" t="s">
        <v>235</v>
      </c>
      <c r="B1254" s="71" t="s">
        <v>236</v>
      </c>
      <c r="C1254" s="71" t="s">
        <v>187</v>
      </c>
      <c r="D1254" s="71" t="s">
        <v>237</v>
      </c>
      <c r="E1254" s="71" t="s">
        <v>40</v>
      </c>
      <c r="F1254" s="71" t="s">
        <v>300</v>
      </c>
      <c r="G1254" s="88">
        <v>46273.689918981501</v>
      </c>
      <c r="H1254" s="89">
        <v>46273</v>
      </c>
      <c r="I1254" s="71" t="s">
        <v>316</v>
      </c>
      <c r="J1254" s="71">
        <v>0</v>
      </c>
      <c r="K1254" s="71" t="s">
        <v>302</v>
      </c>
      <c r="L1254" s="71">
        <f t="shared" si="171"/>
        <v>9</v>
      </c>
      <c r="M1254" s="71" t="str">
        <f>IFERROR(INDEX(KALENDER!$D$3:$D$132,MATCH(H1254,KALENDER!$A$3:$A$132,0)),"Di luar periode")</f>
        <v>Hari Kerja</v>
      </c>
      <c r="N1254" s="71">
        <f t="shared" si="172"/>
        <v>0</v>
      </c>
      <c r="O1254" s="71">
        <f t="shared" si="173"/>
        <v>1</v>
      </c>
      <c r="P1254" s="71">
        <f t="shared" si="174"/>
        <v>0</v>
      </c>
      <c r="Q1254" s="71">
        <f t="shared" si="175"/>
        <v>0</v>
      </c>
      <c r="R1254" s="71">
        <f t="shared" si="176"/>
        <v>0</v>
      </c>
      <c r="S1254" s="71">
        <f t="shared" si="177"/>
        <v>0</v>
      </c>
      <c r="T1254" s="71">
        <f t="shared" si="178"/>
        <v>0</v>
      </c>
      <c r="U1254" s="71">
        <f>IF(AND(N1254=1,V1254=1),IF(COUNTIFS(AKTIVITAS!$B$2:$B$3052,B1254,AKTIVITAS!$E$2:$E$3052,H1254)&gt;0,1,0),0)</f>
        <v>0</v>
      </c>
      <c r="V1254" s="71">
        <f>IFERROR(IF(AND(H1254&gt;=INDEX(PEMAGANG!$J$3:$J$36,MATCH(B1254,PEMAGANG!$C$3:$C$36,0)),H1254&lt;=INDEX(PEMAGANG!$K$3:$K$36,MATCH(B1254,PEMAGANG!$C$3:$C$36,0))),1,0),0)</f>
        <v>1</v>
      </c>
      <c r="W1254" s="71">
        <f t="shared" si="179"/>
        <v>0</v>
      </c>
    </row>
    <row r="1255" spans="1:23" x14ac:dyDescent="0.2">
      <c r="A1255" s="71" t="s">
        <v>235</v>
      </c>
      <c r="B1255" s="71" t="s">
        <v>236</v>
      </c>
      <c r="C1255" s="71" t="s">
        <v>187</v>
      </c>
      <c r="D1255" s="71" t="s">
        <v>237</v>
      </c>
      <c r="E1255" s="71" t="s">
        <v>40</v>
      </c>
      <c r="F1255" s="71" t="s">
        <v>298</v>
      </c>
      <c r="G1255" s="88">
        <v>46274.310949074097</v>
      </c>
      <c r="H1255" s="89">
        <v>46274</v>
      </c>
      <c r="I1255" s="71" t="s">
        <v>309</v>
      </c>
      <c r="J1255" s="71">
        <v>-33</v>
      </c>
      <c r="K1255" s="71" t="s">
        <v>302</v>
      </c>
      <c r="L1255" s="71">
        <f t="shared" si="171"/>
        <v>9</v>
      </c>
      <c r="M1255" s="71" t="str">
        <f>IFERROR(INDEX(KALENDER!$D$3:$D$132,MATCH(H1255,KALENDER!$A$3:$A$132,0)),"Di luar periode")</f>
        <v>Hari Kerja</v>
      </c>
      <c r="N1255" s="71">
        <f t="shared" si="172"/>
        <v>1</v>
      </c>
      <c r="O1255" s="71">
        <f t="shared" si="173"/>
        <v>1</v>
      </c>
      <c r="P1255" s="71">
        <f t="shared" si="174"/>
        <v>1</v>
      </c>
      <c r="Q1255" s="71">
        <f t="shared" si="175"/>
        <v>0</v>
      </c>
      <c r="R1255" s="71">
        <f t="shared" si="176"/>
        <v>0</v>
      </c>
      <c r="S1255" s="71">
        <f t="shared" si="177"/>
        <v>0</v>
      </c>
      <c r="T1255" s="71">
        <f t="shared" si="178"/>
        <v>0</v>
      </c>
      <c r="U1255" s="71">
        <f>IF(AND(N1255=1,V1255=1),IF(COUNTIFS(AKTIVITAS!$B$2:$B$3052,B1255,AKTIVITAS!$E$2:$E$3052,H1255)&gt;0,1,0),0)</f>
        <v>1</v>
      </c>
      <c r="V1255" s="71">
        <f>IFERROR(IF(AND(H1255&gt;=INDEX(PEMAGANG!$J$3:$J$36,MATCH(B1255,PEMAGANG!$C$3:$C$36,0)),H1255&lt;=INDEX(PEMAGANG!$K$3:$K$36,MATCH(B1255,PEMAGANG!$C$3:$C$36,0))),1,0),0)</f>
        <v>1</v>
      </c>
      <c r="W1255" s="71">
        <f t="shared" si="179"/>
        <v>1</v>
      </c>
    </row>
    <row r="1256" spans="1:23" x14ac:dyDescent="0.2">
      <c r="A1256" s="71" t="s">
        <v>235</v>
      </c>
      <c r="B1256" s="71" t="s">
        <v>236</v>
      </c>
      <c r="C1256" s="71" t="s">
        <v>187</v>
      </c>
      <c r="D1256" s="71" t="s">
        <v>237</v>
      </c>
      <c r="E1256" s="71" t="s">
        <v>40</v>
      </c>
      <c r="F1256" s="71" t="s">
        <v>298</v>
      </c>
      <c r="G1256" s="88">
        <v>46274.310949074097</v>
      </c>
      <c r="H1256" s="89">
        <v>46274</v>
      </c>
      <c r="I1256" s="71" t="s">
        <v>309</v>
      </c>
      <c r="J1256" s="71">
        <v>-2.9999999999999898</v>
      </c>
      <c r="K1256" s="71" t="s">
        <v>302</v>
      </c>
      <c r="L1256" s="71">
        <f t="shared" si="171"/>
        <v>9</v>
      </c>
      <c r="M1256" s="71" t="str">
        <f>IFERROR(INDEX(KALENDER!$D$3:$D$132,MATCH(H1256,KALENDER!$A$3:$A$132,0)),"Di luar periode")</f>
        <v>Hari Kerja</v>
      </c>
      <c r="N1256" s="71">
        <f t="shared" si="172"/>
        <v>0</v>
      </c>
      <c r="O1256" s="71">
        <f t="shared" si="173"/>
        <v>2</v>
      </c>
      <c r="P1256" s="71">
        <f t="shared" si="174"/>
        <v>0</v>
      </c>
      <c r="Q1256" s="71">
        <f t="shared" si="175"/>
        <v>0</v>
      </c>
      <c r="R1256" s="71">
        <f t="shared" si="176"/>
        <v>0</v>
      </c>
      <c r="S1256" s="71">
        <f t="shared" si="177"/>
        <v>0</v>
      </c>
      <c r="T1256" s="71">
        <f t="shared" si="178"/>
        <v>0</v>
      </c>
      <c r="U1256" s="71">
        <f>IF(AND(N1256=1,V1256=1),IF(COUNTIFS(AKTIVITAS!$B$2:$B$3052,B1256,AKTIVITAS!$E$2:$E$3052,H1256)&gt;0,1,0),0)</f>
        <v>0</v>
      </c>
      <c r="V1256" s="71">
        <f>IFERROR(IF(AND(H1256&gt;=INDEX(PEMAGANG!$J$3:$J$36,MATCH(B1256,PEMAGANG!$C$3:$C$36,0)),H1256&lt;=INDEX(PEMAGANG!$K$3:$K$36,MATCH(B1256,PEMAGANG!$C$3:$C$36,0))),1,0),0)</f>
        <v>1</v>
      </c>
      <c r="W1256" s="71">
        <f t="shared" si="179"/>
        <v>0</v>
      </c>
    </row>
    <row r="1257" spans="1:23" x14ac:dyDescent="0.2">
      <c r="A1257" s="71" t="s">
        <v>235</v>
      </c>
      <c r="B1257" s="71" t="s">
        <v>236</v>
      </c>
      <c r="C1257" s="71" t="s">
        <v>187</v>
      </c>
      <c r="D1257" s="71" t="s">
        <v>237</v>
      </c>
      <c r="E1257" s="71" t="s">
        <v>40</v>
      </c>
      <c r="F1257" s="71" t="s">
        <v>300</v>
      </c>
      <c r="G1257" s="88">
        <v>46274.688634259299</v>
      </c>
      <c r="H1257" s="89">
        <v>46274</v>
      </c>
      <c r="I1257" s="71" t="s">
        <v>336</v>
      </c>
      <c r="J1257" s="71">
        <v>0</v>
      </c>
      <c r="K1257" s="71" t="s">
        <v>302</v>
      </c>
      <c r="L1257" s="71">
        <f t="shared" si="171"/>
        <v>9</v>
      </c>
      <c r="M1257" s="71" t="str">
        <f>IFERROR(INDEX(KALENDER!$D$3:$D$132,MATCH(H1257,KALENDER!$A$3:$A$132,0)),"Di luar periode")</f>
        <v>Hari Kerja</v>
      </c>
      <c r="N1257" s="71">
        <f t="shared" si="172"/>
        <v>0</v>
      </c>
      <c r="O1257" s="71">
        <f t="shared" si="173"/>
        <v>2</v>
      </c>
      <c r="P1257" s="71">
        <f t="shared" si="174"/>
        <v>0</v>
      </c>
      <c r="Q1257" s="71">
        <f t="shared" si="175"/>
        <v>0</v>
      </c>
      <c r="R1257" s="71">
        <f t="shared" si="176"/>
        <v>0</v>
      </c>
      <c r="S1257" s="71">
        <f t="shared" si="177"/>
        <v>0</v>
      </c>
      <c r="T1257" s="71">
        <f t="shared" si="178"/>
        <v>0</v>
      </c>
      <c r="U1257" s="71">
        <f>IF(AND(N1257=1,V1257=1),IF(COUNTIFS(AKTIVITAS!$B$2:$B$3052,B1257,AKTIVITAS!$E$2:$E$3052,H1257)&gt;0,1,0),0)</f>
        <v>0</v>
      </c>
      <c r="V1257" s="71">
        <f>IFERROR(IF(AND(H1257&gt;=INDEX(PEMAGANG!$J$3:$J$36,MATCH(B1257,PEMAGANG!$C$3:$C$36,0)),H1257&lt;=INDEX(PEMAGANG!$K$3:$K$36,MATCH(B1257,PEMAGANG!$C$3:$C$36,0))),1,0),0)</f>
        <v>1</v>
      </c>
      <c r="W1257" s="71">
        <f t="shared" si="179"/>
        <v>0</v>
      </c>
    </row>
    <row r="1258" spans="1:23" x14ac:dyDescent="0.2">
      <c r="A1258" s="71" t="s">
        <v>235</v>
      </c>
      <c r="B1258" s="71" t="s">
        <v>236</v>
      </c>
      <c r="C1258" s="71" t="s">
        <v>187</v>
      </c>
      <c r="D1258" s="71" t="s">
        <v>237</v>
      </c>
      <c r="E1258" s="71" t="s">
        <v>40</v>
      </c>
      <c r="F1258" s="71" t="s">
        <v>298</v>
      </c>
      <c r="G1258" s="88">
        <v>46275.3131712963</v>
      </c>
      <c r="H1258" s="89">
        <v>46275</v>
      </c>
      <c r="I1258" s="71" t="s">
        <v>335</v>
      </c>
      <c r="J1258" s="71">
        <v>-30</v>
      </c>
      <c r="K1258" s="71" t="s">
        <v>302</v>
      </c>
      <c r="L1258" s="71">
        <f t="shared" si="171"/>
        <v>9</v>
      </c>
      <c r="M1258" s="71" t="str">
        <f>IFERROR(INDEX(KALENDER!$D$3:$D$132,MATCH(H1258,KALENDER!$A$3:$A$132,0)),"Di luar periode")</f>
        <v>Hari Kerja</v>
      </c>
      <c r="N1258" s="71">
        <f t="shared" si="172"/>
        <v>1</v>
      </c>
      <c r="O1258" s="71">
        <f t="shared" si="173"/>
        <v>1</v>
      </c>
      <c r="P1258" s="71">
        <f t="shared" si="174"/>
        <v>1</v>
      </c>
      <c r="Q1258" s="71">
        <f t="shared" si="175"/>
        <v>0</v>
      </c>
      <c r="R1258" s="71">
        <f t="shared" si="176"/>
        <v>0</v>
      </c>
      <c r="S1258" s="71">
        <f t="shared" si="177"/>
        <v>0</v>
      </c>
      <c r="T1258" s="71">
        <f t="shared" si="178"/>
        <v>0</v>
      </c>
      <c r="U1258" s="71">
        <f>IF(AND(N1258=1,V1258=1),IF(COUNTIFS(AKTIVITAS!$B$2:$B$3052,B1258,AKTIVITAS!$E$2:$E$3052,H1258)&gt;0,1,0),0)</f>
        <v>1</v>
      </c>
      <c r="V1258" s="71">
        <f>IFERROR(IF(AND(H1258&gt;=INDEX(PEMAGANG!$J$3:$J$36,MATCH(B1258,PEMAGANG!$C$3:$C$36,0)),H1258&lt;=INDEX(PEMAGANG!$K$3:$K$36,MATCH(B1258,PEMAGANG!$C$3:$C$36,0))),1,0),0)</f>
        <v>1</v>
      </c>
      <c r="W1258" s="71">
        <f t="shared" si="179"/>
        <v>1</v>
      </c>
    </row>
    <row r="1259" spans="1:23" x14ac:dyDescent="0.2">
      <c r="A1259" s="71" t="s">
        <v>235</v>
      </c>
      <c r="B1259" s="71" t="s">
        <v>236</v>
      </c>
      <c r="C1259" s="71" t="s">
        <v>187</v>
      </c>
      <c r="D1259" s="71" t="s">
        <v>237</v>
      </c>
      <c r="E1259" s="71" t="s">
        <v>40</v>
      </c>
      <c r="F1259" s="71" t="s">
        <v>298</v>
      </c>
      <c r="G1259" s="88">
        <v>46275.3131712963</v>
      </c>
      <c r="H1259" s="89">
        <v>46275</v>
      </c>
      <c r="I1259" s="71" t="s">
        <v>335</v>
      </c>
      <c r="J1259" s="71">
        <v>0</v>
      </c>
      <c r="K1259" s="71" t="s">
        <v>302</v>
      </c>
      <c r="L1259" s="71">
        <f t="shared" si="171"/>
        <v>9</v>
      </c>
      <c r="M1259" s="71" t="str">
        <f>IFERROR(INDEX(KALENDER!$D$3:$D$132,MATCH(H1259,KALENDER!$A$3:$A$132,0)),"Di luar periode")</f>
        <v>Hari Kerja</v>
      </c>
      <c r="N1259" s="71">
        <f t="shared" si="172"/>
        <v>0</v>
      </c>
      <c r="O1259" s="71">
        <f t="shared" si="173"/>
        <v>2</v>
      </c>
      <c r="P1259" s="71">
        <f t="shared" si="174"/>
        <v>0</v>
      </c>
      <c r="Q1259" s="71">
        <f t="shared" si="175"/>
        <v>0</v>
      </c>
      <c r="R1259" s="71">
        <f t="shared" si="176"/>
        <v>0</v>
      </c>
      <c r="S1259" s="71">
        <f t="shared" si="177"/>
        <v>0</v>
      </c>
      <c r="T1259" s="71">
        <f t="shared" si="178"/>
        <v>0</v>
      </c>
      <c r="U1259" s="71">
        <f>IF(AND(N1259=1,V1259=1),IF(COUNTIFS(AKTIVITAS!$B$2:$B$3052,B1259,AKTIVITAS!$E$2:$E$3052,H1259)&gt;0,1,0),0)</f>
        <v>0</v>
      </c>
      <c r="V1259" s="71">
        <f>IFERROR(IF(AND(H1259&gt;=INDEX(PEMAGANG!$J$3:$J$36,MATCH(B1259,PEMAGANG!$C$3:$C$36,0)),H1259&lt;=INDEX(PEMAGANG!$K$3:$K$36,MATCH(B1259,PEMAGANG!$C$3:$C$36,0))),1,0),0)</f>
        <v>1</v>
      </c>
      <c r="W1259" s="71">
        <f t="shared" si="179"/>
        <v>0</v>
      </c>
    </row>
    <row r="1260" spans="1:23" x14ac:dyDescent="0.2">
      <c r="A1260" s="71" t="s">
        <v>235</v>
      </c>
      <c r="B1260" s="71" t="s">
        <v>236</v>
      </c>
      <c r="C1260" s="71" t="s">
        <v>187</v>
      </c>
      <c r="D1260" s="71" t="s">
        <v>237</v>
      </c>
      <c r="E1260" s="71" t="s">
        <v>40</v>
      </c>
      <c r="F1260" s="71" t="s">
        <v>300</v>
      </c>
      <c r="G1260" s="88">
        <v>46275.688541666699</v>
      </c>
      <c r="H1260" s="89">
        <v>46275</v>
      </c>
      <c r="I1260" s="71" t="s">
        <v>336</v>
      </c>
      <c r="J1260" s="71">
        <v>0</v>
      </c>
      <c r="K1260" s="71" t="s">
        <v>302</v>
      </c>
      <c r="L1260" s="71">
        <f t="shared" si="171"/>
        <v>9</v>
      </c>
      <c r="M1260" s="71" t="str">
        <f>IFERROR(INDEX(KALENDER!$D$3:$D$132,MATCH(H1260,KALENDER!$A$3:$A$132,0)),"Di luar periode")</f>
        <v>Hari Kerja</v>
      </c>
      <c r="N1260" s="71">
        <f t="shared" si="172"/>
        <v>0</v>
      </c>
      <c r="O1260" s="71">
        <f t="shared" si="173"/>
        <v>2</v>
      </c>
      <c r="P1260" s="71">
        <f t="shared" si="174"/>
        <v>0</v>
      </c>
      <c r="Q1260" s="71">
        <f t="shared" si="175"/>
        <v>0</v>
      </c>
      <c r="R1260" s="71">
        <f t="shared" si="176"/>
        <v>0</v>
      </c>
      <c r="S1260" s="71">
        <f t="shared" si="177"/>
        <v>0</v>
      </c>
      <c r="T1260" s="71">
        <f t="shared" si="178"/>
        <v>0</v>
      </c>
      <c r="U1260" s="71">
        <f>IF(AND(N1260=1,V1260=1),IF(COUNTIFS(AKTIVITAS!$B$2:$B$3052,B1260,AKTIVITAS!$E$2:$E$3052,H1260)&gt;0,1,0),0)</f>
        <v>0</v>
      </c>
      <c r="V1260" s="71">
        <f>IFERROR(IF(AND(H1260&gt;=INDEX(PEMAGANG!$J$3:$J$36,MATCH(B1260,PEMAGANG!$C$3:$C$36,0)),H1260&lt;=INDEX(PEMAGANG!$K$3:$K$36,MATCH(B1260,PEMAGANG!$C$3:$C$36,0))),1,0),0)</f>
        <v>1</v>
      </c>
      <c r="W1260" s="71">
        <f t="shared" si="179"/>
        <v>0</v>
      </c>
    </row>
    <row r="1261" spans="1:23" x14ac:dyDescent="0.2">
      <c r="A1261" s="71" t="s">
        <v>235</v>
      </c>
      <c r="B1261" s="71" t="s">
        <v>236</v>
      </c>
      <c r="C1261" s="71" t="s">
        <v>187</v>
      </c>
      <c r="D1261" s="71" t="s">
        <v>237</v>
      </c>
      <c r="E1261" s="71" t="s">
        <v>40</v>
      </c>
      <c r="F1261" s="71" t="s">
        <v>298</v>
      </c>
      <c r="G1261" s="88">
        <v>46276.310787037</v>
      </c>
      <c r="H1261" s="89">
        <v>46276</v>
      </c>
      <c r="I1261" s="71" t="s">
        <v>309</v>
      </c>
      <c r="J1261" s="71">
        <v>-2.9999999999999898</v>
      </c>
      <c r="K1261" s="71" t="s">
        <v>302</v>
      </c>
      <c r="L1261" s="71">
        <f t="shared" si="171"/>
        <v>9</v>
      </c>
      <c r="M1261" s="71" t="str">
        <f>IFERROR(INDEX(KALENDER!$D$3:$D$132,MATCH(H1261,KALENDER!$A$3:$A$132,0)),"Di luar periode")</f>
        <v>Hari Kerja</v>
      </c>
      <c r="N1261" s="71">
        <f t="shared" si="172"/>
        <v>1</v>
      </c>
      <c r="O1261" s="71">
        <f t="shared" si="173"/>
        <v>1</v>
      </c>
      <c r="P1261" s="71">
        <f t="shared" si="174"/>
        <v>1</v>
      </c>
      <c r="Q1261" s="71">
        <f t="shared" si="175"/>
        <v>0</v>
      </c>
      <c r="R1261" s="71">
        <f t="shared" si="176"/>
        <v>0</v>
      </c>
      <c r="S1261" s="71">
        <f t="shared" si="177"/>
        <v>0</v>
      </c>
      <c r="T1261" s="71">
        <f t="shared" si="178"/>
        <v>1</v>
      </c>
      <c r="U1261" s="71">
        <f>IF(AND(N1261=1,V1261=1),IF(COUNTIFS(AKTIVITAS!$B$2:$B$3052,B1261,AKTIVITAS!$E$2:$E$3052,H1261)&gt;0,1,0),0)</f>
        <v>1</v>
      </c>
      <c r="V1261" s="71">
        <f>IFERROR(IF(AND(H1261&gt;=INDEX(PEMAGANG!$J$3:$J$36,MATCH(B1261,PEMAGANG!$C$3:$C$36,0)),H1261&lt;=INDEX(PEMAGANG!$K$3:$K$36,MATCH(B1261,PEMAGANG!$C$3:$C$36,0))),1,0),0)</f>
        <v>1</v>
      </c>
      <c r="W1261" s="71">
        <f t="shared" si="179"/>
        <v>1</v>
      </c>
    </row>
    <row r="1262" spans="1:23" x14ac:dyDescent="0.2">
      <c r="A1262" s="71" t="s">
        <v>235</v>
      </c>
      <c r="B1262" s="71" t="s">
        <v>236</v>
      </c>
      <c r="C1262" s="71" t="s">
        <v>187</v>
      </c>
      <c r="D1262" s="71" t="s">
        <v>237</v>
      </c>
      <c r="E1262" s="71" t="s">
        <v>40</v>
      </c>
      <c r="F1262" s="71" t="s">
        <v>298</v>
      </c>
      <c r="G1262" s="88">
        <v>46279.315324074101</v>
      </c>
      <c r="H1262" s="89">
        <v>46279</v>
      </c>
      <c r="I1262" s="71" t="s">
        <v>373</v>
      </c>
      <c r="J1262" s="71">
        <v>3.9999999999999898</v>
      </c>
      <c r="K1262" s="71" t="s">
        <v>293</v>
      </c>
      <c r="L1262" s="71">
        <f t="shared" si="171"/>
        <v>9</v>
      </c>
      <c r="M1262" s="71" t="str">
        <f>IFERROR(INDEX(KALENDER!$D$3:$D$132,MATCH(H1262,KALENDER!$A$3:$A$132,0)),"Di luar periode")</f>
        <v>Hari Kerja</v>
      </c>
      <c r="N1262" s="71">
        <f t="shared" si="172"/>
        <v>1</v>
      </c>
      <c r="O1262" s="71">
        <f t="shared" si="173"/>
        <v>1</v>
      </c>
      <c r="P1262" s="71">
        <f t="shared" si="174"/>
        <v>1</v>
      </c>
      <c r="Q1262" s="71">
        <f t="shared" si="175"/>
        <v>0</v>
      </c>
      <c r="R1262" s="71">
        <f t="shared" si="176"/>
        <v>1</v>
      </c>
      <c r="S1262" s="71">
        <f t="shared" si="177"/>
        <v>3.9999999999999898</v>
      </c>
      <c r="T1262" s="71">
        <f t="shared" si="178"/>
        <v>0</v>
      </c>
      <c r="U1262" s="71">
        <f>IF(AND(N1262=1,V1262=1),IF(COUNTIFS(AKTIVITAS!$B$2:$B$3052,B1262,AKTIVITAS!$E$2:$E$3052,H1262)&gt;0,1,0),0)</f>
        <v>1</v>
      </c>
      <c r="V1262" s="71">
        <f>IFERROR(IF(AND(H1262&gt;=INDEX(PEMAGANG!$J$3:$J$36,MATCH(B1262,PEMAGANG!$C$3:$C$36,0)),H1262&lt;=INDEX(PEMAGANG!$K$3:$K$36,MATCH(B1262,PEMAGANG!$C$3:$C$36,0))),1,0),0)</f>
        <v>1</v>
      </c>
      <c r="W1262" s="71">
        <f t="shared" si="179"/>
        <v>1</v>
      </c>
    </row>
    <row r="1263" spans="1:23" x14ac:dyDescent="0.2">
      <c r="A1263" s="71" t="s">
        <v>235</v>
      </c>
      <c r="B1263" s="71" t="s">
        <v>236</v>
      </c>
      <c r="C1263" s="71" t="s">
        <v>187</v>
      </c>
      <c r="D1263" s="71" t="s">
        <v>237</v>
      </c>
      <c r="E1263" s="71" t="s">
        <v>40</v>
      </c>
      <c r="F1263" s="71" t="s">
        <v>300</v>
      </c>
      <c r="G1263" s="88">
        <v>46279.700729166703</v>
      </c>
      <c r="H1263" s="89">
        <v>46279</v>
      </c>
      <c r="I1263" s="71" t="s">
        <v>342</v>
      </c>
      <c r="J1263" s="71">
        <v>0</v>
      </c>
      <c r="K1263" s="71" t="s">
        <v>302</v>
      </c>
      <c r="L1263" s="71">
        <f t="shared" si="171"/>
        <v>9</v>
      </c>
      <c r="M1263" s="71" t="str">
        <f>IFERROR(INDEX(KALENDER!$D$3:$D$132,MATCH(H1263,KALENDER!$A$3:$A$132,0)),"Di luar periode")</f>
        <v>Hari Kerja</v>
      </c>
      <c r="N1263" s="71">
        <f t="shared" si="172"/>
        <v>0</v>
      </c>
      <c r="O1263" s="71">
        <f t="shared" si="173"/>
        <v>1</v>
      </c>
      <c r="P1263" s="71">
        <f t="shared" si="174"/>
        <v>0</v>
      </c>
      <c r="Q1263" s="71">
        <f t="shared" si="175"/>
        <v>0</v>
      </c>
      <c r="R1263" s="71">
        <f t="shared" si="176"/>
        <v>0</v>
      </c>
      <c r="S1263" s="71">
        <f t="shared" si="177"/>
        <v>0</v>
      </c>
      <c r="T1263" s="71">
        <f t="shared" si="178"/>
        <v>0</v>
      </c>
      <c r="U1263" s="71">
        <f>IF(AND(N1263=1,V1263=1),IF(COUNTIFS(AKTIVITAS!$B$2:$B$3052,B1263,AKTIVITAS!$E$2:$E$3052,H1263)&gt;0,1,0),0)</f>
        <v>0</v>
      </c>
      <c r="V1263" s="71">
        <f>IFERROR(IF(AND(H1263&gt;=INDEX(PEMAGANG!$J$3:$J$36,MATCH(B1263,PEMAGANG!$C$3:$C$36,0)),H1263&lt;=INDEX(PEMAGANG!$K$3:$K$36,MATCH(B1263,PEMAGANG!$C$3:$C$36,0))),1,0),0)</f>
        <v>1</v>
      </c>
      <c r="W1263" s="71">
        <f t="shared" si="179"/>
        <v>0</v>
      </c>
    </row>
    <row r="1264" spans="1:23" x14ac:dyDescent="0.2">
      <c r="A1264" s="71" t="s">
        <v>235</v>
      </c>
      <c r="B1264" s="71" t="s">
        <v>236</v>
      </c>
      <c r="C1264" s="71" t="s">
        <v>187</v>
      </c>
      <c r="D1264" s="71" t="s">
        <v>237</v>
      </c>
      <c r="E1264" s="71" t="s">
        <v>40</v>
      </c>
      <c r="F1264" s="71" t="s">
        <v>298</v>
      </c>
      <c r="G1264" s="88">
        <v>46280.312060185199</v>
      </c>
      <c r="H1264" s="89">
        <v>46280</v>
      </c>
      <c r="I1264" s="71" t="s">
        <v>365</v>
      </c>
      <c r="J1264" s="71">
        <v>-0.999999999999996</v>
      </c>
      <c r="K1264" s="71" t="s">
        <v>302</v>
      </c>
      <c r="L1264" s="71">
        <f t="shared" si="171"/>
        <v>9</v>
      </c>
      <c r="M1264" s="71" t="str">
        <f>IFERROR(INDEX(KALENDER!$D$3:$D$132,MATCH(H1264,KALENDER!$A$3:$A$132,0)),"Di luar periode")</f>
        <v>Hari Kerja</v>
      </c>
      <c r="N1264" s="71">
        <f t="shared" si="172"/>
        <v>1</v>
      </c>
      <c r="O1264" s="71">
        <f t="shared" si="173"/>
        <v>1</v>
      </c>
      <c r="P1264" s="71">
        <f t="shared" si="174"/>
        <v>1</v>
      </c>
      <c r="Q1264" s="71">
        <f t="shared" si="175"/>
        <v>0</v>
      </c>
      <c r="R1264" s="71">
        <f t="shared" si="176"/>
        <v>0</v>
      </c>
      <c r="S1264" s="71">
        <f t="shared" si="177"/>
        <v>0</v>
      </c>
      <c r="T1264" s="71">
        <f t="shared" si="178"/>
        <v>0</v>
      </c>
      <c r="U1264" s="71">
        <f>IF(AND(N1264=1,V1264=1),IF(COUNTIFS(AKTIVITAS!$B$2:$B$3052,B1264,AKTIVITAS!$E$2:$E$3052,H1264)&gt;0,1,0),0)</f>
        <v>1</v>
      </c>
      <c r="V1264" s="71">
        <f>IFERROR(IF(AND(H1264&gt;=INDEX(PEMAGANG!$J$3:$J$36,MATCH(B1264,PEMAGANG!$C$3:$C$36,0)),H1264&lt;=INDEX(PEMAGANG!$K$3:$K$36,MATCH(B1264,PEMAGANG!$C$3:$C$36,0))),1,0),0)</f>
        <v>1</v>
      </c>
      <c r="W1264" s="71">
        <f t="shared" si="179"/>
        <v>1</v>
      </c>
    </row>
    <row r="1265" spans="1:23" x14ac:dyDescent="0.2">
      <c r="A1265" s="71" t="s">
        <v>235</v>
      </c>
      <c r="B1265" s="71" t="s">
        <v>236</v>
      </c>
      <c r="C1265" s="71" t="s">
        <v>187</v>
      </c>
      <c r="D1265" s="71" t="s">
        <v>237</v>
      </c>
      <c r="E1265" s="71" t="s">
        <v>40</v>
      </c>
      <c r="F1265" s="71" t="s">
        <v>300</v>
      </c>
      <c r="G1265" s="88">
        <v>46280.6936921296</v>
      </c>
      <c r="H1265" s="89">
        <v>46280</v>
      </c>
      <c r="I1265" s="71" t="s">
        <v>317</v>
      </c>
      <c r="J1265" s="71">
        <v>0</v>
      </c>
      <c r="K1265" s="71" t="s">
        <v>302</v>
      </c>
      <c r="L1265" s="71">
        <f t="shared" si="171"/>
        <v>9</v>
      </c>
      <c r="M1265" s="71" t="str">
        <f>IFERROR(INDEX(KALENDER!$D$3:$D$132,MATCH(H1265,KALENDER!$A$3:$A$132,0)),"Di luar periode")</f>
        <v>Hari Kerja</v>
      </c>
      <c r="N1265" s="71">
        <f t="shared" si="172"/>
        <v>0</v>
      </c>
      <c r="O1265" s="71">
        <f t="shared" si="173"/>
        <v>1</v>
      </c>
      <c r="P1265" s="71">
        <f t="shared" si="174"/>
        <v>0</v>
      </c>
      <c r="Q1265" s="71">
        <f t="shared" si="175"/>
        <v>0</v>
      </c>
      <c r="R1265" s="71">
        <f t="shared" si="176"/>
        <v>0</v>
      </c>
      <c r="S1265" s="71">
        <f t="shared" si="177"/>
        <v>0</v>
      </c>
      <c r="T1265" s="71">
        <f t="shared" si="178"/>
        <v>0</v>
      </c>
      <c r="U1265" s="71">
        <f>IF(AND(N1265=1,V1265=1),IF(COUNTIFS(AKTIVITAS!$B$2:$B$3052,B1265,AKTIVITAS!$E$2:$E$3052,H1265)&gt;0,1,0),0)</f>
        <v>0</v>
      </c>
      <c r="V1265" s="71">
        <f>IFERROR(IF(AND(H1265&gt;=INDEX(PEMAGANG!$J$3:$J$36,MATCH(B1265,PEMAGANG!$C$3:$C$36,0)),H1265&lt;=INDEX(PEMAGANG!$K$3:$K$36,MATCH(B1265,PEMAGANG!$C$3:$C$36,0))),1,0),0)</f>
        <v>1</v>
      </c>
      <c r="W1265" s="71">
        <f t="shared" si="179"/>
        <v>0</v>
      </c>
    </row>
    <row r="1266" spans="1:23" x14ac:dyDescent="0.2">
      <c r="A1266" s="71" t="s">
        <v>235</v>
      </c>
      <c r="B1266" s="71" t="s">
        <v>236</v>
      </c>
      <c r="C1266" s="71" t="s">
        <v>187</v>
      </c>
      <c r="D1266" s="71" t="s">
        <v>237</v>
      </c>
      <c r="E1266" s="71" t="s">
        <v>40</v>
      </c>
      <c r="F1266" s="71" t="s">
        <v>298</v>
      </c>
      <c r="G1266" s="88">
        <v>46281.316712963002</v>
      </c>
      <c r="H1266" s="89">
        <v>46281</v>
      </c>
      <c r="I1266" s="71" t="s">
        <v>376</v>
      </c>
      <c r="J1266" s="71">
        <v>5.9999999999999796</v>
      </c>
      <c r="K1266" s="71" t="s">
        <v>293</v>
      </c>
      <c r="L1266" s="71">
        <f t="shared" si="171"/>
        <v>9</v>
      </c>
      <c r="M1266" s="71" t="str">
        <f>IFERROR(INDEX(KALENDER!$D$3:$D$132,MATCH(H1266,KALENDER!$A$3:$A$132,0)),"Di luar periode")</f>
        <v>Hari Kerja</v>
      </c>
      <c r="N1266" s="71">
        <f t="shared" si="172"/>
        <v>1</v>
      </c>
      <c r="O1266" s="71">
        <f t="shared" si="173"/>
        <v>1</v>
      </c>
      <c r="P1266" s="71">
        <f t="shared" si="174"/>
        <v>1</v>
      </c>
      <c r="Q1266" s="71">
        <f t="shared" si="175"/>
        <v>0</v>
      </c>
      <c r="R1266" s="71">
        <f t="shared" si="176"/>
        <v>1</v>
      </c>
      <c r="S1266" s="71">
        <f t="shared" si="177"/>
        <v>5.9999999999999796</v>
      </c>
      <c r="T1266" s="71">
        <f t="shared" si="178"/>
        <v>0</v>
      </c>
      <c r="U1266" s="71">
        <f>IF(AND(N1266=1,V1266=1),IF(COUNTIFS(AKTIVITAS!$B$2:$B$3052,B1266,AKTIVITAS!$E$2:$E$3052,H1266)&gt;0,1,0),0)</f>
        <v>1</v>
      </c>
      <c r="V1266" s="71">
        <f>IFERROR(IF(AND(H1266&gt;=INDEX(PEMAGANG!$J$3:$J$36,MATCH(B1266,PEMAGANG!$C$3:$C$36,0)),H1266&lt;=INDEX(PEMAGANG!$K$3:$K$36,MATCH(B1266,PEMAGANG!$C$3:$C$36,0))),1,0),0)</f>
        <v>1</v>
      </c>
      <c r="W1266" s="71">
        <f t="shared" si="179"/>
        <v>1</v>
      </c>
    </row>
    <row r="1267" spans="1:23" x14ac:dyDescent="0.2">
      <c r="A1267" s="71" t="s">
        <v>235</v>
      </c>
      <c r="B1267" s="71" t="s">
        <v>236</v>
      </c>
      <c r="C1267" s="71" t="s">
        <v>187</v>
      </c>
      <c r="D1267" s="71" t="s">
        <v>237</v>
      </c>
      <c r="E1267" s="71" t="s">
        <v>40</v>
      </c>
      <c r="F1267" s="71" t="s">
        <v>300</v>
      </c>
      <c r="G1267" s="88">
        <v>46281.692164351902</v>
      </c>
      <c r="H1267" s="89">
        <v>46281</v>
      </c>
      <c r="I1267" s="71" t="s">
        <v>344</v>
      </c>
      <c r="J1267" s="71">
        <v>0</v>
      </c>
      <c r="K1267" s="71" t="s">
        <v>302</v>
      </c>
      <c r="L1267" s="71">
        <f t="shared" si="171"/>
        <v>9</v>
      </c>
      <c r="M1267" s="71" t="str">
        <f>IFERROR(INDEX(KALENDER!$D$3:$D$132,MATCH(H1267,KALENDER!$A$3:$A$132,0)),"Di luar periode")</f>
        <v>Hari Kerja</v>
      </c>
      <c r="N1267" s="71">
        <f t="shared" si="172"/>
        <v>0</v>
      </c>
      <c r="O1267" s="71">
        <f t="shared" si="173"/>
        <v>1</v>
      </c>
      <c r="P1267" s="71">
        <f t="shared" si="174"/>
        <v>0</v>
      </c>
      <c r="Q1267" s="71">
        <f t="shared" si="175"/>
        <v>0</v>
      </c>
      <c r="R1267" s="71">
        <f t="shared" si="176"/>
        <v>0</v>
      </c>
      <c r="S1267" s="71">
        <f t="shared" si="177"/>
        <v>0</v>
      </c>
      <c r="T1267" s="71">
        <f t="shared" si="178"/>
        <v>0</v>
      </c>
      <c r="U1267" s="71">
        <f>IF(AND(N1267=1,V1267=1),IF(COUNTIFS(AKTIVITAS!$B$2:$B$3052,B1267,AKTIVITAS!$E$2:$E$3052,H1267)&gt;0,1,0),0)</f>
        <v>0</v>
      </c>
      <c r="V1267" s="71">
        <f>IFERROR(IF(AND(H1267&gt;=INDEX(PEMAGANG!$J$3:$J$36,MATCH(B1267,PEMAGANG!$C$3:$C$36,0)),H1267&lt;=INDEX(PEMAGANG!$K$3:$K$36,MATCH(B1267,PEMAGANG!$C$3:$C$36,0))),1,0),0)</f>
        <v>1</v>
      </c>
      <c r="W1267" s="71">
        <f t="shared" si="179"/>
        <v>0</v>
      </c>
    </row>
    <row r="1268" spans="1:23" x14ac:dyDescent="0.2">
      <c r="A1268" s="71" t="s">
        <v>235</v>
      </c>
      <c r="B1268" s="71" t="s">
        <v>236</v>
      </c>
      <c r="C1268" s="71" t="s">
        <v>187</v>
      </c>
      <c r="D1268" s="71" t="s">
        <v>237</v>
      </c>
      <c r="E1268" s="71" t="s">
        <v>40</v>
      </c>
      <c r="F1268" s="71" t="s">
        <v>298</v>
      </c>
      <c r="G1268" s="88">
        <v>46282.308958333299</v>
      </c>
      <c r="H1268" s="89">
        <v>46282</v>
      </c>
      <c r="I1268" s="71" t="s">
        <v>303</v>
      </c>
      <c r="J1268" s="71">
        <v>-5.9999999999999796</v>
      </c>
      <c r="K1268" s="71" t="s">
        <v>302</v>
      </c>
      <c r="L1268" s="71">
        <f t="shared" si="171"/>
        <v>9</v>
      </c>
      <c r="M1268" s="71" t="str">
        <f>IFERROR(INDEX(KALENDER!$D$3:$D$132,MATCH(H1268,KALENDER!$A$3:$A$132,0)),"Di luar periode")</f>
        <v>Hari Kerja</v>
      </c>
      <c r="N1268" s="71">
        <f t="shared" si="172"/>
        <v>1</v>
      </c>
      <c r="O1268" s="71">
        <f t="shared" si="173"/>
        <v>1</v>
      </c>
      <c r="P1268" s="71">
        <f t="shared" si="174"/>
        <v>1</v>
      </c>
      <c r="Q1268" s="71">
        <f t="shared" si="175"/>
        <v>0</v>
      </c>
      <c r="R1268" s="71">
        <f t="shared" si="176"/>
        <v>0</v>
      </c>
      <c r="S1268" s="71">
        <f t="shared" si="177"/>
        <v>0</v>
      </c>
      <c r="T1268" s="71">
        <f t="shared" si="178"/>
        <v>0</v>
      </c>
      <c r="U1268" s="71">
        <f>IF(AND(N1268=1,V1268=1),IF(COUNTIFS(AKTIVITAS!$B$2:$B$3052,B1268,AKTIVITAS!$E$2:$E$3052,H1268)&gt;0,1,0),0)</f>
        <v>1</v>
      </c>
      <c r="V1268" s="71">
        <f>IFERROR(IF(AND(H1268&gt;=INDEX(PEMAGANG!$J$3:$J$36,MATCH(B1268,PEMAGANG!$C$3:$C$36,0)),H1268&lt;=INDEX(PEMAGANG!$K$3:$K$36,MATCH(B1268,PEMAGANG!$C$3:$C$36,0))),1,0),0)</f>
        <v>1</v>
      </c>
      <c r="W1268" s="71">
        <f t="shared" si="179"/>
        <v>1</v>
      </c>
    </row>
    <row r="1269" spans="1:23" x14ac:dyDescent="0.2">
      <c r="A1269" s="71" t="s">
        <v>235</v>
      </c>
      <c r="B1269" s="71" t="s">
        <v>236</v>
      </c>
      <c r="C1269" s="71" t="s">
        <v>187</v>
      </c>
      <c r="D1269" s="71" t="s">
        <v>237</v>
      </c>
      <c r="E1269" s="71" t="s">
        <v>40</v>
      </c>
      <c r="F1269" s="71" t="s">
        <v>300</v>
      </c>
      <c r="G1269" s="88">
        <v>46282.688946759299</v>
      </c>
      <c r="H1269" s="89">
        <v>46282</v>
      </c>
      <c r="I1269" s="71" t="s">
        <v>306</v>
      </c>
      <c r="J1269" s="71">
        <v>0</v>
      </c>
      <c r="K1269" s="71" t="s">
        <v>302</v>
      </c>
      <c r="L1269" s="71">
        <f t="shared" si="171"/>
        <v>9</v>
      </c>
      <c r="M1269" s="71" t="str">
        <f>IFERROR(INDEX(KALENDER!$D$3:$D$132,MATCH(H1269,KALENDER!$A$3:$A$132,0)),"Di luar periode")</f>
        <v>Hari Kerja</v>
      </c>
      <c r="N1269" s="71">
        <f t="shared" si="172"/>
        <v>0</v>
      </c>
      <c r="O1269" s="71">
        <f t="shared" si="173"/>
        <v>1</v>
      </c>
      <c r="P1269" s="71">
        <f t="shared" si="174"/>
        <v>0</v>
      </c>
      <c r="Q1269" s="71">
        <f t="shared" si="175"/>
        <v>0</v>
      </c>
      <c r="R1269" s="71">
        <f t="shared" si="176"/>
        <v>0</v>
      </c>
      <c r="S1269" s="71">
        <f t="shared" si="177"/>
        <v>0</v>
      </c>
      <c r="T1269" s="71">
        <f t="shared" si="178"/>
        <v>0</v>
      </c>
      <c r="U1269" s="71">
        <f>IF(AND(N1269=1,V1269=1),IF(COUNTIFS(AKTIVITAS!$B$2:$B$3052,B1269,AKTIVITAS!$E$2:$E$3052,H1269)&gt;0,1,0),0)</f>
        <v>0</v>
      </c>
      <c r="V1269" s="71">
        <f>IFERROR(IF(AND(H1269&gt;=INDEX(PEMAGANG!$J$3:$J$36,MATCH(B1269,PEMAGANG!$C$3:$C$36,0)),H1269&lt;=INDEX(PEMAGANG!$K$3:$K$36,MATCH(B1269,PEMAGANG!$C$3:$C$36,0))),1,0),0)</f>
        <v>1</v>
      </c>
      <c r="W1269" s="71">
        <f t="shared" si="179"/>
        <v>0</v>
      </c>
    </row>
    <row r="1270" spans="1:23" x14ac:dyDescent="0.2">
      <c r="A1270" s="71" t="s">
        <v>235</v>
      </c>
      <c r="B1270" s="71" t="s">
        <v>236</v>
      </c>
      <c r="C1270" s="71" t="s">
        <v>187</v>
      </c>
      <c r="D1270" s="71" t="s">
        <v>237</v>
      </c>
      <c r="E1270" s="71" t="s">
        <v>40</v>
      </c>
      <c r="F1270" s="71" t="s">
        <v>298</v>
      </c>
      <c r="G1270" s="88">
        <v>46283.315625000003</v>
      </c>
      <c r="H1270" s="89">
        <v>46283</v>
      </c>
      <c r="I1270" s="71" t="s">
        <v>373</v>
      </c>
      <c r="J1270" s="71">
        <v>3.9999999999999898</v>
      </c>
      <c r="K1270" s="71" t="s">
        <v>293</v>
      </c>
      <c r="L1270" s="71">
        <f t="shared" si="171"/>
        <v>9</v>
      </c>
      <c r="M1270" s="71" t="str">
        <f>IFERROR(INDEX(KALENDER!$D$3:$D$132,MATCH(H1270,KALENDER!$A$3:$A$132,0)),"Di luar periode")</f>
        <v>Hari Kerja</v>
      </c>
      <c r="N1270" s="71">
        <f t="shared" si="172"/>
        <v>1</v>
      </c>
      <c r="O1270" s="71">
        <f t="shared" si="173"/>
        <v>1</v>
      </c>
      <c r="P1270" s="71">
        <f t="shared" si="174"/>
        <v>1</v>
      </c>
      <c r="Q1270" s="71">
        <f t="shared" si="175"/>
        <v>0</v>
      </c>
      <c r="R1270" s="71">
        <f t="shared" si="176"/>
        <v>1</v>
      </c>
      <c r="S1270" s="71">
        <f t="shared" si="177"/>
        <v>3.9999999999999898</v>
      </c>
      <c r="T1270" s="71">
        <f t="shared" si="178"/>
        <v>0</v>
      </c>
      <c r="U1270" s="71">
        <f>IF(AND(N1270=1,V1270=1),IF(COUNTIFS(AKTIVITAS!$B$2:$B$3052,B1270,AKTIVITAS!$E$2:$E$3052,H1270)&gt;0,1,0),0)</f>
        <v>1</v>
      </c>
      <c r="V1270" s="71">
        <f>IFERROR(IF(AND(H1270&gt;=INDEX(PEMAGANG!$J$3:$J$36,MATCH(B1270,PEMAGANG!$C$3:$C$36,0)),H1270&lt;=INDEX(PEMAGANG!$K$3:$K$36,MATCH(B1270,PEMAGANG!$C$3:$C$36,0))),1,0),0)</f>
        <v>1</v>
      </c>
      <c r="W1270" s="71">
        <f t="shared" si="179"/>
        <v>1</v>
      </c>
    </row>
    <row r="1271" spans="1:23" x14ac:dyDescent="0.2">
      <c r="A1271" s="71" t="s">
        <v>235</v>
      </c>
      <c r="B1271" s="71" t="s">
        <v>236</v>
      </c>
      <c r="C1271" s="71" t="s">
        <v>187</v>
      </c>
      <c r="D1271" s="71" t="s">
        <v>237</v>
      </c>
      <c r="E1271" s="71" t="s">
        <v>40</v>
      </c>
      <c r="F1271" s="71" t="s">
        <v>298</v>
      </c>
      <c r="G1271" s="88">
        <v>46283.3156481482</v>
      </c>
      <c r="H1271" s="89">
        <v>46283</v>
      </c>
      <c r="I1271" s="71" t="s">
        <v>373</v>
      </c>
      <c r="J1271" s="71">
        <v>3.9999999999999898</v>
      </c>
      <c r="K1271" s="71" t="s">
        <v>293</v>
      </c>
      <c r="L1271" s="71">
        <f t="shared" si="171"/>
        <v>9</v>
      </c>
      <c r="M1271" s="71" t="str">
        <f>IFERROR(INDEX(KALENDER!$D$3:$D$132,MATCH(H1271,KALENDER!$A$3:$A$132,0)),"Di luar periode")</f>
        <v>Hari Kerja</v>
      </c>
      <c r="N1271" s="71">
        <f t="shared" si="172"/>
        <v>0</v>
      </c>
      <c r="O1271" s="71">
        <f t="shared" si="173"/>
        <v>2</v>
      </c>
      <c r="P1271" s="71">
        <f t="shared" si="174"/>
        <v>0</v>
      </c>
      <c r="Q1271" s="71">
        <f t="shared" si="175"/>
        <v>0</v>
      </c>
      <c r="R1271" s="71">
        <f t="shared" si="176"/>
        <v>0</v>
      </c>
      <c r="S1271" s="71">
        <f t="shared" si="177"/>
        <v>0</v>
      </c>
      <c r="T1271" s="71">
        <f t="shared" si="178"/>
        <v>0</v>
      </c>
      <c r="U1271" s="71">
        <f>IF(AND(N1271=1,V1271=1),IF(COUNTIFS(AKTIVITAS!$B$2:$B$3052,B1271,AKTIVITAS!$E$2:$E$3052,H1271)&gt;0,1,0),0)</f>
        <v>0</v>
      </c>
      <c r="V1271" s="71">
        <f>IFERROR(IF(AND(H1271&gt;=INDEX(PEMAGANG!$J$3:$J$36,MATCH(B1271,PEMAGANG!$C$3:$C$36,0)),H1271&lt;=INDEX(PEMAGANG!$K$3:$K$36,MATCH(B1271,PEMAGANG!$C$3:$C$36,0))),1,0),0)</f>
        <v>1</v>
      </c>
      <c r="W1271" s="71">
        <f t="shared" si="179"/>
        <v>0</v>
      </c>
    </row>
    <row r="1272" spans="1:23" x14ac:dyDescent="0.2">
      <c r="A1272" s="71" t="s">
        <v>235</v>
      </c>
      <c r="B1272" s="71" t="s">
        <v>236</v>
      </c>
      <c r="C1272" s="71" t="s">
        <v>187</v>
      </c>
      <c r="D1272" s="71" t="s">
        <v>237</v>
      </c>
      <c r="E1272" s="71" t="s">
        <v>40</v>
      </c>
      <c r="F1272" s="71" t="s">
        <v>300</v>
      </c>
      <c r="G1272" s="88">
        <v>46283.713263888902</v>
      </c>
      <c r="H1272" s="89">
        <v>46283</v>
      </c>
      <c r="I1272" s="71" t="s">
        <v>324</v>
      </c>
      <c r="J1272" s="71">
        <v>0</v>
      </c>
      <c r="K1272" s="71" t="s">
        <v>302</v>
      </c>
      <c r="L1272" s="71">
        <f t="shared" si="171"/>
        <v>9</v>
      </c>
      <c r="M1272" s="71" t="str">
        <f>IFERROR(INDEX(KALENDER!$D$3:$D$132,MATCH(H1272,KALENDER!$A$3:$A$132,0)),"Di luar periode")</f>
        <v>Hari Kerja</v>
      </c>
      <c r="N1272" s="71">
        <f t="shared" si="172"/>
        <v>0</v>
      </c>
      <c r="O1272" s="71">
        <f t="shared" si="173"/>
        <v>2</v>
      </c>
      <c r="P1272" s="71">
        <f t="shared" si="174"/>
        <v>0</v>
      </c>
      <c r="Q1272" s="71">
        <f t="shared" si="175"/>
        <v>0</v>
      </c>
      <c r="R1272" s="71">
        <f t="shared" si="176"/>
        <v>0</v>
      </c>
      <c r="S1272" s="71">
        <f t="shared" si="177"/>
        <v>0</v>
      </c>
      <c r="T1272" s="71">
        <f t="shared" si="178"/>
        <v>0</v>
      </c>
      <c r="U1272" s="71">
        <f>IF(AND(N1272=1,V1272=1),IF(COUNTIFS(AKTIVITAS!$B$2:$B$3052,B1272,AKTIVITAS!$E$2:$E$3052,H1272)&gt;0,1,0),0)</f>
        <v>0</v>
      </c>
      <c r="V1272" s="71">
        <f>IFERROR(IF(AND(H1272&gt;=INDEX(PEMAGANG!$J$3:$J$36,MATCH(B1272,PEMAGANG!$C$3:$C$36,0)),H1272&lt;=INDEX(PEMAGANG!$K$3:$K$36,MATCH(B1272,PEMAGANG!$C$3:$C$36,0))),1,0),0)</f>
        <v>1</v>
      </c>
      <c r="W1272" s="71">
        <f t="shared" si="179"/>
        <v>0</v>
      </c>
    </row>
    <row r="1273" spans="1:23" x14ac:dyDescent="0.2">
      <c r="A1273" s="71" t="s">
        <v>235</v>
      </c>
      <c r="B1273" s="71" t="s">
        <v>236</v>
      </c>
      <c r="C1273" s="71" t="s">
        <v>187</v>
      </c>
      <c r="D1273" s="71" t="s">
        <v>237</v>
      </c>
      <c r="E1273" s="71" t="s">
        <v>40</v>
      </c>
      <c r="F1273" s="71" t="s">
        <v>298</v>
      </c>
      <c r="G1273" s="88">
        <v>46286.308819444399</v>
      </c>
      <c r="H1273" s="89">
        <v>46286</v>
      </c>
      <c r="I1273" s="71" t="s">
        <v>303</v>
      </c>
      <c r="J1273" s="71">
        <v>-5.9999999999999796</v>
      </c>
      <c r="K1273" s="71" t="s">
        <v>302</v>
      </c>
      <c r="L1273" s="71">
        <f t="shared" si="171"/>
        <v>9</v>
      </c>
      <c r="M1273" s="71" t="str">
        <f>IFERROR(INDEX(KALENDER!$D$3:$D$132,MATCH(H1273,KALENDER!$A$3:$A$132,0)),"Di luar periode")</f>
        <v>Hari Kerja</v>
      </c>
      <c r="N1273" s="71">
        <f t="shared" si="172"/>
        <v>1</v>
      </c>
      <c r="O1273" s="71">
        <f t="shared" si="173"/>
        <v>1</v>
      </c>
      <c r="P1273" s="71">
        <f t="shared" si="174"/>
        <v>1</v>
      </c>
      <c r="Q1273" s="71">
        <f t="shared" si="175"/>
        <v>0</v>
      </c>
      <c r="R1273" s="71">
        <f t="shared" si="176"/>
        <v>0</v>
      </c>
      <c r="S1273" s="71">
        <f t="shared" si="177"/>
        <v>0</v>
      </c>
      <c r="T1273" s="71">
        <f t="shared" si="178"/>
        <v>0</v>
      </c>
      <c r="U1273" s="71">
        <f>IF(AND(N1273=1,V1273=1),IF(COUNTIFS(AKTIVITAS!$B$2:$B$3052,B1273,AKTIVITAS!$E$2:$E$3052,H1273)&gt;0,1,0),0)</f>
        <v>1</v>
      </c>
      <c r="V1273" s="71">
        <f>IFERROR(IF(AND(H1273&gt;=INDEX(PEMAGANG!$J$3:$J$36,MATCH(B1273,PEMAGANG!$C$3:$C$36,0)),H1273&lt;=INDEX(PEMAGANG!$K$3:$K$36,MATCH(B1273,PEMAGANG!$C$3:$C$36,0))),1,0),0)</f>
        <v>1</v>
      </c>
      <c r="W1273" s="71">
        <f t="shared" si="179"/>
        <v>1</v>
      </c>
    </row>
    <row r="1274" spans="1:23" x14ac:dyDescent="0.2">
      <c r="A1274" s="71" t="s">
        <v>235</v>
      </c>
      <c r="B1274" s="71" t="s">
        <v>236</v>
      </c>
      <c r="C1274" s="71" t="s">
        <v>187</v>
      </c>
      <c r="D1274" s="71" t="s">
        <v>237</v>
      </c>
      <c r="E1274" s="71" t="s">
        <v>40</v>
      </c>
      <c r="F1274" s="71" t="s">
        <v>300</v>
      </c>
      <c r="G1274" s="88">
        <v>46286.689733796302</v>
      </c>
      <c r="H1274" s="89">
        <v>46286</v>
      </c>
      <c r="I1274" s="71" t="s">
        <v>316</v>
      </c>
      <c r="J1274" s="71">
        <v>0</v>
      </c>
      <c r="K1274" s="71" t="s">
        <v>302</v>
      </c>
      <c r="L1274" s="71">
        <f t="shared" si="171"/>
        <v>9</v>
      </c>
      <c r="M1274" s="71" t="str">
        <f>IFERROR(INDEX(KALENDER!$D$3:$D$132,MATCH(H1274,KALENDER!$A$3:$A$132,0)),"Di luar periode")</f>
        <v>Hari Kerja</v>
      </c>
      <c r="N1274" s="71">
        <f t="shared" si="172"/>
        <v>0</v>
      </c>
      <c r="O1274" s="71">
        <f t="shared" si="173"/>
        <v>1</v>
      </c>
      <c r="P1274" s="71">
        <f t="shared" si="174"/>
        <v>0</v>
      </c>
      <c r="Q1274" s="71">
        <f t="shared" si="175"/>
        <v>0</v>
      </c>
      <c r="R1274" s="71">
        <f t="shared" si="176"/>
        <v>0</v>
      </c>
      <c r="S1274" s="71">
        <f t="shared" si="177"/>
        <v>0</v>
      </c>
      <c r="T1274" s="71">
        <f t="shared" si="178"/>
        <v>0</v>
      </c>
      <c r="U1274" s="71">
        <f>IF(AND(N1274=1,V1274=1),IF(COUNTIFS(AKTIVITAS!$B$2:$B$3052,B1274,AKTIVITAS!$E$2:$E$3052,H1274)&gt;0,1,0),0)</f>
        <v>0</v>
      </c>
      <c r="V1274" s="71">
        <f>IFERROR(IF(AND(H1274&gt;=INDEX(PEMAGANG!$J$3:$J$36,MATCH(B1274,PEMAGANG!$C$3:$C$36,0)),H1274&lt;=INDEX(PEMAGANG!$K$3:$K$36,MATCH(B1274,PEMAGANG!$C$3:$C$36,0))),1,0),0)</f>
        <v>1</v>
      </c>
      <c r="W1274" s="71">
        <f t="shared" si="179"/>
        <v>0</v>
      </c>
    </row>
    <row r="1275" spans="1:23" x14ac:dyDescent="0.2">
      <c r="A1275" s="71" t="s">
        <v>235</v>
      </c>
      <c r="B1275" s="71" t="s">
        <v>236</v>
      </c>
      <c r="C1275" s="71" t="s">
        <v>187</v>
      </c>
      <c r="D1275" s="71" t="s">
        <v>237</v>
      </c>
      <c r="E1275" s="71" t="s">
        <v>40</v>
      </c>
      <c r="F1275" s="71" t="s">
        <v>298</v>
      </c>
      <c r="G1275" s="88">
        <v>46287.308530092603</v>
      </c>
      <c r="H1275" s="89">
        <v>46287</v>
      </c>
      <c r="I1275" s="71" t="s">
        <v>303</v>
      </c>
      <c r="J1275" s="71">
        <v>-5.9999999999999796</v>
      </c>
      <c r="K1275" s="71" t="s">
        <v>302</v>
      </c>
      <c r="L1275" s="71">
        <f t="shared" si="171"/>
        <v>9</v>
      </c>
      <c r="M1275" s="71" t="str">
        <f>IFERROR(INDEX(KALENDER!$D$3:$D$132,MATCH(H1275,KALENDER!$A$3:$A$132,0)),"Di luar periode")</f>
        <v>Hari Kerja</v>
      </c>
      <c r="N1275" s="71">
        <f t="shared" si="172"/>
        <v>1</v>
      </c>
      <c r="O1275" s="71">
        <f t="shared" si="173"/>
        <v>1</v>
      </c>
      <c r="P1275" s="71">
        <f t="shared" si="174"/>
        <v>1</v>
      </c>
      <c r="Q1275" s="71">
        <f t="shared" si="175"/>
        <v>0</v>
      </c>
      <c r="R1275" s="71">
        <f t="shared" si="176"/>
        <v>0</v>
      </c>
      <c r="S1275" s="71">
        <f t="shared" si="177"/>
        <v>0</v>
      </c>
      <c r="T1275" s="71">
        <f t="shared" si="178"/>
        <v>0</v>
      </c>
      <c r="U1275" s="71">
        <f>IF(AND(N1275=1,V1275=1),IF(COUNTIFS(AKTIVITAS!$B$2:$B$3052,B1275,AKTIVITAS!$E$2:$E$3052,H1275)&gt;0,1,0),0)</f>
        <v>1</v>
      </c>
      <c r="V1275" s="71">
        <f>IFERROR(IF(AND(H1275&gt;=INDEX(PEMAGANG!$J$3:$J$36,MATCH(B1275,PEMAGANG!$C$3:$C$36,0)),H1275&lt;=INDEX(PEMAGANG!$K$3:$K$36,MATCH(B1275,PEMAGANG!$C$3:$C$36,0))),1,0),0)</f>
        <v>1</v>
      </c>
      <c r="W1275" s="71">
        <f t="shared" si="179"/>
        <v>1</v>
      </c>
    </row>
    <row r="1276" spans="1:23" x14ac:dyDescent="0.2">
      <c r="A1276" s="71" t="s">
        <v>235</v>
      </c>
      <c r="B1276" s="71" t="s">
        <v>236</v>
      </c>
      <c r="C1276" s="71" t="s">
        <v>187</v>
      </c>
      <c r="D1276" s="71" t="s">
        <v>237</v>
      </c>
      <c r="E1276" s="71" t="s">
        <v>40</v>
      </c>
      <c r="F1276" s="71" t="s">
        <v>300</v>
      </c>
      <c r="G1276" s="88">
        <v>46287.693182870396</v>
      </c>
      <c r="H1276" s="89">
        <v>46287</v>
      </c>
      <c r="I1276" s="71" t="s">
        <v>317</v>
      </c>
      <c r="J1276" s="71">
        <v>0</v>
      </c>
      <c r="K1276" s="71" t="s">
        <v>302</v>
      </c>
      <c r="L1276" s="71">
        <f t="shared" si="171"/>
        <v>9</v>
      </c>
      <c r="M1276" s="71" t="str">
        <f>IFERROR(INDEX(KALENDER!$D$3:$D$132,MATCH(H1276,KALENDER!$A$3:$A$132,0)),"Di luar periode")</f>
        <v>Hari Kerja</v>
      </c>
      <c r="N1276" s="71">
        <f t="shared" si="172"/>
        <v>0</v>
      </c>
      <c r="O1276" s="71">
        <f t="shared" si="173"/>
        <v>1</v>
      </c>
      <c r="P1276" s="71">
        <f t="shared" si="174"/>
        <v>0</v>
      </c>
      <c r="Q1276" s="71">
        <f t="shared" si="175"/>
        <v>0</v>
      </c>
      <c r="R1276" s="71">
        <f t="shared" si="176"/>
        <v>0</v>
      </c>
      <c r="S1276" s="71">
        <f t="shared" si="177"/>
        <v>0</v>
      </c>
      <c r="T1276" s="71">
        <f t="shared" si="178"/>
        <v>0</v>
      </c>
      <c r="U1276" s="71">
        <f>IF(AND(N1276=1,V1276=1),IF(COUNTIFS(AKTIVITAS!$B$2:$B$3052,B1276,AKTIVITAS!$E$2:$E$3052,H1276)&gt;0,1,0),0)</f>
        <v>0</v>
      </c>
      <c r="V1276" s="71">
        <f>IFERROR(IF(AND(H1276&gt;=INDEX(PEMAGANG!$J$3:$J$36,MATCH(B1276,PEMAGANG!$C$3:$C$36,0)),H1276&lt;=INDEX(PEMAGANG!$K$3:$K$36,MATCH(B1276,PEMAGANG!$C$3:$C$36,0))),1,0),0)</f>
        <v>1</v>
      </c>
      <c r="W1276" s="71">
        <f t="shared" si="179"/>
        <v>0</v>
      </c>
    </row>
    <row r="1277" spans="1:23" x14ac:dyDescent="0.2">
      <c r="A1277" s="71" t="s">
        <v>235</v>
      </c>
      <c r="B1277" s="71" t="s">
        <v>236</v>
      </c>
      <c r="C1277" s="71" t="s">
        <v>187</v>
      </c>
      <c r="D1277" s="71" t="s">
        <v>237</v>
      </c>
      <c r="E1277" s="71" t="s">
        <v>40</v>
      </c>
      <c r="F1277" s="71" t="s">
        <v>298</v>
      </c>
      <c r="G1277" s="88">
        <v>46288.311562499999</v>
      </c>
      <c r="H1277" s="89">
        <v>46288</v>
      </c>
      <c r="I1277" s="71" t="s">
        <v>377</v>
      </c>
      <c r="J1277" s="71">
        <v>-1.99999999999999</v>
      </c>
      <c r="K1277" s="71" t="s">
        <v>302</v>
      </c>
      <c r="L1277" s="71">
        <f t="shared" si="171"/>
        <v>9</v>
      </c>
      <c r="M1277" s="71" t="str">
        <f>IFERROR(INDEX(KALENDER!$D$3:$D$132,MATCH(H1277,KALENDER!$A$3:$A$132,0)),"Di luar periode")</f>
        <v>Hari Kerja</v>
      </c>
      <c r="N1277" s="71">
        <f t="shared" si="172"/>
        <v>1</v>
      </c>
      <c r="O1277" s="71">
        <f t="shared" si="173"/>
        <v>1</v>
      </c>
      <c r="P1277" s="71">
        <f t="shared" si="174"/>
        <v>1</v>
      </c>
      <c r="Q1277" s="71">
        <f t="shared" si="175"/>
        <v>0</v>
      </c>
      <c r="R1277" s="71">
        <f t="shared" si="176"/>
        <v>0</v>
      </c>
      <c r="S1277" s="71">
        <f t="shared" si="177"/>
        <v>0</v>
      </c>
      <c r="T1277" s="71">
        <f t="shared" si="178"/>
        <v>0</v>
      </c>
      <c r="U1277" s="71">
        <f>IF(AND(N1277=1,V1277=1),IF(COUNTIFS(AKTIVITAS!$B$2:$B$3052,B1277,AKTIVITAS!$E$2:$E$3052,H1277)&gt;0,1,0),0)</f>
        <v>1</v>
      </c>
      <c r="V1277" s="71">
        <f>IFERROR(IF(AND(H1277&gt;=INDEX(PEMAGANG!$J$3:$J$36,MATCH(B1277,PEMAGANG!$C$3:$C$36,0)),H1277&lt;=INDEX(PEMAGANG!$K$3:$K$36,MATCH(B1277,PEMAGANG!$C$3:$C$36,0))),1,0),0)</f>
        <v>1</v>
      </c>
      <c r="W1277" s="71">
        <f t="shared" si="179"/>
        <v>1</v>
      </c>
    </row>
    <row r="1278" spans="1:23" x14ac:dyDescent="0.2">
      <c r="A1278" s="71" t="s">
        <v>235</v>
      </c>
      <c r="B1278" s="71" t="s">
        <v>236</v>
      </c>
      <c r="C1278" s="71" t="s">
        <v>187</v>
      </c>
      <c r="D1278" s="71" t="s">
        <v>237</v>
      </c>
      <c r="E1278" s="71" t="s">
        <v>40</v>
      </c>
      <c r="F1278" s="71" t="s">
        <v>300</v>
      </c>
      <c r="G1278" s="88">
        <v>46288.688240740703</v>
      </c>
      <c r="H1278" s="89">
        <v>46288</v>
      </c>
      <c r="I1278" s="71" t="s">
        <v>336</v>
      </c>
      <c r="J1278" s="71">
        <v>0</v>
      </c>
      <c r="K1278" s="71" t="s">
        <v>302</v>
      </c>
      <c r="L1278" s="71">
        <f t="shared" si="171"/>
        <v>9</v>
      </c>
      <c r="M1278" s="71" t="str">
        <f>IFERROR(INDEX(KALENDER!$D$3:$D$132,MATCH(H1278,KALENDER!$A$3:$A$132,0)),"Di luar periode")</f>
        <v>Hari Kerja</v>
      </c>
      <c r="N1278" s="71">
        <f t="shared" si="172"/>
        <v>0</v>
      </c>
      <c r="O1278" s="71">
        <f t="shared" si="173"/>
        <v>1</v>
      </c>
      <c r="P1278" s="71">
        <f t="shared" si="174"/>
        <v>0</v>
      </c>
      <c r="Q1278" s="71">
        <f t="shared" si="175"/>
        <v>0</v>
      </c>
      <c r="R1278" s="71">
        <f t="shared" si="176"/>
        <v>0</v>
      </c>
      <c r="S1278" s="71">
        <f t="shared" si="177"/>
        <v>0</v>
      </c>
      <c r="T1278" s="71">
        <f t="shared" si="178"/>
        <v>0</v>
      </c>
      <c r="U1278" s="71">
        <f>IF(AND(N1278=1,V1278=1),IF(COUNTIFS(AKTIVITAS!$B$2:$B$3052,B1278,AKTIVITAS!$E$2:$E$3052,H1278)&gt;0,1,0),0)</f>
        <v>0</v>
      </c>
      <c r="V1278" s="71">
        <f>IFERROR(IF(AND(H1278&gt;=INDEX(PEMAGANG!$J$3:$J$36,MATCH(B1278,PEMAGANG!$C$3:$C$36,0)),H1278&lt;=INDEX(PEMAGANG!$K$3:$K$36,MATCH(B1278,PEMAGANG!$C$3:$C$36,0))),1,0),0)</f>
        <v>1</v>
      </c>
      <c r="W1278" s="71">
        <f t="shared" si="179"/>
        <v>0</v>
      </c>
    </row>
    <row r="1279" spans="1:23" x14ac:dyDescent="0.2">
      <c r="A1279" s="71" t="s">
        <v>235</v>
      </c>
      <c r="B1279" s="71" t="s">
        <v>236</v>
      </c>
      <c r="C1279" s="71" t="s">
        <v>187</v>
      </c>
      <c r="D1279" s="71" t="s">
        <v>237</v>
      </c>
      <c r="E1279" s="71" t="s">
        <v>40</v>
      </c>
      <c r="F1279" s="71" t="s">
        <v>298</v>
      </c>
      <c r="G1279" s="88">
        <v>46289.314189814802</v>
      </c>
      <c r="H1279" s="89">
        <v>46289</v>
      </c>
      <c r="I1279" s="71" t="s">
        <v>338</v>
      </c>
      <c r="J1279" s="71">
        <v>1.99999999999999</v>
      </c>
      <c r="K1279" s="71" t="s">
        <v>293</v>
      </c>
      <c r="L1279" s="71">
        <f t="shared" si="171"/>
        <v>9</v>
      </c>
      <c r="M1279" s="71" t="str">
        <f>IFERROR(INDEX(KALENDER!$D$3:$D$132,MATCH(H1279,KALENDER!$A$3:$A$132,0)),"Di luar periode")</f>
        <v>Hari Kerja</v>
      </c>
      <c r="N1279" s="71">
        <f t="shared" si="172"/>
        <v>1</v>
      </c>
      <c r="O1279" s="71">
        <f t="shared" si="173"/>
        <v>1</v>
      </c>
      <c r="P1279" s="71">
        <f t="shared" si="174"/>
        <v>1</v>
      </c>
      <c r="Q1279" s="71">
        <f t="shared" si="175"/>
        <v>0</v>
      </c>
      <c r="R1279" s="71">
        <f t="shared" si="176"/>
        <v>1</v>
      </c>
      <c r="S1279" s="71">
        <f t="shared" si="177"/>
        <v>1.99999999999999</v>
      </c>
      <c r="T1279" s="71">
        <f t="shared" si="178"/>
        <v>0</v>
      </c>
      <c r="U1279" s="71">
        <f>IF(AND(N1279=1,V1279=1),IF(COUNTIFS(AKTIVITAS!$B$2:$B$3052,B1279,AKTIVITAS!$E$2:$E$3052,H1279)&gt;0,1,0),0)</f>
        <v>1</v>
      </c>
      <c r="V1279" s="71">
        <f>IFERROR(IF(AND(H1279&gt;=INDEX(PEMAGANG!$J$3:$J$36,MATCH(B1279,PEMAGANG!$C$3:$C$36,0)),H1279&lt;=INDEX(PEMAGANG!$K$3:$K$36,MATCH(B1279,PEMAGANG!$C$3:$C$36,0))),1,0),0)</f>
        <v>1</v>
      </c>
      <c r="W1279" s="71">
        <f t="shared" si="179"/>
        <v>1</v>
      </c>
    </row>
    <row r="1280" spans="1:23" x14ac:dyDescent="0.2">
      <c r="A1280" s="71" t="s">
        <v>235</v>
      </c>
      <c r="B1280" s="71" t="s">
        <v>236</v>
      </c>
      <c r="C1280" s="71" t="s">
        <v>187</v>
      </c>
      <c r="D1280" s="71" t="s">
        <v>237</v>
      </c>
      <c r="E1280" s="71" t="s">
        <v>40</v>
      </c>
      <c r="F1280" s="71" t="s">
        <v>300</v>
      </c>
      <c r="G1280" s="88">
        <v>46289.689004629603</v>
      </c>
      <c r="H1280" s="89">
        <v>46289</v>
      </c>
      <c r="I1280" s="71" t="s">
        <v>306</v>
      </c>
      <c r="J1280" s="71">
        <v>0</v>
      </c>
      <c r="K1280" s="71" t="s">
        <v>302</v>
      </c>
      <c r="L1280" s="71">
        <f t="shared" si="171"/>
        <v>9</v>
      </c>
      <c r="M1280" s="71" t="str">
        <f>IFERROR(INDEX(KALENDER!$D$3:$D$132,MATCH(H1280,KALENDER!$A$3:$A$132,0)),"Di luar periode")</f>
        <v>Hari Kerja</v>
      </c>
      <c r="N1280" s="71">
        <f t="shared" si="172"/>
        <v>0</v>
      </c>
      <c r="O1280" s="71">
        <f t="shared" si="173"/>
        <v>1</v>
      </c>
      <c r="P1280" s="71">
        <f t="shared" si="174"/>
        <v>0</v>
      </c>
      <c r="Q1280" s="71">
        <f t="shared" si="175"/>
        <v>0</v>
      </c>
      <c r="R1280" s="71">
        <f t="shared" si="176"/>
        <v>0</v>
      </c>
      <c r="S1280" s="71">
        <f t="shared" si="177"/>
        <v>0</v>
      </c>
      <c r="T1280" s="71">
        <f t="shared" si="178"/>
        <v>0</v>
      </c>
      <c r="U1280" s="71">
        <f>IF(AND(N1280=1,V1280=1),IF(COUNTIFS(AKTIVITAS!$B$2:$B$3052,B1280,AKTIVITAS!$E$2:$E$3052,H1280)&gt;0,1,0),0)</f>
        <v>0</v>
      </c>
      <c r="V1280" s="71">
        <f>IFERROR(IF(AND(H1280&gt;=INDEX(PEMAGANG!$J$3:$J$36,MATCH(B1280,PEMAGANG!$C$3:$C$36,0)),H1280&lt;=INDEX(PEMAGANG!$K$3:$K$36,MATCH(B1280,PEMAGANG!$C$3:$C$36,0))),1,0),0)</f>
        <v>1</v>
      </c>
      <c r="W1280" s="71">
        <f t="shared" si="179"/>
        <v>0</v>
      </c>
    </row>
    <row r="1281" spans="1:23" x14ac:dyDescent="0.2">
      <c r="A1281" s="71" t="s">
        <v>235</v>
      </c>
      <c r="B1281" s="71" t="s">
        <v>236</v>
      </c>
      <c r="C1281" s="71" t="s">
        <v>187</v>
      </c>
      <c r="D1281" s="71" t="s">
        <v>237</v>
      </c>
      <c r="E1281" s="71" t="s">
        <v>40</v>
      </c>
      <c r="F1281" s="71" t="s">
        <v>298</v>
      </c>
      <c r="G1281" s="88">
        <v>46290.311759259297</v>
      </c>
      <c r="H1281" s="89">
        <v>46290</v>
      </c>
      <c r="I1281" s="71" t="s">
        <v>377</v>
      </c>
      <c r="J1281" s="71">
        <v>-1.99999999999999</v>
      </c>
      <c r="K1281" s="71" t="s">
        <v>302</v>
      </c>
      <c r="L1281" s="71">
        <f t="shared" si="171"/>
        <v>9</v>
      </c>
      <c r="M1281" s="71" t="str">
        <f>IFERROR(INDEX(KALENDER!$D$3:$D$132,MATCH(H1281,KALENDER!$A$3:$A$132,0)),"Di luar periode")</f>
        <v>Hari Kerja</v>
      </c>
      <c r="N1281" s="71">
        <f t="shared" si="172"/>
        <v>1</v>
      </c>
      <c r="O1281" s="71">
        <f t="shared" si="173"/>
        <v>1</v>
      </c>
      <c r="P1281" s="71">
        <f t="shared" si="174"/>
        <v>1</v>
      </c>
      <c r="Q1281" s="71">
        <f t="shared" si="175"/>
        <v>0</v>
      </c>
      <c r="R1281" s="71">
        <f t="shared" si="176"/>
        <v>0</v>
      </c>
      <c r="S1281" s="71">
        <f t="shared" si="177"/>
        <v>0</v>
      </c>
      <c r="T1281" s="71">
        <f t="shared" si="178"/>
        <v>0</v>
      </c>
      <c r="U1281" s="71">
        <f>IF(AND(N1281=1,V1281=1),IF(COUNTIFS(AKTIVITAS!$B$2:$B$3052,B1281,AKTIVITAS!$E$2:$E$3052,H1281)&gt;0,1,0),0)</f>
        <v>1</v>
      </c>
      <c r="V1281" s="71">
        <f>IFERROR(IF(AND(H1281&gt;=INDEX(PEMAGANG!$J$3:$J$36,MATCH(B1281,PEMAGANG!$C$3:$C$36,0)),H1281&lt;=INDEX(PEMAGANG!$K$3:$K$36,MATCH(B1281,PEMAGANG!$C$3:$C$36,0))),1,0),0)</f>
        <v>1</v>
      </c>
      <c r="W1281" s="71">
        <f t="shared" si="179"/>
        <v>1</v>
      </c>
    </row>
    <row r="1282" spans="1:23" x14ac:dyDescent="0.2">
      <c r="A1282" s="71" t="s">
        <v>235</v>
      </c>
      <c r="B1282" s="71" t="s">
        <v>236</v>
      </c>
      <c r="C1282" s="71" t="s">
        <v>187</v>
      </c>
      <c r="D1282" s="71" t="s">
        <v>237</v>
      </c>
      <c r="E1282" s="71" t="s">
        <v>40</v>
      </c>
      <c r="F1282" s="71" t="s">
        <v>300</v>
      </c>
      <c r="G1282" s="88">
        <v>46290.6883564815</v>
      </c>
      <c r="H1282" s="89">
        <v>46290</v>
      </c>
      <c r="I1282" s="71" t="s">
        <v>336</v>
      </c>
      <c r="J1282" s="71">
        <v>0</v>
      </c>
      <c r="K1282" s="71" t="s">
        <v>302</v>
      </c>
      <c r="L1282" s="71">
        <f t="shared" ref="L1282:L1345" si="180">MONTH(H1282)</f>
        <v>9</v>
      </c>
      <c r="M1282" s="71" t="str">
        <f>IFERROR(INDEX(KALENDER!$D$3:$D$132,MATCH(H1282,KALENDER!$A$3:$A$132,0)),"Di luar periode")</f>
        <v>Hari Kerja</v>
      </c>
      <c r="N1282" s="71">
        <f t="shared" ref="N1282:N1345" si="181">IF(AND(B1282=B1281,H1282=H1281),0,1)</f>
        <v>0</v>
      </c>
      <c r="O1282" s="71">
        <f t="shared" ref="O1282:O1345" si="182">IF(N1282=1,0,O1281)+IF(F1282="MASUK",1,0)</f>
        <v>1</v>
      </c>
      <c r="P1282" s="71">
        <f t="shared" ref="P1282:P1345" si="183">IF(AND(N1282=1,M1282="Hari Kerja",V1282=1),1,0)</f>
        <v>0</v>
      </c>
      <c r="Q1282" s="71">
        <f t="shared" ref="Q1282:Q1345" si="184">IF(AND(N1282=1,OR(M1282&lt;&gt;"Hari Kerja",V1282=0)),1,0)</f>
        <v>0</v>
      </c>
      <c r="R1282" s="71">
        <f t="shared" ref="R1282:R1345" si="185">IF(AND(F1282="MASUK",O1282=1,N(J1282)&gt;0,V1282=1),1,0)</f>
        <v>0</v>
      </c>
      <c r="S1282" s="71">
        <f t="shared" ref="S1282:S1345" si="186">R1282*N(J1282)</f>
        <v>0</v>
      </c>
      <c r="T1282" s="71">
        <f t="shared" ref="T1282:T1345" si="187">IF(AND(N1282=1,V1282=1),IF(AND(COUNTIFS($B$2:$B$4094,B1282,$H$2:$H$4094,H1282,$F$2:$F$4094,"MASUK")&gt;0,COUNTIFS($B$2:$B$4094,B1282,$H$2:$H$4094,H1282,$F$2:$F$4094,"PULANG")=0),1,0),0)</f>
        <v>0</v>
      </c>
      <c r="U1282" s="71">
        <f>IF(AND(N1282=1,V1282=1),IF(COUNTIFS(AKTIVITAS!$B$2:$B$3052,B1282,AKTIVITAS!$E$2:$E$3052,H1282)&gt;0,1,0),0)</f>
        <v>0</v>
      </c>
      <c r="V1282" s="71">
        <f>IFERROR(IF(AND(H1282&gt;=INDEX(PEMAGANG!$J$3:$J$36,MATCH(B1282,PEMAGANG!$C$3:$C$36,0)),H1282&lt;=INDEX(PEMAGANG!$K$3:$K$36,MATCH(B1282,PEMAGANG!$C$3:$C$36,0))),1,0),0)</f>
        <v>1</v>
      </c>
      <c r="W1282" s="71">
        <f t="shared" ref="W1282:W1345" si="188">N1282*V1282</f>
        <v>0</v>
      </c>
    </row>
    <row r="1283" spans="1:23" x14ac:dyDescent="0.2">
      <c r="A1283" s="71" t="s">
        <v>235</v>
      </c>
      <c r="B1283" s="71" t="s">
        <v>236</v>
      </c>
      <c r="C1283" s="71" t="s">
        <v>187</v>
      </c>
      <c r="D1283" s="71" t="s">
        <v>237</v>
      </c>
      <c r="E1283" s="71" t="s">
        <v>40</v>
      </c>
      <c r="F1283" s="71" t="s">
        <v>298</v>
      </c>
      <c r="G1283" s="88">
        <v>46293.262777777803</v>
      </c>
      <c r="H1283" s="89">
        <v>46293</v>
      </c>
      <c r="I1283" s="71" t="s">
        <v>431</v>
      </c>
      <c r="J1283" s="71">
        <v>-72</v>
      </c>
      <c r="K1283" s="71" t="s">
        <v>302</v>
      </c>
      <c r="L1283" s="71">
        <f t="shared" si="180"/>
        <v>9</v>
      </c>
      <c r="M1283" s="71" t="str">
        <f>IFERROR(INDEX(KALENDER!$D$3:$D$132,MATCH(H1283,KALENDER!$A$3:$A$132,0)),"Di luar periode")</f>
        <v>Hari Kerja</v>
      </c>
      <c r="N1283" s="71">
        <f t="shared" si="181"/>
        <v>1</v>
      </c>
      <c r="O1283" s="71">
        <f t="shared" si="182"/>
        <v>1</v>
      </c>
      <c r="P1283" s="71">
        <f t="shared" si="183"/>
        <v>1</v>
      </c>
      <c r="Q1283" s="71">
        <f t="shared" si="184"/>
        <v>0</v>
      </c>
      <c r="R1283" s="71">
        <f t="shared" si="185"/>
        <v>0</v>
      </c>
      <c r="S1283" s="71">
        <f t="shared" si="186"/>
        <v>0</v>
      </c>
      <c r="T1283" s="71">
        <f t="shared" si="187"/>
        <v>0</v>
      </c>
      <c r="U1283" s="71">
        <f>IF(AND(N1283=1,V1283=1),IF(COUNTIFS(AKTIVITAS!$B$2:$B$3052,B1283,AKTIVITAS!$E$2:$E$3052,H1283)&gt;0,1,0),0)</f>
        <v>1</v>
      </c>
      <c r="V1283" s="71">
        <f>IFERROR(IF(AND(H1283&gt;=INDEX(PEMAGANG!$J$3:$J$36,MATCH(B1283,PEMAGANG!$C$3:$C$36,0)),H1283&lt;=INDEX(PEMAGANG!$K$3:$K$36,MATCH(B1283,PEMAGANG!$C$3:$C$36,0))),1,0),0)</f>
        <v>1</v>
      </c>
      <c r="W1283" s="71">
        <f t="shared" si="188"/>
        <v>1</v>
      </c>
    </row>
    <row r="1284" spans="1:23" x14ac:dyDescent="0.2">
      <c r="A1284" s="71" t="s">
        <v>235</v>
      </c>
      <c r="B1284" s="71" t="s">
        <v>236</v>
      </c>
      <c r="C1284" s="71" t="s">
        <v>187</v>
      </c>
      <c r="D1284" s="71" t="s">
        <v>237</v>
      </c>
      <c r="E1284" s="71" t="s">
        <v>40</v>
      </c>
      <c r="F1284" s="71" t="s">
        <v>300</v>
      </c>
      <c r="G1284" s="88">
        <v>46293.692581018498</v>
      </c>
      <c r="H1284" s="89">
        <v>46293</v>
      </c>
      <c r="I1284" s="71" t="s">
        <v>328</v>
      </c>
      <c r="J1284" s="71">
        <v>0</v>
      </c>
      <c r="K1284" s="71" t="s">
        <v>302</v>
      </c>
      <c r="L1284" s="71">
        <f t="shared" si="180"/>
        <v>9</v>
      </c>
      <c r="M1284" s="71" t="str">
        <f>IFERROR(INDEX(KALENDER!$D$3:$D$132,MATCH(H1284,KALENDER!$A$3:$A$132,0)),"Di luar periode")</f>
        <v>Hari Kerja</v>
      </c>
      <c r="N1284" s="71">
        <f t="shared" si="181"/>
        <v>0</v>
      </c>
      <c r="O1284" s="71">
        <f t="shared" si="182"/>
        <v>1</v>
      </c>
      <c r="P1284" s="71">
        <f t="shared" si="183"/>
        <v>0</v>
      </c>
      <c r="Q1284" s="71">
        <f t="shared" si="184"/>
        <v>0</v>
      </c>
      <c r="R1284" s="71">
        <f t="shared" si="185"/>
        <v>0</v>
      </c>
      <c r="S1284" s="71">
        <f t="shared" si="186"/>
        <v>0</v>
      </c>
      <c r="T1284" s="71">
        <f t="shared" si="187"/>
        <v>0</v>
      </c>
      <c r="U1284" s="71">
        <f>IF(AND(N1284=1,V1284=1),IF(COUNTIFS(AKTIVITAS!$B$2:$B$3052,B1284,AKTIVITAS!$E$2:$E$3052,H1284)&gt;0,1,0),0)</f>
        <v>0</v>
      </c>
      <c r="V1284" s="71">
        <f>IFERROR(IF(AND(H1284&gt;=INDEX(PEMAGANG!$J$3:$J$36,MATCH(B1284,PEMAGANG!$C$3:$C$36,0)),H1284&lt;=INDEX(PEMAGANG!$K$3:$K$36,MATCH(B1284,PEMAGANG!$C$3:$C$36,0))),1,0),0)</f>
        <v>1</v>
      </c>
      <c r="W1284" s="71">
        <f t="shared" si="188"/>
        <v>0</v>
      </c>
    </row>
    <row r="1285" spans="1:23" x14ac:dyDescent="0.2">
      <c r="A1285" s="71" t="s">
        <v>235</v>
      </c>
      <c r="B1285" s="71" t="s">
        <v>236</v>
      </c>
      <c r="C1285" s="71" t="s">
        <v>187</v>
      </c>
      <c r="D1285" s="71" t="s">
        <v>237</v>
      </c>
      <c r="E1285" s="71" t="s">
        <v>40</v>
      </c>
      <c r="F1285" s="71" t="s">
        <v>298</v>
      </c>
      <c r="G1285" s="88">
        <v>46294.3124074074</v>
      </c>
      <c r="H1285" s="89">
        <v>46294</v>
      </c>
      <c r="I1285" s="71" t="s">
        <v>365</v>
      </c>
      <c r="J1285" s="71">
        <v>-0.999999999999996</v>
      </c>
      <c r="K1285" s="71" t="s">
        <v>302</v>
      </c>
      <c r="L1285" s="71">
        <f t="shared" si="180"/>
        <v>9</v>
      </c>
      <c r="M1285" s="71" t="str">
        <f>IFERROR(INDEX(KALENDER!$D$3:$D$132,MATCH(H1285,KALENDER!$A$3:$A$132,0)),"Di luar periode")</f>
        <v>Hari Kerja</v>
      </c>
      <c r="N1285" s="71">
        <f t="shared" si="181"/>
        <v>1</v>
      </c>
      <c r="O1285" s="71">
        <f t="shared" si="182"/>
        <v>1</v>
      </c>
      <c r="P1285" s="71">
        <f t="shared" si="183"/>
        <v>1</v>
      </c>
      <c r="Q1285" s="71">
        <f t="shared" si="184"/>
        <v>0</v>
      </c>
      <c r="R1285" s="71">
        <f t="shared" si="185"/>
        <v>0</v>
      </c>
      <c r="S1285" s="71">
        <f t="shared" si="186"/>
        <v>0</v>
      </c>
      <c r="T1285" s="71">
        <f t="shared" si="187"/>
        <v>0</v>
      </c>
      <c r="U1285" s="71">
        <f>IF(AND(N1285=1,V1285=1),IF(COUNTIFS(AKTIVITAS!$B$2:$B$3052,B1285,AKTIVITAS!$E$2:$E$3052,H1285)&gt;0,1,0),0)</f>
        <v>1</v>
      </c>
      <c r="V1285" s="71">
        <f>IFERROR(IF(AND(H1285&gt;=INDEX(PEMAGANG!$J$3:$J$36,MATCH(B1285,PEMAGANG!$C$3:$C$36,0)),H1285&lt;=INDEX(PEMAGANG!$K$3:$K$36,MATCH(B1285,PEMAGANG!$C$3:$C$36,0))),1,0),0)</f>
        <v>1</v>
      </c>
      <c r="W1285" s="71">
        <f t="shared" si="188"/>
        <v>1</v>
      </c>
    </row>
    <row r="1286" spans="1:23" x14ac:dyDescent="0.2">
      <c r="A1286" s="71" t="s">
        <v>235</v>
      </c>
      <c r="B1286" s="71" t="s">
        <v>236</v>
      </c>
      <c r="C1286" s="71" t="s">
        <v>187</v>
      </c>
      <c r="D1286" s="71" t="s">
        <v>237</v>
      </c>
      <c r="E1286" s="71" t="s">
        <v>40</v>
      </c>
      <c r="F1286" s="71" t="s">
        <v>300</v>
      </c>
      <c r="G1286" s="88">
        <v>46294.6901967593</v>
      </c>
      <c r="H1286" s="89">
        <v>46294</v>
      </c>
      <c r="I1286" s="71" t="s">
        <v>316</v>
      </c>
      <c r="J1286" s="71">
        <v>0</v>
      </c>
      <c r="K1286" s="71" t="s">
        <v>302</v>
      </c>
      <c r="L1286" s="71">
        <f t="shared" si="180"/>
        <v>9</v>
      </c>
      <c r="M1286" s="71" t="str">
        <f>IFERROR(INDEX(KALENDER!$D$3:$D$132,MATCH(H1286,KALENDER!$A$3:$A$132,0)),"Di luar periode")</f>
        <v>Hari Kerja</v>
      </c>
      <c r="N1286" s="71">
        <f t="shared" si="181"/>
        <v>0</v>
      </c>
      <c r="O1286" s="71">
        <f t="shared" si="182"/>
        <v>1</v>
      </c>
      <c r="P1286" s="71">
        <f t="shared" si="183"/>
        <v>0</v>
      </c>
      <c r="Q1286" s="71">
        <f t="shared" si="184"/>
        <v>0</v>
      </c>
      <c r="R1286" s="71">
        <f t="shared" si="185"/>
        <v>0</v>
      </c>
      <c r="S1286" s="71">
        <f t="shared" si="186"/>
        <v>0</v>
      </c>
      <c r="T1286" s="71">
        <f t="shared" si="187"/>
        <v>0</v>
      </c>
      <c r="U1286" s="71">
        <f>IF(AND(N1286=1,V1286=1),IF(COUNTIFS(AKTIVITAS!$B$2:$B$3052,B1286,AKTIVITAS!$E$2:$E$3052,H1286)&gt;0,1,0),0)</f>
        <v>0</v>
      </c>
      <c r="V1286" s="71">
        <f>IFERROR(IF(AND(H1286&gt;=INDEX(PEMAGANG!$J$3:$J$36,MATCH(B1286,PEMAGANG!$C$3:$C$36,0)),H1286&lt;=INDEX(PEMAGANG!$K$3:$K$36,MATCH(B1286,PEMAGANG!$C$3:$C$36,0))),1,0),0)</f>
        <v>1</v>
      </c>
      <c r="W1286" s="71">
        <f t="shared" si="188"/>
        <v>0</v>
      </c>
    </row>
    <row r="1287" spans="1:23" x14ac:dyDescent="0.2">
      <c r="A1287" s="71" t="s">
        <v>235</v>
      </c>
      <c r="B1287" s="71" t="s">
        <v>236</v>
      </c>
      <c r="C1287" s="71" t="s">
        <v>187</v>
      </c>
      <c r="D1287" s="71" t="s">
        <v>237</v>
      </c>
      <c r="E1287" s="71" t="s">
        <v>40</v>
      </c>
      <c r="F1287" s="71" t="s">
        <v>298</v>
      </c>
      <c r="G1287" s="88">
        <v>46295.312418981499</v>
      </c>
      <c r="H1287" s="89">
        <v>46295</v>
      </c>
      <c r="I1287" s="71" t="s">
        <v>365</v>
      </c>
      <c r="J1287" s="71">
        <v>-0.999999999999996</v>
      </c>
      <c r="K1287" s="71" t="s">
        <v>302</v>
      </c>
      <c r="L1287" s="71">
        <f t="shared" si="180"/>
        <v>9</v>
      </c>
      <c r="M1287" s="71" t="str">
        <f>IFERROR(INDEX(KALENDER!$D$3:$D$132,MATCH(H1287,KALENDER!$A$3:$A$132,0)),"Di luar periode")</f>
        <v>Hari Kerja</v>
      </c>
      <c r="N1287" s="71">
        <f t="shared" si="181"/>
        <v>1</v>
      </c>
      <c r="O1287" s="71">
        <f t="shared" si="182"/>
        <v>1</v>
      </c>
      <c r="P1287" s="71">
        <f t="shared" si="183"/>
        <v>1</v>
      </c>
      <c r="Q1287" s="71">
        <f t="shared" si="184"/>
        <v>0</v>
      </c>
      <c r="R1287" s="71">
        <f t="shared" si="185"/>
        <v>0</v>
      </c>
      <c r="S1287" s="71">
        <f t="shared" si="186"/>
        <v>0</v>
      </c>
      <c r="T1287" s="71">
        <f t="shared" si="187"/>
        <v>0</v>
      </c>
      <c r="U1287" s="71">
        <f>IF(AND(N1287=1,V1287=1),IF(COUNTIFS(AKTIVITAS!$B$2:$B$3052,B1287,AKTIVITAS!$E$2:$E$3052,H1287)&gt;0,1,0),0)</f>
        <v>1</v>
      </c>
      <c r="V1287" s="71">
        <f>IFERROR(IF(AND(H1287&gt;=INDEX(PEMAGANG!$J$3:$J$36,MATCH(B1287,PEMAGANG!$C$3:$C$36,0)),H1287&lt;=INDEX(PEMAGANG!$K$3:$K$36,MATCH(B1287,PEMAGANG!$C$3:$C$36,0))),1,0),0)</f>
        <v>1</v>
      </c>
      <c r="W1287" s="71">
        <f t="shared" si="188"/>
        <v>1</v>
      </c>
    </row>
    <row r="1288" spans="1:23" x14ac:dyDescent="0.2">
      <c r="A1288" s="71" t="s">
        <v>235</v>
      </c>
      <c r="B1288" s="71" t="s">
        <v>236</v>
      </c>
      <c r="C1288" s="71" t="s">
        <v>187</v>
      </c>
      <c r="D1288" s="71" t="s">
        <v>237</v>
      </c>
      <c r="E1288" s="71" t="s">
        <v>40</v>
      </c>
      <c r="F1288" s="71" t="s">
        <v>300</v>
      </c>
      <c r="G1288" s="88">
        <v>46295.688078703701</v>
      </c>
      <c r="H1288" s="89">
        <v>46295</v>
      </c>
      <c r="I1288" s="71" t="s">
        <v>330</v>
      </c>
      <c r="J1288" s="71">
        <v>0</v>
      </c>
      <c r="K1288" s="71" t="s">
        <v>302</v>
      </c>
      <c r="L1288" s="71">
        <f t="shared" si="180"/>
        <v>9</v>
      </c>
      <c r="M1288" s="71" t="str">
        <f>IFERROR(INDEX(KALENDER!$D$3:$D$132,MATCH(H1288,KALENDER!$A$3:$A$132,0)),"Di luar periode")</f>
        <v>Hari Kerja</v>
      </c>
      <c r="N1288" s="71">
        <f t="shared" si="181"/>
        <v>0</v>
      </c>
      <c r="O1288" s="71">
        <f t="shared" si="182"/>
        <v>1</v>
      </c>
      <c r="P1288" s="71">
        <f t="shared" si="183"/>
        <v>0</v>
      </c>
      <c r="Q1288" s="71">
        <f t="shared" si="184"/>
        <v>0</v>
      </c>
      <c r="R1288" s="71">
        <f t="shared" si="185"/>
        <v>0</v>
      </c>
      <c r="S1288" s="71">
        <f t="shared" si="186"/>
        <v>0</v>
      </c>
      <c r="T1288" s="71">
        <f t="shared" si="187"/>
        <v>0</v>
      </c>
      <c r="U1288" s="71">
        <f>IF(AND(N1288=1,V1288=1),IF(COUNTIFS(AKTIVITAS!$B$2:$B$3052,B1288,AKTIVITAS!$E$2:$E$3052,H1288)&gt;0,1,0),0)</f>
        <v>0</v>
      </c>
      <c r="V1288" s="71">
        <f>IFERROR(IF(AND(H1288&gt;=INDEX(PEMAGANG!$J$3:$J$36,MATCH(B1288,PEMAGANG!$C$3:$C$36,0)),H1288&lt;=INDEX(PEMAGANG!$K$3:$K$36,MATCH(B1288,PEMAGANG!$C$3:$C$36,0))),1,0),0)</f>
        <v>1</v>
      </c>
      <c r="W1288" s="71">
        <f t="shared" si="188"/>
        <v>0</v>
      </c>
    </row>
    <row r="1289" spans="1:23" x14ac:dyDescent="0.2">
      <c r="A1289" s="71" t="s">
        <v>218</v>
      </c>
      <c r="B1289" s="71" t="s">
        <v>219</v>
      </c>
      <c r="C1289" s="71" t="s">
        <v>221</v>
      </c>
      <c r="D1289" s="71" t="s">
        <v>220</v>
      </c>
      <c r="E1289" s="71" t="s">
        <v>345</v>
      </c>
      <c r="F1289" s="71" t="s">
        <v>298</v>
      </c>
      <c r="G1289" s="88">
        <v>46178.339467592603</v>
      </c>
      <c r="H1289" s="89">
        <v>46178</v>
      </c>
      <c r="I1289" s="71" t="s">
        <v>518</v>
      </c>
      <c r="J1289" s="71">
        <v>37.999999999999901</v>
      </c>
      <c r="K1289" s="71" t="s">
        <v>293</v>
      </c>
      <c r="L1289" s="71">
        <f t="shared" si="180"/>
        <v>6</v>
      </c>
      <c r="M1289" s="71" t="str">
        <f>IFERROR(INDEX(KALENDER!$D$3:$D$132,MATCH(H1289,KALENDER!$A$3:$A$132,0)),"Di luar periode")</f>
        <v>Hari Kerja</v>
      </c>
      <c r="N1289" s="71">
        <f t="shared" si="181"/>
        <v>1</v>
      </c>
      <c r="O1289" s="71">
        <f t="shared" si="182"/>
        <v>1</v>
      </c>
      <c r="P1289" s="71">
        <f t="shared" si="183"/>
        <v>1</v>
      </c>
      <c r="Q1289" s="71">
        <f t="shared" si="184"/>
        <v>0</v>
      </c>
      <c r="R1289" s="71">
        <f t="shared" si="185"/>
        <v>1</v>
      </c>
      <c r="S1289" s="71">
        <f t="shared" si="186"/>
        <v>37.999999999999901</v>
      </c>
      <c r="T1289" s="71">
        <f t="shared" si="187"/>
        <v>0</v>
      </c>
      <c r="U1289" s="71">
        <f>IF(AND(N1289=1,V1289=1),IF(COUNTIFS(AKTIVITAS!$B$2:$B$3052,B1289,AKTIVITAS!$E$2:$E$3052,H1289)&gt;0,1,0),0)</f>
        <v>0</v>
      </c>
      <c r="V1289" s="71">
        <f>IFERROR(IF(AND(H1289&gt;=INDEX(PEMAGANG!$J$3:$J$36,MATCH(B1289,PEMAGANG!$C$3:$C$36,0)),H1289&lt;=INDEX(PEMAGANG!$K$3:$K$36,MATCH(B1289,PEMAGANG!$C$3:$C$36,0))),1,0),0)</f>
        <v>1</v>
      </c>
      <c r="W1289" s="71">
        <f t="shared" si="188"/>
        <v>1</v>
      </c>
    </row>
    <row r="1290" spans="1:23" x14ac:dyDescent="0.2">
      <c r="A1290" s="71" t="s">
        <v>218</v>
      </c>
      <c r="B1290" s="71" t="s">
        <v>219</v>
      </c>
      <c r="C1290" s="71" t="s">
        <v>221</v>
      </c>
      <c r="D1290" s="71" t="s">
        <v>220</v>
      </c>
      <c r="E1290" s="71" t="s">
        <v>345</v>
      </c>
      <c r="F1290" s="71" t="s">
        <v>300</v>
      </c>
      <c r="G1290" s="88">
        <v>46178.708055555602</v>
      </c>
      <c r="H1290" s="89">
        <v>46178</v>
      </c>
      <c r="I1290" s="71" t="s">
        <v>364</v>
      </c>
      <c r="J1290" s="71">
        <v>0</v>
      </c>
      <c r="K1290" s="71" t="s">
        <v>302</v>
      </c>
      <c r="L1290" s="71">
        <f t="shared" si="180"/>
        <v>6</v>
      </c>
      <c r="M1290" s="71" t="str">
        <f>IFERROR(INDEX(KALENDER!$D$3:$D$132,MATCH(H1290,KALENDER!$A$3:$A$132,0)),"Di luar periode")</f>
        <v>Hari Kerja</v>
      </c>
      <c r="N1290" s="71">
        <f t="shared" si="181"/>
        <v>0</v>
      </c>
      <c r="O1290" s="71">
        <f t="shared" si="182"/>
        <v>1</v>
      </c>
      <c r="P1290" s="71">
        <f t="shared" si="183"/>
        <v>0</v>
      </c>
      <c r="Q1290" s="71">
        <f t="shared" si="184"/>
        <v>0</v>
      </c>
      <c r="R1290" s="71">
        <f t="shared" si="185"/>
        <v>0</v>
      </c>
      <c r="S1290" s="71">
        <f t="shared" si="186"/>
        <v>0</v>
      </c>
      <c r="T1290" s="71">
        <f t="shared" si="187"/>
        <v>0</v>
      </c>
      <c r="U1290" s="71">
        <f>IF(AND(N1290=1,V1290=1),IF(COUNTIFS(AKTIVITAS!$B$2:$B$3052,B1290,AKTIVITAS!$E$2:$E$3052,H1290)&gt;0,1,0),0)</f>
        <v>0</v>
      </c>
      <c r="V1290" s="71">
        <f>IFERROR(IF(AND(H1290&gt;=INDEX(PEMAGANG!$J$3:$J$36,MATCH(B1290,PEMAGANG!$C$3:$C$36,0)),H1290&lt;=INDEX(PEMAGANG!$K$3:$K$36,MATCH(B1290,PEMAGANG!$C$3:$C$36,0))),1,0),0)</f>
        <v>1</v>
      </c>
      <c r="W1290" s="71">
        <f t="shared" si="188"/>
        <v>0</v>
      </c>
    </row>
    <row r="1291" spans="1:23" x14ac:dyDescent="0.2">
      <c r="A1291" s="71" t="s">
        <v>218</v>
      </c>
      <c r="B1291" s="71" t="s">
        <v>219</v>
      </c>
      <c r="C1291" s="71" t="s">
        <v>221</v>
      </c>
      <c r="D1291" s="71" t="s">
        <v>220</v>
      </c>
      <c r="E1291" s="71" t="s">
        <v>345</v>
      </c>
      <c r="F1291" s="71" t="s">
        <v>298</v>
      </c>
      <c r="G1291" s="88">
        <v>46179.313599537003</v>
      </c>
      <c r="H1291" s="89">
        <v>46179</v>
      </c>
      <c r="I1291" s="71" t="s">
        <v>392</v>
      </c>
      <c r="J1291" s="71">
        <v>0.999999999999996</v>
      </c>
      <c r="K1291" s="71" t="s">
        <v>293</v>
      </c>
      <c r="L1291" s="71">
        <f t="shared" si="180"/>
        <v>6</v>
      </c>
      <c r="M1291" s="71" t="str">
        <f>IFERROR(INDEX(KALENDER!$D$3:$D$132,MATCH(H1291,KALENDER!$A$3:$A$132,0)),"Di luar periode")</f>
        <v>Libur (Sabtu/Minggu)</v>
      </c>
      <c r="N1291" s="71">
        <f t="shared" si="181"/>
        <v>1</v>
      </c>
      <c r="O1291" s="71">
        <f t="shared" si="182"/>
        <v>1</v>
      </c>
      <c r="P1291" s="71">
        <f t="shared" si="183"/>
        <v>0</v>
      </c>
      <c r="Q1291" s="71">
        <f t="shared" si="184"/>
        <v>1</v>
      </c>
      <c r="R1291" s="71">
        <f t="shared" si="185"/>
        <v>1</v>
      </c>
      <c r="S1291" s="71">
        <f t="shared" si="186"/>
        <v>0.999999999999996</v>
      </c>
      <c r="T1291" s="71">
        <f t="shared" si="187"/>
        <v>0</v>
      </c>
      <c r="U1291" s="71">
        <f>IF(AND(N1291=1,V1291=1),IF(COUNTIFS(AKTIVITAS!$B$2:$B$3052,B1291,AKTIVITAS!$E$2:$E$3052,H1291)&gt;0,1,0),0)</f>
        <v>1</v>
      </c>
      <c r="V1291" s="71">
        <f>IFERROR(IF(AND(H1291&gt;=INDEX(PEMAGANG!$J$3:$J$36,MATCH(B1291,PEMAGANG!$C$3:$C$36,0)),H1291&lt;=INDEX(PEMAGANG!$K$3:$K$36,MATCH(B1291,PEMAGANG!$C$3:$C$36,0))),1,0),0)</f>
        <v>1</v>
      </c>
      <c r="W1291" s="71">
        <f t="shared" si="188"/>
        <v>1</v>
      </c>
    </row>
    <row r="1292" spans="1:23" x14ac:dyDescent="0.2">
      <c r="A1292" s="71" t="s">
        <v>218</v>
      </c>
      <c r="B1292" s="71" t="s">
        <v>219</v>
      </c>
      <c r="C1292" s="71" t="s">
        <v>221</v>
      </c>
      <c r="D1292" s="71" t="s">
        <v>220</v>
      </c>
      <c r="E1292" s="71" t="s">
        <v>345</v>
      </c>
      <c r="F1292" s="71" t="s">
        <v>300</v>
      </c>
      <c r="G1292" s="88">
        <v>46179.592881944503</v>
      </c>
      <c r="H1292" s="89">
        <v>46179</v>
      </c>
      <c r="I1292" s="71" t="s">
        <v>519</v>
      </c>
      <c r="J1292" s="71">
        <v>0</v>
      </c>
      <c r="K1292" s="71" t="s">
        <v>302</v>
      </c>
      <c r="L1292" s="71">
        <f t="shared" si="180"/>
        <v>6</v>
      </c>
      <c r="M1292" s="71" t="str">
        <f>IFERROR(INDEX(KALENDER!$D$3:$D$132,MATCH(H1292,KALENDER!$A$3:$A$132,0)),"Di luar periode")</f>
        <v>Libur (Sabtu/Minggu)</v>
      </c>
      <c r="N1292" s="71">
        <f t="shared" si="181"/>
        <v>0</v>
      </c>
      <c r="O1292" s="71">
        <f t="shared" si="182"/>
        <v>1</v>
      </c>
      <c r="P1292" s="71">
        <f t="shared" si="183"/>
        <v>0</v>
      </c>
      <c r="Q1292" s="71">
        <f t="shared" si="184"/>
        <v>0</v>
      </c>
      <c r="R1292" s="71">
        <f t="shared" si="185"/>
        <v>0</v>
      </c>
      <c r="S1292" s="71">
        <f t="shared" si="186"/>
        <v>0</v>
      </c>
      <c r="T1292" s="71">
        <f t="shared" si="187"/>
        <v>0</v>
      </c>
      <c r="U1292" s="71">
        <f>IF(AND(N1292=1,V1292=1),IF(COUNTIFS(AKTIVITAS!$B$2:$B$3052,B1292,AKTIVITAS!$E$2:$E$3052,H1292)&gt;0,1,0),0)</f>
        <v>0</v>
      </c>
      <c r="V1292" s="71">
        <f>IFERROR(IF(AND(H1292&gt;=INDEX(PEMAGANG!$J$3:$J$36,MATCH(B1292,PEMAGANG!$C$3:$C$36,0)),H1292&lt;=INDEX(PEMAGANG!$K$3:$K$36,MATCH(B1292,PEMAGANG!$C$3:$C$36,0))),1,0),0)</f>
        <v>1</v>
      </c>
      <c r="W1292" s="71">
        <f t="shared" si="188"/>
        <v>0</v>
      </c>
    </row>
    <row r="1293" spans="1:23" x14ac:dyDescent="0.2">
      <c r="A1293" s="71" t="s">
        <v>218</v>
      </c>
      <c r="B1293" s="71" t="s">
        <v>219</v>
      </c>
      <c r="C1293" s="71" t="s">
        <v>221</v>
      </c>
      <c r="D1293" s="71" t="s">
        <v>220</v>
      </c>
      <c r="E1293" s="71" t="s">
        <v>345</v>
      </c>
      <c r="F1293" s="71" t="s">
        <v>298</v>
      </c>
      <c r="G1293" s="88">
        <v>46181.313553240703</v>
      </c>
      <c r="H1293" s="89">
        <v>46181</v>
      </c>
      <c r="I1293" s="71" t="s">
        <v>392</v>
      </c>
      <c r="J1293" s="71">
        <v>0.999999999999996</v>
      </c>
      <c r="K1293" s="71" t="s">
        <v>293</v>
      </c>
      <c r="L1293" s="71">
        <f t="shared" si="180"/>
        <v>6</v>
      </c>
      <c r="M1293" s="71" t="str">
        <f>IFERROR(INDEX(KALENDER!$D$3:$D$132,MATCH(H1293,KALENDER!$A$3:$A$132,0)),"Di luar periode")</f>
        <v>Hari Kerja</v>
      </c>
      <c r="N1293" s="71">
        <f t="shared" si="181"/>
        <v>1</v>
      </c>
      <c r="O1293" s="71">
        <f t="shared" si="182"/>
        <v>1</v>
      </c>
      <c r="P1293" s="71">
        <f t="shared" si="183"/>
        <v>1</v>
      </c>
      <c r="Q1293" s="71">
        <f t="shared" si="184"/>
        <v>0</v>
      </c>
      <c r="R1293" s="71">
        <f t="shared" si="185"/>
        <v>1</v>
      </c>
      <c r="S1293" s="71">
        <f t="shared" si="186"/>
        <v>0.999999999999996</v>
      </c>
      <c r="T1293" s="71">
        <f t="shared" si="187"/>
        <v>0</v>
      </c>
      <c r="U1293" s="71">
        <f>IF(AND(N1293=1,V1293=1),IF(COUNTIFS(AKTIVITAS!$B$2:$B$3052,B1293,AKTIVITAS!$E$2:$E$3052,H1293)&gt;0,1,0),0)</f>
        <v>1</v>
      </c>
      <c r="V1293" s="71">
        <f>IFERROR(IF(AND(H1293&gt;=INDEX(PEMAGANG!$J$3:$J$36,MATCH(B1293,PEMAGANG!$C$3:$C$36,0)),H1293&lt;=INDEX(PEMAGANG!$K$3:$K$36,MATCH(B1293,PEMAGANG!$C$3:$C$36,0))),1,0),0)</f>
        <v>1</v>
      </c>
      <c r="W1293" s="71">
        <f t="shared" si="188"/>
        <v>1</v>
      </c>
    </row>
    <row r="1294" spans="1:23" x14ac:dyDescent="0.2">
      <c r="A1294" s="71" t="s">
        <v>218</v>
      </c>
      <c r="B1294" s="71" t="s">
        <v>219</v>
      </c>
      <c r="C1294" s="71" t="s">
        <v>221</v>
      </c>
      <c r="D1294" s="71" t="s">
        <v>220</v>
      </c>
      <c r="E1294" s="71" t="s">
        <v>345</v>
      </c>
      <c r="F1294" s="71" t="s">
        <v>300</v>
      </c>
      <c r="G1294" s="88">
        <v>46181.649768518502</v>
      </c>
      <c r="H1294" s="89">
        <v>46181</v>
      </c>
      <c r="I1294" s="71" t="s">
        <v>520</v>
      </c>
      <c r="J1294" s="71">
        <v>0</v>
      </c>
      <c r="K1294" s="71" t="s">
        <v>302</v>
      </c>
      <c r="L1294" s="71">
        <f t="shared" si="180"/>
        <v>6</v>
      </c>
      <c r="M1294" s="71" t="str">
        <f>IFERROR(INDEX(KALENDER!$D$3:$D$132,MATCH(H1294,KALENDER!$A$3:$A$132,0)),"Di luar periode")</f>
        <v>Hari Kerja</v>
      </c>
      <c r="N1294" s="71">
        <f t="shared" si="181"/>
        <v>0</v>
      </c>
      <c r="O1294" s="71">
        <f t="shared" si="182"/>
        <v>1</v>
      </c>
      <c r="P1294" s="71">
        <f t="shared" si="183"/>
        <v>0</v>
      </c>
      <c r="Q1294" s="71">
        <f t="shared" si="184"/>
        <v>0</v>
      </c>
      <c r="R1294" s="71">
        <f t="shared" si="185"/>
        <v>0</v>
      </c>
      <c r="S1294" s="71">
        <f t="shared" si="186"/>
        <v>0</v>
      </c>
      <c r="T1294" s="71">
        <f t="shared" si="187"/>
        <v>0</v>
      </c>
      <c r="U1294" s="71">
        <f>IF(AND(N1294=1,V1294=1),IF(COUNTIFS(AKTIVITAS!$B$2:$B$3052,B1294,AKTIVITAS!$E$2:$E$3052,H1294)&gt;0,1,0),0)</f>
        <v>0</v>
      </c>
      <c r="V1294" s="71">
        <f>IFERROR(IF(AND(H1294&gt;=INDEX(PEMAGANG!$J$3:$J$36,MATCH(B1294,PEMAGANG!$C$3:$C$36,0)),H1294&lt;=INDEX(PEMAGANG!$K$3:$K$36,MATCH(B1294,PEMAGANG!$C$3:$C$36,0))),1,0),0)</f>
        <v>1</v>
      </c>
      <c r="W1294" s="71">
        <f t="shared" si="188"/>
        <v>0</v>
      </c>
    </row>
    <row r="1295" spans="1:23" x14ac:dyDescent="0.2">
      <c r="A1295" s="71" t="s">
        <v>218</v>
      </c>
      <c r="B1295" s="71" t="s">
        <v>219</v>
      </c>
      <c r="C1295" s="71" t="s">
        <v>221</v>
      </c>
      <c r="D1295" s="71" t="s">
        <v>220</v>
      </c>
      <c r="E1295" s="71" t="s">
        <v>345</v>
      </c>
      <c r="F1295" s="71" t="s">
        <v>298</v>
      </c>
      <c r="G1295" s="88">
        <v>46182.3159606482</v>
      </c>
      <c r="H1295" s="89">
        <v>46182</v>
      </c>
      <c r="I1295" s="71" t="s">
        <v>373</v>
      </c>
      <c r="J1295" s="71">
        <v>3.9999999999999898</v>
      </c>
      <c r="K1295" s="71" t="s">
        <v>293</v>
      </c>
      <c r="L1295" s="71">
        <f t="shared" si="180"/>
        <v>6</v>
      </c>
      <c r="M1295" s="71" t="str">
        <f>IFERROR(INDEX(KALENDER!$D$3:$D$132,MATCH(H1295,KALENDER!$A$3:$A$132,0)),"Di luar periode")</f>
        <v>Hari Kerja</v>
      </c>
      <c r="N1295" s="71">
        <f t="shared" si="181"/>
        <v>1</v>
      </c>
      <c r="O1295" s="71">
        <f t="shared" si="182"/>
        <v>1</v>
      </c>
      <c r="P1295" s="71">
        <f t="shared" si="183"/>
        <v>1</v>
      </c>
      <c r="Q1295" s="71">
        <f t="shared" si="184"/>
        <v>0</v>
      </c>
      <c r="R1295" s="71">
        <f t="shared" si="185"/>
        <v>1</v>
      </c>
      <c r="S1295" s="71">
        <f t="shared" si="186"/>
        <v>3.9999999999999898</v>
      </c>
      <c r="T1295" s="71">
        <f t="shared" si="187"/>
        <v>0</v>
      </c>
      <c r="U1295" s="71">
        <f>IF(AND(N1295=1,V1295=1),IF(COUNTIFS(AKTIVITAS!$B$2:$B$3052,B1295,AKTIVITAS!$E$2:$E$3052,H1295)&gt;0,1,0),0)</f>
        <v>1</v>
      </c>
      <c r="V1295" s="71">
        <f>IFERROR(IF(AND(H1295&gt;=INDEX(PEMAGANG!$J$3:$J$36,MATCH(B1295,PEMAGANG!$C$3:$C$36,0)),H1295&lt;=INDEX(PEMAGANG!$K$3:$K$36,MATCH(B1295,PEMAGANG!$C$3:$C$36,0))),1,0),0)</f>
        <v>1</v>
      </c>
      <c r="W1295" s="71">
        <f t="shared" si="188"/>
        <v>1</v>
      </c>
    </row>
    <row r="1296" spans="1:23" x14ac:dyDescent="0.2">
      <c r="A1296" s="71" t="s">
        <v>218</v>
      </c>
      <c r="B1296" s="71" t="s">
        <v>219</v>
      </c>
      <c r="C1296" s="71" t="s">
        <v>221</v>
      </c>
      <c r="D1296" s="71" t="s">
        <v>220</v>
      </c>
      <c r="E1296" s="71" t="s">
        <v>345</v>
      </c>
      <c r="F1296" s="71" t="s">
        <v>300</v>
      </c>
      <c r="G1296" s="88">
        <v>46182.653333333299</v>
      </c>
      <c r="H1296" s="89">
        <v>46182</v>
      </c>
      <c r="I1296" s="71" t="s">
        <v>521</v>
      </c>
      <c r="J1296" s="71">
        <v>0</v>
      </c>
      <c r="K1296" s="71" t="s">
        <v>302</v>
      </c>
      <c r="L1296" s="71">
        <f t="shared" si="180"/>
        <v>6</v>
      </c>
      <c r="M1296" s="71" t="str">
        <f>IFERROR(INDEX(KALENDER!$D$3:$D$132,MATCH(H1296,KALENDER!$A$3:$A$132,0)),"Di luar periode")</f>
        <v>Hari Kerja</v>
      </c>
      <c r="N1296" s="71">
        <f t="shared" si="181"/>
        <v>0</v>
      </c>
      <c r="O1296" s="71">
        <f t="shared" si="182"/>
        <v>1</v>
      </c>
      <c r="P1296" s="71">
        <f t="shared" si="183"/>
        <v>0</v>
      </c>
      <c r="Q1296" s="71">
        <f t="shared" si="184"/>
        <v>0</v>
      </c>
      <c r="R1296" s="71">
        <f t="shared" si="185"/>
        <v>0</v>
      </c>
      <c r="S1296" s="71">
        <f t="shared" si="186"/>
        <v>0</v>
      </c>
      <c r="T1296" s="71">
        <f t="shared" si="187"/>
        <v>0</v>
      </c>
      <c r="U1296" s="71">
        <f>IF(AND(N1296=1,V1296=1),IF(COUNTIFS(AKTIVITAS!$B$2:$B$3052,B1296,AKTIVITAS!$E$2:$E$3052,H1296)&gt;0,1,0),0)</f>
        <v>0</v>
      </c>
      <c r="V1296" s="71">
        <f>IFERROR(IF(AND(H1296&gt;=INDEX(PEMAGANG!$J$3:$J$36,MATCH(B1296,PEMAGANG!$C$3:$C$36,0)),H1296&lt;=INDEX(PEMAGANG!$K$3:$K$36,MATCH(B1296,PEMAGANG!$C$3:$C$36,0))),1,0),0)</f>
        <v>1</v>
      </c>
      <c r="W1296" s="71">
        <f t="shared" si="188"/>
        <v>0</v>
      </c>
    </row>
    <row r="1297" spans="1:23" x14ac:dyDescent="0.2">
      <c r="A1297" s="71" t="s">
        <v>218</v>
      </c>
      <c r="B1297" s="71" t="s">
        <v>219</v>
      </c>
      <c r="C1297" s="71" t="s">
        <v>221</v>
      </c>
      <c r="D1297" s="71" t="s">
        <v>220</v>
      </c>
      <c r="E1297" s="71" t="s">
        <v>345</v>
      </c>
      <c r="F1297" s="71" t="s">
        <v>298</v>
      </c>
      <c r="G1297" s="88">
        <v>46183.318969907399</v>
      </c>
      <c r="H1297" s="89">
        <v>46183</v>
      </c>
      <c r="I1297" s="71" t="s">
        <v>515</v>
      </c>
      <c r="J1297" s="71">
        <v>9.0000000000000497</v>
      </c>
      <c r="K1297" s="71" t="s">
        <v>293</v>
      </c>
      <c r="L1297" s="71">
        <f t="shared" si="180"/>
        <v>6</v>
      </c>
      <c r="M1297" s="71" t="str">
        <f>IFERROR(INDEX(KALENDER!$D$3:$D$132,MATCH(H1297,KALENDER!$A$3:$A$132,0)),"Di luar periode")</f>
        <v>WFH</v>
      </c>
      <c r="N1297" s="71">
        <f t="shared" si="181"/>
        <v>1</v>
      </c>
      <c r="O1297" s="71">
        <f t="shared" si="182"/>
        <v>1</v>
      </c>
      <c r="P1297" s="71">
        <f t="shared" si="183"/>
        <v>0</v>
      </c>
      <c r="Q1297" s="71">
        <f t="shared" si="184"/>
        <v>1</v>
      </c>
      <c r="R1297" s="71">
        <f t="shared" si="185"/>
        <v>1</v>
      </c>
      <c r="S1297" s="71">
        <f t="shared" si="186"/>
        <v>9.0000000000000497</v>
      </c>
      <c r="T1297" s="71">
        <f t="shared" si="187"/>
        <v>0</v>
      </c>
      <c r="U1297" s="71">
        <f>IF(AND(N1297=1,V1297=1),IF(COUNTIFS(AKTIVITAS!$B$2:$B$3052,B1297,AKTIVITAS!$E$2:$E$3052,H1297)&gt;0,1,0),0)</f>
        <v>1</v>
      </c>
      <c r="V1297" s="71">
        <f>IFERROR(IF(AND(H1297&gt;=INDEX(PEMAGANG!$J$3:$J$36,MATCH(B1297,PEMAGANG!$C$3:$C$36,0)),H1297&lt;=INDEX(PEMAGANG!$K$3:$K$36,MATCH(B1297,PEMAGANG!$C$3:$C$36,0))),1,0),0)</f>
        <v>1</v>
      </c>
      <c r="W1297" s="71">
        <f t="shared" si="188"/>
        <v>1</v>
      </c>
    </row>
    <row r="1298" spans="1:23" x14ac:dyDescent="0.2">
      <c r="A1298" s="71" t="s">
        <v>218</v>
      </c>
      <c r="B1298" s="71" t="s">
        <v>219</v>
      </c>
      <c r="C1298" s="71" t="s">
        <v>221</v>
      </c>
      <c r="D1298" s="71" t="s">
        <v>220</v>
      </c>
      <c r="E1298" s="71" t="s">
        <v>345</v>
      </c>
      <c r="F1298" s="71" t="s">
        <v>300</v>
      </c>
      <c r="G1298" s="88">
        <v>46183.656006944497</v>
      </c>
      <c r="H1298" s="89">
        <v>46183</v>
      </c>
      <c r="I1298" s="71" t="s">
        <v>522</v>
      </c>
      <c r="J1298" s="71">
        <v>0</v>
      </c>
      <c r="K1298" s="71" t="s">
        <v>302</v>
      </c>
      <c r="L1298" s="71">
        <f t="shared" si="180"/>
        <v>6</v>
      </c>
      <c r="M1298" s="71" t="str">
        <f>IFERROR(INDEX(KALENDER!$D$3:$D$132,MATCH(H1298,KALENDER!$A$3:$A$132,0)),"Di luar periode")</f>
        <v>WFH</v>
      </c>
      <c r="N1298" s="71">
        <f t="shared" si="181"/>
        <v>0</v>
      </c>
      <c r="O1298" s="71">
        <f t="shared" si="182"/>
        <v>1</v>
      </c>
      <c r="P1298" s="71">
        <f t="shared" si="183"/>
        <v>0</v>
      </c>
      <c r="Q1298" s="71">
        <f t="shared" si="184"/>
        <v>0</v>
      </c>
      <c r="R1298" s="71">
        <f t="shared" si="185"/>
        <v>0</v>
      </c>
      <c r="S1298" s="71">
        <f t="shared" si="186"/>
        <v>0</v>
      </c>
      <c r="T1298" s="71">
        <f t="shared" si="187"/>
        <v>0</v>
      </c>
      <c r="U1298" s="71">
        <f>IF(AND(N1298=1,V1298=1),IF(COUNTIFS(AKTIVITAS!$B$2:$B$3052,B1298,AKTIVITAS!$E$2:$E$3052,H1298)&gt;0,1,0),0)</f>
        <v>0</v>
      </c>
      <c r="V1298" s="71">
        <f>IFERROR(IF(AND(H1298&gt;=INDEX(PEMAGANG!$J$3:$J$36,MATCH(B1298,PEMAGANG!$C$3:$C$36,0)),H1298&lt;=INDEX(PEMAGANG!$K$3:$K$36,MATCH(B1298,PEMAGANG!$C$3:$C$36,0))),1,0),0)</f>
        <v>1</v>
      </c>
      <c r="W1298" s="71">
        <f t="shared" si="188"/>
        <v>0</v>
      </c>
    </row>
    <row r="1299" spans="1:23" x14ac:dyDescent="0.2">
      <c r="A1299" s="71" t="s">
        <v>218</v>
      </c>
      <c r="B1299" s="71" t="s">
        <v>219</v>
      </c>
      <c r="C1299" s="71" t="s">
        <v>221</v>
      </c>
      <c r="D1299" s="71" t="s">
        <v>220</v>
      </c>
      <c r="E1299" s="71" t="s">
        <v>345</v>
      </c>
      <c r="F1299" s="71" t="s">
        <v>298</v>
      </c>
      <c r="G1299" s="88">
        <v>46184.3148842593</v>
      </c>
      <c r="H1299" s="89">
        <v>46184</v>
      </c>
      <c r="I1299" s="71" t="s">
        <v>383</v>
      </c>
      <c r="J1299" s="71">
        <v>2.9999999999999898</v>
      </c>
      <c r="K1299" s="71" t="s">
        <v>293</v>
      </c>
      <c r="L1299" s="71">
        <f t="shared" si="180"/>
        <v>6</v>
      </c>
      <c r="M1299" s="71" t="str">
        <f>IFERROR(INDEX(KALENDER!$D$3:$D$132,MATCH(H1299,KALENDER!$A$3:$A$132,0)),"Di luar periode")</f>
        <v>Hari Kerja</v>
      </c>
      <c r="N1299" s="71">
        <f t="shared" si="181"/>
        <v>1</v>
      </c>
      <c r="O1299" s="71">
        <f t="shared" si="182"/>
        <v>1</v>
      </c>
      <c r="P1299" s="71">
        <f t="shared" si="183"/>
        <v>1</v>
      </c>
      <c r="Q1299" s="71">
        <f t="shared" si="184"/>
        <v>0</v>
      </c>
      <c r="R1299" s="71">
        <f t="shared" si="185"/>
        <v>1</v>
      </c>
      <c r="S1299" s="71">
        <f t="shared" si="186"/>
        <v>2.9999999999999898</v>
      </c>
      <c r="T1299" s="71">
        <f t="shared" si="187"/>
        <v>0</v>
      </c>
      <c r="U1299" s="71">
        <f>IF(AND(N1299=1,V1299=1),IF(COUNTIFS(AKTIVITAS!$B$2:$B$3052,B1299,AKTIVITAS!$E$2:$E$3052,H1299)&gt;0,1,0),0)</f>
        <v>1</v>
      </c>
      <c r="V1299" s="71">
        <f>IFERROR(IF(AND(H1299&gt;=INDEX(PEMAGANG!$J$3:$J$36,MATCH(B1299,PEMAGANG!$C$3:$C$36,0)),H1299&lt;=INDEX(PEMAGANG!$K$3:$K$36,MATCH(B1299,PEMAGANG!$C$3:$C$36,0))),1,0),0)</f>
        <v>1</v>
      </c>
      <c r="W1299" s="71">
        <f t="shared" si="188"/>
        <v>1</v>
      </c>
    </row>
    <row r="1300" spans="1:23" x14ac:dyDescent="0.2">
      <c r="A1300" s="71" t="s">
        <v>218</v>
      </c>
      <c r="B1300" s="71" t="s">
        <v>219</v>
      </c>
      <c r="C1300" s="71" t="s">
        <v>221</v>
      </c>
      <c r="D1300" s="71" t="s">
        <v>220</v>
      </c>
      <c r="E1300" s="71" t="s">
        <v>345</v>
      </c>
      <c r="F1300" s="71" t="s">
        <v>300</v>
      </c>
      <c r="G1300" s="88">
        <v>46184.740601851903</v>
      </c>
      <c r="H1300" s="89">
        <v>46184</v>
      </c>
      <c r="I1300" s="71" t="s">
        <v>523</v>
      </c>
      <c r="J1300" s="71">
        <v>0</v>
      </c>
      <c r="K1300" s="71" t="s">
        <v>302</v>
      </c>
      <c r="L1300" s="71">
        <f t="shared" si="180"/>
        <v>6</v>
      </c>
      <c r="M1300" s="71" t="str">
        <f>IFERROR(INDEX(KALENDER!$D$3:$D$132,MATCH(H1300,KALENDER!$A$3:$A$132,0)),"Di luar periode")</f>
        <v>Hari Kerja</v>
      </c>
      <c r="N1300" s="71">
        <f t="shared" si="181"/>
        <v>0</v>
      </c>
      <c r="O1300" s="71">
        <f t="shared" si="182"/>
        <v>1</v>
      </c>
      <c r="P1300" s="71">
        <f t="shared" si="183"/>
        <v>0</v>
      </c>
      <c r="Q1300" s="71">
        <f t="shared" si="184"/>
        <v>0</v>
      </c>
      <c r="R1300" s="71">
        <f t="shared" si="185"/>
        <v>0</v>
      </c>
      <c r="S1300" s="71">
        <f t="shared" si="186"/>
        <v>0</v>
      </c>
      <c r="T1300" s="71">
        <f t="shared" si="187"/>
        <v>0</v>
      </c>
      <c r="U1300" s="71">
        <f>IF(AND(N1300=1,V1300=1),IF(COUNTIFS(AKTIVITAS!$B$2:$B$3052,B1300,AKTIVITAS!$E$2:$E$3052,H1300)&gt;0,1,0),0)</f>
        <v>0</v>
      </c>
      <c r="V1300" s="71">
        <f>IFERROR(IF(AND(H1300&gt;=INDEX(PEMAGANG!$J$3:$J$36,MATCH(B1300,PEMAGANG!$C$3:$C$36,0)),H1300&lt;=INDEX(PEMAGANG!$K$3:$K$36,MATCH(B1300,PEMAGANG!$C$3:$C$36,0))),1,0),0)</f>
        <v>1</v>
      </c>
      <c r="W1300" s="71">
        <f t="shared" si="188"/>
        <v>0</v>
      </c>
    </row>
    <row r="1301" spans="1:23" x14ac:dyDescent="0.2">
      <c r="A1301" s="71" t="s">
        <v>218</v>
      </c>
      <c r="B1301" s="71" t="s">
        <v>219</v>
      </c>
      <c r="C1301" s="71" t="s">
        <v>221</v>
      </c>
      <c r="D1301" s="71" t="s">
        <v>220</v>
      </c>
      <c r="E1301" s="71" t="s">
        <v>345</v>
      </c>
      <c r="F1301" s="71" t="s">
        <v>298</v>
      </c>
      <c r="G1301" s="88">
        <v>46185.318159722199</v>
      </c>
      <c r="H1301" s="89">
        <v>46185</v>
      </c>
      <c r="I1301" s="71" t="s">
        <v>410</v>
      </c>
      <c r="J1301" s="71">
        <v>7.9999999999999698</v>
      </c>
      <c r="K1301" s="71" t="s">
        <v>293</v>
      </c>
      <c r="L1301" s="71">
        <f t="shared" si="180"/>
        <v>6</v>
      </c>
      <c r="M1301" s="71" t="str">
        <f>IFERROR(INDEX(KALENDER!$D$3:$D$132,MATCH(H1301,KALENDER!$A$3:$A$132,0)),"Di luar periode")</f>
        <v>Hari Kerja</v>
      </c>
      <c r="N1301" s="71">
        <f t="shared" si="181"/>
        <v>1</v>
      </c>
      <c r="O1301" s="71">
        <f t="shared" si="182"/>
        <v>1</v>
      </c>
      <c r="P1301" s="71">
        <f t="shared" si="183"/>
        <v>1</v>
      </c>
      <c r="Q1301" s="71">
        <f t="shared" si="184"/>
        <v>0</v>
      </c>
      <c r="R1301" s="71">
        <f t="shared" si="185"/>
        <v>1</v>
      </c>
      <c r="S1301" s="71">
        <f t="shared" si="186"/>
        <v>7.9999999999999698</v>
      </c>
      <c r="T1301" s="71">
        <f t="shared" si="187"/>
        <v>0</v>
      </c>
      <c r="U1301" s="71">
        <f>IF(AND(N1301=1,V1301=1),IF(COUNTIFS(AKTIVITAS!$B$2:$B$3052,B1301,AKTIVITAS!$E$2:$E$3052,H1301)&gt;0,1,0),0)</f>
        <v>1</v>
      </c>
      <c r="V1301" s="71">
        <f>IFERROR(IF(AND(H1301&gt;=INDEX(PEMAGANG!$J$3:$J$36,MATCH(B1301,PEMAGANG!$C$3:$C$36,0)),H1301&lt;=INDEX(PEMAGANG!$K$3:$K$36,MATCH(B1301,PEMAGANG!$C$3:$C$36,0))),1,0),0)</f>
        <v>1</v>
      </c>
      <c r="W1301" s="71">
        <f t="shared" si="188"/>
        <v>1</v>
      </c>
    </row>
    <row r="1302" spans="1:23" x14ac:dyDescent="0.2">
      <c r="A1302" s="71" t="s">
        <v>218</v>
      </c>
      <c r="B1302" s="71" t="s">
        <v>219</v>
      </c>
      <c r="C1302" s="71" t="s">
        <v>221</v>
      </c>
      <c r="D1302" s="71" t="s">
        <v>220</v>
      </c>
      <c r="E1302" s="71" t="s">
        <v>345</v>
      </c>
      <c r="F1302" s="71" t="s">
        <v>300</v>
      </c>
      <c r="G1302" s="88">
        <v>46185.6610069444</v>
      </c>
      <c r="H1302" s="89">
        <v>46185</v>
      </c>
      <c r="I1302" s="71" t="s">
        <v>524</v>
      </c>
      <c r="J1302" s="71">
        <v>0</v>
      </c>
      <c r="K1302" s="71" t="s">
        <v>302</v>
      </c>
      <c r="L1302" s="71">
        <f t="shared" si="180"/>
        <v>6</v>
      </c>
      <c r="M1302" s="71" t="str">
        <f>IFERROR(INDEX(KALENDER!$D$3:$D$132,MATCH(H1302,KALENDER!$A$3:$A$132,0)),"Di luar periode")</f>
        <v>Hari Kerja</v>
      </c>
      <c r="N1302" s="71">
        <f t="shared" si="181"/>
        <v>0</v>
      </c>
      <c r="O1302" s="71">
        <f t="shared" si="182"/>
        <v>1</v>
      </c>
      <c r="P1302" s="71">
        <f t="shared" si="183"/>
        <v>0</v>
      </c>
      <c r="Q1302" s="71">
        <f t="shared" si="184"/>
        <v>0</v>
      </c>
      <c r="R1302" s="71">
        <f t="shared" si="185"/>
        <v>0</v>
      </c>
      <c r="S1302" s="71">
        <f t="shared" si="186"/>
        <v>0</v>
      </c>
      <c r="T1302" s="71">
        <f t="shared" si="187"/>
        <v>0</v>
      </c>
      <c r="U1302" s="71">
        <f>IF(AND(N1302=1,V1302=1),IF(COUNTIFS(AKTIVITAS!$B$2:$B$3052,B1302,AKTIVITAS!$E$2:$E$3052,H1302)&gt;0,1,0),0)</f>
        <v>0</v>
      </c>
      <c r="V1302" s="71">
        <f>IFERROR(IF(AND(H1302&gt;=INDEX(PEMAGANG!$J$3:$J$36,MATCH(B1302,PEMAGANG!$C$3:$C$36,0)),H1302&lt;=INDEX(PEMAGANG!$K$3:$K$36,MATCH(B1302,PEMAGANG!$C$3:$C$36,0))),1,0),0)</f>
        <v>1</v>
      </c>
      <c r="W1302" s="71">
        <f t="shared" si="188"/>
        <v>0</v>
      </c>
    </row>
    <row r="1303" spans="1:23" x14ac:dyDescent="0.2">
      <c r="A1303" s="71" t="s">
        <v>218</v>
      </c>
      <c r="B1303" s="71" t="s">
        <v>219</v>
      </c>
      <c r="C1303" s="71" t="s">
        <v>221</v>
      </c>
      <c r="D1303" s="71" t="s">
        <v>220</v>
      </c>
      <c r="E1303" s="71" t="s">
        <v>345</v>
      </c>
      <c r="F1303" s="71" t="s">
        <v>298</v>
      </c>
      <c r="G1303" s="88">
        <v>46186.316041666701</v>
      </c>
      <c r="H1303" s="89">
        <v>46186</v>
      </c>
      <c r="I1303" s="71" t="s">
        <v>339</v>
      </c>
      <c r="J1303" s="71">
        <v>4.9999999999999796</v>
      </c>
      <c r="K1303" s="71" t="s">
        <v>293</v>
      </c>
      <c r="L1303" s="71">
        <f t="shared" si="180"/>
        <v>6</v>
      </c>
      <c r="M1303" s="71" t="str">
        <f>IFERROR(INDEX(KALENDER!$D$3:$D$132,MATCH(H1303,KALENDER!$A$3:$A$132,0)),"Di luar periode")</f>
        <v>Libur (Sabtu/Minggu)</v>
      </c>
      <c r="N1303" s="71">
        <f t="shared" si="181"/>
        <v>1</v>
      </c>
      <c r="O1303" s="71">
        <f t="shared" si="182"/>
        <v>1</v>
      </c>
      <c r="P1303" s="71">
        <f t="shared" si="183"/>
        <v>0</v>
      </c>
      <c r="Q1303" s="71">
        <f t="shared" si="184"/>
        <v>1</v>
      </c>
      <c r="R1303" s="71">
        <f t="shared" si="185"/>
        <v>1</v>
      </c>
      <c r="S1303" s="71">
        <f t="shared" si="186"/>
        <v>4.9999999999999796</v>
      </c>
      <c r="T1303" s="71">
        <f t="shared" si="187"/>
        <v>0</v>
      </c>
      <c r="U1303" s="71">
        <f>IF(AND(N1303=1,V1303=1),IF(COUNTIFS(AKTIVITAS!$B$2:$B$3052,B1303,AKTIVITAS!$E$2:$E$3052,H1303)&gt;0,1,0),0)</f>
        <v>0</v>
      </c>
      <c r="V1303" s="71">
        <f>IFERROR(IF(AND(H1303&gt;=INDEX(PEMAGANG!$J$3:$J$36,MATCH(B1303,PEMAGANG!$C$3:$C$36,0)),H1303&lt;=INDEX(PEMAGANG!$K$3:$K$36,MATCH(B1303,PEMAGANG!$C$3:$C$36,0))),1,0),0)</f>
        <v>1</v>
      </c>
      <c r="W1303" s="71">
        <f t="shared" si="188"/>
        <v>1</v>
      </c>
    </row>
    <row r="1304" spans="1:23" x14ac:dyDescent="0.2">
      <c r="A1304" s="71" t="s">
        <v>218</v>
      </c>
      <c r="B1304" s="71" t="s">
        <v>219</v>
      </c>
      <c r="C1304" s="71" t="s">
        <v>221</v>
      </c>
      <c r="D1304" s="71" t="s">
        <v>220</v>
      </c>
      <c r="E1304" s="71" t="s">
        <v>345</v>
      </c>
      <c r="F1304" s="71" t="s">
        <v>300</v>
      </c>
      <c r="G1304" s="88">
        <v>46186.568344907399</v>
      </c>
      <c r="H1304" s="89">
        <v>46186</v>
      </c>
      <c r="I1304" s="71" t="s">
        <v>525</v>
      </c>
      <c r="J1304" s="71">
        <v>0</v>
      </c>
      <c r="K1304" s="71" t="s">
        <v>302</v>
      </c>
      <c r="L1304" s="71">
        <f t="shared" si="180"/>
        <v>6</v>
      </c>
      <c r="M1304" s="71" t="str">
        <f>IFERROR(INDEX(KALENDER!$D$3:$D$132,MATCH(H1304,KALENDER!$A$3:$A$132,0)),"Di luar periode")</f>
        <v>Libur (Sabtu/Minggu)</v>
      </c>
      <c r="N1304" s="71">
        <f t="shared" si="181"/>
        <v>0</v>
      </c>
      <c r="O1304" s="71">
        <f t="shared" si="182"/>
        <v>1</v>
      </c>
      <c r="P1304" s="71">
        <f t="shared" si="183"/>
        <v>0</v>
      </c>
      <c r="Q1304" s="71">
        <f t="shared" si="184"/>
        <v>0</v>
      </c>
      <c r="R1304" s="71">
        <f t="shared" si="185"/>
        <v>0</v>
      </c>
      <c r="S1304" s="71">
        <f t="shared" si="186"/>
        <v>0</v>
      </c>
      <c r="T1304" s="71">
        <f t="shared" si="187"/>
        <v>0</v>
      </c>
      <c r="U1304" s="71">
        <f>IF(AND(N1304=1,V1304=1),IF(COUNTIFS(AKTIVITAS!$B$2:$B$3052,B1304,AKTIVITAS!$E$2:$E$3052,H1304)&gt;0,1,0),0)</f>
        <v>0</v>
      </c>
      <c r="V1304" s="71">
        <f>IFERROR(IF(AND(H1304&gt;=INDEX(PEMAGANG!$J$3:$J$36,MATCH(B1304,PEMAGANG!$C$3:$C$36,0)),H1304&lt;=INDEX(PEMAGANG!$K$3:$K$36,MATCH(B1304,PEMAGANG!$C$3:$C$36,0))),1,0),0)</f>
        <v>1</v>
      </c>
      <c r="W1304" s="71">
        <f t="shared" si="188"/>
        <v>0</v>
      </c>
    </row>
    <row r="1305" spans="1:23" x14ac:dyDescent="0.2">
      <c r="A1305" s="71" t="s">
        <v>218</v>
      </c>
      <c r="B1305" s="71" t="s">
        <v>219</v>
      </c>
      <c r="C1305" s="71" t="s">
        <v>221</v>
      </c>
      <c r="D1305" s="71" t="s">
        <v>220</v>
      </c>
      <c r="E1305" s="71" t="s">
        <v>345</v>
      </c>
      <c r="F1305" s="71" t="s">
        <v>298</v>
      </c>
      <c r="G1305" s="88">
        <v>46188.315671296303</v>
      </c>
      <c r="H1305" s="89">
        <v>46188</v>
      </c>
      <c r="I1305" s="71" t="s">
        <v>373</v>
      </c>
      <c r="J1305" s="71">
        <v>3.9999999999999898</v>
      </c>
      <c r="K1305" s="71" t="s">
        <v>293</v>
      </c>
      <c r="L1305" s="71">
        <f t="shared" si="180"/>
        <v>6</v>
      </c>
      <c r="M1305" s="71" t="str">
        <f>IFERROR(INDEX(KALENDER!$D$3:$D$132,MATCH(H1305,KALENDER!$A$3:$A$132,0)),"Di luar periode")</f>
        <v>Hari Kerja</v>
      </c>
      <c r="N1305" s="71">
        <f t="shared" si="181"/>
        <v>1</v>
      </c>
      <c r="O1305" s="71">
        <f t="shared" si="182"/>
        <v>1</v>
      </c>
      <c r="P1305" s="71">
        <f t="shared" si="183"/>
        <v>1</v>
      </c>
      <c r="Q1305" s="71">
        <f t="shared" si="184"/>
        <v>0</v>
      </c>
      <c r="R1305" s="71">
        <f t="shared" si="185"/>
        <v>1</v>
      </c>
      <c r="S1305" s="71">
        <f t="shared" si="186"/>
        <v>3.9999999999999898</v>
      </c>
      <c r="T1305" s="71">
        <f t="shared" si="187"/>
        <v>0</v>
      </c>
      <c r="U1305" s="71">
        <f>IF(AND(N1305=1,V1305=1),IF(COUNTIFS(AKTIVITAS!$B$2:$B$3052,B1305,AKTIVITAS!$E$2:$E$3052,H1305)&gt;0,1,0),0)</f>
        <v>0</v>
      </c>
      <c r="V1305" s="71">
        <f>IFERROR(IF(AND(H1305&gt;=INDEX(PEMAGANG!$J$3:$J$36,MATCH(B1305,PEMAGANG!$C$3:$C$36,0)),H1305&lt;=INDEX(PEMAGANG!$K$3:$K$36,MATCH(B1305,PEMAGANG!$C$3:$C$36,0))),1,0),0)</f>
        <v>1</v>
      </c>
      <c r="W1305" s="71">
        <f t="shared" si="188"/>
        <v>1</v>
      </c>
    </row>
    <row r="1306" spans="1:23" x14ac:dyDescent="0.2">
      <c r="A1306" s="71" t="s">
        <v>218</v>
      </c>
      <c r="B1306" s="71" t="s">
        <v>219</v>
      </c>
      <c r="C1306" s="71" t="s">
        <v>221</v>
      </c>
      <c r="D1306" s="71" t="s">
        <v>220</v>
      </c>
      <c r="E1306" s="71" t="s">
        <v>345</v>
      </c>
      <c r="F1306" s="71" t="s">
        <v>300</v>
      </c>
      <c r="G1306" s="88">
        <v>46188.657164351898</v>
      </c>
      <c r="H1306" s="89">
        <v>46188</v>
      </c>
      <c r="I1306" s="71" t="s">
        <v>526</v>
      </c>
      <c r="J1306" s="71">
        <v>0</v>
      </c>
      <c r="K1306" s="71" t="s">
        <v>302</v>
      </c>
      <c r="L1306" s="71">
        <f t="shared" si="180"/>
        <v>6</v>
      </c>
      <c r="M1306" s="71" t="str">
        <f>IFERROR(INDEX(KALENDER!$D$3:$D$132,MATCH(H1306,KALENDER!$A$3:$A$132,0)),"Di luar periode")</f>
        <v>Hari Kerja</v>
      </c>
      <c r="N1306" s="71">
        <f t="shared" si="181"/>
        <v>0</v>
      </c>
      <c r="O1306" s="71">
        <f t="shared" si="182"/>
        <v>1</v>
      </c>
      <c r="P1306" s="71">
        <f t="shared" si="183"/>
        <v>0</v>
      </c>
      <c r="Q1306" s="71">
        <f t="shared" si="184"/>
        <v>0</v>
      </c>
      <c r="R1306" s="71">
        <f t="shared" si="185"/>
        <v>0</v>
      </c>
      <c r="S1306" s="71">
        <f t="shared" si="186"/>
        <v>0</v>
      </c>
      <c r="T1306" s="71">
        <f t="shared" si="187"/>
        <v>0</v>
      </c>
      <c r="U1306" s="71">
        <f>IF(AND(N1306=1,V1306=1),IF(COUNTIFS(AKTIVITAS!$B$2:$B$3052,B1306,AKTIVITAS!$E$2:$E$3052,H1306)&gt;0,1,0),0)</f>
        <v>0</v>
      </c>
      <c r="V1306" s="71">
        <f>IFERROR(IF(AND(H1306&gt;=INDEX(PEMAGANG!$J$3:$J$36,MATCH(B1306,PEMAGANG!$C$3:$C$36,0)),H1306&lt;=INDEX(PEMAGANG!$K$3:$K$36,MATCH(B1306,PEMAGANG!$C$3:$C$36,0))),1,0),0)</f>
        <v>1</v>
      </c>
      <c r="W1306" s="71">
        <f t="shared" si="188"/>
        <v>0</v>
      </c>
    </row>
    <row r="1307" spans="1:23" x14ac:dyDescent="0.2">
      <c r="A1307" s="71" t="s">
        <v>218</v>
      </c>
      <c r="B1307" s="71" t="s">
        <v>219</v>
      </c>
      <c r="C1307" s="71" t="s">
        <v>221</v>
      </c>
      <c r="D1307" s="71" t="s">
        <v>220</v>
      </c>
      <c r="E1307" s="71" t="s">
        <v>345</v>
      </c>
      <c r="F1307" s="71" t="s">
        <v>298</v>
      </c>
      <c r="G1307" s="88">
        <v>46190.314780092602</v>
      </c>
      <c r="H1307" s="89">
        <v>46190</v>
      </c>
      <c r="I1307" s="71" t="s">
        <v>383</v>
      </c>
      <c r="J1307" s="71">
        <v>2.9999999999999898</v>
      </c>
      <c r="K1307" s="71" t="s">
        <v>293</v>
      </c>
      <c r="L1307" s="71">
        <f t="shared" si="180"/>
        <v>6</v>
      </c>
      <c r="M1307" s="71" t="str">
        <f>IFERROR(INDEX(KALENDER!$D$3:$D$132,MATCH(H1307,KALENDER!$A$3:$A$132,0)),"Di luar periode")</f>
        <v>WFH</v>
      </c>
      <c r="N1307" s="71">
        <f t="shared" si="181"/>
        <v>1</v>
      </c>
      <c r="O1307" s="71">
        <f t="shared" si="182"/>
        <v>1</v>
      </c>
      <c r="P1307" s="71">
        <f t="shared" si="183"/>
        <v>0</v>
      </c>
      <c r="Q1307" s="71">
        <f t="shared" si="184"/>
        <v>1</v>
      </c>
      <c r="R1307" s="71">
        <f t="shared" si="185"/>
        <v>1</v>
      </c>
      <c r="S1307" s="71">
        <f t="shared" si="186"/>
        <v>2.9999999999999898</v>
      </c>
      <c r="T1307" s="71">
        <f t="shared" si="187"/>
        <v>0</v>
      </c>
      <c r="U1307" s="71">
        <f>IF(AND(N1307=1,V1307=1),IF(COUNTIFS(AKTIVITAS!$B$2:$B$3052,B1307,AKTIVITAS!$E$2:$E$3052,H1307)&gt;0,1,0),0)</f>
        <v>1</v>
      </c>
      <c r="V1307" s="71">
        <f>IFERROR(IF(AND(H1307&gt;=INDEX(PEMAGANG!$J$3:$J$36,MATCH(B1307,PEMAGANG!$C$3:$C$36,0)),H1307&lt;=INDEX(PEMAGANG!$K$3:$K$36,MATCH(B1307,PEMAGANG!$C$3:$C$36,0))),1,0),0)</f>
        <v>1</v>
      </c>
      <c r="W1307" s="71">
        <f t="shared" si="188"/>
        <v>1</v>
      </c>
    </row>
    <row r="1308" spans="1:23" x14ac:dyDescent="0.2">
      <c r="A1308" s="71" t="s">
        <v>218</v>
      </c>
      <c r="B1308" s="71" t="s">
        <v>219</v>
      </c>
      <c r="C1308" s="71" t="s">
        <v>221</v>
      </c>
      <c r="D1308" s="71" t="s">
        <v>220</v>
      </c>
      <c r="E1308" s="71" t="s">
        <v>345</v>
      </c>
      <c r="F1308" s="71" t="s">
        <v>300</v>
      </c>
      <c r="G1308" s="88">
        <v>46190.652025463001</v>
      </c>
      <c r="H1308" s="89">
        <v>46190</v>
      </c>
      <c r="I1308" s="71" t="s">
        <v>527</v>
      </c>
      <c r="J1308" s="71">
        <v>0</v>
      </c>
      <c r="K1308" s="71" t="s">
        <v>302</v>
      </c>
      <c r="L1308" s="71">
        <f t="shared" si="180"/>
        <v>6</v>
      </c>
      <c r="M1308" s="71" t="str">
        <f>IFERROR(INDEX(KALENDER!$D$3:$D$132,MATCH(H1308,KALENDER!$A$3:$A$132,0)),"Di luar periode")</f>
        <v>WFH</v>
      </c>
      <c r="N1308" s="71">
        <f t="shared" si="181"/>
        <v>0</v>
      </c>
      <c r="O1308" s="71">
        <f t="shared" si="182"/>
        <v>1</v>
      </c>
      <c r="P1308" s="71">
        <f t="shared" si="183"/>
        <v>0</v>
      </c>
      <c r="Q1308" s="71">
        <f t="shared" si="184"/>
        <v>0</v>
      </c>
      <c r="R1308" s="71">
        <f t="shared" si="185"/>
        <v>0</v>
      </c>
      <c r="S1308" s="71">
        <f t="shared" si="186"/>
        <v>0</v>
      </c>
      <c r="T1308" s="71">
        <f t="shared" si="187"/>
        <v>0</v>
      </c>
      <c r="U1308" s="71">
        <f>IF(AND(N1308=1,V1308=1),IF(COUNTIFS(AKTIVITAS!$B$2:$B$3052,B1308,AKTIVITAS!$E$2:$E$3052,H1308)&gt;0,1,0),0)</f>
        <v>0</v>
      </c>
      <c r="V1308" s="71">
        <f>IFERROR(IF(AND(H1308&gt;=INDEX(PEMAGANG!$J$3:$J$36,MATCH(B1308,PEMAGANG!$C$3:$C$36,0)),H1308&lt;=INDEX(PEMAGANG!$K$3:$K$36,MATCH(B1308,PEMAGANG!$C$3:$C$36,0))),1,0),0)</f>
        <v>1</v>
      </c>
      <c r="W1308" s="71">
        <f t="shared" si="188"/>
        <v>0</v>
      </c>
    </row>
    <row r="1309" spans="1:23" x14ac:dyDescent="0.2">
      <c r="A1309" s="71" t="s">
        <v>218</v>
      </c>
      <c r="B1309" s="71" t="s">
        <v>219</v>
      </c>
      <c r="C1309" s="71" t="s">
        <v>221</v>
      </c>
      <c r="D1309" s="71" t="s">
        <v>220</v>
      </c>
      <c r="E1309" s="71" t="s">
        <v>345</v>
      </c>
      <c r="F1309" s="71" t="s">
        <v>298</v>
      </c>
      <c r="G1309" s="88">
        <v>46191.313599537003</v>
      </c>
      <c r="H1309" s="89">
        <v>46191</v>
      </c>
      <c r="I1309" s="71" t="s">
        <v>392</v>
      </c>
      <c r="J1309" s="71">
        <v>0.999999999999996</v>
      </c>
      <c r="K1309" s="71" t="s">
        <v>293</v>
      </c>
      <c r="L1309" s="71">
        <f t="shared" si="180"/>
        <v>6</v>
      </c>
      <c r="M1309" s="71" t="str">
        <f>IFERROR(INDEX(KALENDER!$D$3:$D$132,MATCH(H1309,KALENDER!$A$3:$A$132,0)),"Di luar periode")</f>
        <v>Hari Kerja</v>
      </c>
      <c r="N1309" s="71">
        <f t="shared" si="181"/>
        <v>1</v>
      </c>
      <c r="O1309" s="71">
        <f t="shared" si="182"/>
        <v>1</v>
      </c>
      <c r="P1309" s="71">
        <f t="shared" si="183"/>
        <v>1</v>
      </c>
      <c r="Q1309" s="71">
        <f t="shared" si="184"/>
        <v>0</v>
      </c>
      <c r="R1309" s="71">
        <f t="shared" si="185"/>
        <v>1</v>
      </c>
      <c r="S1309" s="71">
        <f t="shared" si="186"/>
        <v>0.999999999999996</v>
      </c>
      <c r="T1309" s="71">
        <f t="shared" si="187"/>
        <v>0</v>
      </c>
      <c r="U1309" s="71">
        <f>IF(AND(N1309=1,V1309=1),IF(COUNTIFS(AKTIVITAS!$B$2:$B$3052,B1309,AKTIVITAS!$E$2:$E$3052,H1309)&gt;0,1,0),0)</f>
        <v>1</v>
      </c>
      <c r="V1309" s="71">
        <f>IFERROR(IF(AND(H1309&gt;=INDEX(PEMAGANG!$J$3:$J$36,MATCH(B1309,PEMAGANG!$C$3:$C$36,0)),H1309&lt;=INDEX(PEMAGANG!$K$3:$K$36,MATCH(B1309,PEMAGANG!$C$3:$C$36,0))),1,0),0)</f>
        <v>1</v>
      </c>
      <c r="W1309" s="71">
        <f t="shared" si="188"/>
        <v>1</v>
      </c>
    </row>
    <row r="1310" spans="1:23" x14ac:dyDescent="0.2">
      <c r="A1310" s="71" t="s">
        <v>218</v>
      </c>
      <c r="B1310" s="71" t="s">
        <v>219</v>
      </c>
      <c r="C1310" s="71" t="s">
        <v>221</v>
      </c>
      <c r="D1310" s="71" t="s">
        <v>220</v>
      </c>
      <c r="E1310" s="71" t="s">
        <v>345</v>
      </c>
      <c r="F1310" s="71" t="s">
        <v>300</v>
      </c>
      <c r="G1310" s="88">
        <v>46191.662719907399</v>
      </c>
      <c r="H1310" s="89">
        <v>46191</v>
      </c>
      <c r="I1310" s="71" t="s">
        <v>528</v>
      </c>
      <c r="J1310" s="71">
        <v>0</v>
      </c>
      <c r="K1310" s="71" t="s">
        <v>302</v>
      </c>
      <c r="L1310" s="71">
        <f t="shared" si="180"/>
        <v>6</v>
      </c>
      <c r="M1310" s="71" t="str">
        <f>IFERROR(INDEX(KALENDER!$D$3:$D$132,MATCH(H1310,KALENDER!$A$3:$A$132,0)),"Di luar periode")</f>
        <v>Hari Kerja</v>
      </c>
      <c r="N1310" s="71">
        <f t="shared" si="181"/>
        <v>0</v>
      </c>
      <c r="O1310" s="71">
        <f t="shared" si="182"/>
        <v>1</v>
      </c>
      <c r="P1310" s="71">
        <f t="shared" si="183"/>
        <v>0</v>
      </c>
      <c r="Q1310" s="71">
        <f t="shared" si="184"/>
        <v>0</v>
      </c>
      <c r="R1310" s="71">
        <f t="shared" si="185"/>
        <v>0</v>
      </c>
      <c r="S1310" s="71">
        <f t="shared" si="186"/>
        <v>0</v>
      </c>
      <c r="T1310" s="71">
        <f t="shared" si="187"/>
        <v>0</v>
      </c>
      <c r="U1310" s="71">
        <f>IF(AND(N1310=1,V1310=1),IF(COUNTIFS(AKTIVITAS!$B$2:$B$3052,B1310,AKTIVITAS!$E$2:$E$3052,H1310)&gt;0,1,0),0)</f>
        <v>0</v>
      </c>
      <c r="V1310" s="71">
        <f>IFERROR(IF(AND(H1310&gt;=INDEX(PEMAGANG!$J$3:$J$36,MATCH(B1310,PEMAGANG!$C$3:$C$36,0)),H1310&lt;=INDEX(PEMAGANG!$K$3:$K$36,MATCH(B1310,PEMAGANG!$C$3:$C$36,0))),1,0),0)</f>
        <v>1</v>
      </c>
      <c r="W1310" s="71">
        <f t="shared" si="188"/>
        <v>0</v>
      </c>
    </row>
    <row r="1311" spans="1:23" x14ac:dyDescent="0.2">
      <c r="A1311" s="71" t="s">
        <v>218</v>
      </c>
      <c r="B1311" s="71" t="s">
        <v>219</v>
      </c>
      <c r="C1311" s="71" t="s">
        <v>221</v>
      </c>
      <c r="D1311" s="71" t="s">
        <v>220</v>
      </c>
      <c r="E1311" s="71" t="s">
        <v>345</v>
      </c>
      <c r="F1311" s="71" t="s">
        <v>298</v>
      </c>
      <c r="G1311" s="88">
        <v>46192.314097222203</v>
      </c>
      <c r="H1311" s="89">
        <v>46192</v>
      </c>
      <c r="I1311" s="71" t="s">
        <v>338</v>
      </c>
      <c r="J1311" s="71">
        <v>1.99999999999999</v>
      </c>
      <c r="K1311" s="71" t="s">
        <v>293</v>
      </c>
      <c r="L1311" s="71">
        <f t="shared" si="180"/>
        <v>6</v>
      </c>
      <c r="M1311" s="71" t="str">
        <f>IFERROR(INDEX(KALENDER!$D$3:$D$132,MATCH(H1311,KALENDER!$A$3:$A$132,0)),"Di luar periode")</f>
        <v>Hari Kerja</v>
      </c>
      <c r="N1311" s="71">
        <f t="shared" si="181"/>
        <v>1</v>
      </c>
      <c r="O1311" s="71">
        <f t="shared" si="182"/>
        <v>1</v>
      </c>
      <c r="P1311" s="71">
        <f t="shared" si="183"/>
        <v>1</v>
      </c>
      <c r="Q1311" s="71">
        <f t="shared" si="184"/>
        <v>0</v>
      </c>
      <c r="R1311" s="71">
        <f t="shared" si="185"/>
        <v>1</v>
      </c>
      <c r="S1311" s="71">
        <f t="shared" si="186"/>
        <v>1.99999999999999</v>
      </c>
      <c r="T1311" s="71">
        <f t="shared" si="187"/>
        <v>0</v>
      </c>
      <c r="U1311" s="71">
        <f>IF(AND(N1311=1,V1311=1),IF(COUNTIFS(AKTIVITAS!$B$2:$B$3052,B1311,AKTIVITAS!$E$2:$E$3052,H1311)&gt;0,1,0),0)</f>
        <v>1</v>
      </c>
      <c r="V1311" s="71">
        <f>IFERROR(IF(AND(H1311&gt;=INDEX(PEMAGANG!$J$3:$J$36,MATCH(B1311,PEMAGANG!$C$3:$C$36,0)),H1311&lt;=INDEX(PEMAGANG!$K$3:$K$36,MATCH(B1311,PEMAGANG!$C$3:$C$36,0))),1,0),0)</f>
        <v>1</v>
      </c>
      <c r="W1311" s="71">
        <f t="shared" si="188"/>
        <v>1</v>
      </c>
    </row>
    <row r="1312" spans="1:23" x14ac:dyDescent="0.2">
      <c r="A1312" s="71" t="s">
        <v>218</v>
      </c>
      <c r="B1312" s="71" t="s">
        <v>219</v>
      </c>
      <c r="C1312" s="71" t="s">
        <v>221</v>
      </c>
      <c r="D1312" s="71" t="s">
        <v>220</v>
      </c>
      <c r="E1312" s="71" t="s">
        <v>345</v>
      </c>
      <c r="F1312" s="71" t="s">
        <v>300</v>
      </c>
      <c r="G1312" s="88">
        <v>46192.6538194444</v>
      </c>
      <c r="H1312" s="89">
        <v>46192</v>
      </c>
      <c r="I1312" s="71" t="s">
        <v>529</v>
      </c>
      <c r="J1312" s="71">
        <v>0</v>
      </c>
      <c r="K1312" s="71" t="s">
        <v>302</v>
      </c>
      <c r="L1312" s="71">
        <f t="shared" si="180"/>
        <v>6</v>
      </c>
      <c r="M1312" s="71" t="str">
        <f>IFERROR(INDEX(KALENDER!$D$3:$D$132,MATCH(H1312,KALENDER!$A$3:$A$132,0)),"Di luar periode")</f>
        <v>Hari Kerja</v>
      </c>
      <c r="N1312" s="71">
        <f t="shared" si="181"/>
        <v>0</v>
      </c>
      <c r="O1312" s="71">
        <f t="shared" si="182"/>
        <v>1</v>
      </c>
      <c r="P1312" s="71">
        <f t="shared" si="183"/>
        <v>0</v>
      </c>
      <c r="Q1312" s="71">
        <f t="shared" si="184"/>
        <v>0</v>
      </c>
      <c r="R1312" s="71">
        <f t="shared" si="185"/>
        <v>0</v>
      </c>
      <c r="S1312" s="71">
        <f t="shared" si="186"/>
        <v>0</v>
      </c>
      <c r="T1312" s="71">
        <f t="shared" si="187"/>
        <v>0</v>
      </c>
      <c r="U1312" s="71">
        <f>IF(AND(N1312=1,V1312=1),IF(COUNTIFS(AKTIVITAS!$B$2:$B$3052,B1312,AKTIVITAS!$E$2:$E$3052,H1312)&gt;0,1,0),0)</f>
        <v>0</v>
      </c>
      <c r="V1312" s="71">
        <f>IFERROR(IF(AND(H1312&gt;=INDEX(PEMAGANG!$J$3:$J$36,MATCH(B1312,PEMAGANG!$C$3:$C$36,0)),H1312&lt;=INDEX(PEMAGANG!$K$3:$K$36,MATCH(B1312,PEMAGANG!$C$3:$C$36,0))),1,0),0)</f>
        <v>1</v>
      </c>
      <c r="W1312" s="71">
        <f t="shared" si="188"/>
        <v>0</v>
      </c>
    </row>
    <row r="1313" spans="1:23" x14ac:dyDescent="0.2">
      <c r="A1313" s="71" t="s">
        <v>218</v>
      </c>
      <c r="B1313" s="71" t="s">
        <v>219</v>
      </c>
      <c r="C1313" s="71" t="s">
        <v>221</v>
      </c>
      <c r="D1313" s="71" t="s">
        <v>220</v>
      </c>
      <c r="E1313" s="71" t="s">
        <v>345</v>
      </c>
      <c r="F1313" s="71" t="s">
        <v>298</v>
      </c>
      <c r="G1313" s="88">
        <v>46193.312789351898</v>
      </c>
      <c r="H1313" s="89">
        <v>46193</v>
      </c>
      <c r="I1313" s="71" t="s">
        <v>335</v>
      </c>
      <c r="J1313" s="71">
        <v>0</v>
      </c>
      <c r="K1313" s="71" t="s">
        <v>302</v>
      </c>
      <c r="L1313" s="71">
        <f t="shared" si="180"/>
        <v>6</v>
      </c>
      <c r="M1313" s="71" t="str">
        <f>IFERROR(INDEX(KALENDER!$D$3:$D$132,MATCH(H1313,KALENDER!$A$3:$A$132,0)),"Di luar periode")</f>
        <v>Libur (Sabtu/Minggu)</v>
      </c>
      <c r="N1313" s="71">
        <f t="shared" si="181"/>
        <v>1</v>
      </c>
      <c r="O1313" s="71">
        <f t="shared" si="182"/>
        <v>1</v>
      </c>
      <c r="P1313" s="71">
        <f t="shared" si="183"/>
        <v>0</v>
      </c>
      <c r="Q1313" s="71">
        <f t="shared" si="184"/>
        <v>1</v>
      </c>
      <c r="R1313" s="71">
        <f t="shared" si="185"/>
        <v>0</v>
      </c>
      <c r="S1313" s="71">
        <f t="shared" si="186"/>
        <v>0</v>
      </c>
      <c r="T1313" s="71">
        <f t="shared" si="187"/>
        <v>0</v>
      </c>
      <c r="U1313" s="71">
        <f>IF(AND(N1313=1,V1313=1),IF(COUNTIFS(AKTIVITAS!$B$2:$B$3052,B1313,AKTIVITAS!$E$2:$E$3052,H1313)&gt;0,1,0),0)</f>
        <v>0</v>
      </c>
      <c r="V1313" s="71">
        <f>IFERROR(IF(AND(H1313&gt;=INDEX(PEMAGANG!$J$3:$J$36,MATCH(B1313,PEMAGANG!$C$3:$C$36,0)),H1313&lt;=INDEX(PEMAGANG!$K$3:$K$36,MATCH(B1313,PEMAGANG!$C$3:$C$36,0))),1,0),0)</f>
        <v>1</v>
      </c>
      <c r="W1313" s="71">
        <f t="shared" si="188"/>
        <v>1</v>
      </c>
    </row>
    <row r="1314" spans="1:23" x14ac:dyDescent="0.2">
      <c r="A1314" s="71" t="s">
        <v>218</v>
      </c>
      <c r="B1314" s="71" t="s">
        <v>219</v>
      </c>
      <c r="C1314" s="71" t="s">
        <v>221</v>
      </c>
      <c r="D1314" s="71" t="s">
        <v>220</v>
      </c>
      <c r="E1314" s="71" t="s">
        <v>345</v>
      </c>
      <c r="F1314" s="71" t="s">
        <v>300</v>
      </c>
      <c r="G1314" s="88">
        <v>46193.567858796298</v>
      </c>
      <c r="H1314" s="89">
        <v>46193</v>
      </c>
      <c r="I1314" s="71" t="s">
        <v>530</v>
      </c>
      <c r="J1314" s="71">
        <v>0</v>
      </c>
      <c r="K1314" s="71" t="s">
        <v>302</v>
      </c>
      <c r="L1314" s="71">
        <f t="shared" si="180"/>
        <v>6</v>
      </c>
      <c r="M1314" s="71" t="str">
        <f>IFERROR(INDEX(KALENDER!$D$3:$D$132,MATCH(H1314,KALENDER!$A$3:$A$132,0)),"Di luar periode")</f>
        <v>Libur (Sabtu/Minggu)</v>
      </c>
      <c r="N1314" s="71">
        <f t="shared" si="181"/>
        <v>0</v>
      </c>
      <c r="O1314" s="71">
        <f t="shared" si="182"/>
        <v>1</v>
      </c>
      <c r="P1314" s="71">
        <f t="shared" si="183"/>
        <v>0</v>
      </c>
      <c r="Q1314" s="71">
        <f t="shared" si="184"/>
        <v>0</v>
      </c>
      <c r="R1314" s="71">
        <f t="shared" si="185"/>
        <v>0</v>
      </c>
      <c r="S1314" s="71">
        <f t="shared" si="186"/>
        <v>0</v>
      </c>
      <c r="T1314" s="71">
        <f t="shared" si="187"/>
        <v>0</v>
      </c>
      <c r="U1314" s="71">
        <f>IF(AND(N1314=1,V1314=1),IF(COUNTIFS(AKTIVITAS!$B$2:$B$3052,B1314,AKTIVITAS!$E$2:$E$3052,H1314)&gt;0,1,0),0)</f>
        <v>0</v>
      </c>
      <c r="V1314" s="71">
        <f>IFERROR(IF(AND(H1314&gt;=INDEX(PEMAGANG!$J$3:$J$36,MATCH(B1314,PEMAGANG!$C$3:$C$36,0)),H1314&lt;=INDEX(PEMAGANG!$K$3:$K$36,MATCH(B1314,PEMAGANG!$C$3:$C$36,0))),1,0),0)</f>
        <v>1</v>
      </c>
      <c r="W1314" s="71">
        <f t="shared" si="188"/>
        <v>0</v>
      </c>
    </row>
    <row r="1315" spans="1:23" x14ac:dyDescent="0.2">
      <c r="A1315" s="71" t="s">
        <v>218</v>
      </c>
      <c r="B1315" s="71" t="s">
        <v>219</v>
      </c>
      <c r="C1315" s="71" t="s">
        <v>221</v>
      </c>
      <c r="D1315" s="71" t="s">
        <v>220</v>
      </c>
      <c r="E1315" s="71" t="s">
        <v>345</v>
      </c>
      <c r="F1315" s="71" t="s">
        <v>298</v>
      </c>
      <c r="G1315" s="88">
        <v>46195.3230092593</v>
      </c>
      <c r="H1315" s="89">
        <v>46195</v>
      </c>
      <c r="I1315" s="71" t="s">
        <v>531</v>
      </c>
      <c r="J1315" s="71">
        <v>15</v>
      </c>
      <c r="K1315" s="71" t="s">
        <v>293</v>
      </c>
      <c r="L1315" s="71">
        <f t="shared" si="180"/>
        <v>6</v>
      </c>
      <c r="M1315" s="71" t="str">
        <f>IFERROR(INDEX(KALENDER!$D$3:$D$132,MATCH(H1315,KALENDER!$A$3:$A$132,0)),"Di luar periode")</f>
        <v>Hari Kerja</v>
      </c>
      <c r="N1315" s="71">
        <f t="shared" si="181"/>
        <v>1</v>
      </c>
      <c r="O1315" s="71">
        <f t="shared" si="182"/>
        <v>1</v>
      </c>
      <c r="P1315" s="71">
        <f t="shared" si="183"/>
        <v>1</v>
      </c>
      <c r="Q1315" s="71">
        <f t="shared" si="184"/>
        <v>0</v>
      </c>
      <c r="R1315" s="71">
        <f t="shared" si="185"/>
        <v>1</v>
      </c>
      <c r="S1315" s="71">
        <f t="shared" si="186"/>
        <v>15</v>
      </c>
      <c r="T1315" s="71">
        <f t="shared" si="187"/>
        <v>0</v>
      </c>
      <c r="U1315" s="71">
        <f>IF(AND(N1315=1,V1315=1),IF(COUNTIFS(AKTIVITAS!$B$2:$B$3052,B1315,AKTIVITAS!$E$2:$E$3052,H1315)&gt;0,1,0),0)</f>
        <v>1</v>
      </c>
      <c r="V1315" s="71">
        <f>IFERROR(IF(AND(H1315&gt;=INDEX(PEMAGANG!$J$3:$J$36,MATCH(B1315,PEMAGANG!$C$3:$C$36,0)),H1315&lt;=INDEX(PEMAGANG!$K$3:$K$36,MATCH(B1315,PEMAGANG!$C$3:$C$36,0))),1,0),0)</f>
        <v>1</v>
      </c>
      <c r="W1315" s="71">
        <f t="shared" si="188"/>
        <v>1</v>
      </c>
    </row>
    <row r="1316" spans="1:23" x14ac:dyDescent="0.2">
      <c r="A1316" s="71" t="s">
        <v>218</v>
      </c>
      <c r="B1316" s="71" t="s">
        <v>219</v>
      </c>
      <c r="C1316" s="71" t="s">
        <v>221</v>
      </c>
      <c r="D1316" s="71" t="s">
        <v>220</v>
      </c>
      <c r="E1316" s="71" t="s">
        <v>345</v>
      </c>
      <c r="F1316" s="71" t="s">
        <v>300</v>
      </c>
      <c r="G1316" s="88">
        <v>46195.658668981501</v>
      </c>
      <c r="H1316" s="89">
        <v>46195</v>
      </c>
      <c r="I1316" s="71" t="s">
        <v>532</v>
      </c>
      <c r="J1316" s="71">
        <v>0</v>
      </c>
      <c r="K1316" s="71" t="s">
        <v>302</v>
      </c>
      <c r="L1316" s="71">
        <f t="shared" si="180"/>
        <v>6</v>
      </c>
      <c r="M1316" s="71" t="str">
        <f>IFERROR(INDEX(KALENDER!$D$3:$D$132,MATCH(H1316,KALENDER!$A$3:$A$132,0)),"Di luar periode")</f>
        <v>Hari Kerja</v>
      </c>
      <c r="N1316" s="71">
        <f t="shared" si="181"/>
        <v>0</v>
      </c>
      <c r="O1316" s="71">
        <f t="shared" si="182"/>
        <v>1</v>
      </c>
      <c r="P1316" s="71">
        <f t="shared" si="183"/>
        <v>0</v>
      </c>
      <c r="Q1316" s="71">
        <f t="shared" si="184"/>
        <v>0</v>
      </c>
      <c r="R1316" s="71">
        <f t="shared" si="185"/>
        <v>0</v>
      </c>
      <c r="S1316" s="71">
        <f t="shared" si="186"/>
        <v>0</v>
      </c>
      <c r="T1316" s="71">
        <f t="shared" si="187"/>
        <v>0</v>
      </c>
      <c r="U1316" s="71">
        <f>IF(AND(N1316=1,V1316=1),IF(COUNTIFS(AKTIVITAS!$B$2:$B$3052,B1316,AKTIVITAS!$E$2:$E$3052,H1316)&gt;0,1,0),0)</f>
        <v>0</v>
      </c>
      <c r="V1316" s="71">
        <f>IFERROR(IF(AND(H1316&gt;=INDEX(PEMAGANG!$J$3:$J$36,MATCH(B1316,PEMAGANG!$C$3:$C$36,0)),H1316&lt;=INDEX(PEMAGANG!$K$3:$K$36,MATCH(B1316,PEMAGANG!$C$3:$C$36,0))),1,0),0)</f>
        <v>1</v>
      </c>
      <c r="W1316" s="71">
        <f t="shared" si="188"/>
        <v>0</v>
      </c>
    </row>
    <row r="1317" spans="1:23" x14ac:dyDescent="0.2">
      <c r="A1317" s="71" t="s">
        <v>218</v>
      </c>
      <c r="B1317" s="71" t="s">
        <v>219</v>
      </c>
      <c r="C1317" s="71" t="s">
        <v>221</v>
      </c>
      <c r="D1317" s="71" t="s">
        <v>220</v>
      </c>
      <c r="E1317" s="71" t="s">
        <v>345</v>
      </c>
      <c r="F1317" s="71" t="s">
        <v>298</v>
      </c>
      <c r="G1317" s="88">
        <v>46196.315578703703</v>
      </c>
      <c r="H1317" s="89">
        <v>46196</v>
      </c>
      <c r="I1317" s="71" t="s">
        <v>373</v>
      </c>
      <c r="J1317" s="71">
        <v>3.9999999999999898</v>
      </c>
      <c r="K1317" s="71" t="s">
        <v>293</v>
      </c>
      <c r="L1317" s="71">
        <f t="shared" si="180"/>
        <v>6</v>
      </c>
      <c r="M1317" s="71" t="str">
        <f>IFERROR(INDEX(KALENDER!$D$3:$D$132,MATCH(H1317,KALENDER!$A$3:$A$132,0)),"Di luar periode")</f>
        <v>Hari Kerja</v>
      </c>
      <c r="N1317" s="71">
        <f t="shared" si="181"/>
        <v>1</v>
      </c>
      <c r="O1317" s="71">
        <f t="shared" si="182"/>
        <v>1</v>
      </c>
      <c r="P1317" s="71">
        <f t="shared" si="183"/>
        <v>1</v>
      </c>
      <c r="Q1317" s="71">
        <f t="shared" si="184"/>
        <v>0</v>
      </c>
      <c r="R1317" s="71">
        <f t="shared" si="185"/>
        <v>1</v>
      </c>
      <c r="S1317" s="71">
        <f t="shared" si="186"/>
        <v>3.9999999999999898</v>
      </c>
      <c r="T1317" s="71">
        <f t="shared" si="187"/>
        <v>0</v>
      </c>
      <c r="U1317" s="71">
        <f>IF(AND(N1317=1,V1317=1),IF(COUNTIFS(AKTIVITAS!$B$2:$B$3052,B1317,AKTIVITAS!$E$2:$E$3052,H1317)&gt;0,1,0),0)</f>
        <v>1</v>
      </c>
      <c r="V1317" s="71">
        <f>IFERROR(IF(AND(H1317&gt;=INDEX(PEMAGANG!$J$3:$J$36,MATCH(B1317,PEMAGANG!$C$3:$C$36,0)),H1317&lt;=INDEX(PEMAGANG!$K$3:$K$36,MATCH(B1317,PEMAGANG!$C$3:$C$36,0))),1,0),0)</f>
        <v>1</v>
      </c>
      <c r="W1317" s="71">
        <f t="shared" si="188"/>
        <v>1</v>
      </c>
    </row>
    <row r="1318" spans="1:23" x14ac:dyDescent="0.2">
      <c r="A1318" s="71" t="s">
        <v>218</v>
      </c>
      <c r="B1318" s="71" t="s">
        <v>219</v>
      </c>
      <c r="C1318" s="71" t="s">
        <v>221</v>
      </c>
      <c r="D1318" s="71" t="s">
        <v>220</v>
      </c>
      <c r="E1318" s="71" t="s">
        <v>345</v>
      </c>
      <c r="F1318" s="71" t="s">
        <v>300</v>
      </c>
      <c r="G1318" s="88">
        <v>46196.670370370397</v>
      </c>
      <c r="H1318" s="89">
        <v>46196</v>
      </c>
      <c r="I1318" s="71" t="s">
        <v>533</v>
      </c>
      <c r="J1318" s="71">
        <v>0</v>
      </c>
      <c r="K1318" s="71" t="s">
        <v>302</v>
      </c>
      <c r="L1318" s="71">
        <f t="shared" si="180"/>
        <v>6</v>
      </c>
      <c r="M1318" s="71" t="str">
        <f>IFERROR(INDEX(KALENDER!$D$3:$D$132,MATCH(H1318,KALENDER!$A$3:$A$132,0)),"Di luar periode")</f>
        <v>Hari Kerja</v>
      </c>
      <c r="N1318" s="71">
        <f t="shared" si="181"/>
        <v>0</v>
      </c>
      <c r="O1318" s="71">
        <f t="shared" si="182"/>
        <v>1</v>
      </c>
      <c r="P1318" s="71">
        <f t="shared" si="183"/>
        <v>0</v>
      </c>
      <c r="Q1318" s="71">
        <f t="shared" si="184"/>
        <v>0</v>
      </c>
      <c r="R1318" s="71">
        <f t="shared" si="185"/>
        <v>0</v>
      </c>
      <c r="S1318" s="71">
        <f t="shared" si="186"/>
        <v>0</v>
      </c>
      <c r="T1318" s="71">
        <f t="shared" si="187"/>
        <v>0</v>
      </c>
      <c r="U1318" s="71">
        <f>IF(AND(N1318=1,V1318=1),IF(COUNTIFS(AKTIVITAS!$B$2:$B$3052,B1318,AKTIVITAS!$E$2:$E$3052,H1318)&gt;0,1,0),0)</f>
        <v>0</v>
      </c>
      <c r="V1318" s="71">
        <f>IFERROR(IF(AND(H1318&gt;=INDEX(PEMAGANG!$J$3:$J$36,MATCH(B1318,PEMAGANG!$C$3:$C$36,0)),H1318&lt;=INDEX(PEMAGANG!$K$3:$K$36,MATCH(B1318,PEMAGANG!$C$3:$C$36,0))),1,0),0)</f>
        <v>1</v>
      </c>
      <c r="W1318" s="71">
        <f t="shared" si="188"/>
        <v>0</v>
      </c>
    </row>
    <row r="1319" spans="1:23" x14ac:dyDescent="0.2">
      <c r="A1319" s="71" t="s">
        <v>218</v>
      </c>
      <c r="B1319" s="71" t="s">
        <v>219</v>
      </c>
      <c r="C1319" s="71" t="s">
        <v>221</v>
      </c>
      <c r="D1319" s="71" t="s">
        <v>220</v>
      </c>
      <c r="E1319" s="71" t="s">
        <v>345</v>
      </c>
      <c r="F1319" s="71" t="s">
        <v>298</v>
      </c>
      <c r="G1319" s="88">
        <v>46197.317210648202</v>
      </c>
      <c r="H1319" s="89">
        <v>46197</v>
      </c>
      <c r="I1319" s="71" t="s">
        <v>376</v>
      </c>
      <c r="J1319" s="71">
        <v>5.9999999999999796</v>
      </c>
      <c r="K1319" s="71" t="s">
        <v>293</v>
      </c>
      <c r="L1319" s="71">
        <f t="shared" si="180"/>
        <v>6</v>
      </c>
      <c r="M1319" s="71" t="str">
        <f>IFERROR(INDEX(KALENDER!$D$3:$D$132,MATCH(H1319,KALENDER!$A$3:$A$132,0)),"Di luar periode")</f>
        <v>WFH</v>
      </c>
      <c r="N1319" s="71">
        <f t="shared" si="181"/>
        <v>1</v>
      </c>
      <c r="O1319" s="71">
        <f t="shared" si="182"/>
        <v>1</v>
      </c>
      <c r="P1319" s="71">
        <f t="shared" si="183"/>
        <v>0</v>
      </c>
      <c r="Q1319" s="71">
        <f t="shared" si="184"/>
        <v>1</v>
      </c>
      <c r="R1319" s="71">
        <f t="shared" si="185"/>
        <v>1</v>
      </c>
      <c r="S1319" s="71">
        <f t="shared" si="186"/>
        <v>5.9999999999999796</v>
      </c>
      <c r="T1319" s="71">
        <f t="shared" si="187"/>
        <v>0</v>
      </c>
      <c r="U1319" s="71">
        <f>IF(AND(N1319=1,V1319=1),IF(COUNTIFS(AKTIVITAS!$B$2:$B$3052,B1319,AKTIVITAS!$E$2:$E$3052,H1319)&gt;0,1,0),0)</f>
        <v>1</v>
      </c>
      <c r="V1319" s="71">
        <f>IFERROR(IF(AND(H1319&gt;=INDEX(PEMAGANG!$J$3:$J$36,MATCH(B1319,PEMAGANG!$C$3:$C$36,0)),H1319&lt;=INDEX(PEMAGANG!$K$3:$K$36,MATCH(B1319,PEMAGANG!$C$3:$C$36,0))),1,0),0)</f>
        <v>1</v>
      </c>
      <c r="W1319" s="71">
        <f t="shared" si="188"/>
        <v>1</v>
      </c>
    </row>
    <row r="1320" spans="1:23" x14ac:dyDescent="0.2">
      <c r="A1320" s="71" t="s">
        <v>218</v>
      </c>
      <c r="B1320" s="71" t="s">
        <v>219</v>
      </c>
      <c r="C1320" s="71" t="s">
        <v>221</v>
      </c>
      <c r="D1320" s="71" t="s">
        <v>220</v>
      </c>
      <c r="E1320" s="71" t="s">
        <v>345</v>
      </c>
      <c r="F1320" s="71" t="s">
        <v>300</v>
      </c>
      <c r="G1320" s="88">
        <v>46197.658090277801</v>
      </c>
      <c r="H1320" s="89">
        <v>46197</v>
      </c>
      <c r="I1320" s="71" t="s">
        <v>534</v>
      </c>
      <c r="J1320" s="71">
        <v>0</v>
      </c>
      <c r="K1320" s="71" t="s">
        <v>302</v>
      </c>
      <c r="L1320" s="71">
        <f t="shared" si="180"/>
        <v>6</v>
      </c>
      <c r="M1320" s="71" t="str">
        <f>IFERROR(INDEX(KALENDER!$D$3:$D$132,MATCH(H1320,KALENDER!$A$3:$A$132,0)),"Di luar periode")</f>
        <v>WFH</v>
      </c>
      <c r="N1320" s="71">
        <f t="shared" si="181"/>
        <v>0</v>
      </c>
      <c r="O1320" s="71">
        <f t="shared" si="182"/>
        <v>1</v>
      </c>
      <c r="P1320" s="71">
        <f t="shared" si="183"/>
        <v>0</v>
      </c>
      <c r="Q1320" s="71">
        <f t="shared" si="184"/>
        <v>0</v>
      </c>
      <c r="R1320" s="71">
        <f t="shared" si="185"/>
        <v>0</v>
      </c>
      <c r="S1320" s="71">
        <f t="shared" si="186"/>
        <v>0</v>
      </c>
      <c r="T1320" s="71">
        <f t="shared" si="187"/>
        <v>0</v>
      </c>
      <c r="U1320" s="71">
        <f>IF(AND(N1320=1,V1320=1),IF(COUNTIFS(AKTIVITAS!$B$2:$B$3052,B1320,AKTIVITAS!$E$2:$E$3052,H1320)&gt;0,1,0),0)</f>
        <v>0</v>
      </c>
      <c r="V1320" s="71">
        <f>IFERROR(IF(AND(H1320&gt;=INDEX(PEMAGANG!$J$3:$J$36,MATCH(B1320,PEMAGANG!$C$3:$C$36,0)),H1320&lt;=INDEX(PEMAGANG!$K$3:$K$36,MATCH(B1320,PEMAGANG!$C$3:$C$36,0))),1,0),0)</f>
        <v>1</v>
      </c>
      <c r="W1320" s="71">
        <f t="shared" si="188"/>
        <v>0</v>
      </c>
    </row>
    <row r="1321" spans="1:23" x14ac:dyDescent="0.2">
      <c r="A1321" s="71" t="s">
        <v>218</v>
      </c>
      <c r="B1321" s="71" t="s">
        <v>219</v>
      </c>
      <c r="C1321" s="71" t="s">
        <v>221</v>
      </c>
      <c r="D1321" s="71" t="s">
        <v>220</v>
      </c>
      <c r="E1321" s="71" t="s">
        <v>345</v>
      </c>
      <c r="F1321" s="71" t="s">
        <v>298</v>
      </c>
      <c r="G1321" s="88">
        <v>46198.315682870401</v>
      </c>
      <c r="H1321" s="89">
        <v>46198</v>
      </c>
      <c r="I1321" s="71" t="s">
        <v>373</v>
      </c>
      <c r="J1321" s="71">
        <v>3.9999999999999898</v>
      </c>
      <c r="K1321" s="71" t="s">
        <v>293</v>
      </c>
      <c r="L1321" s="71">
        <f t="shared" si="180"/>
        <v>6</v>
      </c>
      <c r="M1321" s="71" t="str">
        <f>IFERROR(INDEX(KALENDER!$D$3:$D$132,MATCH(H1321,KALENDER!$A$3:$A$132,0)),"Di luar periode")</f>
        <v>Hari Kerja</v>
      </c>
      <c r="N1321" s="71">
        <f t="shared" si="181"/>
        <v>1</v>
      </c>
      <c r="O1321" s="71">
        <f t="shared" si="182"/>
        <v>1</v>
      </c>
      <c r="P1321" s="71">
        <f t="shared" si="183"/>
        <v>1</v>
      </c>
      <c r="Q1321" s="71">
        <f t="shared" si="184"/>
        <v>0</v>
      </c>
      <c r="R1321" s="71">
        <f t="shared" si="185"/>
        <v>1</v>
      </c>
      <c r="S1321" s="71">
        <f t="shared" si="186"/>
        <v>3.9999999999999898</v>
      </c>
      <c r="T1321" s="71">
        <f t="shared" si="187"/>
        <v>0</v>
      </c>
      <c r="U1321" s="71">
        <f>IF(AND(N1321=1,V1321=1),IF(COUNTIFS(AKTIVITAS!$B$2:$B$3052,B1321,AKTIVITAS!$E$2:$E$3052,H1321)&gt;0,1,0),0)</f>
        <v>1</v>
      </c>
      <c r="V1321" s="71">
        <f>IFERROR(IF(AND(H1321&gt;=INDEX(PEMAGANG!$J$3:$J$36,MATCH(B1321,PEMAGANG!$C$3:$C$36,0)),H1321&lt;=INDEX(PEMAGANG!$K$3:$K$36,MATCH(B1321,PEMAGANG!$C$3:$C$36,0))),1,0),0)</f>
        <v>1</v>
      </c>
      <c r="W1321" s="71">
        <f t="shared" si="188"/>
        <v>1</v>
      </c>
    </row>
    <row r="1322" spans="1:23" x14ac:dyDescent="0.2">
      <c r="A1322" s="71" t="s">
        <v>218</v>
      </c>
      <c r="B1322" s="71" t="s">
        <v>219</v>
      </c>
      <c r="C1322" s="71" t="s">
        <v>221</v>
      </c>
      <c r="D1322" s="71" t="s">
        <v>220</v>
      </c>
      <c r="E1322" s="71" t="s">
        <v>345</v>
      </c>
      <c r="F1322" s="71" t="s">
        <v>300</v>
      </c>
      <c r="G1322" s="88">
        <v>46198.659444444398</v>
      </c>
      <c r="H1322" s="89">
        <v>46198</v>
      </c>
      <c r="I1322" s="71" t="s">
        <v>535</v>
      </c>
      <c r="J1322" s="71">
        <v>0</v>
      </c>
      <c r="K1322" s="71" t="s">
        <v>302</v>
      </c>
      <c r="L1322" s="71">
        <f t="shared" si="180"/>
        <v>6</v>
      </c>
      <c r="M1322" s="71" t="str">
        <f>IFERROR(INDEX(KALENDER!$D$3:$D$132,MATCH(H1322,KALENDER!$A$3:$A$132,0)),"Di luar periode")</f>
        <v>Hari Kerja</v>
      </c>
      <c r="N1322" s="71">
        <f t="shared" si="181"/>
        <v>0</v>
      </c>
      <c r="O1322" s="71">
        <f t="shared" si="182"/>
        <v>1</v>
      </c>
      <c r="P1322" s="71">
        <f t="shared" si="183"/>
        <v>0</v>
      </c>
      <c r="Q1322" s="71">
        <f t="shared" si="184"/>
        <v>0</v>
      </c>
      <c r="R1322" s="71">
        <f t="shared" si="185"/>
        <v>0</v>
      </c>
      <c r="S1322" s="71">
        <f t="shared" si="186"/>
        <v>0</v>
      </c>
      <c r="T1322" s="71">
        <f t="shared" si="187"/>
        <v>0</v>
      </c>
      <c r="U1322" s="71">
        <f>IF(AND(N1322=1,V1322=1),IF(COUNTIFS(AKTIVITAS!$B$2:$B$3052,B1322,AKTIVITAS!$E$2:$E$3052,H1322)&gt;0,1,0),0)</f>
        <v>0</v>
      </c>
      <c r="V1322" s="71">
        <f>IFERROR(IF(AND(H1322&gt;=INDEX(PEMAGANG!$J$3:$J$36,MATCH(B1322,PEMAGANG!$C$3:$C$36,0)),H1322&lt;=INDEX(PEMAGANG!$K$3:$K$36,MATCH(B1322,PEMAGANG!$C$3:$C$36,0))),1,0),0)</f>
        <v>1</v>
      </c>
      <c r="W1322" s="71">
        <f t="shared" si="188"/>
        <v>0</v>
      </c>
    </row>
    <row r="1323" spans="1:23" x14ac:dyDescent="0.2">
      <c r="A1323" s="71" t="s">
        <v>218</v>
      </c>
      <c r="B1323" s="71" t="s">
        <v>219</v>
      </c>
      <c r="C1323" s="71" t="s">
        <v>221</v>
      </c>
      <c r="D1323" s="71" t="s">
        <v>220</v>
      </c>
      <c r="E1323" s="71" t="s">
        <v>345</v>
      </c>
      <c r="F1323" s="71" t="s">
        <v>298</v>
      </c>
      <c r="G1323" s="88">
        <v>46199.321666666699</v>
      </c>
      <c r="H1323" s="89">
        <v>46199</v>
      </c>
      <c r="I1323" s="71" t="s">
        <v>536</v>
      </c>
      <c r="J1323" s="71">
        <v>13</v>
      </c>
      <c r="K1323" s="71" t="s">
        <v>293</v>
      </c>
      <c r="L1323" s="71">
        <f t="shared" si="180"/>
        <v>6</v>
      </c>
      <c r="M1323" s="71" t="str">
        <f>IFERROR(INDEX(KALENDER!$D$3:$D$132,MATCH(H1323,KALENDER!$A$3:$A$132,0)),"Di luar periode")</f>
        <v>Hari Kerja</v>
      </c>
      <c r="N1323" s="71">
        <f t="shared" si="181"/>
        <v>1</v>
      </c>
      <c r="O1323" s="71">
        <f t="shared" si="182"/>
        <v>1</v>
      </c>
      <c r="P1323" s="71">
        <f t="shared" si="183"/>
        <v>1</v>
      </c>
      <c r="Q1323" s="71">
        <f t="shared" si="184"/>
        <v>0</v>
      </c>
      <c r="R1323" s="71">
        <f t="shared" si="185"/>
        <v>1</v>
      </c>
      <c r="S1323" s="71">
        <f t="shared" si="186"/>
        <v>13</v>
      </c>
      <c r="T1323" s="71">
        <f t="shared" si="187"/>
        <v>0</v>
      </c>
      <c r="U1323" s="71">
        <f>IF(AND(N1323=1,V1323=1),IF(COUNTIFS(AKTIVITAS!$B$2:$B$3052,B1323,AKTIVITAS!$E$2:$E$3052,H1323)&gt;0,1,0),0)</f>
        <v>1</v>
      </c>
      <c r="V1323" s="71">
        <f>IFERROR(IF(AND(H1323&gt;=INDEX(PEMAGANG!$J$3:$J$36,MATCH(B1323,PEMAGANG!$C$3:$C$36,0)),H1323&lt;=INDEX(PEMAGANG!$K$3:$K$36,MATCH(B1323,PEMAGANG!$C$3:$C$36,0))),1,0),0)</f>
        <v>1</v>
      </c>
      <c r="W1323" s="71">
        <f t="shared" si="188"/>
        <v>1</v>
      </c>
    </row>
    <row r="1324" spans="1:23" x14ac:dyDescent="0.2">
      <c r="A1324" s="71" t="s">
        <v>218</v>
      </c>
      <c r="B1324" s="71" t="s">
        <v>219</v>
      </c>
      <c r="C1324" s="71" t="s">
        <v>221</v>
      </c>
      <c r="D1324" s="71" t="s">
        <v>220</v>
      </c>
      <c r="E1324" s="71" t="s">
        <v>345</v>
      </c>
      <c r="F1324" s="71" t="s">
        <v>300</v>
      </c>
      <c r="G1324" s="88">
        <v>46199.742210648197</v>
      </c>
      <c r="H1324" s="89">
        <v>46199</v>
      </c>
      <c r="I1324" s="71" t="s">
        <v>379</v>
      </c>
      <c r="J1324" s="71">
        <v>0</v>
      </c>
      <c r="K1324" s="71" t="s">
        <v>302</v>
      </c>
      <c r="L1324" s="71">
        <f t="shared" si="180"/>
        <v>6</v>
      </c>
      <c r="M1324" s="71" t="str">
        <f>IFERROR(INDEX(KALENDER!$D$3:$D$132,MATCH(H1324,KALENDER!$A$3:$A$132,0)),"Di luar periode")</f>
        <v>Hari Kerja</v>
      </c>
      <c r="N1324" s="71">
        <f t="shared" si="181"/>
        <v>0</v>
      </c>
      <c r="O1324" s="71">
        <f t="shared" si="182"/>
        <v>1</v>
      </c>
      <c r="P1324" s="71">
        <f t="shared" si="183"/>
        <v>0</v>
      </c>
      <c r="Q1324" s="71">
        <f t="shared" si="184"/>
        <v>0</v>
      </c>
      <c r="R1324" s="71">
        <f t="shared" si="185"/>
        <v>0</v>
      </c>
      <c r="S1324" s="71">
        <f t="shared" si="186"/>
        <v>0</v>
      </c>
      <c r="T1324" s="71">
        <f t="shared" si="187"/>
        <v>0</v>
      </c>
      <c r="U1324" s="71">
        <f>IF(AND(N1324=1,V1324=1),IF(COUNTIFS(AKTIVITAS!$B$2:$B$3052,B1324,AKTIVITAS!$E$2:$E$3052,H1324)&gt;0,1,0),0)</f>
        <v>0</v>
      </c>
      <c r="V1324" s="71">
        <f>IFERROR(IF(AND(H1324&gt;=INDEX(PEMAGANG!$J$3:$J$36,MATCH(B1324,PEMAGANG!$C$3:$C$36,0)),H1324&lt;=INDEX(PEMAGANG!$K$3:$K$36,MATCH(B1324,PEMAGANG!$C$3:$C$36,0))),1,0),0)</f>
        <v>1</v>
      </c>
      <c r="W1324" s="71">
        <f t="shared" si="188"/>
        <v>0</v>
      </c>
    </row>
    <row r="1325" spans="1:23" x14ac:dyDescent="0.2">
      <c r="A1325" s="71" t="s">
        <v>218</v>
      </c>
      <c r="B1325" s="71" t="s">
        <v>219</v>
      </c>
      <c r="C1325" s="71" t="s">
        <v>221</v>
      </c>
      <c r="D1325" s="71" t="s">
        <v>220</v>
      </c>
      <c r="E1325" s="71" t="s">
        <v>345</v>
      </c>
      <c r="F1325" s="71" t="s">
        <v>298</v>
      </c>
      <c r="G1325" s="88">
        <v>46200.319282407399</v>
      </c>
      <c r="H1325" s="89">
        <v>46200</v>
      </c>
      <c r="I1325" s="71" t="s">
        <v>515</v>
      </c>
      <c r="J1325" s="71">
        <v>9.0000000000000497</v>
      </c>
      <c r="K1325" s="71" t="s">
        <v>293</v>
      </c>
      <c r="L1325" s="71">
        <f t="shared" si="180"/>
        <v>6</v>
      </c>
      <c r="M1325" s="71" t="str">
        <f>IFERROR(INDEX(KALENDER!$D$3:$D$132,MATCH(H1325,KALENDER!$A$3:$A$132,0)),"Di luar periode")</f>
        <v>Libur (Sabtu/Minggu)</v>
      </c>
      <c r="N1325" s="71">
        <f t="shared" si="181"/>
        <v>1</v>
      </c>
      <c r="O1325" s="71">
        <f t="shared" si="182"/>
        <v>1</v>
      </c>
      <c r="P1325" s="71">
        <f t="shared" si="183"/>
        <v>0</v>
      </c>
      <c r="Q1325" s="71">
        <f t="shared" si="184"/>
        <v>1</v>
      </c>
      <c r="R1325" s="71">
        <f t="shared" si="185"/>
        <v>1</v>
      </c>
      <c r="S1325" s="71">
        <f t="shared" si="186"/>
        <v>9.0000000000000497</v>
      </c>
      <c r="T1325" s="71">
        <f t="shared" si="187"/>
        <v>0</v>
      </c>
      <c r="U1325" s="71">
        <f>IF(AND(N1325=1,V1325=1),IF(COUNTIFS(AKTIVITAS!$B$2:$B$3052,B1325,AKTIVITAS!$E$2:$E$3052,H1325)&gt;0,1,0),0)</f>
        <v>1</v>
      </c>
      <c r="V1325" s="71">
        <f>IFERROR(IF(AND(H1325&gt;=INDEX(PEMAGANG!$J$3:$J$36,MATCH(B1325,PEMAGANG!$C$3:$C$36,0)),H1325&lt;=INDEX(PEMAGANG!$K$3:$K$36,MATCH(B1325,PEMAGANG!$C$3:$C$36,0))),1,0),0)</f>
        <v>1</v>
      </c>
      <c r="W1325" s="71">
        <f t="shared" si="188"/>
        <v>1</v>
      </c>
    </row>
    <row r="1326" spans="1:23" x14ac:dyDescent="0.2">
      <c r="A1326" s="71" t="s">
        <v>218</v>
      </c>
      <c r="B1326" s="71" t="s">
        <v>219</v>
      </c>
      <c r="C1326" s="71" t="s">
        <v>221</v>
      </c>
      <c r="D1326" s="71" t="s">
        <v>220</v>
      </c>
      <c r="E1326" s="71" t="s">
        <v>345</v>
      </c>
      <c r="F1326" s="71" t="s">
        <v>300</v>
      </c>
      <c r="G1326" s="88">
        <v>46200.6090162037</v>
      </c>
      <c r="H1326" s="89">
        <v>46200</v>
      </c>
      <c r="I1326" s="71" t="s">
        <v>537</v>
      </c>
      <c r="J1326" s="71">
        <v>0</v>
      </c>
      <c r="K1326" s="71" t="s">
        <v>302</v>
      </c>
      <c r="L1326" s="71">
        <f t="shared" si="180"/>
        <v>6</v>
      </c>
      <c r="M1326" s="71" t="str">
        <f>IFERROR(INDEX(KALENDER!$D$3:$D$132,MATCH(H1326,KALENDER!$A$3:$A$132,0)),"Di luar periode")</f>
        <v>Libur (Sabtu/Minggu)</v>
      </c>
      <c r="N1326" s="71">
        <f t="shared" si="181"/>
        <v>0</v>
      </c>
      <c r="O1326" s="71">
        <f t="shared" si="182"/>
        <v>1</v>
      </c>
      <c r="P1326" s="71">
        <f t="shared" si="183"/>
        <v>0</v>
      </c>
      <c r="Q1326" s="71">
        <f t="shared" si="184"/>
        <v>0</v>
      </c>
      <c r="R1326" s="71">
        <f t="shared" si="185"/>
        <v>0</v>
      </c>
      <c r="S1326" s="71">
        <f t="shared" si="186"/>
        <v>0</v>
      </c>
      <c r="T1326" s="71">
        <f t="shared" si="187"/>
        <v>0</v>
      </c>
      <c r="U1326" s="71">
        <f>IF(AND(N1326=1,V1326=1),IF(COUNTIFS(AKTIVITAS!$B$2:$B$3052,B1326,AKTIVITAS!$E$2:$E$3052,H1326)&gt;0,1,0),0)</f>
        <v>0</v>
      </c>
      <c r="V1326" s="71">
        <f>IFERROR(IF(AND(H1326&gt;=INDEX(PEMAGANG!$J$3:$J$36,MATCH(B1326,PEMAGANG!$C$3:$C$36,0)),H1326&lt;=INDEX(PEMAGANG!$K$3:$K$36,MATCH(B1326,PEMAGANG!$C$3:$C$36,0))),1,0),0)</f>
        <v>1</v>
      </c>
      <c r="W1326" s="71">
        <f t="shared" si="188"/>
        <v>0</v>
      </c>
    </row>
    <row r="1327" spans="1:23" x14ac:dyDescent="0.2">
      <c r="A1327" s="71" t="s">
        <v>218</v>
      </c>
      <c r="B1327" s="71" t="s">
        <v>219</v>
      </c>
      <c r="C1327" s="71" t="s">
        <v>221</v>
      </c>
      <c r="D1327" s="71" t="s">
        <v>220</v>
      </c>
      <c r="E1327" s="71" t="s">
        <v>345</v>
      </c>
      <c r="F1327" s="71" t="s">
        <v>298</v>
      </c>
      <c r="G1327" s="88">
        <v>46202.318634259304</v>
      </c>
      <c r="H1327" s="89">
        <v>46202</v>
      </c>
      <c r="I1327" s="71" t="s">
        <v>410</v>
      </c>
      <c r="J1327" s="71">
        <v>7.9999999999999698</v>
      </c>
      <c r="K1327" s="71" t="s">
        <v>293</v>
      </c>
      <c r="L1327" s="71">
        <f t="shared" si="180"/>
        <v>6</v>
      </c>
      <c r="M1327" s="71" t="str">
        <f>IFERROR(INDEX(KALENDER!$D$3:$D$132,MATCH(H1327,KALENDER!$A$3:$A$132,0)),"Di luar periode")</f>
        <v>Hari Kerja</v>
      </c>
      <c r="N1327" s="71">
        <f t="shared" si="181"/>
        <v>1</v>
      </c>
      <c r="O1327" s="71">
        <f t="shared" si="182"/>
        <v>1</v>
      </c>
      <c r="P1327" s="71">
        <f t="shared" si="183"/>
        <v>1</v>
      </c>
      <c r="Q1327" s="71">
        <f t="shared" si="184"/>
        <v>0</v>
      </c>
      <c r="R1327" s="71">
        <f t="shared" si="185"/>
        <v>1</v>
      </c>
      <c r="S1327" s="71">
        <f t="shared" si="186"/>
        <v>7.9999999999999698</v>
      </c>
      <c r="T1327" s="71">
        <f t="shared" si="187"/>
        <v>0</v>
      </c>
      <c r="U1327" s="71">
        <f>IF(AND(N1327=1,V1327=1),IF(COUNTIFS(AKTIVITAS!$B$2:$B$3052,B1327,AKTIVITAS!$E$2:$E$3052,H1327)&gt;0,1,0),0)</f>
        <v>1</v>
      </c>
      <c r="V1327" s="71">
        <f>IFERROR(IF(AND(H1327&gt;=INDEX(PEMAGANG!$J$3:$J$36,MATCH(B1327,PEMAGANG!$C$3:$C$36,0)),H1327&lt;=INDEX(PEMAGANG!$K$3:$K$36,MATCH(B1327,PEMAGANG!$C$3:$C$36,0))),1,0),0)</f>
        <v>1</v>
      </c>
      <c r="W1327" s="71">
        <f t="shared" si="188"/>
        <v>1</v>
      </c>
    </row>
    <row r="1328" spans="1:23" x14ac:dyDescent="0.2">
      <c r="A1328" s="71" t="s">
        <v>218</v>
      </c>
      <c r="B1328" s="71" t="s">
        <v>219</v>
      </c>
      <c r="C1328" s="71" t="s">
        <v>221</v>
      </c>
      <c r="D1328" s="71" t="s">
        <v>220</v>
      </c>
      <c r="E1328" s="71" t="s">
        <v>345</v>
      </c>
      <c r="F1328" s="71" t="s">
        <v>300</v>
      </c>
      <c r="G1328" s="88">
        <v>46202.655682870398</v>
      </c>
      <c r="H1328" s="89">
        <v>46202</v>
      </c>
      <c r="I1328" s="71" t="s">
        <v>522</v>
      </c>
      <c r="J1328" s="71">
        <v>0</v>
      </c>
      <c r="K1328" s="71" t="s">
        <v>302</v>
      </c>
      <c r="L1328" s="71">
        <f t="shared" si="180"/>
        <v>6</v>
      </c>
      <c r="M1328" s="71" t="str">
        <f>IFERROR(INDEX(KALENDER!$D$3:$D$132,MATCH(H1328,KALENDER!$A$3:$A$132,0)),"Di luar periode")</f>
        <v>Hari Kerja</v>
      </c>
      <c r="N1328" s="71">
        <f t="shared" si="181"/>
        <v>0</v>
      </c>
      <c r="O1328" s="71">
        <f t="shared" si="182"/>
        <v>1</v>
      </c>
      <c r="P1328" s="71">
        <f t="shared" si="183"/>
        <v>0</v>
      </c>
      <c r="Q1328" s="71">
        <f t="shared" si="184"/>
        <v>0</v>
      </c>
      <c r="R1328" s="71">
        <f t="shared" si="185"/>
        <v>0</v>
      </c>
      <c r="S1328" s="71">
        <f t="shared" si="186"/>
        <v>0</v>
      </c>
      <c r="T1328" s="71">
        <f t="shared" si="187"/>
        <v>0</v>
      </c>
      <c r="U1328" s="71">
        <f>IF(AND(N1328=1,V1328=1),IF(COUNTIFS(AKTIVITAS!$B$2:$B$3052,B1328,AKTIVITAS!$E$2:$E$3052,H1328)&gt;0,1,0),0)</f>
        <v>0</v>
      </c>
      <c r="V1328" s="71">
        <f>IFERROR(IF(AND(H1328&gt;=INDEX(PEMAGANG!$J$3:$J$36,MATCH(B1328,PEMAGANG!$C$3:$C$36,0)),H1328&lt;=INDEX(PEMAGANG!$K$3:$K$36,MATCH(B1328,PEMAGANG!$C$3:$C$36,0))),1,0),0)</f>
        <v>1</v>
      </c>
      <c r="W1328" s="71">
        <f t="shared" si="188"/>
        <v>0</v>
      </c>
    </row>
    <row r="1329" spans="1:23" x14ac:dyDescent="0.2">
      <c r="A1329" s="71" t="s">
        <v>218</v>
      </c>
      <c r="B1329" s="71" t="s">
        <v>219</v>
      </c>
      <c r="C1329" s="71" t="s">
        <v>221</v>
      </c>
      <c r="D1329" s="71" t="s">
        <v>220</v>
      </c>
      <c r="E1329" s="71" t="s">
        <v>345</v>
      </c>
      <c r="F1329" s="71" t="s">
        <v>298</v>
      </c>
      <c r="G1329" s="88">
        <v>46203.3207175926</v>
      </c>
      <c r="H1329" s="89">
        <v>46203</v>
      </c>
      <c r="I1329" s="71" t="s">
        <v>367</v>
      </c>
      <c r="J1329" s="71">
        <v>11</v>
      </c>
      <c r="K1329" s="71" t="s">
        <v>293</v>
      </c>
      <c r="L1329" s="71">
        <f t="shared" si="180"/>
        <v>6</v>
      </c>
      <c r="M1329" s="71" t="str">
        <f>IFERROR(INDEX(KALENDER!$D$3:$D$132,MATCH(H1329,KALENDER!$A$3:$A$132,0)),"Di luar periode")</f>
        <v>Hari Kerja</v>
      </c>
      <c r="N1329" s="71">
        <f t="shared" si="181"/>
        <v>1</v>
      </c>
      <c r="O1329" s="71">
        <f t="shared" si="182"/>
        <v>1</v>
      </c>
      <c r="P1329" s="71">
        <f t="shared" si="183"/>
        <v>1</v>
      </c>
      <c r="Q1329" s="71">
        <f t="shared" si="184"/>
        <v>0</v>
      </c>
      <c r="R1329" s="71">
        <f t="shared" si="185"/>
        <v>1</v>
      </c>
      <c r="S1329" s="71">
        <f t="shared" si="186"/>
        <v>11</v>
      </c>
      <c r="T1329" s="71">
        <f t="shared" si="187"/>
        <v>1</v>
      </c>
      <c r="U1329" s="71">
        <f>IF(AND(N1329=1,V1329=1),IF(COUNTIFS(AKTIVITAS!$B$2:$B$3052,B1329,AKTIVITAS!$E$2:$E$3052,H1329)&gt;0,1,0),0)</f>
        <v>0</v>
      </c>
      <c r="V1329" s="71">
        <f>IFERROR(IF(AND(H1329&gt;=INDEX(PEMAGANG!$J$3:$J$36,MATCH(B1329,PEMAGANG!$C$3:$C$36,0)),H1329&lt;=INDEX(PEMAGANG!$K$3:$K$36,MATCH(B1329,PEMAGANG!$C$3:$C$36,0))),1,0),0)</f>
        <v>1</v>
      </c>
      <c r="W1329" s="71">
        <f t="shared" si="188"/>
        <v>1</v>
      </c>
    </row>
    <row r="1330" spans="1:23" x14ac:dyDescent="0.2">
      <c r="A1330" s="71" t="s">
        <v>218</v>
      </c>
      <c r="B1330" s="71" t="s">
        <v>219</v>
      </c>
      <c r="C1330" s="71" t="s">
        <v>221</v>
      </c>
      <c r="D1330" s="71" t="s">
        <v>220</v>
      </c>
      <c r="E1330" s="71" t="s">
        <v>345</v>
      </c>
      <c r="F1330" s="71" t="s">
        <v>298</v>
      </c>
      <c r="G1330" s="88">
        <v>46204.487627314797</v>
      </c>
      <c r="H1330" s="89">
        <v>46204</v>
      </c>
      <c r="I1330" s="71" t="s">
        <v>538</v>
      </c>
      <c r="J1330" s="71">
        <v>252</v>
      </c>
      <c r="K1330" s="71" t="s">
        <v>293</v>
      </c>
      <c r="L1330" s="71">
        <f t="shared" si="180"/>
        <v>7</v>
      </c>
      <c r="M1330" s="71" t="str">
        <f>IFERROR(INDEX(KALENDER!$D$3:$D$132,MATCH(H1330,KALENDER!$A$3:$A$132,0)),"Di luar periode")</f>
        <v>WFH</v>
      </c>
      <c r="N1330" s="71">
        <f t="shared" si="181"/>
        <v>1</v>
      </c>
      <c r="O1330" s="71">
        <f t="shared" si="182"/>
        <v>1</v>
      </c>
      <c r="P1330" s="71">
        <f t="shared" si="183"/>
        <v>0</v>
      </c>
      <c r="Q1330" s="71">
        <f t="shared" si="184"/>
        <v>1</v>
      </c>
      <c r="R1330" s="71">
        <f t="shared" si="185"/>
        <v>1</v>
      </c>
      <c r="S1330" s="71">
        <f t="shared" si="186"/>
        <v>252</v>
      </c>
      <c r="T1330" s="71">
        <f t="shared" si="187"/>
        <v>0</v>
      </c>
      <c r="U1330" s="71">
        <f>IF(AND(N1330=1,V1330=1),IF(COUNTIFS(AKTIVITAS!$B$2:$B$3052,B1330,AKTIVITAS!$E$2:$E$3052,H1330)&gt;0,1,0),0)</f>
        <v>1</v>
      </c>
      <c r="V1330" s="71">
        <f>IFERROR(IF(AND(H1330&gt;=INDEX(PEMAGANG!$J$3:$J$36,MATCH(B1330,PEMAGANG!$C$3:$C$36,0)),H1330&lt;=INDEX(PEMAGANG!$K$3:$K$36,MATCH(B1330,PEMAGANG!$C$3:$C$36,0))),1,0),0)</f>
        <v>1</v>
      </c>
      <c r="W1330" s="71">
        <f t="shared" si="188"/>
        <v>1</v>
      </c>
    </row>
    <row r="1331" spans="1:23" x14ac:dyDescent="0.2">
      <c r="A1331" s="71" t="s">
        <v>218</v>
      </c>
      <c r="B1331" s="71" t="s">
        <v>219</v>
      </c>
      <c r="C1331" s="71" t="s">
        <v>221</v>
      </c>
      <c r="D1331" s="71" t="s">
        <v>220</v>
      </c>
      <c r="E1331" s="71" t="s">
        <v>345</v>
      </c>
      <c r="F1331" s="71" t="s">
        <v>300</v>
      </c>
      <c r="G1331" s="88">
        <v>46204.894409722197</v>
      </c>
      <c r="H1331" s="89">
        <v>46204</v>
      </c>
      <c r="I1331" s="71" t="s">
        <v>539</v>
      </c>
      <c r="J1331" s="71">
        <v>0</v>
      </c>
      <c r="K1331" s="71" t="s">
        <v>302</v>
      </c>
      <c r="L1331" s="71">
        <f t="shared" si="180"/>
        <v>7</v>
      </c>
      <c r="M1331" s="71" t="str">
        <f>IFERROR(INDEX(KALENDER!$D$3:$D$132,MATCH(H1331,KALENDER!$A$3:$A$132,0)),"Di luar periode")</f>
        <v>WFH</v>
      </c>
      <c r="N1331" s="71">
        <f t="shared" si="181"/>
        <v>0</v>
      </c>
      <c r="O1331" s="71">
        <f t="shared" si="182"/>
        <v>1</v>
      </c>
      <c r="P1331" s="71">
        <f t="shared" si="183"/>
        <v>0</v>
      </c>
      <c r="Q1331" s="71">
        <f t="shared" si="184"/>
        <v>0</v>
      </c>
      <c r="R1331" s="71">
        <f t="shared" si="185"/>
        <v>0</v>
      </c>
      <c r="S1331" s="71">
        <f t="shared" si="186"/>
        <v>0</v>
      </c>
      <c r="T1331" s="71">
        <f t="shared" si="187"/>
        <v>0</v>
      </c>
      <c r="U1331" s="71">
        <f>IF(AND(N1331=1,V1331=1),IF(COUNTIFS(AKTIVITAS!$B$2:$B$3052,B1331,AKTIVITAS!$E$2:$E$3052,H1331)&gt;0,1,0),0)</f>
        <v>0</v>
      </c>
      <c r="V1331" s="71">
        <f>IFERROR(IF(AND(H1331&gt;=INDEX(PEMAGANG!$J$3:$J$36,MATCH(B1331,PEMAGANG!$C$3:$C$36,0)),H1331&lt;=INDEX(PEMAGANG!$K$3:$K$36,MATCH(B1331,PEMAGANG!$C$3:$C$36,0))),1,0),0)</f>
        <v>1</v>
      </c>
      <c r="W1331" s="71">
        <f t="shared" si="188"/>
        <v>0</v>
      </c>
    </row>
    <row r="1332" spans="1:23" x14ac:dyDescent="0.2">
      <c r="A1332" s="71" t="s">
        <v>218</v>
      </c>
      <c r="B1332" s="71" t="s">
        <v>219</v>
      </c>
      <c r="C1332" s="71" t="s">
        <v>221</v>
      </c>
      <c r="D1332" s="71" t="s">
        <v>220</v>
      </c>
      <c r="E1332" s="71" t="s">
        <v>345</v>
      </c>
      <c r="F1332" s="71" t="s">
        <v>298</v>
      </c>
      <c r="G1332" s="88">
        <v>46205.323900463001</v>
      </c>
      <c r="H1332" s="89">
        <v>46205</v>
      </c>
      <c r="I1332" s="71" t="s">
        <v>540</v>
      </c>
      <c r="J1332" s="71">
        <v>16</v>
      </c>
      <c r="K1332" s="71" t="s">
        <v>293</v>
      </c>
      <c r="L1332" s="71">
        <f t="shared" si="180"/>
        <v>7</v>
      </c>
      <c r="M1332" s="71" t="str">
        <f>IFERROR(INDEX(KALENDER!$D$3:$D$132,MATCH(H1332,KALENDER!$A$3:$A$132,0)),"Di luar periode")</f>
        <v>Hari Kerja</v>
      </c>
      <c r="N1332" s="71">
        <f t="shared" si="181"/>
        <v>1</v>
      </c>
      <c r="O1332" s="71">
        <f t="shared" si="182"/>
        <v>1</v>
      </c>
      <c r="P1332" s="71">
        <f t="shared" si="183"/>
        <v>1</v>
      </c>
      <c r="Q1332" s="71">
        <f t="shared" si="184"/>
        <v>0</v>
      </c>
      <c r="R1332" s="71">
        <f t="shared" si="185"/>
        <v>1</v>
      </c>
      <c r="S1332" s="71">
        <f t="shared" si="186"/>
        <v>16</v>
      </c>
      <c r="T1332" s="71">
        <f t="shared" si="187"/>
        <v>0</v>
      </c>
      <c r="U1332" s="71">
        <f>IF(AND(N1332=1,V1332=1),IF(COUNTIFS(AKTIVITAS!$B$2:$B$3052,B1332,AKTIVITAS!$E$2:$E$3052,H1332)&gt;0,1,0),0)</f>
        <v>1</v>
      </c>
      <c r="V1332" s="71">
        <f>IFERROR(IF(AND(H1332&gt;=INDEX(PEMAGANG!$J$3:$J$36,MATCH(B1332,PEMAGANG!$C$3:$C$36,0)),H1332&lt;=INDEX(PEMAGANG!$K$3:$K$36,MATCH(B1332,PEMAGANG!$C$3:$C$36,0))),1,0),0)</f>
        <v>1</v>
      </c>
      <c r="W1332" s="71">
        <f t="shared" si="188"/>
        <v>1</v>
      </c>
    </row>
    <row r="1333" spans="1:23" x14ac:dyDescent="0.2">
      <c r="A1333" s="71" t="s">
        <v>218</v>
      </c>
      <c r="B1333" s="71" t="s">
        <v>219</v>
      </c>
      <c r="C1333" s="71" t="s">
        <v>221</v>
      </c>
      <c r="D1333" s="71" t="s">
        <v>220</v>
      </c>
      <c r="E1333" s="71" t="s">
        <v>345</v>
      </c>
      <c r="F1333" s="71" t="s">
        <v>300</v>
      </c>
      <c r="G1333" s="88">
        <v>46205.663217592599</v>
      </c>
      <c r="H1333" s="89">
        <v>46205</v>
      </c>
      <c r="I1333" s="71" t="s">
        <v>541</v>
      </c>
      <c r="J1333" s="71">
        <v>0</v>
      </c>
      <c r="K1333" s="71" t="s">
        <v>302</v>
      </c>
      <c r="L1333" s="71">
        <f t="shared" si="180"/>
        <v>7</v>
      </c>
      <c r="M1333" s="71" t="str">
        <f>IFERROR(INDEX(KALENDER!$D$3:$D$132,MATCH(H1333,KALENDER!$A$3:$A$132,0)),"Di luar periode")</f>
        <v>Hari Kerja</v>
      </c>
      <c r="N1333" s="71">
        <f t="shared" si="181"/>
        <v>0</v>
      </c>
      <c r="O1333" s="71">
        <f t="shared" si="182"/>
        <v>1</v>
      </c>
      <c r="P1333" s="71">
        <f t="shared" si="183"/>
        <v>0</v>
      </c>
      <c r="Q1333" s="71">
        <f t="shared" si="184"/>
        <v>0</v>
      </c>
      <c r="R1333" s="71">
        <f t="shared" si="185"/>
        <v>0</v>
      </c>
      <c r="S1333" s="71">
        <f t="shared" si="186"/>
        <v>0</v>
      </c>
      <c r="T1333" s="71">
        <f t="shared" si="187"/>
        <v>0</v>
      </c>
      <c r="U1333" s="71">
        <f>IF(AND(N1333=1,V1333=1),IF(COUNTIFS(AKTIVITAS!$B$2:$B$3052,B1333,AKTIVITAS!$E$2:$E$3052,H1333)&gt;0,1,0),0)</f>
        <v>0</v>
      </c>
      <c r="V1333" s="71">
        <f>IFERROR(IF(AND(H1333&gt;=INDEX(PEMAGANG!$J$3:$J$36,MATCH(B1333,PEMAGANG!$C$3:$C$36,0)),H1333&lt;=INDEX(PEMAGANG!$K$3:$K$36,MATCH(B1333,PEMAGANG!$C$3:$C$36,0))),1,0),0)</f>
        <v>1</v>
      </c>
      <c r="W1333" s="71">
        <f t="shared" si="188"/>
        <v>0</v>
      </c>
    </row>
    <row r="1334" spans="1:23" x14ac:dyDescent="0.2">
      <c r="A1334" s="71" t="s">
        <v>218</v>
      </c>
      <c r="B1334" s="71" t="s">
        <v>219</v>
      </c>
      <c r="C1334" s="71" t="s">
        <v>221</v>
      </c>
      <c r="D1334" s="71" t="s">
        <v>220</v>
      </c>
      <c r="E1334" s="71" t="s">
        <v>345</v>
      </c>
      <c r="F1334" s="71" t="s">
        <v>298</v>
      </c>
      <c r="G1334" s="88">
        <v>46206.427025463003</v>
      </c>
      <c r="H1334" s="89">
        <v>46206</v>
      </c>
      <c r="I1334" s="71" t="s">
        <v>542</v>
      </c>
      <c r="J1334" s="71">
        <v>164</v>
      </c>
      <c r="K1334" s="71" t="s">
        <v>293</v>
      </c>
      <c r="L1334" s="71">
        <f t="shared" si="180"/>
        <v>7</v>
      </c>
      <c r="M1334" s="71" t="str">
        <f>IFERROR(INDEX(KALENDER!$D$3:$D$132,MATCH(H1334,KALENDER!$A$3:$A$132,0)),"Di luar periode")</f>
        <v>Hari Kerja</v>
      </c>
      <c r="N1334" s="71">
        <f t="shared" si="181"/>
        <v>1</v>
      </c>
      <c r="O1334" s="71">
        <f t="shared" si="182"/>
        <v>1</v>
      </c>
      <c r="P1334" s="71">
        <f t="shared" si="183"/>
        <v>1</v>
      </c>
      <c r="Q1334" s="71">
        <f t="shared" si="184"/>
        <v>0</v>
      </c>
      <c r="R1334" s="71">
        <f t="shared" si="185"/>
        <v>1</v>
      </c>
      <c r="S1334" s="71">
        <f t="shared" si="186"/>
        <v>164</v>
      </c>
      <c r="T1334" s="71">
        <f t="shared" si="187"/>
        <v>0</v>
      </c>
      <c r="U1334" s="71">
        <f>IF(AND(N1334=1,V1334=1),IF(COUNTIFS(AKTIVITAS!$B$2:$B$3052,B1334,AKTIVITAS!$E$2:$E$3052,H1334)&gt;0,1,0),0)</f>
        <v>1</v>
      </c>
      <c r="V1334" s="71">
        <f>IFERROR(IF(AND(H1334&gt;=INDEX(PEMAGANG!$J$3:$J$36,MATCH(B1334,PEMAGANG!$C$3:$C$36,0)),H1334&lt;=INDEX(PEMAGANG!$K$3:$K$36,MATCH(B1334,PEMAGANG!$C$3:$C$36,0))),1,0),0)</f>
        <v>1</v>
      </c>
      <c r="W1334" s="71">
        <f t="shared" si="188"/>
        <v>1</v>
      </c>
    </row>
    <row r="1335" spans="1:23" x14ac:dyDescent="0.2">
      <c r="A1335" s="71" t="s">
        <v>218</v>
      </c>
      <c r="B1335" s="71" t="s">
        <v>219</v>
      </c>
      <c r="C1335" s="71" t="s">
        <v>221</v>
      </c>
      <c r="D1335" s="71" t="s">
        <v>220</v>
      </c>
      <c r="E1335" s="71" t="s">
        <v>345</v>
      </c>
      <c r="F1335" s="71" t="s">
        <v>300</v>
      </c>
      <c r="G1335" s="88">
        <v>46206.948159722197</v>
      </c>
      <c r="H1335" s="89">
        <v>46206</v>
      </c>
      <c r="I1335" s="71" t="s">
        <v>543</v>
      </c>
      <c r="J1335" s="71">
        <v>0</v>
      </c>
      <c r="K1335" s="71" t="s">
        <v>302</v>
      </c>
      <c r="L1335" s="71">
        <f t="shared" si="180"/>
        <v>7</v>
      </c>
      <c r="M1335" s="71" t="str">
        <f>IFERROR(INDEX(KALENDER!$D$3:$D$132,MATCH(H1335,KALENDER!$A$3:$A$132,0)),"Di luar periode")</f>
        <v>Hari Kerja</v>
      </c>
      <c r="N1335" s="71">
        <f t="shared" si="181"/>
        <v>0</v>
      </c>
      <c r="O1335" s="71">
        <f t="shared" si="182"/>
        <v>1</v>
      </c>
      <c r="P1335" s="71">
        <f t="shared" si="183"/>
        <v>0</v>
      </c>
      <c r="Q1335" s="71">
        <f t="shared" si="184"/>
        <v>0</v>
      </c>
      <c r="R1335" s="71">
        <f t="shared" si="185"/>
        <v>0</v>
      </c>
      <c r="S1335" s="71">
        <f t="shared" si="186"/>
        <v>0</v>
      </c>
      <c r="T1335" s="71">
        <f t="shared" si="187"/>
        <v>0</v>
      </c>
      <c r="U1335" s="71">
        <f>IF(AND(N1335=1,V1335=1),IF(COUNTIFS(AKTIVITAS!$B$2:$B$3052,B1335,AKTIVITAS!$E$2:$E$3052,H1335)&gt;0,1,0),0)</f>
        <v>0</v>
      </c>
      <c r="V1335" s="71">
        <f>IFERROR(IF(AND(H1335&gt;=INDEX(PEMAGANG!$J$3:$J$36,MATCH(B1335,PEMAGANG!$C$3:$C$36,0)),H1335&lt;=INDEX(PEMAGANG!$K$3:$K$36,MATCH(B1335,PEMAGANG!$C$3:$C$36,0))),1,0),0)</f>
        <v>1</v>
      </c>
      <c r="W1335" s="71">
        <f t="shared" si="188"/>
        <v>0</v>
      </c>
    </row>
    <row r="1336" spans="1:23" x14ac:dyDescent="0.2">
      <c r="A1336" s="71" t="s">
        <v>218</v>
      </c>
      <c r="B1336" s="71" t="s">
        <v>219</v>
      </c>
      <c r="C1336" s="71" t="s">
        <v>221</v>
      </c>
      <c r="D1336" s="71" t="s">
        <v>220</v>
      </c>
      <c r="E1336" s="71" t="s">
        <v>345</v>
      </c>
      <c r="F1336" s="71" t="s">
        <v>298</v>
      </c>
      <c r="G1336" s="88">
        <v>46207.437268518501</v>
      </c>
      <c r="H1336" s="89">
        <v>46207</v>
      </c>
      <c r="I1336" s="71" t="s">
        <v>544</v>
      </c>
      <c r="J1336" s="71">
        <v>179</v>
      </c>
      <c r="K1336" s="71" t="s">
        <v>293</v>
      </c>
      <c r="L1336" s="71">
        <f t="shared" si="180"/>
        <v>7</v>
      </c>
      <c r="M1336" s="71" t="str">
        <f>IFERROR(INDEX(KALENDER!$D$3:$D$132,MATCH(H1336,KALENDER!$A$3:$A$132,0)),"Di luar periode")</f>
        <v>Libur (Sabtu/Minggu)</v>
      </c>
      <c r="N1336" s="71">
        <f t="shared" si="181"/>
        <v>1</v>
      </c>
      <c r="O1336" s="71">
        <f t="shared" si="182"/>
        <v>1</v>
      </c>
      <c r="P1336" s="71">
        <f t="shared" si="183"/>
        <v>0</v>
      </c>
      <c r="Q1336" s="71">
        <f t="shared" si="184"/>
        <v>1</v>
      </c>
      <c r="R1336" s="71">
        <f t="shared" si="185"/>
        <v>1</v>
      </c>
      <c r="S1336" s="71">
        <f t="shared" si="186"/>
        <v>179</v>
      </c>
      <c r="T1336" s="71">
        <f t="shared" si="187"/>
        <v>0</v>
      </c>
      <c r="U1336" s="71">
        <f>IF(AND(N1336=1,V1336=1),IF(COUNTIFS(AKTIVITAS!$B$2:$B$3052,B1336,AKTIVITAS!$E$2:$E$3052,H1336)&gt;0,1,0),0)</f>
        <v>1</v>
      </c>
      <c r="V1336" s="71">
        <f>IFERROR(IF(AND(H1336&gt;=INDEX(PEMAGANG!$J$3:$J$36,MATCH(B1336,PEMAGANG!$C$3:$C$36,0)),H1336&lt;=INDEX(PEMAGANG!$K$3:$K$36,MATCH(B1336,PEMAGANG!$C$3:$C$36,0))),1,0),0)</f>
        <v>1</v>
      </c>
      <c r="W1336" s="71">
        <f t="shared" si="188"/>
        <v>1</v>
      </c>
    </row>
    <row r="1337" spans="1:23" x14ac:dyDescent="0.2">
      <c r="A1337" s="71" t="s">
        <v>218</v>
      </c>
      <c r="B1337" s="71" t="s">
        <v>219</v>
      </c>
      <c r="C1337" s="71" t="s">
        <v>221</v>
      </c>
      <c r="D1337" s="71" t="s">
        <v>220</v>
      </c>
      <c r="E1337" s="71" t="s">
        <v>345</v>
      </c>
      <c r="F1337" s="71" t="s">
        <v>300</v>
      </c>
      <c r="G1337" s="88">
        <v>46207.963344907403</v>
      </c>
      <c r="H1337" s="89">
        <v>46207</v>
      </c>
      <c r="I1337" s="71" t="s">
        <v>545</v>
      </c>
      <c r="J1337" s="71">
        <v>0</v>
      </c>
      <c r="K1337" s="71" t="s">
        <v>302</v>
      </c>
      <c r="L1337" s="71">
        <f t="shared" si="180"/>
        <v>7</v>
      </c>
      <c r="M1337" s="71" t="str">
        <f>IFERROR(INDEX(KALENDER!$D$3:$D$132,MATCH(H1337,KALENDER!$A$3:$A$132,0)),"Di luar periode")</f>
        <v>Libur (Sabtu/Minggu)</v>
      </c>
      <c r="N1337" s="71">
        <f t="shared" si="181"/>
        <v>0</v>
      </c>
      <c r="O1337" s="71">
        <f t="shared" si="182"/>
        <v>1</v>
      </c>
      <c r="P1337" s="71">
        <f t="shared" si="183"/>
        <v>0</v>
      </c>
      <c r="Q1337" s="71">
        <f t="shared" si="184"/>
        <v>0</v>
      </c>
      <c r="R1337" s="71">
        <f t="shared" si="185"/>
        <v>0</v>
      </c>
      <c r="S1337" s="71">
        <f t="shared" si="186"/>
        <v>0</v>
      </c>
      <c r="T1337" s="71">
        <f t="shared" si="187"/>
        <v>0</v>
      </c>
      <c r="U1337" s="71">
        <f>IF(AND(N1337=1,V1337=1),IF(COUNTIFS(AKTIVITAS!$B$2:$B$3052,B1337,AKTIVITAS!$E$2:$E$3052,H1337)&gt;0,1,0),0)</f>
        <v>0</v>
      </c>
      <c r="V1337" s="71">
        <f>IFERROR(IF(AND(H1337&gt;=INDEX(PEMAGANG!$J$3:$J$36,MATCH(B1337,PEMAGANG!$C$3:$C$36,0)),H1337&lt;=INDEX(PEMAGANG!$K$3:$K$36,MATCH(B1337,PEMAGANG!$C$3:$C$36,0))),1,0),0)</f>
        <v>1</v>
      </c>
      <c r="W1337" s="71">
        <f t="shared" si="188"/>
        <v>0</v>
      </c>
    </row>
    <row r="1338" spans="1:23" x14ac:dyDescent="0.2">
      <c r="A1338" s="71" t="s">
        <v>218</v>
      </c>
      <c r="B1338" s="71" t="s">
        <v>219</v>
      </c>
      <c r="C1338" s="71" t="s">
        <v>221</v>
      </c>
      <c r="D1338" s="71" t="s">
        <v>220</v>
      </c>
      <c r="E1338" s="71" t="s">
        <v>345</v>
      </c>
      <c r="F1338" s="71" t="s">
        <v>298</v>
      </c>
      <c r="G1338" s="88">
        <v>46210.317673611098</v>
      </c>
      <c r="H1338" s="89">
        <v>46210</v>
      </c>
      <c r="I1338" s="71" t="s">
        <v>386</v>
      </c>
      <c r="J1338" s="71">
        <v>7.0000000000000604</v>
      </c>
      <c r="K1338" s="71" t="s">
        <v>293</v>
      </c>
      <c r="L1338" s="71">
        <f t="shared" si="180"/>
        <v>7</v>
      </c>
      <c r="M1338" s="71" t="str">
        <f>IFERROR(INDEX(KALENDER!$D$3:$D$132,MATCH(H1338,KALENDER!$A$3:$A$132,0)),"Di luar periode")</f>
        <v>Hari Kerja</v>
      </c>
      <c r="N1338" s="71">
        <f t="shared" si="181"/>
        <v>1</v>
      </c>
      <c r="O1338" s="71">
        <f t="shared" si="182"/>
        <v>1</v>
      </c>
      <c r="P1338" s="71">
        <f t="shared" si="183"/>
        <v>1</v>
      </c>
      <c r="Q1338" s="71">
        <f t="shared" si="184"/>
        <v>0</v>
      </c>
      <c r="R1338" s="71">
        <f t="shared" si="185"/>
        <v>1</v>
      </c>
      <c r="S1338" s="71">
        <f t="shared" si="186"/>
        <v>7.0000000000000604</v>
      </c>
      <c r="T1338" s="71">
        <f t="shared" si="187"/>
        <v>0</v>
      </c>
      <c r="U1338" s="71">
        <f>IF(AND(N1338=1,V1338=1),IF(COUNTIFS(AKTIVITAS!$B$2:$B$3052,B1338,AKTIVITAS!$E$2:$E$3052,H1338)&gt;0,1,0),0)</f>
        <v>1</v>
      </c>
      <c r="V1338" s="71">
        <f>IFERROR(IF(AND(H1338&gt;=INDEX(PEMAGANG!$J$3:$J$36,MATCH(B1338,PEMAGANG!$C$3:$C$36,0)),H1338&lt;=INDEX(PEMAGANG!$K$3:$K$36,MATCH(B1338,PEMAGANG!$C$3:$C$36,0))),1,0),0)</f>
        <v>1</v>
      </c>
      <c r="W1338" s="71">
        <f t="shared" si="188"/>
        <v>1</v>
      </c>
    </row>
    <row r="1339" spans="1:23" x14ac:dyDescent="0.2">
      <c r="A1339" s="71" t="s">
        <v>218</v>
      </c>
      <c r="B1339" s="71" t="s">
        <v>219</v>
      </c>
      <c r="C1339" s="71" t="s">
        <v>221</v>
      </c>
      <c r="D1339" s="71" t="s">
        <v>220</v>
      </c>
      <c r="E1339" s="71" t="s">
        <v>345</v>
      </c>
      <c r="F1339" s="71" t="s">
        <v>300</v>
      </c>
      <c r="G1339" s="88">
        <v>46210.657430555599</v>
      </c>
      <c r="H1339" s="89">
        <v>46210</v>
      </c>
      <c r="I1339" s="71" t="s">
        <v>526</v>
      </c>
      <c r="J1339" s="71">
        <v>0</v>
      </c>
      <c r="K1339" s="71" t="s">
        <v>302</v>
      </c>
      <c r="L1339" s="71">
        <f t="shared" si="180"/>
        <v>7</v>
      </c>
      <c r="M1339" s="71" t="str">
        <f>IFERROR(INDEX(KALENDER!$D$3:$D$132,MATCH(H1339,KALENDER!$A$3:$A$132,0)),"Di luar periode")</f>
        <v>Hari Kerja</v>
      </c>
      <c r="N1339" s="71">
        <f t="shared" si="181"/>
        <v>0</v>
      </c>
      <c r="O1339" s="71">
        <f t="shared" si="182"/>
        <v>1</v>
      </c>
      <c r="P1339" s="71">
        <f t="shared" si="183"/>
        <v>0</v>
      </c>
      <c r="Q1339" s="71">
        <f t="shared" si="184"/>
        <v>0</v>
      </c>
      <c r="R1339" s="71">
        <f t="shared" si="185"/>
        <v>0</v>
      </c>
      <c r="S1339" s="71">
        <f t="shared" si="186"/>
        <v>0</v>
      </c>
      <c r="T1339" s="71">
        <f t="shared" si="187"/>
        <v>0</v>
      </c>
      <c r="U1339" s="71">
        <f>IF(AND(N1339=1,V1339=1),IF(COUNTIFS(AKTIVITAS!$B$2:$B$3052,B1339,AKTIVITAS!$E$2:$E$3052,H1339)&gt;0,1,0),0)</f>
        <v>0</v>
      </c>
      <c r="V1339" s="71">
        <f>IFERROR(IF(AND(H1339&gt;=INDEX(PEMAGANG!$J$3:$J$36,MATCH(B1339,PEMAGANG!$C$3:$C$36,0)),H1339&lt;=INDEX(PEMAGANG!$K$3:$K$36,MATCH(B1339,PEMAGANG!$C$3:$C$36,0))),1,0),0)</f>
        <v>1</v>
      </c>
      <c r="W1339" s="71">
        <f t="shared" si="188"/>
        <v>0</v>
      </c>
    </row>
    <row r="1340" spans="1:23" x14ac:dyDescent="0.2">
      <c r="A1340" s="71" t="s">
        <v>218</v>
      </c>
      <c r="B1340" s="71" t="s">
        <v>219</v>
      </c>
      <c r="C1340" s="71" t="s">
        <v>221</v>
      </c>
      <c r="D1340" s="71" t="s">
        <v>220</v>
      </c>
      <c r="E1340" s="71" t="s">
        <v>345</v>
      </c>
      <c r="F1340" s="71" t="s">
        <v>298</v>
      </c>
      <c r="G1340" s="88">
        <v>46211.318854166697</v>
      </c>
      <c r="H1340" s="89">
        <v>46211</v>
      </c>
      <c r="I1340" s="71" t="s">
        <v>515</v>
      </c>
      <c r="J1340" s="71">
        <v>9.0000000000000497</v>
      </c>
      <c r="K1340" s="71" t="s">
        <v>293</v>
      </c>
      <c r="L1340" s="71">
        <f t="shared" si="180"/>
        <v>7</v>
      </c>
      <c r="M1340" s="71" t="str">
        <f>IFERROR(INDEX(KALENDER!$D$3:$D$132,MATCH(H1340,KALENDER!$A$3:$A$132,0)),"Di luar periode")</f>
        <v>WFH</v>
      </c>
      <c r="N1340" s="71">
        <f t="shared" si="181"/>
        <v>1</v>
      </c>
      <c r="O1340" s="71">
        <f t="shared" si="182"/>
        <v>1</v>
      </c>
      <c r="P1340" s="71">
        <f t="shared" si="183"/>
        <v>0</v>
      </c>
      <c r="Q1340" s="71">
        <f t="shared" si="184"/>
        <v>1</v>
      </c>
      <c r="R1340" s="71">
        <f t="shared" si="185"/>
        <v>1</v>
      </c>
      <c r="S1340" s="71">
        <f t="shared" si="186"/>
        <v>9.0000000000000497</v>
      </c>
      <c r="T1340" s="71">
        <f t="shared" si="187"/>
        <v>0</v>
      </c>
      <c r="U1340" s="71">
        <f>IF(AND(N1340=1,V1340=1),IF(COUNTIFS(AKTIVITAS!$B$2:$B$3052,B1340,AKTIVITAS!$E$2:$E$3052,H1340)&gt;0,1,0),0)</f>
        <v>1</v>
      </c>
      <c r="V1340" s="71">
        <f>IFERROR(IF(AND(H1340&gt;=INDEX(PEMAGANG!$J$3:$J$36,MATCH(B1340,PEMAGANG!$C$3:$C$36,0)),H1340&lt;=INDEX(PEMAGANG!$K$3:$K$36,MATCH(B1340,PEMAGANG!$C$3:$C$36,0))),1,0),0)</f>
        <v>1</v>
      </c>
      <c r="W1340" s="71">
        <f t="shared" si="188"/>
        <v>1</v>
      </c>
    </row>
    <row r="1341" spans="1:23" x14ac:dyDescent="0.2">
      <c r="A1341" s="71" t="s">
        <v>218</v>
      </c>
      <c r="B1341" s="71" t="s">
        <v>219</v>
      </c>
      <c r="C1341" s="71" t="s">
        <v>221</v>
      </c>
      <c r="D1341" s="71" t="s">
        <v>220</v>
      </c>
      <c r="E1341" s="71" t="s">
        <v>345</v>
      </c>
      <c r="F1341" s="71" t="s">
        <v>300</v>
      </c>
      <c r="G1341" s="88">
        <v>46211.655821759297</v>
      </c>
      <c r="H1341" s="89">
        <v>46211</v>
      </c>
      <c r="I1341" s="71" t="s">
        <v>522</v>
      </c>
      <c r="J1341" s="71">
        <v>0</v>
      </c>
      <c r="K1341" s="71" t="s">
        <v>302</v>
      </c>
      <c r="L1341" s="71">
        <f t="shared" si="180"/>
        <v>7</v>
      </c>
      <c r="M1341" s="71" t="str">
        <f>IFERROR(INDEX(KALENDER!$D$3:$D$132,MATCH(H1341,KALENDER!$A$3:$A$132,0)),"Di luar periode")</f>
        <v>WFH</v>
      </c>
      <c r="N1341" s="71">
        <f t="shared" si="181"/>
        <v>0</v>
      </c>
      <c r="O1341" s="71">
        <f t="shared" si="182"/>
        <v>1</v>
      </c>
      <c r="P1341" s="71">
        <f t="shared" si="183"/>
        <v>0</v>
      </c>
      <c r="Q1341" s="71">
        <f t="shared" si="184"/>
        <v>0</v>
      </c>
      <c r="R1341" s="71">
        <f t="shared" si="185"/>
        <v>0</v>
      </c>
      <c r="S1341" s="71">
        <f t="shared" si="186"/>
        <v>0</v>
      </c>
      <c r="T1341" s="71">
        <f t="shared" si="187"/>
        <v>0</v>
      </c>
      <c r="U1341" s="71">
        <f>IF(AND(N1341=1,V1341=1),IF(COUNTIFS(AKTIVITAS!$B$2:$B$3052,B1341,AKTIVITAS!$E$2:$E$3052,H1341)&gt;0,1,0),0)</f>
        <v>0</v>
      </c>
      <c r="V1341" s="71">
        <f>IFERROR(IF(AND(H1341&gt;=INDEX(PEMAGANG!$J$3:$J$36,MATCH(B1341,PEMAGANG!$C$3:$C$36,0)),H1341&lt;=INDEX(PEMAGANG!$K$3:$K$36,MATCH(B1341,PEMAGANG!$C$3:$C$36,0))),1,0),0)</f>
        <v>1</v>
      </c>
      <c r="W1341" s="71">
        <f t="shared" si="188"/>
        <v>0</v>
      </c>
    </row>
    <row r="1342" spans="1:23" x14ac:dyDescent="0.2">
      <c r="A1342" s="71" t="s">
        <v>218</v>
      </c>
      <c r="B1342" s="71" t="s">
        <v>219</v>
      </c>
      <c r="C1342" s="71" t="s">
        <v>221</v>
      </c>
      <c r="D1342" s="71" t="s">
        <v>220</v>
      </c>
      <c r="E1342" s="71" t="s">
        <v>345</v>
      </c>
      <c r="F1342" s="71" t="s">
        <v>298</v>
      </c>
      <c r="G1342" s="88">
        <v>46212.318680555603</v>
      </c>
      <c r="H1342" s="89">
        <v>46212</v>
      </c>
      <c r="I1342" s="71" t="s">
        <v>410</v>
      </c>
      <c r="J1342" s="71">
        <v>7.9999999999999698</v>
      </c>
      <c r="K1342" s="71" t="s">
        <v>293</v>
      </c>
      <c r="L1342" s="71">
        <f t="shared" si="180"/>
        <v>7</v>
      </c>
      <c r="M1342" s="71" t="str">
        <f>IFERROR(INDEX(KALENDER!$D$3:$D$132,MATCH(H1342,KALENDER!$A$3:$A$132,0)),"Di luar periode")</f>
        <v>Hari Kerja</v>
      </c>
      <c r="N1342" s="71">
        <f t="shared" si="181"/>
        <v>1</v>
      </c>
      <c r="O1342" s="71">
        <f t="shared" si="182"/>
        <v>1</v>
      </c>
      <c r="P1342" s="71">
        <f t="shared" si="183"/>
        <v>1</v>
      </c>
      <c r="Q1342" s="71">
        <f t="shared" si="184"/>
        <v>0</v>
      </c>
      <c r="R1342" s="71">
        <f t="shared" si="185"/>
        <v>1</v>
      </c>
      <c r="S1342" s="71">
        <f t="shared" si="186"/>
        <v>7.9999999999999698</v>
      </c>
      <c r="T1342" s="71">
        <f t="shared" si="187"/>
        <v>0</v>
      </c>
      <c r="U1342" s="71">
        <f>IF(AND(N1342=1,V1342=1),IF(COUNTIFS(AKTIVITAS!$B$2:$B$3052,B1342,AKTIVITAS!$E$2:$E$3052,H1342)&gt;0,1,0),0)</f>
        <v>1</v>
      </c>
      <c r="V1342" s="71">
        <f>IFERROR(IF(AND(H1342&gt;=INDEX(PEMAGANG!$J$3:$J$36,MATCH(B1342,PEMAGANG!$C$3:$C$36,0)),H1342&lt;=INDEX(PEMAGANG!$K$3:$K$36,MATCH(B1342,PEMAGANG!$C$3:$C$36,0))),1,0),0)</f>
        <v>1</v>
      </c>
      <c r="W1342" s="71">
        <f t="shared" si="188"/>
        <v>1</v>
      </c>
    </row>
    <row r="1343" spans="1:23" x14ac:dyDescent="0.2">
      <c r="A1343" s="71" t="s">
        <v>218</v>
      </c>
      <c r="B1343" s="71" t="s">
        <v>219</v>
      </c>
      <c r="C1343" s="71" t="s">
        <v>221</v>
      </c>
      <c r="D1343" s="71" t="s">
        <v>220</v>
      </c>
      <c r="E1343" s="71" t="s">
        <v>345</v>
      </c>
      <c r="F1343" s="71" t="s">
        <v>300</v>
      </c>
      <c r="G1343" s="88">
        <v>46212.683773148201</v>
      </c>
      <c r="H1343" s="89">
        <v>46212</v>
      </c>
      <c r="I1343" s="71" t="s">
        <v>546</v>
      </c>
      <c r="J1343" s="71">
        <v>0</v>
      </c>
      <c r="K1343" s="71" t="s">
        <v>302</v>
      </c>
      <c r="L1343" s="71">
        <f t="shared" si="180"/>
        <v>7</v>
      </c>
      <c r="M1343" s="71" t="str">
        <f>IFERROR(INDEX(KALENDER!$D$3:$D$132,MATCH(H1343,KALENDER!$A$3:$A$132,0)),"Di luar periode")</f>
        <v>Hari Kerja</v>
      </c>
      <c r="N1343" s="71">
        <f t="shared" si="181"/>
        <v>0</v>
      </c>
      <c r="O1343" s="71">
        <f t="shared" si="182"/>
        <v>1</v>
      </c>
      <c r="P1343" s="71">
        <f t="shared" si="183"/>
        <v>0</v>
      </c>
      <c r="Q1343" s="71">
        <f t="shared" si="184"/>
        <v>0</v>
      </c>
      <c r="R1343" s="71">
        <f t="shared" si="185"/>
        <v>0</v>
      </c>
      <c r="S1343" s="71">
        <f t="shared" si="186"/>
        <v>0</v>
      </c>
      <c r="T1343" s="71">
        <f t="shared" si="187"/>
        <v>0</v>
      </c>
      <c r="U1343" s="71">
        <f>IF(AND(N1343=1,V1343=1),IF(COUNTIFS(AKTIVITAS!$B$2:$B$3052,B1343,AKTIVITAS!$E$2:$E$3052,H1343)&gt;0,1,0),0)</f>
        <v>0</v>
      </c>
      <c r="V1343" s="71">
        <f>IFERROR(IF(AND(H1343&gt;=INDEX(PEMAGANG!$J$3:$J$36,MATCH(B1343,PEMAGANG!$C$3:$C$36,0)),H1343&lt;=INDEX(PEMAGANG!$K$3:$K$36,MATCH(B1343,PEMAGANG!$C$3:$C$36,0))),1,0),0)</f>
        <v>1</v>
      </c>
      <c r="W1343" s="71">
        <f t="shared" si="188"/>
        <v>0</v>
      </c>
    </row>
    <row r="1344" spans="1:23" x14ac:dyDescent="0.2">
      <c r="A1344" s="71" t="s">
        <v>218</v>
      </c>
      <c r="B1344" s="71" t="s">
        <v>219</v>
      </c>
      <c r="C1344" s="71" t="s">
        <v>221</v>
      </c>
      <c r="D1344" s="71" t="s">
        <v>220</v>
      </c>
      <c r="E1344" s="71" t="s">
        <v>345</v>
      </c>
      <c r="F1344" s="71" t="s">
        <v>298</v>
      </c>
      <c r="G1344" s="88">
        <v>46213.317534722199</v>
      </c>
      <c r="H1344" s="89">
        <v>46213</v>
      </c>
      <c r="I1344" s="71" t="s">
        <v>386</v>
      </c>
      <c r="J1344" s="71">
        <v>7.0000000000000604</v>
      </c>
      <c r="K1344" s="71" t="s">
        <v>293</v>
      </c>
      <c r="L1344" s="71">
        <f t="shared" si="180"/>
        <v>7</v>
      </c>
      <c r="M1344" s="71" t="str">
        <f>IFERROR(INDEX(KALENDER!$D$3:$D$132,MATCH(H1344,KALENDER!$A$3:$A$132,0)),"Di luar periode")</f>
        <v>Hari Kerja</v>
      </c>
      <c r="N1344" s="71">
        <f t="shared" si="181"/>
        <v>1</v>
      </c>
      <c r="O1344" s="71">
        <f t="shared" si="182"/>
        <v>1</v>
      </c>
      <c r="P1344" s="71">
        <f t="shared" si="183"/>
        <v>1</v>
      </c>
      <c r="Q1344" s="71">
        <f t="shared" si="184"/>
        <v>0</v>
      </c>
      <c r="R1344" s="71">
        <f t="shared" si="185"/>
        <v>1</v>
      </c>
      <c r="S1344" s="71">
        <f t="shared" si="186"/>
        <v>7.0000000000000604</v>
      </c>
      <c r="T1344" s="71">
        <f t="shared" si="187"/>
        <v>0</v>
      </c>
      <c r="U1344" s="71">
        <f>IF(AND(N1344=1,V1344=1),IF(COUNTIFS(AKTIVITAS!$B$2:$B$3052,B1344,AKTIVITAS!$E$2:$E$3052,H1344)&gt;0,1,0),0)</f>
        <v>1</v>
      </c>
      <c r="V1344" s="71">
        <f>IFERROR(IF(AND(H1344&gt;=INDEX(PEMAGANG!$J$3:$J$36,MATCH(B1344,PEMAGANG!$C$3:$C$36,0)),H1344&lt;=INDEX(PEMAGANG!$K$3:$K$36,MATCH(B1344,PEMAGANG!$C$3:$C$36,0))),1,0),0)</f>
        <v>1</v>
      </c>
      <c r="W1344" s="71">
        <f t="shared" si="188"/>
        <v>1</v>
      </c>
    </row>
    <row r="1345" spans="1:23" x14ac:dyDescent="0.2">
      <c r="A1345" s="71" t="s">
        <v>218</v>
      </c>
      <c r="B1345" s="71" t="s">
        <v>219</v>
      </c>
      <c r="C1345" s="71" t="s">
        <v>221</v>
      </c>
      <c r="D1345" s="71" t="s">
        <v>220</v>
      </c>
      <c r="E1345" s="71" t="s">
        <v>345</v>
      </c>
      <c r="F1345" s="71" t="s">
        <v>300</v>
      </c>
      <c r="G1345" s="88">
        <v>46213.667662036998</v>
      </c>
      <c r="H1345" s="89">
        <v>46213</v>
      </c>
      <c r="I1345" s="71" t="s">
        <v>547</v>
      </c>
      <c r="J1345" s="71">
        <v>0</v>
      </c>
      <c r="K1345" s="71" t="s">
        <v>302</v>
      </c>
      <c r="L1345" s="71">
        <f t="shared" si="180"/>
        <v>7</v>
      </c>
      <c r="M1345" s="71" t="str">
        <f>IFERROR(INDEX(KALENDER!$D$3:$D$132,MATCH(H1345,KALENDER!$A$3:$A$132,0)),"Di luar periode")</f>
        <v>Hari Kerja</v>
      </c>
      <c r="N1345" s="71">
        <f t="shared" si="181"/>
        <v>0</v>
      </c>
      <c r="O1345" s="71">
        <f t="shared" si="182"/>
        <v>1</v>
      </c>
      <c r="P1345" s="71">
        <f t="shared" si="183"/>
        <v>0</v>
      </c>
      <c r="Q1345" s="71">
        <f t="shared" si="184"/>
        <v>0</v>
      </c>
      <c r="R1345" s="71">
        <f t="shared" si="185"/>
        <v>0</v>
      </c>
      <c r="S1345" s="71">
        <f t="shared" si="186"/>
        <v>0</v>
      </c>
      <c r="T1345" s="71">
        <f t="shared" si="187"/>
        <v>0</v>
      </c>
      <c r="U1345" s="71">
        <f>IF(AND(N1345=1,V1345=1),IF(COUNTIFS(AKTIVITAS!$B$2:$B$3052,B1345,AKTIVITAS!$E$2:$E$3052,H1345)&gt;0,1,0),0)</f>
        <v>0</v>
      </c>
      <c r="V1345" s="71">
        <f>IFERROR(IF(AND(H1345&gt;=INDEX(PEMAGANG!$J$3:$J$36,MATCH(B1345,PEMAGANG!$C$3:$C$36,0)),H1345&lt;=INDEX(PEMAGANG!$K$3:$K$36,MATCH(B1345,PEMAGANG!$C$3:$C$36,0))),1,0),0)</f>
        <v>1</v>
      </c>
      <c r="W1345" s="71">
        <f t="shared" si="188"/>
        <v>0</v>
      </c>
    </row>
    <row r="1346" spans="1:23" x14ac:dyDescent="0.2">
      <c r="A1346" s="71" t="s">
        <v>218</v>
      </c>
      <c r="B1346" s="71" t="s">
        <v>219</v>
      </c>
      <c r="C1346" s="71" t="s">
        <v>221</v>
      </c>
      <c r="D1346" s="71" t="s">
        <v>220</v>
      </c>
      <c r="E1346" s="71" t="s">
        <v>345</v>
      </c>
      <c r="F1346" s="71" t="s">
        <v>298</v>
      </c>
      <c r="G1346" s="88">
        <v>46214.317696759303</v>
      </c>
      <c r="H1346" s="89">
        <v>46214</v>
      </c>
      <c r="I1346" s="71" t="s">
        <v>386</v>
      </c>
      <c r="J1346" s="71">
        <v>7.0000000000000604</v>
      </c>
      <c r="K1346" s="71" t="s">
        <v>293</v>
      </c>
      <c r="L1346" s="71">
        <f t="shared" ref="L1346:L1409" si="189">MONTH(H1346)</f>
        <v>7</v>
      </c>
      <c r="M1346" s="71" t="str">
        <f>IFERROR(INDEX(KALENDER!$D$3:$D$132,MATCH(H1346,KALENDER!$A$3:$A$132,0)),"Di luar periode")</f>
        <v>Libur (Sabtu/Minggu)</v>
      </c>
      <c r="N1346" s="71">
        <f t="shared" ref="N1346:N1409" si="190">IF(AND(B1346=B1345,H1346=H1345),0,1)</f>
        <v>1</v>
      </c>
      <c r="O1346" s="71">
        <f t="shared" ref="O1346:O1409" si="191">IF(N1346=1,0,O1345)+IF(F1346="MASUK",1,0)</f>
        <v>1</v>
      </c>
      <c r="P1346" s="71">
        <f t="shared" ref="P1346:P1409" si="192">IF(AND(N1346=1,M1346="Hari Kerja",V1346=1),1,0)</f>
        <v>0</v>
      </c>
      <c r="Q1346" s="71">
        <f t="shared" ref="Q1346:Q1409" si="193">IF(AND(N1346=1,OR(M1346&lt;&gt;"Hari Kerja",V1346=0)),1,0)</f>
        <v>1</v>
      </c>
      <c r="R1346" s="71">
        <f t="shared" ref="R1346:R1409" si="194">IF(AND(F1346="MASUK",O1346=1,N(J1346)&gt;0,V1346=1),1,0)</f>
        <v>1</v>
      </c>
      <c r="S1346" s="71">
        <f t="shared" ref="S1346:S1409" si="195">R1346*N(J1346)</f>
        <v>7.0000000000000604</v>
      </c>
      <c r="T1346" s="71">
        <f t="shared" ref="T1346:T1409" si="196">IF(AND(N1346=1,V1346=1),IF(AND(COUNTIFS($B$2:$B$4094,B1346,$H$2:$H$4094,H1346,$F$2:$F$4094,"MASUK")&gt;0,COUNTIFS($B$2:$B$4094,B1346,$H$2:$H$4094,H1346,$F$2:$F$4094,"PULANG")=0),1,0),0)</f>
        <v>0</v>
      </c>
      <c r="U1346" s="71">
        <f>IF(AND(N1346=1,V1346=1),IF(COUNTIFS(AKTIVITAS!$B$2:$B$3052,B1346,AKTIVITAS!$E$2:$E$3052,H1346)&gt;0,1,0),0)</f>
        <v>1</v>
      </c>
      <c r="V1346" s="71">
        <f>IFERROR(IF(AND(H1346&gt;=INDEX(PEMAGANG!$J$3:$J$36,MATCH(B1346,PEMAGANG!$C$3:$C$36,0)),H1346&lt;=INDEX(PEMAGANG!$K$3:$K$36,MATCH(B1346,PEMAGANG!$C$3:$C$36,0))),1,0),0)</f>
        <v>1</v>
      </c>
      <c r="W1346" s="71">
        <f t="shared" ref="W1346:W1409" si="197">N1346*V1346</f>
        <v>1</v>
      </c>
    </row>
    <row r="1347" spans="1:23" x14ac:dyDescent="0.2">
      <c r="A1347" s="71" t="s">
        <v>218</v>
      </c>
      <c r="B1347" s="71" t="s">
        <v>219</v>
      </c>
      <c r="C1347" s="71" t="s">
        <v>221</v>
      </c>
      <c r="D1347" s="71" t="s">
        <v>220</v>
      </c>
      <c r="E1347" s="71" t="s">
        <v>345</v>
      </c>
      <c r="F1347" s="71" t="s">
        <v>300</v>
      </c>
      <c r="G1347" s="88">
        <v>46214.590439814798</v>
      </c>
      <c r="H1347" s="89">
        <v>46214</v>
      </c>
      <c r="I1347" s="71" t="s">
        <v>548</v>
      </c>
      <c r="J1347" s="71">
        <v>0</v>
      </c>
      <c r="K1347" s="71" t="s">
        <v>302</v>
      </c>
      <c r="L1347" s="71">
        <f t="shared" si="189"/>
        <v>7</v>
      </c>
      <c r="M1347" s="71" t="str">
        <f>IFERROR(INDEX(KALENDER!$D$3:$D$132,MATCH(H1347,KALENDER!$A$3:$A$132,0)),"Di luar periode")</f>
        <v>Libur (Sabtu/Minggu)</v>
      </c>
      <c r="N1347" s="71">
        <f t="shared" si="190"/>
        <v>0</v>
      </c>
      <c r="O1347" s="71">
        <f t="shared" si="191"/>
        <v>1</v>
      </c>
      <c r="P1347" s="71">
        <f t="shared" si="192"/>
        <v>0</v>
      </c>
      <c r="Q1347" s="71">
        <f t="shared" si="193"/>
        <v>0</v>
      </c>
      <c r="R1347" s="71">
        <f t="shared" si="194"/>
        <v>0</v>
      </c>
      <c r="S1347" s="71">
        <f t="shared" si="195"/>
        <v>0</v>
      </c>
      <c r="T1347" s="71">
        <f t="shared" si="196"/>
        <v>0</v>
      </c>
      <c r="U1347" s="71">
        <f>IF(AND(N1347=1,V1347=1),IF(COUNTIFS(AKTIVITAS!$B$2:$B$3052,B1347,AKTIVITAS!$E$2:$E$3052,H1347)&gt;0,1,0),0)</f>
        <v>0</v>
      </c>
      <c r="V1347" s="71">
        <f>IFERROR(IF(AND(H1347&gt;=INDEX(PEMAGANG!$J$3:$J$36,MATCH(B1347,PEMAGANG!$C$3:$C$36,0)),H1347&lt;=INDEX(PEMAGANG!$K$3:$K$36,MATCH(B1347,PEMAGANG!$C$3:$C$36,0))),1,0),0)</f>
        <v>1</v>
      </c>
      <c r="W1347" s="71">
        <f t="shared" si="197"/>
        <v>0</v>
      </c>
    </row>
    <row r="1348" spans="1:23" x14ac:dyDescent="0.2">
      <c r="A1348" s="71" t="s">
        <v>218</v>
      </c>
      <c r="B1348" s="71" t="s">
        <v>219</v>
      </c>
      <c r="C1348" s="71" t="s">
        <v>221</v>
      </c>
      <c r="D1348" s="71" t="s">
        <v>220</v>
      </c>
      <c r="E1348" s="71" t="s">
        <v>345</v>
      </c>
      <c r="F1348" s="71" t="s">
        <v>298</v>
      </c>
      <c r="G1348" s="88">
        <v>46216.317349536999</v>
      </c>
      <c r="H1348" s="89">
        <v>46216</v>
      </c>
      <c r="I1348" s="71" t="s">
        <v>376</v>
      </c>
      <c r="J1348" s="71">
        <v>5.9999999999999796</v>
      </c>
      <c r="K1348" s="71" t="s">
        <v>293</v>
      </c>
      <c r="L1348" s="71">
        <f t="shared" si="189"/>
        <v>7</v>
      </c>
      <c r="M1348" s="71" t="str">
        <f>IFERROR(INDEX(KALENDER!$D$3:$D$132,MATCH(H1348,KALENDER!$A$3:$A$132,0)),"Di luar periode")</f>
        <v>Hari Kerja</v>
      </c>
      <c r="N1348" s="71">
        <f t="shared" si="190"/>
        <v>1</v>
      </c>
      <c r="O1348" s="71">
        <f t="shared" si="191"/>
        <v>1</v>
      </c>
      <c r="P1348" s="71">
        <f t="shared" si="192"/>
        <v>1</v>
      </c>
      <c r="Q1348" s="71">
        <f t="shared" si="193"/>
        <v>0</v>
      </c>
      <c r="R1348" s="71">
        <f t="shared" si="194"/>
        <v>1</v>
      </c>
      <c r="S1348" s="71">
        <f t="shared" si="195"/>
        <v>5.9999999999999796</v>
      </c>
      <c r="T1348" s="71">
        <f t="shared" si="196"/>
        <v>0</v>
      </c>
      <c r="U1348" s="71">
        <f>IF(AND(N1348=1,V1348=1),IF(COUNTIFS(AKTIVITAS!$B$2:$B$3052,B1348,AKTIVITAS!$E$2:$E$3052,H1348)&gt;0,1,0),0)</f>
        <v>1</v>
      </c>
      <c r="V1348" s="71">
        <f>IFERROR(IF(AND(H1348&gt;=INDEX(PEMAGANG!$J$3:$J$36,MATCH(B1348,PEMAGANG!$C$3:$C$36,0)),H1348&lt;=INDEX(PEMAGANG!$K$3:$K$36,MATCH(B1348,PEMAGANG!$C$3:$C$36,0))),1,0),0)</f>
        <v>1</v>
      </c>
      <c r="W1348" s="71">
        <f t="shared" si="197"/>
        <v>1</v>
      </c>
    </row>
    <row r="1349" spans="1:23" x14ac:dyDescent="0.2">
      <c r="A1349" s="71" t="s">
        <v>218</v>
      </c>
      <c r="B1349" s="71" t="s">
        <v>219</v>
      </c>
      <c r="C1349" s="71" t="s">
        <v>221</v>
      </c>
      <c r="D1349" s="71" t="s">
        <v>220</v>
      </c>
      <c r="E1349" s="71" t="s">
        <v>345</v>
      </c>
      <c r="F1349" s="71" t="s">
        <v>300</v>
      </c>
      <c r="G1349" s="88">
        <v>46216.660706018498</v>
      </c>
      <c r="H1349" s="89">
        <v>46216</v>
      </c>
      <c r="I1349" s="71" t="s">
        <v>524</v>
      </c>
      <c r="J1349" s="71">
        <v>0</v>
      </c>
      <c r="K1349" s="71" t="s">
        <v>302</v>
      </c>
      <c r="L1349" s="71">
        <f t="shared" si="189"/>
        <v>7</v>
      </c>
      <c r="M1349" s="71" t="str">
        <f>IFERROR(INDEX(KALENDER!$D$3:$D$132,MATCH(H1349,KALENDER!$A$3:$A$132,0)),"Di luar periode")</f>
        <v>Hari Kerja</v>
      </c>
      <c r="N1349" s="71">
        <f t="shared" si="190"/>
        <v>0</v>
      </c>
      <c r="O1349" s="71">
        <f t="shared" si="191"/>
        <v>1</v>
      </c>
      <c r="P1349" s="71">
        <f t="shared" si="192"/>
        <v>0</v>
      </c>
      <c r="Q1349" s="71">
        <f t="shared" si="193"/>
        <v>0</v>
      </c>
      <c r="R1349" s="71">
        <f t="shared" si="194"/>
        <v>0</v>
      </c>
      <c r="S1349" s="71">
        <f t="shared" si="195"/>
        <v>0</v>
      </c>
      <c r="T1349" s="71">
        <f t="shared" si="196"/>
        <v>0</v>
      </c>
      <c r="U1349" s="71">
        <f>IF(AND(N1349=1,V1349=1),IF(COUNTIFS(AKTIVITAS!$B$2:$B$3052,B1349,AKTIVITAS!$E$2:$E$3052,H1349)&gt;0,1,0),0)</f>
        <v>0</v>
      </c>
      <c r="V1349" s="71">
        <f>IFERROR(IF(AND(H1349&gt;=INDEX(PEMAGANG!$J$3:$J$36,MATCH(B1349,PEMAGANG!$C$3:$C$36,0)),H1349&lt;=INDEX(PEMAGANG!$K$3:$K$36,MATCH(B1349,PEMAGANG!$C$3:$C$36,0))),1,0),0)</f>
        <v>1</v>
      </c>
      <c r="W1349" s="71">
        <f t="shared" si="197"/>
        <v>0</v>
      </c>
    </row>
    <row r="1350" spans="1:23" x14ac:dyDescent="0.2">
      <c r="A1350" s="71" t="s">
        <v>218</v>
      </c>
      <c r="B1350" s="71" t="s">
        <v>219</v>
      </c>
      <c r="C1350" s="71" t="s">
        <v>221</v>
      </c>
      <c r="D1350" s="71" t="s">
        <v>220</v>
      </c>
      <c r="E1350" s="71" t="s">
        <v>345</v>
      </c>
      <c r="F1350" s="71" t="s">
        <v>298</v>
      </c>
      <c r="G1350" s="88">
        <v>46217.3180208333</v>
      </c>
      <c r="H1350" s="89">
        <v>46217</v>
      </c>
      <c r="I1350" s="71" t="s">
        <v>386</v>
      </c>
      <c r="J1350" s="71">
        <v>7.0000000000000604</v>
      </c>
      <c r="K1350" s="71" t="s">
        <v>293</v>
      </c>
      <c r="L1350" s="71">
        <f t="shared" si="189"/>
        <v>7</v>
      </c>
      <c r="M1350" s="71" t="str">
        <f>IFERROR(INDEX(KALENDER!$D$3:$D$132,MATCH(H1350,KALENDER!$A$3:$A$132,0)),"Di luar periode")</f>
        <v>Hari Kerja</v>
      </c>
      <c r="N1350" s="71">
        <f t="shared" si="190"/>
        <v>1</v>
      </c>
      <c r="O1350" s="71">
        <f t="shared" si="191"/>
        <v>1</v>
      </c>
      <c r="P1350" s="71">
        <f t="shared" si="192"/>
        <v>1</v>
      </c>
      <c r="Q1350" s="71">
        <f t="shared" si="193"/>
        <v>0</v>
      </c>
      <c r="R1350" s="71">
        <f t="shared" si="194"/>
        <v>1</v>
      </c>
      <c r="S1350" s="71">
        <f t="shared" si="195"/>
        <v>7.0000000000000604</v>
      </c>
      <c r="T1350" s="71">
        <f t="shared" si="196"/>
        <v>0</v>
      </c>
      <c r="U1350" s="71">
        <f>IF(AND(N1350=1,V1350=1),IF(COUNTIFS(AKTIVITAS!$B$2:$B$3052,B1350,AKTIVITAS!$E$2:$E$3052,H1350)&gt;0,1,0),0)</f>
        <v>1</v>
      </c>
      <c r="V1350" s="71">
        <f>IFERROR(IF(AND(H1350&gt;=INDEX(PEMAGANG!$J$3:$J$36,MATCH(B1350,PEMAGANG!$C$3:$C$36,0)),H1350&lt;=INDEX(PEMAGANG!$K$3:$K$36,MATCH(B1350,PEMAGANG!$C$3:$C$36,0))),1,0),0)</f>
        <v>1</v>
      </c>
      <c r="W1350" s="71">
        <f t="shared" si="197"/>
        <v>1</v>
      </c>
    </row>
    <row r="1351" spans="1:23" x14ac:dyDescent="0.2">
      <c r="A1351" s="71" t="s">
        <v>218</v>
      </c>
      <c r="B1351" s="71" t="s">
        <v>219</v>
      </c>
      <c r="C1351" s="71" t="s">
        <v>221</v>
      </c>
      <c r="D1351" s="71" t="s">
        <v>220</v>
      </c>
      <c r="E1351" s="71" t="s">
        <v>345</v>
      </c>
      <c r="F1351" s="71" t="s">
        <v>300</v>
      </c>
      <c r="G1351" s="88">
        <v>46217.668344907397</v>
      </c>
      <c r="H1351" s="89">
        <v>46217</v>
      </c>
      <c r="I1351" s="71" t="s">
        <v>549</v>
      </c>
      <c r="J1351" s="71">
        <v>0</v>
      </c>
      <c r="K1351" s="71" t="s">
        <v>302</v>
      </c>
      <c r="L1351" s="71">
        <f t="shared" si="189"/>
        <v>7</v>
      </c>
      <c r="M1351" s="71" t="str">
        <f>IFERROR(INDEX(KALENDER!$D$3:$D$132,MATCH(H1351,KALENDER!$A$3:$A$132,0)),"Di luar periode")</f>
        <v>Hari Kerja</v>
      </c>
      <c r="N1351" s="71">
        <f t="shared" si="190"/>
        <v>0</v>
      </c>
      <c r="O1351" s="71">
        <f t="shared" si="191"/>
        <v>1</v>
      </c>
      <c r="P1351" s="71">
        <f t="shared" si="192"/>
        <v>0</v>
      </c>
      <c r="Q1351" s="71">
        <f t="shared" si="193"/>
        <v>0</v>
      </c>
      <c r="R1351" s="71">
        <f t="shared" si="194"/>
        <v>0</v>
      </c>
      <c r="S1351" s="71">
        <f t="shared" si="195"/>
        <v>0</v>
      </c>
      <c r="T1351" s="71">
        <f t="shared" si="196"/>
        <v>0</v>
      </c>
      <c r="U1351" s="71">
        <f>IF(AND(N1351=1,V1351=1),IF(COUNTIFS(AKTIVITAS!$B$2:$B$3052,B1351,AKTIVITAS!$E$2:$E$3052,H1351)&gt;0,1,0),0)</f>
        <v>0</v>
      </c>
      <c r="V1351" s="71">
        <f>IFERROR(IF(AND(H1351&gt;=INDEX(PEMAGANG!$J$3:$J$36,MATCH(B1351,PEMAGANG!$C$3:$C$36,0)),H1351&lt;=INDEX(PEMAGANG!$K$3:$K$36,MATCH(B1351,PEMAGANG!$C$3:$C$36,0))),1,0),0)</f>
        <v>1</v>
      </c>
      <c r="W1351" s="71">
        <f t="shared" si="197"/>
        <v>0</v>
      </c>
    </row>
    <row r="1352" spans="1:23" x14ac:dyDescent="0.2">
      <c r="A1352" s="71" t="s">
        <v>218</v>
      </c>
      <c r="B1352" s="71" t="s">
        <v>219</v>
      </c>
      <c r="C1352" s="71" t="s">
        <v>221</v>
      </c>
      <c r="D1352" s="71" t="s">
        <v>220</v>
      </c>
      <c r="E1352" s="71" t="s">
        <v>345</v>
      </c>
      <c r="F1352" s="71" t="s">
        <v>298</v>
      </c>
      <c r="G1352" s="88">
        <v>46218.318287037</v>
      </c>
      <c r="H1352" s="89">
        <v>46218</v>
      </c>
      <c r="I1352" s="71" t="s">
        <v>410</v>
      </c>
      <c r="J1352" s="71">
        <v>7.9999999999999698</v>
      </c>
      <c r="K1352" s="71" t="s">
        <v>293</v>
      </c>
      <c r="L1352" s="71">
        <f t="shared" si="189"/>
        <v>7</v>
      </c>
      <c r="M1352" s="71" t="str">
        <f>IFERROR(INDEX(KALENDER!$D$3:$D$132,MATCH(H1352,KALENDER!$A$3:$A$132,0)),"Di luar periode")</f>
        <v>WFH</v>
      </c>
      <c r="N1352" s="71">
        <f t="shared" si="190"/>
        <v>1</v>
      </c>
      <c r="O1352" s="71">
        <f t="shared" si="191"/>
        <v>1</v>
      </c>
      <c r="P1352" s="71">
        <f t="shared" si="192"/>
        <v>0</v>
      </c>
      <c r="Q1352" s="71">
        <f t="shared" si="193"/>
        <v>1</v>
      </c>
      <c r="R1352" s="71">
        <f t="shared" si="194"/>
        <v>1</v>
      </c>
      <c r="S1352" s="71">
        <f t="shared" si="195"/>
        <v>7.9999999999999698</v>
      </c>
      <c r="T1352" s="71">
        <f t="shared" si="196"/>
        <v>0</v>
      </c>
      <c r="U1352" s="71">
        <f>IF(AND(N1352=1,V1352=1),IF(COUNTIFS(AKTIVITAS!$B$2:$B$3052,B1352,AKTIVITAS!$E$2:$E$3052,H1352)&gt;0,1,0),0)</f>
        <v>1</v>
      </c>
      <c r="V1352" s="71">
        <f>IFERROR(IF(AND(H1352&gt;=INDEX(PEMAGANG!$J$3:$J$36,MATCH(B1352,PEMAGANG!$C$3:$C$36,0)),H1352&lt;=INDEX(PEMAGANG!$K$3:$K$36,MATCH(B1352,PEMAGANG!$C$3:$C$36,0))),1,0),0)</f>
        <v>1</v>
      </c>
      <c r="W1352" s="71">
        <f t="shared" si="197"/>
        <v>1</v>
      </c>
    </row>
    <row r="1353" spans="1:23" x14ac:dyDescent="0.2">
      <c r="A1353" s="71" t="s">
        <v>218</v>
      </c>
      <c r="B1353" s="71" t="s">
        <v>219</v>
      </c>
      <c r="C1353" s="71" t="s">
        <v>221</v>
      </c>
      <c r="D1353" s="71" t="s">
        <v>220</v>
      </c>
      <c r="E1353" s="71" t="s">
        <v>345</v>
      </c>
      <c r="F1353" s="71" t="s">
        <v>300</v>
      </c>
      <c r="G1353" s="88">
        <v>46218.657048611101</v>
      </c>
      <c r="H1353" s="89">
        <v>46218</v>
      </c>
      <c r="I1353" s="71" t="s">
        <v>526</v>
      </c>
      <c r="J1353" s="71">
        <v>0</v>
      </c>
      <c r="K1353" s="71" t="s">
        <v>302</v>
      </c>
      <c r="L1353" s="71">
        <f t="shared" si="189"/>
        <v>7</v>
      </c>
      <c r="M1353" s="71" t="str">
        <f>IFERROR(INDEX(KALENDER!$D$3:$D$132,MATCH(H1353,KALENDER!$A$3:$A$132,0)),"Di luar periode")</f>
        <v>WFH</v>
      </c>
      <c r="N1353" s="71">
        <f t="shared" si="190"/>
        <v>0</v>
      </c>
      <c r="O1353" s="71">
        <f t="shared" si="191"/>
        <v>1</v>
      </c>
      <c r="P1353" s="71">
        <f t="shared" si="192"/>
        <v>0</v>
      </c>
      <c r="Q1353" s="71">
        <f t="shared" si="193"/>
        <v>0</v>
      </c>
      <c r="R1353" s="71">
        <f t="shared" si="194"/>
        <v>0</v>
      </c>
      <c r="S1353" s="71">
        <f t="shared" si="195"/>
        <v>0</v>
      </c>
      <c r="T1353" s="71">
        <f t="shared" si="196"/>
        <v>0</v>
      </c>
      <c r="U1353" s="71">
        <f>IF(AND(N1353=1,V1353=1),IF(COUNTIFS(AKTIVITAS!$B$2:$B$3052,B1353,AKTIVITAS!$E$2:$E$3052,H1353)&gt;0,1,0),0)</f>
        <v>0</v>
      </c>
      <c r="V1353" s="71">
        <f>IFERROR(IF(AND(H1353&gt;=INDEX(PEMAGANG!$J$3:$J$36,MATCH(B1353,PEMAGANG!$C$3:$C$36,0)),H1353&lt;=INDEX(PEMAGANG!$K$3:$K$36,MATCH(B1353,PEMAGANG!$C$3:$C$36,0))),1,0),0)</f>
        <v>1</v>
      </c>
      <c r="W1353" s="71">
        <f t="shared" si="197"/>
        <v>0</v>
      </c>
    </row>
    <row r="1354" spans="1:23" x14ac:dyDescent="0.2">
      <c r="A1354" s="71" t="s">
        <v>218</v>
      </c>
      <c r="B1354" s="71" t="s">
        <v>219</v>
      </c>
      <c r="C1354" s="71" t="s">
        <v>221</v>
      </c>
      <c r="D1354" s="71" t="s">
        <v>220</v>
      </c>
      <c r="E1354" s="71" t="s">
        <v>345</v>
      </c>
      <c r="F1354" s="71" t="s">
        <v>298</v>
      </c>
      <c r="G1354" s="88">
        <v>46219.316342592603</v>
      </c>
      <c r="H1354" s="89">
        <v>46219</v>
      </c>
      <c r="I1354" s="71" t="s">
        <v>339</v>
      </c>
      <c r="J1354" s="71">
        <v>4.9999999999999796</v>
      </c>
      <c r="K1354" s="71" t="s">
        <v>293</v>
      </c>
      <c r="L1354" s="71">
        <f t="shared" si="189"/>
        <v>7</v>
      </c>
      <c r="M1354" s="71" t="str">
        <f>IFERROR(INDEX(KALENDER!$D$3:$D$132,MATCH(H1354,KALENDER!$A$3:$A$132,0)),"Di luar periode")</f>
        <v>Hari Kerja</v>
      </c>
      <c r="N1354" s="71">
        <f t="shared" si="190"/>
        <v>1</v>
      </c>
      <c r="O1354" s="71">
        <f t="shared" si="191"/>
        <v>1</v>
      </c>
      <c r="P1354" s="71">
        <f t="shared" si="192"/>
        <v>1</v>
      </c>
      <c r="Q1354" s="71">
        <f t="shared" si="193"/>
        <v>0</v>
      </c>
      <c r="R1354" s="71">
        <f t="shared" si="194"/>
        <v>1</v>
      </c>
      <c r="S1354" s="71">
        <f t="shared" si="195"/>
        <v>4.9999999999999796</v>
      </c>
      <c r="T1354" s="71">
        <f t="shared" si="196"/>
        <v>0</v>
      </c>
      <c r="U1354" s="71">
        <f>IF(AND(N1354=1,V1354=1),IF(COUNTIFS(AKTIVITAS!$B$2:$B$3052,B1354,AKTIVITAS!$E$2:$E$3052,H1354)&gt;0,1,0),0)</f>
        <v>1</v>
      </c>
      <c r="V1354" s="71">
        <f>IFERROR(IF(AND(H1354&gt;=INDEX(PEMAGANG!$J$3:$J$36,MATCH(B1354,PEMAGANG!$C$3:$C$36,0)),H1354&lt;=INDEX(PEMAGANG!$K$3:$K$36,MATCH(B1354,PEMAGANG!$C$3:$C$36,0))),1,0),0)</f>
        <v>1</v>
      </c>
      <c r="W1354" s="71">
        <f t="shared" si="197"/>
        <v>1</v>
      </c>
    </row>
    <row r="1355" spans="1:23" x14ac:dyDescent="0.2">
      <c r="A1355" s="71" t="s">
        <v>218</v>
      </c>
      <c r="B1355" s="71" t="s">
        <v>219</v>
      </c>
      <c r="C1355" s="71" t="s">
        <v>221</v>
      </c>
      <c r="D1355" s="71" t="s">
        <v>220</v>
      </c>
      <c r="E1355" s="71" t="s">
        <v>345</v>
      </c>
      <c r="F1355" s="71" t="s">
        <v>300</v>
      </c>
      <c r="G1355" s="88">
        <v>46219.742106481499</v>
      </c>
      <c r="H1355" s="89">
        <v>46219</v>
      </c>
      <c r="I1355" s="71" t="s">
        <v>379</v>
      </c>
      <c r="J1355" s="71">
        <v>0</v>
      </c>
      <c r="K1355" s="71" t="s">
        <v>302</v>
      </c>
      <c r="L1355" s="71">
        <f t="shared" si="189"/>
        <v>7</v>
      </c>
      <c r="M1355" s="71" t="str">
        <f>IFERROR(INDEX(KALENDER!$D$3:$D$132,MATCH(H1355,KALENDER!$A$3:$A$132,0)),"Di luar periode")</f>
        <v>Hari Kerja</v>
      </c>
      <c r="N1355" s="71">
        <f t="shared" si="190"/>
        <v>0</v>
      </c>
      <c r="O1355" s="71">
        <f t="shared" si="191"/>
        <v>1</v>
      </c>
      <c r="P1355" s="71">
        <f t="shared" si="192"/>
        <v>0</v>
      </c>
      <c r="Q1355" s="71">
        <f t="shared" si="193"/>
        <v>0</v>
      </c>
      <c r="R1355" s="71">
        <f t="shared" si="194"/>
        <v>0</v>
      </c>
      <c r="S1355" s="71">
        <f t="shared" si="195"/>
        <v>0</v>
      </c>
      <c r="T1355" s="71">
        <f t="shared" si="196"/>
        <v>0</v>
      </c>
      <c r="U1355" s="71">
        <f>IF(AND(N1355=1,V1355=1),IF(COUNTIFS(AKTIVITAS!$B$2:$B$3052,B1355,AKTIVITAS!$E$2:$E$3052,H1355)&gt;0,1,0),0)</f>
        <v>0</v>
      </c>
      <c r="V1355" s="71">
        <f>IFERROR(IF(AND(H1355&gt;=INDEX(PEMAGANG!$J$3:$J$36,MATCH(B1355,PEMAGANG!$C$3:$C$36,0)),H1355&lt;=INDEX(PEMAGANG!$K$3:$K$36,MATCH(B1355,PEMAGANG!$C$3:$C$36,0))),1,0),0)</f>
        <v>1</v>
      </c>
      <c r="W1355" s="71">
        <f t="shared" si="197"/>
        <v>0</v>
      </c>
    </row>
    <row r="1356" spans="1:23" x14ac:dyDescent="0.2">
      <c r="A1356" s="71" t="s">
        <v>218</v>
      </c>
      <c r="B1356" s="71" t="s">
        <v>219</v>
      </c>
      <c r="C1356" s="71" t="s">
        <v>221</v>
      </c>
      <c r="D1356" s="71" t="s">
        <v>220</v>
      </c>
      <c r="E1356" s="71" t="s">
        <v>345</v>
      </c>
      <c r="F1356" s="71" t="s">
        <v>298</v>
      </c>
      <c r="G1356" s="88">
        <v>46220.318148148202</v>
      </c>
      <c r="H1356" s="89">
        <v>46220</v>
      </c>
      <c r="I1356" s="71" t="s">
        <v>410</v>
      </c>
      <c r="J1356" s="71">
        <v>7.9999999999999698</v>
      </c>
      <c r="K1356" s="71" t="s">
        <v>293</v>
      </c>
      <c r="L1356" s="71">
        <f t="shared" si="189"/>
        <v>7</v>
      </c>
      <c r="M1356" s="71" t="str">
        <f>IFERROR(INDEX(KALENDER!$D$3:$D$132,MATCH(H1356,KALENDER!$A$3:$A$132,0)),"Di luar periode")</f>
        <v>Hari Kerja</v>
      </c>
      <c r="N1356" s="71">
        <f t="shared" si="190"/>
        <v>1</v>
      </c>
      <c r="O1356" s="71">
        <f t="shared" si="191"/>
        <v>1</v>
      </c>
      <c r="P1356" s="71">
        <f t="shared" si="192"/>
        <v>1</v>
      </c>
      <c r="Q1356" s="71">
        <f t="shared" si="193"/>
        <v>0</v>
      </c>
      <c r="R1356" s="71">
        <f t="shared" si="194"/>
        <v>1</v>
      </c>
      <c r="S1356" s="71">
        <f t="shared" si="195"/>
        <v>7.9999999999999698</v>
      </c>
      <c r="T1356" s="71">
        <f t="shared" si="196"/>
        <v>0</v>
      </c>
      <c r="U1356" s="71">
        <f>IF(AND(N1356=1,V1356=1),IF(COUNTIFS(AKTIVITAS!$B$2:$B$3052,B1356,AKTIVITAS!$E$2:$E$3052,H1356)&gt;0,1,0),0)</f>
        <v>1</v>
      </c>
      <c r="V1356" s="71">
        <f>IFERROR(IF(AND(H1356&gt;=INDEX(PEMAGANG!$J$3:$J$36,MATCH(B1356,PEMAGANG!$C$3:$C$36,0)),H1356&lt;=INDEX(PEMAGANG!$K$3:$K$36,MATCH(B1356,PEMAGANG!$C$3:$C$36,0))),1,0),0)</f>
        <v>1</v>
      </c>
      <c r="W1356" s="71">
        <f t="shared" si="197"/>
        <v>1</v>
      </c>
    </row>
    <row r="1357" spans="1:23" x14ac:dyDescent="0.2">
      <c r="A1357" s="71" t="s">
        <v>218</v>
      </c>
      <c r="B1357" s="71" t="s">
        <v>219</v>
      </c>
      <c r="C1357" s="71" t="s">
        <v>221</v>
      </c>
      <c r="D1357" s="71" t="s">
        <v>220</v>
      </c>
      <c r="E1357" s="71" t="s">
        <v>345</v>
      </c>
      <c r="F1357" s="71" t="s">
        <v>300</v>
      </c>
      <c r="G1357" s="88">
        <v>46220.6664467593</v>
      </c>
      <c r="H1357" s="89">
        <v>46220</v>
      </c>
      <c r="I1357" s="71" t="s">
        <v>550</v>
      </c>
      <c r="J1357" s="71">
        <v>0</v>
      </c>
      <c r="K1357" s="71" t="s">
        <v>302</v>
      </c>
      <c r="L1357" s="71">
        <f t="shared" si="189"/>
        <v>7</v>
      </c>
      <c r="M1357" s="71" t="str">
        <f>IFERROR(INDEX(KALENDER!$D$3:$D$132,MATCH(H1357,KALENDER!$A$3:$A$132,0)),"Di luar periode")</f>
        <v>Hari Kerja</v>
      </c>
      <c r="N1357" s="71">
        <f t="shared" si="190"/>
        <v>0</v>
      </c>
      <c r="O1357" s="71">
        <f t="shared" si="191"/>
        <v>1</v>
      </c>
      <c r="P1357" s="71">
        <f t="shared" si="192"/>
        <v>0</v>
      </c>
      <c r="Q1357" s="71">
        <f t="shared" si="193"/>
        <v>0</v>
      </c>
      <c r="R1357" s="71">
        <f t="shared" si="194"/>
        <v>0</v>
      </c>
      <c r="S1357" s="71">
        <f t="shared" si="195"/>
        <v>0</v>
      </c>
      <c r="T1357" s="71">
        <f t="shared" si="196"/>
        <v>0</v>
      </c>
      <c r="U1357" s="71">
        <f>IF(AND(N1357=1,V1357=1),IF(COUNTIFS(AKTIVITAS!$B$2:$B$3052,B1357,AKTIVITAS!$E$2:$E$3052,H1357)&gt;0,1,0),0)</f>
        <v>0</v>
      </c>
      <c r="V1357" s="71">
        <f>IFERROR(IF(AND(H1357&gt;=INDEX(PEMAGANG!$J$3:$J$36,MATCH(B1357,PEMAGANG!$C$3:$C$36,0)),H1357&lt;=INDEX(PEMAGANG!$K$3:$K$36,MATCH(B1357,PEMAGANG!$C$3:$C$36,0))),1,0),0)</f>
        <v>1</v>
      </c>
      <c r="W1357" s="71">
        <f t="shared" si="197"/>
        <v>0</v>
      </c>
    </row>
    <row r="1358" spans="1:23" x14ac:dyDescent="0.2">
      <c r="A1358" s="71" t="s">
        <v>218</v>
      </c>
      <c r="B1358" s="71" t="s">
        <v>219</v>
      </c>
      <c r="C1358" s="71" t="s">
        <v>221</v>
      </c>
      <c r="D1358" s="71" t="s">
        <v>220</v>
      </c>
      <c r="E1358" s="71" t="s">
        <v>345</v>
      </c>
      <c r="F1358" s="71" t="s">
        <v>298</v>
      </c>
      <c r="G1358" s="88">
        <v>46221.316064814797</v>
      </c>
      <c r="H1358" s="89">
        <v>46221</v>
      </c>
      <c r="I1358" s="71" t="s">
        <v>339</v>
      </c>
      <c r="J1358" s="71">
        <v>4.9999999999999796</v>
      </c>
      <c r="K1358" s="71" t="s">
        <v>293</v>
      </c>
      <c r="L1358" s="71">
        <f t="shared" si="189"/>
        <v>7</v>
      </c>
      <c r="M1358" s="71" t="str">
        <f>IFERROR(INDEX(KALENDER!$D$3:$D$132,MATCH(H1358,KALENDER!$A$3:$A$132,0)),"Di luar periode")</f>
        <v>Libur (Sabtu/Minggu)</v>
      </c>
      <c r="N1358" s="71">
        <f t="shared" si="190"/>
        <v>1</v>
      </c>
      <c r="O1358" s="71">
        <f t="shared" si="191"/>
        <v>1</v>
      </c>
      <c r="P1358" s="71">
        <f t="shared" si="192"/>
        <v>0</v>
      </c>
      <c r="Q1358" s="71">
        <f t="shared" si="193"/>
        <v>1</v>
      </c>
      <c r="R1358" s="71">
        <f t="shared" si="194"/>
        <v>1</v>
      </c>
      <c r="S1358" s="71">
        <f t="shared" si="195"/>
        <v>4.9999999999999796</v>
      </c>
      <c r="T1358" s="71">
        <f t="shared" si="196"/>
        <v>0</v>
      </c>
      <c r="U1358" s="71">
        <f>IF(AND(N1358=1,V1358=1),IF(COUNTIFS(AKTIVITAS!$B$2:$B$3052,B1358,AKTIVITAS!$E$2:$E$3052,H1358)&gt;0,1,0),0)</f>
        <v>1</v>
      </c>
      <c r="V1358" s="71">
        <f>IFERROR(IF(AND(H1358&gt;=INDEX(PEMAGANG!$J$3:$J$36,MATCH(B1358,PEMAGANG!$C$3:$C$36,0)),H1358&lt;=INDEX(PEMAGANG!$K$3:$K$36,MATCH(B1358,PEMAGANG!$C$3:$C$36,0))),1,0),0)</f>
        <v>1</v>
      </c>
      <c r="W1358" s="71">
        <f t="shared" si="197"/>
        <v>1</v>
      </c>
    </row>
    <row r="1359" spans="1:23" x14ac:dyDescent="0.2">
      <c r="A1359" s="71" t="s">
        <v>218</v>
      </c>
      <c r="B1359" s="71" t="s">
        <v>219</v>
      </c>
      <c r="C1359" s="71" t="s">
        <v>221</v>
      </c>
      <c r="D1359" s="71" t="s">
        <v>220</v>
      </c>
      <c r="E1359" s="71" t="s">
        <v>345</v>
      </c>
      <c r="F1359" s="71" t="s">
        <v>300</v>
      </c>
      <c r="G1359" s="88">
        <v>46221.669537037</v>
      </c>
      <c r="H1359" s="89">
        <v>46221</v>
      </c>
      <c r="I1359" s="71" t="s">
        <v>551</v>
      </c>
      <c r="J1359" s="71">
        <v>0</v>
      </c>
      <c r="K1359" s="71" t="s">
        <v>302</v>
      </c>
      <c r="L1359" s="71">
        <f t="shared" si="189"/>
        <v>7</v>
      </c>
      <c r="M1359" s="71" t="str">
        <f>IFERROR(INDEX(KALENDER!$D$3:$D$132,MATCH(H1359,KALENDER!$A$3:$A$132,0)),"Di luar periode")</f>
        <v>Libur (Sabtu/Minggu)</v>
      </c>
      <c r="N1359" s="71">
        <f t="shared" si="190"/>
        <v>0</v>
      </c>
      <c r="O1359" s="71">
        <f t="shared" si="191"/>
        <v>1</v>
      </c>
      <c r="P1359" s="71">
        <f t="shared" si="192"/>
        <v>0</v>
      </c>
      <c r="Q1359" s="71">
        <f t="shared" si="193"/>
        <v>0</v>
      </c>
      <c r="R1359" s="71">
        <f t="shared" si="194"/>
        <v>0</v>
      </c>
      <c r="S1359" s="71">
        <f t="shared" si="195"/>
        <v>0</v>
      </c>
      <c r="T1359" s="71">
        <f t="shared" si="196"/>
        <v>0</v>
      </c>
      <c r="U1359" s="71">
        <f>IF(AND(N1359=1,V1359=1),IF(COUNTIFS(AKTIVITAS!$B$2:$B$3052,B1359,AKTIVITAS!$E$2:$E$3052,H1359)&gt;0,1,0),0)</f>
        <v>0</v>
      </c>
      <c r="V1359" s="71">
        <f>IFERROR(IF(AND(H1359&gt;=INDEX(PEMAGANG!$J$3:$J$36,MATCH(B1359,PEMAGANG!$C$3:$C$36,0)),H1359&lt;=INDEX(PEMAGANG!$K$3:$K$36,MATCH(B1359,PEMAGANG!$C$3:$C$36,0))),1,0),0)</f>
        <v>1</v>
      </c>
      <c r="W1359" s="71">
        <f t="shared" si="197"/>
        <v>0</v>
      </c>
    </row>
    <row r="1360" spans="1:23" x14ac:dyDescent="0.2">
      <c r="A1360" s="71" t="s">
        <v>218</v>
      </c>
      <c r="B1360" s="71" t="s">
        <v>219</v>
      </c>
      <c r="C1360" s="71" t="s">
        <v>221</v>
      </c>
      <c r="D1360" s="71" t="s">
        <v>220</v>
      </c>
      <c r="E1360" s="71" t="s">
        <v>345</v>
      </c>
      <c r="F1360" s="71" t="s">
        <v>298</v>
      </c>
      <c r="G1360" s="88">
        <v>46223.314675925903</v>
      </c>
      <c r="H1360" s="89">
        <v>46223</v>
      </c>
      <c r="I1360" s="71" t="s">
        <v>383</v>
      </c>
      <c r="J1360" s="71">
        <v>2.9999999999999898</v>
      </c>
      <c r="K1360" s="71" t="s">
        <v>293</v>
      </c>
      <c r="L1360" s="71">
        <f t="shared" si="189"/>
        <v>7</v>
      </c>
      <c r="M1360" s="71" t="str">
        <f>IFERROR(INDEX(KALENDER!$D$3:$D$132,MATCH(H1360,KALENDER!$A$3:$A$132,0)),"Di luar periode")</f>
        <v>Hari Kerja</v>
      </c>
      <c r="N1360" s="71">
        <f t="shared" si="190"/>
        <v>1</v>
      </c>
      <c r="O1360" s="71">
        <f t="shared" si="191"/>
        <v>1</v>
      </c>
      <c r="P1360" s="71">
        <f t="shared" si="192"/>
        <v>1</v>
      </c>
      <c r="Q1360" s="71">
        <f t="shared" si="193"/>
        <v>0</v>
      </c>
      <c r="R1360" s="71">
        <f t="shared" si="194"/>
        <v>1</v>
      </c>
      <c r="S1360" s="71">
        <f t="shared" si="195"/>
        <v>2.9999999999999898</v>
      </c>
      <c r="T1360" s="71">
        <f t="shared" si="196"/>
        <v>0</v>
      </c>
      <c r="U1360" s="71">
        <f>IF(AND(N1360=1,V1360=1),IF(COUNTIFS(AKTIVITAS!$B$2:$B$3052,B1360,AKTIVITAS!$E$2:$E$3052,H1360)&gt;0,1,0),0)</f>
        <v>1</v>
      </c>
      <c r="V1360" s="71">
        <f>IFERROR(IF(AND(H1360&gt;=INDEX(PEMAGANG!$J$3:$J$36,MATCH(B1360,PEMAGANG!$C$3:$C$36,0)),H1360&lt;=INDEX(PEMAGANG!$K$3:$K$36,MATCH(B1360,PEMAGANG!$C$3:$C$36,0))),1,0),0)</f>
        <v>1</v>
      </c>
      <c r="W1360" s="71">
        <f t="shared" si="197"/>
        <v>1</v>
      </c>
    </row>
    <row r="1361" spans="1:23" x14ac:dyDescent="0.2">
      <c r="A1361" s="71" t="s">
        <v>218</v>
      </c>
      <c r="B1361" s="71" t="s">
        <v>219</v>
      </c>
      <c r="C1361" s="71" t="s">
        <v>221</v>
      </c>
      <c r="D1361" s="71" t="s">
        <v>220</v>
      </c>
      <c r="E1361" s="71" t="s">
        <v>345</v>
      </c>
      <c r="F1361" s="71" t="s">
        <v>300</v>
      </c>
      <c r="G1361" s="88">
        <v>46223.729375000003</v>
      </c>
      <c r="H1361" s="89">
        <v>46223</v>
      </c>
      <c r="I1361" s="71" t="s">
        <v>552</v>
      </c>
      <c r="J1361" s="71">
        <v>0</v>
      </c>
      <c r="K1361" s="71" t="s">
        <v>302</v>
      </c>
      <c r="L1361" s="71">
        <f t="shared" si="189"/>
        <v>7</v>
      </c>
      <c r="M1361" s="71" t="str">
        <f>IFERROR(INDEX(KALENDER!$D$3:$D$132,MATCH(H1361,KALENDER!$A$3:$A$132,0)),"Di luar periode")</f>
        <v>Hari Kerja</v>
      </c>
      <c r="N1361" s="71">
        <f t="shared" si="190"/>
        <v>0</v>
      </c>
      <c r="O1361" s="71">
        <f t="shared" si="191"/>
        <v>1</v>
      </c>
      <c r="P1361" s="71">
        <f t="shared" si="192"/>
        <v>0</v>
      </c>
      <c r="Q1361" s="71">
        <f t="shared" si="193"/>
        <v>0</v>
      </c>
      <c r="R1361" s="71">
        <f t="shared" si="194"/>
        <v>0</v>
      </c>
      <c r="S1361" s="71">
        <f t="shared" si="195"/>
        <v>0</v>
      </c>
      <c r="T1361" s="71">
        <f t="shared" si="196"/>
        <v>0</v>
      </c>
      <c r="U1361" s="71">
        <f>IF(AND(N1361=1,V1361=1),IF(COUNTIFS(AKTIVITAS!$B$2:$B$3052,B1361,AKTIVITAS!$E$2:$E$3052,H1361)&gt;0,1,0),0)</f>
        <v>0</v>
      </c>
      <c r="V1361" s="71">
        <f>IFERROR(IF(AND(H1361&gt;=INDEX(PEMAGANG!$J$3:$J$36,MATCH(B1361,PEMAGANG!$C$3:$C$36,0)),H1361&lt;=INDEX(PEMAGANG!$K$3:$K$36,MATCH(B1361,PEMAGANG!$C$3:$C$36,0))),1,0),0)</f>
        <v>1</v>
      </c>
      <c r="W1361" s="71">
        <f t="shared" si="197"/>
        <v>0</v>
      </c>
    </row>
    <row r="1362" spans="1:23" x14ac:dyDescent="0.2">
      <c r="A1362" s="71" t="s">
        <v>218</v>
      </c>
      <c r="B1362" s="71" t="s">
        <v>219</v>
      </c>
      <c r="C1362" s="71" t="s">
        <v>221</v>
      </c>
      <c r="D1362" s="71" t="s">
        <v>220</v>
      </c>
      <c r="E1362" s="71" t="s">
        <v>345</v>
      </c>
      <c r="F1362" s="71" t="s">
        <v>298</v>
      </c>
      <c r="G1362" s="88">
        <v>46224.3144791667</v>
      </c>
      <c r="H1362" s="89">
        <v>46224</v>
      </c>
      <c r="I1362" s="71" t="s">
        <v>338</v>
      </c>
      <c r="J1362" s="71">
        <v>1.99999999999999</v>
      </c>
      <c r="K1362" s="71" t="s">
        <v>293</v>
      </c>
      <c r="L1362" s="71">
        <f t="shared" si="189"/>
        <v>7</v>
      </c>
      <c r="M1362" s="71" t="str">
        <f>IFERROR(INDEX(KALENDER!$D$3:$D$132,MATCH(H1362,KALENDER!$A$3:$A$132,0)),"Di luar periode")</f>
        <v>Hari Kerja</v>
      </c>
      <c r="N1362" s="71">
        <f t="shared" si="190"/>
        <v>1</v>
      </c>
      <c r="O1362" s="71">
        <f t="shared" si="191"/>
        <v>1</v>
      </c>
      <c r="P1362" s="71">
        <f t="shared" si="192"/>
        <v>1</v>
      </c>
      <c r="Q1362" s="71">
        <f t="shared" si="193"/>
        <v>0</v>
      </c>
      <c r="R1362" s="71">
        <f t="shared" si="194"/>
        <v>1</v>
      </c>
      <c r="S1362" s="71">
        <f t="shared" si="195"/>
        <v>1.99999999999999</v>
      </c>
      <c r="T1362" s="71">
        <f t="shared" si="196"/>
        <v>0</v>
      </c>
      <c r="U1362" s="71">
        <f>IF(AND(N1362=1,V1362=1),IF(COUNTIFS(AKTIVITAS!$B$2:$B$3052,B1362,AKTIVITAS!$E$2:$E$3052,H1362)&gt;0,1,0),0)</f>
        <v>1</v>
      </c>
      <c r="V1362" s="71">
        <f>IFERROR(IF(AND(H1362&gt;=INDEX(PEMAGANG!$J$3:$J$36,MATCH(B1362,PEMAGANG!$C$3:$C$36,0)),H1362&lt;=INDEX(PEMAGANG!$K$3:$K$36,MATCH(B1362,PEMAGANG!$C$3:$C$36,0))),1,0),0)</f>
        <v>1</v>
      </c>
      <c r="W1362" s="71">
        <f t="shared" si="197"/>
        <v>1</v>
      </c>
    </row>
    <row r="1363" spans="1:23" x14ac:dyDescent="0.2">
      <c r="A1363" s="71" t="s">
        <v>218</v>
      </c>
      <c r="B1363" s="71" t="s">
        <v>219</v>
      </c>
      <c r="C1363" s="71" t="s">
        <v>221</v>
      </c>
      <c r="D1363" s="71" t="s">
        <v>220</v>
      </c>
      <c r="E1363" s="71" t="s">
        <v>345</v>
      </c>
      <c r="F1363" s="71" t="s">
        <v>300</v>
      </c>
      <c r="G1363" s="88">
        <v>46224.651932870402</v>
      </c>
      <c r="H1363" s="89">
        <v>46224</v>
      </c>
      <c r="I1363" s="71" t="s">
        <v>527</v>
      </c>
      <c r="J1363" s="71">
        <v>0</v>
      </c>
      <c r="K1363" s="71" t="s">
        <v>302</v>
      </c>
      <c r="L1363" s="71">
        <f t="shared" si="189"/>
        <v>7</v>
      </c>
      <c r="M1363" s="71" t="str">
        <f>IFERROR(INDEX(KALENDER!$D$3:$D$132,MATCH(H1363,KALENDER!$A$3:$A$132,0)),"Di luar periode")</f>
        <v>Hari Kerja</v>
      </c>
      <c r="N1363" s="71">
        <f t="shared" si="190"/>
        <v>0</v>
      </c>
      <c r="O1363" s="71">
        <f t="shared" si="191"/>
        <v>1</v>
      </c>
      <c r="P1363" s="71">
        <f t="shared" si="192"/>
        <v>0</v>
      </c>
      <c r="Q1363" s="71">
        <f t="shared" si="193"/>
        <v>0</v>
      </c>
      <c r="R1363" s="71">
        <f t="shared" si="194"/>
        <v>0</v>
      </c>
      <c r="S1363" s="71">
        <f t="shared" si="195"/>
        <v>0</v>
      </c>
      <c r="T1363" s="71">
        <f t="shared" si="196"/>
        <v>0</v>
      </c>
      <c r="U1363" s="71">
        <f>IF(AND(N1363=1,V1363=1),IF(COUNTIFS(AKTIVITAS!$B$2:$B$3052,B1363,AKTIVITAS!$E$2:$E$3052,H1363)&gt;0,1,0),0)</f>
        <v>0</v>
      </c>
      <c r="V1363" s="71">
        <f>IFERROR(IF(AND(H1363&gt;=INDEX(PEMAGANG!$J$3:$J$36,MATCH(B1363,PEMAGANG!$C$3:$C$36,0)),H1363&lt;=INDEX(PEMAGANG!$K$3:$K$36,MATCH(B1363,PEMAGANG!$C$3:$C$36,0))),1,0),0)</f>
        <v>1</v>
      </c>
      <c r="W1363" s="71">
        <f t="shared" si="197"/>
        <v>0</v>
      </c>
    </row>
    <row r="1364" spans="1:23" x14ac:dyDescent="0.2">
      <c r="A1364" s="71" t="s">
        <v>218</v>
      </c>
      <c r="B1364" s="71" t="s">
        <v>219</v>
      </c>
      <c r="C1364" s="71" t="s">
        <v>221</v>
      </c>
      <c r="D1364" s="71" t="s">
        <v>220</v>
      </c>
      <c r="E1364" s="71" t="s">
        <v>345</v>
      </c>
      <c r="F1364" s="71" t="s">
        <v>298</v>
      </c>
      <c r="G1364" s="88">
        <v>46225.317372685196</v>
      </c>
      <c r="H1364" s="89">
        <v>46225</v>
      </c>
      <c r="I1364" s="71" t="s">
        <v>386</v>
      </c>
      <c r="J1364" s="71">
        <v>7.0000000000000604</v>
      </c>
      <c r="K1364" s="71" t="s">
        <v>293</v>
      </c>
      <c r="L1364" s="71">
        <f t="shared" si="189"/>
        <v>7</v>
      </c>
      <c r="M1364" s="71" t="str">
        <f>IFERROR(INDEX(KALENDER!$D$3:$D$132,MATCH(H1364,KALENDER!$A$3:$A$132,0)),"Di luar periode")</f>
        <v>WFH</v>
      </c>
      <c r="N1364" s="71">
        <f t="shared" si="190"/>
        <v>1</v>
      </c>
      <c r="O1364" s="71">
        <f t="shared" si="191"/>
        <v>1</v>
      </c>
      <c r="P1364" s="71">
        <f t="shared" si="192"/>
        <v>0</v>
      </c>
      <c r="Q1364" s="71">
        <f t="shared" si="193"/>
        <v>1</v>
      </c>
      <c r="R1364" s="71">
        <f t="shared" si="194"/>
        <v>1</v>
      </c>
      <c r="S1364" s="71">
        <f t="shared" si="195"/>
        <v>7.0000000000000604</v>
      </c>
      <c r="T1364" s="71">
        <f t="shared" si="196"/>
        <v>0</v>
      </c>
      <c r="U1364" s="71">
        <f>IF(AND(N1364=1,V1364=1),IF(COUNTIFS(AKTIVITAS!$B$2:$B$3052,B1364,AKTIVITAS!$E$2:$E$3052,H1364)&gt;0,1,0),0)</f>
        <v>1</v>
      </c>
      <c r="V1364" s="71">
        <f>IFERROR(IF(AND(H1364&gt;=INDEX(PEMAGANG!$J$3:$J$36,MATCH(B1364,PEMAGANG!$C$3:$C$36,0)),H1364&lt;=INDEX(PEMAGANG!$K$3:$K$36,MATCH(B1364,PEMAGANG!$C$3:$C$36,0))),1,0),0)</f>
        <v>1</v>
      </c>
      <c r="W1364" s="71">
        <f t="shared" si="197"/>
        <v>1</v>
      </c>
    </row>
    <row r="1365" spans="1:23" x14ac:dyDescent="0.2">
      <c r="A1365" s="71" t="s">
        <v>218</v>
      </c>
      <c r="B1365" s="71" t="s">
        <v>219</v>
      </c>
      <c r="C1365" s="71" t="s">
        <v>221</v>
      </c>
      <c r="D1365" s="71" t="s">
        <v>220</v>
      </c>
      <c r="E1365" s="71" t="s">
        <v>345</v>
      </c>
      <c r="F1365" s="71" t="s">
        <v>300</v>
      </c>
      <c r="G1365" s="88">
        <v>46225.657083333303</v>
      </c>
      <c r="H1365" s="89">
        <v>46225</v>
      </c>
      <c r="I1365" s="71" t="s">
        <v>526</v>
      </c>
      <c r="J1365" s="71">
        <v>0</v>
      </c>
      <c r="K1365" s="71" t="s">
        <v>302</v>
      </c>
      <c r="L1365" s="71">
        <f t="shared" si="189"/>
        <v>7</v>
      </c>
      <c r="M1365" s="71" t="str">
        <f>IFERROR(INDEX(KALENDER!$D$3:$D$132,MATCH(H1365,KALENDER!$A$3:$A$132,0)),"Di luar periode")</f>
        <v>WFH</v>
      </c>
      <c r="N1365" s="71">
        <f t="shared" si="190"/>
        <v>0</v>
      </c>
      <c r="O1365" s="71">
        <f t="shared" si="191"/>
        <v>1</v>
      </c>
      <c r="P1365" s="71">
        <f t="shared" si="192"/>
        <v>0</v>
      </c>
      <c r="Q1365" s="71">
        <f t="shared" si="193"/>
        <v>0</v>
      </c>
      <c r="R1365" s="71">
        <f t="shared" si="194"/>
        <v>0</v>
      </c>
      <c r="S1365" s="71">
        <f t="shared" si="195"/>
        <v>0</v>
      </c>
      <c r="T1365" s="71">
        <f t="shared" si="196"/>
        <v>0</v>
      </c>
      <c r="U1365" s="71">
        <f>IF(AND(N1365=1,V1365=1),IF(COUNTIFS(AKTIVITAS!$B$2:$B$3052,B1365,AKTIVITAS!$E$2:$E$3052,H1365)&gt;0,1,0),0)</f>
        <v>0</v>
      </c>
      <c r="V1365" s="71">
        <f>IFERROR(IF(AND(H1365&gt;=INDEX(PEMAGANG!$J$3:$J$36,MATCH(B1365,PEMAGANG!$C$3:$C$36,0)),H1365&lt;=INDEX(PEMAGANG!$K$3:$K$36,MATCH(B1365,PEMAGANG!$C$3:$C$36,0))),1,0),0)</f>
        <v>1</v>
      </c>
      <c r="W1365" s="71">
        <f t="shared" si="197"/>
        <v>0</v>
      </c>
    </row>
    <row r="1366" spans="1:23" x14ac:dyDescent="0.2">
      <c r="A1366" s="71" t="s">
        <v>218</v>
      </c>
      <c r="B1366" s="71" t="s">
        <v>219</v>
      </c>
      <c r="C1366" s="71" t="s">
        <v>221</v>
      </c>
      <c r="D1366" s="71" t="s">
        <v>220</v>
      </c>
      <c r="E1366" s="71" t="s">
        <v>345</v>
      </c>
      <c r="F1366" s="71" t="s">
        <v>298</v>
      </c>
      <c r="G1366" s="88">
        <v>46226.315532407403</v>
      </c>
      <c r="H1366" s="89">
        <v>46226</v>
      </c>
      <c r="I1366" s="71" t="s">
        <v>373</v>
      </c>
      <c r="J1366" s="71">
        <v>3.9999999999999898</v>
      </c>
      <c r="K1366" s="71" t="s">
        <v>293</v>
      </c>
      <c r="L1366" s="71">
        <f t="shared" si="189"/>
        <v>7</v>
      </c>
      <c r="M1366" s="71" t="str">
        <f>IFERROR(INDEX(KALENDER!$D$3:$D$132,MATCH(H1366,KALENDER!$A$3:$A$132,0)),"Di luar periode")</f>
        <v>Hari Kerja</v>
      </c>
      <c r="N1366" s="71">
        <f t="shared" si="190"/>
        <v>1</v>
      </c>
      <c r="O1366" s="71">
        <f t="shared" si="191"/>
        <v>1</v>
      </c>
      <c r="P1366" s="71">
        <f t="shared" si="192"/>
        <v>1</v>
      </c>
      <c r="Q1366" s="71">
        <f t="shared" si="193"/>
        <v>0</v>
      </c>
      <c r="R1366" s="71">
        <f t="shared" si="194"/>
        <v>1</v>
      </c>
      <c r="S1366" s="71">
        <f t="shared" si="195"/>
        <v>3.9999999999999898</v>
      </c>
      <c r="T1366" s="71">
        <f t="shared" si="196"/>
        <v>0</v>
      </c>
      <c r="U1366" s="71">
        <f>IF(AND(N1366=1,V1366=1),IF(COUNTIFS(AKTIVITAS!$B$2:$B$3052,B1366,AKTIVITAS!$E$2:$E$3052,H1366)&gt;0,1,0),0)</f>
        <v>1</v>
      </c>
      <c r="V1366" s="71">
        <f>IFERROR(IF(AND(H1366&gt;=INDEX(PEMAGANG!$J$3:$J$36,MATCH(B1366,PEMAGANG!$C$3:$C$36,0)),H1366&lt;=INDEX(PEMAGANG!$K$3:$K$36,MATCH(B1366,PEMAGANG!$C$3:$C$36,0))),1,0),0)</f>
        <v>1</v>
      </c>
      <c r="W1366" s="71">
        <f t="shared" si="197"/>
        <v>1</v>
      </c>
    </row>
    <row r="1367" spans="1:23" x14ac:dyDescent="0.2">
      <c r="A1367" s="71" t="s">
        <v>218</v>
      </c>
      <c r="B1367" s="71" t="s">
        <v>219</v>
      </c>
      <c r="C1367" s="71" t="s">
        <v>221</v>
      </c>
      <c r="D1367" s="71" t="s">
        <v>220</v>
      </c>
      <c r="E1367" s="71" t="s">
        <v>345</v>
      </c>
      <c r="F1367" s="71" t="s">
        <v>300</v>
      </c>
      <c r="G1367" s="88">
        <v>46226.654930555596</v>
      </c>
      <c r="H1367" s="89">
        <v>46226</v>
      </c>
      <c r="I1367" s="71" t="s">
        <v>553</v>
      </c>
      <c r="J1367" s="71">
        <v>0</v>
      </c>
      <c r="K1367" s="71" t="s">
        <v>302</v>
      </c>
      <c r="L1367" s="71">
        <f t="shared" si="189"/>
        <v>7</v>
      </c>
      <c r="M1367" s="71" t="str">
        <f>IFERROR(INDEX(KALENDER!$D$3:$D$132,MATCH(H1367,KALENDER!$A$3:$A$132,0)),"Di luar periode")</f>
        <v>Hari Kerja</v>
      </c>
      <c r="N1367" s="71">
        <f t="shared" si="190"/>
        <v>0</v>
      </c>
      <c r="O1367" s="71">
        <f t="shared" si="191"/>
        <v>1</v>
      </c>
      <c r="P1367" s="71">
        <f t="shared" si="192"/>
        <v>0</v>
      </c>
      <c r="Q1367" s="71">
        <f t="shared" si="193"/>
        <v>0</v>
      </c>
      <c r="R1367" s="71">
        <f t="shared" si="194"/>
        <v>0</v>
      </c>
      <c r="S1367" s="71">
        <f t="shared" si="195"/>
        <v>0</v>
      </c>
      <c r="T1367" s="71">
        <f t="shared" si="196"/>
        <v>0</v>
      </c>
      <c r="U1367" s="71">
        <f>IF(AND(N1367=1,V1367=1),IF(COUNTIFS(AKTIVITAS!$B$2:$B$3052,B1367,AKTIVITAS!$E$2:$E$3052,H1367)&gt;0,1,0),0)</f>
        <v>0</v>
      </c>
      <c r="V1367" s="71">
        <f>IFERROR(IF(AND(H1367&gt;=INDEX(PEMAGANG!$J$3:$J$36,MATCH(B1367,PEMAGANG!$C$3:$C$36,0)),H1367&lt;=INDEX(PEMAGANG!$K$3:$K$36,MATCH(B1367,PEMAGANG!$C$3:$C$36,0))),1,0),0)</f>
        <v>1</v>
      </c>
      <c r="W1367" s="71">
        <f t="shared" si="197"/>
        <v>0</v>
      </c>
    </row>
    <row r="1368" spans="1:23" x14ac:dyDescent="0.2">
      <c r="A1368" s="71" t="s">
        <v>218</v>
      </c>
      <c r="B1368" s="71" t="s">
        <v>219</v>
      </c>
      <c r="C1368" s="71" t="s">
        <v>221</v>
      </c>
      <c r="D1368" s="71" t="s">
        <v>220</v>
      </c>
      <c r="E1368" s="71" t="s">
        <v>345</v>
      </c>
      <c r="F1368" s="71" t="s">
        <v>298</v>
      </c>
      <c r="G1368" s="88">
        <v>46227.320254629602</v>
      </c>
      <c r="H1368" s="89">
        <v>46227</v>
      </c>
      <c r="I1368" s="71" t="s">
        <v>367</v>
      </c>
      <c r="J1368" s="71">
        <v>11</v>
      </c>
      <c r="K1368" s="71" t="s">
        <v>293</v>
      </c>
      <c r="L1368" s="71">
        <f t="shared" si="189"/>
        <v>7</v>
      </c>
      <c r="M1368" s="71" t="str">
        <f>IFERROR(INDEX(KALENDER!$D$3:$D$132,MATCH(H1368,KALENDER!$A$3:$A$132,0)),"Di luar periode")</f>
        <v>Hari Kerja</v>
      </c>
      <c r="N1368" s="71">
        <f t="shared" si="190"/>
        <v>1</v>
      </c>
      <c r="O1368" s="71">
        <f t="shared" si="191"/>
        <v>1</v>
      </c>
      <c r="P1368" s="71">
        <f t="shared" si="192"/>
        <v>1</v>
      </c>
      <c r="Q1368" s="71">
        <f t="shared" si="193"/>
        <v>0</v>
      </c>
      <c r="R1368" s="71">
        <f t="shared" si="194"/>
        <v>1</v>
      </c>
      <c r="S1368" s="71">
        <f t="shared" si="195"/>
        <v>11</v>
      </c>
      <c r="T1368" s="71">
        <f t="shared" si="196"/>
        <v>0</v>
      </c>
      <c r="U1368" s="71">
        <f>IF(AND(N1368=1,V1368=1),IF(COUNTIFS(AKTIVITAS!$B$2:$B$3052,B1368,AKTIVITAS!$E$2:$E$3052,H1368)&gt;0,1,0),0)</f>
        <v>1</v>
      </c>
      <c r="V1368" s="71">
        <f>IFERROR(IF(AND(H1368&gt;=INDEX(PEMAGANG!$J$3:$J$36,MATCH(B1368,PEMAGANG!$C$3:$C$36,0)),H1368&lt;=INDEX(PEMAGANG!$K$3:$K$36,MATCH(B1368,PEMAGANG!$C$3:$C$36,0))),1,0),0)</f>
        <v>1</v>
      </c>
      <c r="W1368" s="71">
        <f t="shared" si="197"/>
        <v>1</v>
      </c>
    </row>
    <row r="1369" spans="1:23" x14ac:dyDescent="0.2">
      <c r="A1369" s="71" t="s">
        <v>218</v>
      </c>
      <c r="B1369" s="71" t="s">
        <v>219</v>
      </c>
      <c r="C1369" s="71" t="s">
        <v>221</v>
      </c>
      <c r="D1369" s="71" t="s">
        <v>220</v>
      </c>
      <c r="E1369" s="71" t="s">
        <v>345</v>
      </c>
      <c r="F1369" s="71" t="s">
        <v>300</v>
      </c>
      <c r="G1369" s="88">
        <v>46227.683113425897</v>
      </c>
      <c r="H1369" s="89">
        <v>46227</v>
      </c>
      <c r="I1369" s="71" t="s">
        <v>554</v>
      </c>
      <c r="J1369" s="71">
        <v>0</v>
      </c>
      <c r="K1369" s="71" t="s">
        <v>302</v>
      </c>
      <c r="L1369" s="71">
        <f t="shared" si="189"/>
        <v>7</v>
      </c>
      <c r="M1369" s="71" t="str">
        <f>IFERROR(INDEX(KALENDER!$D$3:$D$132,MATCH(H1369,KALENDER!$A$3:$A$132,0)),"Di luar periode")</f>
        <v>Hari Kerja</v>
      </c>
      <c r="N1369" s="71">
        <f t="shared" si="190"/>
        <v>0</v>
      </c>
      <c r="O1369" s="71">
        <f t="shared" si="191"/>
        <v>1</v>
      </c>
      <c r="P1369" s="71">
        <f t="shared" si="192"/>
        <v>0</v>
      </c>
      <c r="Q1369" s="71">
        <f t="shared" si="193"/>
        <v>0</v>
      </c>
      <c r="R1369" s="71">
        <f t="shared" si="194"/>
        <v>0</v>
      </c>
      <c r="S1369" s="71">
        <f t="shared" si="195"/>
        <v>0</v>
      </c>
      <c r="T1369" s="71">
        <f t="shared" si="196"/>
        <v>0</v>
      </c>
      <c r="U1369" s="71">
        <f>IF(AND(N1369=1,V1369=1),IF(COUNTIFS(AKTIVITAS!$B$2:$B$3052,B1369,AKTIVITAS!$E$2:$E$3052,H1369)&gt;0,1,0),0)</f>
        <v>0</v>
      </c>
      <c r="V1369" s="71">
        <f>IFERROR(IF(AND(H1369&gt;=INDEX(PEMAGANG!$J$3:$J$36,MATCH(B1369,PEMAGANG!$C$3:$C$36,0)),H1369&lt;=INDEX(PEMAGANG!$K$3:$K$36,MATCH(B1369,PEMAGANG!$C$3:$C$36,0))),1,0),0)</f>
        <v>1</v>
      </c>
      <c r="W1369" s="71">
        <f t="shared" si="197"/>
        <v>0</v>
      </c>
    </row>
    <row r="1370" spans="1:23" x14ac:dyDescent="0.2">
      <c r="A1370" s="71" t="s">
        <v>218</v>
      </c>
      <c r="B1370" s="71" t="s">
        <v>219</v>
      </c>
      <c r="C1370" s="71" t="s">
        <v>221</v>
      </c>
      <c r="D1370" s="71" t="s">
        <v>220</v>
      </c>
      <c r="E1370" s="71" t="s">
        <v>345</v>
      </c>
      <c r="F1370" s="71" t="s">
        <v>298</v>
      </c>
      <c r="G1370" s="88">
        <v>46228.415613425903</v>
      </c>
      <c r="H1370" s="89">
        <v>46228</v>
      </c>
      <c r="I1370" s="71" t="s">
        <v>555</v>
      </c>
      <c r="J1370" s="71">
        <v>148</v>
      </c>
      <c r="K1370" s="71" t="s">
        <v>293</v>
      </c>
      <c r="L1370" s="71">
        <f t="shared" si="189"/>
        <v>7</v>
      </c>
      <c r="M1370" s="71" t="str">
        <f>IFERROR(INDEX(KALENDER!$D$3:$D$132,MATCH(H1370,KALENDER!$A$3:$A$132,0)),"Di luar periode")</f>
        <v>Libur (Sabtu/Minggu)</v>
      </c>
      <c r="N1370" s="71">
        <f t="shared" si="190"/>
        <v>1</v>
      </c>
      <c r="O1370" s="71">
        <f t="shared" si="191"/>
        <v>1</v>
      </c>
      <c r="P1370" s="71">
        <f t="shared" si="192"/>
        <v>0</v>
      </c>
      <c r="Q1370" s="71">
        <f t="shared" si="193"/>
        <v>1</v>
      </c>
      <c r="R1370" s="71">
        <f t="shared" si="194"/>
        <v>1</v>
      </c>
      <c r="S1370" s="71">
        <f t="shared" si="195"/>
        <v>148</v>
      </c>
      <c r="T1370" s="71">
        <f t="shared" si="196"/>
        <v>0</v>
      </c>
      <c r="U1370" s="71">
        <f>IF(AND(N1370=1,V1370=1),IF(COUNTIFS(AKTIVITAS!$B$2:$B$3052,B1370,AKTIVITAS!$E$2:$E$3052,H1370)&gt;0,1,0),0)</f>
        <v>0</v>
      </c>
      <c r="V1370" s="71">
        <f>IFERROR(IF(AND(H1370&gt;=INDEX(PEMAGANG!$J$3:$J$36,MATCH(B1370,PEMAGANG!$C$3:$C$36,0)),H1370&lt;=INDEX(PEMAGANG!$K$3:$K$36,MATCH(B1370,PEMAGANG!$C$3:$C$36,0))),1,0),0)</f>
        <v>1</v>
      </c>
      <c r="W1370" s="71">
        <f t="shared" si="197"/>
        <v>1</v>
      </c>
    </row>
    <row r="1371" spans="1:23" x14ac:dyDescent="0.2">
      <c r="A1371" s="71" t="s">
        <v>218</v>
      </c>
      <c r="B1371" s="71" t="s">
        <v>219</v>
      </c>
      <c r="C1371" s="71" t="s">
        <v>221</v>
      </c>
      <c r="D1371" s="71" t="s">
        <v>220</v>
      </c>
      <c r="E1371" s="71" t="s">
        <v>345</v>
      </c>
      <c r="F1371" s="71" t="s">
        <v>300</v>
      </c>
      <c r="G1371" s="88">
        <v>46228.667986111097</v>
      </c>
      <c r="H1371" s="89">
        <v>46228</v>
      </c>
      <c r="I1371" s="71" t="s">
        <v>547</v>
      </c>
      <c r="J1371" s="71">
        <v>0</v>
      </c>
      <c r="K1371" s="71" t="s">
        <v>302</v>
      </c>
      <c r="L1371" s="71">
        <f t="shared" si="189"/>
        <v>7</v>
      </c>
      <c r="M1371" s="71" t="str">
        <f>IFERROR(INDEX(KALENDER!$D$3:$D$132,MATCH(H1371,KALENDER!$A$3:$A$132,0)),"Di luar periode")</f>
        <v>Libur (Sabtu/Minggu)</v>
      </c>
      <c r="N1371" s="71">
        <f t="shared" si="190"/>
        <v>0</v>
      </c>
      <c r="O1371" s="71">
        <f t="shared" si="191"/>
        <v>1</v>
      </c>
      <c r="P1371" s="71">
        <f t="shared" si="192"/>
        <v>0</v>
      </c>
      <c r="Q1371" s="71">
        <f t="shared" si="193"/>
        <v>0</v>
      </c>
      <c r="R1371" s="71">
        <f t="shared" si="194"/>
        <v>0</v>
      </c>
      <c r="S1371" s="71">
        <f t="shared" si="195"/>
        <v>0</v>
      </c>
      <c r="T1371" s="71">
        <f t="shared" si="196"/>
        <v>0</v>
      </c>
      <c r="U1371" s="71">
        <f>IF(AND(N1371=1,V1371=1),IF(COUNTIFS(AKTIVITAS!$B$2:$B$3052,B1371,AKTIVITAS!$E$2:$E$3052,H1371)&gt;0,1,0),0)</f>
        <v>0</v>
      </c>
      <c r="V1371" s="71">
        <f>IFERROR(IF(AND(H1371&gt;=INDEX(PEMAGANG!$J$3:$J$36,MATCH(B1371,PEMAGANG!$C$3:$C$36,0)),H1371&lt;=INDEX(PEMAGANG!$K$3:$K$36,MATCH(B1371,PEMAGANG!$C$3:$C$36,0))),1,0),0)</f>
        <v>1</v>
      </c>
      <c r="W1371" s="71">
        <f t="shared" si="197"/>
        <v>0</v>
      </c>
    </row>
    <row r="1372" spans="1:23" x14ac:dyDescent="0.2">
      <c r="A1372" s="71" t="s">
        <v>218</v>
      </c>
      <c r="B1372" s="71" t="s">
        <v>219</v>
      </c>
      <c r="C1372" s="71" t="s">
        <v>221</v>
      </c>
      <c r="D1372" s="71" t="s">
        <v>220</v>
      </c>
      <c r="E1372" s="71" t="s">
        <v>345</v>
      </c>
      <c r="F1372" s="71" t="s">
        <v>298</v>
      </c>
      <c r="G1372" s="88">
        <v>46230.315856481502</v>
      </c>
      <c r="H1372" s="89">
        <v>46230</v>
      </c>
      <c r="I1372" s="71" t="s">
        <v>373</v>
      </c>
      <c r="J1372" s="71">
        <v>3.9999999999999898</v>
      </c>
      <c r="K1372" s="71" t="s">
        <v>293</v>
      </c>
      <c r="L1372" s="71">
        <f t="shared" si="189"/>
        <v>7</v>
      </c>
      <c r="M1372" s="71" t="str">
        <f>IFERROR(INDEX(KALENDER!$D$3:$D$132,MATCH(H1372,KALENDER!$A$3:$A$132,0)),"Di luar periode")</f>
        <v>Hari Kerja</v>
      </c>
      <c r="N1372" s="71">
        <f t="shared" si="190"/>
        <v>1</v>
      </c>
      <c r="O1372" s="71">
        <f t="shared" si="191"/>
        <v>1</v>
      </c>
      <c r="P1372" s="71">
        <f t="shared" si="192"/>
        <v>1</v>
      </c>
      <c r="Q1372" s="71">
        <f t="shared" si="193"/>
        <v>0</v>
      </c>
      <c r="R1372" s="71">
        <f t="shared" si="194"/>
        <v>1</v>
      </c>
      <c r="S1372" s="71">
        <f t="shared" si="195"/>
        <v>3.9999999999999898</v>
      </c>
      <c r="T1372" s="71">
        <f t="shared" si="196"/>
        <v>0</v>
      </c>
      <c r="U1372" s="71">
        <f>IF(AND(N1372=1,V1372=1),IF(COUNTIFS(AKTIVITAS!$B$2:$B$3052,B1372,AKTIVITAS!$E$2:$E$3052,H1372)&gt;0,1,0),0)</f>
        <v>1</v>
      </c>
      <c r="V1372" s="71">
        <f>IFERROR(IF(AND(H1372&gt;=INDEX(PEMAGANG!$J$3:$J$36,MATCH(B1372,PEMAGANG!$C$3:$C$36,0)),H1372&lt;=INDEX(PEMAGANG!$K$3:$K$36,MATCH(B1372,PEMAGANG!$C$3:$C$36,0))),1,0),0)</f>
        <v>1</v>
      </c>
      <c r="W1372" s="71">
        <f t="shared" si="197"/>
        <v>1</v>
      </c>
    </row>
    <row r="1373" spans="1:23" x14ac:dyDescent="0.2">
      <c r="A1373" s="71" t="s">
        <v>218</v>
      </c>
      <c r="B1373" s="71" t="s">
        <v>219</v>
      </c>
      <c r="C1373" s="71" t="s">
        <v>221</v>
      </c>
      <c r="D1373" s="71" t="s">
        <v>220</v>
      </c>
      <c r="E1373" s="71" t="s">
        <v>345</v>
      </c>
      <c r="F1373" s="71" t="s">
        <v>300</v>
      </c>
      <c r="G1373" s="88">
        <v>46230.672106481499</v>
      </c>
      <c r="H1373" s="89">
        <v>46230</v>
      </c>
      <c r="I1373" s="71" t="s">
        <v>556</v>
      </c>
      <c r="J1373" s="71">
        <v>0</v>
      </c>
      <c r="K1373" s="71" t="s">
        <v>302</v>
      </c>
      <c r="L1373" s="71">
        <f t="shared" si="189"/>
        <v>7</v>
      </c>
      <c r="M1373" s="71" t="str">
        <f>IFERROR(INDEX(KALENDER!$D$3:$D$132,MATCH(H1373,KALENDER!$A$3:$A$132,0)),"Di luar periode")</f>
        <v>Hari Kerja</v>
      </c>
      <c r="N1373" s="71">
        <f t="shared" si="190"/>
        <v>0</v>
      </c>
      <c r="O1373" s="71">
        <f t="shared" si="191"/>
        <v>1</v>
      </c>
      <c r="P1373" s="71">
        <f t="shared" si="192"/>
        <v>0</v>
      </c>
      <c r="Q1373" s="71">
        <f t="shared" si="193"/>
        <v>0</v>
      </c>
      <c r="R1373" s="71">
        <f t="shared" si="194"/>
        <v>0</v>
      </c>
      <c r="S1373" s="71">
        <f t="shared" si="195"/>
        <v>0</v>
      </c>
      <c r="T1373" s="71">
        <f t="shared" si="196"/>
        <v>0</v>
      </c>
      <c r="U1373" s="71">
        <f>IF(AND(N1373=1,V1373=1),IF(COUNTIFS(AKTIVITAS!$B$2:$B$3052,B1373,AKTIVITAS!$E$2:$E$3052,H1373)&gt;0,1,0),0)</f>
        <v>0</v>
      </c>
      <c r="V1373" s="71">
        <f>IFERROR(IF(AND(H1373&gt;=INDEX(PEMAGANG!$J$3:$J$36,MATCH(B1373,PEMAGANG!$C$3:$C$36,0)),H1373&lt;=INDEX(PEMAGANG!$K$3:$K$36,MATCH(B1373,PEMAGANG!$C$3:$C$36,0))),1,0),0)</f>
        <v>1</v>
      </c>
      <c r="W1373" s="71">
        <f t="shared" si="197"/>
        <v>0</v>
      </c>
    </row>
    <row r="1374" spans="1:23" x14ac:dyDescent="0.2">
      <c r="A1374" s="71" t="s">
        <v>218</v>
      </c>
      <c r="B1374" s="71" t="s">
        <v>219</v>
      </c>
      <c r="C1374" s="71" t="s">
        <v>221</v>
      </c>
      <c r="D1374" s="71" t="s">
        <v>220</v>
      </c>
      <c r="E1374" s="71" t="s">
        <v>345</v>
      </c>
      <c r="F1374" s="71" t="s">
        <v>298</v>
      </c>
      <c r="G1374" s="88">
        <v>46231.315277777801</v>
      </c>
      <c r="H1374" s="89">
        <v>46231</v>
      </c>
      <c r="I1374" s="71" t="s">
        <v>373</v>
      </c>
      <c r="J1374" s="71">
        <v>3.9999999999999898</v>
      </c>
      <c r="K1374" s="71" t="s">
        <v>293</v>
      </c>
      <c r="L1374" s="71">
        <f t="shared" si="189"/>
        <v>7</v>
      </c>
      <c r="M1374" s="71" t="str">
        <f>IFERROR(INDEX(KALENDER!$D$3:$D$132,MATCH(H1374,KALENDER!$A$3:$A$132,0)),"Di luar periode")</f>
        <v>Hari Kerja</v>
      </c>
      <c r="N1374" s="71">
        <f t="shared" si="190"/>
        <v>1</v>
      </c>
      <c r="O1374" s="71">
        <f t="shared" si="191"/>
        <v>1</v>
      </c>
      <c r="P1374" s="71">
        <f t="shared" si="192"/>
        <v>1</v>
      </c>
      <c r="Q1374" s="71">
        <f t="shared" si="193"/>
        <v>0</v>
      </c>
      <c r="R1374" s="71">
        <f t="shared" si="194"/>
        <v>1</v>
      </c>
      <c r="S1374" s="71">
        <f t="shared" si="195"/>
        <v>3.9999999999999898</v>
      </c>
      <c r="T1374" s="71">
        <f t="shared" si="196"/>
        <v>0</v>
      </c>
      <c r="U1374" s="71">
        <f>IF(AND(N1374=1,V1374=1),IF(COUNTIFS(AKTIVITAS!$B$2:$B$3052,B1374,AKTIVITAS!$E$2:$E$3052,H1374)&gt;0,1,0),0)</f>
        <v>1</v>
      </c>
      <c r="V1374" s="71">
        <f>IFERROR(IF(AND(H1374&gt;=INDEX(PEMAGANG!$J$3:$J$36,MATCH(B1374,PEMAGANG!$C$3:$C$36,0)),H1374&lt;=INDEX(PEMAGANG!$K$3:$K$36,MATCH(B1374,PEMAGANG!$C$3:$C$36,0))),1,0),0)</f>
        <v>1</v>
      </c>
      <c r="W1374" s="71">
        <f t="shared" si="197"/>
        <v>1</v>
      </c>
    </row>
    <row r="1375" spans="1:23" x14ac:dyDescent="0.2">
      <c r="A1375" s="71" t="s">
        <v>218</v>
      </c>
      <c r="B1375" s="71" t="s">
        <v>219</v>
      </c>
      <c r="C1375" s="71" t="s">
        <v>221</v>
      </c>
      <c r="D1375" s="71" t="s">
        <v>220</v>
      </c>
      <c r="E1375" s="71" t="s">
        <v>345</v>
      </c>
      <c r="F1375" s="71" t="s">
        <v>300</v>
      </c>
      <c r="G1375" s="88">
        <v>46231.657847222203</v>
      </c>
      <c r="H1375" s="89">
        <v>46231</v>
      </c>
      <c r="I1375" s="71" t="s">
        <v>534</v>
      </c>
      <c r="J1375" s="71">
        <v>0</v>
      </c>
      <c r="K1375" s="71" t="s">
        <v>302</v>
      </c>
      <c r="L1375" s="71">
        <f t="shared" si="189"/>
        <v>7</v>
      </c>
      <c r="M1375" s="71" t="str">
        <f>IFERROR(INDEX(KALENDER!$D$3:$D$132,MATCH(H1375,KALENDER!$A$3:$A$132,0)),"Di luar periode")</f>
        <v>Hari Kerja</v>
      </c>
      <c r="N1375" s="71">
        <f t="shared" si="190"/>
        <v>0</v>
      </c>
      <c r="O1375" s="71">
        <f t="shared" si="191"/>
        <v>1</v>
      </c>
      <c r="P1375" s="71">
        <f t="shared" si="192"/>
        <v>0</v>
      </c>
      <c r="Q1375" s="71">
        <f t="shared" si="193"/>
        <v>0</v>
      </c>
      <c r="R1375" s="71">
        <f t="shared" si="194"/>
        <v>0</v>
      </c>
      <c r="S1375" s="71">
        <f t="shared" si="195"/>
        <v>0</v>
      </c>
      <c r="T1375" s="71">
        <f t="shared" si="196"/>
        <v>0</v>
      </c>
      <c r="U1375" s="71">
        <f>IF(AND(N1375=1,V1375=1),IF(COUNTIFS(AKTIVITAS!$B$2:$B$3052,B1375,AKTIVITAS!$E$2:$E$3052,H1375)&gt;0,1,0),0)</f>
        <v>0</v>
      </c>
      <c r="V1375" s="71">
        <f>IFERROR(IF(AND(H1375&gt;=INDEX(PEMAGANG!$J$3:$J$36,MATCH(B1375,PEMAGANG!$C$3:$C$36,0)),H1375&lt;=INDEX(PEMAGANG!$K$3:$K$36,MATCH(B1375,PEMAGANG!$C$3:$C$36,0))),1,0),0)</f>
        <v>1</v>
      </c>
      <c r="W1375" s="71">
        <f t="shared" si="197"/>
        <v>0</v>
      </c>
    </row>
    <row r="1376" spans="1:23" x14ac:dyDescent="0.2">
      <c r="A1376" s="71" t="s">
        <v>218</v>
      </c>
      <c r="B1376" s="71" t="s">
        <v>219</v>
      </c>
      <c r="C1376" s="71" t="s">
        <v>221</v>
      </c>
      <c r="D1376" s="71" t="s">
        <v>220</v>
      </c>
      <c r="E1376" s="71" t="s">
        <v>345</v>
      </c>
      <c r="F1376" s="71" t="s">
        <v>298</v>
      </c>
      <c r="G1376" s="88">
        <v>46232.309305555602</v>
      </c>
      <c r="H1376" s="89">
        <v>46232</v>
      </c>
      <c r="I1376" s="71" t="s">
        <v>307</v>
      </c>
      <c r="J1376" s="71">
        <v>-4.9999999999999796</v>
      </c>
      <c r="K1376" s="71" t="s">
        <v>302</v>
      </c>
      <c r="L1376" s="71">
        <f t="shared" si="189"/>
        <v>7</v>
      </c>
      <c r="M1376" s="71" t="str">
        <f>IFERROR(INDEX(KALENDER!$D$3:$D$132,MATCH(H1376,KALENDER!$A$3:$A$132,0)),"Di luar periode")</f>
        <v>WFH</v>
      </c>
      <c r="N1376" s="71">
        <f t="shared" si="190"/>
        <v>1</v>
      </c>
      <c r="O1376" s="71">
        <f t="shared" si="191"/>
        <v>1</v>
      </c>
      <c r="P1376" s="71">
        <f t="shared" si="192"/>
        <v>0</v>
      </c>
      <c r="Q1376" s="71">
        <f t="shared" si="193"/>
        <v>1</v>
      </c>
      <c r="R1376" s="71">
        <f t="shared" si="194"/>
        <v>0</v>
      </c>
      <c r="S1376" s="71">
        <f t="shared" si="195"/>
        <v>0</v>
      </c>
      <c r="T1376" s="71">
        <f t="shared" si="196"/>
        <v>0</v>
      </c>
      <c r="U1376" s="71">
        <f>IF(AND(N1376=1,V1376=1),IF(COUNTIFS(AKTIVITAS!$B$2:$B$3052,B1376,AKTIVITAS!$E$2:$E$3052,H1376)&gt;0,1,0),0)</f>
        <v>1</v>
      </c>
      <c r="V1376" s="71">
        <f>IFERROR(IF(AND(H1376&gt;=INDEX(PEMAGANG!$J$3:$J$36,MATCH(B1376,PEMAGANG!$C$3:$C$36,0)),H1376&lt;=INDEX(PEMAGANG!$K$3:$K$36,MATCH(B1376,PEMAGANG!$C$3:$C$36,0))),1,0),0)</f>
        <v>1</v>
      </c>
      <c r="W1376" s="71">
        <f t="shared" si="197"/>
        <v>1</v>
      </c>
    </row>
    <row r="1377" spans="1:23" x14ac:dyDescent="0.2">
      <c r="A1377" s="71" t="s">
        <v>218</v>
      </c>
      <c r="B1377" s="71" t="s">
        <v>219</v>
      </c>
      <c r="C1377" s="71" t="s">
        <v>221</v>
      </c>
      <c r="D1377" s="71" t="s">
        <v>220</v>
      </c>
      <c r="E1377" s="71" t="s">
        <v>345</v>
      </c>
      <c r="F1377" s="71" t="s">
        <v>300</v>
      </c>
      <c r="G1377" s="88">
        <v>46232.654861111099</v>
      </c>
      <c r="H1377" s="89">
        <v>46232</v>
      </c>
      <c r="I1377" s="71" t="s">
        <v>553</v>
      </c>
      <c r="J1377" s="71">
        <v>0</v>
      </c>
      <c r="K1377" s="71" t="s">
        <v>302</v>
      </c>
      <c r="L1377" s="71">
        <f t="shared" si="189"/>
        <v>7</v>
      </c>
      <c r="M1377" s="71" t="str">
        <f>IFERROR(INDEX(KALENDER!$D$3:$D$132,MATCH(H1377,KALENDER!$A$3:$A$132,0)),"Di luar periode")</f>
        <v>WFH</v>
      </c>
      <c r="N1377" s="71">
        <f t="shared" si="190"/>
        <v>0</v>
      </c>
      <c r="O1377" s="71">
        <f t="shared" si="191"/>
        <v>1</v>
      </c>
      <c r="P1377" s="71">
        <f t="shared" si="192"/>
        <v>0</v>
      </c>
      <c r="Q1377" s="71">
        <f t="shared" si="193"/>
        <v>0</v>
      </c>
      <c r="R1377" s="71">
        <f t="shared" si="194"/>
        <v>0</v>
      </c>
      <c r="S1377" s="71">
        <f t="shared" si="195"/>
        <v>0</v>
      </c>
      <c r="T1377" s="71">
        <f t="shared" si="196"/>
        <v>0</v>
      </c>
      <c r="U1377" s="71">
        <f>IF(AND(N1377=1,V1377=1),IF(COUNTIFS(AKTIVITAS!$B$2:$B$3052,B1377,AKTIVITAS!$E$2:$E$3052,H1377)&gt;0,1,0),0)</f>
        <v>0</v>
      </c>
      <c r="V1377" s="71">
        <f>IFERROR(IF(AND(H1377&gt;=INDEX(PEMAGANG!$J$3:$J$36,MATCH(B1377,PEMAGANG!$C$3:$C$36,0)),H1377&lt;=INDEX(PEMAGANG!$K$3:$K$36,MATCH(B1377,PEMAGANG!$C$3:$C$36,0))),1,0),0)</f>
        <v>1</v>
      </c>
      <c r="W1377" s="71">
        <f t="shared" si="197"/>
        <v>0</v>
      </c>
    </row>
    <row r="1378" spans="1:23" x14ac:dyDescent="0.2">
      <c r="A1378" s="71" t="s">
        <v>218</v>
      </c>
      <c r="B1378" s="71" t="s">
        <v>219</v>
      </c>
      <c r="C1378" s="71" t="s">
        <v>221</v>
      </c>
      <c r="D1378" s="71" t="s">
        <v>220</v>
      </c>
      <c r="E1378" s="71" t="s">
        <v>345</v>
      </c>
      <c r="F1378" s="71" t="s">
        <v>298</v>
      </c>
      <c r="G1378" s="88">
        <v>46233.310497685197</v>
      </c>
      <c r="H1378" s="89">
        <v>46233</v>
      </c>
      <c r="I1378" s="71" t="s">
        <v>309</v>
      </c>
      <c r="J1378" s="71">
        <v>-2.9999999999999898</v>
      </c>
      <c r="K1378" s="71" t="s">
        <v>302</v>
      </c>
      <c r="L1378" s="71">
        <f t="shared" si="189"/>
        <v>7</v>
      </c>
      <c r="M1378" s="71" t="str">
        <f>IFERROR(INDEX(KALENDER!$D$3:$D$132,MATCH(H1378,KALENDER!$A$3:$A$132,0)),"Di luar periode")</f>
        <v>Hari Kerja</v>
      </c>
      <c r="N1378" s="71">
        <f t="shared" si="190"/>
        <v>1</v>
      </c>
      <c r="O1378" s="71">
        <f t="shared" si="191"/>
        <v>1</v>
      </c>
      <c r="P1378" s="71">
        <f t="shared" si="192"/>
        <v>1</v>
      </c>
      <c r="Q1378" s="71">
        <f t="shared" si="193"/>
        <v>0</v>
      </c>
      <c r="R1378" s="71">
        <f t="shared" si="194"/>
        <v>0</v>
      </c>
      <c r="S1378" s="71">
        <f t="shared" si="195"/>
        <v>0</v>
      </c>
      <c r="T1378" s="71">
        <f t="shared" si="196"/>
        <v>0</v>
      </c>
      <c r="U1378" s="71">
        <f>IF(AND(N1378=1,V1378=1),IF(COUNTIFS(AKTIVITAS!$B$2:$B$3052,B1378,AKTIVITAS!$E$2:$E$3052,H1378)&gt;0,1,0),0)</f>
        <v>1</v>
      </c>
      <c r="V1378" s="71">
        <f>IFERROR(IF(AND(H1378&gt;=INDEX(PEMAGANG!$J$3:$J$36,MATCH(B1378,PEMAGANG!$C$3:$C$36,0)),H1378&lt;=INDEX(PEMAGANG!$K$3:$K$36,MATCH(B1378,PEMAGANG!$C$3:$C$36,0))),1,0),0)</f>
        <v>1</v>
      </c>
      <c r="W1378" s="71">
        <f t="shared" si="197"/>
        <v>1</v>
      </c>
    </row>
    <row r="1379" spans="1:23" x14ac:dyDescent="0.2">
      <c r="A1379" s="71" t="s">
        <v>218</v>
      </c>
      <c r="B1379" s="71" t="s">
        <v>219</v>
      </c>
      <c r="C1379" s="71" t="s">
        <v>221</v>
      </c>
      <c r="D1379" s="71" t="s">
        <v>220</v>
      </c>
      <c r="E1379" s="71" t="s">
        <v>345</v>
      </c>
      <c r="F1379" s="71" t="s">
        <v>300</v>
      </c>
      <c r="G1379" s="88">
        <v>46233.653148148202</v>
      </c>
      <c r="H1379" s="89">
        <v>46233</v>
      </c>
      <c r="I1379" s="71" t="s">
        <v>521</v>
      </c>
      <c r="J1379" s="71">
        <v>0</v>
      </c>
      <c r="K1379" s="71" t="s">
        <v>302</v>
      </c>
      <c r="L1379" s="71">
        <f t="shared" si="189"/>
        <v>7</v>
      </c>
      <c r="M1379" s="71" t="str">
        <f>IFERROR(INDEX(KALENDER!$D$3:$D$132,MATCH(H1379,KALENDER!$A$3:$A$132,0)),"Di luar periode")</f>
        <v>Hari Kerja</v>
      </c>
      <c r="N1379" s="71">
        <f t="shared" si="190"/>
        <v>0</v>
      </c>
      <c r="O1379" s="71">
        <f t="shared" si="191"/>
        <v>1</v>
      </c>
      <c r="P1379" s="71">
        <f t="shared" si="192"/>
        <v>0</v>
      </c>
      <c r="Q1379" s="71">
        <f t="shared" si="193"/>
        <v>0</v>
      </c>
      <c r="R1379" s="71">
        <f t="shared" si="194"/>
        <v>0</v>
      </c>
      <c r="S1379" s="71">
        <f t="shared" si="195"/>
        <v>0</v>
      </c>
      <c r="T1379" s="71">
        <f t="shared" si="196"/>
        <v>0</v>
      </c>
      <c r="U1379" s="71">
        <f>IF(AND(N1379=1,V1379=1),IF(COUNTIFS(AKTIVITAS!$B$2:$B$3052,B1379,AKTIVITAS!$E$2:$E$3052,H1379)&gt;0,1,0),0)</f>
        <v>0</v>
      </c>
      <c r="V1379" s="71">
        <f>IFERROR(IF(AND(H1379&gt;=INDEX(PEMAGANG!$J$3:$J$36,MATCH(B1379,PEMAGANG!$C$3:$C$36,0)),H1379&lt;=INDEX(PEMAGANG!$K$3:$K$36,MATCH(B1379,PEMAGANG!$C$3:$C$36,0))),1,0),0)</f>
        <v>1</v>
      </c>
      <c r="W1379" s="71">
        <f t="shared" si="197"/>
        <v>0</v>
      </c>
    </row>
    <row r="1380" spans="1:23" x14ac:dyDescent="0.2">
      <c r="A1380" s="71" t="s">
        <v>218</v>
      </c>
      <c r="B1380" s="71" t="s">
        <v>219</v>
      </c>
      <c r="C1380" s="71" t="s">
        <v>221</v>
      </c>
      <c r="D1380" s="71" t="s">
        <v>220</v>
      </c>
      <c r="E1380" s="71" t="s">
        <v>345</v>
      </c>
      <c r="F1380" s="71" t="s">
        <v>298</v>
      </c>
      <c r="G1380" s="88">
        <v>46234.310138888897</v>
      </c>
      <c r="H1380" s="89">
        <v>46234</v>
      </c>
      <c r="I1380" s="71" t="s">
        <v>315</v>
      </c>
      <c r="J1380" s="71">
        <v>-3.9999999999999898</v>
      </c>
      <c r="K1380" s="71" t="s">
        <v>302</v>
      </c>
      <c r="L1380" s="71">
        <f t="shared" si="189"/>
        <v>7</v>
      </c>
      <c r="M1380" s="71" t="str">
        <f>IFERROR(INDEX(KALENDER!$D$3:$D$132,MATCH(H1380,KALENDER!$A$3:$A$132,0)),"Di luar periode")</f>
        <v>Hari Kerja</v>
      </c>
      <c r="N1380" s="71">
        <f t="shared" si="190"/>
        <v>1</v>
      </c>
      <c r="O1380" s="71">
        <f t="shared" si="191"/>
        <v>1</v>
      </c>
      <c r="P1380" s="71">
        <f t="shared" si="192"/>
        <v>1</v>
      </c>
      <c r="Q1380" s="71">
        <f t="shared" si="193"/>
        <v>0</v>
      </c>
      <c r="R1380" s="71">
        <f t="shared" si="194"/>
        <v>0</v>
      </c>
      <c r="S1380" s="71">
        <f t="shared" si="195"/>
        <v>0</v>
      </c>
      <c r="T1380" s="71">
        <f t="shared" si="196"/>
        <v>0</v>
      </c>
      <c r="U1380" s="71">
        <f>IF(AND(N1380=1,V1380=1),IF(COUNTIFS(AKTIVITAS!$B$2:$B$3052,B1380,AKTIVITAS!$E$2:$E$3052,H1380)&gt;0,1,0),0)</f>
        <v>1</v>
      </c>
      <c r="V1380" s="71">
        <f>IFERROR(IF(AND(H1380&gt;=INDEX(PEMAGANG!$J$3:$J$36,MATCH(B1380,PEMAGANG!$C$3:$C$36,0)),H1380&lt;=INDEX(PEMAGANG!$K$3:$K$36,MATCH(B1380,PEMAGANG!$C$3:$C$36,0))),1,0),0)</f>
        <v>1</v>
      </c>
      <c r="W1380" s="71">
        <f t="shared" si="197"/>
        <v>1</v>
      </c>
    </row>
    <row r="1381" spans="1:23" x14ac:dyDescent="0.2">
      <c r="A1381" s="71" t="s">
        <v>218</v>
      </c>
      <c r="B1381" s="71" t="s">
        <v>219</v>
      </c>
      <c r="C1381" s="71" t="s">
        <v>221</v>
      </c>
      <c r="D1381" s="71" t="s">
        <v>220</v>
      </c>
      <c r="E1381" s="71" t="s">
        <v>345</v>
      </c>
      <c r="F1381" s="71" t="s">
        <v>300</v>
      </c>
      <c r="G1381" s="88">
        <v>46234.7480208333</v>
      </c>
      <c r="H1381" s="89">
        <v>46234</v>
      </c>
      <c r="I1381" s="71" t="s">
        <v>390</v>
      </c>
      <c r="J1381" s="71">
        <v>0</v>
      </c>
      <c r="K1381" s="71" t="s">
        <v>302</v>
      </c>
      <c r="L1381" s="71">
        <f t="shared" si="189"/>
        <v>7</v>
      </c>
      <c r="M1381" s="71" t="str">
        <f>IFERROR(INDEX(KALENDER!$D$3:$D$132,MATCH(H1381,KALENDER!$A$3:$A$132,0)),"Di luar periode")</f>
        <v>Hari Kerja</v>
      </c>
      <c r="N1381" s="71">
        <f t="shared" si="190"/>
        <v>0</v>
      </c>
      <c r="O1381" s="71">
        <f t="shared" si="191"/>
        <v>1</v>
      </c>
      <c r="P1381" s="71">
        <f t="shared" si="192"/>
        <v>0</v>
      </c>
      <c r="Q1381" s="71">
        <f t="shared" si="193"/>
        <v>0</v>
      </c>
      <c r="R1381" s="71">
        <f t="shared" si="194"/>
        <v>0</v>
      </c>
      <c r="S1381" s="71">
        <f t="shared" si="195"/>
        <v>0</v>
      </c>
      <c r="T1381" s="71">
        <f t="shared" si="196"/>
        <v>0</v>
      </c>
      <c r="U1381" s="71">
        <f>IF(AND(N1381=1,V1381=1),IF(COUNTIFS(AKTIVITAS!$B$2:$B$3052,B1381,AKTIVITAS!$E$2:$E$3052,H1381)&gt;0,1,0),0)</f>
        <v>0</v>
      </c>
      <c r="V1381" s="71">
        <f>IFERROR(IF(AND(H1381&gt;=INDEX(PEMAGANG!$J$3:$J$36,MATCH(B1381,PEMAGANG!$C$3:$C$36,0)),H1381&lt;=INDEX(PEMAGANG!$K$3:$K$36,MATCH(B1381,PEMAGANG!$C$3:$C$36,0))),1,0),0)</f>
        <v>1</v>
      </c>
      <c r="W1381" s="71">
        <f t="shared" si="197"/>
        <v>0</v>
      </c>
    </row>
    <row r="1382" spans="1:23" x14ac:dyDescent="0.2">
      <c r="A1382" s="71" t="s">
        <v>218</v>
      </c>
      <c r="B1382" s="71" t="s">
        <v>219</v>
      </c>
      <c r="C1382" s="71" t="s">
        <v>221</v>
      </c>
      <c r="D1382" s="71" t="s">
        <v>220</v>
      </c>
      <c r="E1382" s="71" t="s">
        <v>345</v>
      </c>
      <c r="F1382" s="71" t="s">
        <v>298</v>
      </c>
      <c r="G1382" s="88">
        <v>46235.316643518498</v>
      </c>
      <c r="H1382" s="89">
        <v>46235</v>
      </c>
      <c r="I1382" s="71" t="s">
        <v>339</v>
      </c>
      <c r="J1382" s="71">
        <v>-25</v>
      </c>
      <c r="K1382" s="71" t="s">
        <v>302</v>
      </c>
      <c r="L1382" s="71">
        <f t="shared" si="189"/>
        <v>8</v>
      </c>
      <c r="M1382" s="71" t="str">
        <f>IFERROR(INDEX(KALENDER!$D$3:$D$132,MATCH(H1382,KALENDER!$A$3:$A$132,0)),"Di luar periode")</f>
        <v>Libur (Sabtu/Minggu)</v>
      </c>
      <c r="N1382" s="71">
        <f t="shared" si="190"/>
        <v>1</v>
      </c>
      <c r="O1382" s="71">
        <f t="shared" si="191"/>
        <v>1</v>
      </c>
      <c r="P1382" s="71">
        <f t="shared" si="192"/>
        <v>0</v>
      </c>
      <c r="Q1382" s="71">
        <f t="shared" si="193"/>
        <v>1</v>
      </c>
      <c r="R1382" s="71">
        <f t="shared" si="194"/>
        <v>0</v>
      </c>
      <c r="S1382" s="71">
        <f t="shared" si="195"/>
        <v>0</v>
      </c>
      <c r="T1382" s="71">
        <f t="shared" si="196"/>
        <v>0</v>
      </c>
      <c r="U1382" s="71">
        <f>IF(AND(N1382=1,V1382=1),IF(COUNTIFS(AKTIVITAS!$B$2:$B$3052,B1382,AKTIVITAS!$E$2:$E$3052,H1382)&gt;0,1,0),0)</f>
        <v>1</v>
      </c>
      <c r="V1382" s="71">
        <f>IFERROR(IF(AND(H1382&gt;=INDEX(PEMAGANG!$J$3:$J$36,MATCH(B1382,PEMAGANG!$C$3:$C$36,0)),H1382&lt;=INDEX(PEMAGANG!$K$3:$K$36,MATCH(B1382,PEMAGANG!$C$3:$C$36,0))),1,0),0)</f>
        <v>1</v>
      </c>
      <c r="W1382" s="71">
        <f t="shared" si="197"/>
        <v>1</v>
      </c>
    </row>
    <row r="1383" spans="1:23" x14ac:dyDescent="0.2">
      <c r="A1383" s="71" t="s">
        <v>218</v>
      </c>
      <c r="B1383" s="71" t="s">
        <v>219</v>
      </c>
      <c r="C1383" s="71" t="s">
        <v>221</v>
      </c>
      <c r="D1383" s="71" t="s">
        <v>220</v>
      </c>
      <c r="E1383" s="71" t="s">
        <v>345</v>
      </c>
      <c r="F1383" s="71" t="s">
        <v>300</v>
      </c>
      <c r="G1383" s="88">
        <v>46235.594050925902</v>
      </c>
      <c r="H1383" s="89">
        <v>46235</v>
      </c>
      <c r="I1383" s="71" t="s">
        <v>557</v>
      </c>
      <c r="J1383" s="71">
        <v>0</v>
      </c>
      <c r="K1383" s="71" t="s">
        <v>302</v>
      </c>
      <c r="L1383" s="71">
        <f t="shared" si="189"/>
        <v>8</v>
      </c>
      <c r="M1383" s="71" t="str">
        <f>IFERROR(INDEX(KALENDER!$D$3:$D$132,MATCH(H1383,KALENDER!$A$3:$A$132,0)),"Di luar periode")</f>
        <v>Libur (Sabtu/Minggu)</v>
      </c>
      <c r="N1383" s="71">
        <f t="shared" si="190"/>
        <v>0</v>
      </c>
      <c r="O1383" s="71">
        <f t="shared" si="191"/>
        <v>1</v>
      </c>
      <c r="P1383" s="71">
        <f t="shared" si="192"/>
        <v>0</v>
      </c>
      <c r="Q1383" s="71">
        <f t="shared" si="193"/>
        <v>0</v>
      </c>
      <c r="R1383" s="71">
        <f t="shared" si="194"/>
        <v>0</v>
      </c>
      <c r="S1383" s="71">
        <f t="shared" si="195"/>
        <v>0</v>
      </c>
      <c r="T1383" s="71">
        <f t="shared" si="196"/>
        <v>0</v>
      </c>
      <c r="U1383" s="71">
        <f>IF(AND(N1383=1,V1383=1),IF(COUNTIFS(AKTIVITAS!$B$2:$B$3052,B1383,AKTIVITAS!$E$2:$E$3052,H1383)&gt;0,1,0),0)</f>
        <v>0</v>
      </c>
      <c r="V1383" s="71">
        <f>IFERROR(IF(AND(H1383&gt;=INDEX(PEMAGANG!$J$3:$J$36,MATCH(B1383,PEMAGANG!$C$3:$C$36,0)),H1383&lt;=INDEX(PEMAGANG!$K$3:$K$36,MATCH(B1383,PEMAGANG!$C$3:$C$36,0))),1,0),0)</f>
        <v>1</v>
      </c>
      <c r="W1383" s="71">
        <f t="shared" si="197"/>
        <v>0</v>
      </c>
    </row>
    <row r="1384" spans="1:23" x14ac:dyDescent="0.2">
      <c r="A1384" s="71" t="s">
        <v>218</v>
      </c>
      <c r="B1384" s="71" t="s">
        <v>219</v>
      </c>
      <c r="C1384" s="71" t="s">
        <v>221</v>
      </c>
      <c r="D1384" s="71" t="s">
        <v>220</v>
      </c>
      <c r="E1384" s="71" t="s">
        <v>345</v>
      </c>
      <c r="F1384" s="71" t="s">
        <v>298</v>
      </c>
      <c r="G1384" s="88">
        <v>46237.314837963</v>
      </c>
      <c r="H1384" s="89">
        <v>46237</v>
      </c>
      <c r="I1384" s="71" t="s">
        <v>383</v>
      </c>
      <c r="J1384" s="71">
        <v>-27</v>
      </c>
      <c r="K1384" s="71" t="s">
        <v>302</v>
      </c>
      <c r="L1384" s="71">
        <f t="shared" si="189"/>
        <v>8</v>
      </c>
      <c r="M1384" s="71" t="str">
        <f>IFERROR(INDEX(KALENDER!$D$3:$D$132,MATCH(H1384,KALENDER!$A$3:$A$132,0)),"Di luar periode")</f>
        <v>Hari Kerja</v>
      </c>
      <c r="N1384" s="71">
        <f t="shared" si="190"/>
        <v>1</v>
      </c>
      <c r="O1384" s="71">
        <f t="shared" si="191"/>
        <v>1</v>
      </c>
      <c r="P1384" s="71">
        <f t="shared" si="192"/>
        <v>1</v>
      </c>
      <c r="Q1384" s="71">
        <f t="shared" si="193"/>
        <v>0</v>
      </c>
      <c r="R1384" s="71">
        <f t="shared" si="194"/>
        <v>0</v>
      </c>
      <c r="S1384" s="71">
        <f t="shared" si="195"/>
        <v>0</v>
      </c>
      <c r="T1384" s="71">
        <f t="shared" si="196"/>
        <v>0</v>
      </c>
      <c r="U1384" s="71">
        <f>IF(AND(N1384=1,V1384=1),IF(COUNTIFS(AKTIVITAS!$B$2:$B$3052,B1384,AKTIVITAS!$E$2:$E$3052,H1384)&gt;0,1,0),0)</f>
        <v>1</v>
      </c>
      <c r="V1384" s="71">
        <f>IFERROR(IF(AND(H1384&gt;=INDEX(PEMAGANG!$J$3:$J$36,MATCH(B1384,PEMAGANG!$C$3:$C$36,0)),H1384&lt;=INDEX(PEMAGANG!$K$3:$K$36,MATCH(B1384,PEMAGANG!$C$3:$C$36,0))),1,0),0)</f>
        <v>1</v>
      </c>
      <c r="W1384" s="71">
        <f t="shared" si="197"/>
        <v>1</v>
      </c>
    </row>
    <row r="1385" spans="1:23" x14ac:dyDescent="0.2">
      <c r="A1385" s="71" t="s">
        <v>218</v>
      </c>
      <c r="B1385" s="71" t="s">
        <v>219</v>
      </c>
      <c r="C1385" s="71" t="s">
        <v>221</v>
      </c>
      <c r="D1385" s="71" t="s">
        <v>220</v>
      </c>
      <c r="E1385" s="71" t="s">
        <v>345</v>
      </c>
      <c r="F1385" s="71" t="s">
        <v>300</v>
      </c>
      <c r="G1385" s="88">
        <v>46237.654571759304</v>
      </c>
      <c r="H1385" s="89">
        <v>46237</v>
      </c>
      <c r="I1385" s="71" t="s">
        <v>558</v>
      </c>
      <c r="J1385" s="71">
        <v>0</v>
      </c>
      <c r="K1385" s="71" t="s">
        <v>302</v>
      </c>
      <c r="L1385" s="71">
        <f t="shared" si="189"/>
        <v>8</v>
      </c>
      <c r="M1385" s="71" t="str">
        <f>IFERROR(INDEX(KALENDER!$D$3:$D$132,MATCH(H1385,KALENDER!$A$3:$A$132,0)),"Di luar periode")</f>
        <v>Hari Kerja</v>
      </c>
      <c r="N1385" s="71">
        <f t="shared" si="190"/>
        <v>0</v>
      </c>
      <c r="O1385" s="71">
        <f t="shared" si="191"/>
        <v>1</v>
      </c>
      <c r="P1385" s="71">
        <f t="shared" si="192"/>
        <v>0</v>
      </c>
      <c r="Q1385" s="71">
        <f t="shared" si="193"/>
        <v>0</v>
      </c>
      <c r="R1385" s="71">
        <f t="shared" si="194"/>
        <v>0</v>
      </c>
      <c r="S1385" s="71">
        <f t="shared" si="195"/>
        <v>0</v>
      </c>
      <c r="T1385" s="71">
        <f t="shared" si="196"/>
        <v>0</v>
      </c>
      <c r="U1385" s="71">
        <f>IF(AND(N1385=1,V1385=1),IF(COUNTIFS(AKTIVITAS!$B$2:$B$3052,B1385,AKTIVITAS!$E$2:$E$3052,H1385)&gt;0,1,0),0)</f>
        <v>0</v>
      </c>
      <c r="V1385" s="71">
        <f>IFERROR(IF(AND(H1385&gt;=INDEX(PEMAGANG!$J$3:$J$36,MATCH(B1385,PEMAGANG!$C$3:$C$36,0)),H1385&lt;=INDEX(PEMAGANG!$K$3:$K$36,MATCH(B1385,PEMAGANG!$C$3:$C$36,0))),1,0),0)</f>
        <v>1</v>
      </c>
      <c r="W1385" s="71">
        <f t="shared" si="197"/>
        <v>0</v>
      </c>
    </row>
    <row r="1386" spans="1:23" x14ac:dyDescent="0.2">
      <c r="A1386" s="71" t="s">
        <v>218</v>
      </c>
      <c r="B1386" s="71" t="s">
        <v>219</v>
      </c>
      <c r="C1386" s="71" t="s">
        <v>221</v>
      </c>
      <c r="D1386" s="71" t="s">
        <v>220</v>
      </c>
      <c r="E1386" s="71" t="s">
        <v>345</v>
      </c>
      <c r="F1386" s="71" t="s">
        <v>298</v>
      </c>
      <c r="G1386" s="88">
        <v>46238.3156481482</v>
      </c>
      <c r="H1386" s="89">
        <v>46238</v>
      </c>
      <c r="I1386" s="71" t="s">
        <v>373</v>
      </c>
      <c r="J1386" s="71">
        <v>-26</v>
      </c>
      <c r="K1386" s="71" t="s">
        <v>302</v>
      </c>
      <c r="L1386" s="71">
        <f t="shared" si="189"/>
        <v>8</v>
      </c>
      <c r="M1386" s="71" t="str">
        <f>IFERROR(INDEX(KALENDER!$D$3:$D$132,MATCH(H1386,KALENDER!$A$3:$A$132,0)),"Di luar periode")</f>
        <v>Hari Kerja</v>
      </c>
      <c r="N1386" s="71">
        <f t="shared" si="190"/>
        <v>1</v>
      </c>
      <c r="O1386" s="71">
        <f t="shared" si="191"/>
        <v>1</v>
      </c>
      <c r="P1386" s="71">
        <f t="shared" si="192"/>
        <v>1</v>
      </c>
      <c r="Q1386" s="71">
        <f t="shared" si="193"/>
        <v>0</v>
      </c>
      <c r="R1386" s="71">
        <f t="shared" si="194"/>
        <v>0</v>
      </c>
      <c r="S1386" s="71">
        <f t="shared" si="195"/>
        <v>0</v>
      </c>
      <c r="T1386" s="71">
        <f t="shared" si="196"/>
        <v>0</v>
      </c>
      <c r="U1386" s="71">
        <f>IF(AND(N1386=1,V1386=1),IF(COUNTIFS(AKTIVITAS!$B$2:$B$3052,B1386,AKTIVITAS!$E$2:$E$3052,H1386)&gt;0,1,0),0)</f>
        <v>1</v>
      </c>
      <c r="V1386" s="71">
        <f>IFERROR(IF(AND(H1386&gt;=INDEX(PEMAGANG!$J$3:$J$36,MATCH(B1386,PEMAGANG!$C$3:$C$36,0)),H1386&lt;=INDEX(PEMAGANG!$K$3:$K$36,MATCH(B1386,PEMAGANG!$C$3:$C$36,0))),1,0),0)</f>
        <v>1</v>
      </c>
      <c r="W1386" s="71">
        <f t="shared" si="197"/>
        <v>1</v>
      </c>
    </row>
    <row r="1387" spans="1:23" x14ac:dyDescent="0.2">
      <c r="A1387" s="71" t="s">
        <v>218</v>
      </c>
      <c r="B1387" s="71" t="s">
        <v>219</v>
      </c>
      <c r="C1387" s="71" t="s">
        <v>221</v>
      </c>
      <c r="D1387" s="71" t="s">
        <v>220</v>
      </c>
      <c r="E1387" s="71" t="s">
        <v>345</v>
      </c>
      <c r="F1387" s="71" t="s">
        <v>300</v>
      </c>
      <c r="G1387" s="88">
        <v>46238.667766203696</v>
      </c>
      <c r="H1387" s="89">
        <v>46238</v>
      </c>
      <c r="I1387" s="71" t="s">
        <v>547</v>
      </c>
      <c r="J1387" s="71">
        <v>0</v>
      </c>
      <c r="K1387" s="71" t="s">
        <v>302</v>
      </c>
      <c r="L1387" s="71">
        <f t="shared" si="189"/>
        <v>8</v>
      </c>
      <c r="M1387" s="71" t="str">
        <f>IFERROR(INDEX(KALENDER!$D$3:$D$132,MATCH(H1387,KALENDER!$A$3:$A$132,0)),"Di luar periode")</f>
        <v>Hari Kerja</v>
      </c>
      <c r="N1387" s="71">
        <f t="shared" si="190"/>
        <v>0</v>
      </c>
      <c r="O1387" s="71">
        <f t="shared" si="191"/>
        <v>1</v>
      </c>
      <c r="P1387" s="71">
        <f t="shared" si="192"/>
        <v>0</v>
      </c>
      <c r="Q1387" s="71">
        <f t="shared" si="193"/>
        <v>0</v>
      </c>
      <c r="R1387" s="71">
        <f t="shared" si="194"/>
        <v>0</v>
      </c>
      <c r="S1387" s="71">
        <f t="shared" si="195"/>
        <v>0</v>
      </c>
      <c r="T1387" s="71">
        <f t="shared" si="196"/>
        <v>0</v>
      </c>
      <c r="U1387" s="71">
        <f>IF(AND(N1387=1,V1387=1),IF(COUNTIFS(AKTIVITAS!$B$2:$B$3052,B1387,AKTIVITAS!$E$2:$E$3052,H1387)&gt;0,1,0),0)</f>
        <v>0</v>
      </c>
      <c r="V1387" s="71">
        <f>IFERROR(IF(AND(H1387&gt;=INDEX(PEMAGANG!$J$3:$J$36,MATCH(B1387,PEMAGANG!$C$3:$C$36,0)),H1387&lt;=INDEX(PEMAGANG!$K$3:$K$36,MATCH(B1387,PEMAGANG!$C$3:$C$36,0))),1,0),0)</f>
        <v>1</v>
      </c>
      <c r="W1387" s="71">
        <f t="shared" si="197"/>
        <v>0</v>
      </c>
    </row>
    <row r="1388" spans="1:23" x14ac:dyDescent="0.2">
      <c r="A1388" s="71" t="s">
        <v>218</v>
      </c>
      <c r="B1388" s="71" t="s">
        <v>219</v>
      </c>
      <c r="C1388" s="71" t="s">
        <v>221</v>
      </c>
      <c r="D1388" s="71" t="s">
        <v>220</v>
      </c>
      <c r="E1388" s="71" t="s">
        <v>345</v>
      </c>
      <c r="F1388" s="71" t="s">
        <v>298</v>
      </c>
      <c r="G1388" s="88">
        <v>46239.313391203701</v>
      </c>
      <c r="H1388" s="89">
        <v>46239</v>
      </c>
      <c r="I1388" s="71" t="s">
        <v>392</v>
      </c>
      <c r="J1388" s="71">
        <v>-29</v>
      </c>
      <c r="K1388" s="71" t="s">
        <v>302</v>
      </c>
      <c r="L1388" s="71">
        <f t="shared" si="189"/>
        <v>8</v>
      </c>
      <c r="M1388" s="71" t="str">
        <f>IFERROR(INDEX(KALENDER!$D$3:$D$132,MATCH(H1388,KALENDER!$A$3:$A$132,0)),"Di luar periode")</f>
        <v>Hari Kerja</v>
      </c>
      <c r="N1388" s="71">
        <f t="shared" si="190"/>
        <v>1</v>
      </c>
      <c r="O1388" s="71">
        <f t="shared" si="191"/>
        <v>1</v>
      </c>
      <c r="P1388" s="71">
        <f t="shared" si="192"/>
        <v>1</v>
      </c>
      <c r="Q1388" s="71">
        <f t="shared" si="193"/>
        <v>0</v>
      </c>
      <c r="R1388" s="71">
        <f t="shared" si="194"/>
        <v>0</v>
      </c>
      <c r="S1388" s="71">
        <f t="shared" si="195"/>
        <v>0</v>
      </c>
      <c r="T1388" s="71">
        <f t="shared" si="196"/>
        <v>0</v>
      </c>
      <c r="U1388" s="71">
        <f>IF(AND(N1388=1,V1388=1),IF(COUNTIFS(AKTIVITAS!$B$2:$B$3052,B1388,AKTIVITAS!$E$2:$E$3052,H1388)&gt;0,1,0),0)</f>
        <v>1</v>
      </c>
      <c r="V1388" s="71">
        <f>IFERROR(IF(AND(H1388&gt;=INDEX(PEMAGANG!$J$3:$J$36,MATCH(B1388,PEMAGANG!$C$3:$C$36,0)),H1388&lt;=INDEX(PEMAGANG!$K$3:$K$36,MATCH(B1388,PEMAGANG!$C$3:$C$36,0))),1,0),0)</f>
        <v>1</v>
      </c>
      <c r="W1388" s="71">
        <f t="shared" si="197"/>
        <v>1</v>
      </c>
    </row>
    <row r="1389" spans="1:23" x14ac:dyDescent="0.2">
      <c r="A1389" s="71" t="s">
        <v>218</v>
      </c>
      <c r="B1389" s="71" t="s">
        <v>219</v>
      </c>
      <c r="C1389" s="71" t="s">
        <v>221</v>
      </c>
      <c r="D1389" s="71" t="s">
        <v>220</v>
      </c>
      <c r="E1389" s="71" t="s">
        <v>345</v>
      </c>
      <c r="F1389" s="71" t="s">
        <v>300</v>
      </c>
      <c r="G1389" s="88">
        <v>46239.648958333302</v>
      </c>
      <c r="H1389" s="89">
        <v>46239</v>
      </c>
      <c r="I1389" s="71" t="s">
        <v>559</v>
      </c>
      <c r="J1389" s="71">
        <v>0</v>
      </c>
      <c r="K1389" s="71" t="s">
        <v>302</v>
      </c>
      <c r="L1389" s="71">
        <f t="shared" si="189"/>
        <v>8</v>
      </c>
      <c r="M1389" s="71" t="str">
        <f>IFERROR(INDEX(KALENDER!$D$3:$D$132,MATCH(H1389,KALENDER!$A$3:$A$132,0)),"Di luar periode")</f>
        <v>Hari Kerja</v>
      </c>
      <c r="N1389" s="71">
        <f t="shared" si="190"/>
        <v>0</v>
      </c>
      <c r="O1389" s="71">
        <f t="shared" si="191"/>
        <v>1</v>
      </c>
      <c r="P1389" s="71">
        <f t="shared" si="192"/>
        <v>0</v>
      </c>
      <c r="Q1389" s="71">
        <f t="shared" si="193"/>
        <v>0</v>
      </c>
      <c r="R1389" s="71">
        <f t="shared" si="194"/>
        <v>0</v>
      </c>
      <c r="S1389" s="71">
        <f t="shared" si="195"/>
        <v>0</v>
      </c>
      <c r="T1389" s="71">
        <f t="shared" si="196"/>
        <v>0</v>
      </c>
      <c r="U1389" s="71">
        <f>IF(AND(N1389=1,V1389=1),IF(COUNTIFS(AKTIVITAS!$B$2:$B$3052,B1389,AKTIVITAS!$E$2:$E$3052,H1389)&gt;0,1,0),0)</f>
        <v>0</v>
      </c>
      <c r="V1389" s="71">
        <f>IFERROR(IF(AND(H1389&gt;=INDEX(PEMAGANG!$J$3:$J$36,MATCH(B1389,PEMAGANG!$C$3:$C$36,0)),H1389&lt;=INDEX(PEMAGANG!$K$3:$K$36,MATCH(B1389,PEMAGANG!$C$3:$C$36,0))),1,0),0)</f>
        <v>1</v>
      </c>
      <c r="W1389" s="71">
        <f t="shared" si="197"/>
        <v>0</v>
      </c>
    </row>
    <row r="1390" spans="1:23" x14ac:dyDescent="0.2">
      <c r="A1390" s="71" t="s">
        <v>218</v>
      </c>
      <c r="B1390" s="71" t="s">
        <v>219</v>
      </c>
      <c r="C1390" s="71" t="s">
        <v>221</v>
      </c>
      <c r="D1390" s="71" t="s">
        <v>220</v>
      </c>
      <c r="E1390" s="71" t="s">
        <v>345</v>
      </c>
      <c r="F1390" s="71" t="s">
        <v>298</v>
      </c>
      <c r="G1390" s="88">
        <v>46241.316493055601</v>
      </c>
      <c r="H1390" s="89">
        <v>46241</v>
      </c>
      <c r="I1390" s="71" t="s">
        <v>339</v>
      </c>
      <c r="J1390" s="71">
        <v>-25</v>
      </c>
      <c r="K1390" s="71" t="s">
        <v>302</v>
      </c>
      <c r="L1390" s="71">
        <f t="shared" si="189"/>
        <v>8</v>
      </c>
      <c r="M1390" s="71" t="str">
        <f>IFERROR(INDEX(KALENDER!$D$3:$D$132,MATCH(H1390,KALENDER!$A$3:$A$132,0)),"Di luar periode")</f>
        <v>Hari Kerja</v>
      </c>
      <c r="N1390" s="71">
        <f t="shared" si="190"/>
        <v>1</v>
      </c>
      <c r="O1390" s="71">
        <f t="shared" si="191"/>
        <v>1</v>
      </c>
      <c r="P1390" s="71">
        <f t="shared" si="192"/>
        <v>1</v>
      </c>
      <c r="Q1390" s="71">
        <f t="shared" si="193"/>
        <v>0</v>
      </c>
      <c r="R1390" s="71">
        <f t="shared" si="194"/>
        <v>0</v>
      </c>
      <c r="S1390" s="71">
        <f t="shared" si="195"/>
        <v>0</v>
      </c>
      <c r="T1390" s="71">
        <f t="shared" si="196"/>
        <v>0</v>
      </c>
      <c r="U1390" s="71">
        <f>IF(AND(N1390=1,V1390=1),IF(COUNTIFS(AKTIVITAS!$B$2:$B$3052,B1390,AKTIVITAS!$E$2:$E$3052,H1390)&gt;0,1,0),0)</f>
        <v>1</v>
      </c>
      <c r="V1390" s="71">
        <f>IFERROR(IF(AND(H1390&gt;=INDEX(PEMAGANG!$J$3:$J$36,MATCH(B1390,PEMAGANG!$C$3:$C$36,0)),H1390&lt;=INDEX(PEMAGANG!$K$3:$K$36,MATCH(B1390,PEMAGANG!$C$3:$C$36,0))),1,0),0)</f>
        <v>1</v>
      </c>
      <c r="W1390" s="71">
        <f t="shared" si="197"/>
        <v>1</v>
      </c>
    </row>
    <row r="1391" spans="1:23" x14ac:dyDescent="0.2">
      <c r="A1391" s="71" t="s">
        <v>218</v>
      </c>
      <c r="B1391" s="71" t="s">
        <v>219</v>
      </c>
      <c r="C1391" s="71" t="s">
        <v>221</v>
      </c>
      <c r="D1391" s="71" t="s">
        <v>220</v>
      </c>
      <c r="E1391" s="71" t="s">
        <v>345</v>
      </c>
      <c r="F1391" s="71" t="s">
        <v>300</v>
      </c>
      <c r="G1391" s="88">
        <v>46241.6515856482</v>
      </c>
      <c r="H1391" s="89">
        <v>46241</v>
      </c>
      <c r="I1391" s="71" t="s">
        <v>527</v>
      </c>
      <c r="J1391" s="71">
        <v>0</v>
      </c>
      <c r="K1391" s="71" t="s">
        <v>302</v>
      </c>
      <c r="L1391" s="71">
        <f t="shared" si="189"/>
        <v>8</v>
      </c>
      <c r="M1391" s="71" t="str">
        <f>IFERROR(INDEX(KALENDER!$D$3:$D$132,MATCH(H1391,KALENDER!$A$3:$A$132,0)),"Di luar periode")</f>
        <v>Hari Kerja</v>
      </c>
      <c r="N1391" s="71">
        <f t="shared" si="190"/>
        <v>0</v>
      </c>
      <c r="O1391" s="71">
        <f t="shared" si="191"/>
        <v>1</v>
      </c>
      <c r="P1391" s="71">
        <f t="shared" si="192"/>
        <v>0</v>
      </c>
      <c r="Q1391" s="71">
        <f t="shared" si="193"/>
        <v>0</v>
      </c>
      <c r="R1391" s="71">
        <f t="shared" si="194"/>
        <v>0</v>
      </c>
      <c r="S1391" s="71">
        <f t="shared" si="195"/>
        <v>0</v>
      </c>
      <c r="T1391" s="71">
        <f t="shared" si="196"/>
        <v>0</v>
      </c>
      <c r="U1391" s="71">
        <f>IF(AND(N1391=1,V1391=1),IF(COUNTIFS(AKTIVITAS!$B$2:$B$3052,B1391,AKTIVITAS!$E$2:$E$3052,H1391)&gt;0,1,0),0)</f>
        <v>0</v>
      </c>
      <c r="V1391" s="71">
        <f>IFERROR(IF(AND(H1391&gt;=INDEX(PEMAGANG!$J$3:$J$36,MATCH(B1391,PEMAGANG!$C$3:$C$36,0)),H1391&lt;=INDEX(PEMAGANG!$K$3:$K$36,MATCH(B1391,PEMAGANG!$C$3:$C$36,0))),1,0),0)</f>
        <v>1</v>
      </c>
      <c r="W1391" s="71">
        <f t="shared" si="197"/>
        <v>0</v>
      </c>
    </row>
    <row r="1392" spans="1:23" x14ac:dyDescent="0.2">
      <c r="A1392" s="71" t="s">
        <v>218</v>
      </c>
      <c r="B1392" s="71" t="s">
        <v>219</v>
      </c>
      <c r="C1392" s="71" t="s">
        <v>221</v>
      </c>
      <c r="D1392" s="71" t="s">
        <v>220</v>
      </c>
      <c r="E1392" s="71" t="s">
        <v>345</v>
      </c>
      <c r="F1392" s="71" t="s">
        <v>298</v>
      </c>
      <c r="G1392" s="88">
        <v>46242.314537036997</v>
      </c>
      <c r="H1392" s="89">
        <v>46242</v>
      </c>
      <c r="I1392" s="71" t="s">
        <v>338</v>
      </c>
      <c r="J1392" s="71">
        <v>-28</v>
      </c>
      <c r="K1392" s="71" t="s">
        <v>302</v>
      </c>
      <c r="L1392" s="71">
        <f t="shared" si="189"/>
        <v>8</v>
      </c>
      <c r="M1392" s="71" t="str">
        <f>IFERROR(INDEX(KALENDER!$D$3:$D$132,MATCH(H1392,KALENDER!$A$3:$A$132,0)),"Di luar periode")</f>
        <v>Libur (Sabtu/Minggu)</v>
      </c>
      <c r="N1392" s="71">
        <f t="shared" si="190"/>
        <v>1</v>
      </c>
      <c r="O1392" s="71">
        <f t="shared" si="191"/>
        <v>1</v>
      </c>
      <c r="P1392" s="71">
        <f t="shared" si="192"/>
        <v>0</v>
      </c>
      <c r="Q1392" s="71">
        <f t="shared" si="193"/>
        <v>1</v>
      </c>
      <c r="R1392" s="71">
        <f t="shared" si="194"/>
        <v>0</v>
      </c>
      <c r="S1392" s="71">
        <f t="shared" si="195"/>
        <v>0</v>
      </c>
      <c r="T1392" s="71">
        <f t="shared" si="196"/>
        <v>0</v>
      </c>
      <c r="U1392" s="71">
        <f>IF(AND(N1392=1,V1392=1),IF(COUNTIFS(AKTIVITAS!$B$2:$B$3052,B1392,AKTIVITAS!$E$2:$E$3052,H1392)&gt;0,1,0),0)</f>
        <v>1</v>
      </c>
      <c r="V1392" s="71">
        <f>IFERROR(IF(AND(H1392&gt;=INDEX(PEMAGANG!$J$3:$J$36,MATCH(B1392,PEMAGANG!$C$3:$C$36,0)),H1392&lt;=INDEX(PEMAGANG!$K$3:$K$36,MATCH(B1392,PEMAGANG!$C$3:$C$36,0))),1,0),0)</f>
        <v>1</v>
      </c>
      <c r="W1392" s="71">
        <f t="shared" si="197"/>
        <v>1</v>
      </c>
    </row>
    <row r="1393" spans="1:23" x14ac:dyDescent="0.2">
      <c r="A1393" s="71" t="s">
        <v>218</v>
      </c>
      <c r="B1393" s="71" t="s">
        <v>219</v>
      </c>
      <c r="C1393" s="71" t="s">
        <v>221</v>
      </c>
      <c r="D1393" s="71" t="s">
        <v>220</v>
      </c>
      <c r="E1393" s="71" t="s">
        <v>345</v>
      </c>
      <c r="F1393" s="71" t="s">
        <v>300</v>
      </c>
      <c r="G1393" s="88">
        <v>46242.564664351899</v>
      </c>
      <c r="H1393" s="89">
        <v>46242</v>
      </c>
      <c r="I1393" s="71" t="s">
        <v>560</v>
      </c>
      <c r="J1393" s="71">
        <v>0</v>
      </c>
      <c r="K1393" s="71" t="s">
        <v>302</v>
      </c>
      <c r="L1393" s="71">
        <f t="shared" si="189"/>
        <v>8</v>
      </c>
      <c r="M1393" s="71" t="str">
        <f>IFERROR(INDEX(KALENDER!$D$3:$D$132,MATCH(H1393,KALENDER!$A$3:$A$132,0)),"Di luar periode")</f>
        <v>Libur (Sabtu/Minggu)</v>
      </c>
      <c r="N1393" s="71">
        <f t="shared" si="190"/>
        <v>0</v>
      </c>
      <c r="O1393" s="71">
        <f t="shared" si="191"/>
        <v>1</v>
      </c>
      <c r="P1393" s="71">
        <f t="shared" si="192"/>
        <v>0</v>
      </c>
      <c r="Q1393" s="71">
        <f t="shared" si="193"/>
        <v>0</v>
      </c>
      <c r="R1393" s="71">
        <f t="shared" si="194"/>
        <v>0</v>
      </c>
      <c r="S1393" s="71">
        <f t="shared" si="195"/>
        <v>0</v>
      </c>
      <c r="T1393" s="71">
        <f t="shared" si="196"/>
        <v>0</v>
      </c>
      <c r="U1393" s="71">
        <f>IF(AND(N1393=1,V1393=1),IF(COUNTIFS(AKTIVITAS!$B$2:$B$3052,B1393,AKTIVITAS!$E$2:$E$3052,H1393)&gt;0,1,0),0)</f>
        <v>0</v>
      </c>
      <c r="V1393" s="71">
        <f>IFERROR(IF(AND(H1393&gt;=INDEX(PEMAGANG!$J$3:$J$36,MATCH(B1393,PEMAGANG!$C$3:$C$36,0)),H1393&lt;=INDEX(PEMAGANG!$K$3:$K$36,MATCH(B1393,PEMAGANG!$C$3:$C$36,0))),1,0),0)</f>
        <v>1</v>
      </c>
      <c r="W1393" s="71">
        <f t="shared" si="197"/>
        <v>0</v>
      </c>
    </row>
    <row r="1394" spans="1:23" x14ac:dyDescent="0.2">
      <c r="A1394" s="71" t="s">
        <v>218</v>
      </c>
      <c r="B1394" s="71" t="s">
        <v>219</v>
      </c>
      <c r="C1394" s="71" t="s">
        <v>221</v>
      </c>
      <c r="D1394" s="71" t="s">
        <v>220</v>
      </c>
      <c r="E1394" s="71" t="s">
        <v>345</v>
      </c>
      <c r="F1394" s="71" t="s">
        <v>298</v>
      </c>
      <c r="G1394" s="88">
        <v>46244.316446759301</v>
      </c>
      <c r="H1394" s="89">
        <v>46244</v>
      </c>
      <c r="I1394" s="71" t="s">
        <v>339</v>
      </c>
      <c r="J1394" s="71">
        <v>-25</v>
      </c>
      <c r="K1394" s="71" t="s">
        <v>302</v>
      </c>
      <c r="L1394" s="71">
        <f t="shared" si="189"/>
        <v>8</v>
      </c>
      <c r="M1394" s="71" t="str">
        <f>IFERROR(INDEX(KALENDER!$D$3:$D$132,MATCH(H1394,KALENDER!$A$3:$A$132,0)),"Di luar periode")</f>
        <v>Hari Kerja</v>
      </c>
      <c r="N1394" s="71">
        <f t="shared" si="190"/>
        <v>1</v>
      </c>
      <c r="O1394" s="71">
        <f t="shared" si="191"/>
        <v>1</v>
      </c>
      <c r="P1394" s="71">
        <f t="shared" si="192"/>
        <v>1</v>
      </c>
      <c r="Q1394" s="71">
        <f t="shared" si="193"/>
        <v>0</v>
      </c>
      <c r="R1394" s="71">
        <f t="shared" si="194"/>
        <v>0</v>
      </c>
      <c r="S1394" s="71">
        <f t="shared" si="195"/>
        <v>0</v>
      </c>
      <c r="T1394" s="71">
        <f t="shared" si="196"/>
        <v>0</v>
      </c>
      <c r="U1394" s="71">
        <f>IF(AND(N1394=1,V1394=1),IF(COUNTIFS(AKTIVITAS!$B$2:$B$3052,B1394,AKTIVITAS!$E$2:$E$3052,H1394)&gt;0,1,0),0)</f>
        <v>1</v>
      </c>
      <c r="V1394" s="71">
        <f>IFERROR(IF(AND(H1394&gt;=INDEX(PEMAGANG!$J$3:$J$36,MATCH(B1394,PEMAGANG!$C$3:$C$36,0)),H1394&lt;=INDEX(PEMAGANG!$K$3:$K$36,MATCH(B1394,PEMAGANG!$C$3:$C$36,0))),1,0),0)</f>
        <v>1</v>
      </c>
      <c r="W1394" s="71">
        <f t="shared" si="197"/>
        <v>1</v>
      </c>
    </row>
    <row r="1395" spans="1:23" x14ac:dyDescent="0.2">
      <c r="A1395" s="71" t="s">
        <v>218</v>
      </c>
      <c r="B1395" s="71" t="s">
        <v>219</v>
      </c>
      <c r="C1395" s="71" t="s">
        <v>221</v>
      </c>
      <c r="D1395" s="71" t="s">
        <v>220</v>
      </c>
      <c r="E1395" s="71" t="s">
        <v>345</v>
      </c>
      <c r="F1395" s="71" t="s">
        <v>300</v>
      </c>
      <c r="G1395" s="88">
        <v>46244.654837962997</v>
      </c>
      <c r="H1395" s="89">
        <v>46244</v>
      </c>
      <c r="I1395" s="71" t="s">
        <v>558</v>
      </c>
      <c r="J1395" s="71">
        <v>0</v>
      </c>
      <c r="K1395" s="71" t="s">
        <v>302</v>
      </c>
      <c r="L1395" s="71">
        <f t="shared" si="189"/>
        <v>8</v>
      </c>
      <c r="M1395" s="71" t="str">
        <f>IFERROR(INDEX(KALENDER!$D$3:$D$132,MATCH(H1395,KALENDER!$A$3:$A$132,0)),"Di luar periode")</f>
        <v>Hari Kerja</v>
      </c>
      <c r="N1395" s="71">
        <f t="shared" si="190"/>
        <v>0</v>
      </c>
      <c r="O1395" s="71">
        <f t="shared" si="191"/>
        <v>1</v>
      </c>
      <c r="P1395" s="71">
        <f t="shared" si="192"/>
        <v>0</v>
      </c>
      <c r="Q1395" s="71">
        <f t="shared" si="193"/>
        <v>0</v>
      </c>
      <c r="R1395" s="71">
        <f t="shared" si="194"/>
        <v>0</v>
      </c>
      <c r="S1395" s="71">
        <f t="shared" si="195"/>
        <v>0</v>
      </c>
      <c r="T1395" s="71">
        <f t="shared" si="196"/>
        <v>0</v>
      </c>
      <c r="U1395" s="71">
        <f>IF(AND(N1395=1,V1395=1),IF(COUNTIFS(AKTIVITAS!$B$2:$B$3052,B1395,AKTIVITAS!$E$2:$E$3052,H1395)&gt;0,1,0),0)</f>
        <v>0</v>
      </c>
      <c r="V1395" s="71">
        <f>IFERROR(IF(AND(H1395&gt;=INDEX(PEMAGANG!$J$3:$J$36,MATCH(B1395,PEMAGANG!$C$3:$C$36,0)),H1395&lt;=INDEX(PEMAGANG!$K$3:$K$36,MATCH(B1395,PEMAGANG!$C$3:$C$36,0))),1,0),0)</f>
        <v>1</v>
      </c>
      <c r="W1395" s="71">
        <f t="shared" si="197"/>
        <v>0</v>
      </c>
    </row>
    <row r="1396" spans="1:23" x14ac:dyDescent="0.2">
      <c r="A1396" s="71" t="s">
        <v>218</v>
      </c>
      <c r="B1396" s="71" t="s">
        <v>219</v>
      </c>
      <c r="C1396" s="71" t="s">
        <v>221</v>
      </c>
      <c r="D1396" s="71" t="s">
        <v>220</v>
      </c>
      <c r="E1396" s="71" t="s">
        <v>345</v>
      </c>
      <c r="F1396" s="71" t="s">
        <v>298</v>
      </c>
      <c r="G1396" s="88">
        <v>46245.319710648197</v>
      </c>
      <c r="H1396" s="89">
        <v>46245</v>
      </c>
      <c r="I1396" s="71" t="s">
        <v>381</v>
      </c>
      <c r="J1396" s="71">
        <v>-19.999999999999901</v>
      </c>
      <c r="K1396" s="71" t="s">
        <v>302</v>
      </c>
      <c r="L1396" s="71">
        <f t="shared" si="189"/>
        <v>8</v>
      </c>
      <c r="M1396" s="71" t="str">
        <f>IFERROR(INDEX(KALENDER!$D$3:$D$132,MATCH(H1396,KALENDER!$A$3:$A$132,0)),"Di luar periode")</f>
        <v>Hari Kerja</v>
      </c>
      <c r="N1396" s="71">
        <f t="shared" si="190"/>
        <v>1</v>
      </c>
      <c r="O1396" s="71">
        <f t="shared" si="191"/>
        <v>1</v>
      </c>
      <c r="P1396" s="71">
        <f t="shared" si="192"/>
        <v>1</v>
      </c>
      <c r="Q1396" s="71">
        <f t="shared" si="193"/>
        <v>0</v>
      </c>
      <c r="R1396" s="71">
        <f t="shared" si="194"/>
        <v>0</v>
      </c>
      <c r="S1396" s="71">
        <f t="shared" si="195"/>
        <v>0</v>
      </c>
      <c r="T1396" s="71">
        <f t="shared" si="196"/>
        <v>0</v>
      </c>
      <c r="U1396" s="71">
        <f>IF(AND(N1396=1,V1396=1),IF(COUNTIFS(AKTIVITAS!$B$2:$B$3052,B1396,AKTIVITAS!$E$2:$E$3052,H1396)&gt;0,1,0),0)</f>
        <v>1</v>
      </c>
      <c r="V1396" s="71">
        <f>IFERROR(IF(AND(H1396&gt;=INDEX(PEMAGANG!$J$3:$J$36,MATCH(B1396,PEMAGANG!$C$3:$C$36,0)),H1396&lt;=INDEX(PEMAGANG!$K$3:$K$36,MATCH(B1396,PEMAGANG!$C$3:$C$36,0))),1,0),0)</f>
        <v>1</v>
      </c>
      <c r="W1396" s="71">
        <f t="shared" si="197"/>
        <v>1</v>
      </c>
    </row>
    <row r="1397" spans="1:23" x14ac:dyDescent="0.2">
      <c r="A1397" s="71" t="s">
        <v>218</v>
      </c>
      <c r="B1397" s="71" t="s">
        <v>219</v>
      </c>
      <c r="C1397" s="71" t="s">
        <v>221</v>
      </c>
      <c r="D1397" s="71" t="s">
        <v>220</v>
      </c>
      <c r="E1397" s="71" t="s">
        <v>345</v>
      </c>
      <c r="F1397" s="71" t="s">
        <v>300</v>
      </c>
      <c r="G1397" s="88">
        <v>46245.655624999999</v>
      </c>
      <c r="H1397" s="89">
        <v>46245</v>
      </c>
      <c r="I1397" s="71" t="s">
        <v>522</v>
      </c>
      <c r="J1397" s="71">
        <v>0</v>
      </c>
      <c r="K1397" s="71" t="s">
        <v>302</v>
      </c>
      <c r="L1397" s="71">
        <f t="shared" si="189"/>
        <v>8</v>
      </c>
      <c r="M1397" s="71" t="str">
        <f>IFERROR(INDEX(KALENDER!$D$3:$D$132,MATCH(H1397,KALENDER!$A$3:$A$132,0)),"Di luar periode")</f>
        <v>Hari Kerja</v>
      </c>
      <c r="N1397" s="71">
        <f t="shared" si="190"/>
        <v>0</v>
      </c>
      <c r="O1397" s="71">
        <f t="shared" si="191"/>
        <v>1</v>
      </c>
      <c r="P1397" s="71">
        <f t="shared" si="192"/>
        <v>0</v>
      </c>
      <c r="Q1397" s="71">
        <f t="shared" si="193"/>
        <v>0</v>
      </c>
      <c r="R1397" s="71">
        <f t="shared" si="194"/>
        <v>0</v>
      </c>
      <c r="S1397" s="71">
        <f t="shared" si="195"/>
        <v>0</v>
      </c>
      <c r="T1397" s="71">
        <f t="shared" si="196"/>
        <v>0</v>
      </c>
      <c r="U1397" s="71">
        <f>IF(AND(N1397=1,V1397=1),IF(COUNTIFS(AKTIVITAS!$B$2:$B$3052,B1397,AKTIVITAS!$E$2:$E$3052,H1397)&gt;0,1,0),0)</f>
        <v>0</v>
      </c>
      <c r="V1397" s="71">
        <f>IFERROR(IF(AND(H1397&gt;=INDEX(PEMAGANG!$J$3:$J$36,MATCH(B1397,PEMAGANG!$C$3:$C$36,0)),H1397&lt;=INDEX(PEMAGANG!$K$3:$K$36,MATCH(B1397,PEMAGANG!$C$3:$C$36,0))),1,0),0)</f>
        <v>1</v>
      </c>
      <c r="W1397" s="71">
        <f t="shared" si="197"/>
        <v>0</v>
      </c>
    </row>
    <row r="1398" spans="1:23" x14ac:dyDescent="0.2">
      <c r="A1398" s="71" t="s">
        <v>218</v>
      </c>
      <c r="B1398" s="71" t="s">
        <v>219</v>
      </c>
      <c r="C1398" s="71" t="s">
        <v>221</v>
      </c>
      <c r="D1398" s="71" t="s">
        <v>220</v>
      </c>
      <c r="E1398" s="71" t="s">
        <v>345</v>
      </c>
      <c r="F1398" s="71" t="s">
        <v>298</v>
      </c>
      <c r="G1398" s="88">
        <v>46246.317025463002</v>
      </c>
      <c r="H1398" s="89">
        <v>46246</v>
      </c>
      <c r="I1398" s="71" t="s">
        <v>376</v>
      </c>
      <c r="J1398" s="71">
        <v>-24</v>
      </c>
      <c r="K1398" s="71" t="s">
        <v>302</v>
      </c>
      <c r="L1398" s="71">
        <f t="shared" si="189"/>
        <v>8</v>
      </c>
      <c r="M1398" s="71" t="str">
        <f>IFERROR(INDEX(KALENDER!$D$3:$D$132,MATCH(H1398,KALENDER!$A$3:$A$132,0)),"Di luar periode")</f>
        <v>Hari Kerja</v>
      </c>
      <c r="N1398" s="71">
        <f t="shared" si="190"/>
        <v>1</v>
      </c>
      <c r="O1398" s="71">
        <f t="shared" si="191"/>
        <v>1</v>
      </c>
      <c r="P1398" s="71">
        <f t="shared" si="192"/>
        <v>1</v>
      </c>
      <c r="Q1398" s="71">
        <f t="shared" si="193"/>
        <v>0</v>
      </c>
      <c r="R1398" s="71">
        <f t="shared" si="194"/>
        <v>0</v>
      </c>
      <c r="S1398" s="71">
        <f t="shared" si="195"/>
        <v>0</v>
      </c>
      <c r="T1398" s="71">
        <f t="shared" si="196"/>
        <v>0</v>
      </c>
      <c r="U1398" s="71">
        <f>IF(AND(N1398=1,V1398=1),IF(COUNTIFS(AKTIVITAS!$B$2:$B$3052,B1398,AKTIVITAS!$E$2:$E$3052,H1398)&gt;0,1,0),0)</f>
        <v>1</v>
      </c>
      <c r="V1398" s="71">
        <f>IFERROR(IF(AND(H1398&gt;=INDEX(PEMAGANG!$J$3:$J$36,MATCH(B1398,PEMAGANG!$C$3:$C$36,0)),H1398&lt;=INDEX(PEMAGANG!$K$3:$K$36,MATCH(B1398,PEMAGANG!$C$3:$C$36,0))),1,0),0)</f>
        <v>1</v>
      </c>
      <c r="W1398" s="71">
        <f t="shared" si="197"/>
        <v>1</v>
      </c>
    </row>
    <row r="1399" spans="1:23" x14ac:dyDescent="0.2">
      <c r="A1399" s="71" t="s">
        <v>218</v>
      </c>
      <c r="B1399" s="71" t="s">
        <v>219</v>
      </c>
      <c r="C1399" s="71" t="s">
        <v>221</v>
      </c>
      <c r="D1399" s="71" t="s">
        <v>220</v>
      </c>
      <c r="E1399" s="71" t="s">
        <v>345</v>
      </c>
      <c r="F1399" s="71" t="s">
        <v>300</v>
      </c>
      <c r="G1399" s="88">
        <v>46246.650798611103</v>
      </c>
      <c r="H1399" s="89">
        <v>46246</v>
      </c>
      <c r="I1399" s="71" t="s">
        <v>561</v>
      </c>
      <c r="J1399" s="71">
        <v>0</v>
      </c>
      <c r="K1399" s="71" t="s">
        <v>302</v>
      </c>
      <c r="L1399" s="71">
        <f t="shared" si="189"/>
        <v>8</v>
      </c>
      <c r="M1399" s="71" t="str">
        <f>IFERROR(INDEX(KALENDER!$D$3:$D$132,MATCH(H1399,KALENDER!$A$3:$A$132,0)),"Di luar periode")</f>
        <v>Hari Kerja</v>
      </c>
      <c r="N1399" s="71">
        <f t="shared" si="190"/>
        <v>0</v>
      </c>
      <c r="O1399" s="71">
        <f t="shared" si="191"/>
        <v>1</v>
      </c>
      <c r="P1399" s="71">
        <f t="shared" si="192"/>
        <v>0</v>
      </c>
      <c r="Q1399" s="71">
        <f t="shared" si="193"/>
        <v>0</v>
      </c>
      <c r="R1399" s="71">
        <f t="shared" si="194"/>
        <v>0</v>
      </c>
      <c r="S1399" s="71">
        <f t="shared" si="195"/>
        <v>0</v>
      </c>
      <c r="T1399" s="71">
        <f t="shared" si="196"/>
        <v>0</v>
      </c>
      <c r="U1399" s="71">
        <f>IF(AND(N1399=1,V1399=1),IF(COUNTIFS(AKTIVITAS!$B$2:$B$3052,B1399,AKTIVITAS!$E$2:$E$3052,H1399)&gt;0,1,0),0)</f>
        <v>0</v>
      </c>
      <c r="V1399" s="71">
        <f>IFERROR(IF(AND(H1399&gt;=INDEX(PEMAGANG!$J$3:$J$36,MATCH(B1399,PEMAGANG!$C$3:$C$36,0)),H1399&lt;=INDEX(PEMAGANG!$K$3:$K$36,MATCH(B1399,PEMAGANG!$C$3:$C$36,0))),1,0),0)</f>
        <v>1</v>
      </c>
      <c r="W1399" s="71">
        <f t="shared" si="197"/>
        <v>0</v>
      </c>
    </row>
    <row r="1400" spans="1:23" x14ac:dyDescent="0.2">
      <c r="A1400" s="71" t="s">
        <v>218</v>
      </c>
      <c r="B1400" s="71" t="s">
        <v>219</v>
      </c>
      <c r="C1400" s="71" t="s">
        <v>221</v>
      </c>
      <c r="D1400" s="71" t="s">
        <v>220</v>
      </c>
      <c r="E1400" s="71" t="s">
        <v>345</v>
      </c>
      <c r="F1400" s="71" t="s">
        <v>298</v>
      </c>
      <c r="G1400" s="88">
        <v>46247.316574074102</v>
      </c>
      <c r="H1400" s="89">
        <v>46247</v>
      </c>
      <c r="I1400" s="71" t="s">
        <v>339</v>
      </c>
      <c r="J1400" s="71">
        <v>-25</v>
      </c>
      <c r="K1400" s="71" t="s">
        <v>302</v>
      </c>
      <c r="L1400" s="71">
        <f t="shared" si="189"/>
        <v>8</v>
      </c>
      <c r="M1400" s="71" t="str">
        <f>IFERROR(INDEX(KALENDER!$D$3:$D$132,MATCH(H1400,KALENDER!$A$3:$A$132,0)),"Di luar periode")</f>
        <v>Hari Kerja</v>
      </c>
      <c r="N1400" s="71">
        <f t="shared" si="190"/>
        <v>1</v>
      </c>
      <c r="O1400" s="71">
        <f t="shared" si="191"/>
        <v>1</v>
      </c>
      <c r="P1400" s="71">
        <f t="shared" si="192"/>
        <v>1</v>
      </c>
      <c r="Q1400" s="71">
        <f t="shared" si="193"/>
        <v>0</v>
      </c>
      <c r="R1400" s="71">
        <f t="shared" si="194"/>
        <v>0</v>
      </c>
      <c r="S1400" s="71">
        <f t="shared" si="195"/>
        <v>0</v>
      </c>
      <c r="T1400" s="71">
        <f t="shared" si="196"/>
        <v>0</v>
      </c>
      <c r="U1400" s="71">
        <f>IF(AND(N1400=1,V1400=1),IF(COUNTIFS(AKTIVITAS!$B$2:$B$3052,B1400,AKTIVITAS!$E$2:$E$3052,H1400)&gt;0,1,0),0)</f>
        <v>1</v>
      </c>
      <c r="V1400" s="71">
        <f>IFERROR(IF(AND(H1400&gt;=INDEX(PEMAGANG!$J$3:$J$36,MATCH(B1400,PEMAGANG!$C$3:$C$36,0)),H1400&lt;=INDEX(PEMAGANG!$K$3:$K$36,MATCH(B1400,PEMAGANG!$C$3:$C$36,0))),1,0),0)</f>
        <v>1</v>
      </c>
      <c r="W1400" s="71">
        <f t="shared" si="197"/>
        <v>1</v>
      </c>
    </row>
    <row r="1401" spans="1:23" x14ac:dyDescent="0.2">
      <c r="A1401" s="71" t="s">
        <v>218</v>
      </c>
      <c r="B1401" s="71" t="s">
        <v>219</v>
      </c>
      <c r="C1401" s="71" t="s">
        <v>221</v>
      </c>
      <c r="D1401" s="71" t="s">
        <v>220</v>
      </c>
      <c r="E1401" s="71" t="s">
        <v>345</v>
      </c>
      <c r="F1401" s="71" t="s">
        <v>300</v>
      </c>
      <c r="G1401" s="88">
        <v>46247.653391203698</v>
      </c>
      <c r="H1401" s="89">
        <v>46247</v>
      </c>
      <c r="I1401" s="71" t="s">
        <v>521</v>
      </c>
      <c r="J1401" s="71">
        <v>0</v>
      </c>
      <c r="K1401" s="71" t="s">
        <v>302</v>
      </c>
      <c r="L1401" s="71">
        <f t="shared" si="189"/>
        <v>8</v>
      </c>
      <c r="M1401" s="71" t="str">
        <f>IFERROR(INDEX(KALENDER!$D$3:$D$132,MATCH(H1401,KALENDER!$A$3:$A$132,0)),"Di luar periode")</f>
        <v>Hari Kerja</v>
      </c>
      <c r="N1401" s="71">
        <f t="shared" si="190"/>
        <v>0</v>
      </c>
      <c r="O1401" s="71">
        <f t="shared" si="191"/>
        <v>1</v>
      </c>
      <c r="P1401" s="71">
        <f t="shared" si="192"/>
        <v>0</v>
      </c>
      <c r="Q1401" s="71">
        <f t="shared" si="193"/>
        <v>0</v>
      </c>
      <c r="R1401" s="71">
        <f t="shared" si="194"/>
        <v>0</v>
      </c>
      <c r="S1401" s="71">
        <f t="shared" si="195"/>
        <v>0</v>
      </c>
      <c r="T1401" s="71">
        <f t="shared" si="196"/>
        <v>0</v>
      </c>
      <c r="U1401" s="71">
        <f>IF(AND(N1401=1,V1401=1),IF(COUNTIFS(AKTIVITAS!$B$2:$B$3052,B1401,AKTIVITAS!$E$2:$E$3052,H1401)&gt;0,1,0),0)</f>
        <v>0</v>
      </c>
      <c r="V1401" s="71">
        <f>IFERROR(IF(AND(H1401&gt;=INDEX(PEMAGANG!$J$3:$J$36,MATCH(B1401,PEMAGANG!$C$3:$C$36,0)),H1401&lt;=INDEX(PEMAGANG!$K$3:$K$36,MATCH(B1401,PEMAGANG!$C$3:$C$36,0))),1,0),0)</f>
        <v>1</v>
      </c>
      <c r="W1401" s="71">
        <f t="shared" si="197"/>
        <v>0</v>
      </c>
    </row>
    <row r="1402" spans="1:23" x14ac:dyDescent="0.2">
      <c r="A1402" s="71" t="s">
        <v>218</v>
      </c>
      <c r="B1402" s="71" t="s">
        <v>219</v>
      </c>
      <c r="C1402" s="71" t="s">
        <v>221</v>
      </c>
      <c r="D1402" s="71" t="s">
        <v>220</v>
      </c>
      <c r="E1402" s="71" t="s">
        <v>345</v>
      </c>
      <c r="F1402" s="71" t="s">
        <v>298</v>
      </c>
      <c r="G1402" s="88">
        <v>46248.317407407398</v>
      </c>
      <c r="H1402" s="89">
        <v>46248</v>
      </c>
      <c r="I1402" s="71" t="s">
        <v>386</v>
      </c>
      <c r="J1402" s="71">
        <v>-22.999999999999901</v>
      </c>
      <c r="K1402" s="71" t="s">
        <v>302</v>
      </c>
      <c r="L1402" s="71">
        <f t="shared" si="189"/>
        <v>8</v>
      </c>
      <c r="M1402" s="71" t="str">
        <f>IFERROR(INDEX(KALENDER!$D$3:$D$132,MATCH(H1402,KALENDER!$A$3:$A$132,0)),"Di luar periode")</f>
        <v>Hari Kerja</v>
      </c>
      <c r="N1402" s="71">
        <f t="shared" si="190"/>
        <v>1</v>
      </c>
      <c r="O1402" s="71">
        <f t="shared" si="191"/>
        <v>1</v>
      </c>
      <c r="P1402" s="71">
        <f t="shared" si="192"/>
        <v>1</v>
      </c>
      <c r="Q1402" s="71">
        <f t="shared" si="193"/>
        <v>0</v>
      </c>
      <c r="R1402" s="71">
        <f t="shared" si="194"/>
        <v>0</v>
      </c>
      <c r="S1402" s="71">
        <f t="shared" si="195"/>
        <v>0</v>
      </c>
      <c r="T1402" s="71">
        <f t="shared" si="196"/>
        <v>0</v>
      </c>
      <c r="U1402" s="71">
        <f>IF(AND(N1402=1,V1402=1),IF(COUNTIFS(AKTIVITAS!$B$2:$B$3052,B1402,AKTIVITAS!$E$2:$E$3052,H1402)&gt;0,1,0),0)</f>
        <v>1</v>
      </c>
      <c r="V1402" s="71">
        <f>IFERROR(IF(AND(H1402&gt;=INDEX(PEMAGANG!$J$3:$J$36,MATCH(B1402,PEMAGANG!$C$3:$C$36,0)),H1402&lt;=INDEX(PEMAGANG!$K$3:$K$36,MATCH(B1402,PEMAGANG!$C$3:$C$36,0))),1,0),0)</f>
        <v>1</v>
      </c>
      <c r="W1402" s="71">
        <f t="shared" si="197"/>
        <v>1</v>
      </c>
    </row>
    <row r="1403" spans="1:23" x14ac:dyDescent="0.2">
      <c r="A1403" s="71" t="s">
        <v>218</v>
      </c>
      <c r="B1403" s="71" t="s">
        <v>219</v>
      </c>
      <c r="C1403" s="71" t="s">
        <v>221</v>
      </c>
      <c r="D1403" s="71" t="s">
        <v>220</v>
      </c>
      <c r="E1403" s="71" t="s">
        <v>345</v>
      </c>
      <c r="F1403" s="71" t="s">
        <v>300</v>
      </c>
      <c r="G1403" s="88">
        <v>46248.6729513889</v>
      </c>
      <c r="H1403" s="89">
        <v>46248</v>
      </c>
      <c r="I1403" s="71" t="s">
        <v>562</v>
      </c>
      <c r="J1403" s="71">
        <v>0</v>
      </c>
      <c r="K1403" s="71" t="s">
        <v>302</v>
      </c>
      <c r="L1403" s="71">
        <f t="shared" si="189"/>
        <v>8</v>
      </c>
      <c r="M1403" s="71" t="str">
        <f>IFERROR(INDEX(KALENDER!$D$3:$D$132,MATCH(H1403,KALENDER!$A$3:$A$132,0)),"Di luar periode")</f>
        <v>Hari Kerja</v>
      </c>
      <c r="N1403" s="71">
        <f t="shared" si="190"/>
        <v>0</v>
      </c>
      <c r="O1403" s="71">
        <f t="shared" si="191"/>
        <v>1</v>
      </c>
      <c r="P1403" s="71">
        <f t="shared" si="192"/>
        <v>0</v>
      </c>
      <c r="Q1403" s="71">
        <f t="shared" si="193"/>
        <v>0</v>
      </c>
      <c r="R1403" s="71">
        <f t="shared" si="194"/>
        <v>0</v>
      </c>
      <c r="S1403" s="71">
        <f t="shared" si="195"/>
        <v>0</v>
      </c>
      <c r="T1403" s="71">
        <f t="shared" si="196"/>
        <v>0</v>
      </c>
      <c r="U1403" s="71">
        <f>IF(AND(N1403=1,V1403=1),IF(COUNTIFS(AKTIVITAS!$B$2:$B$3052,B1403,AKTIVITAS!$E$2:$E$3052,H1403)&gt;0,1,0),0)</f>
        <v>0</v>
      </c>
      <c r="V1403" s="71">
        <f>IFERROR(IF(AND(H1403&gt;=INDEX(PEMAGANG!$J$3:$J$36,MATCH(B1403,PEMAGANG!$C$3:$C$36,0)),H1403&lt;=INDEX(PEMAGANG!$K$3:$K$36,MATCH(B1403,PEMAGANG!$C$3:$C$36,0))),1,0),0)</f>
        <v>1</v>
      </c>
      <c r="W1403" s="71">
        <f t="shared" si="197"/>
        <v>0</v>
      </c>
    </row>
    <row r="1404" spans="1:23" x14ac:dyDescent="0.2">
      <c r="A1404" s="71" t="s">
        <v>218</v>
      </c>
      <c r="B1404" s="71" t="s">
        <v>219</v>
      </c>
      <c r="C1404" s="71" t="s">
        <v>221</v>
      </c>
      <c r="D1404" s="71" t="s">
        <v>220</v>
      </c>
      <c r="E1404" s="71" t="s">
        <v>345</v>
      </c>
      <c r="F1404" s="71" t="s">
        <v>298</v>
      </c>
      <c r="G1404" s="88">
        <v>46249.317685185197</v>
      </c>
      <c r="H1404" s="89">
        <v>46249</v>
      </c>
      <c r="I1404" s="71" t="s">
        <v>386</v>
      </c>
      <c r="J1404" s="71">
        <v>-22.999999999999901</v>
      </c>
      <c r="K1404" s="71" t="s">
        <v>302</v>
      </c>
      <c r="L1404" s="71">
        <f t="shared" si="189"/>
        <v>8</v>
      </c>
      <c r="M1404" s="71" t="str">
        <f>IFERROR(INDEX(KALENDER!$D$3:$D$132,MATCH(H1404,KALENDER!$A$3:$A$132,0)),"Di luar periode")</f>
        <v>Libur (Sabtu/Minggu)</v>
      </c>
      <c r="N1404" s="71">
        <f t="shared" si="190"/>
        <v>1</v>
      </c>
      <c r="O1404" s="71">
        <f t="shared" si="191"/>
        <v>1</v>
      </c>
      <c r="P1404" s="71">
        <f t="shared" si="192"/>
        <v>0</v>
      </c>
      <c r="Q1404" s="71">
        <f t="shared" si="193"/>
        <v>1</v>
      </c>
      <c r="R1404" s="71">
        <f t="shared" si="194"/>
        <v>0</v>
      </c>
      <c r="S1404" s="71">
        <f t="shared" si="195"/>
        <v>0</v>
      </c>
      <c r="T1404" s="71">
        <f t="shared" si="196"/>
        <v>0</v>
      </c>
      <c r="U1404" s="71">
        <f>IF(AND(N1404=1,V1404=1),IF(COUNTIFS(AKTIVITAS!$B$2:$B$3052,B1404,AKTIVITAS!$E$2:$E$3052,H1404)&gt;0,1,0),0)</f>
        <v>1</v>
      </c>
      <c r="V1404" s="71">
        <f>IFERROR(IF(AND(H1404&gt;=INDEX(PEMAGANG!$J$3:$J$36,MATCH(B1404,PEMAGANG!$C$3:$C$36,0)),H1404&lt;=INDEX(PEMAGANG!$K$3:$K$36,MATCH(B1404,PEMAGANG!$C$3:$C$36,0))),1,0),0)</f>
        <v>1</v>
      </c>
      <c r="W1404" s="71">
        <f t="shared" si="197"/>
        <v>1</v>
      </c>
    </row>
    <row r="1405" spans="1:23" x14ac:dyDescent="0.2">
      <c r="A1405" s="71" t="s">
        <v>218</v>
      </c>
      <c r="B1405" s="71" t="s">
        <v>219</v>
      </c>
      <c r="C1405" s="71" t="s">
        <v>221</v>
      </c>
      <c r="D1405" s="71" t="s">
        <v>220</v>
      </c>
      <c r="E1405" s="71" t="s">
        <v>345</v>
      </c>
      <c r="F1405" s="71" t="s">
        <v>300</v>
      </c>
      <c r="G1405" s="88">
        <v>46249.570625</v>
      </c>
      <c r="H1405" s="89">
        <v>46249</v>
      </c>
      <c r="I1405" s="71" t="s">
        <v>563</v>
      </c>
      <c r="J1405" s="71">
        <v>0</v>
      </c>
      <c r="K1405" s="71" t="s">
        <v>302</v>
      </c>
      <c r="L1405" s="71">
        <f t="shared" si="189"/>
        <v>8</v>
      </c>
      <c r="M1405" s="71" t="str">
        <f>IFERROR(INDEX(KALENDER!$D$3:$D$132,MATCH(H1405,KALENDER!$A$3:$A$132,0)),"Di luar periode")</f>
        <v>Libur (Sabtu/Minggu)</v>
      </c>
      <c r="N1405" s="71">
        <f t="shared" si="190"/>
        <v>0</v>
      </c>
      <c r="O1405" s="71">
        <f t="shared" si="191"/>
        <v>1</v>
      </c>
      <c r="P1405" s="71">
        <f t="shared" si="192"/>
        <v>0</v>
      </c>
      <c r="Q1405" s="71">
        <f t="shared" si="193"/>
        <v>0</v>
      </c>
      <c r="R1405" s="71">
        <f t="shared" si="194"/>
        <v>0</v>
      </c>
      <c r="S1405" s="71">
        <f t="shared" si="195"/>
        <v>0</v>
      </c>
      <c r="T1405" s="71">
        <f t="shared" si="196"/>
        <v>0</v>
      </c>
      <c r="U1405" s="71">
        <f>IF(AND(N1405=1,V1405=1),IF(COUNTIFS(AKTIVITAS!$B$2:$B$3052,B1405,AKTIVITAS!$E$2:$E$3052,H1405)&gt;0,1,0),0)</f>
        <v>0</v>
      </c>
      <c r="V1405" s="71">
        <f>IFERROR(IF(AND(H1405&gt;=INDEX(PEMAGANG!$J$3:$J$36,MATCH(B1405,PEMAGANG!$C$3:$C$36,0)),H1405&lt;=INDEX(PEMAGANG!$K$3:$K$36,MATCH(B1405,PEMAGANG!$C$3:$C$36,0))),1,0),0)</f>
        <v>1</v>
      </c>
      <c r="W1405" s="71">
        <f t="shared" si="197"/>
        <v>0</v>
      </c>
    </row>
    <row r="1406" spans="1:23" x14ac:dyDescent="0.2">
      <c r="A1406" s="71" t="s">
        <v>218</v>
      </c>
      <c r="B1406" s="71" t="s">
        <v>219</v>
      </c>
      <c r="C1406" s="71" t="s">
        <v>221</v>
      </c>
      <c r="D1406" s="71" t="s">
        <v>220</v>
      </c>
      <c r="E1406" s="71" t="s">
        <v>345</v>
      </c>
      <c r="F1406" s="71" t="s">
        <v>298</v>
      </c>
      <c r="G1406" s="88">
        <v>46252.317731481497</v>
      </c>
      <c r="H1406" s="89">
        <v>46252</v>
      </c>
      <c r="I1406" s="71" t="s">
        <v>386</v>
      </c>
      <c r="J1406" s="71">
        <v>-22.999999999999901</v>
      </c>
      <c r="K1406" s="71" t="s">
        <v>302</v>
      </c>
      <c r="L1406" s="71">
        <f t="shared" si="189"/>
        <v>8</v>
      </c>
      <c r="M1406" s="71" t="str">
        <f>IFERROR(INDEX(KALENDER!$D$3:$D$132,MATCH(H1406,KALENDER!$A$3:$A$132,0)),"Di luar periode")</f>
        <v>Hari Kerja</v>
      </c>
      <c r="N1406" s="71">
        <f t="shared" si="190"/>
        <v>1</v>
      </c>
      <c r="O1406" s="71">
        <f t="shared" si="191"/>
        <v>1</v>
      </c>
      <c r="P1406" s="71">
        <f t="shared" si="192"/>
        <v>1</v>
      </c>
      <c r="Q1406" s="71">
        <f t="shared" si="193"/>
        <v>0</v>
      </c>
      <c r="R1406" s="71">
        <f t="shared" si="194"/>
        <v>0</v>
      </c>
      <c r="S1406" s="71">
        <f t="shared" si="195"/>
        <v>0</v>
      </c>
      <c r="T1406" s="71">
        <f t="shared" si="196"/>
        <v>0</v>
      </c>
      <c r="U1406" s="71">
        <f>IF(AND(N1406=1,V1406=1),IF(COUNTIFS(AKTIVITAS!$B$2:$B$3052,B1406,AKTIVITAS!$E$2:$E$3052,H1406)&gt;0,1,0),0)</f>
        <v>1</v>
      </c>
      <c r="V1406" s="71">
        <f>IFERROR(IF(AND(H1406&gt;=INDEX(PEMAGANG!$J$3:$J$36,MATCH(B1406,PEMAGANG!$C$3:$C$36,0)),H1406&lt;=INDEX(PEMAGANG!$K$3:$K$36,MATCH(B1406,PEMAGANG!$C$3:$C$36,0))),1,0),0)</f>
        <v>1</v>
      </c>
      <c r="W1406" s="71">
        <f t="shared" si="197"/>
        <v>1</v>
      </c>
    </row>
    <row r="1407" spans="1:23" x14ac:dyDescent="0.2">
      <c r="A1407" s="71" t="s">
        <v>218</v>
      </c>
      <c r="B1407" s="71" t="s">
        <v>219</v>
      </c>
      <c r="C1407" s="71" t="s">
        <v>221</v>
      </c>
      <c r="D1407" s="71" t="s">
        <v>220</v>
      </c>
      <c r="E1407" s="71" t="s">
        <v>345</v>
      </c>
      <c r="F1407" s="71" t="s">
        <v>300</v>
      </c>
      <c r="G1407" s="88">
        <v>46252.727071759298</v>
      </c>
      <c r="H1407" s="89">
        <v>46252</v>
      </c>
      <c r="I1407" s="71" t="s">
        <v>564</v>
      </c>
      <c r="J1407" s="71">
        <v>0</v>
      </c>
      <c r="K1407" s="71" t="s">
        <v>302</v>
      </c>
      <c r="L1407" s="71">
        <f t="shared" si="189"/>
        <v>8</v>
      </c>
      <c r="M1407" s="71" t="str">
        <f>IFERROR(INDEX(KALENDER!$D$3:$D$132,MATCH(H1407,KALENDER!$A$3:$A$132,0)),"Di luar periode")</f>
        <v>Hari Kerja</v>
      </c>
      <c r="N1407" s="71">
        <f t="shared" si="190"/>
        <v>0</v>
      </c>
      <c r="O1407" s="71">
        <f t="shared" si="191"/>
        <v>1</v>
      </c>
      <c r="P1407" s="71">
        <f t="shared" si="192"/>
        <v>0</v>
      </c>
      <c r="Q1407" s="71">
        <f t="shared" si="193"/>
        <v>0</v>
      </c>
      <c r="R1407" s="71">
        <f t="shared" si="194"/>
        <v>0</v>
      </c>
      <c r="S1407" s="71">
        <f t="shared" si="195"/>
        <v>0</v>
      </c>
      <c r="T1407" s="71">
        <f t="shared" si="196"/>
        <v>0</v>
      </c>
      <c r="U1407" s="71">
        <f>IF(AND(N1407=1,V1407=1),IF(COUNTIFS(AKTIVITAS!$B$2:$B$3052,B1407,AKTIVITAS!$E$2:$E$3052,H1407)&gt;0,1,0),0)</f>
        <v>0</v>
      </c>
      <c r="V1407" s="71">
        <f>IFERROR(IF(AND(H1407&gt;=INDEX(PEMAGANG!$J$3:$J$36,MATCH(B1407,PEMAGANG!$C$3:$C$36,0)),H1407&lt;=INDEX(PEMAGANG!$K$3:$K$36,MATCH(B1407,PEMAGANG!$C$3:$C$36,0))),1,0),0)</f>
        <v>1</v>
      </c>
      <c r="W1407" s="71">
        <f t="shared" si="197"/>
        <v>0</v>
      </c>
    </row>
    <row r="1408" spans="1:23" x14ac:dyDescent="0.2">
      <c r="A1408" s="71" t="s">
        <v>218</v>
      </c>
      <c r="B1408" s="71" t="s">
        <v>219</v>
      </c>
      <c r="C1408" s="71" t="s">
        <v>221</v>
      </c>
      <c r="D1408" s="71" t="s">
        <v>220</v>
      </c>
      <c r="E1408" s="71" t="s">
        <v>345</v>
      </c>
      <c r="F1408" s="71" t="s">
        <v>298</v>
      </c>
      <c r="G1408" s="88">
        <v>46253.321041666699</v>
      </c>
      <c r="H1408" s="89">
        <v>46253</v>
      </c>
      <c r="I1408" s="71" t="s">
        <v>565</v>
      </c>
      <c r="J1408" s="71">
        <v>-17.999999999999901</v>
      </c>
      <c r="K1408" s="71" t="s">
        <v>302</v>
      </c>
      <c r="L1408" s="71">
        <f t="shared" si="189"/>
        <v>8</v>
      </c>
      <c r="M1408" s="71" t="str">
        <f>IFERROR(INDEX(KALENDER!$D$3:$D$132,MATCH(H1408,KALENDER!$A$3:$A$132,0)),"Di luar periode")</f>
        <v>Hari Kerja</v>
      </c>
      <c r="N1408" s="71">
        <f t="shared" si="190"/>
        <v>1</v>
      </c>
      <c r="O1408" s="71">
        <f t="shared" si="191"/>
        <v>1</v>
      </c>
      <c r="P1408" s="71">
        <f t="shared" si="192"/>
        <v>1</v>
      </c>
      <c r="Q1408" s="71">
        <f t="shared" si="193"/>
        <v>0</v>
      </c>
      <c r="R1408" s="71">
        <f t="shared" si="194"/>
        <v>0</v>
      </c>
      <c r="S1408" s="71">
        <f t="shared" si="195"/>
        <v>0</v>
      </c>
      <c r="T1408" s="71">
        <f t="shared" si="196"/>
        <v>0</v>
      </c>
      <c r="U1408" s="71">
        <f>IF(AND(N1408=1,V1408=1),IF(COUNTIFS(AKTIVITAS!$B$2:$B$3052,B1408,AKTIVITAS!$E$2:$E$3052,H1408)&gt;0,1,0),0)</f>
        <v>1</v>
      </c>
      <c r="V1408" s="71">
        <f>IFERROR(IF(AND(H1408&gt;=INDEX(PEMAGANG!$J$3:$J$36,MATCH(B1408,PEMAGANG!$C$3:$C$36,0)),H1408&lt;=INDEX(PEMAGANG!$K$3:$K$36,MATCH(B1408,PEMAGANG!$C$3:$C$36,0))),1,0),0)</f>
        <v>1</v>
      </c>
      <c r="W1408" s="71">
        <f t="shared" si="197"/>
        <v>1</v>
      </c>
    </row>
    <row r="1409" spans="1:23" x14ac:dyDescent="0.2">
      <c r="A1409" s="71" t="s">
        <v>218</v>
      </c>
      <c r="B1409" s="71" t="s">
        <v>219</v>
      </c>
      <c r="C1409" s="71" t="s">
        <v>221</v>
      </c>
      <c r="D1409" s="71" t="s">
        <v>220</v>
      </c>
      <c r="E1409" s="71" t="s">
        <v>345</v>
      </c>
      <c r="F1409" s="71" t="s">
        <v>300</v>
      </c>
      <c r="G1409" s="88">
        <v>46253.655277777798</v>
      </c>
      <c r="H1409" s="89">
        <v>46253</v>
      </c>
      <c r="I1409" s="71" t="s">
        <v>553</v>
      </c>
      <c r="J1409" s="71">
        <v>0</v>
      </c>
      <c r="K1409" s="71" t="s">
        <v>302</v>
      </c>
      <c r="L1409" s="71">
        <f t="shared" si="189"/>
        <v>8</v>
      </c>
      <c r="M1409" s="71" t="str">
        <f>IFERROR(INDEX(KALENDER!$D$3:$D$132,MATCH(H1409,KALENDER!$A$3:$A$132,0)),"Di luar periode")</f>
        <v>Hari Kerja</v>
      </c>
      <c r="N1409" s="71">
        <f t="shared" si="190"/>
        <v>0</v>
      </c>
      <c r="O1409" s="71">
        <f t="shared" si="191"/>
        <v>1</v>
      </c>
      <c r="P1409" s="71">
        <f t="shared" si="192"/>
        <v>0</v>
      </c>
      <c r="Q1409" s="71">
        <f t="shared" si="193"/>
        <v>0</v>
      </c>
      <c r="R1409" s="71">
        <f t="shared" si="194"/>
        <v>0</v>
      </c>
      <c r="S1409" s="71">
        <f t="shared" si="195"/>
        <v>0</v>
      </c>
      <c r="T1409" s="71">
        <f t="shared" si="196"/>
        <v>0</v>
      </c>
      <c r="U1409" s="71">
        <f>IF(AND(N1409=1,V1409=1),IF(COUNTIFS(AKTIVITAS!$B$2:$B$3052,B1409,AKTIVITAS!$E$2:$E$3052,H1409)&gt;0,1,0),0)</f>
        <v>0</v>
      </c>
      <c r="V1409" s="71">
        <f>IFERROR(IF(AND(H1409&gt;=INDEX(PEMAGANG!$J$3:$J$36,MATCH(B1409,PEMAGANG!$C$3:$C$36,0)),H1409&lt;=INDEX(PEMAGANG!$K$3:$K$36,MATCH(B1409,PEMAGANG!$C$3:$C$36,0))),1,0),0)</f>
        <v>1</v>
      </c>
      <c r="W1409" s="71">
        <f t="shared" si="197"/>
        <v>0</v>
      </c>
    </row>
    <row r="1410" spans="1:23" x14ac:dyDescent="0.2">
      <c r="A1410" s="71" t="s">
        <v>218</v>
      </c>
      <c r="B1410" s="71" t="s">
        <v>219</v>
      </c>
      <c r="C1410" s="71" t="s">
        <v>221</v>
      </c>
      <c r="D1410" s="71" t="s">
        <v>220</v>
      </c>
      <c r="E1410" s="71" t="s">
        <v>345</v>
      </c>
      <c r="F1410" s="71" t="s">
        <v>298</v>
      </c>
      <c r="G1410" s="88">
        <v>46254.316620370402</v>
      </c>
      <c r="H1410" s="89">
        <v>46254</v>
      </c>
      <c r="I1410" s="71" t="s">
        <v>339</v>
      </c>
      <c r="J1410" s="71">
        <v>-25</v>
      </c>
      <c r="K1410" s="71" t="s">
        <v>302</v>
      </c>
      <c r="L1410" s="71">
        <f t="shared" ref="L1410:L1473" si="198">MONTH(H1410)</f>
        <v>8</v>
      </c>
      <c r="M1410" s="71" t="str">
        <f>IFERROR(INDEX(KALENDER!$D$3:$D$132,MATCH(H1410,KALENDER!$A$3:$A$132,0)),"Di luar periode")</f>
        <v>Hari Kerja</v>
      </c>
      <c r="N1410" s="71">
        <f t="shared" ref="N1410:N1473" si="199">IF(AND(B1410=B1409,H1410=H1409),0,1)</f>
        <v>1</v>
      </c>
      <c r="O1410" s="71">
        <f t="shared" ref="O1410:O1473" si="200">IF(N1410=1,0,O1409)+IF(F1410="MASUK",1,0)</f>
        <v>1</v>
      </c>
      <c r="P1410" s="71">
        <f t="shared" ref="P1410:P1473" si="201">IF(AND(N1410=1,M1410="Hari Kerja",V1410=1),1,0)</f>
        <v>1</v>
      </c>
      <c r="Q1410" s="71">
        <f t="shared" ref="Q1410:Q1473" si="202">IF(AND(N1410=1,OR(M1410&lt;&gt;"Hari Kerja",V1410=0)),1,0)</f>
        <v>0</v>
      </c>
      <c r="R1410" s="71">
        <f t="shared" ref="R1410:R1473" si="203">IF(AND(F1410="MASUK",O1410=1,N(J1410)&gt;0,V1410=1),1,0)</f>
        <v>0</v>
      </c>
      <c r="S1410" s="71">
        <f t="shared" ref="S1410:S1473" si="204">R1410*N(J1410)</f>
        <v>0</v>
      </c>
      <c r="T1410" s="71">
        <f t="shared" ref="T1410:T1473" si="205">IF(AND(N1410=1,V1410=1),IF(AND(COUNTIFS($B$2:$B$4094,B1410,$H$2:$H$4094,H1410,$F$2:$F$4094,"MASUK")&gt;0,COUNTIFS($B$2:$B$4094,B1410,$H$2:$H$4094,H1410,$F$2:$F$4094,"PULANG")=0),1,0),0)</f>
        <v>0</v>
      </c>
      <c r="U1410" s="71">
        <f>IF(AND(N1410=1,V1410=1),IF(COUNTIFS(AKTIVITAS!$B$2:$B$3052,B1410,AKTIVITAS!$E$2:$E$3052,H1410)&gt;0,1,0),0)</f>
        <v>1</v>
      </c>
      <c r="V1410" s="71">
        <f>IFERROR(IF(AND(H1410&gt;=INDEX(PEMAGANG!$J$3:$J$36,MATCH(B1410,PEMAGANG!$C$3:$C$36,0)),H1410&lt;=INDEX(PEMAGANG!$K$3:$K$36,MATCH(B1410,PEMAGANG!$C$3:$C$36,0))),1,0),0)</f>
        <v>1</v>
      </c>
      <c r="W1410" s="71">
        <f t="shared" ref="W1410:W1473" si="206">N1410*V1410</f>
        <v>1</v>
      </c>
    </row>
    <row r="1411" spans="1:23" x14ac:dyDescent="0.2">
      <c r="A1411" s="71" t="s">
        <v>218</v>
      </c>
      <c r="B1411" s="71" t="s">
        <v>219</v>
      </c>
      <c r="C1411" s="71" t="s">
        <v>221</v>
      </c>
      <c r="D1411" s="71" t="s">
        <v>220</v>
      </c>
      <c r="E1411" s="71" t="s">
        <v>345</v>
      </c>
      <c r="F1411" s="71" t="s">
        <v>300</v>
      </c>
      <c r="G1411" s="88">
        <v>46254.663622685199</v>
      </c>
      <c r="H1411" s="89">
        <v>46254</v>
      </c>
      <c r="I1411" s="71" t="s">
        <v>541</v>
      </c>
      <c r="J1411" s="71">
        <v>0</v>
      </c>
      <c r="K1411" s="71" t="s">
        <v>302</v>
      </c>
      <c r="L1411" s="71">
        <f t="shared" si="198"/>
        <v>8</v>
      </c>
      <c r="M1411" s="71" t="str">
        <f>IFERROR(INDEX(KALENDER!$D$3:$D$132,MATCH(H1411,KALENDER!$A$3:$A$132,0)),"Di luar periode")</f>
        <v>Hari Kerja</v>
      </c>
      <c r="N1411" s="71">
        <f t="shared" si="199"/>
        <v>0</v>
      </c>
      <c r="O1411" s="71">
        <f t="shared" si="200"/>
        <v>1</v>
      </c>
      <c r="P1411" s="71">
        <f t="shared" si="201"/>
        <v>0</v>
      </c>
      <c r="Q1411" s="71">
        <f t="shared" si="202"/>
        <v>0</v>
      </c>
      <c r="R1411" s="71">
        <f t="shared" si="203"/>
        <v>0</v>
      </c>
      <c r="S1411" s="71">
        <f t="shared" si="204"/>
        <v>0</v>
      </c>
      <c r="T1411" s="71">
        <f t="shared" si="205"/>
        <v>0</v>
      </c>
      <c r="U1411" s="71">
        <f>IF(AND(N1411=1,V1411=1),IF(COUNTIFS(AKTIVITAS!$B$2:$B$3052,B1411,AKTIVITAS!$E$2:$E$3052,H1411)&gt;0,1,0),0)</f>
        <v>0</v>
      </c>
      <c r="V1411" s="71">
        <f>IFERROR(IF(AND(H1411&gt;=INDEX(PEMAGANG!$J$3:$J$36,MATCH(B1411,PEMAGANG!$C$3:$C$36,0)),H1411&lt;=INDEX(PEMAGANG!$K$3:$K$36,MATCH(B1411,PEMAGANG!$C$3:$C$36,0))),1,0),0)</f>
        <v>1</v>
      </c>
      <c r="W1411" s="71">
        <f t="shared" si="206"/>
        <v>0</v>
      </c>
    </row>
    <row r="1412" spans="1:23" x14ac:dyDescent="0.2">
      <c r="A1412" s="71" t="s">
        <v>218</v>
      </c>
      <c r="B1412" s="71" t="s">
        <v>219</v>
      </c>
      <c r="C1412" s="71" t="s">
        <v>221</v>
      </c>
      <c r="D1412" s="71" t="s">
        <v>220</v>
      </c>
      <c r="E1412" s="71" t="s">
        <v>345</v>
      </c>
      <c r="F1412" s="71" t="s">
        <v>298</v>
      </c>
      <c r="G1412" s="88">
        <v>46255.317291666703</v>
      </c>
      <c r="H1412" s="89">
        <v>46255</v>
      </c>
      <c r="I1412" s="71" t="s">
        <v>376</v>
      </c>
      <c r="J1412" s="71">
        <v>-24</v>
      </c>
      <c r="K1412" s="71" t="s">
        <v>302</v>
      </c>
      <c r="L1412" s="71">
        <f t="shared" si="198"/>
        <v>8</v>
      </c>
      <c r="M1412" s="71" t="str">
        <f>IFERROR(INDEX(KALENDER!$D$3:$D$132,MATCH(H1412,KALENDER!$A$3:$A$132,0)),"Di luar periode")</f>
        <v>Hari Kerja</v>
      </c>
      <c r="N1412" s="71">
        <f t="shared" si="199"/>
        <v>1</v>
      </c>
      <c r="O1412" s="71">
        <f t="shared" si="200"/>
        <v>1</v>
      </c>
      <c r="P1412" s="71">
        <f t="shared" si="201"/>
        <v>1</v>
      </c>
      <c r="Q1412" s="71">
        <f t="shared" si="202"/>
        <v>0</v>
      </c>
      <c r="R1412" s="71">
        <f t="shared" si="203"/>
        <v>0</v>
      </c>
      <c r="S1412" s="71">
        <f t="shared" si="204"/>
        <v>0</v>
      </c>
      <c r="T1412" s="71">
        <f t="shared" si="205"/>
        <v>0</v>
      </c>
      <c r="U1412" s="71">
        <f>IF(AND(N1412=1,V1412=1),IF(COUNTIFS(AKTIVITAS!$B$2:$B$3052,B1412,AKTIVITAS!$E$2:$E$3052,H1412)&gt;0,1,0),0)</f>
        <v>1</v>
      </c>
      <c r="V1412" s="71">
        <f>IFERROR(IF(AND(H1412&gt;=INDEX(PEMAGANG!$J$3:$J$36,MATCH(B1412,PEMAGANG!$C$3:$C$36,0)),H1412&lt;=INDEX(PEMAGANG!$K$3:$K$36,MATCH(B1412,PEMAGANG!$C$3:$C$36,0))),1,0),0)</f>
        <v>1</v>
      </c>
      <c r="W1412" s="71">
        <f t="shared" si="206"/>
        <v>1</v>
      </c>
    </row>
    <row r="1413" spans="1:23" x14ac:dyDescent="0.2">
      <c r="A1413" s="71" t="s">
        <v>218</v>
      </c>
      <c r="B1413" s="71" t="s">
        <v>219</v>
      </c>
      <c r="C1413" s="71" t="s">
        <v>221</v>
      </c>
      <c r="D1413" s="71" t="s">
        <v>220</v>
      </c>
      <c r="E1413" s="71" t="s">
        <v>345</v>
      </c>
      <c r="F1413" s="71" t="s">
        <v>300</v>
      </c>
      <c r="G1413" s="88">
        <v>46255.666724536997</v>
      </c>
      <c r="H1413" s="89">
        <v>46255</v>
      </c>
      <c r="I1413" s="71" t="s">
        <v>566</v>
      </c>
      <c r="J1413" s="71">
        <v>0</v>
      </c>
      <c r="K1413" s="71" t="s">
        <v>302</v>
      </c>
      <c r="L1413" s="71">
        <f t="shared" si="198"/>
        <v>8</v>
      </c>
      <c r="M1413" s="71" t="str">
        <f>IFERROR(INDEX(KALENDER!$D$3:$D$132,MATCH(H1413,KALENDER!$A$3:$A$132,0)),"Di luar periode")</f>
        <v>Hari Kerja</v>
      </c>
      <c r="N1413" s="71">
        <f t="shared" si="199"/>
        <v>0</v>
      </c>
      <c r="O1413" s="71">
        <f t="shared" si="200"/>
        <v>1</v>
      </c>
      <c r="P1413" s="71">
        <f t="shared" si="201"/>
        <v>0</v>
      </c>
      <c r="Q1413" s="71">
        <f t="shared" si="202"/>
        <v>0</v>
      </c>
      <c r="R1413" s="71">
        <f t="shared" si="203"/>
        <v>0</v>
      </c>
      <c r="S1413" s="71">
        <f t="shared" si="204"/>
        <v>0</v>
      </c>
      <c r="T1413" s="71">
        <f t="shared" si="205"/>
        <v>0</v>
      </c>
      <c r="U1413" s="71">
        <f>IF(AND(N1413=1,V1413=1),IF(COUNTIFS(AKTIVITAS!$B$2:$B$3052,B1413,AKTIVITAS!$E$2:$E$3052,H1413)&gt;0,1,0),0)</f>
        <v>0</v>
      </c>
      <c r="V1413" s="71">
        <f>IFERROR(IF(AND(H1413&gt;=INDEX(PEMAGANG!$J$3:$J$36,MATCH(B1413,PEMAGANG!$C$3:$C$36,0)),H1413&lt;=INDEX(PEMAGANG!$K$3:$K$36,MATCH(B1413,PEMAGANG!$C$3:$C$36,0))),1,0),0)</f>
        <v>1</v>
      </c>
      <c r="W1413" s="71">
        <f t="shared" si="206"/>
        <v>0</v>
      </c>
    </row>
    <row r="1414" spans="1:23" x14ac:dyDescent="0.2">
      <c r="A1414" s="71" t="s">
        <v>218</v>
      </c>
      <c r="B1414" s="71" t="s">
        <v>219</v>
      </c>
      <c r="C1414" s="71" t="s">
        <v>221</v>
      </c>
      <c r="D1414" s="71" t="s">
        <v>220</v>
      </c>
      <c r="E1414" s="71" t="s">
        <v>345</v>
      </c>
      <c r="F1414" s="71" t="s">
        <v>298</v>
      </c>
      <c r="G1414" s="88">
        <v>46256.313993055599</v>
      </c>
      <c r="H1414" s="89">
        <v>46256</v>
      </c>
      <c r="I1414" s="71" t="s">
        <v>338</v>
      </c>
      <c r="J1414" s="71">
        <v>-28</v>
      </c>
      <c r="K1414" s="71" t="s">
        <v>302</v>
      </c>
      <c r="L1414" s="71">
        <f t="shared" si="198"/>
        <v>8</v>
      </c>
      <c r="M1414" s="71" t="str">
        <f>IFERROR(INDEX(KALENDER!$D$3:$D$132,MATCH(H1414,KALENDER!$A$3:$A$132,0)),"Di luar periode")</f>
        <v>Libur (Sabtu/Minggu)</v>
      </c>
      <c r="N1414" s="71">
        <f t="shared" si="199"/>
        <v>1</v>
      </c>
      <c r="O1414" s="71">
        <f t="shared" si="200"/>
        <v>1</v>
      </c>
      <c r="P1414" s="71">
        <f t="shared" si="201"/>
        <v>0</v>
      </c>
      <c r="Q1414" s="71">
        <f t="shared" si="202"/>
        <v>1</v>
      </c>
      <c r="R1414" s="71">
        <f t="shared" si="203"/>
        <v>0</v>
      </c>
      <c r="S1414" s="71">
        <f t="shared" si="204"/>
        <v>0</v>
      </c>
      <c r="T1414" s="71">
        <f t="shared" si="205"/>
        <v>0</v>
      </c>
      <c r="U1414" s="71">
        <f>IF(AND(N1414=1,V1414=1),IF(COUNTIFS(AKTIVITAS!$B$2:$B$3052,B1414,AKTIVITAS!$E$2:$E$3052,H1414)&gt;0,1,0),0)</f>
        <v>1</v>
      </c>
      <c r="V1414" s="71">
        <f>IFERROR(IF(AND(H1414&gt;=INDEX(PEMAGANG!$J$3:$J$36,MATCH(B1414,PEMAGANG!$C$3:$C$36,0)),H1414&lt;=INDEX(PEMAGANG!$K$3:$K$36,MATCH(B1414,PEMAGANG!$C$3:$C$36,0))),1,0),0)</f>
        <v>1</v>
      </c>
      <c r="W1414" s="71">
        <f t="shared" si="206"/>
        <v>1</v>
      </c>
    </row>
    <row r="1415" spans="1:23" x14ac:dyDescent="0.2">
      <c r="A1415" s="71" t="s">
        <v>218</v>
      </c>
      <c r="B1415" s="71" t="s">
        <v>219</v>
      </c>
      <c r="C1415" s="71" t="s">
        <v>221</v>
      </c>
      <c r="D1415" s="71" t="s">
        <v>220</v>
      </c>
      <c r="E1415" s="71" t="s">
        <v>345</v>
      </c>
      <c r="F1415" s="71" t="s">
        <v>300</v>
      </c>
      <c r="G1415" s="88">
        <v>46256.608715277798</v>
      </c>
      <c r="H1415" s="89">
        <v>46256</v>
      </c>
      <c r="I1415" s="71" t="s">
        <v>537</v>
      </c>
      <c r="J1415" s="71">
        <v>0</v>
      </c>
      <c r="K1415" s="71" t="s">
        <v>302</v>
      </c>
      <c r="L1415" s="71">
        <f t="shared" si="198"/>
        <v>8</v>
      </c>
      <c r="M1415" s="71" t="str">
        <f>IFERROR(INDEX(KALENDER!$D$3:$D$132,MATCH(H1415,KALENDER!$A$3:$A$132,0)),"Di luar periode")</f>
        <v>Libur (Sabtu/Minggu)</v>
      </c>
      <c r="N1415" s="71">
        <f t="shared" si="199"/>
        <v>0</v>
      </c>
      <c r="O1415" s="71">
        <f t="shared" si="200"/>
        <v>1</v>
      </c>
      <c r="P1415" s="71">
        <f t="shared" si="201"/>
        <v>0</v>
      </c>
      <c r="Q1415" s="71">
        <f t="shared" si="202"/>
        <v>0</v>
      </c>
      <c r="R1415" s="71">
        <f t="shared" si="203"/>
        <v>0</v>
      </c>
      <c r="S1415" s="71">
        <f t="shared" si="204"/>
        <v>0</v>
      </c>
      <c r="T1415" s="71">
        <f t="shared" si="205"/>
        <v>0</v>
      </c>
      <c r="U1415" s="71">
        <f>IF(AND(N1415=1,V1415=1),IF(COUNTIFS(AKTIVITAS!$B$2:$B$3052,B1415,AKTIVITAS!$E$2:$E$3052,H1415)&gt;0,1,0),0)</f>
        <v>0</v>
      </c>
      <c r="V1415" s="71">
        <f>IFERROR(IF(AND(H1415&gt;=INDEX(PEMAGANG!$J$3:$J$36,MATCH(B1415,PEMAGANG!$C$3:$C$36,0)),H1415&lt;=INDEX(PEMAGANG!$K$3:$K$36,MATCH(B1415,PEMAGANG!$C$3:$C$36,0))),1,0),0)</f>
        <v>1</v>
      </c>
      <c r="W1415" s="71">
        <f t="shared" si="206"/>
        <v>0</v>
      </c>
    </row>
    <row r="1416" spans="1:23" x14ac:dyDescent="0.2">
      <c r="A1416" s="71" t="s">
        <v>218</v>
      </c>
      <c r="B1416" s="71" t="s">
        <v>219</v>
      </c>
      <c r="C1416" s="71" t="s">
        <v>221</v>
      </c>
      <c r="D1416" s="71" t="s">
        <v>220</v>
      </c>
      <c r="E1416" s="71" t="s">
        <v>345</v>
      </c>
      <c r="F1416" s="71" t="s">
        <v>298</v>
      </c>
      <c r="G1416" s="88">
        <v>46258.320335648197</v>
      </c>
      <c r="H1416" s="89">
        <v>46258</v>
      </c>
      <c r="I1416" s="71" t="s">
        <v>367</v>
      </c>
      <c r="J1416" s="71">
        <v>-18.999999999999901</v>
      </c>
      <c r="K1416" s="71" t="s">
        <v>302</v>
      </c>
      <c r="L1416" s="71">
        <f t="shared" si="198"/>
        <v>8</v>
      </c>
      <c r="M1416" s="71" t="str">
        <f>IFERROR(INDEX(KALENDER!$D$3:$D$132,MATCH(H1416,KALENDER!$A$3:$A$132,0)),"Di luar periode")</f>
        <v>Hari Kerja</v>
      </c>
      <c r="N1416" s="71">
        <f t="shared" si="199"/>
        <v>1</v>
      </c>
      <c r="O1416" s="71">
        <f t="shared" si="200"/>
        <v>1</v>
      </c>
      <c r="P1416" s="71">
        <f t="shared" si="201"/>
        <v>1</v>
      </c>
      <c r="Q1416" s="71">
        <f t="shared" si="202"/>
        <v>0</v>
      </c>
      <c r="R1416" s="71">
        <f t="shared" si="203"/>
        <v>0</v>
      </c>
      <c r="S1416" s="71">
        <f t="shared" si="204"/>
        <v>0</v>
      </c>
      <c r="T1416" s="71">
        <f t="shared" si="205"/>
        <v>0</v>
      </c>
      <c r="U1416" s="71">
        <f>IF(AND(N1416=1,V1416=1),IF(COUNTIFS(AKTIVITAS!$B$2:$B$3052,B1416,AKTIVITAS!$E$2:$E$3052,H1416)&gt;0,1,0),0)</f>
        <v>1</v>
      </c>
      <c r="V1416" s="71">
        <f>IFERROR(IF(AND(H1416&gt;=INDEX(PEMAGANG!$J$3:$J$36,MATCH(B1416,PEMAGANG!$C$3:$C$36,0)),H1416&lt;=INDEX(PEMAGANG!$K$3:$K$36,MATCH(B1416,PEMAGANG!$C$3:$C$36,0))),1,0),0)</f>
        <v>1</v>
      </c>
      <c r="W1416" s="71">
        <f t="shared" si="206"/>
        <v>1</v>
      </c>
    </row>
    <row r="1417" spans="1:23" x14ac:dyDescent="0.2">
      <c r="A1417" s="71" t="s">
        <v>218</v>
      </c>
      <c r="B1417" s="71" t="s">
        <v>219</v>
      </c>
      <c r="C1417" s="71" t="s">
        <v>221</v>
      </c>
      <c r="D1417" s="71" t="s">
        <v>220</v>
      </c>
      <c r="E1417" s="71" t="s">
        <v>345</v>
      </c>
      <c r="F1417" s="71" t="s">
        <v>300</v>
      </c>
      <c r="G1417" s="88">
        <v>46258.654664351903</v>
      </c>
      <c r="H1417" s="89">
        <v>46258</v>
      </c>
      <c r="I1417" s="71" t="s">
        <v>558</v>
      </c>
      <c r="J1417" s="71">
        <v>0</v>
      </c>
      <c r="K1417" s="71" t="s">
        <v>302</v>
      </c>
      <c r="L1417" s="71">
        <f t="shared" si="198"/>
        <v>8</v>
      </c>
      <c r="M1417" s="71" t="str">
        <f>IFERROR(INDEX(KALENDER!$D$3:$D$132,MATCH(H1417,KALENDER!$A$3:$A$132,0)),"Di luar periode")</f>
        <v>Hari Kerja</v>
      </c>
      <c r="N1417" s="71">
        <f t="shared" si="199"/>
        <v>0</v>
      </c>
      <c r="O1417" s="71">
        <f t="shared" si="200"/>
        <v>1</v>
      </c>
      <c r="P1417" s="71">
        <f t="shared" si="201"/>
        <v>0</v>
      </c>
      <c r="Q1417" s="71">
        <f t="shared" si="202"/>
        <v>0</v>
      </c>
      <c r="R1417" s="71">
        <f t="shared" si="203"/>
        <v>0</v>
      </c>
      <c r="S1417" s="71">
        <f t="shared" si="204"/>
        <v>0</v>
      </c>
      <c r="T1417" s="71">
        <f t="shared" si="205"/>
        <v>0</v>
      </c>
      <c r="U1417" s="71">
        <f>IF(AND(N1417=1,V1417=1),IF(COUNTIFS(AKTIVITAS!$B$2:$B$3052,B1417,AKTIVITAS!$E$2:$E$3052,H1417)&gt;0,1,0),0)</f>
        <v>0</v>
      </c>
      <c r="V1417" s="71">
        <f>IFERROR(IF(AND(H1417&gt;=INDEX(PEMAGANG!$J$3:$J$36,MATCH(B1417,PEMAGANG!$C$3:$C$36,0)),H1417&lt;=INDEX(PEMAGANG!$K$3:$K$36,MATCH(B1417,PEMAGANG!$C$3:$C$36,0))),1,0),0)</f>
        <v>1</v>
      </c>
      <c r="W1417" s="71">
        <f t="shared" si="206"/>
        <v>0</v>
      </c>
    </row>
    <row r="1418" spans="1:23" x14ac:dyDescent="0.2">
      <c r="A1418" s="71" t="s">
        <v>218</v>
      </c>
      <c r="B1418" s="71" t="s">
        <v>219</v>
      </c>
      <c r="C1418" s="71" t="s">
        <v>221</v>
      </c>
      <c r="D1418" s="71" t="s">
        <v>220</v>
      </c>
      <c r="E1418" s="71" t="s">
        <v>345</v>
      </c>
      <c r="F1418" s="71" t="s">
        <v>298</v>
      </c>
      <c r="G1418" s="88">
        <v>46260.320243055598</v>
      </c>
      <c r="H1418" s="89">
        <v>46260</v>
      </c>
      <c r="I1418" s="71" t="s">
        <v>367</v>
      </c>
      <c r="J1418" s="71">
        <v>-18.999999999999901</v>
      </c>
      <c r="K1418" s="71" t="s">
        <v>302</v>
      </c>
      <c r="L1418" s="71">
        <f t="shared" si="198"/>
        <v>8</v>
      </c>
      <c r="M1418" s="71" t="str">
        <f>IFERROR(INDEX(KALENDER!$D$3:$D$132,MATCH(H1418,KALENDER!$A$3:$A$132,0)),"Di luar periode")</f>
        <v>Hari Kerja</v>
      </c>
      <c r="N1418" s="71">
        <f t="shared" si="199"/>
        <v>1</v>
      </c>
      <c r="O1418" s="71">
        <f t="shared" si="200"/>
        <v>1</v>
      </c>
      <c r="P1418" s="71">
        <f t="shared" si="201"/>
        <v>1</v>
      </c>
      <c r="Q1418" s="71">
        <f t="shared" si="202"/>
        <v>0</v>
      </c>
      <c r="R1418" s="71">
        <f t="shared" si="203"/>
        <v>0</v>
      </c>
      <c r="S1418" s="71">
        <f t="shared" si="204"/>
        <v>0</v>
      </c>
      <c r="T1418" s="71">
        <f t="shared" si="205"/>
        <v>0</v>
      </c>
      <c r="U1418" s="71">
        <f>IF(AND(N1418=1,V1418=1),IF(COUNTIFS(AKTIVITAS!$B$2:$B$3052,B1418,AKTIVITAS!$E$2:$E$3052,H1418)&gt;0,1,0),0)</f>
        <v>1</v>
      </c>
      <c r="V1418" s="71">
        <f>IFERROR(IF(AND(H1418&gt;=INDEX(PEMAGANG!$J$3:$J$36,MATCH(B1418,PEMAGANG!$C$3:$C$36,0)),H1418&lt;=INDEX(PEMAGANG!$K$3:$K$36,MATCH(B1418,PEMAGANG!$C$3:$C$36,0))),1,0),0)</f>
        <v>1</v>
      </c>
      <c r="W1418" s="71">
        <f t="shared" si="206"/>
        <v>1</v>
      </c>
    </row>
    <row r="1419" spans="1:23" x14ac:dyDescent="0.2">
      <c r="A1419" s="71" t="s">
        <v>218</v>
      </c>
      <c r="B1419" s="71" t="s">
        <v>219</v>
      </c>
      <c r="C1419" s="71" t="s">
        <v>221</v>
      </c>
      <c r="D1419" s="71" t="s">
        <v>220</v>
      </c>
      <c r="E1419" s="71" t="s">
        <v>345</v>
      </c>
      <c r="F1419" s="71" t="s">
        <v>300</v>
      </c>
      <c r="G1419" s="88">
        <v>46260.6557986111</v>
      </c>
      <c r="H1419" s="89">
        <v>46260</v>
      </c>
      <c r="I1419" s="71" t="s">
        <v>522</v>
      </c>
      <c r="J1419" s="71">
        <v>0</v>
      </c>
      <c r="K1419" s="71" t="s">
        <v>302</v>
      </c>
      <c r="L1419" s="71">
        <f t="shared" si="198"/>
        <v>8</v>
      </c>
      <c r="M1419" s="71" t="str">
        <f>IFERROR(INDEX(KALENDER!$D$3:$D$132,MATCH(H1419,KALENDER!$A$3:$A$132,0)),"Di luar periode")</f>
        <v>Hari Kerja</v>
      </c>
      <c r="N1419" s="71">
        <f t="shared" si="199"/>
        <v>0</v>
      </c>
      <c r="O1419" s="71">
        <f t="shared" si="200"/>
        <v>1</v>
      </c>
      <c r="P1419" s="71">
        <f t="shared" si="201"/>
        <v>0</v>
      </c>
      <c r="Q1419" s="71">
        <f t="shared" si="202"/>
        <v>0</v>
      </c>
      <c r="R1419" s="71">
        <f t="shared" si="203"/>
        <v>0</v>
      </c>
      <c r="S1419" s="71">
        <f t="shared" si="204"/>
        <v>0</v>
      </c>
      <c r="T1419" s="71">
        <f t="shared" si="205"/>
        <v>0</v>
      </c>
      <c r="U1419" s="71">
        <f>IF(AND(N1419=1,V1419=1),IF(COUNTIFS(AKTIVITAS!$B$2:$B$3052,B1419,AKTIVITAS!$E$2:$E$3052,H1419)&gt;0,1,0),0)</f>
        <v>0</v>
      </c>
      <c r="V1419" s="71">
        <f>IFERROR(IF(AND(H1419&gt;=INDEX(PEMAGANG!$J$3:$J$36,MATCH(B1419,PEMAGANG!$C$3:$C$36,0)),H1419&lt;=INDEX(PEMAGANG!$K$3:$K$36,MATCH(B1419,PEMAGANG!$C$3:$C$36,0))),1,0),0)</f>
        <v>1</v>
      </c>
      <c r="W1419" s="71">
        <f t="shared" si="206"/>
        <v>0</v>
      </c>
    </row>
    <row r="1420" spans="1:23" x14ac:dyDescent="0.2">
      <c r="A1420" s="71" t="s">
        <v>218</v>
      </c>
      <c r="B1420" s="71" t="s">
        <v>219</v>
      </c>
      <c r="C1420" s="71" t="s">
        <v>221</v>
      </c>
      <c r="D1420" s="71" t="s">
        <v>220</v>
      </c>
      <c r="E1420" s="71" t="s">
        <v>345</v>
      </c>
      <c r="F1420" s="71" t="s">
        <v>298</v>
      </c>
      <c r="G1420" s="88">
        <v>46261.319166666697</v>
      </c>
      <c r="H1420" s="89">
        <v>46261</v>
      </c>
      <c r="I1420" s="71" t="s">
        <v>515</v>
      </c>
      <c r="J1420" s="71">
        <v>-20.999999999999901</v>
      </c>
      <c r="K1420" s="71" t="s">
        <v>302</v>
      </c>
      <c r="L1420" s="71">
        <f t="shared" si="198"/>
        <v>8</v>
      </c>
      <c r="M1420" s="71" t="str">
        <f>IFERROR(INDEX(KALENDER!$D$3:$D$132,MATCH(H1420,KALENDER!$A$3:$A$132,0)),"Di luar periode")</f>
        <v>Hari Kerja</v>
      </c>
      <c r="N1420" s="71">
        <f t="shared" si="199"/>
        <v>1</v>
      </c>
      <c r="O1420" s="71">
        <f t="shared" si="200"/>
        <v>1</v>
      </c>
      <c r="P1420" s="71">
        <f t="shared" si="201"/>
        <v>1</v>
      </c>
      <c r="Q1420" s="71">
        <f t="shared" si="202"/>
        <v>0</v>
      </c>
      <c r="R1420" s="71">
        <f t="shared" si="203"/>
        <v>0</v>
      </c>
      <c r="S1420" s="71">
        <f t="shared" si="204"/>
        <v>0</v>
      </c>
      <c r="T1420" s="71">
        <f t="shared" si="205"/>
        <v>0</v>
      </c>
      <c r="U1420" s="71">
        <f>IF(AND(N1420=1,V1420=1),IF(COUNTIFS(AKTIVITAS!$B$2:$B$3052,B1420,AKTIVITAS!$E$2:$E$3052,H1420)&gt;0,1,0),0)</f>
        <v>1</v>
      </c>
      <c r="V1420" s="71">
        <f>IFERROR(IF(AND(H1420&gt;=INDEX(PEMAGANG!$J$3:$J$36,MATCH(B1420,PEMAGANG!$C$3:$C$36,0)),H1420&lt;=INDEX(PEMAGANG!$K$3:$K$36,MATCH(B1420,PEMAGANG!$C$3:$C$36,0))),1,0),0)</f>
        <v>1</v>
      </c>
      <c r="W1420" s="71">
        <f t="shared" si="206"/>
        <v>1</v>
      </c>
    </row>
    <row r="1421" spans="1:23" x14ac:dyDescent="0.2">
      <c r="A1421" s="71" t="s">
        <v>218</v>
      </c>
      <c r="B1421" s="71" t="s">
        <v>219</v>
      </c>
      <c r="C1421" s="71" t="s">
        <v>221</v>
      </c>
      <c r="D1421" s="71" t="s">
        <v>220</v>
      </c>
      <c r="E1421" s="71" t="s">
        <v>345</v>
      </c>
      <c r="F1421" s="71" t="s">
        <v>300</v>
      </c>
      <c r="G1421" s="88">
        <v>46261.652951388904</v>
      </c>
      <c r="H1421" s="89">
        <v>46261</v>
      </c>
      <c r="I1421" s="71" t="s">
        <v>521</v>
      </c>
      <c r="J1421" s="71">
        <v>0</v>
      </c>
      <c r="K1421" s="71" t="s">
        <v>302</v>
      </c>
      <c r="L1421" s="71">
        <f t="shared" si="198"/>
        <v>8</v>
      </c>
      <c r="M1421" s="71" t="str">
        <f>IFERROR(INDEX(KALENDER!$D$3:$D$132,MATCH(H1421,KALENDER!$A$3:$A$132,0)),"Di luar periode")</f>
        <v>Hari Kerja</v>
      </c>
      <c r="N1421" s="71">
        <f t="shared" si="199"/>
        <v>0</v>
      </c>
      <c r="O1421" s="71">
        <f t="shared" si="200"/>
        <v>1</v>
      </c>
      <c r="P1421" s="71">
        <f t="shared" si="201"/>
        <v>0</v>
      </c>
      <c r="Q1421" s="71">
        <f t="shared" si="202"/>
        <v>0</v>
      </c>
      <c r="R1421" s="71">
        <f t="shared" si="203"/>
        <v>0</v>
      </c>
      <c r="S1421" s="71">
        <f t="shared" si="204"/>
        <v>0</v>
      </c>
      <c r="T1421" s="71">
        <f t="shared" si="205"/>
        <v>0</v>
      </c>
      <c r="U1421" s="71">
        <f>IF(AND(N1421=1,V1421=1),IF(COUNTIFS(AKTIVITAS!$B$2:$B$3052,B1421,AKTIVITAS!$E$2:$E$3052,H1421)&gt;0,1,0),0)</f>
        <v>0</v>
      </c>
      <c r="V1421" s="71">
        <f>IFERROR(IF(AND(H1421&gt;=INDEX(PEMAGANG!$J$3:$J$36,MATCH(B1421,PEMAGANG!$C$3:$C$36,0)),H1421&lt;=INDEX(PEMAGANG!$K$3:$K$36,MATCH(B1421,PEMAGANG!$C$3:$C$36,0))),1,0),0)</f>
        <v>1</v>
      </c>
      <c r="W1421" s="71">
        <f t="shared" si="206"/>
        <v>0</v>
      </c>
    </row>
    <row r="1422" spans="1:23" x14ac:dyDescent="0.2">
      <c r="A1422" s="71" t="s">
        <v>218</v>
      </c>
      <c r="B1422" s="71" t="s">
        <v>219</v>
      </c>
      <c r="C1422" s="71" t="s">
        <v>221</v>
      </c>
      <c r="D1422" s="71" t="s">
        <v>220</v>
      </c>
      <c r="E1422" s="71" t="s">
        <v>345</v>
      </c>
      <c r="F1422" s="71" t="s">
        <v>298</v>
      </c>
      <c r="G1422" s="88">
        <v>46262.320729166699</v>
      </c>
      <c r="H1422" s="89">
        <v>46262</v>
      </c>
      <c r="I1422" s="71" t="s">
        <v>367</v>
      </c>
      <c r="J1422" s="71">
        <v>-18.999999999999901</v>
      </c>
      <c r="K1422" s="71" t="s">
        <v>302</v>
      </c>
      <c r="L1422" s="71">
        <f t="shared" si="198"/>
        <v>8</v>
      </c>
      <c r="M1422" s="71" t="str">
        <f>IFERROR(INDEX(KALENDER!$D$3:$D$132,MATCH(H1422,KALENDER!$A$3:$A$132,0)),"Di luar periode")</f>
        <v>Hari Kerja</v>
      </c>
      <c r="N1422" s="71">
        <f t="shared" si="199"/>
        <v>1</v>
      </c>
      <c r="O1422" s="71">
        <f t="shared" si="200"/>
        <v>1</v>
      </c>
      <c r="P1422" s="71">
        <f t="shared" si="201"/>
        <v>1</v>
      </c>
      <c r="Q1422" s="71">
        <f t="shared" si="202"/>
        <v>0</v>
      </c>
      <c r="R1422" s="71">
        <f t="shared" si="203"/>
        <v>0</v>
      </c>
      <c r="S1422" s="71">
        <f t="shared" si="204"/>
        <v>0</v>
      </c>
      <c r="T1422" s="71">
        <f t="shared" si="205"/>
        <v>0</v>
      </c>
      <c r="U1422" s="71">
        <f>IF(AND(N1422=1,V1422=1),IF(COUNTIFS(AKTIVITAS!$B$2:$B$3052,B1422,AKTIVITAS!$E$2:$E$3052,H1422)&gt;0,1,0),0)</f>
        <v>1</v>
      </c>
      <c r="V1422" s="71">
        <f>IFERROR(IF(AND(H1422&gt;=INDEX(PEMAGANG!$J$3:$J$36,MATCH(B1422,PEMAGANG!$C$3:$C$36,0)),H1422&lt;=INDEX(PEMAGANG!$K$3:$K$36,MATCH(B1422,PEMAGANG!$C$3:$C$36,0))),1,0),0)</f>
        <v>1</v>
      </c>
      <c r="W1422" s="71">
        <f t="shared" si="206"/>
        <v>1</v>
      </c>
    </row>
    <row r="1423" spans="1:23" x14ac:dyDescent="0.2">
      <c r="A1423" s="71" t="s">
        <v>218</v>
      </c>
      <c r="B1423" s="71" t="s">
        <v>219</v>
      </c>
      <c r="C1423" s="71" t="s">
        <v>221</v>
      </c>
      <c r="D1423" s="71" t="s">
        <v>220</v>
      </c>
      <c r="E1423" s="71" t="s">
        <v>345</v>
      </c>
      <c r="F1423" s="71" t="s">
        <v>300</v>
      </c>
      <c r="G1423" s="88">
        <v>46262.690625000003</v>
      </c>
      <c r="H1423" s="89">
        <v>46262</v>
      </c>
      <c r="I1423" s="71" t="s">
        <v>314</v>
      </c>
      <c r="J1423" s="71">
        <v>0</v>
      </c>
      <c r="K1423" s="71" t="s">
        <v>302</v>
      </c>
      <c r="L1423" s="71">
        <f t="shared" si="198"/>
        <v>8</v>
      </c>
      <c r="M1423" s="71" t="str">
        <f>IFERROR(INDEX(KALENDER!$D$3:$D$132,MATCH(H1423,KALENDER!$A$3:$A$132,0)),"Di luar periode")</f>
        <v>Hari Kerja</v>
      </c>
      <c r="N1423" s="71">
        <f t="shared" si="199"/>
        <v>0</v>
      </c>
      <c r="O1423" s="71">
        <f t="shared" si="200"/>
        <v>1</v>
      </c>
      <c r="P1423" s="71">
        <f t="shared" si="201"/>
        <v>0</v>
      </c>
      <c r="Q1423" s="71">
        <f t="shared" si="202"/>
        <v>0</v>
      </c>
      <c r="R1423" s="71">
        <f t="shared" si="203"/>
        <v>0</v>
      </c>
      <c r="S1423" s="71">
        <f t="shared" si="204"/>
        <v>0</v>
      </c>
      <c r="T1423" s="71">
        <f t="shared" si="205"/>
        <v>0</v>
      </c>
      <c r="U1423" s="71">
        <f>IF(AND(N1423=1,V1423=1),IF(COUNTIFS(AKTIVITAS!$B$2:$B$3052,B1423,AKTIVITAS!$E$2:$E$3052,H1423)&gt;0,1,0),0)</f>
        <v>0</v>
      </c>
      <c r="V1423" s="71">
        <f>IFERROR(IF(AND(H1423&gt;=INDEX(PEMAGANG!$J$3:$J$36,MATCH(B1423,PEMAGANG!$C$3:$C$36,0)),H1423&lt;=INDEX(PEMAGANG!$K$3:$K$36,MATCH(B1423,PEMAGANG!$C$3:$C$36,0))),1,0),0)</f>
        <v>1</v>
      </c>
      <c r="W1423" s="71">
        <f t="shared" si="206"/>
        <v>0</v>
      </c>
    </row>
    <row r="1424" spans="1:23" x14ac:dyDescent="0.2">
      <c r="A1424" s="71" t="s">
        <v>218</v>
      </c>
      <c r="B1424" s="71" t="s">
        <v>219</v>
      </c>
      <c r="C1424" s="71" t="s">
        <v>221</v>
      </c>
      <c r="D1424" s="71" t="s">
        <v>220</v>
      </c>
      <c r="E1424" s="71" t="s">
        <v>345</v>
      </c>
      <c r="F1424" s="71" t="s">
        <v>298</v>
      </c>
      <c r="G1424" s="88">
        <v>46265.315590277802</v>
      </c>
      <c r="H1424" s="89">
        <v>46265</v>
      </c>
      <c r="I1424" s="71" t="s">
        <v>373</v>
      </c>
      <c r="J1424" s="71">
        <v>-26</v>
      </c>
      <c r="K1424" s="71" t="s">
        <v>302</v>
      </c>
      <c r="L1424" s="71">
        <f t="shared" si="198"/>
        <v>8</v>
      </c>
      <c r="M1424" s="71" t="str">
        <f>IFERROR(INDEX(KALENDER!$D$3:$D$132,MATCH(H1424,KALENDER!$A$3:$A$132,0)),"Di luar periode")</f>
        <v>Hari Kerja</v>
      </c>
      <c r="N1424" s="71">
        <f t="shared" si="199"/>
        <v>1</v>
      </c>
      <c r="O1424" s="71">
        <f t="shared" si="200"/>
        <v>1</v>
      </c>
      <c r="P1424" s="71">
        <f t="shared" si="201"/>
        <v>1</v>
      </c>
      <c r="Q1424" s="71">
        <f t="shared" si="202"/>
        <v>0</v>
      </c>
      <c r="R1424" s="71">
        <f t="shared" si="203"/>
        <v>0</v>
      </c>
      <c r="S1424" s="71">
        <f t="shared" si="204"/>
        <v>0</v>
      </c>
      <c r="T1424" s="71">
        <f t="shared" si="205"/>
        <v>0</v>
      </c>
      <c r="U1424" s="71">
        <f>IF(AND(N1424=1,V1424=1),IF(COUNTIFS(AKTIVITAS!$B$2:$B$3052,B1424,AKTIVITAS!$E$2:$E$3052,H1424)&gt;0,1,0),0)</f>
        <v>1</v>
      </c>
      <c r="V1424" s="71">
        <f>IFERROR(IF(AND(H1424&gt;=INDEX(PEMAGANG!$J$3:$J$36,MATCH(B1424,PEMAGANG!$C$3:$C$36,0)),H1424&lt;=INDEX(PEMAGANG!$K$3:$K$36,MATCH(B1424,PEMAGANG!$C$3:$C$36,0))),1,0),0)</f>
        <v>1</v>
      </c>
      <c r="W1424" s="71">
        <f t="shared" si="206"/>
        <v>1</v>
      </c>
    </row>
    <row r="1425" spans="1:23" x14ac:dyDescent="0.2">
      <c r="A1425" s="71" t="s">
        <v>218</v>
      </c>
      <c r="B1425" s="71" t="s">
        <v>219</v>
      </c>
      <c r="C1425" s="71" t="s">
        <v>221</v>
      </c>
      <c r="D1425" s="71" t="s">
        <v>220</v>
      </c>
      <c r="E1425" s="71" t="s">
        <v>345</v>
      </c>
      <c r="F1425" s="71" t="s">
        <v>300</v>
      </c>
      <c r="G1425" s="88">
        <v>46265.660937499997</v>
      </c>
      <c r="H1425" s="89">
        <v>46265</v>
      </c>
      <c r="I1425" s="71" t="s">
        <v>524</v>
      </c>
      <c r="J1425" s="71">
        <v>0</v>
      </c>
      <c r="K1425" s="71" t="s">
        <v>302</v>
      </c>
      <c r="L1425" s="71">
        <f t="shared" si="198"/>
        <v>8</v>
      </c>
      <c r="M1425" s="71" t="str">
        <f>IFERROR(INDEX(KALENDER!$D$3:$D$132,MATCH(H1425,KALENDER!$A$3:$A$132,0)),"Di luar periode")</f>
        <v>Hari Kerja</v>
      </c>
      <c r="N1425" s="71">
        <f t="shared" si="199"/>
        <v>0</v>
      </c>
      <c r="O1425" s="71">
        <f t="shared" si="200"/>
        <v>1</v>
      </c>
      <c r="P1425" s="71">
        <f t="shared" si="201"/>
        <v>0</v>
      </c>
      <c r="Q1425" s="71">
        <f t="shared" si="202"/>
        <v>0</v>
      </c>
      <c r="R1425" s="71">
        <f t="shared" si="203"/>
        <v>0</v>
      </c>
      <c r="S1425" s="71">
        <f t="shared" si="204"/>
        <v>0</v>
      </c>
      <c r="T1425" s="71">
        <f t="shared" si="205"/>
        <v>0</v>
      </c>
      <c r="U1425" s="71">
        <f>IF(AND(N1425=1,V1425=1),IF(COUNTIFS(AKTIVITAS!$B$2:$B$3052,B1425,AKTIVITAS!$E$2:$E$3052,H1425)&gt;0,1,0),0)</f>
        <v>0</v>
      </c>
      <c r="V1425" s="71">
        <f>IFERROR(IF(AND(H1425&gt;=INDEX(PEMAGANG!$J$3:$J$36,MATCH(B1425,PEMAGANG!$C$3:$C$36,0)),H1425&lt;=INDEX(PEMAGANG!$K$3:$K$36,MATCH(B1425,PEMAGANG!$C$3:$C$36,0))),1,0),0)</f>
        <v>1</v>
      </c>
      <c r="W1425" s="71">
        <f t="shared" si="206"/>
        <v>0</v>
      </c>
    </row>
    <row r="1426" spans="1:23" x14ac:dyDescent="0.2">
      <c r="A1426" s="71" t="s">
        <v>218</v>
      </c>
      <c r="B1426" s="71" t="s">
        <v>219</v>
      </c>
      <c r="C1426" s="71" t="s">
        <v>221</v>
      </c>
      <c r="D1426" s="71" t="s">
        <v>220</v>
      </c>
      <c r="E1426" s="71" t="s">
        <v>345</v>
      </c>
      <c r="F1426" s="71" t="s">
        <v>298</v>
      </c>
      <c r="G1426" s="88">
        <v>46266.322175925903</v>
      </c>
      <c r="H1426" s="89">
        <v>46266</v>
      </c>
      <c r="I1426" s="71" t="s">
        <v>536</v>
      </c>
      <c r="J1426" s="71">
        <v>-16.999999999999901</v>
      </c>
      <c r="K1426" s="71" t="s">
        <v>302</v>
      </c>
      <c r="L1426" s="71">
        <f t="shared" si="198"/>
        <v>9</v>
      </c>
      <c r="M1426" s="71" t="str">
        <f>IFERROR(INDEX(KALENDER!$D$3:$D$132,MATCH(H1426,KALENDER!$A$3:$A$132,0)),"Di luar periode")</f>
        <v>Hari Kerja</v>
      </c>
      <c r="N1426" s="71">
        <f t="shared" si="199"/>
        <v>1</v>
      </c>
      <c r="O1426" s="71">
        <f t="shared" si="200"/>
        <v>1</v>
      </c>
      <c r="P1426" s="71">
        <f t="shared" si="201"/>
        <v>1</v>
      </c>
      <c r="Q1426" s="71">
        <f t="shared" si="202"/>
        <v>0</v>
      </c>
      <c r="R1426" s="71">
        <f t="shared" si="203"/>
        <v>0</v>
      </c>
      <c r="S1426" s="71">
        <f t="shared" si="204"/>
        <v>0</v>
      </c>
      <c r="T1426" s="71">
        <f t="shared" si="205"/>
        <v>0</v>
      </c>
      <c r="U1426" s="71">
        <f>IF(AND(N1426=1,V1426=1),IF(COUNTIFS(AKTIVITAS!$B$2:$B$3052,B1426,AKTIVITAS!$E$2:$E$3052,H1426)&gt;0,1,0),0)</f>
        <v>1</v>
      </c>
      <c r="V1426" s="71">
        <f>IFERROR(IF(AND(H1426&gt;=INDEX(PEMAGANG!$J$3:$J$36,MATCH(B1426,PEMAGANG!$C$3:$C$36,0)),H1426&lt;=INDEX(PEMAGANG!$K$3:$K$36,MATCH(B1426,PEMAGANG!$C$3:$C$36,0))),1,0),0)</f>
        <v>1</v>
      </c>
      <c r="W1426" s="71">
        <f t="shared" si="206"/>
        <v>1</v>
      </c>
    </row>
    <row r="1427" spans="1:23" x14ac:dyDescent="0.2">
      <c r="A1427" s="71" t="s">
        <v>218</v>
      </c>
      <c r="B1427" s="71" t="s">
        <v>219</v>
      </c>
      <c r="C1427" s="71" t="s">
        <v>221</v>
      </c>
      <c r="D1427" s="71" t="s">
        <v>220</v>
      </c>
      <c r="E1427" s="71" t="s">
        <v>345</v>
      </c>
      <c r="F1427" s="71" t="s">
        <v>300</v>
      </c>
      <c r="G1427" s="88">
        <v>46266.656006944497</v>
      </c>
      <c r="H1427" s="89">
        <v>46266</v>
      </c>
      <c r="I1427" s="71" t="s">
        <v>522</v>
      </c>
      <c r="J1427" s="71">
        <v>0</v>
      </c>
      <c r="K1427" s="71" t="s">
        <v>302</v>
      </c>
      <c r="L1427" s="71">
        <f t="shared" si="198"/>
        <v>9</v>
      </c>
      <c r="M1427" s="71" t="str">
        <f>IFERROR(INDEX(KALENDER!$D$3:$D$132,MATCH(H1427,KALENDER!$A$3:$A$132,0)),"Di luar periode")</f>
        <v>Hari Kerja</v>
      </c>
      <c r="N1427" s="71">
        <f t="shared" si="199"/>
        <v>0</v>
      </c>
      <c r="O1427" s="71">
        <f t="shared" si="200"/>
        <v>1</v>
      </c>
      <c r="P1427" s="71">
        <f t="shared" si="201"/>
        <v>0</v>
      </c>
      <c r="Q1427" s="71">
        <f t="shared" si="202"/>
        <v>0</v>
      </c>
      <c r="R1427" s="71">
        <f t="shared" si="203"/>
        <v>0</v>
      </c>
      <c r="S1427" s="71">
        <f t="shared" si="204"/>
        <v>0</v>
      </c>
      <c r="T1427" s="71">
        <f t="shared" si="205"/>
        <v>0</v>
      </c>
      <c r="U1427" s="71">
        <f>IF(AND(N1427=1,V1427=1),IF(COUNTIFS(AKTIVITAS!$B$2:$B$3052,B1427,AKTIVITAS!$E$2:$E$3052,H1427)&gt;0,1,0),0)</f>
        <v>0</v>
      </c>
      <c r="V1427" s="71">
        <f>IFERROR(IF(AND(H1427&gt;=INDEX(PEMAGANG!$J$3:$J$36,MATCH(B1427,PEMAGANG!$C$3:$C$36,0)),H1427&lt;=INDEX(PEMAGANG!$K$3:$K$36,MATCH(B1427,PEMAGANG!$C$3:$C$36,0))),1,0),0)</f>
        <v>1</v>
      </c>
      <c r="W1427" s="71">
        <f t="shared" si="206"/>
        <v>0</v>
      </c>
    </row>
    <row r="1428" spans="1:23" x14ac:dyDescent="0.2">
      <c r="A1428" s="71" t="s">
        <v>218</v>
      </c>
      <c r="B1428" s="71" t="s">
        <v>219</v>
      </c>
      <c r="C1428" s="71" t="s">
        <v>221</v>
      </c>
      <c r="D1428" s="71" t="s">
        <v>220</v>
      </c>
      <c r="E1428" s="71" t="s">
        <v>345</v>
      </c>
      <c r="F1428" s="71" t="s">
        <v>298</v>
      </c>
      <c r="G1428" s="88">
        <v>46267.321782407402</v>
      </c>
      <c r="H1428" s="89">
        <v>46267</v>
      </c>
      <c r="I1428" s="71" t="s">
        <v>536</v>
      </c>
      <c r="J1428" s="71">
        <v>-16.999999999999901</v>
      </c>
      <c r="K1428" s="71" t="s">
        <v>302</v>
      </c>
      <c r="L1428" s="71">
        <f t="shared" si="198"/>
        <v>9</v>
      </c>
      <c r="M1428" s="71" t="str">
        <f>IFERROR(INDEX(KALENDER!$D$3:$D$132,MATCH(H1428,KALENDER!$A$3:$A$132,0)),"Di luar periode")</f>
        <v>Hari Kerja</v>
      </c>
      <c r="N1428" s="71">
        <f t="shared" si="199"/>
        <v>1</v>
      </c>
      <c r="O1428" s="71">
        <f t="shared" si="200"/>
        <v>1</v>
      </c>
      <c r="P1428" s="71">
        <f t="shared" si="201"/>
        <v>1</v>
      </c>
      <c r="Q1428" s="71">
        <f t="shared" si="202"/>
        <v>0</v>
      </c>
      <c r="R1428" s="71">
        <f t="shared" si="203"/>
        <v>0</v>
      </c>
      <c r="S1428" s="71">
        <f t="shared" si="204"/>
        <v>0</v>
      </c>
      <c r="T1428" s="71">
        <f t="shared" si="205"/>
        <v>0</v>
      </c>
      <c r="U1428" s="71">
        <f>IF(AND(N1428=1,V1428=1),IF(COUNTIFS(AKTIVITAS!$B$2:$B$3052,B1428,AKTIVITAS!$E$2:$E$3052,H1428)&gt;0,1,0),0)</f>
        <v>1</v>
      </c>
      <c r="V1428" s="71">
        <f>IFERROR(IF(AND(H1428&gt;=INDEX(PEMAGANG!$J$3:$J$36,MATCH(B1428,PEMAGANG!$C$3:$C$36,0)),H1428&lt;=INDEX(PEMAGANG!$K$3:$K$36,MATCH(B1428,PEMAGANG!$C$3:$C$36,0))),1,0),0)</f>
        <v>1</v>
      </c>
      <c r="W1428" s="71">
        <f t="shared" si="206"/>
        <v>1</v>
      </c>
    </row>
    <row r="1429" spans="1:23" x14ac:dyDescent="0.2">
      <c r="A1429" s="71" t="s">
        <v>218</v>
      </c>
      <c r="B1429" s="71" t="s">
        <v>219</v>
      </c>
      <c r="C1429" s="71" t="s">
        <v>221</v>
      </c>
      <c r="D1429" s="71" t="s">
        <v>220</v>
      </c>
      <c r="E1429" s="71" t="s">
        <v>345</v>
      </c>
      <c r="F1429" s="71" t="s">
        <v>300</v>
      </c>
      <c r="G1429" s="88">
        <v>46267.6577314815</v>
      </c>
      <c r="H1429" s="89">
        <v>46267</v>
      </c>
      <c r="I1429" s="71" t="s">
        <v>534</v>
      </c>
      <c r="J1429" s="71">
        <v>0</v>
      </c>
      <c r="K1429" s="71" t="s">
        <v>302</v>
      </c>
      <c r="L1429" s="71">
        <f t="shared" si="198"/>
        <v>9</v>
      </c>
      <c r="M1429" s="71" t="str">
        <f>IFERROR(INDEX(KALENDER!$D$3:$D$132,MATCH(H1429,KALENDER!$A$3:$A$132,0)),"Di luar periode")</f>
        <v>Hari Kerja</v>
      </c>
      <c r="N1429" s="71">
        <f t="shared" si="199"/>
        <v>0</v>
      </c>
      <c r="O1429" s="71">
        <f t="shared" si="200"/>
        <v>1</v>
      </c>
      <c r="P1429" s="71">
        <f t="shared" si="201"/>
        <v>0</v>
      </c>
      <c r="Q1429" s="71">
        <f t="shared" si="202"/>
        <v>0</v>
      </c>
      <c r="R1429" s="71">
        <f t="shared" si="203"/>
        <v>0</v>
      </c>
      <c r="S1429" s="71">
        <f t="shared" si="204"/>
        <v>0</v>
      </c>
      <c r="T1429" s="71">
        <f t="shared" si="205"/>
        <v>0</v>
      </c>
      <c r="U1429" s="71">
        <f>IF(AND(N1429=1,V1429=1),IF(COUNTIFS(AKTIVITAS!$B$2:$B$3052,B1429,AKTIVITAS!$E$2:$E$3052,H1429)&gt;0,1,0),0)</f>
        <v>0</v>
      </c>
      <c r="V1429" s="71">
        <f>IFERROR(IF(AND(H1429&gt;=INDEX(PEMAGANG!$J$3:$J$36,MATCH(B1429,PEMAGANG!$C$3:$C$36,0)),H1429&lt;=INDEX(PEMAGANG!$K$3:$K$36,MATCH(B1429,PEMAGANG!$C$3:$C$36,0))),1,0),0)</f>
        <v>1</v>
      </c>
      <c r="W1429" s="71">
        <f t="shared" si="206"/>
        <v>0</v>
      </c>
    </row>
    <row r="1430" spans="1:23" x14ac:dyDescent="0.2">
      <c r="A1430" s="71" t="s">
        <v>218</v>
      </c>
      <c r="B1430" s="71" t="s">
        <v>219</v>
      </c>
      <c r="C1430" s="71" t="s">
        <v>221</v>
      </c>
      <c r="D1430" s="71" t="s">
        <v>220</v>
      </c>
      <c r="E1430" s="71" t="s">
        <v>345</v>
      </c>
      <c r="F1430" s="71" t="s">
        <v>298</v>
      </c>
      <c r="G1430" s="88">
        <v>46268.325081018498</v>
      </c>
      <c r="H1430" s="89">
        <v>46268</v>
      </c>
      <c r="I1430" s="71" t="s">
        <v>567</v>
      </c>
      <c r="J1430" s="71">
        <v>-12</v>
      </c>
      <c r="K1430" s="71" t="s">
        <v>302</v>
      </c>
      <c r="L1430" s="71">
        <f t="shared" si="198"/>
        <v>9</v>
      </c>
      <c r="M1430" s="71" t="str">
        <f>IFERROR(INDEX(KALENDER!$D$3:$D$132,MATCH(H1430,KALENDER!$A$3:$A$132,0)),"Di luar periode")</f>
        <v>Hari Kerja</v>
      </c>
      <c r="N1430" s="71">
        <f t="shared" si="199"/>
        <v>1</v>
      </c>
      <c r="O1430" s="71">
        <f t="shared" si="200"/>
        <v>1</v>
      </c>
      <c r="P1430" s="71">
        <f t="shared" si="201"/>
        <v>1</v>
      </c>
      <c r="Q1430" s="71">
        <f t="shared" si="202"/>
        <v>0</v>
      </c>
      <c r="R1430" s="71">
        <f t="shared" si="203"/>
        <v>0</v>
      </c>
      <c r="S1430" s="71">
        <f t="shared" si="204"/>
        <v>0</v>
      </c>
      <c r="T1430" s="71">
        <f t="shared" si="205"/>
        <v>0</v>
      </c>
      <c r="U1430" s="71">
        <f>IF(AND(N1430=1,V1430=1),IF(COUNTIFS(AKTIVITAS!$B$2:$B$3052,B1430,AKTIVITAS!$E$2:$E$3052,H1430)&gt;0,1,0),0)</f>
        <v>1</v>
      </c>
      <c r="V1430" s="71">
        <f>IFERROR(IF(AND(H1430&gt;=INDEX(PEMAGANG!$J$3:$J$36,MATCH(B1430,PEMAGANG!$C$3:$C$36,0)),H1430&lt;=INDEX(PEMAGANG!$K$3:$K$36,MATCH(B1430,PEMAGANG!$C$3:$C$36,0))),1,0),0)</f>
        <v>1</v>
      </c>
      <c r="W1430" s="71">
        <f t="shared" si="206"/>
        <v>1</v>
      </c>
    </row>
    <row r="1431" spans="1:23" x14ac:dyDescent="0.2">
      <c r="A1431" s="71" t="s">
        <v>218</v>
      </c>
      <c r="B1431" s="71" t="s">
        <v>219</v>
      </c>
      <c r="C1431" s="71" t="s">
        <v>221</v>
      </c>
      <c r="D1431" s="71" t="s">
        <v>220</v>
      </c>
      <c r="E1431" s="71" t="s">
        <v>345</v>
      </c>
      <c r="F1431" s="71" t="s">
        <v>300</v>
      </c>
      <c r="G1431" s="88">
        <v>46268.652928240699</v>
      </c>
      <c r="H1431" s="89">
        <v>46268</v>
      </c>
      <c r="I1431" s="71" t="s">
        <v>521</v>
      </c>
      <c r="J1431" s="71">
        <v>0</v>
      </c>
      <c r="K1431" s="71" t="s">
        <v>302</v>
      </c>
      <c r="L1431" s="71">
        <f t="shared" si="198"/>
        <v>9</v>
      </c>
      <c r="M1431" s="71" t="str">
        <f>IFERROR(INDEX(KALENDER!$D$3:$D$132,MATCH(H1431,KALENDER!$A$3:$A$132,0)),"Di luar periode")</f>
        <v>Hari Kerja</v>
      </c>
      <c r="N1431" s="71">
        <f t="shared" si="199"/>
        <v>0</v>
      </c>
      <c r="O1431" s="71">
        <f t="shared" si="200"/>
        <v>1</v>
      </c>
      <c r="P1431" s="71">
        <f t="shared" si="201"/>
        <v>0</v>
      </c>
      <c r="Q1431" s="71">
        <f t="shared" si="202"/>
        <v>0</v>
      </c>
      <c r="R1431" s="71">
        <f t="shared" si="203"/>
        <v>0</v>
      </c>
      <c r="S1431" s="71">
        <f t="shared" si="204"/>
        <v>0</v>
      </c>
      <c r="T1431" s="71">
        <f t="shared" si="205"/>
        <v>0</v>
      </c>
      <c r="U1431" s="71">
        <f>IF(AND(N1431=1,V1431=1),IF(COUNTIFS(AKTIVITAS!$B$2:$B$3052,B1431,AKTIVITAS!$E$2:$E$3052,H1431)&gt;0,1,0),0)</f>
        <v>0</v>
      </c>
      <c r="V1431" s="71">
        <f>IFERROR(IF(AND(H1431&gt;=INDEX(PEMAGANG!$J$3:$J$36,MATCH(B1431,PEMAGANG!$C$3:$C$36,0)),H1431&lt;=INDEX(PEMAGANG!$K$3:$K$36,MATCH(B1431,PEMAGANG!$C$3:$C$36,0))),1,0),0)</f>
        <v>1</v>
      </c>
      <c r="W1431" s="71">
        <f t="shared" si="206"/>
        <v>0</v>
      </c>
    </row>
    <row r="1432" spans="1:23" x14ac:dyDescent="0.2">
      <c r="A1432" s="71" t="s">
        <v>218</v>
      </c>
      <c r="B1432" s="71" t="s">
        <v>219</v>
      </c>
      <c r="C1432" s="71" t="s">
        <v>221</v>
      </c>
      <c r="D1432" s="71" t="s">
        <v>220</v>
      </c>
      <c r="E1432" s="71" t="s">
        <v>345</v>
      </c>
      <c r="F1432" s="71" t="s">
        <v>298</v>
      </c>
      <c r="G1432" s="88">
        <v>46269.3202199074</v>
      </c>
      <c r="H1432" s="89">
        <v>46269</v>
      </c>
      <c r="I1432" s="71" t="s">
        <v>367</v>
      </c>
      <c r="J1432" s="71">
        <v>-18.999999999999901</v>
      </c>
      <c r="K1432" s="71" t="s">
        <v>302</v>
      </c>
      <c r="L1432" s="71">
        <f t="shared" si="198"/>
        <v>9</v>
      </c>
      <c r="M1432" s="71" t="str">
        <f>IFERROR(INDEX(KALENDER!$D$3:$D$132,MATCH(H1432,KALENDER!$A$3:$A$132,0)),"Di luar periode")</f>
        <v>Hari Kerja</v>
      </c>
      <c r="N1432" s="71">
        <f t="shared" si="199"/>
        <v>1</v>
      </c>
      <c r="O1432" s="71">
        <f t="shared" si="200"/>
        <v>1</v>
      </c>
      <c r="P1432" s="71">
        <f t="shared" si="201"/>
        <v>1</v>
      </c>
      <c r="Q1432" s="71">
        <f t="shared" si="202"/>
        <v>0</v>
      </c>
      <c r="R1432" s="71">
        <f t="shared" si="203"/>
        <v>0</v>
      </c>
      <c r="S1432" s="71">
        <f t="shared" si="204"/>
        <v>0</v>
      </c>
      <c r="T1432" s="71">
        <f t="shared" si="205"/>
        <v>0</v>
      </c>
      <c r="U1432" s="71">
        <f>IF(AND(N1432=1,V1432=1),IF(COUNTIFS(AKTIVITAS!$B$2:$B$3052,B1432,AKTIVITAS!$E$2:$E$3052,H1432)&gt;0,1,0),0)</f>
        <v>1</v>
      </c>
      <c r="V1432" s="71">
        <f>IFERROR(IF(AND(H1432&gt;=INDEX(PEMAGANG!$J$3:$J$36,MATCH(B1432,PEMAGANG!$C$3:$C$36,0)),H1432&lt;=INDEX(PEMAGANG!$K$3:$K$36,MATCH(B1432,PEMAGANG!$C$3:$C$36,0))),1,0),0)</f>
        <v>1</v>
      </c>
      <c r="W1432" s="71">
        <f t="shared" si="206"/>
        <v>1</v>
      </c>
    </row>
    <row r="1433" spans="1:23" x14ac:dyDescent="0.2">
      <c r="A1433" s="71" t="s">
        <v>218</v>
      </c>
      <c r="B1433" s="71" t="s">
        <v>219</v>
      </c>
      <c r="C1433" s="71" t="s">
        <v>221</v>
      </c>
      <c r="D1433" s="71" t="s">
        <v>220</v>
      </c>
      <c r="E1433" s="71" t="s">
        <v>345</v>
      </c>
      <c r="F1433" s="71" t="s">
        <v>300</v>
      </c>
      <c r="G1433" s="88">
        <v>46269.655104166697</v>
      </c>
      <c r="H1433" s="89">
        <v>46269</v>
      </c>
      <c r="I1433" s="71" t="s">
        <v>553</v>
      </c>
      <c r="J1433" s="71">
        <v>0</v>
      </c>
      <c r="K1433" s="71" t="s">
        <v>302</v>
      </c>
      <c r="L1433" s="71">
        <f t="shared" si="198"/>
        <v>9</v>
      </c>
      <c r="M1433" s="71" t="str">
        <f>IFERROR(INDEX(KALENDER!$D$3:$D$132,MATCH(H1433,KALENDER!$A$3:$A$132,0)),"Di luar periode")</f>
        <v>Hari Kerja</v>
      </c>
      <c r="N1433" s="71">
        <f t="shared" si="199"/>
        <v>0</v>
      </c>
      <c r="O1433" s="71">
        <f t="shared" si="200"/>
        <v>1</v>
      </c>
      <c r="P1433" s="71">
        <f t="shared" si="201"/>
        <v>0</v>
      </c>
      <c r="Q1433" s="71">
        <f t="shared" si="202"/>
        <v>0</v>
      </c>
      <c r="R1433" s="71">
        <f t="shared" si="203"/>
        <v>0</v>
      </c>
      <c r="S1433" s="71">
        <f t="shared" si="204"/>
        <v>0</v>
      </c>
      <c r="T1433" s="71">
        <f t="shared" si="205"/>
        <v>0</v>
      </c>
      <c r="U1433" s="71">
        <f>IF(AND(N1433=1,V1433=1),IF(COUNTIFS(AKTIVITAS!$B$2:$B$3052,B1433,AKTIVITAS!$E$2:$E$3052,H1433)&gt;0,1,0),0)</f>
        <v>0</v>
      </c>
      <c r="V1433" s="71">
        <f>IFERROR(IF(AND(H1433&gt;=INDEX(PEMAGANG!$J$3:$J$36,MATCH(B1433,PEMAGANG!$C$3:$C$36,0)),H1433&lt;=INDEX(PEMAGANG!$K$3:$K$36,MATCH(B1433,PEMAGANG!$C$3:$C$36,0))),1,0),0)</f>
        <v>1</v>
      </c>
      <c r="W1433" s="71">
        <f t="shared" si="206"/>
        <v>0</v>
      </c>
    </row>
    <row r="1434" spans="1:23" x14ac:dyDescent="0.2">
      <c r="A1434" s="71" t="s">
        <v>218</v>
      </c>
      <c r="B1434" s="71" t="s">
        <v>219</v>
      </c>
      <c r="C1434" s="71" t="s">
        <v>221</v>
      </c>
      <c r="D1434" s="71" t="s">
        <v>220</v>
      </c>
      <c r="E1434" s="71" t="s">
        <v>345</v>
      </c>
      <c r="F1434" s="71" t="s">
        <v>298</v>
      </c>
      <c r="G1434" s="88">
        <v>46270.318009259303</v>
      </c>
      <c r="H1434" s="89">
        <v>46270</v>
      </c>
      <c r="I1434" s="71" t="s">
        <v>386</v>
      </c>
      <c r="J1434" s="71">
        <v>-22.999999999999901</v>
      </c>
      <c r="K1434" s="71" t="s">
        <v>302</v>
      </c>
      <c r="L1434" s="71">
        <f t="shared" si="198"/>
        <v>9</v>
      </c>
      <c r="M1434" s="71" t="str">
        <f>IFERROR(INDEX(KALENDER!$D$3:$D$132,MATCH(H1434,KALENDER!$A$3:$A$132,0)),"Di luar periode")</f>
        <v>Libur (Sabtu/Minggu)</v>
      </c>
      <c r="N1434" s="71">
        <f t="shared" si="199"/>
        <v>1</v>
      </c>
      <c r="O1434" s="71">
        <f t="shared" si="200"/>
        <v>1</v>
      </c>
      <c r="P1434" s="71">
        <f t="shared" si="201"/>
        <v>0</v>
      </c>
      <c r="Q1434" s="71">
        <f t="shared" si="202"/>
        <v>1</v>
      </c>
      <c r="R1434" s="71">
        <f t="shared" si="203"/>
        <v>0</v>
      </c>
      <c r="S1434" s="71">
        <f t="shared" si="204"/>
        <v>0</v>
      </c>
      <c r="T1434" s="71">
        <f t="shared" si="205"/>
        <v>0</v>
      </c>
      <c r="U1434" s="71">
        <f>IF(AND(N1434=1,V1434=1),IF(COUNTIFS(AKTIVITAS!$B$2:$B$3052,B1434,AKTIVITAS!$E$2:$E$3052,H1434)&gt;0,1,0),0)</f>
        <v>1</v>
      </c>
      <c r="V1434" s="71">
        <f>IFERROR(IF(AND(H1434&gt;=INDEX(PEMAGANG!$J$3:$J$36,MATCH(B1434,PEMAGANG!$C$3:$C$36,0)),H1434&lt;=INDEX(PEMAGANG!$K$3:$K$36,MATCH(B1434,PEMAGANG!$C$3:$C$36,0))),1,0),0)</f>
        <v>1</v>
      </c>
      <c r="W1434" s="71">
        <f t="shared" si="206"/>
        <v>1</v>
      </c>
    </row>
    <row r="1435" spans="1:23" x14ac:dyDescent="0.2">
      <c r="A1435" s="71" t="s">
        <v>218</v>
      </c>
      <c r="B1435" s="71" t="s">
        <v>219</v>
      </c>
      <c r="C1435" s="71" t="s">
        <v>221</v>
      </c>
      <c r="D1435" s="71" t="s">
        <v>220</v>
      </c>
      <c r="E1435" s="71" t="s">
        <v>345</v>
      </c>
      <c r="F1435" s="71" t="s">
        <v>300</v>
      </c>
      <c r="G1435" s="88">
        <v>46270.566203703696</v>
      </c>
      <c r="H1435" s="89">
        <v>46270</v>
      </c>
      <c r="I1435" s="71" t="s">
        <v>568</v>
      </c>
      <c r="J1435" s="71">
        <v>0</v>
      </c>
      <c r="K1435" s="71" t="s">
        <v>302</v>
      </c>
      <c r="L1435" s="71">
        <f t="shared" si="198"/>
        <v>9</v>
      </c>
      <c r="M1435" s="71" t="str">
        <f>IFERROR(INDEX(KALENDER!$D$3:$D$132,MATCH(H1435,KALENDER!$A$3:$A$132,0)),"Di luar periode")</f>
        <v>Libur (Sabtu/Minggu)</v>
      </c>
      <c r="N1435" s="71">
        <f t="shared" si="199"/>
        <v>0</v>
      </c>
      <c r="O1435" s="71">
        <f t="shared" si="200"/>
        <v>1</v>
      </c>
      <c r="P1435" s="71">
        <f t="shared" si="201"/>
        <v>0</v>
      </c>
      <c r="Q1435" s="71">
        <f t="shared" si="202"/>
        <v>0</v>
      </c>
      <c r="R1435" s="71">
        <f t="shared" si="203"/>
        <v>0</v>
      </c>
      <c r="S1435" s="71">
        <f t="shared" si="204"/>
        <v>0</v>
      </c>
      <c r="T1435" s="71">
        <f t="shared" si="205"/>
        <v>0</v>
      </c>
      <c r="U1435" s="71">
        <f>IF(AND(N1435=1,V1435=1),IF(COUNTIFS(AKTIVITAS!$B$2:$B$3052,B1435,AKTIVITAS!$E$2:$E$3052,H1435)&gt;0,1,0),0)</f>
        <v>0</v>
      </c>
      <c r="V1435" s="71">
        <f>IFERROR(IF(AND(H1435&gt;=INDEX(PEMAGANG!$J$3:$J$36,MATCH(B1435,PEMAGANG!$C$3:$C$36,0)),H1435&lt;=INDEX(PEMAGANG!$K$3:$K$36,MATCH(B1435,PEMAGANG!$C$3:$C$36,0))),1,0),0)</f>
        <v>1</v>
      </c>
      <c r="W1435" s="71">
        <f t="shared" si="206"/>
        <v>0</v>
      </c>
    </row>
    <row r="1436" spans="1:23" x14ac:dyDescent="0.2">
      <c r="A1436" s="71" t="s">
        <v>218</v>
      </c>
      <c r="B1436" s="71" t="s">
        <v>219</v>
      </c>
      <c r="C1436" s="71" t="s">
        <v>221</v>
      </c>
      <c r="D1436" s="71" t="s">
        <v>220</v>
      </c>
      <c r="E1436" s="71" t="s">
        <v>345</v>
      </c>
      <c r="F1436" s="71" t="s">
        <v>298</v>
      </c>
      <c r="G1436" s="88">
        <v>46272.3219328704</v>
      </c>
      <c r="H1436" s="89">
        <v>46272</v>
      </c>
      <c r="I1436" s="71" t="s">
        <v>536</v>
      </c>
      <c r="J1436" s="71">
        <v>-16.999999999999901</v>
      </c>
      <c r="K1436" s="71" t="s">
        <v>302</v>
      </c>
      <c r="L1436" s="71">
        <f t="shared" si="198"/>
        <v>9</v>
      </c>
      <c r="M1436" s="71" t="str">
        <f>IFERROR(INDEX(KALENDER!$D$3:$D$132,MATCH(H1436,KALENDER!$A$3:$A$132,0)),"Di luar periode")</f>
        <v>Hari Kerja</v>
      </c>
      <c r="N1436" s="71">
        <f t="shared" si="199"/>
        <v>1</v>
      </c>
      <c r="O1436" s="71">
        <f t="shared" si="200"/>
        <v>1</v>
      </c>
      <c r="P1436" s="71">
        <f t="shared" si="201"/>
        <v>1</v>
      </c>
      <c r="Q1436" s="71">
        <f t="shared" si="202"/>
        <v>0</v>
      </c>
      <c r="R1436" s="71">
        <f t="shared" si="203"/>
        <v>0</v>
      </c>
      <c r="S1436" s="71">
        <f t="shared" si="204"/>
        <v>0</v>
      </c>
      <c r="T1436" s="71">
        <f t="shared" si="205"/>
        <v>0</v>
      </c>
      <c r="U1436" s="71">
        <f>IF(AND(N1436=1,V1436=1),IF(COUNTIFS(AKTIVITAS!$B$2:$B$3052,B1436,AKTIVITAS!$E$2:$E$3052,H1436)&gt;0,1,0),0)</f>
        <v>0</v>
      </c>
      <c r="V1436" s="71">
        <f>IFERROR(IF(AND(H1436&gt;=INDEX(PEMAGANG!$J$3:$J$36,MATCH(B1436,PEMAGANG!$C$3:$C$36,0)),H1436&lt;=INDEX(PEMAGANG!$K$3:$K$36,MATCH(B1436,PEMAGANG!$C$3:$C$36,0))),1,0),0)</f>
        <v>1</v>
      </c>
      <c r="W1436" s="71">
        <f t="shared" si="206"/>
        <v>1</v>
      </c>
    </row>
    <row r="1437" spans="1:23" x14ac:dyDescent="0.2">
      <c r="A1437" s="71" t="s">
        <v>218</v>
      </c>
      <c r="B1437" s="71" t="s">
        <v>219</v>
      </c>
      <c r="C1437" s="71" t="s">
        <v>221</v>
      </c>
      <c r="D1437" s="71" t="s">
        <v>220</v>
      </c>
      <c r="E1437" s="71" t="s">
        <v>345</v>
      </c>
      <c r="F1437" s="71" t="s">
        <v>300</v>
      </c>
      <c r="G1437" s="88">
        <v>46272.657048611101</v>
      </c>
      <c r="H1437" s="89">
        <v>46272</v>
      </c>
      <c r="I1437" s="71" t="s">
        <v>526</v>
      </c>
      <c r="J1437" s="71">
        <v>0</v>
      </c>
      <c r="K1437" s="71" t="s">
        <v>302</v>
      </c>
      <c r="L1437" s="71">
        <f t="shared" si="198"/>
        <v>9</v>
      </c>
      <c r="M1437" s="71" t="str">
        <f>IFERROR(INDEX(KALENDER!$D$3:$D$132,MATCH(H1437,KALENDER!$A$3:$A$132,0)),"Di luar periode")</f>
        <v>Hari Kerja</v>
      </c>
      <c r="N1437" s="71">
        <f t="shared" si="199"/>
        <v>0</v>
      </c>
      <c r="O1437" s="71">
        <f t="shared" si="200"/>
        <v>1</v>
      </c>
      <c r="P1437" s="71">
        <f t="shared" si="201"/>
        <v>0</v>
      </c>
      <c r="Q1437" s="71">
        <f t="shared" si="202"/>
        <v>0</v>
      </c>
      <c r="R1437" s="71">
        <f t="shared" si="203"/>
        <v>0</v>
      </c>
      <c r="S1437" s="71">
        <f t="shared" si="204"/>
        <v>0</v>
      </c>
      <c r="T1437" s="71">
        <f t="shared" si="205"/>
        <v>0</v>
      </c>
      <c r="U1437" s="71">
        <f>IF(AND(N1437=1,V1437=1),IF(COUNTIFS(AKTIVITAS!$B$2:$B$3052,B1437,AKTIVITAS!$E$2:$E$3052,H1437)&gt;0,1,0),0)</f>
        <v>0</v>
      </c>
      <c r="V1437" s="71">
        <f>IFERROR(IF(AND(H1437&gt;=INDEX(PEMAGANG!$J$3:$J$36,MATCH(B1437,PEMAGANG!$C$3:$C$36,0)),H1437&lt;=INDEX(PEMAGANG!$K$3:$K$36,MATCH(B1437,PEMAGANG!$C$3:$C$36,0))),1,0),0)</f>
        <v>1</v>
      </c>
      <c r="W1437" s="71">
        <f t="shared" si="206"/>
        <v>0</v>
      </c>
    </row>
    <row r="1438" spans="1:23" x14ac:dyDescent="0.2">
      <c r="A1438" s="71" t="s">
        <v>218</v>
      </c>
      <c r="B1438" s="71" t="s">
        <v>219</v>
      </c>
      <c r="C1438" s="71" t="s">
        <v>221</v>
      </c>
      <c r="D1438" s="71" t="s">
        <v>220</v>
      </c>
      <c r="E1438" s="71" t="s">
        <v>345</v>
      </c>
      <c r="F1438" s="71" t="s">
        <v>298</v>
      </c>
      <c r="G1438" s="88">
        <v>46273.320092592599</v>
      </c>
      <c r="H1438" s="89">
        <v>46273</v>
      </c>
      <c r="I1438" s="71" t="s">
        <v>381</v>
      </c>
      <c r="J1438" s="71">
        <v>-19.999999999999901</v>
      </c>
      <c r="K1438" s="71" t="s">
        <v>302</v>
      </c>
      <c r="L1438" s="71">
        <f t="shared" si="198"/>
        <v>9</v>
      </c>
      <c r="M1438" s="71" t="str">
        <f>IFERROR(INDEX(KALENDER!$D$3:$D$132,MATCH(H1438,KALENDER!$A$3:$A$132,0)),"Di luar periode")</f>
        <v>Hari Kerja</v>
      </c>
      <c r="N1438" s="71">
        <f t="shared" si="199"/>
        <v>1</v>
      </c>
      <c r="O1438" s="71">
        <f t="shared" si="200"/>
        <v>1</v>
      </c>
      <c r="P1438" s="71">
        <f t="shared" si="201"/>
        <v>1</v>
      </c>
      <c r="Q1438" s="71">
        <f t="shared" si="202"/>
        <v>0</v>
      </c>
      <c r="R1438" s="71">
        <f t="shared" si="203"/>
        <v>0</v>
      </c>
      <c r="S1438" s="71">
        <f t="shared" si="204"/>
        <v>0</v>
      </c>
      <c r="T1438" s="71">
        <f t="shared" si="205"/>
        <v>0</v>
      </c>
      <c r="U1438" s="71">
        <f>IF(AND(N1438=1,V1438=1),IF(COUNTIFS(AKTIVITAS!$B$2:$B$3052,B1438,AKTIVITAS!$E$2:$E$3052,H1438)&gt;0,1,0),0)</f>
        <v>1</v>
      </c>
      <c r="V1438" s="71">
        <f>IFERROR(IF(AND(H1438&gt;=INDEX(PEMAGANG!$J$3:$J$36,MATCH(B1438,PEMAGANG!$C$3:$C$36,0)),H1438&lt;=INDEX(PEMAGANG!$K$3:$K$36,MATCH(B1438,PEMAGANG!$C$3:$C$36,0))),1,0),0)</f>
        <v>1</v>
      </c>
      <c r="W1438" s="71">
        <f t="shared" si="206"/>
        <v>1</v>
      </c>
    </row>
    <row r="1439" spans="1:23" x14ac:dyDescent="0.2">
      <c r="A1439" s="71" t="s">
        <v>218</v>
      </c>
      <c r="B1439" s="71" t="s">
        <v>219</v>
      </c>
      <c r="C1439" s="71" t="s">
        <v>221</v>
      </c>
      <c r="D1439" s="71" t="s">
        <v>220</v>
      </c>
      <c r="E1439" s="71" t="s">
        <v>345</v>
      </c>
      <c r="F1439" s="71" t="s">
        <v>300</v>
      </c>
      <c r="G1439" s="88">
        <v>46273.657337962999</v>
      </c>
      <c r="H1439" s="89">
        <v>46273</v>
      </c>
      <c r="I1439" s="71" t="s">
        <v>526</v>
      </c>
      <c r="J1439" s="71">
        <v>0</v>
      </c>
      <c r="K1439" s="71" t="s">
        <v>302</v>
      </c>
      <c r="L1439" s="71">
        <f t="shared" si="198"/>
        <v>9</v>
      </c>
      <c r="M1439" s="71" t="str">
        <f>IFERROR(INDEX(KALENDER!$D$3:$D$132,MATCH(H1439,KALENDER!$A$3:$A$132,0)),"Di luar periode")</f>
        <v>Hari Kerja</v>
      </c>
      <c r="N1439" s="71">
        <f t="shared" si="199"/>
        <v>0</v>
      </c>
      <c r="O1439" s="71">
        <f t="shared" si="200"/>
        <v>1</v>
      </c>
      <c r="P1439" s="71">
        <f t="shared" si="201"/>
        <v>0</v>
      </c>
      <c r="Q1439" s="71">
        <f t="shared" si="202"/>
        <v>0</v>
      </c>
      <c r="R1439" s="71">
        <f t="shared" si="203"/>
        <v>0</v>
      </c>
      <c r="S1439" s="71">
        <f t="shared" si="204"/>
        <v>0</v>
      </c>
      <c r="T1439" s="71">
        <f t="shared" si="205"/>
        <v>0</v>
      </c>
      <c r="U1439" s="71">
        <f>IF(AND(N1439=1,V1439=1),IF(COUNTIFS(AKTIVITAS!$B$2:$B$3052,B1439,AKTIVITAS!$E$2:$E$3052,H1439)&gt;0,1,0),0)</f>
        <v>0</v>
      </c>
      <c r="V1439" s="71">
        <f>IFERROR(IF(AND(H1439&gt;=INDEX(PEMAGANG!$J$3:$J$36,MATCH(B1439,PEMAGANG!$C$3:$C$36,0)),H1439&lt;=INDEX(PEMAGANG!$K$3:$K$36,MATCH(B1439,PEMAGANG!$C$3:$C$36,0))),1,0),0)</f>
        <v>1</v>
      </c>
      <c r="W1439" s="71">
        <f t="shared" si="206"/>
        <v>0</v>
      </c>
    </row>
    <row r="1440" spans="1:23" x14ac:dyDescent="0.2">
      <c r="A1440" s="71" t="s">
        <v>218</v>
      </c>
      <c r="B1440" s="71" t="s">
        <v>219</v>
      </c>
      <c r="C1440" s="71" t="s">
        <v>221</v>
      </c>
      <c r="D1440" s="71" t="s">
        <v>220</v>
      </c>
      <c r="E1440" s="71" t="s">
        <v>345</v>
      </c>
      <c r="F1440" s="71" t="s">
        <v>298</v>
      </c>
      <c r="G1440" s="88">
        <v>46274.318773148101</v>
      </c>
      <c r="H1440" s="89">
        <v>46274</v>
      </c>
      <c r="I1440" s="71" t="s">
        <v>515</v>
      </c>
      <c r="J1440" s="71">
        <v>-20.999999999999901</v>
      </c>
      <c r="K1440" s="71" t="s">
        <v>302</v>
      </c>
      <c r="L1440" s="71">
        <f t="shared" si="198"/>
        <v>9</v>
      </c>
      <c r="M1440" s="71" t="str">
        <f>IFERROR(INDEX(KALENDER!$D$3:$D$132,MATCH(H1440,KALENDER!$A$3:$A$132,0)),"Di luar periode")</f>
        <v>Hari Kerja</v>
      </c>
      <c r="N1440" s="71">
        <f t="shared" si="199"/>
        <v>1</v>
      </c>
      <c r="O1440" s="71">
        <f t="shared" si="200"/>
        <v>1</v>
      </c>
      <c r="P1440" s="71">
        <f t="shared" si="201"/>
        <v>1</v>
      </c>
      <c r="Q1440" s="71">
        <f t="shared" si="202"/>
        <v>0</v>
      </c>
      <c r="R1440" s="71">
        <f t="shared" si="203"/>
        <v>0</v>
      </c>
      <c r="S1440" s="71">
        <f t="shared" si="204"/>
        <v>0</v>
      </c>
      <c r="T1440" s="71">
        <f t="shared" si="205"/>
        <v>0</v>
      </c>
      <c r="U1440" s="71">
        <f>IF(AND(N1440=1,V1440=1),IF(COUNTIFS(AKTIVITAS!$B$2:$B$3052,B1440,AKTIVITAS!$E$2:$E$3052,H1440)&gt;0,1,0),0)</f>
        <v>0</v>
      </c>
      <c r="V1440" s="71">
        <f>IFERROR(IF(AND(H1440&gt;=INDEX(PEMAGANG!$J$3:$J$36,MATCH(B1440,PEMAGANG!$C$3:$C$36,0)),H1440&lt;=INDEX(PEMAGANG!$K$3:$K$36,MATCH(B1440,PEMAGANG!$C$3:$C$36,0))),1,0),0)</f>
        <v>1</v>
      </c>
      <c r="W1440" s="71">
        <f t="shared" si="206"/>
        <v>1</v>
      </c>
    </row>
    <row r="1441" spans="1:23" x14ac:dyDescent="0.2">
      <c r="A1441" s="71" t="s">
        <v>218</v>
      </c>
      <c r="B1441" s="71" t="s">
        <v>219</v>
      </c>
      <c r="C1441" s="71" t="s">
        <v>221</v>
      </c>
      <c r="D1441" s="71" t="s">
        <v>220</v>
      </c>
      <c r="E1441" s="71" t="s">
        <v>345</v>
      </c>
      <c r="F1441" s="71" t="s">
        <v>300</v>
      </c>
      <c r="G1441" s="88">
        <v>46274.654502314799</v>
      </c>
      <c r="H1441" s="89">
        <v>46274</v>
      </c>
      <c r="I1441" s="71" t="s">
        <v>558</v>
      </c>
      <c r="J1441" s="71">
        <v>0</v>
      </c>
      <c r="K1441" s="71" t="s">
        <v>302</v>
      </c>
      <c r="L1441" s="71">
        <f t="shared" si="198"/>
        <v>9</v>
      </c>
      <c r="M1441" s="71" t="str">
        <f>IFERROR(INDEX(KALENDER!$D$3:$D$132,MATCH(H1441,KALENDER!$A$3:$A$132,0)),"Di luar periode")</f>
        <v>Hari Kerja</v>
      </c>
      <c r="N1441" s="71">
        <f t="shared" si="199"/>
        <v>0</v>
      </c>
      <c r="O1441" s="71">
        <f t="shared" si="200"/>
        <v>1</v>
      </c>
      <c r="P1441" s="71">
        <f t="shared" si="201"/>
        <v>0</v>
      </c>
      <c r="Q1441" s="71">
        <f t="shared" si="202"/>
        <v>0</v>
      </c>
      <c r="R1441" s="71">
        <f t="shared" si="203"/>
        <v>0</v>
      </c>
      <c r="S1441" s="71">
        <f t="shared" si="204"/>
        <v>0</v>
      </c>
      <c r="T1441" s="71">
        <f t="shared" si="205"/>
        <v>0</v>
      </c>
      <c r="U1441" s="71">
        <f>IF(AND(N1441=1,V1441=1),IF(COUNTIFS(AKTIVITAS!$B$2:$B$3052,B1441,AKTIVITAS!$E$2:$E$3052,H1441)&gt;0,1,0),0)</f>
        <v>0</v>
      </c>
      <c r="V1441" s="71">
        <f>IFERROR(IF(AND(H1441&gt;=INDEX(PEMAGANG!$J$3:$J$36,MATCH(B1441,PEMAGANG!$C$3:$C$36,0)),H1441&lt;=INDEX(PEMAGANG!$K$3:$K$36,MATCH(B1441,PEMAGANG!$C$3:$C$36,0))),1,0),0)</f>
        <v>1</v>
      </c>
      <c r="W1441" s="71">
        <f t="shared" si="206"/>
        <v>0</v>
      </c>
    </row>
    <row r="1442" spans="1:23" x14ac:dyDescent="0.2">
      <c r="A1442" s="71" t="s">
        <v>218</v>
      </c>
      <c r="B1442" s="71" t="s">
        <v>219</v>
      </c>
      <c r="C1442" s="71" t="s">
        <v>221</v>
      </c>
      <c r="D1442" s="71" t="s">
        <v>220</v>
      </c>
      <c r="E1442" s="71" t="s">
        <v>345</v>
      </c>
      <c r="F1442" s="71" t="s">
        <v>298</v>
      </c>
      <c r="G1442" s="88">
        <v>46275.315671296303</v>
      </c>
      <c r="H1442" s="89">
        <v>46275</v>
      </c>
      <c r="I1442" s="71" t="s">
        <v>373</v>
      </c>
      <c r="J1442" s="71">
        <v>-26</v>
      </c>
      <c r="K1442" s="71" t="s">
        <v>302</v>
      </c>
      <c r="L1442" s="71">
        <f t="shared" si="198"/>
        <v>9</v>
      </c>
      <c r="M1442" s="71" t="str">
        <f>IFERROR(INDEX(KALENDER!$D$3:$D$132,MATCH(H1442,KALENDER!$A$3:$A$132,0)),"Di luar periode")</f>
        <v>Hari Kerja</v>
      </c>
      <c r="N1442" s="71">
        <f t="shared" si="199"/>
        <v>1</v>
      </c>
      <c r="O1442" s="71">
        <f t="shared" si="200"/>
        <v>1</v>
      </c>
      <c r="P1442" s="71">
        <f t="shared" si="201"/>
        <v>1</v>
      </c>
      <c r="Q1442" s="71">
        <f t="shared" si="202"/>
        <v>0</v>
      </c>
      <c r="R1442" s="71">
        <f t="shared" si="203"/>
        <v>0</v>
      </c>
      <c r="S1442" s="71">
        <f t="shared" si="204"/>
        <v>0</v>
      </c>
      <c r="T1442" s="71">
        <f t="shared" si="205"/>
        <v>0</v>
      </c>
      <c r="U1442" s="71">
        <f>IF(AND(N1442=1,V1442=1),IF(COUNTIFS(AKTIVITAS!$B$2:$B$3052,B1442,AKTIVITAS!$E$2:$E$3052,H1442)&gt;0,1,0),0)</f>
        <v>1</v>
      </c>
      <c r="V1442" s="71">
        <f>IFERROR(IF(AND(H1442&gt;=INDEX(PEMAGANG!$J$3:$J$36,MATCH(B1442,PEMAGANG!$C$3:$C$36,0)),H1442&lt;=INDEX(PEMAGANG!$K$3:$K$36,MATCH(B1442,PEMAGANG!$C$3:$C$36,0))),1,0),0)</f>
        <v>1</v>
      </c>
      <c r="W1442" s="71">
        <f t="shared" si="206"/>
        <v>1</v>
      </c>
    </row>
    <row r="1443" spans="1:23" x14ac:dyDescent="0.2">
      <c r="A1443" s="71" t="s">
        <v>218</v>
      </c>
      <c r="B1443" s="71" t="s">
        <v>219</v>
      </c>
      <c r="C1443" s="71" t="s">
        <v>221</v>
      </c>
      <c r="D1443" s="71" t="s">
        <v>220</v>
      </c>
      <c r="E1443" s="71" t="s">
        <v>345</v>
      </c>
      <c r="F1443" s="71" t="s">
        <v>300</v>
      </c>
      <c r="G1443" s="88">
        <v>46275.659236111103</v>
      </c>
      <c r="H1443" s="89">
        <v>46275</v>
      </c>
      <c r="I1443" s="71" t="s">
        <v>535</v>
      </c>
      <c r="J1443" s="71">
        <v>0</v>
      </c>
      <c r="K1443" s="71" t="s">
        <v>302</v>
      </c>
      <c r="L1443" s="71">
        <f t="shared" si="198"/>
        <v>9</v>
      </c>
      <c r="M1443" s="71" t="str">
        <f>IFERROR(INDEX(KALENDER!$D$3:$D$132,MATCH(H1443,KALENDER!$A$3:$A$132,0)),"Di luar periode")</f>
        <v>Hari Kerja</v>
      </c>
      <c r="N1443" s="71">
        <f t="shared" si="199"/>
        <v>0</v>
      </c>
      <c r="O1443" s="71">
        <f t="shared" si="200"/>
        <v>1</v>
      </c>
      <c r="P1443" s="71">
        <f t="shared" si="201"/>
        <v>0</v>
      </c>
      <c r="Q1443" s="71">
        <f t="shared" si="202"/>
        <v>0</v>
      </c>
      <c r="R1443" s="71">
        <f t="shared" si="203"/>
        <v>0</v>
      </c>
      <c r="S1443" s="71">
        <f t="shared" si="204"/>
        <v>0</v>
      </c>
      <c r="T1443" s="71">
        <f t="shared" si="205"/>
        <v>0</v>
      </c>
      <c r="U1443" s="71">
        <f>IF(AND(N1443=1,V1443=1),IF(COUNTIFS(AKTIVITAS!$B$2:$B$3052,B1443,AKTIVITAS!$E$2:$E$3052,H1443)&gt;0,1,0),0)</f>
        <v>0</v>
      </c>
      <c r="V1443" s="71">
        <f>IFERROR(IF(AND(H1443&gt;=INDEX(PEMAGANG!$J$3:$J$36,MATCH(B1443,PEMAGANG!$C$3:$C$36,0)),H1443&lt;=INDEX(PEMAGANG!$K$3:$K$36,MATCH(B1443,PEMAGANG!$C$3:$C$36,0))),1,0),0)</f>
        <v>1</v>
      </c>
      <c r="W1443" s="71">
        <f t="shared" si="206"/>
        <v>0</v>
      </c>
    </row>
    <row r="1444" spans="1:23" x14ac:dyDescent="0.2">
      <c r="A1444" s="71" t="s">
        <v>218</v>
      </c>
      <c r="B1444" s="71" t="s">
        <v>219</v>
      </c>
      <c r="C1444" s="71" t="s">
        <v>221</v>
      </c>
      <c r="D1444" s="71" t="s">
        <v>220</v>
      </c>
      <c r="E1444" s="71" t="s">
        <v>345</v>
      </c>
      <c r="F1444" s="71" t="s">
        <v>298</v>
      </c>
      <c r="G1444" s="88">
        <v>46276.317696759303</v>
      </c>
      <c r="H1444" s="89">
        <v>46276</v>
      </c>
      <c r="I1444" s="71" t="s">
        <v>386</v>
      </c>
      <c r="J1444" s="71">
        <v>7.0000000000000604</v>
      </c>
      <c r="K1444" s="71" t="s">
        <v>293</v>
      </c>
      <c r="L1444" s="71">
        <f t="shared" si="198"/>
        <v>9</v>
      </c>
      <c r="M1444" s="71" t="str">
        <f>IFERROR(INDEX(KALENDER!$D$3:$D$132,MATCH(H1444,KALENDER!$A$3:$A$132,0)),"Di luar periode")</f>
        <v>Hari Kerja</v>
      </c>
      <c r="N1444" s="71">
        <f t="shared" si="199"/>
        <v>1</v>
      </c>
      <c r="O1444" s="71">
        <f t="shared" si="200"/>
        <v>1</v>
      </c>
      <c r="P1444" s="71">
        <f t="shared" si="201"/>
        <v>1</v>
      </c>
      <c r="Q1444" s="71">
        <f t="shared" si="202"/>
        <v>0</v>
      </c>
      <c r="R1444" s="71">
        <f t="shared" si="203"/>
        <v>1</v>
      </c>
      <c r="S1444" s="71">
        <f t="shared" si="204"/>
        <v>7.0000000000000604</v>
      </c>
      <c r="T1444" s="71">
        <f t="shared" si="205"/>
        <v>0</v>
      </c>
      <c r="U1444" s="71">
        <f>IF(AND(N1444=1,V1444=1),IF(COUNTIFS(AKTIVITAS!$B$2:$B$3052,B1444,AKTIVITAS!$E$2:$E$3052,H1444)&gt;0,1,0),0)</f>
        <v>1</v>
      </c>
      <c r="V1444" s="71">
        <f>IFERROR(IF(AND(H1444&gt;=INDEX(PEMAGANG!$J$3:$J$36,MATCH(B1444,PEMAGANG!$C$3:$C$36,0)),H1444&lt;=INDEX(PEMAGANG!$K$3:$K$36,MATCH(B1444,PEMAGANG!$C$3:$C$36,0))),1,0),0)</f>
        <v>1</v>
      </c>
      <c r="W1444" s="71">
        <f t="shared" si="206"/>
        <v>1</v>
      </c>
    </row>
    <row r="1445" spans="1:23" x14ac:dyDescent="0.2">
      <c r="A1445" s="71" t="s">
        <v>218</v>
      </c>
      <c r="B1445" s="71" t="s">
        <v>219</v>
      </c>
      <c r="C1445" s="71" t="s">
        <v>221</v>
      </c>
      <c r="D1445" s="71" t="s">
        <v>220</v>
      </c>
      <c r="E1445" s="71" t="s">
        <v>345</v>
      </c>
      <c r="F1445" s="71" t="s">
        <v>300</v>
      </c>
      <c r="G1445" s="88">
        <v>46276.656643518501</v>
      </c>
      <c r="H1445" s="89">
        <v>46276</v>
      </c>
      <c r="I1445" s="71" t="s">
        <v>569</v>
      </c>
      <c r="J1445" s="71">
        <v>0</v>
      </c>
      <c r="K1445" s="71" t="s">
        <v>302</v>
      </c>
      <c r="L1445" s="71">
        <f t="shared" si="198"/>
        <v>9</v>
      </c>
      <c r="M1445" s="71" t="str">
        <f>IFERROR(INDEX(KALENDER!$D$3:$D$132,MATCH(H1445,KALENDER!$A$3:$A$132,0)),"Di luar periode")</f>
        <v>Hari Kerja</v>
      </c>
      <c r="N1445" s="71">
        <f t="shared" si="199"/>
        <v>0</v>
      </c>
      <c r="O1445" s="71">
        <f t="shared" si="200"/>
        <v>1</v>
      </c>
      <c r="P1445" s="71">
        <f t="shared" si="201"/>
        <v>0</v>
      </c>
      <c r="Q1445" s="71">
        <f t="shared" si="202"/>
        <v>0</v>
      </c>
      <c r="R1445" s="71">
        <f t="shared" si="203"/>
        <v>0</v>
      </c>
      <c r="S1445" s="71">
        <f t="shared" si="204"/>
        <v>0</v>
      </c>
      <c r="T1445" s="71">
        <f t="shared" si="205"/>
        <v>0</v>
      </c>
      <c r="U1445" s="71">
        <f>IF(AND(N1445=1,V1445=1),IF(COUNTIFS(AKTIVITAS!$B$2:$B$3052,B1445,AKTIVITAS!$E$2:$E$3052,H1445)&gt;0,1,0),0)</f>
        <v>0</v>
      </c>
      <c r="V1445" s="71">
        <f>IFERROR(IF(AND(H1445&gt;=INDEX(PEMAGANG!$J$3:$J$36,MATCH(B1445,PEMAGANG!$C$3:$C$36,0)),H1445&lt;=INDEX(PEMAGANG!$K$3:$K$36,MATCH(B1445,PEMAGANG!$C$3:$C$36,0))),1,0),0)</f>
        <v>1</v>
      </c>
      <c r="W1445" s="71">
        <f t="shared" si="206"/>
        <v>0</v>
      </c>
    </row>
    <row r="1446" spans="1:23" x14ac:dyDescent="0.2">
      <c r="A1446" s="71" t="s">
        <v>218</v>
      </c>
      <c r="B1446" s="71" t="s">
        <v>219</v>
      </c>
      <c r="C1446" s="71" t="s">
        <v>221</v>
      </c>
      <c r="D1446" s="71" t="s">
        <v>220</v>
      </c>
      <c r="E1446" s="71" t="s">
        <v>345</v>
      </c>
      <c r="F1446" s="71" t="s">
        <v>300</v>
      </c>
      <c r="G1446" s="88">
        <v>46276.656643518501</v>
      </c>
      <c r="H1446" s="89">
        <v>46276</v>
      </c>
      <c r="I1446" s="71" t="s">
        <v>569</v>
      </c>
      <c r="J1446" s="71">
        <v>0</v>
      </c>
      <c r="K1446" s="71" t="s">
        <v>302</v>
      </c>
      <c r="L1446" s="71">
        <f t="shared" si="198"/>
        <v>9</v>
      </c>
      <c r="M1446" s="71" t="str">
        <f>IFERROR(INDEX(KALENDER!$D$3:$D$132,MATCH(H1446,KALENDER!$A$3:$A$132,0)),"Di luar periode")</f>
        <v>Hari Kerja</v>
      </c>
      <c r="N1446" s="71">
        <f t="shared" si="199"/>
        <v>0</v>
      </c>
      <c r="O1446" s="71">
        <f t="shared" si="200"/>
        <v>1</v>
      </c>
      <c r="P1446" s="71">
        <f t="shared" si="201"/>
        <v>0</v>
      </c>
      <c r="Q1446" s="71">
        <f t="shared" si="202"/>
        <v>0</v>
      </c>
      <c r="R1446" s="71">
        <f t="shared" si="203"/>
        <v>0</v>
      </c>
      <c r="S1446" s="71">
        <f t="shared" si="204"/>
        <v>0</v>
      </c>
      <c r="T1446" s="71">
        <f t="shared" si="205"/>
        <v>0</v>
      </c>
      <c r="U1446" s="71">
        <f>IF(AND(N1446=1,V1446=1),IF(COUNTIFS(AKTIVITAS!$B$2:$B$3052,B1446,AKTIVITAS!$E$2:$E$3052,H1446)&gt;0,1,0),0)</f>
        <v>0</v>
      </c>
      <c r="V1446" s="71">
        <f>IFERROR(IF(AND(H1446&gt;=INDEX(PEMAGANG!$J$3:$J$36,MATCH(B1446,PEMAGANG!$C$3:$C$36,0)),H1446&lt;=INDEX(PEMAGANG!$K$3:$K$36,MATCH(B1446,PEMAGANG!$C$3:$C$36,0))),1,0),0)</f>
        <v>1</v>
      </c>
      <c r="W1446" s="71">
        <f t="shared" si="206"/>
        <v>0</v>
      </c>
    </row>
    <row r="1447" spans="1:23" x14ac:dyDescent="0.2">
      <c r="A1447" s="71" t="s">
        <v>218</v>
      </c>
      <c r="B1447" s="71" t="s">
        <v>219</v>
      </c>
      <c r="C1447" s="71" t="s">
        <v>221</v>
      </c>
      <c r="D1447" s="71" t="s">
        <v>220</v>
      </c>
      <c r="E1447" s="71" t="s">
        <v>345</v>
      </c>
      <c r="F1447" s="71" t="s">
        <v>298</v>
      </c>
      <c r="G1447" s="88">
        <v>46277.317233796297</v>
      </c>
      <c r="H1447" s="89">
        <v>46277</v>
      </c>
      <c r="I1447" s="71" t="s">
        <v>376</v>
      </c>
      <c r="J1447" s="71">
        <v>5.9999999999999796</v>
      </c>
      <c r="K1447" s="71" t="s">
        <v>293</v>
      </c>
      <c r="L1447" s="71">
        <f t="shared" si="198"/>
        <v>9</v>
      </c>
      <c r="M1447" s="71" t="str">
        <f>IFERROR(INDEX(KALENDER!$D$3:$D$132,MATCH(H1447,KALENDER!$A$3:$A$132,0)),"Di luar periode")</f>
        <v>Libur (Sabtu/Minggu)</v>
      </c>
      <c r="N1447" s="71">
        <f t="shared" si="199"/>
        <v>1</v>
      </c>
      <c r="O1447" s="71">
        <f t="shared" si="200"/>
        <v>1</v>
      </c>
      <c r="P1447" s="71">
        <f t="shared" si="201"/>
        <v>0</v>
      </c>
      <c r="Q1447" s="71">
        <f t="shared" si="202"/>
        <v>1</v>
      </c>
      <c r="R1447" s="71">
        <f t="shared" si="203"/>
        <v>1</v>
      </c>
      <c r="S1447" s="71">
        <f t="shared" si="204"/>
        <v>5.9999999999999796</v>
      </c>
      <c r="T1447" s="71">
        <f t="shared" si="205"/>
        <v>0</v>
      </c>
      <c r="U1447" s="71">
        <f>IF(AND(N1447=1,V1447=1),IF(COUNTIFS(AKTIVITAS!$B$2:$B$3052,B1447,AKTIVITAS!$E$2:$E$3052,H1447)&gt;0,1,0),0)</f>
        <v>1</v>
      </c>
      <c r="V1447" s="71">
        <f>IFERROR(IF(AND(H1447&gt;=INDEX(PEMAGANG!$J$3:$J$36,MATCH(B1447,PEMAGANG!$C$3:$C$36,0)),H1447&lt;=INDEX(PEMAGANG!$K$3:$K$36,MATCH(B1447,PEMAGANG!$C$3:$C$36,0))),1,0),0)</f>
        <v>1</v>
      </c>
      <c r="W1447" s="71">
        <f t="shared" si="206"/>
        <v>1</v>
      </c>
    </row>
    <row r="1448" spans="1:23" x14ac:dyDescent="0.2">
      <c r="A1448" s="71" t="s">
        <v>218</v>
      </c>
      <c r="B1448" s="71" t="s">
        <v>219</v>
      </c>
      <c r="C1448" s="71" t="s">
        <v>221</v>
      </c>
      <c r="D1448" s="71" t="s">
        <v>220</v>
      </c>
      <c r="E1448" s="71" t="s">
        <v>345</v>
      </c>
      <c r="F1448" s="71" t="s">
        <v>298</v>
      </c>
      <c r="G1448" s="88">
        <v>46277.317233796297</v>
      </c>
      <c r="H1448" s="89">
        <v>46277</v>
      </c>
      <c r="I1448" s="71" t="s">
        <v>376</v>
      </c>
      <c r="J1448" s="71">
        <v>5.9999999999999796</v>
      </c>
      <c r="K1448" s="71" t="s">
        <v>293</v>
      </c>
      <c r="L1448" s="71">
        <f t="shared" si="198"/>
        <v>9</v>
      </c>
      <c r="M1448" s="71" t="str">
        <f>IFERROR(INDEX(KALENDER!$D$3:$D$132,MATCH(H1448,KALENDER!$A$3:$A$132,0)),"Di luar periode")</f>
        <v>Libur (Sabtu/Minggu)</v>
      </c>
      <c r="N1448" s="71">
        <f t="shared" si="199"/>
        <v>0</v>
      </c>
      <c r="O1448" s="71">
        <f t="shared" si="200"/>
        <v>2</v>
      </c>
      <c r="P1448" s="71">
        <f t="shared" si="201"/>
        <v>0</v>
      </c>
      <c r="Q1448" s="71">
        <f t="shared" si="202"/>
        <v>0</v>
      </c>
      <c r="R1448" s="71">
        <f t="shared" si="203"/>
        <v>0</v>
      </c>
      <c r="S1448" s="71">
        <f t="shared" si="204"/>
        <v>0</v>
      </c>
      <c r="T1448" s="71">
        <f t="shared" si="205"/>
        <v>0</v>
      </c>
      <c r="U1448" s="71">
        <f>IF(AND(N1448=1,V1448=1),IF(COUNTIFS(AKTIVITAS!$B$2:$B$3052,B1448,AKTIVITAS!$E$2:$E$3052,H1448)&gt;0,1,0),0)</f>
        <v>0</v>
      </c>
      <c r="V1448" s="71">
        <f>IFERROR(IF(AND(H1448&gt;=INDEX(PEMAGANG!$J$3:$J$36,MATCH(B1448,PEMAGANG!$C$3:$C$36,0)),H1448&lt;=INDEX(PEMAGANG!$K$3:$K$36,MATCH(B1448,PEMAGANG!$C$3:$C$36,0))),1,0),0)</f>
        <v>1</v>
      </c>
      <c r="W1448" s="71">
        <f t="shared" si="206"/>
        <v>0</v>
      </c>
    </row>
    <row r="1449" spans="1:23" x14ac:dyDescent="0.2">
      <c r="A1449" s="71" t="s">
        <v>218</v>
      </c>
      <c r="B1449" s="71" t="s">
        <v>219</v>
      </c>
      <c r="C1449" s="71" t="s">
        <v>221</v>
      </c>
      <c r="D1449" s="71" t="s">
        <v>220</v>
      </c>
      <c r="E1449" s="71" t="s">
        <v>345</v>
      </c>
      <c r="F1449" s="71" t="s">
        <v>300</v>
      </c>
      <c r="G1449" s="88">
        <v>46277.568888888898</v>
      </c>
      <c r="H1449" s="89">
        <v>46277</v>
      </c>
      <c r="I1449" s="71" t="s">
        <v>570</v>
      </c>
      <c r="J1449" s="71">
        <v>0</v>
      </c>
      <c r="K1449" s="71" t="s">
        <v>302</v>
      </c>
      <c r="L1449" s="71">
        <f t="shared" si="198"/>
        <v>9</v>
      </c>
      <c r="M1449" s="71" t="str">
        <f>IFERROR(INDEX(KALENDER!$D$3:$D$132,MATCH(H1449,KALENDER!$A$3:$A$132,0)),"Di luar periode")</f>
        <v>Libur (Sabtu/Minggu)</v>
      </c>
      <c r="N1449" s="71">
        <f t="shared" si="199"/>
        <v>0</v>
      </c>
      <c r="O1449" s="71">
        <f t="shared" si="200"/>
        <v>2</v>
      </c>
      <c r="P1449" s="71">
        <f t="shared" si="201"/>
        <v>0</v>
      </c>
      <c r="Q1449" s="71">
        <f t="shared" si="202"/>
        <v>0</v>
      </c>
      <c r="R1449" s="71">
        <f t="shared" si="203"/>
        <v>0</v>
      </c>
      <c r="S1449" s="71">
        <f t="shared" si="204"/>
        <v>0</v>
      </c>
      <c r="T1449" s="71">
        <f t="shared" si="205"/>
        <v>0</v>
      </c>
      <c r="U1449" s="71">
        <f>IF(AND(N1449=1,V1449=1),IF(COUNTIFS(AKTIVITAS!$B$2:$B$3052,B1449,AKTIVITAS!$E$2:$E$3052,H1449)&gt;0,1,0),0)</f>
        <v>0</v>
      </c>
      <c r="V1449" s="71">
        <f>IFERROR(IF(AND(H1449&gt;=INDEX(PEMAGANG!$J$3:$J$36,MATCH(B1449,PEMAGANG!$C$3:$C$36,0)),H1449&lt;=INDEX(PEMAGANG!$K$3:$K$36,MATCH(B1449,PEMAGANG!$C$3:$C$36,0))),1,0),0)</f>
        <v>1</v>
      </c>
      <c r="W1449" s="71">
        <f t="shared" si="206"/>
        <v>0</v>
      </c>
    </row>
    <row r="1450" spans="1:23" x14ac:dyDescent="0.2">
      <c r="A1450" s="71" t="s">
        <v>218</v>
      </c>
      <c r="B1450" s="71" t="s">
        <v>219</v>
      </c>
      <c r="C1450" s="71" t="s">
        <v>221</v>
      </c>
      <c r="D1450" s="71" t="s">
        <v>220</v>
      </c>
      <c r="E1450" s="71" t="s">
        <v>345</v>
      </c>
      <c r="F1450" s="71" t="s">
        <v>300</v>
      </c>
      <c r="G1450" s="88">
        <v>46277.568888888898</v>
      </c>
      <c r="H1450" s="89">
        <v>46277</v>
      </c>
      <c r="I1450" s="71" t="s">
        <v>570</v>
      </c>
      <c r="J1450" s="71">
        <v>0</v>
      </c>
      <c r="K1450" s="71" t="s">
        <v>302</v>
      </c>
      <c r="L1450" s="71">
        <f t="shared" si="198"/>
        <v>9</v>
      </c>
      <c r="M1450" s="71" t="str">
        <f>IFERROR(INDEX(KALENDER!$D$3:$D$132,MATCH(H1450,KALENDER!$A$3:$A$132,0)),"Di luar periode")</f>
        <v>Libur (Sabtu/Minggu)</v>
      </c>
      <c r="N1450" s="71">
        <f t="shared" si="199"/>
        <v>0</v>
      </c>
      <c r="O1450" s="71">
        <f t="shared" si="200"/>
        <v>2</v>
      </c>
      <c r="P1450" s="71">
        <f t="shared" si="201"/>
        <v>0</v>
      </c>
      <c r="Q1450" s="71">
        <f t="shared" si="202"/>
        <v>0</v>
      </c>
      <c r="R1450" s="71">
        <f t="shared" si="203"/>
        <v>0</v>
      </c>
      <c r="S1450" s="71">
        <f t="shared" si="204"/>
        <v>0</v>
      </c>
      <c r="T1450" s="71">
        <f t="shared" si="205"/>
        <v>0</v>
      </c>
      <c r="U1450" s="71">
        <f>IF(AND(N1450=1,V1450=1),IF(COUNTIFS(AKTIVITAS!$B$2:$B$3052,B1450,AKTIVITAS!$E$2:$E$3052,H1450)&gt;0,1,0),0)</f>
        <v>0</v>
      </c>
      <c r="V1450" s="71">
        <f>IFERROR(IF(AND(H1450&gt;=INDEX(PEMAGANG!$J$3:$J$36,MATCH(B1450,PEMAGANG!$C$3:$C$36,0)),H1450&lt;=INDEX(PEMAGANG!$K$3:$K$36,MATCH(B1450,PEMAGANG!$C$3:$C$36,0))),1,0),0)</f>
        <v>1</v>
      </c>
      <c r="W1450" s="71">
        <f t="shared" si="206"/>
        <v>0</v>
      </c>
    </row>
    <row r="1451" spans="1:23" x14ac:dyDescent="0.2">
      <c r="A1451" s="71" t="s">
        <v>218</v>
      </c>
      <c r="B1451" s="71" t="s">
        <v>219</v>
      </c>
      <c r="C1451" s="71" t="s">
        <v>221</v>
      </c>
      <c r="D1451" s="71" t="s">
        <v>220</v>
      </c>
      <c r="E1451" s="71" t="s">
        <v>345</v>
      </c>
      <c r="F1451" s="71" t="s">
        <v>298</v>
      </c>
      <c r="G1451" s="88">
        <v>46279.316342592603</v>
      </c>
      <c r="H1451" s="89">
        <v>46279</v>
      </c>
      <c r="I1451" s="71" t="s">
        <v>339</v>
      </c>
      <c r="J1451" s="71">
        <v>4.9999999999999796</v>
      </c>
      <c r="K1451" s="71" t="s">
        <v>293</v>
      </c>
      <c r="L1451" s="71">
        <f t="shared" si="198"/>
        <v>9</v>
      </c>
      <c r="M1451" s="71" t="str">
        <f>IFERROR(INDEX(KALENDER!$D$3:$D$132,MATCH(H1451,KALENDER!$A$3:$A$132,0)),"Di luar periode")</f>
        <v>Hari Kerja</v>
      </c>
      <c r="N1451" s="71">
        <f t="shared" si="199"/>
        <v>1</v>
      </c>
      <c r="O1451" s="71">
        <f t="shared" si="200"/>
        <v>1</v>
      </c>
      <c r="P1451" s="71">
        <f t="shared" si="201"/>
        <v>1</v>
      </c>
      <c r="Q1451" s="71">
        <f t="shared" si="202"/>
        <v>0</v>
      </c>
      <c r="R1451" s="71">
        <f t="shared" si="203"/>
        <v>1</v>
      </c>
      <c r="S1451" s="71">
        <f t="shared" si="204"/>
        <v>4.9999999999999796</v>
      </c>
      <c r="T1451" s="71">
        <f t="shared" si="205"/>
        <v>0</v>
      </c>
      <c r="U1451" s="71">
        <f>IF(AND(N1451=1,V1451=1),IF(COUNTIFS(AKTIVITAS!$B$2:$B$3052,B1451,AKTIVITAS!$E$2:$E$3052,H1451)&gt;0,1,0),0)</f>
        <v>1</v>
      </c>
      <c r="V1451" s="71">
        <f>IFERROR(IF(AND(H1451&gt;=INDEX(PEMAGANG!$J$3:$J$36,MATCH(B1451,PEMAGANG!$C$3:$C$36,0)),H1451&lt;=INDEX(PEMAGANG!$K$3:$K$36,MATCH(B1451,PEMAGANG!$C$3:$C$36,0))),1,0),0)</f>
        <v>1</v>
      </c>
      <c r="W1451" s="71">
        <f t="shared" si="206"/>
        <v>1</v>
      </c>
    </row>
    <row r="1452" spans="1:23" x14ac:dyDescent="0.2">
      <c r="A1452" s="71" t="s">
        <v>218</v>
      </c>
      <c r="B1452" s="71" t="s">
        <v>219</v>
      </c>
      <c r="C1452" s="71" t="s">
        <v>221</v>
      </c>
      <c r="D1452" s="71" t="s">
        <v>220</v>
      </c>
      <c r="E1452" s="71" t="s">
        <v>345</v>
      </c>
      <c r="F1452" s="71" t="s">
        <v>298</v>
      </c>
      <c r="G1452" s="88">
        <v>46279.316342592603</v>
      </c>
      <c r="H1452" s="89">
        <v>46279</v>
      </c>
      <c r="I1452" s="71" t="s">
        <v>339</v>
      </c>
      <c r="J1452" s="71">
        <v>4.9999999999999796</v>
      </c>
      <c r="K1452" s="71" t="s">
        <v>293</v>
      </c>
      <c r="L1452" s="71">
        <f t="shared" si="198"/>
        <v>9</v>
      </c>
      <c r="M1452" s="71" t="str">
        <f>IFERROR(INDEX(KALENDER!$D$3:$D$132,MATCH(H1452,KALENDER!$A$3:$A$132,0)),"Di luar periode")</f>
        <v>Hari Kerja</v>
      </c>
      <c r="N1452" s="71">
        <f t="shared" si="199"/>
        <v>0</v>
      </c>
      <c r="O1452" s="71">
        <f t="shared" si="200"/>
        <v>2</v>
      </c>
      <c r="P1452" s="71">
        <f t="shared" si="201"/>
        <v>0</v>
      </c>
      <c r="Q1452" s="71">
        <f t="shared" si="202"/>
        <v>0</v>
      </c>
      <c r="R1452" s="71">
        <f t="shared" si="203"/>
        <v>0</v>
      </c>
      <c r="S1452" s="71">
        <f t="shared" si="204"/>
        <v>0</v>
      </c>
      <c r="T1452" s="71">
        <f t="shared" si="205"/>
        <v>0</v>
      </c>
      <c r="U1452" s="71">
        <f>IF(AND(N1452=1,V1452=1),IF(COUNTIFS(AKTIVITAS!$B$2:$B$3052,B1452,AKTIVITAS!$E$2:$E$3052,H1452)&gt;0,1,0),0)</f>
        <v>0</v>
      </c>
      <c r="V1452" s="71">
        <f>IFERROR(IF(AND(H1452&gt;=INDEX(PEMAGANG!$J$3:$J$36,MATCH(B1452,PEMAGANG!$C$3:$C$36,0)),H1452&lt;=INDEX(PEMAGANG!$K$3:$K$36,MATCH(B1452,PEMAGANG!$C$3:$C$36,0))),1,0),0)</f>
        <v>1</v>
      </c>
      <c r="W1452" s="71">
        <f t="shared" si="206"/>
        <v>0</v>
      </c>
    </row>
    <row r="1453" spans="1:23" x14ac:dyDescent="0.2">
      <c r="A1453" s="71" t="s">
        <v>218</v>
      </c>
      <c r="B1453" s="71" t="s">
        <v>219</v>
      </c>
      <c r="C1453" s="71" t="s">
        <v>221</v>
      </c>
      <c r="D1453" s="71" t="s">
        <v>220</v>
      </c>
      <c r="E1453" s="71" t="s">
        <v>345</v>
      </c>
      <c r="F1453" s="71" t="s">
        <v>300</v>
      </c>
      <c r="G1453" s="88">
        <v>46279.650972222204</v>
      </c>
      <c r="H1453" s="89">
        <v>46279</v>
      </c>
      <c r="I1453" s="71" t="s">
        <v>561</v>
      </c>
      <c r="J1453" s="71">
        <v>0</v>
      </c>
      <c r="K1453" s="71" t="s">
        <v>302</v>
      </c>
      <c r="L1453" s="71">
        <f t="shared" si="198"/>
        <v>9</v>
      </c>
      <c r="M1453" s="71" t="str">
        <f>IFERROR(INDEX(KALENDER!$D$3:$D$132,MATCH(H1453,KALENDER!$A$3:$A$132,0)),"Di luar periode")</f>
        <v>Hari Kerja</v>
      </c>
      <c r="N1453" s="71">
        <f t="shared" si="199"/>
        <v>0</v>
      </c>
      <c r="O1453" s="71">
        <f t="shared" si="200"/>
        <v>2</v>
      </c>
      <c r="P1453" s="71">
        <f t="shared" si="201"/>
        <v>0</v>
      </c>
      <c r="Q1453" s="71">
        <f t="shared" si="202"/>
        <v>0</v>
      </c>
      <c r="R1453" s="71">
        <f t="shared" si="203"/>
        <v>0</v>
      </c>
      <c r="S1453" s="71">
        <f t="shared" si="204"/>
        <v>0</v>
      </c>
      <c r="T1453" s="71">
        <f t="shared" si="205"/>
        <v>0</v>
      </c>
      <c r="U1453" s="71">
        <f>IF(AND(N1453=1,V1453=1),IF(COUNTIFS(AKTIVITAS!$B$2:$B$3052,B1453,AKTIVITAS!$E$2:$E$3052,H1453)&gt;0,1,0),0)</f>
        <v>0</v>
      </c>
      <c r="V1453" s="71">
        <f>IFERROR(IF(AND(H1453&gt;=INDEX(PEMAGANG!$J$3:$J$36,MATCH(B1453,PEMAGANG!$C$3:$C$36,0)),H1453&lt;=INDEX(PEMAGANG!$K$3:$K$36,MATCH(B1453,PEMAGANG!$C$3:$C$36,0))),1,0),0)</f>
        <v>1</v>
      </c>
      <c r="W1453" s="71">
        <f t="shared" si="206"/>
        <v>0</v>
      </c>
    </row>
    <row r="1454" spans="1:23" x14ac:dyDescent="0.2">
      <c r="A1454" s="71" t="s">
        <v>218</v>
      </c>
      <c r="B1454" s="71" t="s">
        <v>219</v>
      </c>
      <c r="C1454" s="71" t="s">
        <v>221</v>
      </c>
      <c r="D1454" s="71" t="s">
        <v>220</v>
      </c>
      <c r="E1454" s="71" t="s">
        <v>345</v>
      </c>
      <c r="F1454" s="71" t="s">
        <v>300</v>
      </c>
      <c r="G1454" s="88">
        <v>46279.650972222204</v>
      </c>
      <c r="H1454" s="89">
        <v>46279</v>
      </c>
      <c r="I1454" s="71" t="s">
        <v>561</v>
      </c>
      <c r="J1454" s="71">
        <v>0</v>
      </c>
      <c r="K1454" s="71" t="s">
        <v>302</v>
      </c>
      <c r="L1454" s="71">
        <f t="shared" si="198"/>
        <v>9</v>
      </c>
      <c r="M1454" s="71" t="str">
        <f>IFERROR(INDEX(KALENDER!$D$3:$D$132,MATCH(H1454,KALENDER!$A$3:$A$132,0)),"Di luar periode")</f>
        <v>Hari Kerja</v>
      </c>
      <c r="N1454" s="71">
        <f t="shared" si="199"/>
        <v>0</v>
      </c>
      <c r="O1454" s="71">
        <f t="shared" si="200"/>
        <v>2</v>
      </c>
      <c r="P1454" s="71">
        <f t="shared" si="201"/>
        <v>0</v>
      </c>
      <c r="Q1454" s="71">
        <f t="shared" si="202"/>
        <v>0</v>
      </c>
      <c r="R1454" s="71">
        <f t="shared" si="203"/>
        <v>0</v>
      </c>
      <c r="S1454" s="71">
        <f t="shared" si="204"/>
        <v>0</v>
      </c>
      <c r="T1454" s="71">
        <f t="shared" si="205"/>
        <v>0</v>
      </c>
      <c r="U1454" s="71">
        <f>IF(AND(N1454=1,V1454=1),IF(COUNTIFS(AKTIVITAS!$B$2:$B$3052,B1454,AKTIVITAS!$E$2:$E$3052,H1454)&gt;0,1,0),0)</f>
        <v>0</v>
      </c>
      <c r="V1454" s="71">
        <f>IFERROR(IF(AND(H1454&gt;=INDEX(PEMAGANG!$J$3:$J$36,MATCH(B1454,PEMAGANG!$C$3:$C$36,0)),H1454&lt;=INDEX(PEMAGANG!$K$3:$K$36,MATCH(B1454,PEMAGANG!$C$3:$C$36,0))),1,0),0)</f>
        <v>1</v>
      </c>
      <c r="W1454" s="71">
        <f t="shared" si="206"/>
        <v>0</v>
      </c>
    </row>
    <row r="1455" spans="1:23" x14ac:dyDescent="0.2">
      <c r="A1455" s="71" t="s">
        <v>218</v>
      </c>
      <c r="B1455" s="71" t="s">
        <v>219</v>
      </c>
      <c r="C1455" s="71" t="s">
        <v>221</v>
      </c>
      <c r="D1455" s="71" t="s">
        <v>220</v>
      </c>
      <c r="E1455" s="71" t="s">
        <v>345</v>
      </c>
      <c r="F1455" s="71" t="s">
        <v>298</v>
      </c>
      <c r="G1455" s="88">
        <v>46280.320185185199</v>
      </c>
      <c r="H1455" s="89">
        <v>46280</v>
      </c>
      <c r="I1455" s="71" t="s">
        <v>367</v>
      </c>
      <c r="J1455" s="71">
        <v>11</v>
      </c>
      <c r="K1455" s="71" t="s">
        <v>293</v>
      </c>
      <c r="L1455" s="71">
        <f t="shared" si="198"/>
        <v>9</v>
      </c>
      <c r="M1455" s="71" t="str">
        <f>IFERROR(INDEX(KALENDER!$D$3:$D$132,MATCH(H1455,KALENDER!$A$3:$A$132,0)),"Di luar periode")</f>
        <v>Hari Kerja</v>
      </c>
      <c r="N1455" s="71">
        <f t="shared" si="199"/>
        <v>1</v>
      </c>
      <c r="O1455" s="71">
        <f t="shared" si="200"/>
        <v>1</v>
      </c>
      <c r="P1455" s="71">
        <f t="shared" si="201"/>
        <v>1</v>
      </c>
      <c r="Q1455" s="71">
        <f t="shared" si="202"/>
        <v>0</v>
      </c>
      <c r="R1455" s="71">
        <f t="shared" si="203"/>
        <v>1</v>
      </c>
      <c r="S1455" s="71">
        <f t="shared" si="204"/>
        <v>11</v>
      </c>
      <c r="T1455" s="71">
        <f t="shared" si="205"/>
        <v>0</v>
      </c>
      <c r="U1455" s="71">
        <f>IF(AND(N1455=1,V1455=1),IF(COUNTIFS(AKTIVITAS!$B$2:$B$3052,B1455,AKTIVITAS!$E$2:$E$3052,H1455)&gt;0,1,0),0)</f>
        <v>1</v>
      </c>
      <c r="V1455" s="71">
        <f>IFERROR(IF(AND(H1455&gt;=INDEX(PEMAGANG!$J$3:$J$36,MATCH(B1455,PEMAGANG!$C$3:$C$36,0)),H1455&lt;=INDEX(PEMAGANG!$K$3:$K$36,MATCH(B1455,PEMAGANG!$C$3:$C$36,0))),1,0),0)</f>
        <v>1</v>
      </c>
      <c r="W1455" s="71">
        <f t="shared" si="206"/>
        <v>1</v>
      </c>
    </row>
    <row r="1456" spans="1:23" x14ac:dyDescent="0.2">
      <c r="A1456" s="71" t="s">
        <v>218</v>
      </c>
      <c r="B1456" s="71" t="s">
        <v>219</v>
      </c>
      <c r="C1456" s="71" t="s">
        <v>221</v>
      </c>
      <c r="D1456" s="71" t="s">
        <v>220</v>
      </c>
      <c r="E1456" s="71" t="s">
        <v>345</v>
      </c>
      <c r="F1456" s="71" t="s">
        <v>298</v>
      </c>
      <c r="G1456" s="88">
        <v>46280.320185185199</v>
      </c>
      <c r="H1456" s="89">
        <v>46280</v>
      </c>
      <c r="I1456" s="71" t="s">
        <v>367</v>
      </c>
      <c r="J1456" s="71">
        <v>11</v>
      </c>
      <c r="K1456" s="71" t="s">
        <v>293</v>
      </c>
      <c r="L1456" s="71">
        <f t="shared" si="198"/>
        <v>9</v>
      </c>
      <c r="M1456" s="71" t="str">
        <f>IFERROR(INDEX(KALENDER!$D$3:$D$132,MATCH(H1456,KALENDER!$A$3:$A$132,0)),"Di luar periode")</f>
        <v>Hari Kerja</v>
      </c>
      <c r="N1456" s="71">
        <f t="shared" si="199"/>
        <v>0</v>
      </c>
      <c r="O1456" s="71">
        <f t="shared" si="200"/>
        <v>2</v>
      </c>
      <c r="P1456" s="71">
        <f t="shared" si="201"/>
        <v>0</v>
      </c>
      <c r="Q1456" s="71">
        <f t="shared" si="202"/>
        <v>0</v>
      </c>
      <c r="R1456" s="71">
        <f t="shared" si="203"/>
        <v>0</v>
      </c>
      <c r="S1456" s="71">
        <f t="shared" si="204"/>
        <v>0</v>
      </c>
      <c r="T1456" s="71">
        <f t="shared" si="205"/>
        <v>0</v>
      </c>
      <c r="U1456" s="71">
        <f>IF(AND(N1456=1,V1456=1),IF(COUNTIFS(AKTIVITAS!$B$2:$B$3052,B1456,AKTIVITAS!$E$2:$E$3052,H1456)&gt;0,1,0),0)</f>
        <v>0</v>
      </c>
      <c r="V1456" s="71">
        <f>IFERROR(IF(AND(H1456&gt;=INDEX(PEMAGANG!$J$3:$J$36,MATCH(B1456,PEMAGANG!$C$3:$C$36,0)),H1456&lt;=INDEX(PEMAGANG!$K$3:$K$36,MATCH(B1456,PEMAGANG!$C$3:$C$36,0))),1,0),0)</f>
        <v>1</v>
      </c>
      <c r="W1456" s="71">
        <f t="shared" si="206"/>
        <v>0</v>
      </c>
    </row>
    <row r="1457" spans="1:23" x14ac:dyDescent="0.2">
      <c r="A1457" s="71" t="s">
        <v>218</v>
      </c>
      <c r="B1457" s="71" t="s">
        <v>219</v>
      </c>
      <c r="C1457" s="71" t="s">
        <v>221</v>
      </c>
      <c r="D1457" s="71" t="s">
        <v>220</v>
      </c>
      <c r="E1457" s="71" t="s">
        <v>345</v>
      </c>
      <c r="F1457" s="71" t="s">
        <v>300</v>
      </c>
      <c r="G1457" s="88">
        <v>46280.649687500001</v>
      </c>
      <c r="H1457" s="89">
        <v>46280</v>
      </c>
      <c r="I1457" s="71" t="s">
        <v>520</v>
      </c>
      <c r="J1457" s="71">
        <v>0</v>
      </c>
      <c r="K1457" s="71" t="s">
        <v>302</v>
      </c>
      <c r="L1457" s="71">
        <f t="shared" si="198"/>
        <v>9</v>
      </c>
      <c r="M1457" s="71" t="str">
        <f>IFERROR(INDEX(KALENDER!$D$3:$D$132,MATCH(H1457,KALENDER!$A$3:$A$132,0)),"Di luar periode")</f>
        <v>Hari Kerja</v>
      </c>
      <c r="N1457" s="71">
        <f t="shared" si="199"/>
        <v>0</v>
      </c>
      <c r="O1457" s="71">
        <f t="shared" si="200"/>
        <v>2</v>
      </c>
      <c r="P1457" s="71">
        <f t="shared" si="201"/>
        <v>0</v>
      </c>
      <c r="Q1457" s="71">
        <f t="shared" si="202"/>
        <v>0</v>
      </c>
      <c r="R1457" s="71">
        <f t="shared" si="203"/>
        <v>0</v>
      </c>
      <c r="S1457" s="71">
        <f t="shared" si="204"/>
        <v>0</v>
      </c>
      <c r="T1457" s="71">
        <f t="shared" si="205"/>
        <v>0</v>
      </c>
      <c r="U1457" s="71">
        <f>IF(AND(N1457=1,V1457=1),IF(COUNTIFS(AKTIVITAS!$B$2:$B$3052,B1457,AKTIVITAS!$E$2:$E$3052,H1457)&gt;0,1,0),0)</f>
        <v>0</v>
      </c>
      <c r="V1457" s="71">
        <f>IFERROR(IF(AND(H1457&gt;=INDEX(PEMAGANG!$J$3:$J$36,MATCH(B1457,PEMAGANG!$C$3:$C$36,0)),H1457&lt;=INDEX(PEMAGANG!$K$3:$K$36,MATCH(B1457,PEMAGANG!$C$3:$C$36,0))),1,0),0)</f>
        <v>1</v>
      </c>
      <c r="W1457" s="71">
        <f t="shared" si="206"/>
        <v>0</v>
      </c>
    </row>
    <row r="1458" spans="1:23" x14ac:dyDescent="0.2">
      <c r="A1458" s="71" t="s">
        <v>218</v>
      </c>
      <c r="B1458" s="71" t="s">
        <v>219</v>
      </c>
      <c r="C1458" s="71" t="s">
        <v>221</v>
      </c>
      <c r="D1458" s="71" t="s">
        <v>220</v>
      </c>
      <c r="E1458" s="71" t="s">
        <v>345</v>
      </c>
      <c r="F1458" s="71" t="s">
        <v>300</v>
      </c>
      <c r="G1458" s="88">
        <v>46280.649687500001</v>
      </c>
      <c r="H1458" s="89">
        <v>46280</v>
      </c>
      <c r="I1458" s="71" t="s">
        <v>520</v>
      </c>
      <c r="J1458" s="71">
        <v>0</v>
      </c>
      <c r="K1458" s="71" t="s">
        <v>302</v>
      </c>
      <c r="L1458" s="71">
        <f t="shared" si="198"/>
        <v>9</v>
      </c>
      <c r="M1458" s="71" t="str">
        <f>IFERROR(INDEX(KALENDER!$D$3:$D$132,MATCH(H1458,KALENDER!$A$3:$A$132,0)),"Di luar periode")</f>
        <v>Hari Kerja</v>
      </c>
      <c r="N1458" s="71">
        <f t="shared" si="199"/>
        <v>0</v>
      </c>
      <c r="O1458" s="71">
        <f t="shared" si="200"/>
        <v>2</v>
      </c>
      <c r="P1458" s="71">
        <f t="shared" si="201"/>
        <v>0</v>
      </c>
      <c r="Q1458" s="71">
        <f t="shared" si="202"/>
        <v>0</v>
      </c>
      <c r="R1458" s="71">
        <f t="shared" si="203"/>
        <v>0</v>
      </c>
      <c r="S1458" s="71">
        <f t="shared" si="204"/>
        <v>0</v>
      </c>
      <c r="T1458" s="71">
        <f t="shared" si="205"/>
        <v>0</v>
      </c>
      <c r="U1458" s="71">
        <f>IF(AND(N1458=1,V1458=1),IF(COUNTIFS(AKTIVITAS!$B$2:$B$3052,B1458,AKTIVITAS!$E$2:$E$3052,H1458)&gt;0,1,0),0)</f>
        <v>0</v>
      </c>
      <c r="V1458" s="71">
        <f>IFERROR(IF(AND(H1458&gt;=INDEX(PEMAGANG!$J$3:$J$36,MATCH(B1458,PEMAGANG!$C$3:$C$36,0)),H1458&lt;=INDEX(PEMAGANG!$K$3:$K$36,MATCH(B1458,PEMAGANG!$C$3:$C$36,0))),1,0),0)</f>
        <v>1</v>
      </c>
      <c r="W1458" s="71">
        <f t="shared" si="206"/>
        <v>0</v>
      </c>
    </row>
    <row r="1459" spans="1:23" x14ac:dyDescent="0.2">
      <c r="A1459" s="71" t="s">
        <v>218</v>
      </c>
      <c r="B1459" s="71" t="s">
        <v>219</v>
      </c>
      <c r="C1459" s="71" t="s">
        <v>221</v>
      </c>
      <c r="D1459" s="71" t="s">
        <v>220</v>
      </c>
      <c r="E1459" s="71" t="s">
        <v>345</v>
      </c>
      <c r="F1459" s="71" t="s">
        <v>298</v>
      </c>
      <c r="G1459" s="88">
        <v>46281.319756944496</v>
      </c>
      <c r="H1459" s="89">
        <v>46281</v>
      </c>
      <c r="I1459" s="71" t="s">
        <v>381</v>
      </c>
      <c r="J1459" s="71">
        <v>10</v>
      </c>
      <c r="K1459" s="71" t="s">
        <v>293</v>
      </c>
      <c r="L1459" s="71">
        <f t="shared" si="198"/>
        <v>9</v>
      </c>
      <c r="M1459" s="71" t="str">
        <f>IFERROR(INDEX(KALENDER!$D$3:$D$132,MATCH(H1459,KALENDER!$A$3:$A$132,0)),"Di luar periode")</f>
        <v>Hari Kerja</v>
      </c>
      <c r="N1459" s="71">
        <f t="shared" si="199"/>
        <v>1</v>
      </c>
      <c r="O1459" s="71">
        <f t="shared" si="200"/>
        <v>1</v>
      </c>
      <c r="P1459" s="71">
        <f t="shared" si="201"/>
        <v>1</v>
      </c>
      <c r="Q1459" s="71">
        <f t="shared" si="202"/>
        <v>0</v>
      </c>
      <c r="R1459" s="71">
        <f t="shared" si="203"/>
        <v>1</v>
      </c>
      <c r="S1459" s="71">
        <f t="shared" si="204"/>
        <v>10</v>
      </c>
      <c r="T1459" s="71">
        <f t="shared" si="205"/>
        <v>0</v>
      </c>
      <c r="U1459" s="71">
        <f>IF(AND(N1459=1,V1459=1),IF(COUNTIFS(AKTIVITAS!$B$2:$B$3052,B1459,AKTIVITAS!$E$2:$E$3052,H1459)&gt;0,1,0),0)</f>
        <v>1</v>
      </c>
      <c r="V1459" s="71">
        <f>IFERROR(IF(AND(H1459&gt;=INDEX(PEMAGANG!$J$3:$J$36,MATCH(B1459,PEMAGANG!$C$3:$C$36,0)),H1459&lt;=INDEX(PEMAGANG!$K$3:$K$36,MATCH(B1459,PEMAGANG!$C$3:$C$36,0))),1,0),0)</f>
        <v>1</v>
      </c>
      <c r="W1459" s="71">
        <f t="shared" si="206"/>
        <v>1</v>
      </c>
    </row>
    <row r="1460" spans="1:23" x14ac:dyDescent="0.2">
      <c r="A1460" s="71" t="s">
        <v>218</v>
      </c>
      <c r="B1460" s="71" t="s">
        <v>219</v>
      </c>
      <c r="C1460" s="71" t="s">
        <v>221</v>
      </c>
      <c r="D1460" s="71" t="s">
        <v>220</v>
      </c>
      <c r="E1460" s="71" t="s">
        <v>345</v>
      </c>
      <c r="F1460" s="71" t="s">
        <v>298</v>
      </c>
      <c r="G1460" s="88">
        <v>46281.319756944496</v>
      </c>
      <c r="H1460" s="89">
        <v>46281</v>
      </c>
      <c r="I1460" s="71" t="s">
        <v>381</v>
      </c>
      <c r="J1460" s="71">
        <v>10</v>
      </c>
      <c r="K1460" s="71" t="s">
        <v>293</v>
      </c>
      <c r="L1460" s="71">
        <f t="shared" si="198"/>
        <v>9</v>
      </c>
      <c r="M1460" s="71" t="str">
        <f>IFERROR(INDEX(KALENDER!$D$3:$D$132,MATCH(H1460,KALENDER!$A$3:$A$132,0)),"Di luar periode")</f>
        <v>Hari Kerja</v>
      </c>
      <c r="N1460" s="71">
        <f t="shared" si="199"/>
        <v>0</v>
      </c>
      <c r="O1460" s="71">
        <f t="shared" si="200"/>
        <v>2</v>
      </c>
      <c r="P1460" s="71">
        <f t="shared" si="201"/>
        <v>0</v>
      </c>
      <c r="Q1460" s="71">
        <f t="shared" si="202"/>
        <v>0</v>
      </c>
      <c r="R1460" s="71">
        <f t="shared" si="203"/>
        <v>0</v>
      </c>
      <c r="S1460" s="71">
        <f t="shared" si="204"/>
        <v>0</v>
      </c>
      <c r="T1460" s="71">
        <f t="shared" si="205"/>
        <v>0</v>
      </c>
      <c r="U1460" s="71">
        <f>IF(AND(N1460=1,V1460=1),IF(COUNTIFS(AKTIVITAS!$B$2:$B$3052,B1460,AKTIVITAS!$E$2:$E$3052,H1460)&gt;0,1,0),0)</f>
        <v>0</v>
      </c>
      <c r="V1460" s="71">
        <f>IFERROR(IF(AND(H1460&gt;=INDEX(PEMAGANG!$J$3:$J$36,MATCH(B1460,PEMAGANG!$C$3:$C$36,0)),H1460&lt;=INDEX(PEMAGANG!$K$3:$K$36,MATCH(B1460,PEMAGANG!$C$3:$C$36,0))),1,0),0)</f>
        <v>1</v>
      </c>
      <c r="W1460" s="71">
        <f t="shared" si="206"/>
        <v>0</v>
      </c>
    </row>
    <row r="1461" spans="1:23" x14ac:dyDescent="0.2">
      <c r="A1461" s="71" t="s">
        <v>218</v>
      </c>
      <c r="B1461" s="71" t="s">
        <v>219</v>
      </c>
      <c r="C1461" s="71" t="s">
        <v>221</v>
      </c>
      <c r="D1461" s="71" t="s">
        <v>220</v>
      </c>
      <c r="E1461" s="71" t="s">
        <v>345</v>
      </c>
      <c r="F1461" s="71" t="s">
        <v>300</v>
      </c>
      <c r="G1461" s="88">
        <v>46281.651655092603</v>
      </c>
      <c r="H1461" s="89">
        <v>46281</v>
      </c>
      <c r="I1461" s="71" t="s">
        <v>527</v>
      </c>
      <c r="J1461" s="71">
        <v>0</v>
      </c>
      <c r="K1461" s="71" t="s">
        <v>302</v>
      </c>
      <c r="L1461" s="71">
        <f t="shared" si="198"/>
        <v>9</v>
      </c>
      <c r="M1461" s="71" t="str">
        <f>IFERROR(INDEX(KALENDER!$D$3:$D$132,MATCH(H1461,KALENDER!$A$3:$A$132,0)),"Di luar periode")</f>
        <v>Hari Kerja</v>
      </c>
      <c r="N1461" s="71">
        <f t="shared" si="199"/>
        <v>0</v>
      </c>
      <c r="O1461" s="71">
        <f t="shared" si="200"/>
        <v>2</v>
      </c>
      <c r="P1461" s="71">
        <f t="shared" si="201"/>
        <v>0</v>
      </c>
      <c r="Q1461" s="71">
        <f t="shared" si="202"/>
        <v>0</v>
      </c>
      <c r="R1461" s="71">
        <f t="shared" si="203"/>
        <v>0</v>
      </c>
      <c r="S1461" s="71">
        <f t="shared" si="204"/>
        <v>0</v>
      </c>
      <c r="T1461" s="71">
        <f t="shared" si="205"/>
        <v>0</v>
      </c>
      <c r="U1461" s="71">
        <f>IF(AND(N1461=1,V1461=1),IF(COUNTIFS(AKTIVITAS!$B$2:$B$3052,B1461,AKTIVITAS!$E$2:$E$3052,H1461)&gt;0,1,0),0)</f>
        <v>0</v>
      </c>
      <c r="V1461" s="71">
        <f>IFERROR(IF(AND(H1461&gt;=INDEX(PEMAGANG!$J$3:$J$36,MATCH(B1461,PEMAGANG!$C$3:$C$36,0)),H1461&lt;=INDEX(PEMAGANG!$K$3:$K$36,MATCH(B1461,PEMAGANG!$C$3:$C$36,0))),1,0),0)</f>
        <v>1</v>
      </c>
      <c r="W1461" s="71">
        <f t="shared" si="206"/>
        <v>0</v>
      </c>
    </row>
    <row r="1462" spans="1:23" x14ac:dyDescent="0.2">
      <c r="A1462" s="71" t="s">
        <v>218</v>
      </c>
      <c r="B1462" s="71" t="s">
        <v>219</v>
      </c>
      <c r="C1462" s="71" t="s">
        <v>221</v>
      </c>
      <c r="D1462" s="71" t="s">
        <v>220</v>
      </c>
      <c r="E1462" s="71" t="s">
        <v>345</v>
      </c>
      <c r="F1462" s="71" t="s">
        <v>300</v>
      </c>
      <c r="G1462" s="88">
        <v>46281.651655092603</v>
      </c>
      <c r="H1462" s="89">
        <v>46281</v>
      </c>
      <c r="I1462" s="71" t="s">
        <v>527</v>
      </c>
      <c r="J1462" s="71">
        <v>0</v>
      </c>
      <c r="K1462" s="71" t="s">
        <v>302</v>
      </c>
      <c r="L1462" s="71">
        <f t="shared" si="198"/>
        <v>9</v>
      </c>
      <c r="M1462" s="71" t="str">
        <f>IFERROR(INDEX(KALENDER!$D$3:$D$132,MATCH(H1462,KALENDER!$A$3:$A$132,0)),"Di luar periode")</f>
        <v>Hari Kerja</v>
      </c>
      <c r="N1462" s="71">
        <f t="shared" si="199"/>
        <v>0</v>
      </c>
      <c r="O1462" s="71">
        <f t="shared" si="200"/>
        <v>2</v>
      </c>
      <c r="P1462" s="71">
        <f t="shared" si="201"/>
        <v>0</v>
      </c>
      <c r="Q1462" s="71">
        <f t="shared" si="202"/>
        <v>0</v>
      </c>
      <c r="R1462" s="71">
        <f t="shared" si="203"/>
        <v>0</v>
      </c>
      <c r="S1462" s="71">
        <f t="shared" si="204"/>
        <v>0</v>
      </c>
      <c r="T1462" s="71">
        <f t="shared" si="205"/>
        <v>0</v>
      </c>
      <c r="U1462" s="71">
        <f>IF(AND(N1462=1,V1462=1),IF(COUNTIFS(AKTIVITAS!$B$2:$B$3052,B1462,AKTIVITAS!$E$2:$E$3052,H1462)&gt;0,1,0),0)</f>
        <v>0</v>
      </c>
      <c r="V1462" s="71">
        <f>IFERROR(IF(AND(H1462&gt;=INDEX(PEMAGANG!$J$3:$J$36,MATCH(B1462,PEMAGANG!$C$3:$C$36,0)),H1462&lt;=INDEX(PEMAGANG!$K$3:$K$36,MATCH(B1462,PEMAGANG!$C$3:$C$36,0))),1,0),0)</f>
        <v>1</v>
      </c>
      <c r="W1462" s="71">
        <f t="shared" si="206"/>
        <v>0</v>
      </c>
    </row>
    <row r="1463" spans="1:23" x14ac:dyDescent="0.2">
      <c r="A1463" s="71" t="s">
        <v>218</v>
      </c>
      <c r="B1463" s="71" t="s">
        <v>219</v>
      </c>
      <c r="C1463" s="71" t="s">
        <v>221</v>
      </c>
      <c r="D1463" s="71" t="s">
        <v>220</v>
      </c>
      <c r="E1463" s="71" t="s">
        <v>345</v>
      </c>
      <c r="F1463" s="71" t="s">
        <v>298</v>
      </c>
      <c r="G1463" s="88">
        <v>46283.322511574101</v>
      </c>
      <c r="H1463" s="89">
        <v>46283</v>
      </c>
      <c r="I1463" s="71" t="s">
        <v>571</v>
      </c>
      <c r="J1463" s="71">
        <v>14</v>
      </c>
      <c r="K1463" s="71" t="s">
        <v>293</v>
      </c>
      <c r="L1463" s="71">
        <f t="shared" si="198"/>
        <v>9</v>
      </c>
      <c r="M1463" s="71" t="str">
        <f>IFERROR(INDEX(KALENDER!$D$3:$D$132,MATCH(H1463,KALENDER!$A$3:$A$132,0)),"Di luar periode")</f>
        <v>Hari Kerja</v>
      </c>
      <c r="N1463" s="71">
        <f t="shared" si="199"/>
        <v>1</v>
      </c>
      <c r="O1463" s="71">
        <f t="shared" si="200"/>
        <v>1</v>
      </c>
      <c r="P1463" s="71">
        <f t="shared" si="201"/>
        <v>1</v>
      </c>
      <c r="Q1463" s="71">
        <f t="shared" si="202"/>
        <v>0</v>
      </c>
      <c r="R1463" s="71">
        <f t="shared" si="203"/>
        <v>1</v>
      </c>
      <c r="S1463" s="71">
        <f t="shared" si="204"/>
        <v>14</v>
      </c>
      <c r="T1463" s="71">
        <f t="shared" si="205"/>
        <v>0</v>
      </c>
      <c r="U1463" s="71">
        <f>IF(AND(N1463=1,V1463=1),IF(COUNTIFS(AKTIVITAS!$B$2:$B$3052,B1463,AKTIVITAS!$E$2:$E$3052,H1463)&gt;0,1,0),0)</f>
        <v>1</v>
      </c>
      <c r="V1463" s="71">
        <f>IFERROR(IF(AND(H1463&gt;=INDEX(PEMAGANG!$J$3:$J$36,MATCH(B1463,PEMAGANG!$C$3:$C$36,0)),H1463&lt;=INDEX(PEMAGANG!$K$3:$K$36,MATCH(B1463,PEMAGANG!$C$3:$C$36,0))),1,0),0)</f>
        <v>1</v>
      </c>
      <c r="W1463" s="71">
        <f t="shared" si="206"/>
        <v>1</v>
      </c>
    </row>
    <row r="1464" spans="1:23" x14ac:dyDescent="0.2">
      <c r="A1464" s="71" t="s">
        <v>218</v>
      </c>
      <c r="B1464" s="71" t="s">
        <v>219</v>
      </c>
      <c r="C1464" s="71" t="s">
        <v>221</v>
      </c>
      <c r="D1464" s="71" t="s">
        <v>220</v>
      </c>
      <c r="E1464" s="71" t="s">
        <v>345</v>
      </c>
      <c r="F1464" s="71" t="s">
        <v>298</v>
      </c>
      <c r="G1464" s="88">
        <v>46283.322511574101</v>
      </c>
      <c r="H1464" s="89">
        <v>46283</v>
      </c>
      <c r="I1464" s="71" t="s">
        <v>571</v>
      </c>
      <c r="J1464" s="71">
        <v>14</v>
      </c>
      <c r="K1464" s="71" t="s">
        <v>293</v>
      </c>
      <c r="L1464" s="71">
        <f t="shared" si="198"/>
        <v>9</v>
      </c>
      <c r="M1464" s="71" t="str">
        <f>IFERROR(INDEX(KALENDER!$D$3:$D$132,MATCH(H1464,KALENDER!$A$3:$A$132,0)),"Di luar periode")</f>
        <v>Hari Kerja</v>
      </c>
      <c r="N1464" s="71">
        <f t="shared" si="199"/>
        <v>0</v>
      </c>
      <c r="O1464" s="71">
        <f t="shared" si="200"/>
        <v>2</v>
      </c>
      <c r="P1464" s="71">
        <f t="shared" si="201"/>
        <v>0</v>
      </c>
      <c r="Q1464" s="71">
        <f t="shared" si="202"/>
        <v>0</v>
      </c>
      <c r="R1464" s="71">
        <f t="shared" si="203"/>
        <v>0</v>
      </c>
      <c r="S1464" s="71">
        <f t="shared" si="204"/>
        <v>0</v>
      </c>
      <c r="T1464" s="71">
        <f t="shared" si="205"/>
        <v>0</v>
      </c>
      <c r="U1464" s="71">
        <f>IF(AND(N1464=1,V1464=1),IF(COUNTIFS(AKTIVITAS!$B$2:$B$3052,B1464,AKTIVITAS!$E$2:$E$3052,H1464)&gt;0,1,0),0)</f>
        <v>0</v>
      </c>
      <c r="V1464" s="71">
        <f>IFERROR(IF(AND(H1464&gt;=INDEX(PEMAGANG!$J$3:$J$36,MATCH(B1464,PEMAGANG!$C$3:$C$36,0)),H1464&lt;=INDEX(PEMAGANG!$K$3:$K$36,MATCH(B1464,PEMAGANG!$C$3:$C$36,0))),1,0),0)</f>
        <v>1</v>
      </c>
      <c r="W1464" s="71">
        <f t="shared" si="206"/>
        <v>0</v>
      </c>
    </row>
    <row r="1465" spans="1:23" x14ac:dyDescent="0.2">
      <c r="A1465" s="71" t="s">
        <v>218</v>
      </c>
      <c r="B1465" s="71" t="s">
        <v>219</v>
      </c>
      <c r="C1465" s="71" t="s">
        <v>221</v>
      </c>
      <c r="D1465" s="71" t="s">
        <v>220</v>
      </c>
      <c r="E1465" s="71" t="s">
        <v>345</v>
      </c>
      <c r="F1465" s="71" t="s">
        <v>300</v>
      </c>
      <c r="G1465" s="88">
        <v>46283.660914351902</v>
      </c>
      <c r="H1465" s="89">
        <v>46283</v>
      </c>
      <c r="I1465" s="71" t="s">
        <v>524</v>
      </c>
      <c r="J1465" s="71">
        <v>0</v>
      </c>
      <c r="K1465" s="71" t="s">
        <v>302</v>
      </c>
      <c r="L1465" s="71">
        <f t="shared" si="198"/>
        <v>9</v>
      </c>
      <c r="M1465" s="71" t="str">
        <f>IFERROR(INDEX(KALENDER!$D$3:$D$132,MATCH(H1465,KALENDER!$A$3:$A$132,0)),"Di luar periode")</f>
        <v>Hari Kerja</v>
      </c>
      <c r="N1465" s="71">
        <f t="shared" si="199"/>
        <v>0</v>
      </c>
      <c r="O1465" s="71">
        <f t="shared" si="200"/>
        <v>2</v>
      </c>
      <c r="P1465" s="71">
        <f t="shared" si="201"/>
        <v>0</v>
      </c>
      <c r="Q1465" s="71">
        <f t="shared" si="202"/>
        <v>0</v>
      </c>
      <c r="R1465" s="71">
        <f t="shared" si="203"/>
        <v>0</v>
      </c>
      <c r="S1465" s="71">
        <f t="shared" si="204"/>
        <v>0</v>
      </c>
      <c r="T1465" s="71">
        <f t="shared" si="205"/>
        <v>0</v>
      </c>
      <c r="U1465" s="71">
        <f>IF(AND(N1465=1,V1465=1),IF(COUNTIFS(AKTIVITAS!$B$2:$B$3052,B1465,AKTIVITAS!$E$2:$E$3052,H1465)&gt;0,1,0),0)</f>
        <v>0</v>
      </c>
      <c r="V1465" s="71">
        <f>IFERROR(IF(AND(H1465&gt;=INDEX(PEMAGANG!$J$3:$J$36,MATCH(B1465,PEMAGANG!$C$3:$C$36,0)),H1465&lt;=INDEX(PEMAGANG!$K$3:$K$36,MATCH(B1465,PEMAGANG!$C$3:$C$36,0))),1,0),0)</f>
        <v>1</v>
      </c>
      <c r="W1465" s="71">
        <f t="shared" si="206"/>
        <v>0</v>
      </c>
    </row>
    <row r="1466" spans="1:23" x14ac:dyDescent="0.2">
      <c r="A1466" s="71" t="s">
        <v>218</v>
      </c>
      <c r="B1466" s="71" t="s">
        <v>219</v>
      </c>
      <c r="C1466" s="71" t="s">
        <v>221</v>
      </c>
      <c r="D1466" s="71" t="s">
        <v>220</v>
      </c>
      <c r="E1466" s="71" t="s">
        <v>345</v>
      </c>
      <c r="F1466" s="71" t="s">
        <v>300</v>
      </c>
      <c r="G1466" s="88">
        <v>46283.660914351902</v>
      </c>
      <c r="H1466" s="89">
        <v>46283</v>
      </c>
      <c r="I1466" s="71" t="s">
        <v>524</v>
      </c>
      <c r="J1466" s="71">
        <v>0</v>
      </c>
      <c r="K1466" s="71" t="s">
        <v>302</v>
      </c>
      <c r="L1466" s="71">
        <f t="shared" si="198"/>
        <v>9</v>
      </c>
      <c r="M1466" s="71" t="str">
        <f>IFERROR(INDEX(KALENDER!$D$3:$D$132,MATCH(H1466,KALENDER!$A$3:$A$132,0)),"Di luar periode")</f>
        <v>Hari Kerja</v>
      </c>
      <c r="N1466" s="71">
        <f t="shared" si="199"/>
        <v>0</v>
      </c>
      <c r="O1466" s="71">
        <f t="shared" si="200"/>
        <v>2</v>
      </c>
      <c r="P1466" s="71">
        <f t="shared" si="201"/>
        <v>0</v>
      </c>
      <c r="Q1466" s="71">
        <f t="shared" si="202"/>
        <v>0</v>
      </c>
      <c r="R1466" s="71">
        <f t="shared" si="203"/>
        <v>0</v>
      </c>
      <c r="S1466" s="71">
        <f t="shared" si="204"/>
        <v>0</v>
      </c>
      <c r="T1466" s="71">
        <f t="shared" si="205"/>
        <v>0</v>
      </c>
      <c r="U1466" s="71">
        <f>IF(AND(N1466=1,V1466=1),IF(COUNTIFS(AKTIVITAS!$B$2:$B$3052,B1466,AKTIVITAS!$E$2:$E$3052,H1466)&gt;0,1,0),0)</f>
        <v>0</v>
      </c>
      <c r="V1466" s="71">
        <f>IFERROR(IF(AND(H1466&gt;=INDEX(PEMAGANG!$J$3:$J$36,MATCH(B1466,PEMAGANG!$C$3:$C$36,0)),H1466&lt;=INDEX(PEMAGANG!$K$3:$K$36,MATCH(B1466,PEMAGANG!$C$3:$C$36,0))),1,0),0)</f>
        <v>1</v>
      </c>
      <c r="W1466" s="71">
        <f t="shared" si="206"/>
        <v>0</v>
      </c>
    </row>
    <row r="1467" spans="1:23" x14ac:dyDescent="0.2">
      <c r="A1467" s="71" t="s">
        <v>218</v>
      </c>
      <c r="B1467" s="71" t="s">
        <v>219</v>
      </c>
      <c r="C1467" s="71" t="s">
        <v>221</v>
      </c>
      <c r="D1467" s="71" t="s">
        <v>220</v>
      </c>
      <c r="E1467" s="71" t="s">
        <v>345</v>
      </c>
      <c r="F1467" s="71" t="s">
        <v>298</v>
      </c>
      <c r="G1467" s="88">
        <v>46284.318506944401</v>
      </c>
      <c r="H1467" s="89">
        <v>46284</v>
      </c>
      <c r="I1467" s="71" t="s">
        <v>410</v>
      </c>
      <c r="J1467" s="71">
        <v>7.9999999999999698</v>
      </c>
      <c r="K1467" s="71" t="s">
        <v>293</v>
      </c>
      <c r="L1467" s="71">
        <f t="shared" si="198"/>
        <v>9</v>
      </c>
      <c r="M1467" s="71" t="str">
        <f>IFERROR(INDEX(KALENDER!$D$3:$D$132,MATCH(H1467,KALENDER!$A$3:$A$132,0)),"Di luar periode")</f>
        <v>Libur (Sabtu/Minggu)</v>
      </c>
      <c r="N1467" s="71">
        <f t="shared" si="199"/>
        <v>1</v>
      </c>
      <c r="O1467" s="71">
        <f t="shared" si="200"/>
        <v>1</v>
      </c>
      <c r="P1467" s="71">
        <f t="shared" si="201"/>
        <v>0</v>
      </c>
      <c r="Q1467" s="71">
        <f t="shared" si="202"/>
        <v>1</v>
      </c>
      <c r="R1467" s="71">
        <f t="shared" si="203"/>
        <v>1</v>
      </c>
      <c r="S1467" s="71">
        <f t="shared" si="204"/>
        <v>7.9999999999999698</v>
      </c>
      <c r="T1467" s="71">
        <f t="shared" si="205"/>
        <v>0</v>
      </c>
      <c r="U1467" s="71">
        <f>IF(AND(N1467=1,V1467=1),IF(COUNTIFS(AKTIVITAS!$B$2:$B$3052,B1467,AKTIVITAS!$E$2:$E$3052,H1467)&gt;0,1,0),0)</f>
        <v>1</v>
      </c>
      <c r="V1467" s="71">
        <f>IFERROR(IF(AND(H1467&gt;=INDEX(PEMAGANG!$J$3:$J$36,MATCH(B1467,PEMAGANG!$C$3:$C$36,0)),H1467&lt;=INDEX(PEMAGANG!$K$3:$K$36,MATCH(B1467,PEMAGANG!$C$3:$C$36,0))),1,0),0)</f>
        <v>1</v>
      </c>
      <c r="W1467" s="71">
        <f t="shared" si="206"/>
        <v>1</v>
      </c>
    </row>
    <row r="1468" spans="1:23" x14ac:dyDescent="0.2">
      <c r="A1468" s="71" t="s">
        <v>218</v>
      </c>
      <c r="B1468" s="71" t="s">
        <v>219</v>
      </c>
      <c r="C1468" s="71" t="s">
        <v>221</v>
      </c>
      <c r="D1468" s="71" t="s">
        <v>220</v>
      </c>
      <c r="E1468" s="71" t="s">
        <v>345</v>
      </c>
      <c r="F1468" s="71" t="s">
        <v>298</v>
      </c>
      <c r="G1468" s="88">
        <v>46284.318506944401</v>
      </c>
      <c r="H1468" s="89">
        <v>46284</v>
      </c>
      <c r="I1468" s="71" t="s">
        <v>410</v>
      </c>
      <c r="J1468" s="71">
        <v>7.9999999999999698</v>
      </c>
      <c r="K1468" s="71" t="s">
        <v>293</v>
      </c>
      <c r="L1468" s="71">
        <f t="shared" si="198"/>
        <v>9</v>
      </c>
      <c r="M1468" s="71" t="str">
        <f>IFERROR(INDEX(KALENDER!$D$3:$D$132,MATCH(H1468,KALENDER!$A$3:$A$132,0)),"Di luar periode")</f>
        <v>Libur (Sabtu/Minggu)</v>
      </c>
      <c r="N1468" s="71">
        <f t="shared" si="199"/>
        <v>0</v>
      </c>
      <c r="O1468" s="71">
        <f t="shared" si="200"/>
        <v>2</v>
      </c>
      <c r="P1468" s="71">
        <f t="shared" si="201"/>
        <v>0</v>
      </c>
      <c r="Q1468" s="71">
        <f t="shared" si="202"/>
        <v>0</v>
      </c>
      <c r="R1468" s="71">
        <f t="shared" si="203"/>
        <v>0</v>
      </c>
      <c r="S1468" s="71">
        <f t="shared" si="204"/>
        <v>0</v>
      </c>
      <c r="T1468" s="71">
        <f t="shared" si="205"/>
        <v>0</v>
      </c>
      <c r="U1468" s="71">
        <f>IF(AND(N1468=1,V1468=1),IF(COUNTIFS(AKTIVITAS!$B$2:$B$3052,B1468,AKTIVITAS!$E$2:$E$3052,H1468)&gt;0,1,0),0)</f>
        <v>0</v>
      </c>
      <c r="V1468" s="71">
        <f>IFERROR(IF(AND(H1468&gt;=INDEX(PEMAGANG!$J$3:$J$36,MATCH(B1468,PEMAGANG!$C$3:$C$36,0)),H1468&lt;=INDEX(PEMAGANG!$K$3:$K$36,MATCH(B1468,PEMAGANG!$C$3:$C$36,0))),1,0),0)</f>
        <v>1</v>
      </c>
      <c r="W1468" s="71">
        <f t="shared" si="206"/>
        <v>0</v>
      </c>
    </row>
    <row r="1469" spans="1:23" x14ac:dyDescent="0.2">
      <c r="A1469" s="71" t="s">
        <v>218</v>
      </c>
      <c r="B1469" s="71" t="s">
        <v>219</v>
      </c>
      <c r="C1469" s="71" t="s">
        <v>221</v>
      </c>
      <c r="D1469" s="71" t="s">
        <v>220</v>
      </c>
      <c r="E1469" s="71" t="s">
        <v>345</v>
      </c>
      <c r="F1469" s="71" t="s">
        <v>300</v>
      </c>
      <c r="G1469" s="88">
        <v>46284.598888888897</v>
      </c>
      <c r="H1469" s="89">
        <v>46284</v>
      </c>
      <c r="I1469" s="71" t="s">
        <v>572</v>
      </c>
      <c r="J1469" s="71">
        <v>0</v>
      </c>
      <c r="K1469" s="71" t="s">
        <v>302</v>
      </c>
      <c r="L1469" s="71">
        <f t="shared" si="198"/>
        <v>9</v>
      </c>
      <c r="M1469" s="71" t="str">
        <f>IFERROR(INDEX(KALENDER!$D$3:$D$132,MATCH(H1469,KALENDER!$A$3:$A$132,0)),"Di luar periode")</f>
        <v>Libur (Sabtu/Minggu)</v>
      </c>
      <c r="N1469" s="71">
        <f t="shared" si="199"/>
        <v>0</v>
      </c>
      <c r="O1469" s="71">
        <f t="shared" si="200"/>
        <v>2</v>
      </c>
      <c r="P1469" s="71">
        <f t="shared" si="201"/>
        <v>0</v>
      </c>
      <c r="Q1469" s="71">
        <f t="shared" si="202"/>
        <v>0</v>
      </c>
      <c r="R1469" s="71">
        <f t="shared" si="203"/>
        <v>0</v>
      </c>
      <c r="S1469" s="71">
        <f t="shared" si="204"/>
        <v>0</v>
      </c>
      <c r="T1469" s="71">
        <f t="shared" si="205"/>
        <v>0</v>
      </c>
      <c r="U1469" s="71">
        <f>IF(AND(N1469=1,V1469=1),IF(COUNTIFS(AKTIVITAS!$B$2:$B$3052,B1469,AKTIVITAS!$E$2:$E$3052,H1469)&gt;0,1,0),0)</f>
        <v>0</v>
      </c>
      <c r="V1469" s="71">
        <f>IFERROR(IF(AND(H1469&gt;=INDEX(PEMAGANG!$J$3:$J$36,MATCH(B1469,PEMAGANG!$C$3:$C$36,0)),H1469&lt;=INDEX(PEMAGANG!$K$3:$K$36,MATCH(B1469,PEMAGANG!$C$3:$C$36,0))),1,0),0)</f>
        <v>1</v>
      </c>
      <c r="W1469" s="71">
        <f t="shared" si="206"/>
        <v>0</v>
      </c>
    </row>
    <row r="1470" spans="1:23" x14ac:dyDescent="0.2">
      <c r="A1470" s="71" t="s">
        <v>218</v>
      </c>
      <c r="B1470" s="71" t="s">
        <v>219</v>
      </c>
      <c r="C1470" s="71" t="s">
        <v>221</v>
      </c>
      <c r="D1470" s="71" t="s">
        <v>220</v>
      </c>
      <c r="E1470" s="71" t="s">
        <v>345</v>
      </c>
      <c r="F1470" s="71" t="s">
        <v>300</v>
      </c>
      <c r="G1470" s="88">
        <v>46284.598888888897</v>
      </c>
      <c r="H1470" s="89">
        <v>46284</v>
      </c>
      <c r="I1470" s="71" t="s">
        <v>572</v>
      </c>
      <c r="J1470" s="71">
        <v>0</v>
      </c>
      <c r="K1470" s="71" t="s">
        <v>302</v>
      </c>
      <c r="L1470" s="71">
        <f t="shared" si="198"/>
        <v>9</v>
      </c>
      <c r="M1470" s="71" t="str">
        <f>IFERROR(INDEX(KALENDER!$D$3:$D$132,MATCH(H1470,KALENDER!$A$3:$A$132,0)),"Di luar periode")</f>
        <v>Libur (Sabtu/Minggu)</v>
      </c>
      <c r="N1470" s="71">
        <f t="shared" si="199"/>
        <v>0</v>
      </c>
      <c r="O1470" s="71">
        <f t="shared" si="200"/>
        <v>2</v>
      </c>
      <c r="P1470" s="71">
        <f t="shared" si="201"/>
        <v>0</v>
      </c>
      <c r="Q1470" s="71">
        <f t="shared" si="202"/>
        <v>0</v>
      </c>
      <c r="R1470" s="71">
        <f t="shared" si="203"/>
        <v>0</v>
      </c>
      <c r="S1470" s="71">
        <f t="shared" si="204"/>
        <v>0</v>
      </c>
      <c r="T1470" s="71">
        <f t="shared" si="205"/>
        <v>0</v>
      </c>
      <c r="U1470" s="71">
        <f>IF(AND(N1470=1,V1470=1),IF(COUNTIFS(AKTIVITAS!$B$2:$B$3052,B1470,AKTIVITAS!$E$2:$E$3052,H1470)&gt;0,1,0),0)</f>
        <v>0</v>
      </c>
      <c r="V1470" s="71">
        <f>IFERROR(IF(AND(H1470&gt;=INDEX(PEMAGANG!$J$3:$J$36,MATCH(B1470,PEMAGANG!$C$3:$C$36,0)),H1470&lt;=INDEX(PEMAGANG!$K$3:$K$36,MATCH(B1470,PEMAGANG!$C$3:$C$36,0))),1,0),0)</f>
        <v>1</v>
      </c>
      <c r="W1470" s="71">
        <f t="shared" si="206"/>
        <v>0</v>
      </c>
    </row>
    <row r="1471" spans="1:23" x14ac:dyDescent="0.2">
      <c r="A1471" s="71" t="s">
        <v>218</v>
      </c>
      <c r="B1471" s="71" t="s">
        <v>219</v>
      </c>
      <c r="C1471" s="71" t="s">
        <v>221</v>
      </c>
      <c r="D1471" s="71" t="s">
        <v>220</v>
      </c>
      <c r="E1471" s="71" t="s">
        <v>345</v>
      </c>
      <c r="F1471" s="71" t="s">
        <v>298</v>
      </c>
      <c r="G1471" s="88">
        <v>46286.317951388897</v>
      </c>
      <c r="H1471" s="89">
        <v>46286</v>
      </c>
      <c r="I1471" s="71" t="s">
        <v>386</v>
      </c>
      <c r="J1471" s="71">
        <v>7.0000000000000604</v>
      </c>
      <c r="K1471" s="71" t="s">
        <v>293</v>
      </c>
      <c r="L1471" s="71">
        <f t="shared" si="198"/>
        <v>9</v>
      </c>
      <c r="M1471" s="71" t="str">
        <f>IFERROR(INDEX(KALENDER!$D$3:$D$132,MATCH(H1471,KALENDER!$A$3:$A$132,0)),"Di luar periode")</f>
        <v>Hari Kerja</v>
      </c>
      <c r="N1471" s="71">
        <f t="shared" si="199"/>
        <v>1</v>
      </c>
      <c r="O1471" s="71">
        <f t="shared" si="200"/>
        <v>1</v>
      </c>
      <c r="P1471" s="71">
        <f t="shared" si="201"/>
        <v>1</v>
      </c>
      <c r="Q1471" s="71">
        <f t="shared" si="202"/>
        <v>0</v>
      </c>
      <c r="R1471" s="71">
        <f t="shared" si="203"/>
        <v>1</v>
      </c>
      <c r="S1471" s="71">
        <f t="shared" si="204"/>
        <v>7.0000000000000604</v>
      </c>
      <c r="T1471" s="71">
        <f t="shared" si="205"/>
        <v>0</v>
      </c>
      <c r="U1471" s="71">
        <f>IF(AND(N1471=1,V1471=1),IF(COUNTIFS(AKTIVITAS!$B$2:$B$3052,B1471,AKTIVITAS!$E$2:$E$3052,H1471)&gt;0,1,0),0)</f>
        <v>1</v>
      </c>
      <c r="V1471" s="71">
        <f>IFERROR(IF(AND(H1471&gt;=INDEX(PEMAGANG!$J$3:$J$36,MATCH(B1471,PEMAGANG!$C$3:$C$36,0)),H1471&lt;=INDEX(PEMAGANG!$K$3:$K$36,MATCH(B1471,PEMAGANG!$C$3:$C$36,0))),1,0),0)</f>
        <v>1</v>
      </c>
      <c r="W1471" s="71">
        <f t="shared" si="206"/>
        <v>1</v>
      </c>
    </row>
    <row r="1472" spans="1:23" x14ac:dyDescent="0.2">
      <c r="A1472" s="71" t="s">
        <v>218</v>
      </c>
      <c r="B1472" s="71" t="s">
        <v>219</v>
      </c>
      <c r="C1472" s="71" t="s">
        <v>221</v>
      </c>
      <c r="D1472" s="71" t="s">
        <v>220</v>
      </c>
      <c r="E1472" s="71" t="s">
        <v>345</v>
      </c>
      <c r="F1472" s="71" t="s">
        <v>298</v>
      </c>
      <c r="G1472" s="88">
        <v>46286.317951388897</v>
      </c>
      <c r="H1472" s="89">
        <v>46286</v>
      </c>
      <c r="I1472" s="71" t="s">
        <v>386</v>
      </c>
      <c r="J1472" s="71">
        <v>7.0000000000000604</v>
      </c>
      <c r="K1472" s="71" t="s">
        <v>293</v>
      </c>
      <c r="L1472" s="71">
        <f t="shared" si="198"/>
        <v>9</v>
      </c>
      <c r="M1472" s="71" t="str">
        <f>IFERROR(INDEX(KALENDER!$D$3:$D$132,MATCH(H1472,KALENDER!$A$3:$A$132,0)),"Di luar periode")</f>
        <v>Hari Kerja</v>
      </c>
      <c r="N1472" s="71">
        <f t="shared" si="199"/>
        <v>0</v>
      </c>
      <c r="O1472" s="71">
        <f t="shared" si="200"/>
        <v>2</v>
      </c>
      <c r="P1472" s="71">
        <f t="shared" si="201"/>
        <v>0</v>
      </c>
      <c r="Q1472" s="71">
        <f t="shared" si="202"/>
        <v>0</v>
      </c>
      <c r="R1472" s="71">
        <f t="shared" si="203"/>
        <v>0</v>
      </c>
      <c r="S1472" s="71">
        <f t="shared" si="204"/>
        <v>0</v>
      </c>
      <c r="T1472" s="71">
        <f t="shared" si="205"/>
        <v>0</v>
      </c>
      <c r="U1472" s="71">
        <f>IF(AND(N1472=1,V1472=1),IF(COUNTIFS(AKTIVITAS!$B$2:$B$3052,B1472,AKTIVITAS!$E$2:$E$3052,H1472)&gt;0,1,0),0)</f>
        <v>0</v>
      </c>
      <c r="V1472" s="71">
        <f>IFERROR(IF(AND(H1472&gt;=INDEX(PEMAGANG!$J$3:$J$36,MATCH(B1472,PEMAGANG!$C$3:$C$36,0)),H1472&lt;=INDEX(PEMAGANG!$K$3:$K$36,MATCH(B1472,PEMAGANG!$C$3:$C$36,0))),1,0),0)</f>
        <v>1</v>
      </c>
      <c r="W1472" s="71">
        <f t="shared" si="206"/>
        <v>0</v>
      </c>
    </row>
    <row r="1473" spans="1:23" x14ac:dyDescent="0.2">
      <c r="A1473" s="71" t="s">
        <v>218</v>
      </c>
      <c r="B1473" s="71" t="s">
        <v>219</v>
      </c>
      <c r="C1473" s="71" t="s">
        <v>221</v>
      </c>
      <c r="D1473" s="71" t="s">
        <v>220</v>
      </c>
      <c r="E1473" s="71" t="s">
        <v>345</v>
      </c>
      <c r="F1473" s="71" t="s">
        <v>300</v>
      </c>
      <c r="G1473" s="88">
        <v>46286.746527777803</v>
      </c>
      <c r="H1473" s="89">
        <v>46286</v>
      </c>
      <c r="I1473" s="71" t="s">
        <v>366</v>
      </c>
      <c r="J1473" s="71">
        <v>0</v>
      </c>
      <c r="K1473" s="71" t="s">
        <v>302</v>
      </c>
      <c r="L1473" s="71">
        <f t="shared" si="198"/>
        <v>9</v>
      </c>
      <c r="M1473" s="71" t="str">
        <f>IFERROR(INDEX(KALENDER!$D$3:$D$132,MATCH(H1473,KALENDER!$A$3:$A$132,0)),"Di luar periode")</f>
        <v>Hari Kerja</v>
      </c>
      <c r="N1473" s="71">
        <f t="shared" si="199"/>
        <v>0</v>
      </c>
      <c r="O1473" s="71">
        <f t="shared" si="200"/>
        <v>2</v>
      </c>
      <c r="P1473" s="71">
        <f t="shared" si="201"/>
        <v>0</v>
      </c>
      <c r="Q1473" s="71">
        <f t="shared" si="202"/>
        <v>0</v>
      </c>
      <c r="R1473" s="71">
        <f t="shared" si="203"/>
        <v>0</v>
      </c>
      <c r="S1473" s="71">
        <f t="shared" si="204"/>
        <v>0</v>
      </c>
      <c r="T1473" s="71">
        <f t="shared" si="205"/>
        <v>0</v>
      </c>
      <c r="U1473" s="71">
        <f>IF(AND(N1473=1,V1473=1),IF(COUNTIFS(AKTIVITAS!$B$2:$B$3052,B1473,AKTIVITAS!$E$2:$E$3052,H1473)&gt;0,1,0),0)</f>
        <v>0</v>
      </c>
      <c r="V1473" s="71">
        <f>IFERROR(IF(AND(H1473&gt;=INDEX(PEMAGANG!$J$3:$J$36,MATCH(B1473,PEMAGANG!$C$3:$C$36,0)),H1473&lt;=INDEX(PEMAGANG!$K$3:$K$36,MATCH(B1473,PEMAGANG!$C$3:$C$36,0))),1,0),0)</f>
        <v>1</v>
      </c>
      <c r="W1473" s="71">
        <f t="shared" si="206"/>
        <v>0</v>
      </c>
    </row>
    <row r="1474" spans="1:23" x14ac:dyDescent="0.2">
      <c r="A1474" s="71" t="s">
        <v>218</v>
      </c>
      <c r="B1474" s="71" t="s">
        <v>219</v>
      </c>
      <c r="C1474" s="71" t="s">
        <v>221</v>
      </c>
      <c r="D1474" s="71" t="s">
        <v>220</v>
      </c>
      <c r="E1474" s="71" t="s">
        <v>345</v>
      </c>
      <c r="F1474" s="71" t="s">
        <v>300</v>
      </c>
      <c r="G1474" s="88">
        <v>46286.746527777803</v>
      </c>
      <c r="H1474" s="89">
        <v>46286</v>
      </c>
      <c r="I1474" s="71" t="s">
        <v>366</v>
      </c>
      <c r="J1474" s="71">
        <v>0</v>
      </c>
      <c r="K1474" s="71" t="s">
        <v>302</v>
      </c>
      <c r="L1474" s="71">
        <f t="shared" ref="L1474:L1537" si="207">MONTH(H1474)</f>
        <v>9</v>
      </c>
      <c r="M1474" s="71" t="str">
        <f>IFERROR(INDEX(KALENDER!$D$3:$D$132,MATCH(H1474,KALENDER!$A$3:$A$132,0)),"Di luar periode")</f>
        <v>Hari Kerja</v>
      </c>
      <c r="N1474" s="71">
        <f t="shared" ref="N1474:N1537" si="208">IF(AND(B1474=B1473,H1474=H1473),0,1)</f>
        <v>0</v>
      </c>
      <c r="O1474" s="71">
        <f t="shared" ref="O1474:O1537" si="209">IF(N1474=1,0,O1473)+IF(F1474="MASUK",1,0)</f>
        <v>2</v>
      </c>
      <c r="P1474" s="71">
        <f t="shared" ref="P1474:P1537" si="210">IF(AND(N1474=1,M1474="Hari Kerja",V1474=1),1,0)</f>
        <v>0</v>
      </c>
      <c r="Q1474" s="71">
        <f t="shared" ref="Q1474:Q1537" si="211">IF(AND(N1474=1,OR(M1474&lt;&gt;"Hari Kerja",V1474=0)),1,0)</f>
        <v>0</v>
      </c>
      <c r="R1474" s="71">
        <f t="shared" ref="R1474:R1537" si="212">IF(AND(F1474="MASUK",O1474=1,N(J1474)&gt;0,V1474=1),1,0)</f>
        <v>0</v>
      </c>
      <c r="S1474" s="71">
        <f t="shared" ref="S1474:S1537" si="213">R1474*N(J1474)</f>
        <v>0</v>
      </c>
      <c r="T1474" s="71">
        <f t="shared" ref="T1474:T1537" si="214">IF(AND(N1474=1,V1474=1),IF(AND(COUNTIFS($B$2:$B$4094,B1474,$H$2:$H$4094,H1474,$F$2:$F$4094,"MASUK")&gt;0,COUNTIFS($B$2:$B$4094,B1474,$H$2:$H$4094,H1474,$F$2:$F$4094,"PULANG")=0),1,0),0)</f>
        <v>0</v>
      </c>
      <c r="U1474" s="71">
        <f>IF(AND(N1474=1,V1474=1),IF(COUNTIFS(AKTIVITAS!$B$2:$B$3052,B1474,AKTIVITAS!$E$2:$E$3052,H1474)&gt;0,1,0),0)</f>
        <v>0</v>
      </c>
      <c r="V1474" s="71">
        <f>IFERROR(IF(AND(H1474&gt;=INDEX(PEMAGANG!$J$3:$J$36,MATCH(B1474,PEMAGANG!$C$3:$C$36,0)),H1474&lt;=INDEX(PEMAGANG!$K$3:$K$36,MATCH(B1474,PEMAGANG!$C$3:$C$36,0))),1,0),0)</f>
        <v>1</v>
      </c>
      <c r="W1474" s="71">
        <f t="shared" ref="W1474:W1537" si="215">N1474*V1474</f>
        <v>0</v>
      </c>
    </row>
    <row r="1475" spans="1:23" x14ac:dyDescent="0.2">
      <c r="A1475" s="71" t="s">
        <v>218</v>
      </c>
      <c r="B1475" s="71" t="s">
        <v>219</v>
      </c>
      <c r="C1475" s="71" t="s">
        <v>221</v>
      </c>
      <c r="D1475" s="71" t="s">
        <v>220</v>
      </c>
      <c r="E1475" s="71" t="s">
        <v>345</v>
      </c>
      <c r="F1475" s="71" t="s">
        <v>298</v>
      </c>
      <c r="G1475" s="88">
        <v>46287.317071759302</v>
      </c>
      <c r="H1475" s="89">
        <v>46287</v>
      </c>
      <c r="I1475" s="71" t="s">
        <v>376</v>
      </c>
      <c r="J1475" s="71">
        <v>5.9999999999999796</v>
      </c>
      <c r="K1475" s="71" t="s">
        <v>293</v>
      </c>
      <c r="L1475" s="71">
        <f t="shared" si="207"/>
        <v>9</v>
      </c>
      <c r="M1475" s="71" t="str">
        <f>IFERROR(INDEX(KALENDER!$D$3:$D$132,MATCH(H1475,KALENDER!$A$3:$A$132,0)),"Di luar periode")</f>
        <v>Hari Kerja</v>
      </c>
      <c r="N1475" s="71">
        <f t="shared" si="208"/>
        <v>1</v>
      </c>
      <c r="O1475" s="71">
        <f t="shared" si="209"/>
        <v>1</v>
      </c>
      <c r="P1475" s="71">
        <f t="shared" si="210"/>
        <v>1</v>
      </c>
      <c r="Q1475" s="71">
        <f t="shared" si="211"/>
        <v>0</v>
      </c>
      <c r="R1475" s="71">
        <f t="shared" si="212"/>
        <v>1</v>
      </c>
      <c r="S1475" s="71">
        <f t="shared" si="213"/>
        <v>5.9999999999999796</v>
      </c>
      <c r="T1475" s="71">
        <f t="shared" si="214"/>
        <v>0</v>
      </c>
      <c r="U1475" s="71">
        <f>IF(AND(N1475=1,V1475=1),IF(COUNTIFS(AKTIVITAS!$B$2:$B$3052,B1475,AKTIVITAS!$E$2:$E$3052,H1475)&gt;0,1,0),0)</f>
        <v>1</v>
      </c>
      <c r="V1475" s="71">
        <f>IFERROR(IF(AND(H1475&gt;=INDEX(PEMAGANG!$J$3:$J$36,MATCH(B1475,PEMAGANG!$C$3:$C$36,0)),H1475&lt;=INDEX(PEMAGANG!$K$3:$K$36,MATCH(B1475,PEMAGANG!$C$3:$C$36,0))),1,0),0)</f>
        <v>1</v>
      </c>
      <c r="W1475" s="71">
        <f t="shared" si="215"/>
        <v>1</v>
      </c>
    </row>
    <row r="1476" spans="1:23" x14ac:dyDescent="0.2">
      <c r="A1476" s="71" t="s">
        <v>218</v>
      </c>
      <c r="B1476" s="71" t="s">
        <v>219</v>
      </c>
      <c r="C1476" s="71" t="s">
        <v>221</v>
      </c>
      <c r="D1476" s="71" t="s">
        <v>220</v>
      </c>
      <c r="E1476" s="71" t="s">
        <v>345</v>
      </c>
      <c r="F1476" s="71" t="s">
        <v>298</v>
      </c>
      <c r="G1476" s="88">
        <v>46287.317071759302</v>
      </c>
      <c r="H1476" s="89">
        <v>46287</v>
      </c>
      <c r="I1476" s="71" t="s">
        <v>376</v>
      </c>
      <c r="J1476" s="71">
        <v>5.9999999999999796</v>
      </c>
      <c r="K1476" s="71" t="s">
        <v>293</v>
      </c>
      <c r="L1476" s="71">
        <f t="shared" si="207"/>
        <v>9</v>
      </c>
      <c r="M1476" s="71" t="str">
        <f>IFERROR(INDEX(KALENDER!$D$3:$D$132,MATCH(H1476,KALENDER!$A$3:$A$132,0)),"Di luar periode")</f>
        <v>Hari Kerja</v>
      </c>
      <c r="N1476" s="71">
        <f t="shared" si="208"/>
        <v>0</v>
      </c>
      <c r="O1476" s="71">
        <f t="shared" si="209"/>
        <v>2</v>
      </c>
      <c r="P1476" s="71">
        <f t="shared" si="210"/>
        <v>0</v>
      </c>
      <c r="Q1476" s="71">
        <f t="shared" si="211"/>
        <v>0</v>
      </c>
      <c r="R1476" s="71">
        <f t="shared" si="212"/>
        <v>0</v>
      </c>
      <c r="S1476" s="71">
        <f t="shared" si="213"/>
        <v>0</v>
      </c>
      <c r="T1476" s="71">
        <f t="shared" si="214"/>
        <v>0</v>
      </c>
      <c r="U1476" s="71">
        <f>IF(AND(N1476=1,V1476=1),IF(COUNTIFS(AKTIVITAS!$B$2:$B$3052,B1476,AKTIVITAS!$E$2:$E$3052,H1476)&gt;0,1,0),0)</f>
        <v>0</v>
      </c>
      <c r="V1476" s="71">
        <f>IFERROR(IF(AND(H1476&gt;=INDEX(PEMAGANG!$J$3:$J$36,MATCH(B1476,PEMAGANG!$C$3:$C$36,0)),H1476&lt;=INDEX(PEMAGANG!$K$3:$K$36,MATCH(B1476,PEMAGANG!$C$3:$C$36,0))),1,0),0)</f>
        <v>1</v>
      </c>
      <c r="W1476" s="71">
        <f t="shared" si="215"/>
        <v>0</v>
      </c>
    </row>
    <row r="1477" spans="1:23" x14ac:dyDescent="0.2">
      <c r="A1477" s="71" t="s">
        <v>218</v>
      </c>
      <c r="B1477" s="71" t="s">
        <v>219</v>
      </c>
      <c r="C1477" s="71" t="s">
        <v>221</v>
      </c>
      <c r="D1477" s="71" t="s">
        <v>220</v>
      </c>
      <c r="E1477" s="71" t="s">
        <v>345</v>
      </c>
      <c r="F1477" s="71" t="s">
        <v>300</v>
      </c>
      <c r="G1477" s="88">
        <v>46287.669456018499</v>
      </c>
      <c r="H1477" s="89">
        <v>46287</v>
      </c>
      <c r="I1477" s="71" t="s">
        <v>551</v>
      </c>
      <c r="J1477" s="71">
        <v>0</v>
      </c>
      <c r="K1477" s="71" t="s">
        <v>302</v>
      </c>
      <c r="L1477" s="71">
        <f t="shared" si="207"/>
        <v>9</v>
      </c>
      <c r="M1477" s="71" t="str">
        <f>IFERROR(INDEX(KALENDER!$D$3:$D$132,MATCH(H1477,KALENDER!$A$3:$A$132,0)),"Di luar periode")</f>
        <v>Hari Kerja</v>
      </c>
      <c r="N1477" s="71">
        <f t="shared" si="208"/>
        <v>0</v>
      </c>
      <c r="O1477" s="71">
        <f t="shared" si="209"/>
        <v>2</v>
      </c>
      <c r="P1477" s="71">
        <f t="shared" si="210"/>
        <v>0</v>
      </c>
      <c r="Q1477" s="71">
        <f t="shared" si="211"/>
        <v>0</v>
      </c>
      <c r="R1477" s="71">
        <f t="shared" si="212"/>
        <v>0</v>
      </c>
      <c r="S1477" s="71">
        <f t="shared" si="213"/>
        <v>0</v>
      </c>
      <c r="T1477" s="71">
        <f t="shared" si="214"/>
        <v>0</v>
      </c>
      <c r="U1477" s="71">
        <f>IF(AND(N1477=1,V1477=1),IF(COUNTIFS(AKTIVITAS!$B$2:$B$3052,B1477,AKTIVITAS!$E$2:$E$3052,H1477)&gt;0,1,0),0)</f>
        <v>0</v>
      </c>
      <c r="V1477" s="71">
        <f>IFERROR(IF(AND(H1477&gt;=INDEX(PEMAGANG!$J$3:$J$36,MATCH(B1477,PEMAGANG!$C$3:$C$36,0)),H1477&lt;=INDEX(PEMAGANG!$K$3:$K$36,MATCH(B1477,PEMAGANG!$C$3:$C$36,0))),1,0),0)</f>
        <v>1</v>
      </c>
      <c r="W1477" s="71">
        <f t="shared" si="215"/>
        <v>0</v>
      </c>
    </row>
    <row r="1478" spans="1:23" x14ac:dyDescent="0.2">
      <c r="A1478" s="71" t="s">
        <v>218</v>
      </c>
      <c r="B1478" s="71" t="s">
        <v>219</v>
      </c>
      <c r="C1478" s="71" t="s">
        <v>221</v>
      </c>
      <c r="D1478" s="71" t="s">
        <v>220</v>
      </c>
      <c r="E1478" s="71" t="s">
        <v>345</v>
      </c>
      <c r="F1478" s="71" t="s">
        <v>300</v>
      </c>
      <c r="G1478" s="88">
        <v>46287.669456018499</v>
      </c>
      <c r="H1478" s="89">
        <v>46287</v>
      </c>
      <c r="I1478" s="71" t="s">
        <v>551</v>
      </c>
      <c r="J1478" s="71">
        <v>0</v>
      </c>
      <c r="K1478" s="71" t="s">
        <v>302</v>
      </c>
      <c r="L1478" s="71">
        <f t="shared" si="207"/>
        <v>9</v>
      </c>
      <c r="M1478" s="71" t="str">
        <f>IFERROR(INDEX(KALENDER!$D$3:$D$132,MATCH(H1478,KALENDER!$A$3:$A$132,0)),"Di luar periode")</f>
        <v>Hari Kerja</v>
      </c>
      <c r="N1478" s="71">
        <f t="shared" si="208"/>
        <v>0</v>
      </c>
      <c r="O1478" s="71">
        <f t="shared" si="209"/>
        <v>2</v>
      </c>
      <c r="P1478" s="71">
        <f t="shared" si="210"/>
        <v>0</v>
      </c>
      <c r="Q1478" s="71">
        <f t="shared" si="211"/>
        <v>0</v>
      </c>
      <c r="R1478" s="71">
        <f t="shared" si="212"/>
        <v>0</v>
      </c>
      <c r="S1478" s="71">
        <f t="shared" si="213"/>
        <v>0</v>
      </c>
      <c r="T1478" s="71">
        <f t="shared" si="214"/>
        <v>0</v>
      </c>
      <c r="U1478" s="71">
        <f>IF(AND(N1478=1,V1478=1),IF(COUNTIFS(AKTIVITAS!$B$2:$B$3052,B1478,AKTIVITAS!$E$2:$E$3052,H1478)&gt;0,1,0),0)</f>
        <v>0</v>
      </c>
      <c r="V1478" s="71">
        <f>IFERROR(IF(AND(H1478&gt;=INDEX(PEMAGANG!$J$3:$J$36,MATCH(B1478,PEMAGANG!$C$3:$C$36,0)),H1478&lt;=INDEX(PEMAGANG!$K$3:$K$36,MATCH(B1478,PEMAGANG!$C$3:$C$36,0))),1,0),0)</f>
        <v>1</v>
      </c>
      <c r="W1478" s="71">
        <f t="shared" si="215"/>
        <v>0</v>
      </c>
    </row>
    <row r="1479" spans="1:23" x14ac:dyDescent="0.2">
      <c r="A1479" s="71" t="s">
        <v>218</v>
      </c>
      <c r="B1479" s="71" t="s">
        <v>219</v>
      </c>
      <c r="C1479" s="71" t="s">
        <v>221</v>
      </c>
      <c r="D1479" s="71" t="s">
        <v>220</v>
      </c>
      <c r="E1479" s="71" t="s">
        <v>345</v>
      </c>
      <c r="F1479" s="71" t="s">
        <v>298</v>
      </c>
      <c r="G1479" s="88">
        <v>46288.3180671296</v>
      </c>
      <c r="H1479" s="89">
        <v>46288</v>
      </c>
      <c r="I1479" s="71" t="s">
        <v>410</v>
      </c>
      <c r="J1479" s="71">
        <v>7.9999999999999698</v>
      </c>
      <c r="K1479" s="71" t="s">
        <v>293</v>
      </c>
      <c r="L1479" s="71">
        <f t="shared" si="207"/>
        <v>9</v>
      </c>
      <c r="M1479" s="71" t="str">
        <f>IFERROR(INDEX(KALENDER!$D$3:$D$132,MATCH(H1479,KALENDER!$A$3:$A$132,0)),"Di luar periode")</f>
        <v>Hari Kerja</v>
      </c>
      <c r="N1479" s="71">
        <f t="shared" si="208"/>
        <v>1</v>
      </c>
      <c r="O1479" s="71">
        <f t="shared" si="209"/>
        <v>1</v>
      </c>
      <c r="P1479" s="71">
        <f t="shared" si="210"/>
        <v>1</v>
      </c>
      <c r="Q1479" s="71">
        <f t="shared" si="211"/>
        <v>0</v>
      </c>
      <c r="R1479" s="71">
        <f t="shared" si="212"/>
        <v>1</v>
      </c>
      <c r="S1479" s="71">
        <f t="shared" si="213"/>
        <v>7.9999999999999698</v>
      </c>
      <c r="T1479" s="71">
        <f t="shared" si="214"/>
        <v>0</v>
      </c>
      <c r="U1479" s="71">
        <f>IF(AND(N1479=1,V1479=1),IF(COUNTIFS(AKTIVITAS!$B$2:$B$3052,B1479,AKTIVITAS!$E$2:$E$3052,H1479)&gt;0,1,0),0)</f>
        <v>1</v>
      </c>
      <c r="V1479" s="71">
        <f>IFERROR(IF(AND(H1479&gt;=INDEX(PEMAGANG!$J$3:$J$36,MATCH(B1479,PEMAGANG!$C$3:$C$36,0)),H1479&lt;=INDEX(PEMAGANG!$K$3:$K$36,MATCH(B1479,PEMAGANG!$C$3:$C$36,0))),1,0),0)</f>
        <v>1</v>
      </c>
      <c r="W1479" s="71">
        <f t="shared" si="215"/>
        <v>1</v>
      </c>
    </row>
    <row r="1480" spans="1:23" x14ac:dyDescent="0.2">
      <c r="A1480" s="71" t="s">
        <v>218</v>
      </c>
      <c r="B1480" s="71" t="s">
        <v>219</v>
      </c>
      <c r="C1480" s="71" t="s">
        <v>221</v>
      </c>
      <c r="D1480" s="71" t="s">
        <v>220</v>
      </c>
      <c r="E1480" s="71" t="s">
        <v>345</v>
      </c>
      <c r="F1480" s="71" t="s">
        <v>298</v>
      </c>
      <c r="G1480" s="88">
        <v>46288.3180671296</v>
      </c>
      <c r="H1480" s="89">
        <v>46288</v>
      </c>
      <c r="I1480" s="71" t="s">
        <v>410</v>
      </c>
      <c r="J1480" s="71">
        <v>7.9999999999999698</v>
      </c>
      <c r="K1480" s="71" t="s">
        <v>293</v>
      </c>
      <c r="L1480" s="71">
        <f t="shared" si="207"/>
        <v>9</v>
      </c>
      <c r="M1480" s="71" t="str">
        <f>IFERROR(INDEX(KALENDER!$D$3:$D$132,MATCH(H1480,KALENDER!$A$3:$A$132,0)),"Di luar periode")</f>
        <v>Hari Kerja</v>
      </c>
      <c r="N1480" s="71">
        <f t="shared" si="208"/>
        <v>0</v>
      </c>
      <c r="O1480" s="71">
        <f t="shared" si="209"/>
        <v>2</v>
      </c>
      <c r="P1480" s="71">
        <f t="shared" si="210"/>
        <v>0</v>
      </c>
      <c r="Q1480" s="71">
        <f t="shared" si="211"/>
        <v>0</v>
      </c>
      <c r="R1480" s="71">
        <f t="shared" si="212"/>
        <v>0</v>
      </c>
      <c r="S1480" s="71">
        <f t="shared" si="213"/>
        <v>0</v>
      </c>
      <c r="T1480" s="71">
        <f t="shared" si="214"/>
        <v>0</v>
      </c>
      <c r="U1480" s="71">
        <f>IF(AND(N1480=1,V1480=1),IF(COUNTIFS(AKTIVITAS!$B$2:$B$3052,B1480,AKTIVITAS!$E$2:$E$3052,H1480)&gt;0,1,0),0)</f>
        <v>0</v>
      </c>
      <c r="V1480" s="71">
        <f>IFERROR(IF(AND(H1480&gt;=INDEX(PEMAGANG!$J$3:$J$36,MATCH(B1480,PEMAGANG!$C$3:$C$36,0)),H1480&lt;=INDEX(PEMAGANG!$K$3:$K$36,MATCH(B1480,PEMAGANG!$C$3:$C$36,0))),1,0),0)</f>
        <v>1</v>
      </c>
      <c r="W1480" s="71">
        <f t="shared" si="215"/>
        <v>0</v>
      </c>
    </row>
    <row r="1481" spans="1:23" x14ac:dyDescent="0.2">
      <c r="A1481" s="71" t="s">
        <v>218</v>
      </c>
      <c r="B1481" s="71" t="s">
        <v>219</v>
      </c>
      <c r="C1481" s="71" t="s">
        <v>221</v>
      </c>
      <c r="D1481" s="71" t="s">
        <v>220</v>
      </c>
      <c r="E1481" s="71" t="s">
        <v>345</v>
      </c>
      <c r="F1481" s="71" t="s">
        <v>300</v>
      </c>
      <c r="G1481" s="88">
        <v>46288.715011574102</v>
      </c>
      <c r="H1481" s="89">
        <v>46288</v>
      </c>
      <c r="I1481" s="71" t="s">
        <v>573</v>
      </c>
      <c r="J1481" s="71">
        <v>0</v>
      </c>
      <c r="K1481" s="71" t="s">
        <v>302</v>
      </c>
      <c r="L1481" s="71">
        <f t="shared" si="207"/>
        <v>9</v>
      </c>
      <c r="M1481" s="71" t="str">
        <f>IFERROR(INDEX(KALENDER!$D$3:$D$132,MATCH(H1481,KALENDER!$A$3:$A$132,0)),"Di luar periode")</f>
        <v>Hari Kerja</v>
      </c>
      <c r="N1481" s="71">
        <f t="shared" si="208"/>
        <v>0</v>
      </c>
      <c r="O1481" s="71">
        <f t="shared" si="209"/>
        <v>2</v>
      </c>
      <c r="P1481" s="71">
        <f t="shared" si="210"/>
        <v>0</v>
      </c>
      <c r="Q1481" s="71">
        <f t="shared" si="211"/>
        <v>0</v>
      </c>
      <c r="R1481" s="71">
        <f t="shared" si="212"/>
        <v>0</v>
      </c>
      <c r="S1481" s="71">
        <f t="shared" si="213"/>
        <v>0</v>
      </c>
      <c r="T1481" s="71">
        <f t="shared" si="214"/>
        <v>0</v>
      </c>
      <c r="U1481" s="71">
        <f>IF(AND(N1481=1,V1481=1),IF(COUNTIFS(AKTIVITAS!$B$2:$B$3052,B1481,AKTIVITAS!$E$2:$E$3052,H1481)&gt;0,1,0),0)</f>
        <v>0</v>
      </c>
      <c r="V1481" s="71">
        <f>IFERROR(IF(AND(H1481&gt;=INDEX(PEMAGANG!$J$3:$J$36,MATCH(B1481,PEMAGANG!$C$3:$C$36,0)),H1481&lt;=INDEX(PEMAGANG!$K$3:$K$36,MATCH(B1481,PEMAGANG!$C$3:$C$36,0))),1,0),0)</f>
        <v>1</v>
      </c>
      <c r="W1481" s="71">
        <f t="shared" si="215"/>
        <v>0</v>
      </c>
    </row>
    <row r="1482" spans="1:23" x14ac:dyDescent="0.2">
      <c r="A1482" s="71" t="s">
        <v>218</v>
      </c>
      <c r="B1482" s="71" t="s">
        <v>219</v>
      </c>
      <c r="C1482" s="71" t="s">
        <v>221</v>
      </c>
      <c r="D1482" s="71" t="s">
        <v>220</v>
      </c>
      <c r="E1482" s="71" t="s">
        <v>345</v>
      </c>
      <c r="F1482" s="71" t="s">
        <v>300</v>
      </c>
      <c r="G1482" s="88">
        <v>46288.715011574102</v>
      </c>
      <c r="H1482" s="89">
        <v>46288</v>
      </c>
      <c r="I1482" s="71" t="s">
        <v>573</v>
      </c>
      <c r="J1482" s="71">
        <v>0</v>
      </c>
      <c r="K1482" s="71" t="s">
        <v>302</v>
      </c>
      <c r="L1482" s="71">
        <f t="shared" si="207"/>
        <v>9</v>
      </c>
      <c r="M1482" s="71" t="str">
        <f>IFERROR(INDEX(KALENDER!$D$3:$D$132,MATCH(H1482,KALENDER!$A$3:$A$132,0)),"Di luar periode")</f>
        <v>Hari Kerja</v>
      </c>
      <c r="N1482" s="71">
        <f t="shared" si="208"/>
        <v>0</v>
      </c>
      <c r="O1482" s="71">
        <f t="shared" si="209"/>
        <v>2</v>
      </c>
      <c r="P1482" s="71">
        <f t="shared" si="210"/>
        <v>0</v>
      </c>
      <c r="Q1482" s="71">
        <f t="shared" si="211"/>
        <v>0</v>
      </c>
      <c r="R1482" s="71">
        <f t="shared" si="212"/>
        <v>0</v>
      </c>
      <c r="S1482" s="71">
        <f t="shared" si="213"/>
        <v>0</v>
      </c>
      <c r="T1482" s="71">
        <f t="shared" si="214"/>
        <v>0</v>
      </c>
      <c r="U1482" s="71">
        <f>IF(AND(N1482=1,V1482=1),IF(COUNTIFS(AKTIVITAS!$B$2:$B$3052,B1482,AKTIVITAS!$E$2:$E$3052,H1482)&gt;0,1,0),0)</f>
        <v>0</v>
      </c>
      <c r="V1482" s="71">
        <f>IFERROR(IF(AND(H1482&gt;=INDEX(PEMAGANG!$J$3:$J$36,MATCH(B1482,PEMAGANG!$C$3:$C$36,0)),H1482&lt;=INDEX(PEMAGANG!$K$3:$K$36,MATCH(B1482,PEMAGANG!$C$3:$C$36,0))),1,0),0)</f>
        <v>1</v>
      </c>
      <c r="W1482" s="71">
        <f t="shared" si="215"/>
        <v>0</v>
      </c>
    </row>
    <row r="1483" spans="1:23" x14ac:dyDescent="0.2">
      <c r="A1483" s="71" t="s">
        <v>218</v>
      </c>
      <c r="B1483" s="71" t="s">
        <v>219</v>
      </c>
      <c r="C1483" s="71" t="s">
        <v>221</v>
      </c>
      <c r="D1483" s="71" t="s">
        <v>220</v>
      </c>
      <c r="E1483" s="71" t="s">
        <v>345</v>
      </c>
      <c r="F1483" s="71" t="s">
        <v>298</v>
      </c>
      <c r="G1483" s="88">
        <v>46289.317662037</v>
      </c>
      <c r="H1483" s="89">
        <v>46289</v>
      </c>
      <c r="I1483" s="71" t="s">
        <v>386</v>
      </c>
      <c r="J1483" s="71">
        <v>7.0000000000000604</v>
      </c>
      <c r="K1483" s="71" t="s">
        <v>293</v>
      </c>
      <c r="L1483" s="71">
        <f t="shared" si="207"/>
        <v>9</v>
      </c>
      <c r="M1483" s="71" t="str">
        <f>IFERROR(INDEX(KALENDER!$D$3:$D$132,MATCH(H1483,KALENDER!$A$3:$A$132,0)),"Di luar periode")</f>
        <v>Hari Kerja</v>
      </c>
      <c r="N1483" s="71">
        <f t="shared" si="208"/>
        <v>1</v>
      </c>
      <c r="O1483" s="71">
        <f t="shared" si="209"/>
        <v>1</v>
      </c>
      <c r="P1483" s="71">
        <f t="shared" si="210"/>
        <v>1</v>
      </c>
      <c r="Q1483" s="71">
        <f t="shared" si="211"/>
        <v>0</v>
      </c>
      <c r="R1483" s="71">
        <f t="shared" si="212"/>
        <v>1</v>
      </c>
      <c r="S1483" s="71">
        <f t="shared" si="213"/>
        <v>7.0000000000000604</v>
      </c>
      <c r="T1483" s="71">
        <f t="shared" si="214"/>
        <v>0</v>
      </c>
      <c r="U1483" s="71">
        <f>IF(AND(N1483=1,V1483=1),IF(COUNTIFS(AKTIVITAS!$B$2:$B$3052,B1483,AKTIVITAS!$E$2:$E$3052,H1483)&gt;0,1,0),0)</f>
        <v>1</v>
      </c>
      <c r="V1483" s="71">
        <f>IFERROR(IF(AND(H1483&gt;=INDEX(PEMAGANG!$J$3:$J$36,MATCH(B1483,PEMAGANG!$C$3:$C$36,0)),H1483&lt;=INDEX(PEMAGANG!$K$3:$K$36,MATCH(B1483,PEMAGANG!$C$3:$C$36,0))),1,0),0)</f>
        <v>1</v>
      </c>
      <c r="W1483" s="71">
        <f t="shared" si="215"/>
        <v>1</v>
      </c>
    </row>
    <row r="1484" spans="1:23" x14ac:dyDescent="0.2">
      <c r="A1484" s="71" t="s">
        <v>218</v>
      </c>
      <c r="B1484" s="71" t="s">
        <v>219</v>
      </c>
      <c r="C1484" s="71" t="s">
        <v>221</v>
      </c>
      <c r="D1484" s="71" t="s">
        <v>220</v>
      </c>
      <c r="E1484" s="71" t="s">
        <v>345</v>
      </c>
      <c r="F1484" s="71" t="s">
        <v>298</v>
      </c>
      <c r="G1484" s="88">
        <v>46289.317662037</v>
      </c>
      <c r="H1484" s="89">
        <v>46289</v>
      </c>
      <c r="I1484" s="71" t="s">
        <v>386</v>
      </c>
      <c r="J1484" s="71">
        <v>7.0000000000000604</v>
      </c>
      <c r="K1484" s="71" t="s">
        <v>293</v>
      </c>
      <c r="L1484" s="71">
        <f t="shared" si="207"/>
        <v>9</v>
      </c>
      <c r="M1484" s="71" t="str">
        <f>IFERROR(INDEX(KALENDER!$D$3:$D$132,MATCH(H1484,KALENDER!$A$3:$A$132,0)),"Di luar periode")</f>
        <v>Hari Kerja</v>
      </c>
      <c r="N1484" s="71">
        <f t="shared" si="208"/>
        <v>0</v>
      </c>
      <c r="O1484" s="71">
        <f t="shared" si="209"/>
        <v>2</v>
      </c>
      <c r="P1484" s="71">
        <f t="shared" si="210"/>
        <v>0</v>
      </c>
      <c r="Q1484" s="71">
        <f t="shared" si="211"/>
        <v>0</v>
      </c>
      <c r="R1484" s="71">
        <f t="shared" si="212"/>
        <v>0</v>
      </c>
      <c r="S1484" s="71">
        <f t="shared" si="213"/>
        <v>0</v>
      </c>
      <c r="T1484" s="71">
        <f t="shared" si="214"/>
        <v>0</v>
      </c>
      <c r="U1484" s="71">
        <f>IF(AND(N1484=1,V1484=1),IF(COUNTIFS(AKTIVITAS!$B$2:$B$3052,B1484,AKTIVITAS!$E$2:$E$3052,H1484)&gt;0,1,0),0)</f>
        <v>0</v>
      </c>
      <c r="V1484" s="71">
        <f>IFERROR(IF(AND(H1484&gt;=INDEX(PEMAGANG!$J$3:$J$36,MATCH(B1484,PEMAGANG!$C$3:$C$36,0)),H1484&lt;=INDEX(PEMAGANG!$K$3:$K$36,MATCH(B1484,PEMAGANG!$C$3:$C$36,0))),1,0),0)</f>
        <v>1</v>
      </c>
      <c r="W1484" s="71">
        <f t="shared" si="215"/>
        <v>0</v>
      </c>
    </row>
    <row r="1485" spans="1:23" x14ac:dyDescent="0.2">
      <c r="A1485" s="71" t="s">
        <v>218</v>
      </c>
      <c r="B1485" s="71" t="s">
        <v>219</v>
      </c>
      <c r="C1485" s="71" t="s">
        <v>221</v>
      </c>
      <c r="D1485" s="71" t="s">
        <v>220</v>
      </c>
      <c r="E1485" s="71" t="s">
        <v>345</v>
      </c>
      <c r="F1485" s="71" t="s">
        <v>300</v>
      </c>
      <c r="G1485" s="88">
        <v>46289.653796296298</v>
      </c>
      <c r="H1485" s="89">
        <v>46289</v>
      </c>
      <c r="I1485" s="71" t="s">
        <v>529</v>
      </c>
      <c r="J1485" s="71">
        <v>0</v>
      </c>
      <c r="K1485" s="71" t="s">
        <v>302</v>
      </c>
      <c r="L1485" s="71">
        <f t="shared" si="207"/>
        <v>9</v>
      </c>
      <c r="M1485" s="71" t="str">
        <f>IFERROR(INDEX(KALENDER!$D$3:$D$132,MATCH(H1485,KALENDER!$A$3:$A$132,0)),"Di luar periode")</f>
        <v>Hari Kerja</v>
      </c>
      <c r="N1485" s="71">
        <f t="shared" si="208"/>
        <v>0</v>
      </c>
      <c r="O1485" s="71">
        <f t="shared" si="209"/>
        <v>2</v>
      </c>
      <c r="P1485" s="71">
        <f t="shared" si="210"/>
        <v>0</v>
      </c>
      <c r="Q1485" s="71">
        <f t="shared" si="211"/>
        <v>0</v>
      </c>
      <c r="R1485" s="71">
        <f t="shared" si="212"/>
        <v>0</v>
      </c>
      <c r="S1485" s="71">
        <f t="shared" si="213"/>
        <v>0</v>
      </c>
      <c r="T1485" s="71">
        <f t="shared" si="214"/>
        <v>0</v>
      </c>
      <c r="U1485" s="71">
        <f>IF(AND(N1485=1,V1485=1),IF(COUNTIFS(AKTIVITAS!$B$2:$B$3052,B1485,AKTIVITAS!$E$2:$E$3052,H1485)&gt;0,1,0),0)</f>
        <v>0</v>
      </c>
      <c r="V1485" s="71">
        <f>IFERROR(IF(AND(H1485&gt;=INDEX(PEMAGANG!$J$3:$J$36,MATCH(B1485,PEMAGANG!$C$3:$C$36,0)),H1485&lt;=INDEX(PEMAGANG!$K$3:$K$36,MATCH(B1485,PEMAGANG!$C$3:$C$36,0))),1,0),0)</f>
        <v>1</v>
      </c>
      <c r="W1485" s="71">
        <f t="shared" si="215"/>
        <v>0</v>
      </c>
    </row>
    <row r="1486" spans="1:23" x14ac:dyDescent="0.2">
      <c r="A1486" s="71" t="s">
        <v>218</v>
      </c>
      <c r="B1486" s="71" t="s">
        <v>219</v>
      </c>
      <c r="C1486" s="71" t="s">
        <v>221</v>
      </c>
      <c r="D1486" s="71" t="s">
        <v>220</v>
      </c>
      <c r="E1486" s="71" t="s">
        <v>345</v>
      </c>
      <c r="F1486" s="71" t="s">
        <v>300</v>
      </c>
      <c r="G1486" s="88">
        <v>46289.653796296298</v>
      </c>
      <c r="H1486" s="89">
        <v>46289</v>
      </c>
      <c r="I1486" s="71" t="s">
        <v>529</v>
      </c>
      <c r="J1486" s="71">
        <v>0</v>
      </c>
      <c r="K1486" s="71" t="s">
        <v>302</v>
      </c>
      <c r="L1486" s="71">
        <f t="shared" si="207"/>
        <v>9</v>
      </c>
      <c r="M1486" s="71" t="str">
        <f>IFERROR(INDEX(KALENDER!$D$3:$D$132,MATCH(H1486,KALENDER!$A$3:$A$132,0)),"Di luar periode")</f>
        <v>Hari Kerja</v>
      </c>
      <c r="N1486" s="71">
        <f t="shared" si="208"/>
        <v>0</v>
      </c>
      <c r="O1486" s="71">
        <f t="shared" si="209"/>
        <v>2</v>
      </c>
      <c r="P1486" s="71">
        <f t="shared" si="210"/>
        <v>0</v>
      </c>
      <c r="Q1486" s="71">
        <f t="shared" si="211"/>
        <v>0</v>
      </c>
      <c r="R1486" s="71">
        <f t="shared" si="212"/>
        <v>0</v>
      </c>
      <c r="S1486" s="71">
        <f t="shared" si="213"/>
        <v>0</v>
      </c>
      <c r="T1486" s="71">
        <f t="shared" si="214"/>
        <v>0</v>
      </c>
      <c r="U1486" s="71">
        <f>IF(AND(N1486=1,V1486=1),IF(COUNTIFS(AKTIVITAS!$B$2:$B$3052,B1486,AKTIVITAS!$E$2:$E$3052,H1486)&gt;0,1,0),0)</f>
        <v>0</v>
      </c>
      <c r="V1486" s="71">
        <f>IFERROR(IF(AND(H1486&gt;=INDEX(PEMAGANG!$J$3:$J$36,MATCH(B1486,PEMAGANG!$C$3:$C$36,0)),H1486&lt;=INDEX(PEMAGANG!$K$3:$K$36,MATCH(B1486,PEMAGANG!$C$3:$C$36,0))),1,0),0)</f>
        <v>1</v>
      </c>
      <c r="W1486" s="71">
        <f t="shared" si="215"/>
        <v>0</v>
      </c>
    </row>
    <row r="1487" spans="1:23" x14ac:dyDescent="0.2">
      <c r="A1487" s="71" t="s">
        <v>218</v>
      </c>
      <c r="B1487" s="71" t="s">
        <v>219</v>
      </c>
      <c r="C1487" s="71" t="s">
        <v>221</v>
      </c>
      <c r="D1487" s="71" t="s">
        <v>220</v>
      </c>
      <c r="E1487" s="71" t="s">
        <v>345</v>
      </c>
      <c r="F1487" s="71" t="s">
        <v>298</v>
      </c>
      <c r="G1487" s="88">
        <v>46290.316203703696</v>
      </c>
      <c r="H1487" s="89">
        <v>46290</v>
      </c>
      <c r="I1487" s="71" t="s">
        <v>339</v>
      </c>
      <c r="J1487" s="71">
        <v>4.9999999999999796</v>
      </c>
      <c r="K1487" s="71" t="s">
        <v>293</v>
      </c>
      <c r="L1487" s="71">
        <f t="shared" si="207"/>
        <v>9</v>
      </c>
      <c r="M1487" s="71" t="str">
        <f>IFERROR(INDEX(KALENDER!$D$3:$D$132,MATCH(H1487,KALENDER!$A$3:$A$132,0)),"Di luar periode")</f>
        <v>Hari Kerja</v>
      </c>
      <c r="N1487" s="71">
        <f t="shared" si="208"/>
        <v>1</v>
      </c>
      <c r="O1487" s="71">
        <f t="shared" si="209"/>
        <v>1</v>
      </c>
      <c r="P1487" s="71">
        <f t="shared" si="210"/>
        <v>1</v>
      </c>
      <c r="Q1487" s="71">
        <f t="shared" si="211"/>
        <v>0</v>
      </c>
      <c r="R1487" s="71">
        <f t="shared" si="212"/>
        <v>1</v>
      </c>
      <c r="S1487" s="71">
        <f t="shared" si="213"/>
        <v>4.9999999999999796</v>
      </c>
      <c r="T1487" s="71">
        <f t="shared" si="214"/>
        <v>0</v>
      </c>
      <c r="U1487" s="71">
        <f>IF(AND(N1487=1,V1487=1),IF(COUNTIFS(AKTIVITAS!$B$2:$B$3052,B1487,AKTIVITAS!$E$2:$E$3052,H1487)&gt;0,1,0),0)</f>
        <v>1</v>
      </c>
      <c r="V1487" s="71">
        <f>IFERROR(IF(AND(H1487&gt;=INDEX(PEMAGANG!$J$3:$J$36,MATCH(B1487,PEMAGANG!$C$3:$C$36,0)),H1487&lt;=INDEX(PEMAGANG!$K$3:$K$36,MATCH(B1487,PEMAGANG!$C$3:$C$36,0))),1,0),0)</f>
        <v>1</v>
      </c>
      <c r="W1487" s="71">
        <f t="shared" si="215"/>
        <v>1</v>
      </c>
    </row>
    <row r="1488" spans="1:23" x14ac:dyDescent="0.2">
      <c r="A1488" s="71" t="s">
        <v>218</v>
      </c>
      <c r="B1488" s="71" t="s">
        <v>219</v>
      </c>
      <c r="C1488" s="71" t="s">
        <v>221</v>
      </c>
      <c r="D1488" s="71" t="s">
        <v>220</v>
      </c>
      <c r="E1488" s="71" t="s">
        <v>345</v>
      </c>
      <c r="F1488" s="71" t="s">
        <v>298</v>
      </c>
      <c r="G1488" s="88">
        <v>46290.316203703696</v>
      </c>
      <c r="H1488" s="89">
        <v>46290</v>
      </c>
      <c r="I1488" s="71" t="s">
        <v>339</v>
      </c>
      <c r="J1488" s="71">
        <v>4.9999999999999796</v>
      </c>
      <c r="K1488" s="71" t="s">
        <v>293</v>
      </c>
      <c r="L1488" s="71">
        <f t="shared" si="207"/>
        <v>9</v>
      </c>
      <c r="M1488" s="71" t="str">
        <f>IFERROR(INDEX(KALENDER!$D$3:$D$132,MATCH(H1488,KALENDER!$A$3:$A$132,0)),"Di luar periode")</f>
        <v>Hari Kerja</v>
      </c>
      <c r="N1488" s="71">
        <f t="shared" si="208"/>
        <v>0</v>
      </c>
      <c r="O1488" s="71">
        <f t="shared" si="209"/>
        <v>2</v>
      </c>
      <c r="P1488" s="71">
        <f t="shared" si="210"/>
        <v>0</v>
      </c>
      <c r="Q1488" s="71">
        <f t="shared" si="211"/>
        <v>0</v>
      </c>
      <c r="R1488" s="71">
        <f t="shared" si="212"/>
        <v>0</v>
      </c>
      <c r="S1488" s="71">
        <f t="shared" si="213"/>
        <v>0</v>
      </c>
      <c r="T1488" s="71">
        <f t="shared" si="214"/>
        <v>0</v>
      </c>
      <c r="U1488" s="71">
        <f>IF(AND(N1488=1,V1488=1),IF(COUNTIFS(AKTIVITAS!$B$2:$B$3052,B1488,AKTIVITAS!$E$2:$E$3052,H1488)&gt;0,1,0),0)</f>
        <v>0</v>
      </c>
      <c r="V1488" s="71">
        <f>IFERROR(IF(AND(H1488&gt;=INDEX(PEMAGANG!$J$3:$J$36,MATCH(B1488,PEMAGANG!$C$3:$C$36,0)),H1488&lt;=INDEX(PEMAGANG!$K$3:$K$36,MATCH(B1488,PEMAGANG!$C$3:$C$36,0))),1,0),0)</f>
        <v>1</v>
      </c>
      <c r="W1488" s="71">
        <f t="shared" si="215"/>
        <v>0</v>
      </c>
    </row>
    <row r="1489" spans="1:23" x14ac:dyDescent="0.2">
      <c r="A1489" s="71" t="s">
        <v>218</v>
      </c>
      <c r="B1489" s="71" t="s">
        <v>219</v>
      </c>
      <c r="C1489" s="71" t="s">
        <v>221</v>
      </c>
      <c r="D1489" s="71" t="s">
        <v>220</v>
      </c>
      <c r="E1489" s="71" t="s">
        <v>345</v>
      </c>
      <c r="F1489" s="71" t="s">
        <v>300</v>
      </c>
      <c r="G1489" s="88">
        <v>46290.656423611101</v>
      </c>
      <c r="H1489" s="89">
        <v>46290</v>
      </c>
      <c r="I1489" s="71" t="s">
        <v>569</v>
      </c>
      <c r="J1489" s="71">
        <v>0</v>
      </c>
      <c r="K1489" s="71" t="s">
        <v>302</v>
      </c>
      <c r="L1489" s="71">
        <f t="shared" si="207"/>
        <v>9</v>
      </c>
      <c r="M1489" s="71" t="str">
        <f>IFERROR(INDEX(KALENDER!$D$3:$D$132,MATCH(H1489,KALENDER!$A$3:$A$132,0)),"Di luar periode")</f>
        <v>Hari Kerja</v>
      </c>
      <c r="N1489" s="71">
        <f t="shared" si="208"/>
        <v>0</v>
      </c>
      <c r="O1489" s="71">
        <f t="shared" si="209"/>
        <v>2</v>
      </c>
      <c r="P1489" s="71">
        <f t="shared" si="210"/>
        <v>0</v>
      </c>
      <c r="Q1489" s="71">
        <f t="shared" si="211"/>
        <v>0</v>
      </c>
      <c r="R1489" s="71">
        <f t="shared" si="212"/>
        <v>0</v>
      </c>
      <c r="S1489" s="71">
        <f t="shared" si="213"/>
        <v>0</v>
      </c>
      <c r="T1489" s="71">
        <f t="shared" si="214"/>
        <v>0</v>
      </c>
      <c r="U1489" s="71">
        <f>IF(AND(N1489=1,V1489=1),IF(COUNTIFS(AKTIVITAS!$B$2:$B$3052,B1489,AKTIVITAS!$E$2:$E$3052,H1489)&gt;0,1,0),0)</f>
        <v>0</v>
      </c>
      <c r="V1489" s="71">
        <f>IFERROR(IF(AND(H1489&gt;=INDEX(PEMAGANG!$J$3:$J$36,MATCH(B1489,PEMAGANG!$C$3:$C$36,0)),H1489&lt;=INDEX(PEMAGANG!$K$3:$K$36,MATCH(B1489,PEMAGANG!$C$3:$C$36,0))),1,0),0)</f>
        <v>1</v>
      </c>
      <c r="W1489" s="71">
        <f t="shared" si="215"/>
        <v>0</v>
      </c>
    </row>
    <row r="1490" spans="1:23" x14ac:dyDescent="0.2">
      <c r="A1490" s="71" t="s">
        <v>218</v>
      </c>
      <c r="B1490" s="71" t="s">
        <v>219</v>
      </c>
      <c r="C1490" s="71" t="s">
        <v>221</v>
      </c>
      <c r="D1490" s="71" t="s">
        <v>220</v>
      </c>
      <c r="E1490" s="71" t="s">
        <v>345</v>
      </c>
      <c r="F1490" s="71" t="s">
        <v>300</v>
      </c>
      <c r="G1490" s="88">
        <v>46290.656423611101</v>
      </c>
      <c r="H1490" s="89">
        <v>46290</v>
      </c>
      <c r="I1490" s="71" t="s">
        <v>569</v>
      </c>
      <c r="J1490" s="71">
        <v>0</v>
      </c>
      <c r="K1490" s="71" t="s">
        <v>302</v>
      </c>
      <c r="L1490" s="71">
        <f t="shared" si="207"/>
        <v>9</v>
      </c>
      <c r="M1490" s="71" t="str">
        <f>IFERROR(INDEX(KALENDER!$D$3:$D$132,MATCH(H1490,KALENDER!$A$3:$A$132,0)),"Di luar periode")</f>
        <v>Hari Kerja</v>
      </c>
      <c r="N1490" s="71">
        <f t="shared" si="208"/>
        <v>0</v>
      </c>
      <c r="O1490" s="71">
        <f t="shared" si="209"/>
        <v>2</v>
      </c>
      <c r="P1490" s="71">
        <f t="shared" si="210"/>
        <v>0</v>
      </c>
      <c r="Q1490" s="71">
        <f t="shared" si="211"/>
        <v>0</v>
      </c>
      <c r="R1490" s="71">
        <f t="shared" si="212"/>
        <v>0</v>
      </c>
      <c r="S1490" s="71">
        <f t="shared" si="213"/>
        <v>0</v>
      </c>
      <c r="T1490" s="71">
        <f t="shared" si="214"/>
        <v>0</v>
      </c>
      <c r="U1490" s="71">
        <f>IF(AND(N1490=1,V1490=1),IF(COUNTIFS(AKTIVITAS!$B$2:$B$3052,B1490,AKTIVITAS!$E$2:$E$3052,H1490)&gt;0,1,0),0)</f>
        <v>0</v>
      </c>
      <c r="V1490" s="71">
        <f>IFERROR(IF(AND(H1490&gt;=INDEX(PEMAGANG!$J$3:$J$36,MATCH(B1490,PEMAGANG!$C$3:$C$36,0)),H1490&lt;=INDEX(PEMAGANG!$K$3:$K$36,MATCH(B1490,PEMAGANG!$C$3:$C$36,0))),1,0),0)</f>
        <v>1</v>
      </c>
      <c r="W1490" s="71">
        <f t="shared" si="215"/>
        <v>0</v>
      </c>
    </row>
    <row r="1491" spans="1:23" x14ac:dyDescent="0.2">
      <c r="A1491" s="71" t="s">
        <v>218</v>
      </c>
      <c r="B1491" s="71" t="s">
        <v>219</v>
      </c>
      <c r="C1491" s="71" t="s">
        <v>221</v>
      </c>
      <c r="D1491" s="71" t="s">
        <v>220</v>
      </c>
      <c r="E1491" s="71" t="s">
        <v>345</v>
      </c>
      <c r="F1491" s="71" t="s">
        <v>298</v>
      </c>
      <c r="G1491" s="88">
        <v>46291.317511574103</v>
      </c>
      <c r="H1491" s="89">
        <v>46291</v>
      </c>
      <c r="I1491" s="71" t="s">
        <v>386</v>
      </c>
      <c r="J1491" s="71">
        <v>7.0000000000000604</v>
      </c>
      <c r="K1491" s="71" t="s">
        <v>293</v>
      </c>
      <c r="L1491" s="71">
        <f t="shared" si="207"/>
        <v>9</v>
      </c>
      <c r="M1491" s="71" t="str">
        <f>IFERROR(INDEX(KALENDER!$D$3:$D$132,MATCH(H1491,KALENDER!$A$3:$A$132,0)),"Di luar periode")</f>
        <v>Libur (Sabtu/Minggu)</v>
      </c>
      <c r="N1491" s="71">
        <f t="shared" si="208"/>
        <v>1</v>
      </c>
      <c r="O1491" s="71">
        <f t="shared" si="209"/>
        <v>1</v>
      </c>
      <c r="P1491" s="71">
        <f t="shared" si="210"/>
        <v>0</v>
      </c>
      <c r="Q1491" s="71">
        <f t="shared" si="211"/>
        <v>1</v>
      </c>
      <c r="R1491" s="71">
        <f t="shared" si="212"/>
        <v>1</v>
      </c>
      <c r="S1491" s="71">
        <f t="shared" si="213"/>
        <v>7.0000000000000604</v>
      </c>
      <c r="T1491" s="71">
        <f t="shared" si="214"/>
        <v>0</v>
      </c>
      <c r="U1491" s="71">
        <f>IF(AND(N1491=1,V1491=1),IF(COUNTIFS(AKTIVITAS!$B$2:$B$3052,B1491,AKTIVITAS!$E$2:$E$3052,H1491)&gt;0,1,0),0)</f>
        <v>1</v>
      </c>
      <c r="V1491" s="71">
        <f>IFERROR(IF(AND(H1491&gt;=INDEX(PEMAGANG!$J$3:$J$36,MATCH(B1491,PEMAGANG!$C$3:$C$36,0)),H1491&lt;=INDEX(PEMAGANG!$K$3:$K$36,MATCH(B1491,PEMAGANG!$C$3:$C$36,0))),1,0),0)</f>
        <v>1</v>
      </c>
      <c r="W1491" s="71">
        <f t="shared" si="215"/>
        <v>1</v>
      </c>
    </row>
    <row r="1492" spans="1:23" x14ac:dyDescent="0.2">
      <c r="A1492" s="71" t="s">
        <v>218</v>
      </c>
      <c r="B1492" s="71" t="s">
        <v>219</v>
      </c>
      <c r="C1492" s="71" t="s">
        <v>221</v>
      </c>
      <c r="D1492" s="71" t="s">
        <v>220</v>
      </c>
      <c r="E1492" s="71" t="s">
        <v>345</v>
      </c>
      <c r="F1492" s="71" t="s">
        <v>298</v>
      </c>
      <c r="G1492" s="88">
        <v>46291.317511574103</v>
      </c>
      <c r="H1492" s="89">
        <v>46291</v>
      </c>
      <c r="I1492" s="71" t="s">
        <v>386</v>
      </c>
      <c r="J1492" s="71">
        <v>7.0000000000000604</v>
      </c>
      <c r="K1492" s="71" t="s">
        <v>293</v>
      </c>
      <c r="L1492" s="71">
        <f t="shared" si="207"/>
        <v>9</v>
      </c>
      <c r="M1492" s="71" t="str">
        <f>IFERROR(INDEX(KALENDER!$D$3:$D$132,MATCH(H1492,KALENDER!$A$3:$A$132,0)),"Di luar periode")</f>
        <v>Libur (Sabtu/Minggu)</v>
      </c>
      <c r="N1492" s="71">
        <f t="shared" si="208"/>
        <v>0</v>
      </c>
      <c r="O1492" s="71">
        <f t="shared" si="209"/>
        <v>2</v>
      </c>
      <c r="P1492" s="71">
        <f t="shared" si="210"/>
        <v>0</v>
      </c>
      <c r="Q1492" s="71">
        <f t="shared" si="211"/>
        <v>0</v>
      </c>
      <c r="R1492" s="71">
        <f t="shared" si="212"/>
        <v>0</v>
      </c>
      <c r="S1492" s="71">
        <f t="shared" si="213"/>
        <v>0</v>
      </c>
      <c r="T1492" s="71">
        <f t="shared" si="214"/>
        <v>0</v>
      </c>
      <c r="U1492" s="71">
        <f>IF(AND(N1492=1,V1492=1),IF(COUNTIFS(AKTIVITAS!$B$2:$B$3052,B1492,AKTIVITAS!$E$2:$E$3052,H1492)&gt;0,1,0),0)</f>
        <v>0</v>
      </c>
      <c r="V1492" s="71">
        <f>IFERROR(IF(AND(H1492&gt;=INDEX(PEMAGANG!$J$3:$J$36,MATCH(B1492,PEMAGANG!$C$3:$C$36,0)),H1492&lt;=INDEX(PEMAGANG!$K$3:$K$36,MATCH(B1492,PEMAGANG!$C$3:$C$36,0))),1,0),0)</f>
        <v>1</v>
      </c>
      <c r="W1492" s="71">
        <f t="shared" si="215"/>
        <v>0</v>
      </c>
    </row>
    <row r="1493" spans="1:23" x14ac:dyDescent="0.2">
      <c r="A1493" s="71" t="s">
        <v>218</v>
      </c>
      <c r="B1493" s="71" t="s">
        <v>219</v>
      </c>
      <c r="C1493" s="71" t="s">
        <v>221</v>
      </c>
      <c r="D1493" s="71" t="s">
        <v>220</v>
      </c>
      <c r="E1493" s="71" t="s">
        <v>345</v>
      </c>
      <c r="F1493" s="71" t="s">
        <v>300</v>
      </c>
      <c r="G1493" s="88">
        <v>46291.596550925897</v>
      </c>
      <c r="H1493" s="89">
        <v>46291</v>
      </c>
      <c r="I1493" s="71" t="s">
        <v>574</v>
      </c>
      <c r="J1493" s="71">
        <v>0</v>
      </c>
      <c r="K1493" s="71" t="s">
        <v>302</v>
      </c>
      <c r="L1493" s="71">
        <f t="shared" si="207"/>
        <v>9</v>
      </c>
      <c r="M1493" s="71" t="str">
        <f>IFERROR(INDEX(KALENDER!$D$3:$D$132,MATCH(H1493,KALENDER!$A$3:$A$132,0)),"Di luar periode")</f>
        <v>Libur (Sabtu/Minggu)</v>
      </c>
      <c r="N1493" s="71">
        <f t="shared" si="208"/>
        <v>0</v>
      </c>
      <c r="O1493" s="71">
        <f t="shared" si="209"/>
        <v>2</v>
      </c>
      <c r="P1493" s="71">
        <f t="shared" si="210"/>
        <v>0</v>
      </c>
      <c r="Q1493" s="71">
        <f t="shared" si="211"/>
        <v>0</v>
      </c>
      <c r="R1493" s="71">
        <f t="shared" si="212"/>
        <v>0</v>
      </c>
      <c r="S1493" s="71">
        <f t="shared" si="213"/>
        <v>0</v>
      </c>
      <c r="T1493" s="71">
        <f t="shared" si="214"/>
        <v>0</v>
      </c>
      <c r="U1493" s="71">
        <f>IF(AND(N1493=1,V1493=1),IF(COUNTIFS(AKTIVITAS!$B$2:$B$3052,B1493,AKTIVITAS!$E$2:$E$3052,H1493)&gt;0,1,0),0)</f>
        <v>0</v>
      </c>
      <c r="V1493" s="71">
        <f>IFERROR(IF(AND(H1493&gt;=INDEX(PEMAGANG!$J$3:$J$36,MATCH(B1493,PEMAGANG!$C$3:$C$36,0)),H1493&lt;=INDEX(PEMAGANG!$K$3:$K$36,MATCH(B1493,PEMAGANG!$C$3:$C$36,0))),1,0),0)</f>
        <v>1</v>
      </c>
      <c r="W1493" s="71">
        <f t="shared" si="215"/>
        <v>0</v>
      </c>
    </row>
    <row r="1494" spans="1:23" x14ac:dyDescent="0.2">
      <c r="A1494" s="71" t="s">
        <v>218</v>
      </c>
      <c r="B1494" s="71" t="s">
        <v>219</v>
      </c>
      <c r="C1494" s="71" t="s">
        <v>221</v>
      </c>
      <c r="D1494" s="71" t="s">
        <v>220</v>
      </c>
      <c r="E1494" s="71" t="s">
        <v>345</v>
      </c>
      <c r="F1494" s="71" t="s">
        <v>300</v>
      </c>
      <c r="G1494" s="88">
        <v>46291.596550925897</v>
      </c>
      <c r="H1494" s="89">
        <v>46291</v>
      </c>
      <c r="I1494" s="71" t="s">
        <v>574</v>
      </c>
      <c r="J1494" s="71">
        <v>0</v>
      </c>
      <c r="K1494" s="71" t="s">
        <v>302</v>
      </c>
      <c r="L1494" s="71">
        <f t="shared" si="207"/>
        <v>9</v>
      </c>
      <c r="M1494" s="71" t="str">
        <f>IFERROR(INDEX(KALENDER!$D$3:$D$132,MATCH(H1494,KALENDER!$A$3:$A$132,0)),"Di luar periode")</f>
        <v>Libur (Sabtu/Minggu)</v>
      </c>
      <c r="N1494" s="71">
        <f t="shared" si="208"/>
        <v>0</v>
      </c>
      <c r="O1494" s="71">
        <f t="shared" si="209"/>
        <v>2</v>
      </c>
      <c r="P1494" s="71">
        <f t="shared" si="210"/>
        <v>0</v>
      </c>
      <c r="Q1494" s="71">
        <f t="shared" si="211"/>
        <v>0</v>
      </c>
      <c r="R1494" s="71">
        <f t="shared" si="212"/>
        <v>0</v>
      </c>
      <c r="S1494" s="71">
        <f t="shared" si="213"/>
        <v>0</v>
      </c>
      <c r="T1494" s="71">
        <f t="shared" si="214"/>
        <v>0</v>
      </c>
      <c r="U1494" s="71">
        <f>IF(AND(N1494=1,V1494=1),IF(COUNTIFS(AKTIVITAS!$B$2:$B$3052,B1494,AKTIVITAS!$E$2:$E$3052,H1494)&gt;0,1,0),0)</f>
        <v>0</v>
      </c>
      <c r="V1494" s="71">
        <f>IFERROR(IF(AND(H1494&gt;=INDEX(PEMAGANG!$J$3:$J$36,MATCH(B1494,PEMAGANG!$C$3:$C$36,0)),H1494&lt;=INDEX(PEMAGANG!$K$3:$K$36,MATCH(B1494,PEMAGANG!$C$3:$C$36,0))),1,0),0)</f>
        <v>1</v>
      </c>
      <c r="W1494" s="71">
        <f t="shared" si="215"/>
        <v>0</v>
      </c>
    </row>
    <row r="1495" spans="1:23" x14ac:dyDescent="0.2">
      <c r="A1495" s="71" t="s">
        <v>218</v>
      </c>
      <c r="B1495" s="71" t="s">
        <v>219</v>
      </c>
      <c r="C1495" s="71" t="s">
        <v>221</v>
      </c>
      <c r="D1495" s="71" t="s">
        <v>220</v>
      </c>
      <c r="E1495" s="71" t="s">
        <v>345</v>
      </c>
      <c r="F1495" s="71" t="s">
        <v>298</v>
      </c>
      <c r="G1495" s="88">
        <v>46293.315706018497</v>
      </c>
      <c r="H1495" s="89">
        <v>46293</v>
      </c>
      <c r="I1495" s="71" t="s">
        <v>373</v>
      </c>
      <c r="J1495" s="71">
        <v>3.9999999999999898</v>
      </c>
      <c r="K1495" s="71" t="s">
        <v>293</v>
      </c>
      <c r="L1495" s="71">
        <f t="shared" si="207"/>
        <v>9</v>
      </c>
      <c r="M1495" s="71" t="str">
        <f>IFERROR(INDEX(KALENDER!$D$3:$D$132,MATCH(H1495,KALENDER!$A$3:$A$132,0)),"Di luar periode")</f>
        <v>Hari Kerja</v>
      </c>
      <c r="N1495" s="71">
        <f t="shared" si="208"/>
        <v>1</v>
      </c>
      <c r="O1495" s="71">
        <f t="shared" si="209"/>
        <v>1</v>
      </c>
      <c r="P1495" s="71">
        <f t="shared" si="210"/>
        <v>1</v>
      </c>
      <c r="Q1495" s="71">
        <f t="shared" si="211"/>
        <v>0</v>
      </c>
      <c r="R1495" s="71">
        <f t="shared" si="212"/>
        <v>1</v>
      </c>
      <c r="S1495" s="71">
        <f t="shared" si="213"/>
        <v>3.9999999999999898</v>
      </c>
      <c r="T1495" s="71">
        <f t="shared" si="214"/>
        <v>0</v>
      </c>
      <c r="U1495" s="71">
        <f>IF(AND(N1495=1,V1495=1),IF(COUNTIFS(AKTIVITAS!$B$2:$B$3052,B1495,AKTIVITAS!$E$2:$E$3052,H1495)&gt;0,1,0),0)</f>
        <v>1</v>
      </c>
      <c r="V1495" s="71">
        <f>IFERROR(IF(AND(H1495&gt;=INDEX(PEMAGANG!$J$3:$J$36,MATCH(B1495,PEMAGANG!$C$3:$C$36,0)),H1495&lt;=INDEX(PEMAGANG!$K$3:$K$36,MATCH(B1495,PEMAGANG!$C$3:$C$36,0))),1,0),0)</f>
        <v>1</v>
      </c>
      <c r="W1495" s="71">
        <f t="shared" si="215"/>
        <v>1</v>
      </c>
    </row>
    <row r="1496" spans="1:23" x14ac:dyDescent="0.2">
      <c r="A1496" s="71" t="s">
        <v>218</v>
      </c>
      <c r="B1496" s="71" t="s">
        <v>219</v>
      </c>
      <c r="C1496" s="71" t="s">
        <v>221</v>
      </c>
      <c r="D1496" s="71" t="s">
        <v>220</v>
      </c>
      <c r="E1496" s="71" t="s">
        <v>345</v>
      </c>
      <c r="F1496" s="71" t="s">
        <v>298</v>
      </c>
      <c r="G1496" s="88">
        <v>46293.315706018497</v>
      </c>
      <c r="H1496" s="89">
        <v>46293</v>
      </c>
      <c r="I1496" s="71" t="s">
        <v>373</v>
      </c>
      <c r="J1496" s="71">
        <v>3.9999999999999898</v>
      </c>
      <c r="K1496" s="71" t="s">
        <v>293</v>
      </c>
      <c r="L1496" s="71">
        <f t="shared" si="207"/>
        <v>9</v>
      </c>
      <c r="M1496" s="71" t="str">
        <f>IFERROR(INDEX(KALENDER!$D$3:$D$132,MATCH(H1496,KALENDER!$A$3:$A$132,0)),"Di luar periode")</f>
        <v>Hari Kerja</v>
      </c>
      <c r="N1496" s="71">
        <f t="shared" si="208"/>
        <v>0</v>
      </c>
      <c r="O1496" s="71">
        <f t="shared" si="209"/>
        <v>2</v>
      </c>
      <c r="P1496" s="71">
        <f t="shared" si="210"/>
        <v>0</v>
      </c>
      <c r="Q1496" s="71">
        <f t="shared" si="211"/>
        <v>0</v>
      </c>
      <c r="R1496" s="71">
        <f t="shared" si="212"/>
        <v>0</v>
      </c>
      <c r="S1496" s="71">
        <f t="shared" si="213"/>
        <v>0</v>
      </c>
      <c r="T1496" s="71">
        <f t="shared" si="214"/>
        <v>0</v>
      </c>
      <c r="U1496" s="71">
        <f>IF(AND(N1496=1,V1496=1),IF(COUNTIFS(AKTIVITAS!$B$2:$B$3052,B1496,AKTIVITAS!$E$2:$E$3052,H1496)&gt;0,1,0),0)</f>
        <v>0</v>
      </c>
      <c r="V1496" s="71">
        <f>IFERROR(IF(AND(H1496&gt;=INDEX(PEMAGANG!$J$3:$J$36,MATCH(B1496,PEMAGANG!$C$3:$C$36,0)),H1496&lt;=INDEX(PEMAGANG!$K$3:$K$36,MATCH(B1496,PEMAGANG!$C$3:$C$36,0))),1,0),0)</f>
        <v>1</v>
      </c>
      <c r="W1496" s="71">
        <f t="shared" si="215"/>
        <v>0</v>
      </c>
    </row>
    <row r="1497" spans="1:23" x14ac:dyDescent="0.2">
      <c r="A1497" s="71" t="s">
        <v>218</v>
      </c>
      <c r="B1497" s="71" t="s">
        <v>219</v>
      </c>
      <c r="C1497" s="71" t="s">
        <v>221</v>
      </c>
      <c r="D1497" s="71" t="s">
        <v>220</v>
      </c>
      <c r="E1497" s="71" t="s">
        <v>345</v>
      </c>
      <c r="F1497" s="71" t="s">
        <v>300</v>
      </c>
      <c r="G1497" s="88">
        <v>46293.652581018498</v>
      </c>
      <c r="H1497" s="89">
        <v>46293</v>
      </c>
      <c r="I1497" s="71" t="s">
        <v>575</v>
      </c>
      <c r="J1497" s="71">
        <v>0</v>
      </c>
      <c r="K1497" s="71" t="s">
        <v>302</v>
      </c>
      <c r="L1497" s="71">
        <f t="shared" si="207"/>
        <v>9</v>
      </c>
      <c r="M1497" s="71" t="str">
        <f>IFERROR(INDEX(KALENDER!$D$3:$D$132,MATCH(H1497,KALENDER!$A$3:$A$132,0)),"Di luar periode")</f>
        <v>Hari Kerja</v>
      </c>
      <c r="N1497" s="71">
        <f t="shared" si="208"/>
        <v>0</v>
      </c>
      <c r="O1497" s="71">
        <f t="shared" si="209"/>
        <v>2</v>
      </c>
      <c r="P1497" s="71">
        <f t="shared" si="210"/>
        <v>0</v>
      </c>
      <c r="Q1497" s="71">
        <f t="shared" si="211"/>
        <v>0</v>
      </c>
      <c r="R1497" s="71">
        <f t="shared" si="212"/>
        <v>0</v>
      </c>
      <c r="S1497" s="71">
        <f t="shared" si="213"/>
        <v>0</v>
      </c>
      <c r="T1497" s="71">
        <f t="shared" si="214"/>
        <v>0</v>
      </c>
      <c r="U1497" s="71">
        <f>IF(AND(N1497=1,V1497=1),IF(COUNTIFS(AKTIVITAS!$B$2:$B$3052,B1497,AKTIVITAS!$E$2:$E$3052,H1497)&gt;0,1,0),0)</f>
        <v>0</v>
      </c>
      <c r="V1497" s="71">
        <f>IFERROR(IF(AND(H1497&gt;=INDEX(PEMAGANG!$J$3:$J$36,MATCH(B1497,PEMAGANG!$C$3:$C$36,0)),H1497&lt;=INDEX(PEMAGANG!$K$3:$K$36,MATCH(B1497,PEMAGANG!$C$3:$C$36,0))),1,0),0)</f>
        <v>1</v>
      </c>
      <c r="W1497" s="71">
        <f t="shared" si="215"/>
        <v>0</v>
      </c>
    </row>
    <row r="1498" spans="1:23" x14ac:dyDescent="0.2">
      <c r="A1498" s="71" t="s">
        <v>218</v>
      </c>
      <c r="B1498" s="71" t="s">
        <v>219</v>
      </c>
      <c r="C1498" s="71" t="s">
        <v>221</v>
      </c>
      <c r="D1498" s="71" t="s">
        <v>220</v>
      </c>
      <c r="E1498" s="71" t="s">
        <v>345</v>
      </c>
      <c r="F1498" s="71" t="s">
        <v>300</v>
      </c>
      <c r="G1498" s="88">
        <v>46293.652581018498</v>
      </c>
      <c r="H1498" s="89">
        <v>46293</v>
      </c>
      <c r="I1498" s="71" t="s">
        <v>575</v>
      </c>
      <c r="J1498" s="71">
        <v>0</v>
      </c>
      <c r="K1498" s="71" t="s">
        <v>302</v>
      </c>
      <c r="L1498" s="71">
        <f t="shared" si="207"/>
        <v>9</v>
      </c>
      <c r="M1498" s="71" t="str">
        <f>IFERROR(INDEX(KALENDER!$D$3:$D$132,MATCH(H1498,KALENDER!$A$3:$A$132,0)),"Di luar periode")</f>
        <v>Hari Kerja</v>
      </c>
      <c r="N1498" s="71">
        <f t="shared" si="208"/>
        <v>0</v>
      </c>
      <c r="O1498" s="71">
        <f t="shared" si="209"/>
        <v>2</v>
      </c>
      <c r="P1498" s="71">
        <f t="shared" si="210"/>
        <v>0</v>
      </c>
      <c r="Q1498" s="71">
        <f t="shared" si="211"/>
        <v>0</v>
      </c>
      <c r="R1498" s="71">
        <f t="shared" si="212"/>
        <v>0</v>
      </c>
      <c r="S1498" s="71">
        <f t="shared" si="213"/>
        <v>0</v>
      </c>
      <c r="T1498" s="71">
        <f t="shared" si="214"/>
        <v>0</v>
      </c>
      <c r="U1498" s="71">
        <f>IF(AND(N1498=1,V1498=1),IF(COUNTIFS(AKTIVITAS!$B$2:$B$3052,B1498,AKTIVITAS!$E$2:$E$3052,H1498)&gt;0,1,0),0)</f>
        <v>0</v>
      </c>
      <c r="V1498" s="71">
        <f>IFERROR(IF(AND(H1498&gt;=INDEX(PEMAGANG!$J$3:$J$36,MATCH(B1498,PEMAGANG!$C$3:$C$36,0)),H1498&lt;=INDEX(PEMAGANG!$K$3:$K$36,MATCH(B1498,PEMAGANG!$C$3:$C$36,0))),1,0),0)</f>
        <v>1</v>
      </c>
      <c r="W1498" s="71">
        <f t="shared" si="215"/>
        <v>0</v>
      </c>
    </row>
    <row r="1499" spans="1:23" x14ac:dyDescent="0.2">
      <c r="A1499" s="71" t="s">
        <v>218</v>
      </c>
      <c r="B1499" s="71" t="s">
        <v>219</v>
      </c>
      <c r="C1499" s="71" t="s">
        <v>221</v>
      </c>
      <c r="D1499" s="71" t="s">
        <v>220</v>
      </c>
      <c r="E1499" s="71" t="s">
        <v>345</v>
      </c>
      <c r="F1499" s="71" t="s">
        <v>298</v>
      </c>
      <c r="G1499" s="88">
        <v>46294.314687500002</v>
      </c>
      <c r="H1499" s="89">
        <v>46294</v>
      </c>
      <c r="I1499" s="71" t="s">
        <v>383</v>
      </c>
      <c r="J1499" s="71">
        <v>2.9999999999999898</v>
      </c>
      <c r="K1499" s="71" t="s">
        <v>293</v>
      </c>
      <c r="L1499" s="71">
        <f t="shared" si="207"/>
        <v>9</v>
      </c>
      <c r="M1499" s="71" t="str">
        <f>IFERROR(INDEX(KALENDER!$D$3:$D$132,MATCH(H1499,KALENDER!$A$3:$A$132,0)),"Di luar periode")</f>
        <v>Hari Kerja</v>
      </c>
      <c r="N1499" s="71">
        <f t="shared" si="208"/>
        <v>1</v>
      </c>
      <c r="O1499" s="71">
        <f t="shared" si="209"/>
        <v>1</v>
      </c>
      <c r="P1499" s="71">
        <f t="shared" si="210"/>
        <v>1</v>
      </c>
      <c r="Q1499" s="71">
        <f t="shared" si="211"/>
        <v>0</v>
      </c>
      <c r="R1499" s="71">
        <f t="shared" si="212"/>
        <v>1</v>
      </c>
      <c r="S1499" s="71">
        <f t="shared" si="213"/>
        <v>2.9999999999999898</v>
      </c>
      <c r="T1499" s="71">
        <f t="shared" si="214"/>
        <v>0</v>
      </c>
      <c r="U1499" s="71">
        <f>IF(AND(N1499=1,V1499=1),IF(COUNTIFS(AKTIVITAS!$B$2:$B$3052,B1499,AKTIVITAS!$E$2:$E$3052,H1499)&gt;0,1,0),0)</f>
        <v>1</v>
      </c>
      <c r="V1499" s="71">
        <f>IFERROR(IF(AND(H1499&gt;=INDEX(PEMAGANG!$J$3:$J$36,MATCH(B1499,PEMAGANG!$C$3:$C$36,0)),H1499&lt;=INDEX(PEMAGANG!$K$3:$K$36,MATCH(B1499,PEMAGANG!$C$3:$C$36,0))),1,0),0)</f>
        <v>1</v>
      </c>
      <c r="W1499" s="71">
        <f t="shared" si="215"/>
        <v>1</v>
      </c>
    </row>
    <row r="1500" spans="1:23" x14ac:dyDescent="0.2">
      <c r="A1500" s="71" t="s">
        <v>218</v>
      </c>
      <c r="B1500" s="71" t="s">
        <v>219</v>
      </c>
      <c r="C1500" s="71" t="s">
        <v>221</v>
      </c>
      <c r="D1500" s="71" t="s">
        <v>220</v>
      </c>
      <c r="E1500" s="71" t="s">
        <v>345</v>
      </c>
      <c r="F1500" s="71" t="s">
        <v>298</v>
      </c>
      <c r="G1500" s="88">
        <v>46294.314687500002</v>
      </c>
      <c r="H1500" s="89">
        <v>46294</v>
      </c>
      <c r="I1500" s="71" t="s">
        <v>383</v>
      </c>
      <c r="J1500" s="71">
        <v>2.9999999999999898</v>
      </c>
      <c r="K1500" s="71" t="s">
        <v>293</v>
      </c>
      <c r="L1500" s="71">
        <f t="shared" si="207"/>
        <v>9</v>
      </c>
      <c r="M1500" s="71" t="str">
        <f>IFERROR(INDEX(KALENDER!$D$3:$D$132,MATCH(H1500,KALENDER!$A$3:$A$132,0)),"Di luar periode")</f>
        <v>Hari Kerja</v>
      </c>
      <c r="N1500" s="71">
        <f t="shared" si="208"/>
        <v>0</v>
      </c>
      <c r="O1500" s="71">
        <f t="shared" si="209"/>
        <v>2</v>
      </c>
      <c r="P1500" s="71">
        <f t="shared" si="210"/>
        <v>0</v>
      </c>
      <c r="Q1500" s="71">
        <f t="shared" si="211"/>
        <v>0</v>
      </c>
      <c r="R1500" s="71">
        <f t="shared" si="212"/>
        <v>0</v>
      </c>
      <c r="S1500" s="71">
        <f t="shared" si="213"/>
        <v>0</v>
      </c>
      <c r="T1500" s="71">
        <f t="shared" si="214"/>
        <v>0</v>
      </c>
      <c r="U1500" s="71">
        <f>IF(AND(N1500=1,V1500=1),IF(COUNTIFS(AKTIVITAS!$B$2:$B$3052,B1500,AKTIVITAS!$E$2:$E$3052,H1500)&gt;0,1,0),0)</f>
        <v>0</v>
      </c>
      <c r="V1500" s="71">
        <f>IFERROR(IF(AND(H1500&gt;=INDEX(PEMAGANG!$J$3:$J$36,MATCH(B1500,PEMAGANG!$C$3:$C$36,0)),H1500&lt;=INDEX(PEMAGANG!$K$3:$K$36,MATCH(B1500,PEMAGANG!$C$3:$C$36,0))),1,0),0)</f>
        <v>1</v>
      </c>
      <c r="W1500" s="71">
        <f t="shared" si="215"/>
        <v>0</v>
      </c>
    </row>
    <row r="1501" spans="1:23" x14ac:dyDescent="0.2">
      <c r="A1501" s="71" t="s">
        <v>218</v>
      </c>
      <c r="B1501" s="71" t="s">
        <v>219</v>
      </c>
      <c r="C1501" s="71" t="s">
        <v>221</v>
      </c>
      <c r="D1501" s="71" t="s">
        <v>220</v>
      </c>
      <c r="E1501" s="71" t="s">
        <v>345</v>
      </c>
      <c r="F1501" s="71" t="s">
        <v>300</v>
      </c>
      <c r="G1501" s="88">
        <v>46294.655729166698</v>
      </c>
      <c r="H1501" s="89">
        <v>46294</v>
      </c>
      <c r="I1501" s="71" t="s">
        <v>522</v>
      </c>
      <c r="J1501" s="71">
        <v>0</v>
      </c>
      <c r="K1501" s="71" t="s">
        <v>302</v>
      </c>
      <c r="L1501" s="71">
        <f t="shared" si="207"/>
        <v>9</v>
      </c>
      <c r="M1501" s="71" t="str">
        <f>IFERROR(INDEX(KALENDER!$D$3:$D$132,MATCH(H1501,KALENDER!$A$3:$A$132,0)),"Di luar periode")</f>
        <v>Hari Kerja</v>
      </c>
      <c r="N1501" s="71">
        <f t="shared" si="208"/>
        <v>0</v>
      </c>
      <c r="O1501" s="71">
        <f t="shared" si="209"/>
        <v>2</v>
      </c>
      <c r="P1501" s="71">
        <f t="shared" si="210"/>
        <v>0</v>
      </c>
      <c r="Q1501" s="71">
        <f t="shared" si="211"/>
        <v>0</v>
      </c>
      <c r="R1501" s="71">
        <f t="shared" si="212"/>
        <v>0</v>
      </c>
      <c r="S1501" s="71">
        <f t="shared" si="213"/>
        <v>0</v>
      </c>
      <c r="T1501" s="71">
        <f t="shared" si="214"/>
        <v>0</v>
      </c>
      <c r="U1501" s="71">
        <f>IF(AND(N1501=1,V1501=1),IF(COUNTIFS(AKTIVITAS!$B$2:$B$3052,B1501,AKTIVITAS!$E$2:$E$3052,H1501)&gt;0,1,0),0)</f>
        <v>0</v>
      </c>
      <c r="V1501" s="71">
        <f>IFERROR(IF(AND(H1501&gt;=INDEX(PEMAGANG!$J$3:$J$36,MATCH(B1501,PEMAGANG!$C$3:$C$36,0)),H1501&lt;=INDEX(PEMAGANG!$K$3:$K$36,MATCH(B1501,PEMAGANG!$C$3:$C$36,0))),1,0),0)</f>
        <v>1</v>
      </c>
      <c r="W1501" s="71">
        <f t="shared" si="215"/>
        <v>0</v>
      </c>
    </row>
    <row r="1502" spans="1:23" x14ac:dyDescent="0.2">
      <c r="A1502" s="71" t="s">
        <v>218</v>
      </c>
      <c r="B1502" s="71" t="s">
        <v>219</v>
      </c>
      <c r="C1502" s="71" t="s">
        <v>221</v>
      </c>
      <c r="D1502" s="71" t="s">
        <v>220</v>
      </c>
      <c r="E1502" s="71" t="s">
        <v>345</v>
      </c>
      <c r="F1502" s="71" t="s">
        <v>300</v>
      </c>
      <c r="G1502" s="88">
        <v>46294.655729166698</v>
      </c>
      <c r="H1502" s="89">
        <v>46294</v>
      </c>
      <c r="I1502" s="71" t="s">
        <v>522</v>
      </c>
      <c r="J1502" s="71">
        <v>0</v>
      </c>
      <c r="K1502" s="71" t="s">
        <v>302</v>
      </c>
      <c r="L1502" s="71">
        <f t="shared" si="207"/>
        <v>9</v>
      </c>
      <c r="M1502" s="71" t="str">
        <f>IFERROR(INDEX(KALENDER!$D$3:$D$132,MATCH(H1502,KALENDER!$A$3:$A$132,0)),"Di luar periode")</f>
        <v>Hari Kerja</v>
      </c>
      <c r="N1502" s="71">
        <f t="shared" si="208"/>
        <v>0</v>
      </c>
      <c r="O1502" s="71">
        <f t="shared" si="209"/>
        <v>2</v>
      </c>
      <c r="P1502" s="71">
        <f t="shared" si="210"/>
        <v>0</v>
      </c>
      <c r="Q1502" s="71">
        <f t="shared" si="211"/>
        <v>0</v>
      </c>
      <c r="R1502" s="71">
        <f t="shared" si="212"/>
        <v>0</v>
      </c>
      <c r="S1502" s="71">
        <f t="shared" si="213"/>
        <v>0</v>
      </c>
      <c r="T1502" s="71">
        <f t="shared" si="214"/>
        <v>0</v>
      </c>
      <c r="U1502" s="71">
        <f>IF(AND(N1502=1,V1502=1),IF(COUNTIFS(AKTIVITAS!$B$2:$B$3052,B1502,AKTIVITAS!$E$2:$E$3052,H1502)&gt;0,1,0),0)</f>
        <v>0</v>
      </c>
      <c r="V1502" s="71">
        <f>IFERROR(IF(AND(H1502&gt;=INDEX(PEMAGANG!$J$3:$J$36,MATCH(B1502,PEMAGANG!$C$3:$C$36,0)),H1502&lt;=INDEX(PEMAGANG!$K$3:$K$36,MATCH(B1502,PEMAGANG!$C$3:$C$36,0))),1,0),0)</f>
        <v>1</v>
      </c>
      <c r="W1502" s="71">
        <f t="shared" si="215"/>
        <v>0</v>
      </c>
    </row>
    <row r="1503" spans="1:23" x14ac:dyDescent="0.2">
      <c r="A1503" s="71" t="s">
        <v>218</v>
      </c>
      <c r="B1503" s="71" t="s">
        <v>219</v>
      </c>
      <c r="C1503" s="71" t="s">
        <v>221</v>
      </c>
      <c r="D1503" s="71" t="s">
        <v>220</v>
      </c>
      <c r="E1503" s="71" t="s">
        <v>345</v>
      </c>
      <c r="F1503" s="71" t="s">
        <v>298</v>
      </c>
      <c r="G1503" s="88">
        <v>46295.319201388898</v>
      </c>
      <c r="H1503" s="89">
        <v>46295</v>
      </c>
      <c r="I1503" s="71" t="s">
        <v>515</v>
      </c>
      <c r="J1503" s="71">
        <v>9.0000000000000497</v>
      </c>
      <c r="K1503" s="71" t="s">
        <v>293</v>
      </c>
      <c r="L1503" s="71">
        <f t="shared" si="207"/>
        <v>9</v>
      </c>
      <c r="M1503" s="71" t="str">
        <f>IFERROR(INDEX(KALENDER!$D$3:$D$132,MATCH(H1503,KALENDER!$A$3:$A$132,0)),"Di luar periode")</f>
        <v>Hari Kerja</v>
      </c>
      <c r="N1503" s="71">
        <f t="shared" si="208"/>
        <v>1</v>
      </c>
      <c r="O1503" s="71">
        <f t="shared" si="209"/>
        <v>1</v>
      </c>
      <c r="P1503" s="71">
        <f t="shared" si="210"/>
        <v>1</v>
      </c>
      <c r="Q1503" s="71">
        <f t="shared" si="211"/>
        <v>0</v>
      </c>
      <c r="R1503" s="71">
        <f t="shared" si="212"/>
        <v>1</v>
      </c>
      <c r="S1503" s="71">
        <f t="shared" si="213"/>
        <v>9.0000000000000497</v>
      </c>
      <c r="T1503" s="71">
        <f t="shared" si="214"/>
        <v>0</v>
      </c>
      <c r="U1503" s="71">
        <f>IF(AND(N1503=1,V1503=1),IF(COUNTIFS(AKTIVITAS!$B$2:$B$3052,B1503,AKTIVITAS!$E$2:$E$3052,H1503)&gt;0,1,0),0)</f>
        <v>1</v>
      </c>
      <c r="V1503" s="71">
        <f>IFERROR(IF(AND(H1503&gt;=INDEX(PEMAGANG!$J$3:$J$36,MATCH(B1503,PEMAGANG!$C$3:$C$36,0)),H1503&lt;=INDEX(PEMAGANG!$K$3:$K$36,MATCH(B1503,PEMAGANG!$C$3:$C$36,0))),1,0),0)</f>
        <v>1</v>
      </c>
      <c r="W1503" s="71">
        <f t="shared" si="215"/>
        <v>1</v>
      </c>
    </row>
    <row r="1504" spans="1:23" x14ac:dyDescent="0.2">
      <c r="A1504" s="71" t="s">
        <v>218</v>
      </c>
      <c r="B1504" s="71" t="s">
        <v>219</v>
      </c>
      <c r="C1504" s="71" t="s">
        <v>221</v>
      </c>
      <c r="D1504" s="71" t="s">
        <v>220</v>
      </c>
      <c r="E1504" s="71" t="s">
        <v>345</v>
      </c>
      <c r="F1504" s="71" t="s">
        <v>298</v>
      </c>
      <c r="G1504" s="88">
        <v>46295.319201388898</v>
      </c>
      <c r="H1504" s="89">
        <v>46295</v>
      </c>
      <c r="I1504" s="71" t="s">
        <v>515</v>
      </c>
      <c r="J1504" s="71">
        <v>9.0000000000000497</v>
      </c>
      <c r="K1504" s="71" t="s">
        <v>293</v>
      </c>
      <c r="L1504" s="71">
        <f t="shared" si="207"/>
        <v>9</v>
      </c>
      <c r="M1504" s="71" t="str">
        <f>IFERROR(INDEX(KALENDER!$D$3:$D$132,MATCH(H1504,KALENDER!$A$3:$A$132,0)),"Di luar periode")</f>
        <v>Hari Kerja</v>
      </c>
      <c r="N1504" s="71">
        <f t="shared" si="208"/>
        <v>0</v>
      </c>
      <c r="O1504" s="71">
        <f t="shared" si="209"/>
        <v>2</v>
      </c>
      <c r="P1504" s="71">
        <f t="shared" si="210"/>
        <v>0</v>
      </c>
      <c r="Q1504" s="71">
        <f t="shared" si="211"/>
        <v>0</v>
      </c>
      <c r="R1504" s="71">
        <f t="shared" si="212"/>
        <v>0</v>
      </c>
      <c r="S1504" s="71">
        <f t="shared" si="213"/>
        <v>0</v>
      </c>
      <c r="T1504" s="71">
        <f t="shared" si="214"/>
        <v>0</v>
      </c>
      <c r="U1504" s="71">
        <f>IF(AND(N1504=1,V1504=1),IF(COUNTIFS(AKTIVITAS!$B$2:$B$3052,B1504,AKTIVITAS!$E$2:$E$3052,H1504)&gt;0,1,0),0)</f>
        <v>0</v>
      </c>
      <c r="V1504" s="71">
        <f>IFERROR(IF(AND(H1504&gt;=INDEX(PEMAGANG!$J$3:$J$36,MATCH(B1504,PEMAGANG!$C$3:$C$36,0)),H1504&lt;=INDEX(PEMAGANG!$K$3:$K$36,MATCH(B1504,PEMAGANG!$C$3:$C$36,0))),1,0),0)</f>
        <v>1</v>
      </c>
      <c r="W1504" s="71">
        <f t="shared" si="215"/>
        <v>0</v>
      </c>
    </row>
    <row r="1505" spans="1:23" x14ac:dyDescent="0.2">
      <c r="A1505" s="71" t="s">
        <v>218</v>
      </c>
      <c r="B1505" s="71" t="s">
        <v>219</v>
      </c>
      <c r="C1505" s="71" t="s">
        <v>221</v>
      </c>
      <c r="D1505" s="71" t="s">
        <v>220</v>
      </c>
      <c r="E1505" s="71" t="s">
        <v>345</v>
      </c>
      <c r="F1505" s="71" t="s">
        <v>300</v>
      </c>
      <c r="G1505" s="88">
        <v>46295.667928240699</v>
      </c>
      <c r="H1505" s="89">
        <v>46295</v>
      </c>
      <c r="I1505" s="71" t="s">
        <v>547</v>
      </c>
      <c r="J1505" s="71">
        <v>0</v>
      </c>
      <c r="K1505" s="71" t="s">
        <v>302</v>
      </c>
      <c r="L1505" s="71">
        <f t="shared" si="207"/>
        <v>9</v>
      </c>
      <c r="M1505" s="71" t="str">
        <f>IFERROR(INDEX(KALENDER!$D$3:$D$132,MATCH(H1505,KALENDER!$A$3:$A$132,0)),"Di luar periode")</f>
        <v>Hari Kerja</v>
      </c>
      <c r="N1505" s="71">
        <f t="shared" si="208"/>
        <v>0</v>
      </c>
      <c r="O1505" s="71">
        <f t="shared" si="209"/>
        <v>2</v>
      </c>
      <c r="P1505" s="71">
        <f t="shared" si="210"/>
        <v>0</v>
      </c>
      <c r="Q1505" s="71">
        <f t="shared" si="211"/>
        <v>0</v>
      </c>
      <c r="R1505" s="71">
        <f t="shared" si="212"/>
        <v>0</v>
      </c>
      <c r="S1505" s="71">
        <f t="shared" si="213"/>
        <v>0</v>
      </c>
      <c r="T1505" s="71">
        <f t="shared" si="214"/>
        <v>0</v>
      </c>
      <c r="U1505" s="71">
        <f>IF(AND(N1505=1,V1505=1),IF(COUNTIFS(AKTIVITAS!$B$2:$B$3052,B1505,AKTIVITAS!$E$2:$E$3052,H1505)&gt;0,1,0),0)</f>
        <v>0</v>
      </c>
      <c r="V1505" s="71">
        <f>IFERROR(IF(AND(H1505&gt;=INDEX(PEMAGANG!$J$3:$J$36,MATCH(B1505,PEMAGANG!$C$3:$C$36,0)),H1505&lt;=INDEX(PEMAGANG!$K$3:$K$36,MATCH(B1505,PEMAGANG!$C$3:$C$36,0))),1,0),0)</f>
        <v>1</v>
      </c>
      <c r="W1505" s="71">
        <f t="shared" si="215"/>
        <v>0</v>
      </c>
    </row>
    <row r="1506" spans="1:23" x14ac:dyDescent="0.2">
      <c r="A1506" s="71" t="s">
        <v>218</v>
      </c>
      <c r="B1506" s="71" t="s">
        <v>219</v>
      </c>
      <c r="C1506" s="71" t="s">
        <v>221</v>
      </c>
      <c r="D1506" s="71" t="s">
        <v>220</v>
      </c>
      <c r="E1506" s="71" t="s">
        <v>345</v>
      </c>
      <c r="F1506" s="71" t="s">
        <v>300</v>
      </c>
      <c r="G1506" s="88">
        <v>46295.667928240699</v>
      </c>
      <c r="H1506" s="89">
        <v>46295</v>
      </c>
      <c r="I1506" s="71" t="s">
        <v>547</v>
      </c>
      <c r="J1506" s="71">
        <v>0</v>
      </c>
      <c r="K1506" s="71" t="s">
        <v>302</v>
      </c>
      <c r="L1506" s="71">
        <f t="shared" si="207"/>
        <v>9</v>
      </c>
      <c r="M1506" s="71" t="str">
        <f>IFERROR(INDEX(KALENDER!$D$3:$D$132,MATCH(H1506,KALENDER!$A$3:$A$132,0)),"Di luar periode")</f>
        <v>Hari Kerja</v>
      </c>
      <c r="N1506" s="71">
        <f t="shared" si="208"/>
        <v>0</v>
      </c>
      <c r="O1506" s="71">
        <f t="shared" si="209"/>
        <v>2</v>
      </c>
      <c r="P1506" s="71">
        <f t="shared" si="210"/>
        <v>0</v>
      </c>
      <c r="Q1506" s="71">
        <f t="shared" si="211"/>
        <v>0</v>
      </c>
      <c r="R1506" s="71">
        <f t="shared" si="212"/>
        <v>0</v>
      </c>
      <c r="S1506" s="71">
        <f t="shared" si="213"/>
        <v>0</v>
      </c>
      <c r="T1506" s="71">
        <f t="shared" si="214"/>
        <v>0</v>
      </c>
      <c r="U1506" s="71">
        <f>IF(AND(N1506=1,V1506=1),IF(COUNTIFS(AKTIVITAS!$B$2:$B$3052,B1506,AKTIVITAS!$E$2:$E$3052,H1506)&gt;0,1,0),0)</f>
        <v>0</v>
      </c>
      <c r="V1506" s="71">
        <f>IFERROR(IF(AND(H1506&gt;=INDEX(PEMAGANG!$J$3:$J$36,MATCH(B1506,PEMAGANG!$C$3:$C$36,0)),H1506&lt;=INDEX(PEMAGANG!$K$3:$K$36,MATCH(B1506,PEMAGANG!$C$3:$C$36,0))),1,0),0)</f>
        <v>1</v>
      </c>
      <c r="W1506" s="71">
        <f t="shared" si="215"/>
        <v>0</v>
      </c>
    </row>
    <row r="1507" spans="1:23" x14ac:dyDescent="0.2">
      <c r="A1507" s="71" t="s">
        <v>205</v>
      </c>
      <c r="B1507" s="71" t="s">
        <v>206</v>
      </c>
      <c r="C1507" s="71" t="s">
        <v>187</v>
      </c>
      <c r="D1507" s="71" t="s">
        <v>207</v>
      </c>
      <c r="E1507" s="71" t="s">
        <v>576</v>
      </c>
      <c r="F1507" s="71" t="s">
        <v>298</v>
      </c>
      <c r="G1507" s="88">
        <v>46175.314189814802</v>
      </c>
      <c r="H1507" s="89">
        <v>46175</v>
      </c>
      <c r="I1507" s="71" t="s">
        <v>338</v>
      </c>
      <c r="J1507" s="71">
        <v>1.99999999999999</v>
      </c>
      <c r="K1507" s="71" t="s">
        <v>293</v>
      </c>
      <c r="L1507" s="71">
        <f t="shared" si="207"/>
        <v>6</v>
      </c>
      <c r="M1507" s="71" t="str">
        <f>IFERROR(INDEX(KALENDER!$D$3:$D$132,MATCH(H1507,KALENDER!$A$3:$A$132,0)),"Di luar periode")</f>
        <v>Hari Kerja</v>
      </c>
      <c r="N1507" s="71">
        <f t="shared" si="208"/>
        <v>1</v>
      </c>
      <c r="O1507" s="71">
        <f t="shared" si="209"/>
        <v>1</v>
      </c>
      <c r="P1507" s="71">
        <f t="shared" si="210"/>
        <v>1</v>
      </c>
      <c r="Q1507" s="71">
        <f t="shared" si="211"/>
        <v>0</v>
      </c>
      <c r="R1507" s="71">
        <f t="shared" si="212"/>
        <v>1</v>
      </c>
      <c r="S1507" s="71">
        <f t="shared" si="213"/>
        <v>1.99999999999999</v>
      </c>
      <c r="T1507" s="71">
        <f t="shared" si="214"/>
        <v>0</v>
      </c>
      <c r="U1507" s="71">
        <f>IF(AND(N1507=1,V1507=1),IF(COUNTIFS(AKTIVITAS!$B$2:$B$3052,B1507,AKTIVITAS!$E$2:$E$3052,H1507)&gt;0,1,0),0)</f>
        <v>1</v>
      </c>
      <c r="V1507" s="71">
        <f>IFERROR(IF(AND(H1507&gt;=INDEX(PEMAGANG!$J$3:$J$36,MATCH(B1507,PEMAGANG!$C$3:$C$36,0)),H1507&lt;=INDEX(PEMAGANG!$K$3:$K$36,MATCH(B1507,PEMAGANG!$C$3:$C$36,0))),1,0),0)</f>
        <v>1</v>
      </c>
      <c r="W1507" s="71">
        <f t="shared" si="215"/>
        <v>1</v>
      </c>
    </row>
    <row r="1508" spans="1:23" x14ac:dyDescent="0.2">
      <c r="A1508" s="71" t="s">
        <v>205</v>
      </c>
      <c r="B1508" s="71" t="s">
        <v>206</v>
      </c>
      <c r="C1508" s="71" t="s">
        <v>187</v>
      </c>
      <c r="D1508" s="71" t="s">
        <v>207</v>
      </c>
      <c r="E1508" s="71" t="s">
        <v>576</v>
      </c>
      <c r="F1508" s="71" t="s">
        <v>300</v>
      </c>
      <c r="G1508" s="88">
        <v>46175.691793981503</v>
      </c>
      <c r="H1508" s="89">
        <v>46175</v>
      </c>
      <c r="I1508" s="71" t="s">
        <v>344</v>
      </c>
      <c r="J1508" s="71">
        <v>0</v>
      </c>
      <c r="K1508" s="71" t="s">
        <v>302</v>
      </c>
      <c r="L1508" s="71">
        <f t="shared" si="207"/>
        <v>6</v>
      </c>
      <c r="M1508" s="71" t="str">
        <f>IFERROR(INDEX(KALENDER!$D$3:$D$132,MATCH(H1508,KALENDER!$A$3:$A$132,0)),"Di luar periode")</f>
        <v>Hari Kerja</v>
      </c>
      <c r="N1508" s="71">
        <f t="shared" si="208"/>
        <v>0</v>
      </c>
      <c r="O1508" s="71">
        <f t="shared" si="209"/>
        <v>1</v>
      </c>
      <c r="P1508" s="71">
        <f t="shared" si="210"/>
        <v>0</v>
      </c>
      <c r="Q1508" s="71">
        <f t="shared" si="211"/>
        <v>0</v>
      </c>
      <c r="R1508" s="71">
        <f t="shared" si="212"/>
        <v>0</v>
      </c>
      <c r="S1508" s="71">
        <f t="shared" si="213"/>
        <v>0</v>
      </c>
      <c r="T1508" s="71">
        <f t="shared" si="214"/>
        <v>0</v>
      </c>
      <c r="U1508" s="71">
        <f>IF(AND(N1508=1,V1508=1),IF(COUNTIFS(AKTIVITAS!$B$2:$B$3052,B1508,AKTIVITAS!$E$2:$E$3052,H1508)&gt;0,1,0),0)</f>
        <v>0</v>
      </c>
      <c r="V1508" s="71">
        <f>IFERROR(IF(AND(H1508&gt;=INDEX(PEMAGANG!$J$3:$J$36,MATCH(B1508,PEMAGANG!$C$3:$C$36,0)),H1508&lt;=INDEX(PEMAGANG!$K$3:$K$36,MATCH(B1508,PEMAGANG!$C$3:$C$36,0))),1,0),0)</f>
        <v>1</v>
      </c>
      <c r="W1508" s="71">
        <f t="shared" si="215"/>
        <v>0</v>
      </c>
    </row>
    <row r="1509" spans="1:23" x14ac:dyDescent="0.2">
      <c r="A1509" s="71" t="s">
        <v>205</v>
      </c>
      <c r="B1509" s="71" t="s">
        <v>206</v>
      </c>
      <c r="C1509" s="71" t="s">
        <v>187</v>
      </c>
      <c r="D1509" s="71" t="s">
        <v>207</v>
      </c>
      <c r="E1509" s="71" t="s">
        <v>576</v>
      </c>
      <c r="F1509" s="71" t="s">
        <v>298</v>
      </c>
      <c r="G1509" s="88">
        <v>46176.3465856482</v>
      </c>
      <c r="H1509" s="89">
        <v>46176</v>
      </c>
      <c r="I1509" s="71" t="s">
        <v>577</v>
      </c>
      <c r="J1509" s="71">
        <v>49</v>
      </c>
      <c r="K1509" s="71" t="s">
        <v>293</v>
      </c>
      <c r="L1509" s="71">
        <f t="shared" si="207"/>
        <v>6</v>
      </c>
      <c r="M1509" s="71" t="str">
        <f>IFERROR(INDEX(KALENDER!$D$3:$D$132,MATCH(H1509,KALENDER!$A$3:$A$132,0)),"Di luar periode")</f>
        <v>WFH</v>
      </c>
      <c r="N1509" s="71">
        <f t="shared" si="208"/>
        <v>1</v>
      </c>
      <c r="O1509" s="71">
        <f t="shared" si="209"/>
        <v>1</v>
      </c>
      <c r="P1509" s="71">
        <f t="shared" si="210"/>
        <v>0</v>
      </c>
      <c r="Q1509" s="71">
        <f t="shared" si="211"/>
        <v>1</v>
      </c>
      <c r="R1509" s="71">
        <f t="shared" si="212"/>
        <v>1</v>
      </c>
      <c r="S1509" s="71">
        <f t="shared" si="213"/>
        <v>49</v>
      </c>
      <c r="T1509" s="71">
        <f t="shared" si="214"/>
        <v>0</v>
      </c>
      <c r="U1509" s="71">
        <f>IF(AND(N1509=1,V1509=1),IF(COUNTIFS(AKTIVITAS!$B$2:$B$3052,B1509,AKTIVITAS!$E$2:$E$3052,H1509)&gt;0,1,0),0)</f>
        <v>1</v>
      </c>
      <c r="V1509" s="71">
        <f>IFERROR(IF(AND(H1509&gt;=INDEX(PEMAGANG!$J$3:$J$36,MATCH(B1509,PEMAGANG!$C$3:$C$36,0)),H1509&lt;=INDEX(PEMAGANG!$K$3:$K$36,MATCH(B1509,PEMAGANG!$C$3:$C$36,0))),1,0),0)</f>
        <v>1</v>
      </c>
      <c r="W1509" s="71">
        <f t="shared" si="215"/>
        <v>1</v>
      </c>
    </row>
    <row r="1510" spans="1:23" x14ac:dyDescent="0.2">
      <c r="A1510" s="71" t="s">
        <v>205</v>
      </c>
      <c r="B1510" s="71" t="s">
        <v>206</v>
      </c>
      <c r="C1510" s="71" t="s">
        <v>187</v>
      </c>
      <c r="D1510" s="71" t="s">
        <v>207</v>
      </c>
      <c r="E1510" s="71" t="s">
        <v>576</v>
      </c>
      <c r="F1510" s="71" t="s">
        <v>300</v>
      </c>
      <c r="G1510" s="88">
        <v>46176.770578703698</v>
      </c>
      <c r="H1510" s="89">
        <v>46176</v>
      </c>
      <c r="I1510" s="71" t="s">
        <v>352</v>
      </c>
      <c r="J1510" s="71">
        <v>0</v>
      </c>
      <c r="K1510" s="71" t="s">
        <v>302</v>
      </c>
      <c r="L1510" s="71">
        <f t="shared" si="207"/>
        <v>6</v>
      </c>
      <c r="M1510" s="71" t="str">
        <f>IFERROR(INDEX(KALENDER!$D$3:$D$132,MATCH(H1510,KALENDER!$A$3:$A$132,0)),"Di luar periode")</f>
        <v>WFH</v>
      </c>
      <c r="N1510" s="71">
        <f t="shared" si="208"/>
        <v>0</v>
      </c>
      <c r="O1510" s="71">
        <f t="shared" si="209"/>
        <v>1</v>
      </c>
      <c r="P1510" s="71">
        <f t="shared" si="210"/>
        <v>0</v>
      </c>
      <c r="Q1510" s="71">
        <f t="shared" si="211"/>
        <v>0</v>
      </c>
      <c r="R1510" s="71">
        <f t="shared" si="212"/>
        <v>0</v>
      </c>
      <c r="S1510" s="71">
        <f t="shared" si="213"/>
        <v>0</v>
      </c>
      <c r="T1510" s="71">
        <f t="shared" si="214"/>
        <v>0</v>
      </c>
      <c r="U1510" s="71">
        <f>IF(AND(N1510=1,V1510=1),IF(COUNTIFS(AKTIVITAS!$B$2:$B$3052,B1510,AKTIVITAS!$E$2:$E$3052,H1510)&gt;0,1,0),0)</f>
        <v>0</v>
      </c>
      <c r="V1510" s="71">
        <f>IFERROR(IF(AND(H1510&gt;=INDEX(PEMAGANG!$J$3:$J$36,MATCH(B1510,PEMAGANG!$C$3:$C$36,0)),H1510&lt;=INDEX(PEMAGANG!$K$3:$K$36,MATCH(B1510,PEMAGANG!$C$3:$C$36,0))),1,0),0)</f>
        <v>1</v>
      </c>
      <c r="W1510" s="71">
        <f t="shared" si="215"/>
        <v>0</v>
      </c>
    </row>
    <row r="1511" spans="1:23" x14ac:dyDescent="0.2">
      <c r="A1511" s="71" t="s">
        <v>205</v>
      </c>
      <c r="B1511" s="71" t="s">
        <v>206</v>
      </c>
      <c r="C1511" s="71" t="s">
        <v>187</v>
      </c>
      <c r="D1511" s="71" t="s">
        <v>207</v>
      </c>
      <c r="E1511" s="71" t="s">
        <v>576</v>
      </c>
      <c r="F1511" s="71" t="s">
        <v>298</v>
      </c>
      <c r="G1511" s="88">
        <v>46177.312488425901</v>
      </c>
      <c r="H1511" s="89">
        <v>46177</v>
      </c>
      <c r="I1511" s="71" t="s">
        <v>365</v>
      </c>
      <c r="J1511" s="71">
        <v>-0.999999999999996</v>
      </c>
      <c r="K1511" s="71" t="s">
        <v>302</v>
      </c>
      <c r="L1511" s="71">
        <f t="shared" si="207"/>
        <v>6</v>
      </c>
      <c r="M1511" s="71" t="str">
        <f>IFERROR(INDEX(KALENDER!$D$3:$D$132,MATCH(H1511,KALENDER!$A$3:$A$132,0)),"Di luar periode")</f>
        <v>Hari Kerja</v>
      </c>
      <c r="N1511" s="71">
        <f t="shared" si="208"/>
        <v>1</v>
      </c>
      <c r="O1511" s="71">
        <f t="shared" si="209"/>
        <v>1</v>
      </c>
      <c r="P1511" s="71">
        <f t="shared" si="210"/>
        <v>1</v>
      </c>
      <c r="Q1511" s="71">
        <f t="shared" si="211"/>
        <v>0</v>
      </c>
      <c r="R1511" s="71">
        <f t="shared" si="212"/>
        <v>0</v>
      </c>
      <c r="S1511" s="71">
        <f t="shared" si="213"/>
        <v>0</v>
      </c>
      <c r="T1511" s="71">
        <f t="shared" si="214"/>
        <v>0</v>
      </c>
      <c r="U1511" s="71">
        <f>IF(AND(N1511=1,V1511=1),IF(COUNTIFS(AKTIVITAS!$B$2:$B$3052,B1511,AKTIVITAS!$E$2:$E$3052,H1511)&gt;0,1,0),0)</f>
        <v>1</v>
      </c>
      <c r="V1511" s="71">
        <f>IFERROR(IF(AND(H1511&gt;=INDEX(PEMAGANG!$J$3:$J$36,MATCH(B1511,PEMAGANG!$C$3:$C$36,0)),H1511&lt;=INDEX(PEMAGANG!$K$3:$K$36,MATCH(B1511,PEMAGANG!$C$3:$C$36,0))),1,0),0)</f>
        <v>1</v>
      </c>
      <c r="W1511" s="71">
        <f t="shared" si="215"/>
        <v>1</v>
      </c>
    </row>
    <row r="1512" spans="1:23" x14ac:dyDescent="0.2">
      <c r="A1512" s="71" t="s">
        <v>205</v>
      </c>
      <c r="B1512" s="71" t="s">
        <v>206</v>
      </c>
      <c r="C1512" s="71" t="s">
        <v>187</v>
      </c>
      <c r="D1512" s="71" t="s">
        <v>207</v>
      </c>
      <c r="E1512" s="71" t="s">
        <v>576</v>
      </c>
      <c r="F1512" s="71" t="s">
        <v>300</v>
      </c>
      <c r="G1512" s="88">
        <v>46177.696643518502</v>
      </c>
      <c r="H1512" s="89">
        <v>46177</v>
      </c>
      <c r="I1512" s="71" t="s">
        <v>347</v>
      </c>
      <c r="J1512" s="71">
        <v>0</v>
      </c>
      <c r="K1512" s="71" t="s">
        <v>302</v>
      </c>
      <c r="L1512" s="71">
        <f t="shared" si="207"/>
        <v>6</v>
      </c>
      <c r="M1512" s="71" t="str">
        <f>IFERROR(INDEX(KALENDER!$D$3:$D$132,MATCH(H1512,KALENDER!$A$3:$A$132,0)),"Di luar periode")</f>
        <v>Hari Kerja</v>
      </c>
      <c r="N1512" s="71">
        <f t="shared" si="208"/>
        <v>0</v>
      </c>
      <c r="O1512" s="71">
        <f t="shared" si="209"/>
        <v>1</v>
      </c>
      <c r="P1512" s="71">
        <f t="shared" si="210"/>
        <v>0</v>
      </c>
      <c r="Q1512" s="71">
        <f t="shared" si="211"/>
        <v>0</v>
      </c>
      <c r="R1512" s="71">
        <f t="shared" si="212"/>
        <v>0</v>
      </c>
      <c r="S1512" s="71">
        <f t="shared" si="213"/>
        <v>0</v>
      </c>
      <c r="T1512" s="71">
        <f t="shared" si="214"/>
        <v>0</v>
      </c>
      <c r="U1512" s="71">
        <f>IF(AND(N1512=1,V1512=1),IF(COUNTIFS(AKTIVITAS!$B$2:$B$3052,B1512,AKTIVITAS!$E$2:$E$3052,H1512)&gt;0,1,0),0)</f>
        <v>0</v>
      </c>
      <c r="V1512" s="71">
        <f>IFERROR(IF(AND(H1512&gt;=INDEX(PEMAGANG!$J$3:$J$36,MATCH(B1512,PEMAGANG!$C$3:$C$36,0)),H1512&lt;=INDEX(PEMAGANG!$K$3:$K$36,MATCH(B1512,PEMAGANG!$C$3:$C$36,0))),1,0),0)</f>
        <v>1</v>
      </c>
      <c r="W1512" s="71">
        <f t="shared" si="215"/>
        <v>0</v>
      </c>
    </row>
    <row r="1513" spans="1:23" x14ac:dyDescent="0.2">
      <c r="A1513" s="71" t="s">
        <v>205</v>
      </c>
      <c r="B1513" s="71" t="s">
        <v>206</v>
      </c>
      <c r="C1513" s="71" t="s">
        <v>187</v>
      </c>
      <c r="D1513" s="71" t="s">
        <v>207</v>
      </c>
      <c r="E1513" s="71" t="s">
        <v>576</v>
      </c>
      <c r="F1513" s="71" t="s">
        <v>298</v>
      </c>
      <c r="G1513" s="88">
        <v>46178.312986111101</v>
      </c>
      <c r="H1513" s="89">
        <v>46178</v>
      </c>
      <c r="I1513" s="71" t="s">
        <v>335</v>
      </c>
      <c r="J1513" s="71">
        <v>0</v>
      </c>
      <c r="K1513" s="71" t="s">
        <v>302</v>
      </c>
      <c r="L1513" s="71">
        <f t="shared" si="207"/>
        <v>6</v>
      </c>
      <c r="M1513" s="71" t="str">
        <f>IFERROR(INDEX(KALENDER!$D$3:$D$132,MATCH(H1513,KALENDER!$A$3:$A$132,0)),"Di luar periode")</f>
        <v>Hari Kerja</v>
      </c>
      <c r="N1513" s="71">
        <f t="shared" si="208"/>
        <v>1</v>
      </c>
      <c r="O1513" s="71">
        <f t="shared" si="209"/>
        <v>1</v>
      </c>
      <c r="P1513" s="71">
        <f t="shared" si="210"/>
        <v>1</v>
      </c>
      <c r="Q1513" s="71">
        <f t="shared" si="211"/>
        <v>0</v>
      </c>
      <c r="R1513" s="71">
        <f t="shared" si="212"/>
        <v>0</v>
      </c>
      <c r="S1513" s="71">
        <f t="shared" si="213"/>
        <v>0</v>
      </c>
      <c r="T1513" s="71">
        <f t="shared" si="214"/>
        <v>0</v>
      </c>
      <c r="U1513" s="71">
        <f>IF(AND(N1513=1,V1513=1),IF(COUNTIFS(AKTIVITAS!$B$2:$B$3052,B1513,AKTIVITAS!$E$2:$E$3052,H1513)&gt;0,1,0),0)</f>
        <v>1</v>
      </c>
      <c r="V1513" s="71">
        <f>IFERROR(IF(AND(H1513&gt;=INDEX(PEMAGANG!$J$3:$J$36,MATCH(B1513,PEMAGANG!$C$3:$C$36,0)),H1513&lt;=INDEX(PEMAGANG!$K$3:$K$36,MATCH(B1513,PEMAGANG!$C$3:$C$36,0))),1,0),0)</f>
        <v>1</v>
      </c>
      <c r="W1513" s="71">
        <f t="shared" si="215"/>
        <v>1</v>
      </c>
    </row>
    <row r="1514" spans="1:23" x14ac:dyDescent="0.2">
      <c r="A1514" s="71" t="s">
        <v>205</v>
      </c>
      <c r="B1514" s="71" t="s">
        <v>206</v>
      </c>
      <c r="C1514" s="71" t="s">
        <v>187</v>
      </c>
      <c r="D1514" s="71" t="s">
        <v>207</v>
      </c>
      <c r="E1514" s="71" t="s">
        <v>576</v>
      </c>
      <c r="F1514" s="71" t="s">
        <v>300</v>
      </c>
      <c r="G1514" s="88">
        <v>46178.691828703697</v>
      </c>
      <c r="H1514" s="89">
        <v>46178</v>
      </c>
      <c r="I1514" s="71" t="s">
        <v>344</v>
      </c>
      <c r="J1514" s="71">
        <v>0</v>
      </c>
      <c r="K1514" s="71" t="s">
        <v>302</v>
      </c>
      <c r="L1514" s="71">
        <f t="shared" si="207"/>
        <v>6</v>
      </c>
      <c r="M1514" s="71" t="str">
        <f>IFERROR(INDEX(KALENDER!$D$3:$D$132,MATCH(H1514,KALENDER!$A$3:$A$132,0)),"Di luar periode")</f>
        <v>Hari Kerja</v>
      </c>
      <c r="N1514" s="71">
        <f t="shared" si="208"/>
        <v>0</v>
      </c>
      <c r="O1514" s="71">
        <f t="shared" si="209"/>
        <v>1</v>
      </c>
      <c r="P1514" s="71">
        <f t="shared" si="210"/>
        <v>0</v>
      </c>
      <c r="Q1514" s="71">
        <f t="shared" si="211"/>
        <v>0</v>
      </c>
      <c r="R1514" s="71">
        <f t="shared" si="212"/>
        <v>0</v>
      </c>
      <c r="S1514" s="71">
        <f t="shared" si="213"/>
        <v>0</v>
      </c>
      <c r="T1514" s="71">
        <f t="shared" si="214"/>
        <v>0</v>
      </c>
      <c r="U1514" s="71">
        <f>IF(AND(N1514=1,V1514=1),IF(COUNTIFS(AKTIVITAS!$B$2:$B$3052,B1514,AKTIVITAS!$E$2:$E$3052,H1514)&gt;0,1,0),0)</f>
        <v>0</v>
      </c>
      <c r="V1514" s="71">
        <f>IFERROR(IF(AND(H1514&gt;=INDEX(PEMAGANG!$J$3:$J$36,MATCH(B1514,PEMAGANG!$C$3:$C$36,0)),H1514&lt;=INDEX(PEMAGANG!$K$3:$K$36,MATCH(B1514,PEMAGANG!$C$3:$C$36,0))),1,0),0)</f>
        <v>1</v>
      </c>
      <c r="W1514" s="71">
        <f t="shared" si="215"/>
        <v>0</v>
      </c>
    </row>
    <row r="1515" spans="1:23" x14ac:dyDescent="0.2">
      <c r="A1515" s="71" t="s">
        <v>205</v>
      </c>
      <c r="B1515" s="71" t="s">
        <v>206</v>
      </c>
      <c r="C1515" s="71" t="s">
        <v>187</v>
      </c>
      <c r="D1515" s="71" t="s">
        <v>207</v>
      </c>
      <c r="E1515" s="71" t="s">
        <v>576</v>
      </c>
      <c r="F1515" s="71" t="s">
        <v>298</v>
      </c>
      <c r="G1515" s="88">
        <v>46181.310590277797</v>
      </c>
      <c r="H1515" s="89">
        <v>46181</v>
      </c>
      <c r="I1515" s="71" t="s">
        <v>309</v>
      </c>
      <c r="J1515" s="71">
        <v>-2.9999999999999898</v>
      </c>
      <c r="K1515" s="71" t="s">
        <v>302</v>
      </c>
      <c r="L1515" s="71">
        <f t="shared" si="207"/>
        <v>6</v>
      </c>
      <c r="M1515" s="71" t="str">
        <f>IFERROR(INDEX(KALENDER!$D$3:$D$132,MATCH(H1515,KALENDER!$A$3:$A$132,0)),"Di luar periode")</f>
        <v>Hari Kerja</v>
      </c>
      <c r="N1515" s="71">
        <f t="shared" si="208"/>
        <v>1</v>
      </c>
      <c r="O1515" s="71">
        <f t="shared" si="209"/>
        <v>1</v>
      </c>
      <c r="P1515" s="71">
        <f t="shared" si="210"/>
        <v>1</v>
      </c>
      <c r="Q1515" s="71">
        <f t="shared" si="211"/>
        <v>0</v>
      </c>
      <c r="R1515" s="71">
        <f t="shared" si="212"/>
        <v>0</v>
      </c>
      <c r="S1515" s="71">
        <f t="shared" si="213"/>
        <v>0</v>
      </c>
      <c r="T1515" s="71">
        <f t="shared" si="214"/>
        <v>0</v>
      </c>
      <c r="U1515" s="71">
        <f>IF(AND(N1515=1,V1515=1),IF(COUNTIFS(AKTIVITAS!$B$2:$B$3052,B1515,AKTIVITAS!$E$2:$E$3052,H1515)&gt;0,1,0),0)</f>
        <v>1</v>
      </c>
      <c r="V1515" s="71">
        <f>IFERROR(IF(AND(H1515&gt;=INDEX(PEMAGANG!$J$3:$J$36,MATCH(B1515,PEMAGANG!$C$3:$C$36,0)),H1515&lt;=INDEX(PEMAGANG!$K$3:$K$36,MATCH(B1515,PEMAGANG!$C$3:$C$36,0))),1,0),0)</f>
        <v>1</v>
      </c>
      <c r="W1515" s="71">
        <f t="shared" si="215"/>
        <v>1</v>
      </c>
    </row>
    <row r="1516" spans="1:23" x14ac:dyDescent="0.2">
      <c r="A1516" s="71" t="s">
        <v>205</v>
      </c>
      <c r="B1516" s="71" t="s">
        <v>206</v>
      </c>
      <c r="C1516" s="71" t="s">
        <v>187</v>
      </c>
      <c r="D1516" s="71" t="s">
        <v>207</v>
      </c>
      <c r="E1516" s="71" t="s">
        <v>576</v>
      </c>
      <c r="F1516" s="71" t="s">
        <v>300</v>
      </c>
      <c r="G1516" s="88">
        <v>46181.691990740699</v>
      </c>
      <c r="H1516" s="89">
        <v>46181</v>
      </c>
      <c r="I1516" s="71" t="s">
        <v>344</v>
      </c>
      <c r="J1516" s="71">
        <v>0</v>
      </c>
      <c r="K1516" s="71" t="s">
        <v>302</v>
      </c>
      <c r="L1516" s="71">
        <f t="shared" si="207"/>
        <v>6</v>
      </c>
      <c r="M1516" s="71" t="str">
        <f>IFERROR(INDEX(KALENDER!$D$3:$D$132,MATCH(H1516,KALENDER!$A$3:$A$132,0)),"Di luar periode")</f>
        <v>Hari Kerja</v>
      </c>
      <c r="N1516" s="71">
        <f t="shared" si="208"/>
        <v>0</v>
      </c>
      <c r="O1516" s="71">
        <f t="shared" si="209"/>
        <v>1</v>
      </c>
      <c r="P1516" s="71">
        <f t="shared" si="210"/>
        <v>0</v>
      </c>
      <c r="Q1516" s="71">
        <f t="shared" si="211"/>
        <v>0</v>
      </c>
      <c r="R1516" s="71">
        <f t="shared" si="212"/>
        <v>0</v>
      </c>
      <c r="S1516" s="71">
        <f t="shared" si="213"/>
        <v>0</v>
      </c>
      <c r="T1516" s="71">
        <f t="shared" si="214"/>
        <v>0</v>
      </c>
      <c r="U1516" s="71">
        <f>IF(AND(N1516=1,V1516=1),IF(COUNTIFS(AKTIVITAS!$B$2:$B$3052,B1516,AKTIVITAS!$E$2:$E$3052,H1516)&gt;0,1,0),0)</f>
        <v>0</v>
      </c>
      <c r="V1516" s="71">
        <f>IFERROR(IF(AND(H1516&gt;=INDEX(PEMAGANG!$J$3:$J$36,MATCH(B1516,PEMAGANG!$C$3:$C$36,0)),H1516&lt;=INDEX(PEMAGANG!$K$3:$K$36,MATCH(B1516,PEMAGANG!$C$3:$C$36,0))),1,0),0)</f>
        <v>1</v>
      </c>
      <c r="W1516" s="71">
        <f t="shared" si="215"/>
        <v>0</v>
      </c>
    </row>
    <row r="1517" spans="1:23" x14ac:dyDescent="0.2">
      <c r="A1517" s="71" t="s">
        <v>205</v>
      </c>
      <c r="B1517" s="71" t="s">
        <v>206</v>
      </c>
      <c r="C1517" s="71" t="s">
        <v>187</v>
      </c>
      <c r="D1517" s="71" t="s">
        <v>207</v>
      </c>
      <c r="E1517" s="71" t="s">
        <v>576</v>
      </c>
      <c r="F1517" s="71" t="s">
        <v>298</v>
      </c>
      <c r="G1517" s="88">
        <v>46182.3117824074</v>
      </c>
      <c r="H1517" s="89">
        <v>46182</v>
      </c>
      <c r="I1517" s="71" t="s">
        <v>377</v>
      </c>
      <c r="J1517" s="71">
        <v>-1.99999999999999</v>
      </c>
      <c r="K1517" s="71" t="s">
        <v>302</v>
      </c>
      <c r="L1517" s="71">
        <f t="shared" si="207"/>
        <v>6</v>
      </c>
      <c r="M1517" s="71" t="str">
        <f>IFERROR(INDEX(KALENDER!$D$3:$D$132,MATCH(H1517,KALENDER!$A$3:$A$132,0)),"Di luar periode")</f>
        <v>Hari Kerja</v>
      </c>
      <c r="N1517" s="71">
        <f t="shared" si="208"/>
        <v>1</v>
      </c>
      <c r="O1517" s="71">
        <f t="shared" si="209"/>
        <v>1</v>
      </c>
      <c r="P1517" s="71">
        <f t="shared" si="210"/>
        <v>1</v>
      </c>
      <c r="Q1517" s="71">
        <f t="shared" si="211"/>
        <v>0</v>
      </c>
      <c r="R1517" s="71">
        <f t="shared" si="212"/>
        <v>0</v>
      </c>
      <c r="S1517" s="71">
        <f t="shared" si="213"/>
        <v>0</v>
      </c>
      <c r="T1517" s="71">
        <f t="shared" si="214"/>
        <v>0</v>
      </c>
      <c r="U1517" s="71">
        <f>IF(AND(N1517=1,V1517=1),IF(COUNTIFS(AKTIVITAS!$B$2:$B$3052,B1517,AKTIVITAS!$E$2:$E$3052,H1517)&gt;0,1,0),0)</f>
        <v>1</v>
      </c>
      <c r="V1517" s="71">
        <f>IFERROR(IF(AND(H1517&gt;=INDEX(PEMAGANG!$J$3:$J$36,MATCH(B1517,PEMAGANG!$C$3:$C$36,0)),H1517&lt;=INDEX(PEMAGANG!$K$3:$K$36,MATCH(B1517,PEMAGANG!$C$3:$C$36,0))),1,0),0)</f>
        <v>1</v>
      </c>
      <c r="W1517" s="71">
        <f t="shared" si="215"/>
        <v>1</v>
      </c>
    </row>
    <row r="1518" spans="1:23" x14ac:dyDescent="0.2">
      <c r="A1518" s="71" t="s">
        <v>205</v>
      </c>
      <c r="B1518" s="71" t="s">
        <v>206</v>
      </c>
      <c r="C1518" s="71" t="s">
        <v>187</v>
      </c>
      <c r="D1518" s="71" t="s">
        <v>207</v>
      </c>
      <c r="E1518" s="71" t="s">
        <v>576</v>
      </c>
      <c r="F1518" s="71" t="s">
        <v>300</v>
      </c>
      <c r="G1518" s="88">
        <v>46182.689918981501</v>
      </c>
      <c r="H1518" s="89">
        <v>46182</v>
      </c>
      <c r="I1518" s="71" t="s">
        <v>316</v>
      </c>
      <c r="J1518" s="71">
        <v>0</v>
      </c>
      <c r="K1518" s="71" t="s">
        <v>302</v>
      </c>
      <c r="L1518" s="71">
        <f t="shared" si="207"/>
        <v>6</v>
      </c>
      <c r="M1518" s="71" t="str">
        <f>IFERROR(INDEX(KALENDER!$D$3:$D$132,MATCH(H1518,KALENDER!$A$3:$A$132,0)),"Di luar periode")</f>
        <v>Hari Kerja</v>
      </c>
      <c r="N1518" s="71">
        <f t="shared" si="208"/>
        <v>0</v>
      </c>
      <c r="O1518" s="71">
        <f t="shared" si="209"/>
        <v>1</v>
      </c>
      <c r="P1518" s="71">
        <f t="shared" si="210"/>
        <v>0</v>
      </c>
      <c r="Q1518" s="71">
        <f t="shared" si="211"/>
        <v>0</v>
      </c>
      <c r="R1518" s="71">
        <f t="shared" si="212"/>
        <v>0</v>
      </c>
      <c r="S1518" s="71">
        <f t="shared" si="213"/>
        <v>0</v>
      </c>
      <c r="T1518" s="71">
        <f t="shared" si="214"/>
        <v>0</v>
      </c>
      <c r="U1518" s="71">
        <f>IF(AND(N1518=1,V1518=1),IF(COUNTIFS(AKTIVITAS!$B$2:$B$3052,B1518,AKTIVITAS!$E$2:$E$3052,H1518)&gt;0,1,0),0)</f>
        <v>0</v>
      </c>
      <c r="V1518" s="71">
        <f>IFERROR(IF(AND(H1518&gt;=INDEX(PEMAGANG!$J$3:$J$36,MATCH(B1518,PEMAGANG!$C$3:$C$36,0)),H1518&lt;=INDEX(PEMAGANG!$K$3:$K$36,MATCH(B1518,PEMAGANG!$C$3:$C$36,0))),1,0),0)</f>
        <v>1</v>
      </c>
      <c r="W1518" s="71">
        <f t="shared" si="215"/>
        <v>0</v>
      </c>
    </row>
    <row r="1519" spans="1:23" x14ac:dyDescent="0.2">
      <c r="A1519" s="71" t="s">
        <v>205</v>
      </c>
      <c r="B1519" s="71" t="s">
        <v>206</v>
      </c>
      <c r="C1519" s="71" t="s">
        <v>187</v>
      </c>
      <c r="D1519" s="71" t="s">
        <v>207</v>
      </c>
      <c r="E1519" s="71" t="s">
        <v>576</v>
      </c>
      <c r="F1519" s="71" t="s">
        <v>298</v>
      </c>
      <c r="G1519" s="88">
        <v>46183.307314814803</v>
      </c>
      <c r="H1519" s="89">
        <v>46183</v>
      </c>
      <c r="I1519" s="71" t="s">
        <v>313</v>
      </c>
      <c r="J1519" s="71">
        <v>-8.0000000000000497</v>
      </c>
      <c r="K1519" s="71" t="s">
        <v>302</v>
      </c>
      <c r="L1519" s="71">
        <f t="shared" si="207"/>
        <v>6</v>
      </c>
      <c r="M1519" s="71" t="str">
        <f>IFERROR(INDEX(KALENDER!$D$3:$D$132,MATCH(H1519,KALENDER!$A$3:$A$132,0)),"Di luar periode")</f>
        <v>WFH</v>
      </c>
      <c r="N1519" s="71">
        <f t="shared" si="208"/>
        <v>1</v>
      </c>
      <c r="O1519" s="71">
        <f t="shared" si="209"/>
        <v>1</v>
      </c>
      <c r="P1519" s="71">
        <f t="shared" si="210"/>
        <v>0</v>
      </c>
      <c r="Q1519" s="71">
        <f t="shared" si="211"/>
        <v>1</v>
      </c>
      <c r="R1519" s="71">
        <f t="shared" si="212"/>
        <v>0</v>
      </c>
      <c r="S1519" s="71">
        <f t="shared" si="213"/>
        <v>0</v>
      </c>
      <c r="T1519" s="71">
        <f t="shared" si="214"/>
        <v>0</v>
      </c>
      <c r="U1519" s="71">
        <f>IF(AND(N1519=1,V1519=1),IF(COUNTIFS(AKTIVITAS!$B$2:$B$3052,B1519,AKTIVITAS!$E$2:$E$3052,H1519)&gt;0,1,0),0)</f>
        <v>1</v>
      </c>
      <c r="V1519" s="71">
        <f>IFERROR(IF(AND(H1519&gt;=INDEX(PEMAGANG!$J$3:$J$36,MATCH(B1519,PEMAGANG!$C$3:$C$36,0)),H1519&lt;=INDEX(PEMAGANG!$K$3:$K$36,MATCH(B1519,PEMAGANG!$C$3:$C$36,0))),1,0),0)</f>
        <v>1</v>
      </c>
      <c r="W1519" s="71">
        <f t="shared" si="215"/>
        <v>1</v>
      </c>
    </row>
    <row r="1520" spans="1:23" x14ac:dyDescent="0.2">
      <c r="A1520" s="71" t="s">
        <v>205</v>
      </c>
      <c r="B1520" s="71" t="s">
        <v>206</v>
      </c>
      <c r="C1520" s="71" t="s">
        <v>187</v>
      </c>
      <c r="D1520" s="71" t="s">
        <v>207</v>
      </c>
      <c r="E1520" s="71" t="s">
        <v>576</v>
      </c>
      <c r="F1520" s="71" t="s">
        <v>300</v>
      </c>
      <c r="G1520" s="88">
        <v>46183.717708333301</v>
      </c>
      <c r="H1520" s="89">
        <v>46183</v>
      </c>
      <c r="I1520" s="71" t="s">
        <v>369</v>
      </c>
      <c r="J1520" s="71">
        <v>0</v>
      </c>
      <c r="K1520" s="71" t="s">
        <v>302</v>
      </c>
      <c r="L1520" s="71">
        <f t="shared" si="207"/>
        <v>6</v>
      </c>
      <c r="M1520" s="71" t="str">
        <f>IFERROR(INDEX(KALENDER!$D$3:$D$132,MATCH(H1520,KALENDER!$A$3:$A$132,0)),"Di luar periode")</f>
        <v>WFH</v>
      </c>
      <c r="N1520" s="71">
        <f t="shared" si="208"/>
        <v>0</v>
      </c>
      <c r="O1520" s="71">
        <f t="shared" si="209"/>
        <v>1</v>
      </c>
      <c r="P1520" s="71">
        <f t="shared" si="210"/>
        <v>0</v>
      </c>
      <c r="Q1520" s="71">
        <f t="shared" si="211"/>
        <v>0</v>
      </c>
      <c r="R1520" s="71">
        <f t="shared" si="212"/>
        <v>0</v>
      </c>
      <c r="S1520" s="71">
        <f t="shared" si="213"/>
        <v>0</v>
      </c>
      <c r="T1520" s="71">
        <f t="shared" si="214"/>
        <v>0</v>
      </c>
      <c r="U1520" s="71">
        <f>IF(AND(N1520=1,V1520=1),IF(COUNTIFS(AKTIVITAS!$B$2:$B$3052,B1520,AKTIVITAS!$E$2:$E$3052,H1520)&gt;0,1,0),0)</f>
        <v>0</v>
      </c>
      <c r="V1520" s="71">
        <f>IFERROR(IF(AND(H1520&gt;=INDEX(PEMAGANG!$J$3:$J$36,MATCH(B1520,PEMAGANG!$C$3:$C$36,0)),H1520&lt;=INDEX(PEMAGANG!$K$3:$K$36,MATCH(B1520,PEMAGANG!$C$3:$C$36,0))),1,0),0)</f>
        <v>1</v>
      </c>
      <c r="W1520" s="71">
        <f t="shared" si="215"/>
        <v>0</v>
      </c>
    </row>
    <row r="1521" spans="1:23" x14ac:dyDescent="0.2">
      <c r="A1521" s="71" t="s">
        <v>205</v>
      </c>
      <c r="B1521" s="71" t="s">
        <v>206</v>
      </c>
      <c r="C1521" s="71" t="s">
        <v>187</v>
      </c>
      <c r="D1521" s="71" t="s">
        <v>207</v>
      </c>
      <c r="E1521" s="71" t="s">
        <v>576</v>
      </c>
      <c r="F1521" s="71" t="s">
        <v>298</v>
      </c>
      <c r="G1521" s="88">
        <v>46184.3121412037</v>
      </c>
      <c r="H1521" s="89">
        <v>46184</v>
      </c>
      <c r="I1521" s="71" t="s">
        <v>365</v>
      </c>
      <c r="J1521" s="71">
        <v>-0.999999999999996</v>
      </c>
      <c r="K1521" s="71" t="s">
        <v>302</v>
      </c>
      <c r="L1521" s="71">
        <f t="shared" si="207"/>
        <v>6</v>
      </c>
      <c r="M1521" s="71" t="str">
        <f>IFERROR(INDEX(KALENDER!$D$3:$D$132,MATCH(H1521,KALENDER!$A$3:$A$132,0)),"Di luar periode")</f>
        <v>Hari Kerja</v>
      </c>
      <c r="N1521" s="71">
        <f t="shared" si="208"/>
        <v>1</v>
      </c>
      <c r="O1521" s="71">
        <f t="shared" si="209"/>
        <v>1</v>
      </c>
      <c r="P1521" s="71">
        <f t="shared" si="210"/>
        <v>1</v>
      </c>
      <c r="Q1521" s="71">
        <f t="shared" si="211"/>
        <v>0</v>
      </c>
      <c r="R1521" s="71">
        <f t="shared" si="212"/>
        <v>0</v>
      </c>
      <c r="S1521" s="71">
        <f t="shared" si="213"/>
        <v>0</v>
      </c>
      <c r="T1521" s="71">
        <f t="shared" si="214"/>
        <v>0</v>
      </c>
      <c r="U1521" s="71">
        <f>IF(AND(N1521=1,V1521=1),IF(COUNTIFS(AKTIVITAS!$B$2:$B$3052,B1521,AKTIVITAS!$E$2:$E$3052,H1521)&gt;0,1,0),0)</f>
        <v>1</v>
      </c>
      <c r="V1521" s="71">
        <f>IFERROR(IF(AND(H1521&gt;=INDEX(PEMAGANG!$J$3:$J$36,MATCH(B1521,PEMAGANG!$C$3:$C$36,0)),H1521&lt;=INDEX(PEMAGANG!$K$3:$K$36,MATCH(B1521,PEMAGANG!$C$3:$C$36,0))),1,0),0)</f>
        <v>1</v>
      </c>
      <c r="W1521" s="71">
        <f t="shared" si="215"/>
        <v>1</v>
      </c>
    </row>
    <row r="1522" spans="1:23" x14ac:dyDescent="0.2">
      <c r="A1522" s="71" t="s">
        <v>205</v>
      </c>
      <c r="B1522" s="71" t="s">
        <v>206</v>
      </c>
      <c r="C1522" s="71" t="s">
        <v>187</v>
      </c>
      <c r="D1522" s="71" t="s">
        <v>207</v>
      </c>
      <c r="E1522" s="71" t="s">
        <v>576</v>
      </c>
      <c r="F1522" s="71" t="s">
        <v>300</v>
      </c>
      <c r="G1522" s="88">
        <v>46184.694837962998</v>
      </c>
      <c r="H1522" s="89">
        <v>46184</v>
      </c>
      <c r="I1522" s="71" t="s">
        <v>343</v>
      </c>
      <c r="J1522" s="71">
        <v>0</v>
      </c>
      <c r="K1522" s="71" t="s">
        <v>302</v>
      </c>
      <c r="L1522" s="71">
        <f t="shared" si="207"/>
        <v>6</v>
      </c>
      <c r="M1522" s="71" t="str">
        <f>IFERROR(INDEX(KALENDER!$D$3:$D$132,MATCH(H1522,KALENDER!$A$3:$A$132,0)),"Di luar periode")</f>
        <v>Hari Kerja</v>
      </c>
      <c r="N1522" s="71">
        <f t="shared" si="208"/>
        <v>0</v>
      </c>
      <c r="O1522" s="71">
        <f t="shared" si="209"/>
        <v>1</v>
      </c>
      <c r="P1522" s="71">
        <f t="shared" si="210"/>
        <v>0</v>
      </c>
      <c r="Q1522" s="71">
        <f t="shared" si="211"/>
        <v>0</v>
      </c>
      <c r="R1522" s="71">
        <f t="shared" si="212"/>
        <v>0</v>
      </c>
      <c r="S1522" s="71">
        <f t="shared" si="213"/>
        <v>0</v>
      </c>
      <c r="T1522" s="71">
        <f t="shared" si="214"/>
        <v>0</v>
      </c>
      <c r="U1522" s="71">
        <f>IF(AND(N1522=1,V1522=1),IF(COUNTIFS(AKTIVITAS!$B$2:$B$3052,B1522,AKTIVITAS!$E$2:$E$3052,H1522)&gt;0,1,0),0)</f>
        <v>0</v>
      </c>
      <c r="V1522" s="71">
        <f>IFERROR(IF(AND(H1522&gt;=INDEX(PEMAGANG!$J$3:$J$36,MATCH(B1522,PEMAGANG!$C$3:$C$36,0)),H1522&lt;=INDEX(PEMAGANG!$K$3:$K$36,MATCH(B1522,PEMAGANG!$C$3:$C$36,0))),1,0),0)</f>
        <v>1</v>
      </c>
      <c r="W1522" s="71">
        <f t="shared" si="215"/>
        <v>0</v>
      </c>
    </row>
    <row r="1523" spans="1:23" x14ac:dyDescent="0.2">
      <c r="A1523" s="71" t="s">
        <v>205</v>
      </c>
      <c r="B1523" s="71" t="s">
        <v>206</v>
      </c>
      <c r="C1523" s="71" t="s">
        <v>187</v>
      </c>
      <c r="D1523" s="71" t="s">
        <v>207</v>
      </c>
      <c r="E1523" s="71" t="s">
        <v>576</v>
      </c>
      <c r="F1523" s="71" t="s">
        <v>298</v>
      </c>
      <c r="G1523" s="88">
        <v>46185.316284722197</v>
      </c>
      <c r="H1523" s="89">
        <v>46185</v>
      </c>
      <c r="I1523" s="71" t="s">
        <v>339</v>
      </c>
      <c r="J1523" s="71">
        <v>4.9999999999999796</v>
      </c>
      <c r="K1523" s="71" t="s">
        <v>293</v>
      </c>
      <c r="L1523" s="71">
        <f t="shared" si="207"/>
        <v>6</v>
      </c>
      <c r="M1523" s="71" t="str">
        <f>IFERROR(INDEX(KALENDER!$D$3:$D$132,MATCH(H1523,KALENDER!$A$3:$A$132,0)),"Di luar periode")</f>
        <v>Hari Kerja</v>
      </c>
      <c r="N1523" s="71">
        <f t="shared" si="208"/>
        <v>1</v>
      </c>
      <c r="O1523" s="71">
        <f t="shared" si="209"/>
        <v>1</v>
      </c>
      <c r="P1523" s="71">
        <f t="shared" si="210"/>
        <v>1</v>
      </c>
      <c r="Q1523" s="71">
        <f t="shared" si="211"/>
        <v>0</v>
      </c>
      <c r="R1523" s="71">
        <f t="shared" si="212"/>
        <v>1</v>
      </c>
      <c r="S1523" s="71">
        <f t="shared" si="213"/>
        <v>4.9999999999999796</v>
      </c>
      <c r="T1523" s="71">
        <f t="shared" si="214"/>
        <v>0</v>
      </c>
      <c r="U1523" s="71">
        <f>IF(AND(N1523=1,V1523=1),IF(COUNTIFS(AKTIVITAS!$B$2:$B$3052,B1523,AKTIVITAS!$E$2:$E$3052,H1523)&gt;0,1,0),0)</f>
        <v>1</v>
      </c>
      <c r="V1523" s="71">
        <f>IFERROR(IF(AND(H1523&gt;=INDEX(PEMAGANG!$J$3:$J$36,MATCH(B1523,PEMAGANG!$C$3:$C$36,0)),H1523&lt;=INDEX(PEMAGANG!$K$3:$K$36,MATCH(B1523,PEMAGANG!$C$3:$C$36,0))),1,0),0)</f>
        <v>1</v>
      </c>
      <c r="W1523" s="71">
        <f t="shared" si="215"/>
        <v>1</v>
      </c>
    </row>
    <row r="1524" spans="1:23" x14ac:dyDescent="0.2">
      <c r="A1524" s="71" t="s">
        <v>205</v>
      </c>
      <c r="B1524" s="71" t="s">
        <v>206</v>
      </c>
      <c r="C1524" s="71" t="s">
        <v>187</v>
      </c>
      <c r="D1524" s="71" t="s">
        <v>207</v>
      </c>
      <c r="E1524" s="71" t="s">
        <v>576</v>
      </c>
      <c r="F1524" s="71" t="s">
        <v>300</v>
      </c>
      <c r="G1524" s="88">
        <v>46185.6909606482</v>
      </c>
      <c r="H1524" s="89">
        <v>46185</v>
      </c>
      <c r="I1524" s="71" t="s">
        <v>314</v>
      </c>
      <c r="J1524" s="71">
        <v>0</v>
      </c>
      <c r="K1524" s="71" t="s">
        <v>302</v>
      </c>
      <c r="L1524" s="71">
        <f t="shared" si="207"/>
        <v>6</v>
      </c>
      <c r="M1524" s="71" t="str">
        <f>IFERROR(INDEX(KALENDER!$D$3:$D$132,MATCH(H1524,KALENDER!$A$3:$A$132,0)),"Di luar periode")</f>
        <v>Hari Kerja</v>
      </c>
      <c r="N1524" s="71">
        <f t="shared" si="208"/>
        <v>0</v>
      </c>
      <c r="O1524" s="71">
        <f t="shared" si="209"/>
        <v>1</v>
      </c>
      <c r="P1524" s="71">
        <f t="shared" si="210"/>
        <v>0</v>
      </c>
      <c r="Q1524" s="71">
        <f t="shared" si="211"/>
        <v>0</v>
      </c>
      <c r="R1524" s="71">
        <f t="shared" si="212"/>
        <v>0</v>
      </c>
      <c r="S1524" s="71">
        <f t="shared" si="213"/>
        <v>0</v>
      </c>
      <c r="T1524" s="71">
        <f t="shared" si="214"/>
        <v>0</v>
      </c>
      <c r="U1524" s="71">
        <f>IF(AND(N1524=1,V1524=1),IF(COUNTIFS(AKTIVITAS!$B$2:$B$3052,B1524,AKTIVITAS!$E$2:$E$3052,H1524)&gt;0,1,0),0)</f>
        <v>0</v>
      </c>
      <c r="V1524" s="71">
        <f>IFERROR(IF(AND(H1524&gt;=INDEX(PEMAGANG!$J$3:$J$36,MATCH(B1524,PEMAGANG!$C$3:$C$36,0)),H1524&lt;=INDEX(PEMAGANG!$K$3:$K$36,MATCH(B1524,PEMAGANG!$C$3:$C$36,0))),1,0),0)</f>
        <v>1</v>
      </c>
      <c r="W1524" s="71">
        <f t="shared" si="215"/>
        <v>0</v>
      </c>
    </row>
    <row r="1525" spans="1:23" x14ac:dyDescent="0.2">
      <c r="A1525" s="71" t="s">
        <v>205</v>
      </c>
      <c r="B1525" s="71" t="s">
        <v>206</v>
      </c>
      <c r="C1525" s="71" t="s">
        <v>187</v>
      </c>
      <c r="D1525" s="71" t="s">
        <v>207</v>
      </c>
      <c r="E1525" s="71" t="s">
        <v>576</v>
      </c>
      <c r="F1525" s="71" t="s">
        <v>298</v>
      </c>
      <c r="G1525" s="88">
        <v>46188.289293981499</v>
      </c>
      <c r="H1525" s="89">
        <v>46188</v>
      </c>
      <c r="I1525" s="71" t="s">
        <v>504</v>
      </c>
      <c r="J1525" s="71">
        <v>-34</v>
      </c>
      <c r="K1525" s="71" t="s">
        <v>302</v>
      </c>
      <c r="L1525" s="71">
        <f t="shared" si="207"/>
        <v>6</v>
      </c>
      <c r="M1525" s="71" t="str">
        <f>IFERROR(INDEX(KALENDER!$D$3:$D$132,MATCH(H1525,KALENDER!$A$3:$A$132,0)),"Di luar periode")</f>
        <v>Hari Kerja</v>
      </c>
      <c r="N1525" s="71">
        <f t="shared" si="208"/>
        <v>1</v>
      </c>
      <c r="O1525" s="71">
        <f t="shared" si="209"/>
        <v>1</v>
      </c>
      <c r="P1525" s="71">
        <f t="shared" si="210"/>
        <v>1</v>
      </c>
      <c r="Q1525" s="71">
        <f t="shared" si="211"/>
        <v>0</v>
      </c>
      <c r="R1525" s="71">
        <f t="shared" si="212"/>
        <v>0</v>
      </c>
      <c r="S1525" s="71">
        <f t="shared" si="213"/>
        <v>0</v>
      </c>
      <c r="T1525" s="71">
        <f t="shared" si="214"/>
        <v>0</v>
      </c>
      <c r="U1525" s="71">
        <f>IF(AND(N1525=1,V1525=1),IF(COUNTIFS(AKTIVITAS!$B$2:$B$3052,B1525,AKTIVITAS!$E$2:$E$3052,H1525)&gt;0,1,0),0)</f>
        <v>1</v>
      </c>
      <c r="V1525" s="71">
        <f>IFERROR(IF(AND(H1525&gt;=INDEX(PEMAGANG!$J$3:$J$36,MATCH(B1525,PEMAGANG!$C$3:$C$36,0)),H1525&lt;=INDEX(PEMAGANG!$K$3:$K$36,MATCH(B1525,PEMAGANG!$C$3:$C$36,0))),1,0),0)</f>
        <v>1</v>
      </c>
      <c r="W1525" s="71">
        <f t="shared" si="215"/>
        <v>1</v>
      </c>
    </row>
    <row r="1526" spans="1:23" x14ac:dyDescent="0.2">
      <c r="A1526" s="71" t="s">
        <v>205</v>
      </c>
      <c r="B1526" s="71" t="s">
        <v>206</v>
      </c>
      <c r="C1526" s="71" t="s">
        <v>187</v>
      </c>
      <c r="D1526" s="71" t="s">
        <v>207</v>
      </c>
      <c r="E1526" s="71" t="s">
        <v>576</v>
      </c>
      <c r="F1526" s="71" t="s">
        <v>300</v>
      </c>
      <c r="G1526" s="88">
        <v>46188.695231481499</v>
      </c>
      <c r="H1526" s="89">
        <v>46188</v>
      </c>
      <c r="I1526" s="71" t="s">
        <v>319</v>
      </c>
      <c r="J1526" s="71">
        <v>0</v>
      </c>
      <c r="K1526" s="71" t="s">
        <v>302</v>
      </c>
      <c r="L1526" s="71">
        <f t="shared" si="207"/>
        <v>6</v>
      </c>
      <c r="M1526" s="71" t="str">
        <f>IFERROR(INDEX(KALENDER!$D$3:$D$132,MATCH(H1526,KALENDER!$A$3:$A$132,0)),"Di luar periode")</f>
        <v>Hari Kerja</v>
      </c>
      <c r="N1526" s="71">
        <f t="shared" si="208"/>
        <v>0</v>
      </c>
      <c r="O1526" s="71">
        <f t="shared" si="209"/>
        <v>1</v>
      </c>
      <c r="P1526" s="71">
        <f t="shared" si="210"/>
        <v>0</v>
      </c>
      <c r="Q1526" s="71">
        <f t="shared" si="211"/>
        <v>0</v>
      </c>
      <c r="R1526" s="71">
        <f t="shared" si="212"/>
        <v>0</v>
      </c>
      <c r="S1526" s="71">
        <f t="shared" si="213"/>
        <v>0</v>
      </c>
      <c r="T1526" s="71">
        <f t="shared" si="214"/>
        <v>0</v>
      </c>
      <c r="U1526" s="71">
        <f>IF(AND(N1526=1,V1526=1),IF(COUNTIFS(AKTIVITAS!$B$2:$B$3052,B1526,AKTIVITAS!$E$2:$E$3052,H1526)&gt;0,1,0),0)</f>
        <v>0</v>
      </c>
      <c r="V1526" s="71">
        <f>IFERROR(IF(AND(H1526&gt;=INDEX(PEMAGANG!$J$3:$J$36,MATCH(B1526,PEMAGANG!$C$3:$C$36,0)),H1526&lt;=INDEX(PEMAGANG!$K$3:$K$36,MATCH(B1526,PEMAGANG!$C$3:$C$36,0))),1,0),0)</f>
        <v>1</v>
      </c>
      <c r="W1526" s="71">
        <f t="shared" si="215"/>
        <v>0</v>
      </c>
    </row>
    <row r="1527" spans="1:23" x14ac:dyDescent="0.2">
      <c r="A1527" s="71" t="s">
        <v>205</v>
      </c>
      <c r="B1527" s="71" t="s">
        <v>206</v>
      </c>
      <c r="C1527" s="71" t="s">
        <v>187</v>
      </c>
      <c r="D1527" s="71" t="s">
        <v>207</v>
      </c>
      <c r="E1527" s="71" t="s">
        <v>576</v>
      </c>
      <c r="F1527" s="71" t="s">
        <v>298</v>
      </c>
      <c r="G1527" s="88">
        <v>46190.332372685203</v>
      </c>
      <c r="H1527" s="89">
        <v>46190</v>
      </c>
      <c r="I1527" s="71" t="s">
        <v>578</v>
      </c>
      <c r="J1527" s="71">
        <v>28</v>
      </c>
      <c r="K1527" s="71" t="s">
        <v>293</v>
      </c>
      <c r="L1527" s="71">
        <f t="shared" si="207"/>
        <v>6</v>
      </c>
      <c r="M1527" s="71" t="str">
        <f>IFERROR(INDEX(KALENDER!$D$3:$D$132,MATCH(H1527,KALENDER!$A$3:$A$132,0)),"Di luar periode")</f>
        <v>WFH</v>
      </c>
      <c r="N1527" s="71">
        <f t="shared" si="208"/>
        <v>1</v>
      </c>
      <c r="O1527" s="71">
        <f t="shared" si="209"/>
        <v>1</v>
      </c>
      <c r="P1527" s="71">
        <f t="shared" si="210"/>
        <v>0</v>
      </c>
      <c r="Q1527" s="71">
        <f t="shared" si="211"/>
        <v>1</v>
      </c>
      <c r="R1527" s="71">
        <f t="shared" si="212"/>
        <v>1</v>
      </c>
      <c r="S1527" s="71">
        <f t="shared" si="213"/>
        <v>28</v>
      </c>
      <c r="T1527" s="71">
        <f t="shared" si="214"/>
        <v>0</v>
      </c>
      <c r="U1527" s="71">
        <f>IF(AND(N1527=1,V1527=1),IF(COUNTIFS(AKTIVITAS!$B$2:$B$3052,B1527,AKTIVITAS!$E$2:$E$3052,H1527)&gt;0,1,0),0)</f>
        <v>1</v>
      </c>
      <c r="V1527" s="71">
        <f>IFERROR(IF(AND(H1527&gt;=INDEX(PEMAGANG!$J$3:$J$36,MATCH(B1527,PEMAGANG!$C$3:$C$36,0)),H1527&lt;=INDEX(PEMAGANG!$K$3:$K$36,MATCH(B1527,PEMAGANG!$C$3:$C$36,0))),1,0),0)</f>
        <v>1</v>
      </c>
      <c r="W1527" s="71">
        <f t="shared" si="215"/>
        <v>1</v>
      </c>
    </row>
    <row r="1528" spans="1:23" x14ac:dyDescent="0.2">
      <c r="A1528" s="71" t="s">
        <v>205</v>
      </c>
      <c r="B1528" s="71" t="s">
        <v>206</v>
      </c>
      <c r="C1528" s="71" t="s">
        <v>187</v>
      </c>
      <c r="D1528" s="71" t="s">
        <v>207</v>
      </c>
      <c r="E1528" s="71" t="s">
        <v>576</v>
      </c>
      <c r="F1528" s="71" t="s">
        <v>300</v>
      </c>
      <c r="G1528" s="88">
        <v>46190.815520833297</v>
      </c>
      <c r="H1528" s="89">
        <v>46190</v>
      </c>
      <c r="I1528" s="71" t="s">
        <v>388</v>
      </c>
      <c r="J1528" s="71">
        <v>0</v>
      </c>
      <c r="K1528" s="71" t="s">
        <v>302</v>
      </c>
      <c r="L1528" s="71">
        <f t="shared" si="207"/>
        <v>6</v>
      </c>
      <c r="M1528" s="71" t="str">
        <f>IFERROR(INDEX(KALENDER!$D$3:$D$132,MATCH(H1528,KALENDER!$A$3:$A$132,0)),"Di luar periode")</f>
        <v>WFH</v>
      </c>
      <c r="N1528" s="71">
        <f t="shared" si="208"/>
        <v>0</v>
      </c>
      <c r="O1528" s="71">
        <f t="shared" si="209"/>
        <v>1</v>
      </c>
      <c r="P1528" s="71">
        <f t="shared" si="210"/>
        <v>0</v>
      </c>
      <c r="Q1528" s="71">
        <f t="shared" si="211"/>
        <v>0</v>
      </c>
      <c r="R1528" s="71">
        <f t="shared" si="212"/>
        <v>0</v>
      </c>
      <c r="S1528" s="71">
        <f t="shared" si="213"/>
        <v>0</v>
      </c>
      <c r="T1528" s="71">
        <f t="shared" si="214"/>
        <v>0</v>
      </c>
      <c r="U1528" s="71">
        <f>IF(AND(N1528=1,V1528=1),IF(COUNTIFS(AKTIVITAS!$B$2:$B$3052,B1528,AKTIVITAS!$E$2:$E$3052,H1528)&gt;0,1,0),0)</f>
        <v>0</v>
      </c>
      <c r="V1528" s="71">
        <f>IFERROR(IF(AND(H1528&gt;=INDEX(PEMAGANG!$J$3:$J$36,MATCH(B1528,PEMAGANG!$C$3:$C$36,0)),H1528&lt;=INDEX(PEMAGANG!$K$3:$K$36,MATCH(B1528,PEMAGANG!$C$3:$C$36,0))),1,0),0)</f>
        <v>1</v>
      </c>
      <c r="W1528" s="71">
        <f t="shared" si="215"/>
        <v>0</v>
      </c>
    </row>
    <row r="1529" spans="1:23" x14ac:dyDescent="0.2">
      <c r="A1529" s="71" t="s">
        <v>205</v>
      </c>
      <c r="B1529" s="71" t="s">
        <v>206</v>
      </c>
      <c r="C1529" s="71" t="s">
        <v>187</v>
      </c>
      <c r="D1529" s="71" t="s">
        <v>207</v>
      </c>
      <c r="E1529" s="71" t="s">
        <v>576</v>
      </c>
      <c r="F1529" s="71" t="s">
        <v>298</v>
      </c>
      <c r="G1529" s="88">
        <v>46191.291342592602</v>
      </c>
      <c r="H1529" s="89">
        <v>46191</v>
      </c>
      <c r="I1529" s="71" t="s">
        <v>485</v>
      </c>
      <c r="J1529" s="71">
        <v>-31</v>
      </c>
      <c r="K1529" s="71" t="s">
        <v>302</v>
      </c>
      <c r="L1529" s="71">
        <f t="shared" si="207"/>
        <v>6</v>
      </c>
      <c r="M1529" s="71" t="str">
        <f>IFERROR(INDEX(KALENDER!$D$3:$D$132,MATCH(H1529,KALENDER!$A$3:$A$132,0)),"Di luar periode")</f>
        <v>Hari Kerja</v>
      </c>
      <c r="N1529" s="71">
        <f t="shared" si="208"/>
        <v>1</v>
      </c>
      <c r="O1529" s="71">
        <f t="shared" si="209"/>
        <v>1</v>
      </c>
      <c r="P1529" s="71">
        <f t="shared" si="210"/>
        <v>1</v>
      </c>
      <c r="Q1529" s="71">
        <f t="shared" si="211"/>
        <v>0</v>
      </c>
      <c r="R1529" s="71">
        <f t="shared" si="212"/>
        <v>0</v>
      </c>
      <c r="S1529" s="71">
        <f t="shared" si="213"/>
        <v>0</v>
      </c>
      <c r="T1529" s="71">
        <f t="shared" si="214"/>
        <v>0</v>
      </c>
      <c r="U1529" s="71">
        <f>IF(AND(N1529=1,V1529=1),IF(COUNTIFS(AKTIVITAS!$B$2:$B$3052,B1529,AKTIVITAS!$E$2:$E$3052,H1529)&gt;0,1,0),0)</f>
        <v>1</v>
      </c>
      <c r="V1529" s="71">
        <f>IFERROR(IF(AND(H1529&gt;=INDEX(PEMAGANG!$J$3:$J$36,MATCH(B1529,PEMAGANG!$C$3:$C$36,0)),H1529&lt;=INDEX(PEMAGANG!$K$3:$K$36,MATCH(B1529,PEMAGANG!$C$3:$C$36,0))),1,0),0)</f>
        <v>1</v>
      </c>
      <c r="W1529" s="71">
        <f t="shared" si="215"/>
        <v>1</v>
      </c>
    </row>
    <row r="1530" spans="1:23" x14ac:dyDescent="0.2">
      <c r="A1530" s="71" t="s">
        <v>205</v>
      </c>
      <c r="B1530" s="71" t="s">
        <v>206</v>
      </c>
      <c r="C1530" s="71" t="s">
        <v>187</v>
      </c>
      <c r="D1530" s="71" t="s">
        <v>207</v>
      </c>
      <c r="E1530" s="71" t="s">
        <v>576</v>
      </c>
      <c r="F1530" s="71" t="s">
        <v>300</v>
      </c>
      <c r="G1530" s="88">
        <v>46191.690763888902</v>
      </c>
      <c r="H1530" s="89">
        <v>46191</v>
      </c>
      <c r="I1530" s="71" t="s">
        <v>314</v>
      </c>
      <c r="J1530" s="71">
        <v>0</v>
      </c>
      <c r="K1530" s="71" t="s">
        <v>302</v>
      </c>
      <c r="L1530" s="71">
        <f t="shared" si="207"/>
        <v>6</v>
      </c>
      <c r="M1530" s="71" t="str">
        <f>IFERROR(INDEX(KALENDER!$D$3:$D$132,MATCH(H1530,KALENDER!$A$3:$A$132,0)),"Di luar periode")</f>
        <v>Hari Kerja</v>
      </c>
      <c r="N1530" s="71">
        <f t="shared" si="208"/>
        <v>0</v>
      </c>
      <c r="O1530" s="71">
        <f t="shared" si="209"/>
        <v>1</v>
      </c>
      <c r="P1530" s="71">
        <f t="shared" si="210"/>
        <v>0</v>
      </c>
      <c r="Q1530" s="71">
        <f t="shared" si="211"/>
        <v>0</v>
      </c>
      <c r="R1530" s="71">
        <f t="shared" si="212"/>
        <v>0</v>
      </c>
      <c r="S1530" s="71">
        <f t="shared" si="213"/>
        <v>0</v>
      </c>
      <c r="T1530" s="71">
        <f t="shared" si="214"/>
        <v>0</v>
      </c>
      <c r="U1530" s="71">
        <f>IF(AND(N1530=1,V1530=1),IF(COUNTIFS(AKTIVITAS!$B$2:$B$3052,B1530,AKTIVITAS!$E$2:$E$3052,H1530)&gt;0,1,0),0)</f>
        <v>0</v>
      </c>
      <c r="V1530" s="71">
        <f>IFERROR(IF(AND(H1530&gt;=INDEX(PEMAGANG!$J$3:$J$36,MATCH(B1530,PEMAGANG!$C$3:$C$36,0)),H1530&lt;=INDEX(PEMAGANG!$K$3:$K$36,MATCH(B1530,PEMAGANG!$C$3:$C$36,0))),1,0),0)</f>
        <v>1</v>
      </c>
      <c r="W1530" s="71">
        <f t="shared" si="215"/>
        <v>0</v>
      </c>
    </row>
    <row r="1531" spans="1:23" x14ac:dyDescent="0.2">
      <c r="A1531" s="71" t="s">
        <v>205</v>
      </c>
      <c r="B1531" s="71" t="s">
        <v>206</v>
      </c>
      <c r="C1531" s="71" t="s">
        <v>187</v>
      </c>
      <c r="D1531" s="71" t="s">
        <v>207</v>
      </c>
      <c r="E1531" s="71" t="s">
        <v>576</v>
      </c>
      <c r="F1531" s="71" t="s">
        <v>298</v>
      </c>
      <c r="G1531" s="88">
        <v>46192.312210648197</v>
      </c>
      <c r="H1531" s="89">
        <v>46192</v>
      </c>
      <c r="I1531" s="71" t="s">
        <v>365</v>
      </c>
      <c r="J1531" s="71">
        <v>-0.999999999999996</v>
      </c>
      <c r="K1531" s="71" t="s">
        <v>302</v>
      </c>
      <c r="L1531" s="71">
        <f t="shared" si="207"/>
        <v>6</v>
      </c>
      <c r="M1531" s="71" t="str">
        <f>IFERROR(INDEX(KALENDER!$D$3:$D$132,MATCH(H1531,KALENDER!$A$3:$A$132,0)),"Di luar periode")</f>
        <v>Hari Kerja</v>
      </c>
      <c r="N1531" s="71">
        <f t="shared" si="208"/>
        <v>1</v>
      </c>
      <c r="O1531" s="71">
        <f t="shared" si="209"/>
        <v>1</v>
      </c>
      <c r="P1531" s="71">
        <f t="shared" si="210"/>
        <v>1</v>
      </c>
      <c r="Q1531" s="71">
        <f t="shared" si="211"/>
        <v>0</v>
      </c>
      <c r="R1531" s="71">
        <f t="shared" si="212"/>
        <v>0</v>
      </c>
      <c r="S1531" s="71">
        <f t="shared" si="213"/>
        <v>0</v>
      </c>
      <c r="T1531" s="71">
        <f t="shared" si="214"/>
        <v>0</v>
      </c>
      <c r="U1531" s="71">
        <f>IF(AND(N1531=1,V1531=1),IF(COUNTIFS(AKTIVITAS!$B$2:$B$3052,B1531,AKTIVITAS!$E$2:$E$3052,H1531)&gt;0,1,0),0)</f>
        <v>1</v>
      </c>
      <c r="V1531" s="71">
        <f>IFERROR(IF(AND(H1531&gt;=INDEX(PEMAGANG!$J$3:$J$36,MATCH(B1531,PEMAGANG!$C$3:$C$36,0)),H1531&lt;=INDEX(PEMAGANG!$K$3:$K$36,MATCH(B1531,PEMAGANG!$C$3:$C$36,0))),1,0),0)</f>
        <v>1</v>
      </c>
      <c r="W1531" s="71">
        <f t="shared" si="215"/>
        <v>1</v>
      </c>
    </row>
    <row r="1532" spans="1:23" x14ac:dyDescent="0.2">
      <c r="A1532" s="71" t="s">
        <v>205</v>
      </c>
      <c r="B1532" s="71" t="s">
        <v>206</v>
      </c>
      <c r="C1532" s="71" t="s">
        <v>187</v>
      </c>
      <c r="D1532" s="71" t="s">
        <v>207</v>
      </c>
      <c r="E1532" s="71" t="s">
        <v>576</v>
      </c>
      <c r="F1532" s="71" t="s">
        <v>300</v>
      </c>
      <c r="G1532" s="88">
        <v>46192.688993055599</v>
      </c>
      <c r="H1532" s="89">
        <v>46192</v>
      </c>
      <c r="I1532" s="71" t="s">
        <v>306</v>
      </c>
      <c r="J1532" s="71">
        <v>0</v>
      </c>
      <c r="K1532" s="71" t="s">
        <v>302</v>
      </c>
      <c r="L1532" s="71">
        <f t="shared" si="207"/>
        <v>6</v>
      </c>
      <c r="M1532" s="71" t="str">
        <f>IFERROR(INDEX(KALENDER!$D$3:$D$132,MATCH(H1532,KALENDER!$A$3:$A$132,0)),"Di luar periode")</f>
        <v>Hari Kerja</v>
      </c>
      <c r="N1532" s="71">
        <f t="shared" si="208"/>
        <v>0</v>
      </c>
      <c r="O1532" s="71">
        <f t="shared" si="209"/>
        <v>1</v>
      </c>
      <c r="P1532" s="71">
        <f t="shared" si="210"/>
        <v>0</v>
      </c>
      <c r="Q1532" s="71">
        <f t="shared" si="211"/>
        <v>0</v>
      </c>
      <c r="R1532" s="71">
        <f t="shared" si="212"/>
        <v>0</v>
      </c>
      <c r="S1532" s="71">
        <f t="shared" si="213"/>
        <v>0</v>
      </c>
      <c r="T1532" s="71">
        <f t="shared" si="214"/>
        <v>0</v>
      </c>
      <c r="U1532" s="71">
        <f>IF(AND(N1532=1,V1532=1),IF(COUNTIFS(AKTIVITAS!$B$2:$B$3052,B1532,AKTIVITAS!$E$2:$E$3052,H1532)&gt;0,1,0),0)</f>
        <v>0</v>
      </c>
      <c r="V1532" s="71">
        <f>IFERROR(IF(AND(H1532&gt;=INDEX(PEMAGANG!$J$3:$J$36,MATCH(B1532,PEMAGANG!$C$3:$C$36,0)),H1532&lt;=INDEX(PEMAGANG!$K$3:$K$36,MATCH(B1532,PEMAGANG!$C$3:$C$36,0))),1,0),0)</f>
        <v>1</v>
      </c>
      <c r="W1532" s="71">
        <f t="shared" si="215"/>
        <v>0</v>
      </c>
    </row>
    <row r="1533" spans="1:23" x14ac:dyDescent="0.2">
      <c r="A1533" s="71" t="s">
        <v>205</v>
      </c>
      <c r="B1533" s="71" t="s">
        <v>206</v>
      </c>
      <c r="C1533" s="71" t="s">
        <v>187</v>
      </c>
      <c r="D1533" s="71" t="s">
        <v>207</v>
      </c>
      <c r="E1533" s="71" t="s">
        <v>576</v>
      </c>
      <c r="F1533" s="71" t="s">
        <v>298</v>
      </c>
      <c r="G1533" s="88">
        <v>46195.306331018503</v>
      </c>
      <c r="H1533" s="89">
        <v>46195</v>
      </c>
      <c r="I1533" s="71" t="s">
        <v>305</v>
      </c>
      <c r="J1533" s="71">
        <v>-9.0000000000000497</v>
      </c>
      <c r="K1533" s="71" t="s">
        <v>302</v>
      </c>
      <c r="L1533" s="71">
        <f t="shared" si="207"/>
        <v>6</v>
      </c>
      <c r="M1533" s="71" t="str">
        <f>IFERROR(INDEX(KALENDER!$D$3:$D$132,MATCH(H1533,KALENDER!$A$3:$A$132,0)),"Di luar periode")</f>
        <v>Hari Kerja</v>
      </c>
      <c r="N1533" s="71">
        <f t="shared" si="208"/>
        <v>1</v>
      </c>
      <c r="O1533" s="71">
        <f t="shared" si="209"/>
        <v>1</v>
      </c>
      <c r="P1533" s="71">
        <f t="shared" si="210"/>
        <v>1</v>
      </c>
      <c r="Q1533" s="71">
        <f t="shared" si="211"/>
        <v>0</v>
      </c>
      <c r="R1533" s="71">
        <f t="shared" si="212"/>
        <v>0</v>
      </c>
      <c r="S1533" s="71">
        <f t="shared" si="213"/>
        <v>0</v>
      </c>
      <c r="T1533" s="71">
        <f t="shared" si="214"/>
        <v>0</v>
      </c>
      <c r="U1533" s="71">
        <f>IF(AND(N1533=1,V1533=1),IF(COUNTIFS(AKTIVITAS!$B$2:$B$3052,B1533,AKTIVITAS!$E$2:$E$3052,H1533)&gt;0,1,0),0)</f>
        <v>1</v>
      </c>
      <c r="V1533" s="71">
        <f>IFERROR(IF(AND(H1533&gt;=INDEX(PEMAGANG!$J$3:$J$36,MATCH(B1533,PEMAGANG!$C$3:$C$36,0)),H1533&lt;=INDEX(PEMAGANG!$K$3:$K$36,MATCH(B1533,PEMAGANG!$C$3:$C$36,0))),1,0),0)</f>
        <v>1</v>
      </c>
      <c r="W1533" s="71">
        <f t="shared" si="215"/>
        <v>1</v>
      </c>
    </row>
    <row r="1534" spans="1:23" x14ac:dyDescent="0.2">
      <c r="A1534" s="71" t="s">
        <v>205</v>
      </c>
      <c r="B1534" s="71" t="s">
        <v>206</v>
      </c>
      <c r="C1534" s="71" t="s">
        <v>187</v>
      </c>
      <c r="D1534" s="71" t="s">
        <v>207</v>
      </c>
      <c r="E1534" s="71" t="s">
        <v>576</v>
      </c>
      <c r="F1534" s="71" t="s">
        <v>300</v>
      </c>
      <c r="G1534" s="88">
        <v>46195.690324074101</v>
      </c>
      <c r="H1534" s="89">
        <v>46195</v>
      </c>
      <c r="I1534" s="71" t="s">
        <v>314</v>
      </c>
      <c r="J1534" s="71">
        <v>0</v>
      </c>
      <c r="K1534" s="71" t="s">
        <v>302</v>
      </c>
      <c r="L1534" s="71">
        <f t="shared" si="207"/>
        <v>6</v>
      </c>
      <c r="M1534" s="71" t="str">
        <f>IFERROR(INDEX(KALENDER!$D$3:$D$132,MATCH(H1534,KALENDER!$A$3:$A$132,0)),"Di luar periode")</f>
        <v>Hari Kerja</v>
      </c>
      <c r="N1534" s="71">
        <f t="shared" si="208"/>
        <v>0</v>
      </c>
      <c r="O1534" s="71">
        <f t="shared" si="209"/>
        <v>1</v>
      </c>
      <c r="P1534" s="71">
        <f t="shared" si="210"/>
        <v>0</v>
      </c>
      <c r="Q1534" s="71">
        <f t="shared" si="211"/>
        <v>0</v>
      </c>
      <c r="R1534" s="71">
        <f t="shared" si="212"/>
        <v>0</v>
      </c>
      <c r="S1534" s="71">
        <f t="shared" si="213"/>
        <v>0</v>
      </c>
      <c r="T1534" s="71">
        <f t="shared" si="214"/>
        <v>0</v>
      </c>
      <c r="U1534" s="71">
        <f>IF(AND(N1534=1,V1534=1),IF(COUNTIFS(AKTIVITAS!$B$2:$B$3052,B1534,AKTIVITAS!$E$2:$E$3052,H1534)&gt;0,1,0),0)</f>
        <v>0</v>
      </c>
      <c r="V1534" s="71">
        <f>IFERROR(IF(AND(H1534&gt;=INDEX(PEMAGANG!$J$3:$J$36,MATCH(B1534,PEMAGANG!$C$3:$C$36,0)),H1534&lt;=INDEX(PEMAGANG!$K$3:$K$36,MATCH(B1534,PEMAGANG!$C$3:$C$36,0))),1,0),0)</f>
        <v>1</v>
      </c>
      <c r="W1534" s="71">
        <f t="shared" si="215"/>
        <v>0</v>
      </c>
    </row>
    <row r="1535" spans="1:23" x14ac:dyDescent="0.2">
      <c r="A1535" s="71" t="s">
        <v>205</v>
      </c>
      <c r="B1535" s="71" t="s">
        <v>206</v>
      </c>
      <c r="C1535" s="71" t="s">
        <v>187</v>
      </c>
      <c r="D1535" s="71" t="s">
        <v>207</v>
      </c>
      <c r="E1535" s="71" t="s">
        <v>576</v>
      </c>
      <c r="F1535" s="71" t="s">
        <v>298</v>
      </c>
      <c r="G1535" s="88">
        <v>46196.317407407398</v>
      </c>
      <c r="H1535" s="89">
        <v>46196</v>
      </c>
      <c r="I1535" s="71" t="s">
        <v>386</v>
      </c>
      <c r="J1535" s="71">
        <v>7.0000000000000604</v>
      </c>
      <c r="K1535" s="71" t="s">
        <v>293</v>
      </c>
      <c r="L1535" s="71">
        <f t="shared" si="207"/>
        <v>6</v>
      </c>
      <c r="M1535" s="71" t="str">
        <f>IFERROR(INDEX(KALENDER!$D$3:$D$132,MATCH(H1535,KALENDER!$A$3:$A$132,0)),"Di luar periode")</f>
        <v>Hari Kerja</v>
      </c>
      <c r="N1535" s="71">
        <f t="shared" si="208"/>
        <v>1</v>
      </c>
      <c r="O1535" s="71">
        <f t="shared" si="209"/>
        <v>1</v>
      </c>
      <c r="P1535" s="71">
        <f t="shared" si="210"/>
        <v>1</v>
      </c>
      <c r="Q1535" s="71">
        <f t="shared" si="211"/>
        <v>0</v>
      </c>
      <c r="R1535" s="71">
        <f t="shared" si="212"/>
        <v>1</v>
      </c>
      <c r="S1535" s="71">
        <f t="shared" si="213"/>
        <v>7.0000000000000604</v>
      </c>
      <c r="T1535" s="71">
        <f t="shared" si="214"/>
        <v>0</v>
      </c>
      <c r="U1535" s="71">
        <f>IF(AND(N1535=1,V1535=1),IF(COUNTIFS(AKTIVITAS!$B$2:$B$3052,B1535,AKTIVITAS!$E$2:$E$3052,H1535)&gt;0,1,0),0)</f>
        <v>1</v>
      </c>
      <c r="V1535" s="71">
        <f>IFERROR(IF(AND(H1535&gt;=INDEX(PEMAGANG!$J$3:$J$36,MATCH(B1535,PEMAGANG!$C$3:$C$36,0)),H1535&lt;=INDEX(PEMAGANG!$K$3:$K$36,MATCH(B1535,PEMAGANG!$C$3:$C$36,0))),1,0),0)</f>
        <v>1</v>
      </c>
      <c r="W1535" s="71">
        <f t="shared" si="215"/>
        <v>1</v>
      </c>
    </row>
    <row r="1536" spans="1:23" x14ac:dyDescent="0.2">
      <c r="A1536" s="71" t="s">
        <v>205</v>
      </c>
      <c r="B1536" s="71" t="s">
        <v>206</v>
      </c>
      <c r="C1536" s="71" t="s">
        <v>187</v>
      </c>
      <c r="D1536" s="71" t="s">
        <v>207</v>
      </c>
      <c r="E1536" s="71" t="s">
        <v>576</v>
      </c>
      <c r="F1536" s="71" t="s">
        <v>300</v>
      </c>
      <c r="G1536" s="88">
        <v>46196.689490740697</v>
      </c>
      <c r="H1536" s="89">
        <v>46196</v>
      </c>
      <c r="I1536" s="71" t="s">
        <v>306</v>
      </c>
      <c r="J1536" s="71">
        <v>0</v>
      </c>
      <c r="K1536" s="71" t="s">
        <v>302</v>
      </c>
      <c r="L1536" s="71">
        <f t="shared" si="207"/>
        <v>6</v>
      </c>
      <c r="M1536" s="71" t="str">
        <f>IFERROR(INDEX(KALENDER!$D$3:$D$132,MATCH(H1536,KALENDER!$A$3:$A$132,0)),"Di luar periode")</f>
        <v>Hari Kerja</v>
      </c>
      <c r="N1536" s="71">
        <f t="shared" si="208"/>
        <v>0</v>
      </c>
      <c r="O1536" s="71">
        <f t="shared" si="209"/>
        <v>1</v>
      </c>
      <c r="P1536" s="71">
        <f t="shared" si="210"/>
        <v>0</v>
      </c>
      <c r="Q1536" s="71">
        <f t="shared" si="211"/>
        <v>0</v>
      </c>
      <c r="R1536" s="71">
        <f t="shared" si="212"/>
        <v>0</v>
      </c>
      <c r="S1536" s="71">
        <f t="shared" si="213"/>
        <v>0</v>
      </c>
      <c r="T1536" s="71">
        <f t="shared" si="214"/>
        <v>0</v>
      </c>
      <c r="U1536" s="71">
        <f>IF(AND(N1536=1,V1536=1),IF(COUNTIFS(AKTIVITAS!$B$2:$B$3052,B1536,AKTIVITAS!$E$2:$E$3052,H1536)&gt;0,1,0),0)</f>
        <v>0</v>
      </c>
      <c r="V1536" s="71">
        <f>IFERROR(IF(AND(H1536&gt;=INDEX(PEMAGANG!$J$3:$J$36,MATCH(B1536,PEMAGANG!$C$3:$C$36,0)),H1536&lt;=INDEX(PEMAGANG!$K$3:$K$36,MATCH(B1536,PEMAGANG!$C$3:$C$36,0))),1,0),0)</f>
        <v>1</v>
      </c>
      <c r="W1536" s="71">
        <f t="shared" si="215"/>
        <v>0</v>
      </c>
    </row>
    <row r="1537" spans="1:23" x14ac:dyDescent="0.2">
      <c r="A1537" s="71" t="s">
        <v>205</v>
      </c>
      <c r="B1537" s="71" t="s">
        <v>206</v>
      </c>
      <c r="C1537" s="71" t="s">
        <v>187</v>
      </c>
      <c r="D1537" s="71" t="s">
        <v>207</v>
      </c>
      <c r="E1537" s="71" t="s">
        <v>576</v>
      </c>
      <c r="F1537" s="71" t="s">
        <v>298</v>
      </c>
      <c r="G1537" s="88">
        <v>46197.3222453704</v>
      </c>
      <c r="H1537" s="89">
        <v>46197</v>
      </c>
      <c r="I1537" s="71" t="s">
        <v>571</v>
      </c>
      <c r="J1537" s="71">
        <v>14</v>
      </c>
      <c r="K1537" s="71" t="s">
        <v>293</v>
      </c>
      <c r="L1537" s="71">
        <f t="shared" si="207"/>
        <v>6</v>
      </c>
      <c r="M1537" s="71" t="str">
        <f>IFERROR(INDEX(KALENDER!$D$3:$D$132,MATCH(H1537,KALENDER!$A$3:$A$132,0)),"Di luar periode")</f>
        <v>WFH</v>
      </c>
      <c r="N1537" s="71">
        <f t="shared" si="208"/>
        <v>1</v>
      </c>
      <c r="O1537" s="71">
        <f t="shared" si="209"/>
        <v>1</v>
      </c>
      <c r="P1537" s="71">
        <f t="shared" si="210"/>
        <v>0</v>
      </c>
      <c r="Q1537" s="71">
        <f t="shared" si="211"/>
        <v>1</v>
      </c>
      <c r="R1537" s="71">
        <f t="shared" si="212"/>
        <v>1</v>
      </c>
      <c r="S1537" s="71">
        <f t="shared" si="213"/>
        <v>14</v>
      </c>
      <c r="T1537" s="71">
        <f t="shared" si="214"/>
        <v>0</v>
      </c>
      <c r="U1537" s="71">
        <f>IF(AND(N1537=1,V1537=1),IF(COUNTIFS(AKTIVITAS!$B$2:$B$3052,B1537,AKTIVITAS!$E$2:$E$3052,H1537)&gt;0,1,0),0)</f>
        <v>1</v>
      </c>
      <c r="V1537" s="71">
        <f>IFERROR(IF(AND(H1537&gt;=INDEX(PEMAGANG!$J$3:$J$36,MATCH(B1537,PEMAGANG!$C$3:$C$36,0)),H1537&lt;=INDEX(PEMAGANG!$K$3:$K$36,MATCH(B1537,PEMAGANG!$C$3:$C$36,0))),1,0),0)</f>
        <v>1</v>
      </c>
      <c r="W1537" s="71">
        <f t="shared" si="215"/>
        <v>1</v>
      </c>
    </row>
    <row r="1538" spans="1:23" x14ac:dyDescent="0.2">
      <c r="A1538" s="71" t="s">
        <v>205</v>
      </c>
      <c r="B1538" s="71" t="s">
        <v>206</v>
      </c>
      <c r="C1538" s="71" t="s">
        <v>187</v>
      </c>
      <c r="D1538" s="71" t="s">
        <v>207</v>
      </c>
      <c r="E1538" s="71" t="s">
        <v>576</v>
      </c>
      <c r="F1538" s="71" t="s">
        <v>300</v>
      </c>
      <c r="G1538" s="88">
        <v>46197.707268518498</v>
      </c>
      <c r="H1538" s="89">
        <v>46197</v>
      </c>
      <c r="I1538" s="71" t="s">
        <v>579</v>
      </c>
      <c r="J1538" s="71">
        <v>0</v>
      </c>
      <c r="K1538" s="71" t="s">
        <v>302</v>
      </c>
      <c r="L1538" s="71">
        <f t="shared" ref="L1538:L1601" si="216">MONTH(H1538)</f>
        <v>6</v>
      </c>
      <c r="M1538" s="71" t="str">
        <f>IFERROR(INDEX(KALENDER!$D$3:$D$132,MATCH(H1538,KALENDER!$A$3:$A$132,0)),"Di luar periode")</f>
        <v>WFH</v>
      </c>
      <c r="N1538" s="71">
        <f t="shared" ref="N1538:N1601" si="217">IF(AND(B1538=B1537,H1538=H1537),0,1)</f>
        <v>0</v>
      </c>
      <c r="O1538" s="71">
        <f t="shared" ref="O1538:O1601" si="218">IF(N1538=1,0,O1537)+IF(F1538="MASUK",1,0)</f>
        <v>1</v>
      </c>
      <c r="P1538" s="71">
        <f t="shared" ref="P1538:P1601" si="219">IF(AND(N1538=1,M1538="Hari Kerja",V1538=1),1,0)</f>
        <v>0</v>
      </c>
      <c r="Q1538" s="71">
        <f t="shared" ref="Q1538:Q1601" si="220">IF(AND(N1538=1,OR(M1538&lt;&gt;"Hari Kerja",V1538=0)),1,0)</f>
        <v>0</v>
      </c>
      <c r="R1538" s="71">
        <f t="shared" ref="R1538:R1601" si="221">IF(AND(F1538="MASUK",O1538=1,N(J1538)&gt;0,V1538=1),1,0)</f>
        <v>0</v>
      </c>
      <c r="S1538" s="71">
        <f t="shared" ref="S1538:S1601" si="222">R1538*N(J1538)</f>
        <v>0</v>
      </c>
      <c r="T1538" s="71">
        <f t="shared" ref="T1538:T1601" si="223">IF(AND(N1538=1,V1538=1),IF(AND(COUNTIFS($B$2:$B$4094,B1538,$H$2:$H$4094,H1538,$F$2:$F$4094,"MASUK")&gt;0,COUNTIFS($B$2:$B$4094,B1538,$H$2:$H$4094,H1538,$F$2:$F$4094,"PULANG")=0),1,0),0)</f>
        <v>0</v>
      </c>
      <c r="U1538" s="71">
        <f>IF(AND(N1538=1,V1538=1),IF(COUNTIFS(AKTIVITAS!$B$2:$B$3052,B1538,AKTIVITAS!$E$2:$E$3052,H1538)&gt;0,1,0),0)</f>
        <v>0</v>
      </c>
      <c r="V1538" s="71">
        <f>IFERROR(IF(AND(H1538&gt;=INDEX(PEMAGANG!$J$3:$J$36,MATCH(B1538,PEMAGANG!$C$3:$C$36,0)),H1538&lt;=INDEX(PEMAGANG!$K$3:$K$36,MATCH(B1538,PEMAGANG!$C$3:$C$36,0))),1,0),0)</f>
        <v>1</v>
      </c>
      <c r="W1538" s="71">
        <f t="shared" ref="W1538:W1601" si="224">N1538*V1538</f>
        <v>0</v>
      </c>
    </row>
    <row r="1539" spans="1:23" x14ac:dyDescent="0.2">
      <c r="A1539" s="71" t="s">
        <v>205</v>
      </c>
      <c r="B1539" s="71" t="s">
        <v>206</v>
      </c>
      <c r="C1539" s="71" t="s">
        <v>187</v>
      </c>
      <c r="D1539" s="71" t="s">
        <v>207</v>
      </c>
      <c r="E1539" s="71" t="s">
        <v>576</v>
      </c>
      <c r="F1539" s="71" t="s">
        <v>298</v>
      </c>
      <c r="G1539" s="88">
        <v>46198.310995370397</v>
      </c>
      <c r="H1539" s="89">
        <v>46198</v>
      </c>
      <c r="I1539" s="71" t="s">
        <v>309</v>
      </c>
      <c r="J1539" s="71">
        <v>-2.9999999999999898</v>
      </c>
      <c r="K1539" s="71" t="s">
        <v>302</v>
      </c>
      <c r="L1539" s="71">
        <f t="shared" si="216"/>
        <v>6</v>
      </c>
      <c r="M1539" s="71" t="str">
        <f>IFERROR(INDEX(KALENDER!$D$3:$D$132,MATCH(H1539,KALENDER!$A$3:$A$132,0)),"Di luar periode")</f>
        <v>Hari Kerja</v>
      </c>
      <c r="N1539" s="71">
        <f t="shared" si="217"/>
        <v>1</v>
      </c>
      <c r="O1539" s="71">
        <f t="shared" si="218"/>
        <v>1</v>
      </c>
      <c r="P1539" s="71">
        <f t="shared" si="219"/>
        <v>1</v>
      </c>
      <c r="Q1539" s="71">
        <f t="shared" si="220"/>
        <v>0</v>
      </c>
      <c r="R1539" s="71">
        <f t="shared" si="221"/>
        <v>0</v>
      </c>
      <c r="S1539" s="71">
        <f t="shared" si="222"/>
        <v>0</v>
      </c>
      <c r="T1539" s="71">
        <f t="shared" si="223"/>
        <v>0</v>
      </c>
      <c r="U1539" s="71">
        <f>IF(AND(N1539=1,V1539=1),IF(COUNTIFS(AKTIVITAS!$B$2:$B$3052,B1539,AKTIVITAS!$E$2:$E$3052,H1539)&gt;0,1,0),0)</f>
        <v>1</v>
      </c>
      <c r="V1539" s="71">
        <f>IFERROR(IF(AND(H1539&gt;=INDEX(PEMAGANG!$J$3:$J$36,MATCH(B1539,PEMAGANG!$C$3:$C$36,0)),H1539&lt;=INDEX(PEMAGANG!$K$3:$K$36,MATCH(B1539,PEMAGANG!$C$3:$C$36,0))),1,0),0)</f>
        <v>1</v>
      </c>
      <c r="W1539" s="71">
        <f t="shared" si="224"/>
        <v>1</v>
      </c>
    </row>
    <row r="1540" spans="1:23" x14ac:dyDescent="0.2">
      <c r="A1540" s="71" t="s">
        <v>205</v>
      </c>
      <c r="B1540" s="71" t="s">
        <v>206</v>
      </c>
      <c r="C1540" s="71" t="s">
        <v>187</v>
      </c>
      <c r="D1540" s="71" t="s">
        <v>207</v>
      </c>
      <c r="E1540" s="71" t="s">
        <v>576</v>
      </c>
      <c r="F1540" s="71" t="s">
        <v>300</v>
      </c>
      <c r="G1540" s="88">
        <v>46198.697071759299</v>
      </c>
      <c r="H1540" s="89">
        <v>46198</v>
      </c>
      <c r="I1540" s="71" t="s">
        <v>347</v>
      </c>
      <c r="J1540" s="71">
        <v>0</v>
      </c>
      <c r="K1540" s="71" t="s">
        <v>302</v>
      </c>
      <c r="L1540" s="71">
        <f t="shared" si="216"/>
        <v>6</v>
      </c>
      <c r="M1540" s="71" t="str">
        <f>IFERROR(INDEX(KALENDER!$D$3:$D$132,MATCH(H1540,KALENDER!$A$3:$A$132,0)),"Di luar periode")</f>
        <v>Hari Kerja</v>
      </c>
      <c r="N1540" s="71">
        <f t="shared" si="217"/>
        <v>0</v>
      </c>
      <c r="O1540" s="71">
        <f t="shared" si="218"/>
        <v>1</v>
      </c>
      <c r="P1540" s="71">
        <f t="shared" si="219"/>
        <v>0</v>
      </c>
      <c r="Q1540" s="71">
        <f t="shared" si="220"/>
        <v>0</v>
      </c>
      <c r="R1540" s="71">
        <f t="shared" si="221"/>
        <v>0</v>
      </c>
      <c r="S1540" s="71">
        <f t="shared" si="222"/>
        <v>0</v>
      </c>
      <c r="T1540" s="71">
        <f t="shared" si="223"/>
        <v>0</v>
      </c>
      <c r="U1540" s="71">
        <f>IF(AND(N1540=1,V1540=1),IF(COUNTIFS(AKTIVITAS!$B$2:$B$3052,B1540,AKTIVITAS!$E$2:$E$3052,H1540)&gt;0,1,0),0)</f>
        <v>0</v>
      </c>
      <c r="V1540" s="71">
        <f>IFERROR(IF(AND(H1540&gt;=INDEX(PEMAGANG!$J$3:$J$36,MATCH(B1540,PEMAGANG!$C$3:$C$36,0)),H1540&lt;=INDEX(PEMAGANG!$K$3:$K$36,MATCH(B1540,PEMAGANG!$C$3:$C$36,0))),1,0),0)</f>
        <v>1</v>
      </c>
      <c r="W1540" s="71">
        <f t="shared" si="224"/>
        <v>0</v>
      </c>
    </row>
    <row r="1541" spans="1:23" x14ac:dyDescent="0.2">
      <c r="A1541" s="71" t="s">
        <v>205</v>
      </c>
      <c r="B1541" s="71" t="s">
        <v>206</v>
      </c>
      <c r="C1541" s="71" t="s">
        <v>187</v>
      </c>
      <c r="D1541" s="71" t="s">
        <v>207</v>
      </c>
      <c r="E1541" s="71" t="s">
        <v>576</v>
      </c>
      <c r="F1541" s="71" t="s">
        <v>298</v>
      </c>
      <c r="G1541" s="88">
        <v>46199.309456018498</v>
      </c>
      <c r="H1541" s="89">
        <v>46199</v>
      </c>
      <c r="I1541" s="71" t="s">
        <v>307</v>
      </c>
      <c r="J1541" s="71">
        <v>-4.9999999999999796</v>
      </c>
      <c r="K1541" s="71" t="s">
        <v>302</v>
      </c>
      <c r="L1541" s="71">
        <f t="shared" si="216"/>
        <v>6</v>
      </c>
      <c r="M1541" s="71" t="str">
        <f>IFERROR(INDEX(KALENDER!$D$3:$D$132,MATCH(H1541,KALENDER!$A$3:$A$132,0)),"Di luar periode")</f>
        <v>Hari Kerja</v>
      </c>
      <c r="N1541" s="71">
        <f t="shared" si="217"/>
        <v>1</v>
      </c>
      <c r="O1541" s="71">
        <f t="shared" si="218"/>
        <v>1</v>
      </c>
      <c r="P1541" s="71">
        <f t="shared" si="219"/>
        <v>1</v>
      </c>
      <c r="Q1541" s="71">
        <f t="shared" si="220"/>
        <v>0</v>
      </c>
      <c r="R1541" s="71">
        <f t="shared" si="221"/>
        <v>0</v>
      </c>
      <c r="S1541" s="71">
        <f t="shared" si="222"/>
        <v>0</v>
      </c>
      <c r="T1541" s="71">
        <f t="shared" si="223"/>
        <v>0</v>
      </c>
      <c r="U1541" s="71">
        <f>IF(AND(N1541=1,V1541=1),IF(COUNTIFS(AKTIVITAS!$B$2:$B$3052,B1541,AKTIVITAS!$E$2:$E$3052,H1541)&gt;0,1,0),0)</f>
        <v>1</v>
      </c>
      <c r="V1541" s="71">
        <f>IFERROR(IF(AND(H1541&gt;=INDEX(PEMAGANG!$J$3:$J$36,MATCH(B1541,PEMAGANG!$C$3:$C$36,0)),H1541&lt;=INDEX(PEMAGANG!$K$3:$K$36,MATCH(B1541,PEMAGANG!$C$3:$C$36,0))),1,0),0)</f>
        <v>1</v>
      </c>
      <c r="W1541" s="71">
        <f t="shared" si="224"/>
        <v>1</v>
      </c>
    </row>
    <row r="1542" spans="1:23" x14ac:dyDescent="0.2">
      <c r="A1542" s="71" t="s">
        <v>205</v>
      </c>
      <c r="B1542" s="71" t="s">
        <v>206</v>
      </c>
      <c r="C1542" s="71" t="s">
        <v>187</v>
      </c>
      <c r="D1542" s="71" t="s">
        <v>207</v>
      </c>
      <c r="E1542" s="71" t="s">
        <v>576</v>
      </c>
      <c r="F1542" s="71" t="s">
        <v>300</v>
      </c>
      <c r="G1542" s="88">
        <v>46199.693310185197</v>
      </c>
      <c r="H1542" s="89">
        <v>46199</v>
      </c>
      <c r="I1542" s="71" t="s">
        <v>317</v>
      </c>
      <c r="J1542" s="71">
        <v>0</v>
      </c>
      <c r="K1542" s="71" t="s">
        <v>302</v>
      </c>
      <c r="L1542" s="71">
        <f t="shared" si="216"/>
        <v>6</v>
      </c>
      <c r="M1542" s="71" t="str">
        <f>IFERROR(INDEX(KALENDER!$D$3:$D$132,MATCH(H1542,KALENDER!$A$3:$A$132,0)),"Di luar periode")</f>
        <v>Hari Kerja</v>
      </c>
      <c r="N1542" s="71">
        <f t="shared" si="217"/>
        <v>0</v>
      </c>
      <c r="O1542" s="71">
        <f t="shared" si="218"/>
        <v>1</v>
      </c>
      <c r="P1542" s="71">
        <f t="shared" si="219"/>
        <v>0</v>
      </c>
      <c r="Q1542" s="71">
        <f t="shared" si="220"/>
        <v>0</v>
      </c>
      <c r="R1542" s="71">
        <f t="shared" si="221"/>
        <v>0</v>
      </c>
      <c r="S1542" s="71">
        <f t="shared" si="222"/>
        <v>0</v>
      </c>
      <c r="T1542" s="71">
        <f t="shared" si="223"/>
        <v>0</v>
      </c>
      <c r="U1542" s="71">
        <f>IF(AND(N1542=1,V1542=1),IF(COUNTIFS(AKTIVITAS!$B$2:$B$3052,B1542,AKTIVITAS!$E$2:$E$3052,H1542)&gt;0,1,0),0)</f>
        <v>0</v>
      </c>
      <c r="V1542" s="71">
        <f>IFERROR(IF(AND(H1542&gt;=INDEX(PEMAGANG!$J$3:$J$36,MATCH(B1542,PEMAGANG!$C$3:$C$36,0)),H1542&lt;=INDEX(PEMAGANG!$K$3:$K$36,MATCH(B1542,PEMAGANG!$C$3:$C$36,0))),1,0),0)</f>
        <v>1</v>
      </c>
      <c r="W1542" s="71">
        <f t="shared" si="224"/>
        <v>0</v>
      </c>
    </row>
    <row r="1543" spans="1:23" x14ac:dyDescent="0.2">
      <c r="A1543" s="71" t="s">
        <v>205</v>
      </c>
      <c r="B1543" s="71" t="s">
        <v>206</v>
      </c>
      <c r="C1543" s="71" t="s">
        <v>187</v>
      </c>
      <c r="D1543" s="71" t="s">
        <v>207</v>
      </c>
      <c r="E1543" s="71" t="s">
        <v>576</v>
      </c>
      <c r="F1543" s="71" t="s">
        <v>298</v>
      </c>
      <c r="G1543" s="88">
        <v>46202.311365740701</v>
      </c>
      <c r="H1543" s="89">
        <v>46202</v>
      </c>
      <c r="I1543" s="71" t="s">
        <v>377</v>
      </c>
      <c r="J1543" s="71">
        <v>-1.99999999999999</v>
      </c>
      <c r="K1543" s="71" t="s">
        <v>302</v>
      </c>
      <c r="L1543" s="71">
        <f t="shared" si="216"/>
        <v>6</v>
      </c>
      <c r="M1543" s="71" t="str">
        <f>IFERROR(INDEX(KALENDER!$D$3:$D$132,MATCH(H1543,KALENDER!$A$3:$A$132,0)),"Di luar periode")</f>
        <v>Hari Kerja</v>
      </c>
      <c r="N1543" s="71">
        <f t="shared" si="217"/>
        <v>1</v>
      </c>
      <c r="O1543" s="71">
        <f t="shared" si="218"/>
        <v>1</v>
      </c>
      <c r="P1543" s="71">
        <f t="shared" si="219"/>
        <v>1</v>
      </c>
      <c r="Q1543" s="71">
        <f t="shared" si="220"/>
        <v>0</v>
      </c>
      <c r="R1543" s="71">
        <f t="shared" si="221"/>
        <v>0</v>
      </c>
      <c r="S1543" s="71">
        <f t="shared" si="222"/>
        <v>0</v>
      </c>
      <c r="T1543" s="71">
        <f t="shared" si="223"/>
        <v>0</v>
      </c>
      <c r="U1543" s="71">
        <f>IF(AND(N1543=1,V1543=1),IF(COUNTIFS(AKTIVITAS!$B$2:$B$3052,B1543,AKTIVITAS!$E$2:$E$3052,H1543)&gt;0,1,0),0)</f>
        <v>1</v>
      </c>
      <c r="V1543" s="71">
        <f>IFERROR(IF(AND(H1543&gt;=INDEX(PEMAGANG!$J$3:$J$36,MATCH(B1543,PEMAGANG!$C$3:$C$36,0)),H1543&lt;=INDEX(PEMAGANG!$K$3:$K$36,MATCH(B1543,PEMAGANG!$C$3:$C$36,0))),1,0),0)</f>
        <v>1</v>
      </c>
      <c r="W1543" s="71">
        <f t="shared" si="224"/>
        <v>1</v>
      </c>
    </row>
    <row r="1544" spans="1:23" x14ac:dyDescent="0.2">
      <c r="A1544" s="71" t="s">
        <v>205</v>
      </c>
      <c r="B1544" s="71" t="s">
        <v>206</v>
      </c>
      <c r="C1544" s="71" t="s">
        <v>187</v>
      </c>
      <c r="D1544" s="71" t="s">
        <v>207</v>
      </c>
      <c r="E1544" s="71" t="s">
        <v>576</v>
      </c>
      <c r="F1544" s="71" t="s">
        <v>300</v>
      </c>
      <c r="G1544" s="88">
        <v>46202.697708333297</v>
      </c>
      <c r="H1544" s="89">
        <v>46202</v>
      </c>
      <c r="I1544" s="71" t="s">
        <v>312</v>
      </c>
      <c r="J1544" s="71">
        <v>0</v>
      </c>
      <c r="K1544" s="71" t="s">
        <v>302</v>
      </c>
      <c r="L1544" s="71">
        <f t="shared" si="216"/>
        <v>6</v>
      </c>
      <c r="M1544" s="71" t="str">
        <f>IFERROR(INDEX(KALENDER!$D$3:$D$132,MATCH(H1544,KALENDER!$A$3:$A$132,0)),"Di luar periode")</f>
        <v>Hari Kerja</v>
      </c>
      <c r="N1544" s="71">
        <f t="shared" si="217"/>
        <v>0</v>
      </c>
      <c r="O1544" s="71">
        <f t="shared" si="218"/>
        <v>1</v>
      </c>
      <c r="P1544" s="71">
        <f t="shared" si="219"/>
        <v>0</v>
      </c>
      <c r="Q1544" s="71">
        <f t="shared" si="220"/>
        <v>0</v>
      </c>
      <c r="R1544" s="71">
        <f t="shared" si="221"/>
        <v>0</v>
      </c>
      <c r="S1544" s="71">
        <f t="shared" si="222"/>
        <v>0</v>
      </c>
      <c r="T1544" s="71">
        <f t="shared" si="223"/>
        <v>0</v>
      </c>
      <c r="U1544" s="71">
        <f>IF(AND(N1544=1,V1544=1),IF(COUNTIFS(AKTIVITAS!$B$2:$B$3052,B1544,AKTIVITAS!$E$2:$E$3052,H1544)&gt;0,1,0),0)</f>
        <v>0</v>
      </c>
      <c r="V1544" s="71">
        <f>IFERROR(IF(AND(H1544&gt;=INDEX(PEMAGANG!$J$3:$J$36,MATCH(B1544,PEMAGANG!$C$3:$C$36,0)),H1544&lt;=INDEX(PEMAGANG!$K$3:$K$36,MATCH(B1544,PEMAGANG!$C$3:$C$36,0))),1,0),0)</f>
        <v>1</v>
      </c>
      <c r="W1544" s="71">
        <f t="shared" si="224"/>
        <v>0</v>
      </c>
    </row>
    <row r="1545" spans="1:23" x14ac:dyDescent="0.2">
      <c r="A1545" s="71" t="s">
        <v>205</v>
      </c>
      <c r="B1545" s="71" t="s">
        <v>206</v>
      </c>
      <c r="C1545" s="71" t="s">
        <v>187</v>
      </c>
      <c r="D1545" s="71" t="s">
        <v>207</v>
      </c>
      <c r="E1545" s="71" t="s">
        <v>576</v>
      </c>
      <c r="F1545" s="71" t="s">
        <v>298</v>
      </c>
      <c r="G1545" s="88">
        <v>46203.319108796299</v>
      </c>
      <c r="H1545" s="89">
        <v>46203</v>
      </c>
      <c r="I1545" s="71" t="s">
        <v>515</v>
      </c>
      <c r="J1545" s="71">
        <v>9.0000000000000497</v>
      </c>
      <c r="K1545" s="71" t="s">
        <v>293</v>
      </c>
      <c r="L1545" s="71">
        <f t="shared" si="216"/>
        <v>6</v>
      </c>
      <c r="M1545" s="71" t="str">
        <f>IFERROR(INDEX(KALENDER!$D$3:$D$132,MATCH(H1545,KALENDER!$A$3:$A$132,0)),"Di luar periode")</f>
        <v>Hari Kerja</v>
      </c>
      <c r="N1545" s="71">
        <f t="shared" si="217"/>
        <v>1</v>
      </c>
      <c r="O1545" s="71">
        <f t="shared" si="218"/>
        <v>1</v>
      </c>
      <c r="P1545" s="71">
        <f t="shared" si="219"/>
        <v>1</v>
      </c>
      <c r="Q1545" s="71">
        <f t="shared" si="220"/>
        <v>0</v>
      </c>
      <c r="R1545" s="71">
        <f t="shared" si="221"/>
        <v>1</v>
      </c>
      <c r="S1545" s="71">
        <f t="shared" si="222"/>
        <v>9.0000000000000497</v>
      </c>
      <c r="T1545" s="71">
        <f t="shared" si="223"/>
        <v>1</v>
      </c>
      <c r="U1545" s="71">
        <f>IF(AND(N1545=1,V1545=1),IF(COUNTIFS(AKTIVITAS!$B$2:$B$3052,B1545,AKTIVITAS!$E$2:$E$3052,H1545)&gt;0,1,0),0)</f>
        <v>0</v>
      </c>
      <c r="V1545" s="71">
        <f>IFERROR(IF(AND(H1545&gt;=INDEX(PEMAGANG!$J$3:$J$36,MATCH(B1545,PEMAGANG!$C$3:$C$36,0)),H1545&lt;=INDEX(PEMAGANG!$K$3:$K$36,MATCH(B1545,PEMAGANG!$C$3:$C$36,0))),1,0),0)</f>
        <v>1</v>
      </c>
      <c r="W1545" s="71">
        <f t="shared" si="224"/>
        <v>1</v>
      </c>
    </row>
    <row r="1546" spans="1:23" x14ac:dyDescent="0.2">
      <c r="A1546" s="71" t="s">
        <v>205</v>
      </c>
      <c r="B1546" s="71" t="s">
        <v>206</v>
      </c>
      <c r="C1546" s="71" t="s">
        <v>187</v>
      </c>
      <c r="D1546" s="71" t="s">
        <v>207</v>
      </c>
      <c r="E1546" s="71" t="s">
        <v>576</v>
      </c>
      <c r="F1546" s="71" t="s">
        <v>298</v>
      </c>
      <c r="G1546" s="88">
        <v>46204.3145717593</v>
      </c>
      <c r="H1546" s="89">
        <v>46204</v>
      </c>
      <c r="I1546" s="71" t="s">
        <v>338</v>
      </c>
      <c r="J1546" s="71">
        <v>1.99999999999999</v>
      </c>
      <c r="K1546" s="71" t="s">
        <v>293</v>
      </c>
      <c r="L1546" s="71">
        <f t="shared" si="216"/>
        <v>7</v>
      </c>
      <c r="M1546" s="71" t="str">
        <f>IFERROR(INDEX(KALENDER!$D$3:$D$132,MATCH(H1546,KALENDER!$A$3:$A$132,0)),"Di luar periode")</f>
        <v>WFH</v>
      </c>
      <c r="N1546" s="71">
        <f t="shared" si="217"/>
        <v>1</v>
      </c>
      <c r="O1546" s="71">
        <f t="shared" si="218"/>
        <v>1</v>
      </c>
      <c r="P1546" s="71">
        <f t="shared" si="219"/>
        <v>0</v>
      </c>
      <c r="Q1546" s="71">
        <f t="shared" si="220"/>
        <v>1</v>
      </c>
      <c r="R1546" s="71">
        <f t="shared" si="221"/>
        <v>1</v>
      </c>
      <c r="S1546" s="71">
        <f t="shared" si="222"/>
        <v>1.99999999999999</v>
      </c>
      <c r="T1546" s="71">
        <f t="shared" si="223"/>
        <v>0</v>
      </c>
      <c r="U1546" s="71">
        <f>IF(AND(N1546=1,V1546=1),IF(COUNTIFS(AKTIVITAS!$B$2:$B$3052,B1546,AKTIVITAS!$E$2:$E$3052,H1546)&gt;0,1,0),0)</f>
        <v>1</v>
      </c>
      <c r="V1546" s="71">
        <f>IFERROR(IF(AND(H1546&gt;=INDEX(PEMAGANG!$J$3:$J$36,MATCH(B1546,PEMAGANG!$C$3:$C$36,0)),H1546&lt;=INDEX(PEMAGANG!$K$3:$K$36,MATCH(B1546,PEMAGANG!$C$3:$C$36,0))),1,0),0)</f>
        <v>1</v>
      </c>
      <c r="W1546" s="71">
        <f t="shared" si="224"/>
        <v>1</v>
      </c>
    </row>
    <row r="1547" spans="1:23" x14ac:dyDescent="0.2">
      <c r="A1547" s="71" t="s">
        <v>205</v>
      </c>
      <c r="B1547" s="71" t="s">
        <v>206</v>
      </c>
      <c r="C1547" s="71" t="s">
        <v>187</v>
      </c>
      <c r="D1547" s="71" t="s">
        <v>207</v>
      </c>
      <c r="E1547" s="71" t="s">
        <v>576</v>
      </c>
      <c r="F1547" s="71" t="s">
        <v>300</v>
      </c>
      <c r="G1547" s="88">
        <v>46204.821157407401</v>
      </c>
      <c r="H1547" s="89">
        <v>46204</v>
      </c>
      <c r="I1547" s="71" t="s">
        <v>580</v>
      </c>
      <c r="J1547" s="71">
        <v>0</v>
      </c>
      <c r="K1547" s="71" t="s">
        <v>302</v>
      </c>
      <c r="L1547" s="71">
        <f t="shared" si="216"/>
        <v>7</v>
      </c>
      <c r="M1547" s="71" t="str">
        <f>IFERROR(INDEX(KALENDER!$D$3:$D$132,MATCH(H1547,KALENDER!$A$3:$A$132,0)),"Di luar periode")</f>
        <v>WFH</v>
      </c>
      <c r="N1547" s="71">
        <f t="shared" si="217"/>
        <v>0</v>
      </c>
      <c r="O1547" s="71">
        <f t="shared" si="218"/>
        <v>1</v>
      </c>
      <c r="P1547" s="71">
        <f t="shared" si="219"/>
        <v>0</v>
      </c>
      <c r="Q1547" s="71">
        <f t="shared" si="220"/>
        <v>0</v>
      </c>
      <c r="R1547" s="71">
        <f t="shared" si="221"/>
        <v>0</v>
      </c>
      <c r="S1547" s="71">
        <f t="shared" si="222"/>
        <v>0</v>
      </c>
      <c r="T1547" s="71">
        <f t="shared" si="223"/>
        <v>0</v>
      </c>
      <c r="U1547" s="71">
        <f>IF(AND(N1547=1,V1547=1),IF(COUNTIFS(AKTIVITAS!$B$2:$B$3052,B1547,AKTIVITAS!$E$2:$E$3052,H1547)&gt;0,1,0),0)</f>
        <v>0</v>
      </c>
      <c r="V1547" s="71">
        <f>IFERROR(IF(AND(H1547&gt;=INDEX(PEMAGANG!$J$3:$J$36,MATCH(B1547,PEMAGANG!$C$3:$C$36,0)),H1547&lt;=INDEX(PEMAGANG!$K$3:$K$36,MATCH(B1547,PEMAGANG!$C$3:$C$36,0))),1,0),0)</f>
        <v>1</v>
      </c>
      <c r="W1547" s="71">
        <f t="shared" si="224"/>
        <v>0</v>
      </c>
    </row>
    <row r="1548" spans="1:23" x14ac:dyDescent="0.2">
      <c r="A1548" s="71" t="s">
        <v>205</v>
      </c>
      <c r="B1548" s="71" t="s">
        <v>206</v>
      </c>
      <c r="C1548" s="71" t="s">
        <v>187</v>
      </c>
      <c r="D1548" s="71" t="s">
        <v>207</v>
      </c>
      <c r="E1548" s="71" t="s">
        <v>576</v>
      </c>
      <c r="F1548" s="71" t="s">
        <v>298</v>
      </c>
      <c r="G1548" s="88">
        <v>46205.306840277801</v>
      </c>
      <c r="H1548" s="89">
        <v>46205</v>
      </c>
      <c r="I1548" s="71" t="s">
        <v>305</v>
      </c>
      <c r="J1548" s="71">
        <v>-9.0000000000000497</v>
      </c>
      <c r="K1548" s="71" t="s">
        <v>302</v>
      </c>
      <c r="L1548" s="71">
        <f t="shared" si="216"/>
        <v>7</v>
      </c>
      <c r="M1548" s="71" t="str">
        <f>IFERROR(INDEX(KALENDER!$D$3:$D$132,MATCH(H1548,KALENDER!$A$3:$A$132,0)),"Di luar periode")</f>
        <v>Hari Kerja</v>
      </c>
      <c r="N1548" s="71">
        <f t="shared" si="217"/>
        <v>1</v>
      </c>
      <c r="O1548" s="71">
        <f t="shared" si="218"/>
        <v>1</v>
      </c>
      <c r="P1548" s="71">
        <f t="shared" si="219"/>
        <v>1</v>
      </c>
      <c r="Q1548" s="71">
        <f t="shared" si="220"/>
        <v>0</v>
      </c>
      <c r="R1548" s="71">
        <f t="shared" si="221"/>
        <v>0</v>
      </c>
      <c r="S1548" s="71">
        <f t="shared" si="222"/>
        <v>0</v>
      </c>
      <c r="T1548" s="71">
        <f t="shared" si="223"/>
        <v>0</v>
      </c>
      <c r="U1548" s="71">
        <f>IF(AND(N1548=1,V1548=1),IF(COUNTIFS(AKTIVITAS!$B$2:$B$3052,B1548,AKTIVITAS!$E$2:$E$3052,H1548)&gt;0,1,0),0)</f>
        <v>1</v>
      </c>
      <c r="V1548" s="71">
        <f>IFERROR(IF(AND(H1548&gt;=INDEX(PEMAGANG!$J$3:$J$36,MATCH(B1548,PEMAGANG!$C$3:$C$36,0)),H1548&lt;=INDEX(PEMAGANG!$K$3:$K$36,MATCH(B1548,PEMAGANG!$C$3:$C$36,0))),1,0),0)</f>
        <v>1</v>
      </c>
      <c r="W1548" s="71">
        <f t="shared" si="224"/>
        <v>1</v>
      </c>
    </row>
    <row r="1549" spans="1:23" x14ac:dyDescent="0.2">
      <c r="A1549" s="71" t="s">
        <v>205</v>
      </c>
      <c r="B1549" s="71" t="s">
        <v>206</v>
      </c>
      <c r="C1549" s="71" t="s">
        <v>187</v>
      </c>
      <c r="D1549" s="71" t="s">
        <v>207</v>
      </c>
      <c r="E1549" s="71" t="s">
        <v>576</v>
      </c>
      <c r="F1549" s="71" t="s">
        <v>300</v>
      </c>
      <c r="G1549" s="88">
        <v>46205.692685185197</v>
      </c>
      <c r="H1549" s="89">
        <v>46205</v>
      </c>
      <c r="I1549" s="71" t="s">
        <v>328</v>
      </c>
      <c r="J1549" s="71">
        <v>0</v>
      </c>
      <c r="K1549" s="71" t="s">
        <v>302</v>
      </c>
      <c r="L1549" s="71">
        <f t="shared" si="216"/>
        <v>7</v>
      </c>
      <c r="M1549" s="71" t="str">
        <f>IFERROR(INDEX(KALENDER!$D$3:$D$132,MATCH(H1549,KALENDER!$A$3:$A$132,0)),"Di luar periode")</f>
        <v>Hari Kerja</v>
      </c>
      <c r="N1549" s="71">
        <f t="shared" si="217"/>
        <v>0</v>
      </c>
      <c r="O1549" s="71">
        <f t="shared" si="218"/>
        <v>1</v>
      </c>
      <c r="P1549" s="71">
        <f t="shared" si="219"/>
        <v>0</v>
      </c>
      <c r="Q1549" s="71">
        <f t="shared" si="220"/>
        <v>0</v>
      </c>
      <c r="R1549" s="71">
        <f t="shared" si="221"/>
        <v>0</v>
      </c>
      <c r="S1549" s="71">
        <f t="shared" si="222"/>
        <v>0</v>
      </c>
      <c r="T1549" s="71">
        <f t="shared" si="223"/>
        <v>0</v>
      </c>
      <c r="U1549" s="71">
        <f>IF(AND(N1549=1,V1549=1),IF(COUNTIFS(AKTIVITAS!$B$2:$B$3052,B1549,AKTIVITAS!$E$2:$E$3052,H1549)&gt;0,1,0),0)</f>
        <v>0</v>
      </c>
      <c r="V1549" s="71">
        <f>IFERROR(IF(AND(H1549&gt;=INDEX(PEMAGANG!$J$3:$J$36,MATCH(B1549,PEMAGANG!$C$3:$C$36,0)),H1549&lt;=INDEX(PEMAGANG!$K$3:$K$36,MATCH(B1549,PEMAGANG!$C$3:$C$36,0))),1,0),0)</f>
        <v>1</v>
      </c>
      <c r="W1549" s="71">
        <f t="shared" si="224"/>
        <v>0</v>
      </c>
    </row>
    <row r="1550" spans="1:23" x14ac:dyDescent="0.2">
      <c r="A1550" s="71" t="s">
        <v>205</v>
      </c>
      <c r="B1550" s="71" t="s">
        <v>206</v>
      </c>
      <c r="C1550" s="71" t="s">
        <v>187</v>
      </c>
      <c r="D1550" s="71" t="s">
        <v>207</v>
      </c>
      <c r="E1550" s="71" t="s">
        <v>576</v>
      </c>
      <c r="F1550" s="71" t="s">
        <v>298</v>
      </c>
      <c r="G1550" s="88">
        <v>46206.313020833302</v>
      </c>
      <c r="H1550" s="89">
        <v>46206</v>
      </c>
      <c r="I1550" s="71" t="s">
        <v>335</v>
      </c>
      <c r="J1550" s="71">
        <v>0</v>
      </c>
      <c r="K1550" s="71" t="s">
        <v>302</v>
      </c>
      <c r="L1550" s="71">
        <f t="shared" si="216"/>
        <v>7</v>
      </c>
      <c r="M1550" s="71" t="str">
        <f>IFERROR(INDEX(KALENDER!$D$3:$D$132,MATCH(H1550,KALENDER!$A$3:$A$132,0)),"Di luar periode")</f>
        <v>Hari Kerja</v>
      </c>
      <c r="N1550" s="71">
        <f t="shared" si="217"/>
        <v>1</v>
      </c>
      <c r="O1550" s="71">
        <f t="shared" si="218"/>
        <v>1</v>
      </c>
      <c r="P1550" s="71">
        <f t="shared" si="219"/>
        <v>1</v>
      </c>
      <c r="Q1550" s="71">
        <f t="shared" si="220"/>
        <v>0</v>
      </c>
      <c r="R1550" s="71">
        <f t="shared" si="221"/>
        <v>0</v>
      </c>
      <c r="S1550" s="71">
        <f t="shared" si="222"/>
        <v>0</v>
      </c>
      <c r="T1550" s="71">
        <f t="shared" si="223"/>
        <v>0</v>
      </c>
      <c r="U1550" s="71">
        <f>IF(AND(N1550=1,V1550=1),IF(COUNTIFS(AKTIVITAS!$B$2:$B$3052,B1550,AKTIVITAS!$E$2:$E$3052,H1550)&gt;0,1,0),0)</f>
        <v>1</v>
      </c>
      <c r="V1550" s="71">
        <f>IFERROR(IF(AND(H1550&gt;=INDEX(PEMAGANG!$J$3:$J$36,MATCH(B1550,PEMAGANG!$C$3:$C$36,0)),H1550&lt;=INDEX(PEMAGANG!$K$3:$K$36,MATCH(B1550,PEMAGANG!$C$3:$C$36,0))),1,0),0)</f>
        <v>1</v>
      </c>
      <c r="W1550" s="71">
        <f t="shared" si="224"/>
        <v>1</v>
      </c>
    </row>
    <row r="1551" spans="1:23" x14ac:dyDescent="0.2">
      <c r="A1551" s="71" t="s">
        <v>205</v>
      </c>
      <c r="B1551" s="71" t="s">
        <v>206</v>
      </c>
      <c r="C1551" s="71" t="s">
        <v>187</v>
      </c>
      <c r="D1551" s="71" t="s">
        <v>207</v>
      </c>
      <c r="E1551" s="71" t="s">
        <v>576</v>
      </c>
      <c r="F1551" s="71" t="s">
        <v>300</v>
      </c>
      <c r="G1551" s="88">
        <v>46206.698425925897</v>
      </c>
      <c r="H1551" s="89">
        <v>46206</v>
      </c>
      <c r="I1551" s="71" t="s">
        <v>318</v>
      </c>
      <c r="J1551" s="71">
        <v>0</v>
      </c>
      <c r="K1551" s="71" t="s">
        <v>302</v>
      </c>
      <c r="L1551" s="71">
        <f t="shared" si="216"/>
        <v>7</v>
      </c>
      <c r="M1551" s="71" t="str">
        <f>IFERROR(INDEX(KALENDER!$D$3:$D$132,MATCH(H1551,KALENDER!$A$3:$A$132,0)),"Di luar periode")</f>
        <v>Hari Kerja</v>
      </c>
      <c r="N1551" s="71">
        <f t="shared" si="217"/>
        <v>0</v>
      </c>
      <c r="O1551" s="71">
        <f t="shared" si="218"/>
        <v>1</v>
      </c>
      <c r="P1551" s="71">
        <f t="shared" si="219"/>
        <v>0</v>
      </c>
      <c r="Q1551" s="71">
        <f t="shared" si="220"/>
        <v>0</v>
      </c>
      <c r="R1551" s="71">
        <f t="shared" si="221"/>
        <v>0</v>
      </c>
      <c r="S1551" s="71">
        <f t="shared" si="222"/>
        <v>0</v>
      </c>
      <c r="T1551" s="71">
        <f t="shared" si="223"/>
        <v>0</v>
      </c>
      <c r="U1551" s="71">
        <f>IF(AND(N1551=1,V1551=1),IF(COUNTIFS(AKTIVITAS!$B$2:$B$3052,B1551,AKTIVITAS!$E$2:$E$3052,H1551)&gt;0,1,0),0)</f>
        <v>0</v>
      </c>
      <c r="V1551" s="71">
        <f>IFERROR(IF(AND(H1551&gt;=INDEX(PEMAGANG!$J$3:$J$36,MATCH(B1551,PEMAGANG!$C$3:$C$36,0)),H1551&lt;=INDEX(PEMAGANG!$K$3:$K$36,MATCH(B1551,PEMAGANG!$C$3:$C$36,0))),1,0),0)</f>
        <v>1</v>
      </c>
      <c r="W1551" s="71">
        <f t="shared" si="224"/>
        <v>0</v>
      </c>
    </row>
    <row r="1552" spans="1:23" x14ac:dyDescent="0.2">
      <c r="A1552" s="71" t="s">
        <v>205</v>
      </c>
      <c r="B1552" s="71" t="s">
        <v>206</v>
      </c>
      <c r="C1552" s="71" t="s">
        <v>187</v>
      </c>
      <c r="D1552" s="71" t="s">
        <v>207</v>
      </c>
      <c r="E1552" s="71" t="s">
        <v>576</v>
      </c>
      <c r="F1552" s="71" t="s">
        <v>298</v>
      </c>
      <c r="G1552" s="88">
        <v>46209.316655092603</v>
      </c>
      <c r="H1552" s="89">
        <v>46209</v>
      </c>
      <c r="I1552" s="71" t="s">
        <v>339</v>
      </c>
      <c r="J1552" s="71">
        <v>4.9999999999999796</v>
      </c>
      <c r="K1552" s="71" t="s">
        <v>293</v>
      </c>
      <c r="L1552" s="71">
        <f t="shared" si="216"/>
        <v>7</v>
      </c>
      <c r="M1552" s="71" t="str">
        <f>IFERROR(INDEX(KALENDER!$D$3:$D$132,MATCH(H1552,KALENDER!$A$3:$A$132,0)),"Di luar periode")</f>
        <v>Hari Kerja</v>
      </c>
      <c r="N1552" s="71">
        <f t="shared" si="217"/>
        <v>1</v>
      </c>
      <c r="O1552" s="71">
        <f t="shared" si="218"/>
        <v>1</v>
      </c>
      <c r="P1552" s="71">
        <f t="shared" si="219"/>
        <v>1</v>
      </c>
      <c r="Q1552" s="71">
        <f t="shared" si="220"/>
        <v>0</v>
      </c>
      <c r="R1552" s="71">
        <f t="shared" si="221"/>
        <v>1</v>
      </c>
      <c r="S1552" s="71">
        <f t="shared" si="222"/>
        <v>4.9999999999999796</v>
      </c>
      <c r="T1552" s="71">
        <f t="shared" si="223"/>
        <v>0</v>
      </c>
      <c r="U1552" s="71">
        <f>IF(AND(N1552=1,V1552=1),IF(COUNTIFS(AKTIVITAS!$B$2:$B$3052,B1552,AKTIVITAS!$E$2:$E$3052,H1552)&gt;0,1,0),0)</f>
        <v>1</v>
      </c>
      <c r="V1552" s="71">
        <f>IFERROR(IF(AND(H1552&gt;=INDEX(PEMAGANG!$J$3:$J$36,MATCH(B1552,PEMAGANG!$C$3:$C$36,0)),H1552&lt;=INDEX(PEMAGANG!$K$3:$K$36,MATCH(B1552,PEMAGANG!$C$3:$C$36,0))),1,0),0)</f>
        <v>1</v>
      </c>
      <c r="W1552" s="71">
        <f t="shared" si="224"/>
        <v>1</v>
      </c>
    </row>
    <row r="1553" spans="1:23" x14ac:dyDescent="0.2">
      <c r="A1553" s="71" t="s">
        <v>205</v>
      </c>
      <c r="B1553" s="71" t="s">
        <v>206</v>
      </c>
      <c r="C1553" s="71" t="s">
        <v>187</v>
      </c>
      <c r="D1553" s="71" t="s">
        <v>207</v>
      </c>
      <c r="E1553" s="71" t="s">
        <v>576</v>
      </c>
      <c r="F1553" s="71" t="s">
        <v>300</v>
      </c>
      <c r="G1553" s="88">
        <v>46209.6926157407</v>
      </c>
      <c r="H1553" s="89">
        <v>46209</v>
      </c>
      <c r="I1553" s="71" t="s">
        <v>328</v>
      </c>
      <c r="J1553" s="71">
        <v>0</v>
      </c>
      <c r="K1553" s="71" t="s">
        <v>302</v>
      </c>
      <c r="L1553" s="71">
        <f t="shared" si="216"/>
        <v>7</v>
      </c>
      <c r="M1553" s="71" t="str">
        <f>IFERROR(INDEX(KALENDER!$D$3:$D$132,MATCH(H1553,KALENDER!$A$3:$A$132,0)),"Di luar periode")</f>
        <v>Hari Kerja</v>
      </c>
      <c r="N1553" s="71">
        <f t="shared" si="217"/>
        <v>0</v>
      </c>
      <c r="O1553" s="71">
        <f t="shared" si="218"/>
        <v>1</v>
      </c>
      <c r="P1553" s="71">
        <f t="shared" si="219"/>
        <v>0</v>
      </c>
      <c r="Q1553" s="71">
        <f t="shared" si="220"/>
        <v>0</v>
      </c>
      <c r="R1553" s="71">
        <f t="shared" si="221"/>
        <v>0</v>
      </c>
      <c r="S1553" s="71">
        <f t="shared" si="222"/>
        <v>0</v>
      </c>
      <c r="T1553" s="71">
        <f t="shared" si="223"/>
        <v>0</v>
      </c>
      <c r="U1553" s="71">
        <f>IF(AND(N1553=1,V1553=1),IF(COUNTIFS(AKTIVITAS!$B$2:$B$3052,B1553,AKTIVITAS!$E$2:$E$3052,H1553)&gt;0,1,0),0)</f>
        <v>0</v>
      </c>
      <c r="V1553" s="71">
        <f>IFERROR(IF(AND(H1553&gt;=INDEX(PEMAGANG!$J$3:$J$36,MATCH(B1553,PEMAGANG!$C$3:$C$36,0)),H1553&lt;=INDEX(PEMAGANG!$K$3:$K$36,MATCH(B1553,PEMAGANG!$C$3:$C$36,0))),1,0),0)</f>
        <v>1</v>
      </c>
      <c r="W1553" s="71">
        <f t="shared" si="224"/>
        <v>0</v>
      </c>
    </row>
    <row r="1554" spans="1:23" x14ac:dyDescent="0.2">
      <c r="A1554" s="71" t="s">
        <v>205</v>
      </c>
      <c r="B1554" s="71" t="s">
        <v>206</v>
      </c>
      <c r="C1554" s="71" t="s">
        <v>187</v>
      </c>
      <c r="D1554" s="71" t="s">
        <v>207</v>
      </c>
      <c r="E1554" s="71" t="s">
        <v>576</v>
      </c>
      <c r="F1554" s="71" t="s">
        <v>298</v>
      </c>
      <c r="G1554" s="88">
        <v>46210.307951388902</v>
      </c>
      <c r="H1554" s="89">
        <v>46210</v>
      </c>
      <c r="I1554" s="71" t="s">
        <v>311</v>
      </c>
      <c r="J1554" s="71">
        <v>-6.9999999999999796</v>
      </c>
      <c r="K1554" s="71" t="s">
        <v>302</v>
      </c>
      <c r="L1554" s="71">
        <f t="shared" si="216"/>
        <v>7</v>
      </c>
      <c r="M1554" s="71" t="str">
        <f>IFERROR(INDEX(KALENDER!$D$3:$D$132,MATCH(H1554,KALENDER!$A$3:$A$132,0)),"Di luar periode")</f>
        <v>Hari Kerja</v>
      </c>
      <c r="N1554" s="71">
        <f t="shared" si="217"/>
        <v>1</v>
      </c>
      <c r="O1554" s="71">
        <f t="shared" si="218"/>
        <v>1</v>
      </c>
      <c r="P1554" s="71">
        <f t="shared" si="219"/>
        <v>1</v>
      </c>
      <c r="Q1554" s="71">
        <f t="shared" si="220"/>
        <v>0</v>
      </c>
      <c r="R1554" s="71">
        <f t="shared" si="221"/>
        <v>0</v>
      </c>
      <c r="S1554" s="71">
        <f t="shared" si="222"/>
        <v>0</v>
      </c>
      <c r="T1554" s="71">
        <f t="shared" si="223"/>
        <v>0</v>
      </c>
      <c r="U1554" s="71">
        <f>IF(AND(N1554=1,V1554=1),IF(COUNTIFS(AKTIVITAS!$B$2:$B$3052,B1554,AKTIVITAS!$E$2:$E$3052,H1554)&gt;0,1,0),0)</f>
        <v>1</v>
      </c>
      <c r="V1554" s="71">
        <f>IFERROR(IF(AND(H1554&gt;=INDEX(PEMAGANG!$J$3:$J$36,MATCH(B1554,PEMAGANG!$C$3:$C$36,0)),H1554&lt;=INDEX(PEMAGANG!$K$3:$K$36,MATCH(B1554,PEMAGANG!$C$3:$C$36,0))),1,0),0)</f>
        <v>1</v>
      </c>
      <c r="W1554" s="71">
        <f t="shared" si="224"/>
        <v>1</v>
      </c>
    </row>
    <row r="1555" spans="1:23" x14ac:dyDescent="0.2">
      <c r="A1555" s="71" t="s">
        <v>205</v>
      </c>
      <c r="B1555" s="71" t="s">
        <v>206</v>
      </c>
      <c r="C1555" s="71" t="s">
        <v>187</v>
      </c>
      <c r="D1555" s="71" t="s">
        <v>207</v>
      </c>
      <c r="E1555" s="71" t="s">
        <v>576</v>
      </c>
      <c r="F1555" s="71" t="s">
        <v>300</v>
      </c>
      <c r="G1555" s="88">
        <v>46210.688506944498</v>
      </c>
      <c r="H1555" s="89">
        <v>46210</v>
      </c>
      <c r="I1555" s="71" t="s">
        <v>336</v>
      </c>
      <c r="J1555" s="71">
        <v>0</v>
      </c>
      <c r="K1555" s="71" t="s">
        <v>302</v>
      </c>
      <c r="L1555" s="71">
        <f t="shared" si="216"/>
        <v>7</v>
      </c>
      <c r="M1555" s="71" t="str">
        <f>IFERROR(INDEX(KALENDER!$D$3:$D$132,MATCH(H1555,KALENDER!$A$3:$A$132,0)),"Di luar periode")</f>
        <v>Hari Kerja</v>
      </c>
      <c r="N1555" s="71">
        <f t="shared" si="217"/>
        <v>0</v>
      </c>
      <c r="O1555" s="71">
        <f t="shared" si="218"/>
        <v>1</v>
      </c>
      <c r="P1555" s="71">
        <f t="shared" si="219"/>
        <v>0</v>
      </c>
      <c r="Q1555" s="71">
        <f t="shared" si="220"/>
        <v>0</v>
      </c>
      <c r="R1555" s="71">
        <f t="shared" si="221"/>
        <v>0</v>
      </c>
      <c r="S1555" s="71">
        <f t="shared" si="222"/>
        <v>0</v>
      </c>
      <c r="T1555" s="71">
        <f t="shared" si="223"/>
        <v>0</v>
      </c>
      <c r="U1555" s="71">
        <f>IF(AND(N1555=1,V1555=1),IF(COUNTIFS(AKTIVITAS!$B$2:$B$3052,B1555,AKTIVITAS!$E$2:$E$3052,H1555)&gt;0,1,0),0)</f>
        <v>0</v>
      </c>
      <c r="V1555" s="71">
        <f>IFERROR(IF(AND(H1555&gt;=INDEX(PEMAGANG!$J$3:$J$36,MATCH(B1555,PEMAGANG!$C$3:$C$36,0)),H1555&lt;=INDEX(PEMAGANG!$K$3:$K$36,MATCH(B1555,PEMAGANG!$C$3:$C$36,0))),1,0),0)</f>
        <v>1</v>
      </c>
      <c r="W1555" s="71">
        <f t="shared" si="224"/>
        <v>0</v>
      </c>
    </row>
    <row r="1556" spans="1:23" x14ac:dyDescent="0.2">
      <c r="A1556" s="71" t="s">
        <v>205</v>
      </c>
      <c r="B1556" s="71" t="s">
        <v>206</v>
      </c>
      <c r="C1556" s="71" t="s">
        <v>187</v>
      </c>
      <c r="D1556" s="71" t="s">
        <v>207</v>
      </c>
      <c r="E1556" s="71" t="s">
        <v>576</v>
      </c>
      <c r="F1556" s="71" t="s">
        <v>298</v>
      </c>
      <c r="G1556" s="88">
        <v>46211.313449074099</v>
      </c>
      <c r="H1556" s="89">
        <v>46211</v>
      </c>
      <c r="I1556" s="71" t="s">
        <v>392</v>
      </c>
      <c r="J1556" s="71">
        <v>0.999999999999996</v>
      </c>
      <c r="K1556" s="71" t="s">
        <v>293</v>
      </c>
      <c r="L1556" s="71">
        <f t="shared" si="216"/>
        <v>7</v>
      </c>
      <c r="M1556" s="71" t="str">
        <f>IFERROR(INDEX(KALENDER!$D$3:$D$132,MATCH(H1556,KALENDER!$A$3:$A$132,0)),"Di luar periode")</f>
        <v>WFH</v>
      </c>
      <c r="N1556" s="71">
        <f t="shared" si="217"/>
        <v>1</v>
      </c>
      <c r="O1556" s="71">
        <f t="shared" si="218"/>
        <v>1</v>
      </c>
      <c r="P1556" s="71">
        <f t="shared" si="219"/>
        <v>0</v>
      </c>
      <c r="Q1556" s="71">
        <f t="shared" si="220"/>
        <v>1</v>
      </c>
      <c r="R1556" s="71">
        <f t="shared" si="221"/>
        <v>1</v>
      </c>
      <c r="S1556" s="71">
        <f t="shared" si="222"/>
        <v>0.999999999999996</v>
      </c>
      <c r="T1556" s="71">
        <f t="shared" si="223"/>
        <v>0</v>
      </c>
      <c r="U1556" s="71">
        <f>IF(AND(N1556=1,V1556=1),IF(COUNTIFS(AKTIVITAS!$B$2:$B$3052,B1556,AKTIVITAS!$E$2:$E$3052,H1556)&gt;0,1,0),0)</f>
        <v>1</v>
      </c>
      <c r="V1556" s="71">
        <f>IFERROR(IF(AND(H1556&gt;=INDEX(PEMAGANG!$J$3:$J$36,MATCH(B1556,PEMAGANG!$C$3:$C$36,0)),H1556&lt;=INDEX(PEMAGANG!$K$3:$K$36,MATCH(B1556,PEMAGANG!$C$3:$C$36,0))),1,0),0)</f>
        <v>1</v>
      </c>
      <c r="W1556" s="71">
        <f t="shared" si="224"/>
        <v>1</v>
      </c>
    </row>
    <row r="1557" spans="1:23" x14ac:dyDescent="0.2">
      <c r="A1557" s="71" t="s">
        <v>205</v>
      </c>
      <c r="B1557" s="71" t="s">
        <v>206</v>
      </c>
      <c r="C1557" s="71" t="s">
        <v>187</v>
      </c>
      <c r="D1557" s="71" t="s">
        <v>207</v>
      </c>
      <c r="E1557" s="71" t="s">
        <v>576</v>
      </c>
      <c r="F1557" s="71" t="s">
        <v>300</v>
      </c>
      <c r="G1557" s="88">
        <v>46211.938865740703</v>
      </c>
      <c r="H1557" s="89">
        <v>46211</v>
      </c>
      <c r="I1557" s="71" t="s">
        <v>581</v>
      </c>
      <c r="J1557" s="71">
        <v>0</v>
      </c>
      <c r="K1557" s="71" t="s">
        <v>302</v>
      </c>
      <c r="L1557" s="71">
        <f t="shared" si="216"/>
        <v>7</v>
      </c>
      <c r="M1557" s="71" t="str">
        <f>IFERROR(INDEX(KALENDER!$D$3:$D$132,MATCH(H1557,KALENDER!$A$3:$A$132,0)),"Di luar periode")</f>
        <v>WFH</v>
      </c>
      <c r="N1557" s="71">
        <f t="shared" si="217"/>
        <v>0</v>
      </c>
      <c r="O1557" s="71">
        <f t="shared" si="218"/>
        <v>1</v>
      </c>
      <c r="P1557" s="71">
        <f t="shared" si="219"/>
        <v>0</v>
      </c>
      <c r="Q1557" s="71">
        <f t="shared" si="220"/>
        <v>0</v>
      </c>
      <c r="R1557" s="71">
        <f t="shared" si="221"/>
        <v>0</v>
      </c>
      <c r="S1557" s="71">
        <f t="shared" si="222"/>
        <v>0</v>
      </c>
      <c r="T1557" s="71">
        <f t="shared" si="223"/>
        <v>0</v>
      </c>
      <c r="U1557" s="71">
        <f>IF(AND(N1557=1,V1557=1),IF(COUNTIFS(AKTIVITAS!$B$2:$B$3052,B1557,AKTIVITAS!$E$2:$E$3052,H1557)&gt;0,1,0),0)</f>
        <v>0</v>
      </c>
      <c r="V1557" s="71">
        <f>IFERROR(IF(AND(H1557&gt;=INDEX(PEMAGANG!$J$3:$J$36,MATCH(B1557,PEMAGANG!$C$3:$C$36,0)),H1557&lt;=INDEX(PEMAGANG!$K$3:$K$36,MATCH(B1557,PEMAGANG!$C$3:$C$36,0))),1,0),0)</f>
        <v>1</v>
      </c>
      <c r="W1557" s="71">
        <f t="shared" si="224"/>
        <v>0</v>
      </c>
    </row>
    <row r="1558" spans="1:23" x14ac:dyDescent="0.2">
      <c r="A1558" s="71" t="s">
        <v>205</v>
      </c>
      <c r="B1558" s="71" t="s">
        <v>206</v>
      </c>
      <c r="C1558" s="71" t="s">
        <v>187</v>
      </c>
      <c r="D1558" s="71" t="s">
        <v>207</v>
      </c>
      <c r="E1558" s="71" t="s">
        <v>576</v>
      </c>
      <c r="F1558" s="71" t="s">
        <v>298</v>
      </c>
      <c r="G1558" s="88">
        <v>46212.313854166699</v>
      </c>
      <c r="H1558" s="89">
        <v>46212</v>
      </c>
      <c r="I1558" s="71" t="s">
        <v>392</v>
      </c>
      <c r="J1558" s="71">
        <v>0.999999999999996</v>
      </c>
      <c r="K1558" s="71" t="s">
        <v>293</v>
      </c>
      <c r="L1558" s="71">
        <f t="shared" si="216"/>
        <v>7</v>
      </c>
      <c r="M1558" s="71" t="str">
        <f>IFERROR(INDEX(KALENDER!$D$3:$D$132,MATCH(H1558,KALENDER!$A$3:$A$132,0)),"Di luar periode")</f>
        <v>Hari Kerja</v>
      </c>
      <c r="N1558" s="71">
        <f t="shared" si="217"/>
        <v>1</v>
      </c>
      <c r="O1558" s="71">
        <f t="shared" si="218"/>
        <v>1</v>
      </c>
      <c r="P1558" s="71">
        <f t="shared" si="219"/>
        <v>1</v>
      </c>
      <c r="Q1558" s="71">
        <f t="shared" si="220"/>
        <v>0</v>
      </c>
      <c r="R1558" s="71">
        <f t="shared" si="221"/>
        <v>1</v>
      </c>
      <c r="S1558" s="71">
        <f t="shared" si="222"/>
        <v>0.999999999999996</v>
      </c>
      <c r="T1558" s="71">
        <f t="shared" si="223"/>
        <v>0</v>
      </c>
      <c r="U1558" s="71">
        <f>IF(AND(N1558=1,V1558=1),IF(COUNTIFS(AKTIVITAS!$B$2:$B$3052,B1558,AKTIVITAS!$E$2:$E$3052,H1558)&gt;0,1,0),0)</f>
        <v>1</v>
      </c>
      <c r="V1558" s="71">
        <f>IFERROR(IF(AND(H1558&gt;=INDEX(PEMAGANG!$J$3:$J$36,MATCH(B1558,PEMAGANG!$C$3:$C$36,0)),H1558&lt;=INDEX(PEMAGANG!$K$3:$K$36,MATCH(B1558,PEMAGANG!$C$3:$C$36,0))),1,0),0)</f>
        <v>1</v>
      </c>
      <c r="W1558" s="71">
        <f t="shared" si="224"/>
        <v>1</v>
      </c>
    </row>
    <row r="1559" spans="1:23" x14ac:dyDescent="0.2">
      <c r="A1559" s="71" t="s">
        <v>205</v>
      </c>
      <c r="B1559" s="71" t="s">
        <v>206</v>
      </c>
      <c r="C1559" s="71" t="s">
        <v>187</v>
      </c>
      <c r="D1559" s="71" t="s">
        <v>207</v>
      </c>
      <c r="E1559" s="71" t="s">
        <v>576</v>
      </c>
      <c r="F1559" s="71" t="s">
        <v>300</v>
      </c>
      <c r="G1559" s="88">
        <v>46212.692384259302</v>
      </c>
      <c r="H1559" s="89">
        <v>46212</v>
      </c>
      <c r="I1559" s="71" t="s">
        <v>328</v>
      </c>
      <c r="J1559" s="71">
        <v>0</v>
      </c>
      <c r="K1559" s="71" t="s">
        <v>302</v>
      </c>
      <c r="L1559" s="71">
        <f t="shared" si="216"/>
        <v>7</v>
      </c>
      <c r="M1559" s="71" t="str">
        <f>IFERROR(INDEX(KALENDER!$D$3:$D$132,MATCH(H1559,KALENDER!$A$3:$A$132,0)),"Di luar periode")</f>
        <v>Hari Kerja</v>
      </c>
      <c r="N1559" s="71">
        <f t="shared" si="217"/>
        <v>0</v>
      </c>
      <c r="O1559" s="71">
        <f t="shared" si="218"/>
        <v>1</v>
      </c>
      <c r="P1559" s="71">
        <f t="shared" si="219"/>
        <v>0</v>
      </c>
      <c r="Q1559" s="71">
        <f t="shared" si="220"/>
        <v>0</v>
      </c>
      <c r="R1559" s="71">
        <f t="shared" si="221"/>
        <v>0</v>
      </c>
      <c r="S1559" s="71">
        <f t="shared" si="222"/>
        <v>0</v>
      </c>
      <c r="T1559" s="71">
        <f t="shared" si="223"/>
        <v>0</v>
      </c>
      <c r="U1559" s="71">
        <f>IF(AND(N1559=1,V1559=1),IF(COUNTIFS(AKTIVITAS!$B$2:$B$3052,B1559,AKTIVITAS!$E$2:$E$3052,H1559)&gt;0,1,0),0)</f>
        <v>0</v>
      </c>
      <c r="V1559" s="71">
        <f>IFERROR(IF(AND(H1559&gt;=INDEX(PEMAGANG!$J$3:$J$36,MATCH(B1559,PEMAGANG!$C$3:$C$36,0)),H1559&lt;=INDEX(PEMAGANG!$K$3:$K$36,MATCH(B1559,PEMAGANG!$C$3:$C$36,0))),1,0),0)</f>
        <v>1</v>
      </c>
      <c r="W1559" s="71">
        <f t="shared" si="224"/>
        <v>0</v>
      </c>
    </row>
    <row r="1560" spans="1:23" x14ac:dyDescent="0.2">
      <c r="A1560" s="71" t="s">
        <v>205</v>
      </c>
      <c r="B1560" s="71" t="s">
        <v>206</v>
      </c>
      <c r="C1560" s="71" t="s">
        <v>187</v>
      </c>
      <c r="D1560" s="71" t="s">
        <v>207</v>
      </c>
      <c r="E1560" s="71" t="s">
        <v>576</v>
      </c>
      <c r="F1560" s="71" t="s">
        <v>298</v>
      </c>
      <c r="G1560" s="88">
        <v>46213.3211226852</v>
      </c>
      <c r="H1560" s="89">
        <v>46213</v>
      </c>
      <c r="I1560" s="71" t="s">
        <v>565</v>
      </c>
      <c r="J1560" s="71">
        <v>12</v>
      </c>
      <c r="K1560" s="71" t="s">
        <v>293</v>
      </c>
      <c r="L1560" s="71">
        <f t="shared" si="216"/>
        <v>7</v>
      </c>
      <c r="M1560" s="71" t="str">
        <f>IFERROR(INDEX(KALENDER!$D$3:$D$132,MATCH(H1560,KALENDER!$A$3:$A$132,0)),"Di luar periode")</f>
        <v>Hari Kerja</v>
      </c>
      <c r="N1560" s="71">
        <f t="shared" si="217"/>
        <v>1</v>
      </c>
      <c r="O1560" s="71">
        <f t="shared" si="218"/>
        <v>1</v>
      </c>
      <c r="P1560" s="71">
        <f t="shared" si="219"/>
        <v>1</v>
      </c>
      <c r="Q1560" s="71">
        <f t="shared" si="220"/>
        <v>0</v>
      </c>
      <c r="R1560" s="71">
        <f t="shared" si="221"/>
        <v>1</v>
      </c>
      <c r="S1560" s="71">
        <f t="shared" si="222"/>
        <v>12</v>
      </c>
      <c r="T1560" s="71">
        <f t="shared" si="223"/>
        <v>0</v>
      </c>
      <c r="U1560" s="71">
        <f>IF(AND(N1560=1,V1560=1),IF(COUNTIFS(AKTIVITAS!$B$2:$B$3052,B1560,AKTIVITAS!$E$2:$E$3052,H1560)&gt;0,1,0),0)</f>
        <v>1</v>
      </c>
      <c r="V1560" s="71">
        <f>IFERROR(IF(AND(H1560&gt;=INDEX(PEMAGANG!$J$3:$J$36,MATCH(B1560,PEMAGANG!$C$3:$C$36,0)),H1560&lt;=INDEX(PEMAGANG!$K$3:$K$36,MATCH(B1560,PEMAGANG!$C$3:$C$36,0))),1,0),0)</f>
        <v>1</v>
      </c>
      <c r="W1560" s="71">
        <f t="shared" si="224"/>
        <v>1</v>
      </c>
    </row>
    <row r="1561" spans="1:23" x14ac:dyDescent="0.2">
      <c r="A1561" s="71" t="s">
        <v>205</v>
      </c>
      <c r="B1561" s="71" t="s">
        <v>206</v>
      </c>
      <c r="C1561" s="71" t="s">
        <v>187</v>
      </c>
      <c r="D1561" s="71" t="s">
        <v>207</v>
      </c>
      <c r="E1561" s="71" t="s">
        <v>576</v>
      </c>
      <c r="F1561" s="71" t="s">
        <v>300</v>
      </c>
      <c r="G1561" s="88">
        <v>46213.691469907397</v>
      </c>
      <c r="H1561" s="89">
        <v>46213</v>
      </c>
      <c r="I1561" s="71" t="s">
        <v>310</v>
      </c>
      <c r="J1561" s="71">
        <v>0</v>
      </c>
      <c r="K1561" s="71" t="s">
        <v>302</v>
      </c>
      <c r="L1561" s="71">
        <f t="shared" si="216"/>
        <v>7</v>
      </c>
      <c r="M1561" s="71" t="str">
        <f>IFERROR(INDEX(KALENDER!$D$3:$D$132,MATCH(H1561,KALENDER!$A$3:$A$132,0)),"Di luar periode")</f>
        <v>Hari Kerja</v>
      </c>
      <c r="N1561" s="71">
        <f t="shared" si="217"/>
        <v>0</v>
      </c>
      <c r="O1561" s="71">
        <f t="shared" si="218"/>
        <v>1</v>
      </c>
      <c r="P1561" s="71">
        <f t="shared" si="219"/>
        <v>0</v>
      </c>
      <c r="Q1561" s="71">
        <f t="shared" si="220"/>
        <v>0</v>
      </c>
      <c r="R1561" s="71">
        <f t="shared" si="221"/>
        <v>0</v>
      </c>
      <c r="S1561" s="71">
        <f t="shared" si="222"/>
        <v>0</v>
      </c>
      <c r="T1561" s="71">
        <f t="shared" si="223"/>
        <v>0</v>
      </c>
      <c r="U1561" s="71">
        <f>IF(AND(N1561=1,V1561=1),IF(COUNTIFS(AKTIVITAS!$B$2:$B$3052,B1561,AKTIVITAS!$E$2:$E$3052,H1561)&gt;0,1,0),0)</f>
        <v>0</v>
      </c>
      <c r="V1561" s="71">
        <f>IFERROR(IF(AND(H1561&gt;=INDEX(PEMAGANG!$J$3:$J$36,MATCH(B1561,PEMAGANG!$C$3:$C$36,0)),H1561&lt;=INDEX(PEMAGANG!$K$3:$K$36,MATCH(B1561,PEMAGANG!$C$3:$C$36,0))),1,0),0)</f>
        <v>1</v>
      </c>
      <c r="W1561" s="71">
        <f t="shared" si="224"/>
        <v>0</v>
      </c>
    </row>
    <row r="1562" spans="1:23" x14ac:dyDescent="0.2">
      <c r="A1562" s="71" t="s">
        <v>205</v>
      </c>
      <c r="B1562" s="71" t="s">
        <v>206</v>
      </c>
      <c r="C1562" s="71" t="s">
        <v>187</v>
      </c>
      <c r="D1562" s="71" t="s">
        <v>207</v>
      </c>
      <c r="E1562" s="71" t="s">
        <v>576</v>
      </c>
      <c r="F1562" s="71" t="s">
        <v>298</v>
      </c>
      <c r="G1562" s="88">
        <v>46216.315219907403</v>
      </c>
      <c r="H1562" s="89">
        <v>46216</v>
      </c>
      <c r="I1562" s="71" t="s">
        <v>383</v>
      </c>
      <c r="J1562" s="71">
        <v>2.9999999999999898</v>
      </c>
      <c r="K1562" s="71" t="s">
        <v>293</v>
      </c>
      <c r="L1562" s="71">
        <f t="shared" si="216"/>
        <v>7</v>
      </c>
      <c r="M1562" s="71" t="str">
        <f>IFERROR(INDEX(KALENDER!$D$3:$D$132,MATCH(H1562,KALENDER!$A$3:$A$132,0)),"Di luar periode")</f>
        <v>Hari Kerja</v>
      </c>
      <c r="N1562" s="71">
        <f t="shared" si="217"/>
        <v>1</v>
      </c>
      <c r="O1562" s="71">
        <f t="shared" si="218"/>
        <v>1</v>
      </c>
      <c r="P1562" s="71">
        <f t="shared" si="219"/>
        <v>1</v>
      </c>
      <c r="Q1562" s="71">
        <f t="shared" si="220"/>
        <v>0</v>
      </c>
      <c r="R1562" s="71">
        <f t="shared" si="221"/>
        <v>1</v>
      </c>
      <c r="S1562" s="71">
        <f t="shared" si="222"/>
        <v>2.9999999999999898</v>
      </c>
      <c r="T1562" s="71">
        <f t="shared" si="223"/>
        <v>0</v>
      </c>
      <c r="U1562" s="71">
        <f>IF(AND(N1562=1,V1562=1),IF(COUNTIFS(AKTIVITAS!$B$2:$B$3052,B1562,AKTIVITAS!$E$2:$E$3052,H1562)&gt;0,1,0),0)</f>
        <v>1</v>
      </c>
      <c r="V1562" s="71">
        <f>IFERROR(IF(AND(H1562&gt;=INDEX(PEMAGANG!$J$3:$J$36,MATCH(B1562,PEMAGANG!$C$3:$C$36,0)),H1562&lt;=INDEX(PEMAGANG!$K$3:$K$36,MATCH(B1562,PEMAGANG!$C$3:$C$36,0))),1,0),0)</f>
        <v>1</v>
      </c>
      <c r="W1562" s="71">
        <f t="shared" si="224"/>
        <v>1</v>
      </c>
    </row>
    <row r="1563" spans="1:23" x14ac:dyDescent="0.2">
      <c r="A1563" s="71" t="s">
        <v>205</v>
      </c>
      <c r="B1563" s="71" t="s">
        <v>206</v>
      </c>
      <c r="C1563" s="71" t="s">
        <v>187</v>
      </c>
      <c r="D1563" s="71" t="s">
        <v>207</v>
      </c>
      <c r="E1563" s="71" t="s">
        <v>576</v>
      </c>
      <c r="F1563" s="71" t="s">
        <v>300</v>
      </c>
      <c r="G1563" s="88">
        <v>46216.700960648202</v>
      </c>
      <c r="H1563" s="89">
        <v>46216</v>
      </c>
      <c r="I1563" s="71" t="s">
        <v>342</v>
      </c>
      <c r="J1563" s="71">
        <v>0</v>
      </c>
      <c r="K1563" s="71" t="s">
        <v>302</v>
      </c>
      <c r="L1563" s="71">
        <f t="shared" si="216"/>
        <v>7</v>
      </c>
      <c r="M1563" s="71" t="str">
        <f>IFERROR(INDEX(KALENDER!$D$3:$D$132,MATCH(H1563,KALENDER!$A$3:$A$132,0)),"Di luar periode")</f>
        <v>Hari Kerja</v>
      </c>
      <c r="N1563" s="71">
        <f t="shared" si="217"/>
        <v>0</v>
      </c>
      <c r="O1563" s="71">
        <f t="shared" si="218"/>
        <v>1</v>
      </c>
      <c r="P1563" s="71">
        <f t="shared" si="219"/>
        <v>0</v>
      </c>
      <c r="Q1563" s="71">
        <f t="shared" si="220"/>
        <v>0</v>
      </c>
      <c r="R1563" s="71">
        <f t="shared" si="221"/>
        <v>0</v>
      </c>
      <c r="S1563" s="71">
        <f t="shared" si="222"/>
        <v>0</v>
      </c>
      <c r="T1563" s="71">
        <f t="shared" si="223"/>
        <v>0</v>
      </c>
      <c r="U1563" s="71">
        <f>IF(AND(N1563=1,V1563=1),IF(COUNTIFS(AKTIVITAS!$B$2:$B$3052,B1563,AKTIVITAS!$E$2:$E$3052,H1563)&gt;0,1,0),0)</f>
        <v>0</v>
      </c>
      <c r="V1563" s="71">
        <f>IFERROR(IF(AND(H1563&gt;=INDEX(PEMAGANG!$J$3:$J$36,MATCH(B1563,PEMAGANG!$C$3:$C$36,0)),H1563&lt;=INDEX(PEMAGANG!$K$3:$K$36,MATCH(B1563,PEMAGANG!$C$3:$C$36,0))),1,0),0)</f>
        <v>1</v>
      </c>
      <c r="W1563" s="71">
        <f t="shared" si="224"/>
        <v>0</v>
      </c>
    </row>
    <row r="1564" spans="1:23" x14ac:dyDescent="0.2">
      <c r="A1564" s="71" t="s">
        <v>205</v>
      </c>
      <c r="B1564" s="71" t="s">
        <v>206</v>
      </c>
      <c r="C1564" s="71" t="s">
        <v>187</v>
      </c>
      <c r="D1564" s="71" t="s">
        <v>207</v>
      </c>
      <c r="E1564" s="71" t="s">
        <v>576</v>
      </c>
      <c r="F1564" s="71" t="s">
        <v>298</v>
      </c>
      <c r="G1564" s="88">
        <v>46217.313136574099</v>
      </c>
      <c r="H1564" s="89">
        <v>46217</v>
      </c>
      <c r="I1564" s="71" t="s">
        <v>335</v>
      </c>
      <c r="J1564" s="71">
        <v>0</v>
      </c>
      <c r="K1564" s="71" t="s">
        <v>302</v>
      </c>
      <c r="L1564" s="71">
        <f t="shared" si="216"/>
        <v>7</v>
      </c>
      <c r="M1564" s="71" t="str">
        <f>IFERROR(INDEX(KALENDER!$D$3:$D$132,MATCH(H1564,KALENDER!$A$3:$A$132,0)),"Di luar periode")</f>
        <v>Hari Kerja</v>
      </c>
      <c r="N1564" s="71">
        <f t="shared" si="217"/>
        <v>1</v>
      </c>
      <c r="O1564" s="71">
        <f t="shared" si="218"/>
        <v>1</v>
      </c>
      <c r="P1564" s="71">
        <f t="shared" si="219"/>
        <v>1</v>
      </c>
      <c r="Q1564" s="71">
        <f t="shared" si="220"/>
        <v>0</v>
      </c>
      <c r="R1564" s="71">
        <f t="shared" si="221"/>
        <v>0</v>
      </c>
      <c r="S1564" s="71">
        <f t="shared" si="222"/>
        <v>0</v>
      </c>
      <c r="T1564" s="71">
        <f t="shared" si="223"/>
        <v>0</v>
      </c>
      <c r="U1564" s="71">
        <f>IF(AND(N1564=1,V1564=1),IF(COUNTIFS(AKTIVITAS!$B$2:$B$3052,B1564,AKTIVITAS!$E$2:$E$3052,H1564)&gt;0,1,0),0)</f>
        <v>1</v>
      </c>
      <c r="V1564" s="71">
        <f>IFERROR(IF(AND(H1564&gt;=INDEX(PEMAGANG!$J$3:$J$36,MATCH(B1564,PEMAGANG!$C$3:$C$36,0)),H1564&lt;=INDEX(PEMAGANG!$K$3:$K$36,MATCH(B1564,PEMAGANG!$C$3:$C$36,0))),1,0),0)</f>
        <v>1</v>
      </c>
      <c r="W1564" s="71">
        <f t="shared" si="224"/>
        <v>1</v>
      </c>
    </row>
    <row r="1565" spans="1:23" x14ac:dyDescent="0.2">
      <c r="A1565" s="71" t="s">
        <v>205</v>
      </c>
      <c r="B1565" s="71" t="s">
        <v>206</v>
      </c>
      <c r="C1565" s="71" t="s">
        <v>187</v>
      </c>
      <c r="D1565" s="71" t="s">
        <v>207</v>
      </c>
      <c r="E1565" s="71" t="s">
        <v>576</v>
      </c>
      <c r="F1565" s="71" t="s">
        <v>300</v>
      </c>
      <c r="G1565" s="88">
        <v>46217.692002314798</v>
      </c>
      <c r="H1565" s="89">
        <v>46217</v>
      </c>
      <c r="I1565" s="71" t="s">
        <v>344</v>
      </c>
      <c r="J1565" s="71">
        <v>0</v>
      </c>
      <c r="K1565" s="71" t="s">
        <v>302</v>
      </c>
      <c r="L1565" s="71">
        <f t="shared" si="216"/>
        <v>7</v>
      </c>
      <c r="M1565" s="71" t="str">
        <f>IFERROR(INDEX(KALENDER!$D$3:$D$132,MATCH(H1565,KALENDER!$A$3:$A$132,0)),"Di luar periode")</f>
        <v>Hari Kerja</v>
      </c>
      <c r="N1565" s="71">
        <f t="shared" si="217"/>
        <v>0</v>
      </c>
      <c r="O1565" s="71">
        <f t="shared" si="218"/>
        <v>1</v>
      </c>
      <c r="P1565" s="71">
        <f t="shared" si="219"/>
        <v>0</v>
      </c>
      <c r="Q1565" s="71">
        <f t="shared" si="220"/>
        <v>0</v>
      </c>
      <c r="R1565" s="71">
        <f t="shared" si="221"/>
        <v>0</v>
      </c>
      <c r="S1565" s="71">
        <f t="shared" si="222"/>
        <v>0</v>
      </c>
      <c r="T1565" s="71">
        <f t="shared" si="223"/>
        <v>0</v>
      </c>
      <c r="U1565" s="71">
        <f>IF(AND(N1565=1,V1565=1),IF(COUNTIFS(AKTIVITAS!$B$2:$B$3052,B1565,AKTIVITAS!$E$2:$E$3052,H1565)&gt;0,1,0),0)</f>
        <v>0</v>
      </c>
      <c r="V1565" s="71">
        <f>IFERROR(IF(AND(H1565&gt;=INDEX(PEMAGANG!$J$3:$J$36,MATCH(B1565,PEMAGANG!$C$3:$C$36,0)),H1565&lt;=INDEX(PEMAGANG!$K$3:$K$36,MATCH(B1565,PEMAGANG!$C$3:$C$36,0))),1,0),0)</f>
        <v>1</v>
      </c>
      <c r="W1565" s="71">
        <f t="shared" si="224"/>
        <v>0</v>
      </c>
    </row>
    <row r="1566" spans="1:23" x14ac:dyDescent="0.2">
      <c r="A1566" s="71" t="s">
        <v>205</v>
      </c>
      <c r="B1566" s="71" t="s">
        <v>206</v>
      </c>
      <c r="C1566" s="71" t="s">
        <v>187</v>
      </c>
      <c r="D1566" s="71" t="s">
        <v>207</v>
      </c>
      <c r="E1566" s="71" t="s">
        <v>576</v>
      </c>
      <c r="F1566" s="71" t="s">
        <v>298</v>
      </c>
      <c r="G1566" s="88">
        <v>46219.3130439815</v>
      </c>
      <c r="H1566" s="89">
        <v>46219</v>
      </c>
      <c r="I1566" s="71" t="s">
        <v>335</v>
      </c>
      <c r="J1566" s="71">
        <v>0</v>
      </c>
      <c r="K1566" s="71" t="s">
        <v>302</v>
      </c>
      <c r="L1566" s="71">
        <f t="shared" si="216"/>
        <v>7</v>
      </c>
      <c r="M1566" s="71" t="str">
        <f>IFERROR(INDEX(KALENDER!$D$3:$D$132,MATCH(H1566,KALENDER!$A$3:$A$132,0)),"Di luar periode")</f>
        <v>Hari Kerja</v>
      </c>
      <c r="N1566" s="71">
        <f t="shared" si="217"/>
        <v>1</v>
      </c>
      <c r="O1566" s="71">
        <f t="shared" si="218"/>
        <v>1</v>
      </c>
      <c r="P1566" s="71">
        <f t="shared" si="219"/>
        <v>1</v>
      </c>
      <c r="Q1566" s="71">
        <f t="shared" si="220"/>
        <v>0</v>
      </c>
      <c r="R1566" s="71">
        <f t="shared" si="221"/>
        <v>0</v>
      </c>
      <c r="S1566" s="71">
        <f t="shared" si="222"/>
        <v>0</v>
      </c>
      <c r="T1566" s="71">
        <f t="shared" si="223"/>
        <v>0</v>
      </c>
      <c r="U1566" s="71">
        <f>IF(AND(N1566=1,V1566=1),IF(COUNTIFS(AKTIVITAS!$B$2:$B$3052,B1566,AKTIVITAS!$E$2:$E$3052,H1566)&gt;0,1,0),0)</f>
        <v>1</v>
      </c>
      <c r="V1566" s="71">
        <f>IFERROR(IF(AND(H1566&gt;=INDEX(PEMAGANG!$J$3:$J$36,MATCH(B1566,PEMAGANG!$C$3:$C$36,0)),H1566&lt;=INDEX(PEMAGANG!$K$3:$K$36,MATCH(B1566,PEMAGANG!$C$3:$C$36,0))),1,0),0)</f>
        <v>1</v>
      </c>
      <c r="W1566" s="71">
        <f t="shared" si="224"/>
        <v>1</v>
      </c>
    </row>
    <row r="1567" spans="1:23" x14ac:dyDescent="0.2">
      <c r="A1567" s="71" t="s">
        <v>205</v>
      </c>
      <c r="B1567" s="71" t="s">
        <v>206</v>
      </c>
      <c r="C1567" s="71" t="s">
        <v>187</v>
      </c>
      <c r="D1567" s="71" t="s">
        <v>207</v>
      </c>
      <c r="E1567" s="71" t="s">
        <v>576</v>
      </c>
      <c r="F1567" s="71" t="s">
        <v>300</v>
      </c>
      <c r="G1567" s="88">
        <v>46219.692789351902</v>
      </c>
      <c r="H1567" s="89">
        <v>46219</v>
      </c>
      <c r="I1567" s="71" t="s">
        <v>328</v>
      </c>
      <c r="J1567" s="71">
        <v>0</v>
      </c>
      <c r="K1567" s="71" t="s">
        <v>302</v>
      </c>
      <c r="L1567" s="71">
        <f t="shared" si="216"/>
        <v>7</v>
      </c>
      <c r="M1567" s="71" t="str">
        <f>IFERROR(INDEX(KALENDER!$D$3:$D$132,MATCH(H1567,KALENDER!$A$3:$A$132,0)),"Di luar periode")</f>
        <v>Hari Kerja</v>
      </c>
      <c r="N1567" s="71">
        <f t="shared" si="217"/>
        <v>0</v>
      </c>
      <c r="O1567" s="71">
        <f t="shared" si="218"/>
        <v>1</v>
      </c>
      <c r="P1567" s="71">
        <f t="shared" si="219"/>
        <v>0</v>
      </c>
      <c r="Q1567" s="71">
        <f t="shared" si="220"/>
        <v>0</v>
      </c>
      <c r="R1567" s="71">
        <f t="shared" si="221"/>
        <v>0</v>
      </c>
      <c r="S1567" s="71">
        <f t="shared" si="222"/>
        <v>0</v>
      </c>
      <c r="T1567" s="71">
        <f t="shared" si="223"/>
        <v>0</v>
      </c>
      <c r="U1567" s="71">
        <f>IF(AND(N1567=1,V1567=1),IF(COUNTIFS(AKTIVITAS!$B$2:$B$3052,B1567,AKTIVITAS!$E$2:$E$3052,H1567)&gt;0,1,0),0)</f>
        <v>0</v>
      </c>
      <c r="V1567" s="71">
        <f>IFERROR(IF(AND(H1567&gt;=INDEX(PEMAGANG!$J$3:$J$36,MATCH(B1567,PEMAGANG!$C$3:$C$36,0)),H1567&lt;=INDEX(PEMAGANG!$K$3:$K$36,MATCH(B1567,PEMAGANG!$C$3:$C$36,0))),1,0),0)</f>
        <v>1</v>
      </c>
      <c r="W1567" s="71">
        <f t="shared" si="224"/>
        <v>0</v>
      </c>
    </row>
    <row r="1568" spans="1:23" x14ac:dyDescent="0.2">
      <c r="A1568" s="71" t="s">
        <v>205</v>
      </c>
      <c r="B1568" s="71" t="s">
        <v>206</v>
      </c>
      <c r="C1568" s="71" t="s">
        <v>187</v>
      </c>
      <c r="D1568" s="71" t="s">
        <v>207</v>
      </c>
      <c r="E1568" s="71" t="s">
        <v>576</v>
      </c>
      <c r="F1568" s="71" t="s">
        <v>298</v>
      </c>
      <c r="G1568" s="88">
        <v>46220.310995370397</v>
      </c>
      <c r="H1568" s="89">
        <v>46220</v>
      </c>
      <c r="I1568" s="71" t="s">
        <v>309</v>
      </c>
      <c r="J1568" s="71">
        <v>-2.9999999999999898</v>
      </c>
      <c r="K1568" s="71" t="s">
        <v>302</v>
      </c>
      <c r="L1568" s="71">
        <f t="shared" si="216"/>
        <v>7</v>
      </c>
      <c r="M1568" s="71" t="str">
        <f>IFERROR(INDEX(KALENDER!$D$3:$D$132,MATCH(H1568,KALENDER!$A$3:$A$132,0)),"Di luar periode")</f>
        <v>Hari Kerja</v>
      </c>
      <c r="N1568" s="71">
        <f t="shared" si="217"/>
        <v>1</v>
      </c>
      <c r="O1568" s="71">
        <f t="shared" si="218"/>
        <v>1</v>
      </c>
      <c r="P1568" s="71">
        <f t="shared" si="219"/>
        <v>1</v>
      </c>
      <c r="Q1568" s="71">
        <f t="shared" si="220"/>
        <v>0</v>
      </c>
      <c r="R1568" s="71">
        <f t="shared" si="221"/>
        <v>0</v>
      </c>
      <c r="S1568" s="71">
        <f t="shared" si="222"/>
        <v>0</v>
      </c>
      <c r="T1568" s="71">
        <f t="shared" si="223"/>
        <v>0</v>
      </c>
      <c r="U1568" s="71">
        <f>IF(AND(N1568=1,V1568=1),IF(COUNTIFS(AKTIVITAS!$B$2:$B$3052,B1568,AKTIVITAS!$E$2:$E$3052,H1568)&gt;0,1,0),0)</f>
        <v>1</v>
      </c>
      <c r="V1568" s="71">
        <f>IFERROR(IF(AND(H1568&gt;=INDEX(PEMAGANG!$J$3:$J$36,MATCH(B1568,PEMAGANG!$C$3:$C$36,0)),H1568&lt;=INDEX(PEMAGANG!$K$3:$K$36,MATCH(B1568,PEMAGANG!$C$3:$C$36,0))),1,0),0)</f>
        <v>1</v>
      </c>
      <c r="W1568" s="71">
        <f t="shared" si="224"/>
        <v>1</v>
      </c>
    </row>
    <row r="1569" spans="1:23" x14ac:dyDescent="0.2">
      <c r="A1569" s="71" t="s">
        <v>205</v>
      </c>
      <c r="B1569" s="71" t="s">
        <v>206</v>
      </c>
      <c r="C1569" s="71" t="s">
        <v>187</v>
      </c>
      <c r="D1569" s="71" t="s">
        <v>207</v>
      </c>
      <c r="E1569" s="71" t="s">
        <v>576</v>
      </c>
      <c r="F1569" s="71" t="s">
        <v>300</v>
      </c>
      <c r="G1569" s="88">
        <v>46220.690104166701</v>
      </c>
      <c r="H1569" s="89">
        <v>46220</v>
      </c>
      <c r="I1569" s="71" t="s">
        <v>316</v>
      </c>
      <c r="J1569" s="71">
        <v>0</v>
      </c>
      <c r="K1569" s="71" t="s">
        <v>302</v>
      </c>
      <c r="L1569" s="71">
        <f t="shared" si="216"/>
        <v>7</v>
      </c>
      <c r="M1569" s="71" t="str">
        <f>IFERROR(INDEX(KALENDER!$D$3:$D$132,MATCH(H1569,KALENDER!$A$3:$A$132,0)),"Di luar periode")</f>
        <v>Hari Kerja</v>
      </c>
      <c r="N1569" s="71">
        <f t="shared" si="217"/>
        <v>0</v>
      </c>
      <c r="O1569" s="71">
        <f t="shared" si="218"/>
        <v>1</v>
      </c>
      <c r="P1569" s="71">
        <f t="shared" si="219"/>
        <v>0</v>
      </c>
      <c r="Q1569" s="71">
        <f t="shared" si="220"/>
        <v>0</v>
      </c>
      <c r="R1569" s="71">
        <f t="shared" si="221"/>
        <v>0</v>
      </c>
      <c r="S1569" s="71">
        <f t="shared" si="222"/>
        <v>0</v>
      </c>
      <c r="T1569" s="71">
        <f t="shared" si="223"/>
        <v>0</v>
      </c>
      <c r="U1569" s="71">
        <f>IF(AND(N1569=1,V1569=1),IF(COUNTIFS(AKTIVITAS!$B$2:$B$3052,B1569,AKTIVITAS!$E$2:$E$3052,H1569)&gt;0,1,0),0)</f>
        <v>0</v>
      </c>
      <c r="V1569" s="71">
        <f>IFERROR(IF(AND(H1569&gt;=INDEX(PEMAGANG!$J$3:$J$36,MATCH(B1569,PEMAGANG!$C$3:$C$36,0)),H1569&lt;=INDEX(PEMAGANG!$K$3:$K$36,MATCH(B1569,PEMAGANG!$C$3:$C$36,0))),1,0),0)</f>
        <v>1</v>
      </c>
      <c r="W1569" s="71">
        <f t="shared" si="224"/>
        <v>0</v>
      </c>
    </row>
    <row r="1570" spans="1:23" x14ac:dyDescent="0.2">
      <c r="A1570" s="71" t="s">
        <v>205</v>
      </c>
      <c r="B1570" s="71" t="s">
        <v>206</v>
      </c>
      <c r="C1570" s="71" t="s">
        <v>187</v>
      </c>
      <c r="D1570" s="71" t="s">
        <v>207</v>
      </c>
      <c r="E1570" s="71" t="s">
        <v>582</v>
      </c>
      <c r="F1570" s="71" t="s">
        <v>300</v>
      </c>
      <c r="G1570" s="88">
        <v>46220.690104166701</v>
      </c>
      <c r="H1570" s="89">
        <v>46220</v>
      </c>
      <c r="I1570" s="71" t="s">
        <v>316</v>
      </c>
      <c r="J1570" s="71">
        <v>0</v>
      </c>
      <c r="K1570" s="71" t="s">
        <v>302</v>
      </c>
      <c r="L1570" s="71">
        <f t="shared" si="216"/>
        <v>7</v>
      </c>
      <c r="M1570" s="71" t="str">
        <f>IFERROR(INDEX(KALENDER!$D$3:$D$132,MATCH(H1570,KALENDER!$A$3:$A$132,0)),"Di luar periode")</f>
        <v>Hari Kerja</v>
      </c>
      <c r="N1570" s="71">
        <f t="shared" si="217"/>
        <v>0</v>
      </c>
      <c r="O1570" s="71">
        <f t="shared" si="218"/>
        <v>1</v>
      </c>
      <c r="P1570" s="71">
        <f t="shared" si="219"/>
        <v>0</v>
      </c>
      <c r="Q1570" s="71">
        <f t="shared" si="220"/>
        <v>0</v>
      </c>
      <c r="R1570" s="71">
        <f t="shared" si="221"/>
        <v>0</v>
      </c>
      <c r="S1570" s="71">
        <f t="shared" si="222"/>
        <v>0</v>
      </c>
      <c r="T1570" s="71">
        <f t="shared" si="223"/>
        <v>0</v>
      </c>
      <c r="U1570" s="71">
        <f>IF(AND(N1570=1,V1570=1),IF(COUNTIFS(AKTIVITAS!$B$2:$B$3052,B1570,AKTIVITAS!$E$2:$E$3052,H1570)&gt;0,1,0),0)</f>
        <v>0</v>
      </c>
      <c r="V1570" s="71">
        <f>IFERROR(IF(AND(H1570&gt;=INDEX(PEMAGANG!$J$3:$J$36,MATCH(B1570,PEMAGANG!$C$3:$C$36,0)),H1570&lt;=INDEX(PEMAGANG!$K$3:$K$36,MATCH(B1570,PEMAGANG!$C$3:$C$36,0))),1,0),0)</f>
        <v>1</v>
      </c>
      <c r="W1570" s="71">
        <f t="shared" si="224"/>
        <v>0</v>
      </c>
    </row>
    <row r="1571" spans="1:23" x14ac:dyDescent="0.2">
      <c r="A1571" s="71" t="s">
        <v>205</v>
      </c>
      <c r="B1571" s="71" t="s">
        <v>206</v>
      </c>
      <c r="C1571" s="71" t="s">
        <v>187</v>
      </c>
      <c r="D1571" s="71" t="s">
        <v>207</v>
      </c>
      <c r="E1571" s="71" t="s">
        <v>576</v>
      </c>
      <c r="F1571" s="71" t="s">
        <v>298</v>
      </c>
      <c r="G1571" s="88">
        <v>46223.3138078704</v>
      </c>
      <c r="H1571" s="89">
        <v>46223</v>
      </c>
      <c r="I1571" s="71" t="s">
        <v>392</v>
      </c>
      <c r="J1571" s="71">
        <v>0.999999999999996</v>
      </c>
      <c r="K1571" s="71" t="s">
        <v>293</v>
      </c>
      <c r="L1571" s="71">
        <f t="shared" si="216"/>
        <v>7</v>
      </c>
      <c r="M1571" s="71" t="str">
        <f>IFERROR(INDEX(KALENDER!$D$3:$D$132,MATCH(H1571,KALENDER!$A$3:$A$132,0)),"Di luar periode")</f>
        <v>Hari Kerja</v>
      </c>
      <c r="N1571" s="71">
        <f t="shared" si="217"/>
        <v>1</v>
      </c>
      <c r="O1571" s="71">
        <f t="shared" si="218"/>
        <v>1</v>
      </c>
      <c r="P1571" s="71">
        <f t="shared" si="219"/>
        <v>1</v>
      </c>
      <c r="Q1571" s="71">
        <f t="shared" si="220"/>
        <v>0</v>
      </c>
      <c r="R1571" s="71">
        <f t="shared" si="221"/>
        <v>1</v>
      </c>
      <c r="S1571" s="71">
        <f t="shared" si="222"/>
        <v>0.999999999999996</v>
      </c>
      <c r="T1571" s="71">
        <f t="shared" si="223"/>
        <v>0</v>
      </c>
      <c r="U1571" s="71">
        <f>IF(AND(N1571=1,V1571=1),IF(COUNTIFS(AKTIVITAS!$B$2:$B$3052,B1571,AKTIVITAS!$E$2:$E$3052,H1571)&gt;0,1,0),0)</f>
        <v>1</v>
      </c>
      <c r="V1571" s="71">
        <f>IFERROR(IF(AND(H1571&gt;=INDEX(PEMAGANG!$J$3:$J$36,MATCH(B1571,PEMAGANG!$C$3:$C$36,0)),H1571&lt;=INDEX(PEMAGANG!$K$3:$K$36,MATCH(B1571,PEMAGANG!$C$3:$C$36,0))),1,0),0)</f>
        <v>1</v>
      </c>
      <c r="W1571" s="71">
        <f t="shared" si="224"/>
        <v>1</v>
      </c>
    </row>
    <row r="1572" spans="1:23" x14ac:dyDescent="0.2">
      <c r="A1572" s="71" t="s">
        <v>205</v>
      </c>
      <c r="B1572" s="71" t="s">
        <v>206</v>
      </c>
      <c r="C1572" s="71" t="s">
        <v>187</v>
      </c>
      <c r="D1572" s="71" t="s">
        <v>207</v>
      </c>
      <c r="E1572" s="71" t="s">
        <v>582</v>
      </c>
      <c r="F1572" s="71" t="s">
        <v>298</v>
      </c>
      <c r="G1572" s="88">
        <v>46223.3138078704</v>
      </c>
      <c r="H1572" s="89">
        <v>46223</v>
      </c>
      <c r="I1572" s="71" t="s">
        <v>392</v>
      </c>
      <c r="J1572" s="71">
        <v>0.999999999999996</v>
      </c>
      <c r="K1572" s="71" t="s">
        <v>293</v>
      </c>
      <c r="L1572" s="71">
        <f t="shared" si="216"/>
        <v>7</v>
      </c>
      <c r="M1572" s="71" t="str">
        <f>IFERROR(INDEX(KALENDER!$D$3:$D$132,MATCH(H1572,KALENDER!$A$3:$A$132,0)),"Di luar periode")</f>
        <v>Hari Kerja</v>
      </c>
      <c r="N1572" s="71">
        <f t="shared" si="217"/>
        <v>0</v>
      </c>
      <c r="O1572" s="71">
        <f t="shared" si="218"/>
        <v>2</v>
      </c>
      <c r="P1572" s="71">
        <f t="shared" si="219"/>
        <v>0</v>
      </c>
      <c r="Q1572" s="71">
        <f t="shared" si="220"/>
        <v>0</v>
      </c>
      <c r="R1572" s="71">
        <f t="shared" si="221"/>
        <v>0</v>
      </c>
      <c r="S1572" s="71">
        <f t="shared" si="222"/>
        <v>0</v>
      </c>
      <c r="T1572" s="71">
        <f t="shared" si="223"/>
        <v>0</v>
      </c>
      <c r="U1572" s="71">
        <f>IF(AND(N1572=1,V1572=1),IF(COUNTIFS(AKTIVITAS!$B$2:$B$3052,B1572,AKTIVITAS!$E$2:$E$3052,H1572)&gt;0,1,0),0)</f>
        <v>0</v>
      </c>
      <c r="V1572" s="71">
        <f>IFERROR(IF(AND(H1572&gt;=INDEX(PEMAGANG!$J$3:$J$36,MATCH(B1572,PEMAGANG!$C$3:$C$36,0)),H1572&lt;=INDEX(PEMAGANG!$K$3:$K$36,MATCH(B1572,PEMAGANG!$C$3:$C$36,0))),1,0),0)</f>
        <v>1</v>
      </c>
      <c r="W1572" s="71">
        <f t="shared" si="224"/>
        <v>0</v>
      </c>
    </row>
    <row r="1573" spans="1:23" x14ac:dyDescent="0.2">
      <c r="A1573" s="71" t="s">
        <v>205</v>
      </c>
      <c r="B1573" s="71" t="s">
        <v>206</v>
      </c>
      <c r="C1573" s="71" t="s">
        <v>187</v>
      </c>
      <c r="D1573" s="71" t="s">
        <v>207</v>
      </c>
      <c r="E1573" s="71" t="s">
        <v>582</v>
      </c>
      <c r="F1573" s="71" t="s">
        <v>300</v>
      </c>
      <c r="G1573" s="88">
        <v>46223.696724537003</v>
      </c>
      <c r="H1573" s="89">
        <v>46223</v>
      </c>
      <c r="I1573" s="71" t="s">
        <v>347</v>
      </c>
      <c r="J1573" s="71">
        <v>0</v>
      </c>
      <c r="K1573" s="71" t="s">
        <v>302</v>
      </c>
      <c r="L1573" s="71">
        <f t="shared" si="216"/>
        <v>7</v>
      </c>
      <c r="M1573" s="71" t="str">
        <f>IFERROR(INDEX(KALENDER!$D$3:$D$132,MATCH(H1573,KALENDER!$A$3:$A$132,0)),"Di luar periode")</f>
        <v>Hari Kerja</v>
      </c>
      <c r="N1573" s="71">
        <f t="shared" si="217"/>
        <v>0</v>
      </c>
      <c r="O1573" s="71">
        <f t="shared" si="218"/>
        <v>2</v>
      </c>
      <c r="P1573" s="71">
        <f t="shared" si="219"/>
        <v>0</v>
      </c>
      <c r="Q1573" s="71">
        <f t="shared" si="220"/>
        <v>0</v>
      </c>
      <c r="R1573" s="71">
        <f t="shared" si="221"/>
        <v>0</v>
      </c>
      <c r="S1573" s="71">
        <f t="shared" si="222"/>
        <v>0</v>
      </c>
      <c r="T1573" s="71">
        <f t="shared" si="223"/>
        <v>0</v>
      </c>
      <c r="U1573" s="71">
        <f>IF(AND(N1573=1,V1573=1),IF(COUNTIFS(AKTIVITAS!$B$2:$B$3052,B1573,AKTIVITAS!$E$2:$E$3052,H1573)&gt;0,1,0),0)</f>
        <v>0</v>
      </c>
      <c r="V1573" s="71">
        <f>IFERROR(IF(AND(H1573&gt;=INDEX(PEMAGANG!$J$3:$J$36,MATCH(B1573,PEMAGANG!$C$3:$C$36,0)),H1573&lt;=INDEX(PEMAGANG!$K$3:$K$36,MATCH(B1573,PEMAGANG!$C$3:$C$36,0))),1,0),0)</f>
        <v>1</v>
      </c>
      <c r="W1573" s="71">
        <f t="shared" si="224"/>
        <v>0</v>
      </c>
    </row>
    <row r="1574" spans="1:23" x14ac:dyDescent="0.2">
      <c r="A1574" s="71" t="s">
        <v>205</v>
      </c>
      <c r="B1574" s="71" t="s">
        <v>206</v>
      </c>
      <c r="C1574" s="71" t="s">
        <v>187</v>
      </c>
      <c r="D1574" s="71" t="s">
        <v>207</v>
      </c>
      <c r="E1574" s="71" t="s">
        <v>582</v>
      </c>
      <c r="F1574" s="71" t="s">
        <v>298</v>
      </c>
      <c r="G1574" s="88">
        <v>46227.312106481499</v>
      </c>
      <c r="H1574" s="89">
        <v>46227</v>
      </c>
      <c r="I1574" s="71" t="s">
        <v>365</v>
      </c>
      <c r="J1574" s="71">
        <v>-0.999999999999996</v>
      </c>
      <c r="K1574" s="71" t="s">
        <v>302</v>
      </c>
      <c r="L1574" s="71">
        <f t="shared" si="216"/>
        <v>7</v>
      </c>
      <c r="M1574" s="71" t="str">
        <f>IFERROR(INDEX(KALENDER!$D$3:$D$132,MATCH(H1574,KALENDER!$A$3:$A$132,0)),"Di luar periode")</f>
        <v>Hari Kerja</v>
      </c>
      <c r="N1574" s="71">
        <f t="shared" si="217"/>
        <v>1</v>
      </c>
      <c r="O1574" s="71">
        <f t="shared" si="218"/>
        <v>1</v>
      </c>
      <c r="P1574" s="71">
        <f t="shared" si="219"/>
        <v>1</v>
      </c>
      <c r="Q1574" s="71">
        <f t="shared" si="220"/>
        <v>0</v>
      </c>
      <c r="R1574" s="71">
        <f t="shared" si="221"/>
        <v>0</v>
      </c>
      <c r="S1574" s="71">
        <f t="shared" si="222"/>
        <v>0</v>
      </c>
      <c r="T1574" s="71">
        <f t="shared" si="223"/>
        <v>0</v>
      </c>
      <c r="U1574" s="71">
        <f>IF(AND(N1574=1,V1574=1),IF(COUNTIFS(AKTIVITAS!$B$2:$B$3052,B1574,AKTIVITAS!$E$2:$E$3052,H1574)&gt;0,1,0),0)</f>
        <v>1</v>
      </c>
      <c r="V1574" s="71">
        <f>IFERROR(IF(AND(H1574&gt;=INDEX(PEMAGANG!$J$3:$J$36,MATCH(B1574,PEMAGANG!$C$3:$C$36,0)),H1574&lt;=INDEX(PEMAGANG!$K$3:$K$36,MATCH(B1574,PEMAGANG!$C$3:$C$36,0))),1,0),0)</f>
        <v>1</v>
      </c>
      <c r="W1574" s="71">
        <f t="shared" si="224"/>
        <v>1</v>
      </c>
    </row>
    <row r="1575" spans="1:23" x14ac:dyDescent="0.2">
      <c r="A1575" s="71" t="s">
        <v>205</v>
      </c>
      <c r="B1575" s="71" t="s">
        <v>206</v>
      </c>
      <c r="C1575" s="71" t="s">
        <v>187</v>
      </c>
      <c r="D1575" s="71" t="s">
        <v>207</v>
      </c>
      <c r="E1575" s="71" t="s">
        <v>582</v>
      </c>
      <c r="F1575" s="71" t="s">
        <v>300</v>
      </c>
      <c r="G1575" s="88">
        <v>46227.688935185201</v>
      </c>
      <c r="H1575" s="89">
        <v>46227</v>
      </c>
      <c r="I1575" s="71" t="s">
        <v>306</v>
      </c>
      <c r="J1575" s="71">
        <v>0</v>
      </c>
      <c r="K1575" s="71" t="s">
        <v>302</v>
      </c>
      <c r="L1575" s="71">
        <f t="shared" si="216"/>
        <v>7</v>
      </c>
      <c r="M1575" s="71" t="str">
        <f>IFERROR(INDEX(KALENDER!$D$3:$D$132,MATCH(H1575,KALENDER!$A$3:$A$132,0)),"Di luar periode")</f>
        <v>Hari Kerja</v>
      </c>
      <c r="N1575" s="71">
        <f t="shared" si="217"/>
        <v>0</v>
      </c>
      <c r="O1575" s="71">
        <f t="shared" si="218"/>
        <v>1</v>
      </c>
      <c r="P1575" s="71">
        <f t="shared" si="219"/>
        <v>0</v>
      </c>
      <c r="Q1575" s="71">
        <f t="shared" si="220"/>
        <v>0</v>
      </c>
      <c r="R1575" s="71">
        <f t="shared" si="221"/>
        <v>0</v>
      </c>
      <c r="S1575" s="71">
        <f t="shared" si="222"/>
        <v>0</v>
      </c>
      <c r="T1575" s="71">
        <f t="shared" si="223"/>
        <v>0</v>
      </c>
      <c r="U1575" s="71">
        <f>IF(AND(N1575=1,V1575=1),IF(COUNTIFS(AKTIVITAS!$B$2:$B$3052,B1575,AKTIVITAS!$E$2:$E$3052,H1575)&gt;0,1,0),0)</f>
        <v>0</v>
      </c>
      <c r="V1575" s="71">
        <f>IFERROR(IF(AND(H1575&gt;=INDEX(PEMAGANG!$J$3:$J$36,MATCH(B1575,PEMAGANG!$C$3:$C$36,0)),H1575&lt;=INDEX(PEMAGANG!$K$3:$K$36,MATCH(B1575,PEMAGANG!$C$3:$C$36,0))),1,0),0)</f>
        <v>1</v>
      </c>
      <c r="W1575" s="71">
        <f t="shared" si="224"/>
        <v>0</v>
      </c>
    </row>
    <row r="1576" spans="1:23" x14ac:dyDescent="0.2">
      <c r="A1576" s="71" t="s">
        <v>205</v>
      </c>
      <c r="B1576" s="71" t="s">
        <v>206</v>
      </c>
      <c r="C1576" s="71" t="s">
        <v>187</v>
      </c>
      <c r="D1576" s="71" t="s">
        <v>207</v>
      </c>
      <c r="E1576" s="71" t="s">
        <v>582</v>
      </c>
      <c r="F1576" s="71" t="s">
        <v>298</v>
      </c>
      <c r="G1576" s="88">
        <v>46230.3145717593</v>
      </c>
      <c r="H1576" s="89">
        <v>46230</v>
      </c>
      <c r="I1576" s="71" t="s">
        <v>338</v>
      </c>
      <c r="J1576" s="71">
        <v>1.99999999999999</v>
      </c>
      <c r="K1576" s="71" t="s">
        <v>293</v>
      </c>
      <c r="L1576" s="71">
        <f t="shared" si="216"/>
        <v>7</v>
      </c>
      <c r="M1576" s="71" t="str">
        <f>IFERROR(INDEX(KALENDER!$D$3:$D$132,MATCH(H1576,KALENDER!$A$3:$A$132,0)),"Di luar periode")</f>
        <v>Hari Kerja</v>
      </c>
      <c r="N1576" s="71">
        <f t="shared" si="217"/>
        <v>1</v>
      </c>
      <c r="O1576" s="71">
        <f t="shared" si="218"/>
        <v>1</v>
      </c>
      <c r="P1576" s="71">
        <f t="shared" si="219"/>
        <v>1</v>
      </c>
      <c r="Q1576" s="71">
        <f t="shared" si="220"/>
        <v>0</v>
      </c>
      <c r="R1576" s="71">
        <f t="shared" si="221"/>
        <v>1</v>
      </c>
      <c r="S1576" s="71">
        <f t="shared" si="222"/>
        <v>1.99999999999999</v>
      </c>
      <c r="T1576" s="71">
        <f t="shared" si="223"/>
        <v>0</v>
      </c>
      <c r="U1576" s="71">
        <f>IF(AND(N1576=1,V1576=1),IF(COUNTIFS(AKTIVITAS!$B$2:$B$3052,B1576,AKTIVITAS!$E$2:$E$3052,H1576)&gt;0,1,0),0)</f>
        <v>1</v>
      </c>
      <c r="V1576" s="71">
        <f>IFERROR(IF(AND(H1576&gt;=INDEX(PEMAGANG!$J$3:$J$36,MATCH(B1576,PEMAGANG!$C$3:$C$36,0)),H1576&lt;=INDEX(PEMAGANG!$K$3:$K$36,MATCH(B1576,PEMAGANG!$C$3:$C$36,0))),1,0),0)</f>
        <v>1</v>
      </c>
      <c r="W1576" s="71">
        <f t="shared" si="224"/>
        <v>1</v>
      </c>
    </row>
    <row r="1577" spans="1:23" x14ac:dyDescent="0.2">
      <c r="A1577" s="71" t="s">
        <v>205</v>
      </c>
      <c r="B1577" s="71" t="s">
        <v>206</v>
      </c>
      <c r="C1577" s="71" t="s">
        <v>187</v>
      </c>
      <c r="D1577" s="71" t="s">
        <v>207</v>
      </c>
      <c r="E1577" s="71" t="s">
        <v>582</v>
      </c>
      <c r="F1577" s="71" t="s">
        <v>300</v>
      </c>
      <c r="G1577" s="88">
        <v>46230.708391203698</v>
      </c>
      <c r="H1577" s="89">
        <v>46230</v>
      </c>
      <c r="I1577" s="71" t="s">
        <v>350</v>
      </c>
      <c r="J1577" s="71">
        <v>0</v>
      </c>
      <c r="K1577" s="71" t="s">
        <v>302</v>
      </c>
      <c r="L1577" s="71">
        <f t="shared" si="216"/>
        <v>7</v>
      </c>
      <c r="M1577" s="71" t="str">
        <f>IFERROR(INDEX(KALENDER!$D$3:$D$132,MATCH(H1577,KALENDER!$A$3:$A$132,0)),"Di luar periode")</f>
        <v>Hari Kerja</v>
      </c>
      <c r="N1577" s="71">
        <f t="shared" si="217"/>
        <v>0</v>
      </c>
      <c r="O1577" s="71">
        <f t="shared" si="218"/>
        <v>1</v>
      </c>
      <c r="P1577" s="71">
        <f t="shared" si="219"/>
        <v>0</v>
      </c>
      <c r="Q1577" s="71">
        <f t="shared" si="220"/>
        <v>0</v>
      </c>
      <c r="R1577" s="71">
        <f t="shared" si="221"/>
        <v>0</v>
      </c>
      <c r="S1577" s="71">
        <f t="shared" si="222"/>
        <v>0</v>
      </c>
      <c r="T1577" s="71">
        <f t="shared" si="223"/>
        <v>0</v>
      </c>
      <c r="U1577" s="71">
        <f>IF(AND(N1577=1,V1577=1),IF(COUNTIFS(AKTIVITAS!$B$2:$B$3052,B1577,AKTIVITAS!$E$2:$E$3052,H1577)&gt;0,1,0),0)</f>
        <v>0</v>
      </c>
      <c r="V1577" s="71">
        <f>IFERROR(IF(AND(H1577&gt;=INDEX(PEMAGANG!$J$3:$J$36,MATCH(B1577,PEMAGANG!$C$3:$C$36,0)),H1577&lt;=INDEX(PEMAGANG!$K$3:$K$36,MATCH(B1577,PEMAGANG!$C$3:$C$36,0))),1,0),0)</f>
        <v>1</v>
      </c>
      <c r="W1577" s="71">
        <f t="shared" si="224"/>
        <v>0</v>
      </c>
    </row>
    <row r="1578" spans="1:23" x14ac:dyDescent="0.2">
      <c r="A1578" s="71" t="s">
        <v>205</v>
      </c>
      <c r="B1578" s="71" t="s">
        <v>206</v>
      </c>
      <c r="C1578" s="71" t="s">
        <v>187</v>
      </c>
      <c r="D1578" s="71" t="s">
        <v>207</v>
      </c>
      <c r="E1578" s="71" t="s">
        <v>582</v>
      </c>
      <c r="F1578" s="71" t="s">
        <v>298</v>
      </c>
      <c r="G1578" s="88">
        <v>46231.3159606482</v>
      </c>
      <c r="H1578" s="89">
        <v>46231</v>
      </c>
      <c r="I1578" s="71" t="s">
        <v>373</v>
      </c>
      <c r="J1578" s="71">
        <v>3.9999999999999898</v>
      </c>
      <c r="K1578" s="71" t="s">
        <v>293</v>
      </c>
      <c r="L1578" s="71">
        <f t="shared" si="216"/>
        <v>7</v>
      </c>
      <c r="M1578" s="71" t="str">
        <f>IFERROR(INDEX(KALENDER!$D$3:$D$132,MATCH(H1578,KALENDER!$A$3:$A$132,0)),"Di luar periode")</f>
        <v>Hari Kerja</v>
      </c>
      <c r="N1578" s="71">
        <f t="shared" si="217"/>
        <v>1</v>
      </c>
      <c r="O1578" s="71">
        <f t="shared" si="218"/>
        <v>1</v>
      </c>
      <c r="P1578" s="71">
        <f t="shared" si="219"/>
        <v>1</v>
      </c>
      <c r="Q1578" s="71">
        <f t="shared" si="220"/>
        <v>0</v>
      </c>
      <c r="R1578" s="71">
        <f t="shared" si="221"/>
        <v>1</v>
      </c>
      <c r="S1578" s="71">
        <f t="shared" si="222"/>
        <v>3.9999999999999898</v>
      </c>
      <c r="T1578" s="71">
        <f t="shared" si="223"/>
        <v>0</v>
      </c>
      <c r="U1578" s="71">
        <f>IF(AND(N1578=1,V1578=1),IF(COUNTIFS(AKTIVITAS!$B$2:$B$3052,B1578,AKTIVITAS!$E$2:$E$3052,H1578)&gt;0,1,0),0)</f>
        <v>1</v>
      </c>
      <c r="V1578" s="71">
        <f>IFERROR(IF(AND(H1578&gt;=INDEX(PEMAGANG!$J$3:$J$36,MATCH(B1578,PEMAGANG!$C$3:$C$36,0)),H1578&lt;=INDEX(PEMAGANG!$K$3:$K$36,MATCH(B1578,PEMAGANG!$C$3:$C$36,0))),1,0),0)</f>
        <v>1</v>
      </c>
      <c r="W1578" s="71">
        <f t="shared" si="224"/>
        <v>1</v>
      </c>
    </row>
    <row r="1579" spans="1:23" x14ac:dyDescent="0.2">
      <c r="A1579" s="71" t="s">
        <v>205</v>
      </c>
      <c r="B1579" s="71" t="s">
        <v>206</v>
      </c>
      <c r="C1579" s="71" t="s">
        <v>187</v>
      </c>
      <c r="D1579" s="71" t="s">
        <v>207</v>
      </c>
      <c r="E1579" s="71" t="s">
        <v>582</v>
      </c>
      <c r="F1579" s="71" t="s">
        <v>300</v>
      </c>
      <c r="G1579" s="88">
        <v>46231.695127314801</v>
      </c>
      <c r="H1579" s="89">
        <v>46231</v>
      </c>
      <c r="I1579" s="71" t="s">
        <v>343</v>
      </c>
      <c r="J1579" s="71">
        <v>0</v>
      </c>
      <c r="K1579" s="71" t="s">
        <v>302</v>
      </c>
      <c r="L1579" s="71">
        <f t="shared" si="216"/>
        <v>7</v>
      </c>
      <c r="M1579" s="71" t="str">
        <f>IFERROR(INDEX(KALENDER!$D$3:$D$132,MATCH(H1579,KALENDER!$A$3:$A$132,0)),"Di luar periode")</f>
        <v>Hari Kerja</v>
      </c>
      <c r="N1579" s="71">
        <f t="shared" si="217"/>
        <v>0</v>
      </c>
      <c r="O1579" s="71">
        <f t="shared" si="218"/>
        <v>1</v>
      </c>
      <c r="P1579" s="71">
        <f t="shared" si="219"/>
        <v>0</v>
      </c>
      <c r="Q1579" s="71">
        <f t="shared" si="220"/>
        <v>0</v>
      </c>
      <c r="R1579" s="71">
        <f t="shared" si="221"/>
        <v>0</v>
      </c>
      <c r="S1579" s="71">
        <f t="shared" si="222"/>
        <v>0</v>
      </c>
      <c r="T1579" s="71">
        <f t="shared" si="223"/>
        <v>0</v>
      </c>
      <c r="U1579" s="71">
        <f>IF(AND(N1579=1,V1579=1),IF(COUNTIFS(AKTIVITAS!$B$2:$B$3052,B1579,AKTIVITAS!$E$2:$E$3052,H1579)&gt;0,1,0),0)</f>
        <v>0</v>
      </c>
      <c r="V1579" s="71">
        <f>IFERROR(IF(AND(H1579&gt;=INDEX(PEMAGANG!$J$3:$J$36,MATCH(B1579,PEMAGANG!$C$3:$C$36,0)),H1579&lt;=INDEX(PEMAGANG!$K$3:$K$36,MATCH(B1579,PEMAGANG!$C$3:$C$36,0))),1,0),0)</f>
        <v>1</v>
      </c>
      <c r="W1579" s="71">
        <f t="shared" si="224"/>
        <v>0</v>
      </c>
    </row>
    <row r="1580" spans="1:23" x14ac:dyDescent="0.2">
      <c r="A1580" s="71" t="s">
        <v>205</v>
      </c>
      <c r="B1580" s="71" t="s">
        <v>206</v>
      </c>
      <c r="C1580" s="71" t="s">
        <v>187</v>
      </c>
      <c r="D1580" s="71" t="s">
        <v>207</v>
      </c>
      <c r="E1580" s="71" t="s">
        <v>582</v>
      </c>
      <c r="F1580" s="71" t="s">
        <v>298</v>
      </c>
      <c r="G1580" s="88">
        <v>46233.312777777799</v>
      </c>
      <c r="H1580" s="89">
        <v>46233</v>
      </c>
      <c r="I1580" s="71" t="s">
        <v>335</v>
      </c>
      <c r="J1580" s="71">
        <v>0</v>
      </c>
      <c r="K1580" s="71" t="s">
        <v>302</v>
      </c>
      <c r="L1580" s="71">
        <f t="shared" si="216"/>
        <v>7</v>
      </c>
      <c r="M1580" s="71" t="str">
        <f>IFERROR(INDEX(KALENDER!$D$3:$D$132,MATCH(H1580,KALENDER!$A$3:$A$132,0)),"Di luar periode")</f>
        <v>Hari Kerja</v>
      </c>
      <c r="N1580" s="71">
        <f t="shared" si="217"/>
        <v>1</v>
      </c>
      <c r="O1580" s="71">
        <f t="shared" si="218"/>
        <v>1</v>
      </c>
      <c r="P1580" s="71">
        <f t="shared" si="219"/>
        <v>1</v>
      </c>
      <c r="Q1580" s="71">
        <f t="shared" si="220"/>
        <v>0</v>
      </c>
      <c r="R1580" s="71">
        <f t="shared" si="221"/>
        <v>0</v>
      </c>
      <c r="S1580" s="71">
        <f t="shared" si="222"/>
        <v>0</v>
      </c>
      <c r="T1580" s="71">
        <f t="shared" si="223"/>
        <v>0</v>
      </c>
      <c r="U1580" s="71">
        <f>IF(AND(N1580=1,V1580=1),IF(COUNTIFS(AKTIVITAS!$B$2:$B$3052,B1580,AKTIVITAS!$E$2:$E$3052,H1580)&gt;0,1,0),0)</f>
        <v>1</v>
      </c>
      <c r="V1580" s="71">
        <f>IFERROR(IF(AND(H1580&gt;=INDEX(PEMAGANG!$J$3:$J$36,MATCH(B1580,PEMAGANG!$C$3:$C$36,0)),H1580&lt;=INDEX(PEMAGANG!$K$3:$K$36,MATCH(B1580,PEMAGANG!$C$3:$C$36,0))),1,0),0)</f>
        <v>1</v>
      </c>
      <c r="W1580" s="71">
        <f t="shared" si="224"/>
        <v>1</v>
      </c>
    </row>
    <row r="1581" spans="1:23" x14ac:dyDescent="0.2">
      <c r="A1581" s="71" t="s">
        <v>205</v>
      </c>
      <c r="B1581" s="71" t="s">
        <v>206</v>
      </c>
      <c r="C1581" s="71" t="s">
        <v>187</v>
      </c>
      <c r="D1581" s="71" t="s">
        <v>207</v>
      </c>
      <c r="E1581" s="71" t="s">
        <v>582</v>
      </c>
      <c r="F1581" s="71" t="s">
        <v>300</v>
      </c>
      <c r="G1581" s="88">
        <v>46233.691539351901</v>
      </c>
      <c r="H1581" s="89">
        <v>46233</v>
      </c>
      <c r="I1581" s="71" t="s">
        <v>310</v>
      </c>
      <c r="J1581" s="71">
        <v>0</v>
      </c>
      <c r="K1581" s="71" t="s">
        <v>302</v>
      </c>
      <c r="L1581" s="71">
        <f t="shared" si="216"/>
        <v>7</v>
      </c>
      <c r="M1581" s="71" t="str">
        <f>IFERROR(INDEX(KALENDER!$D$3:$D$132,MATCH(H1581,KALENDER!$A$3:$A$132,0)),"Di luar periode")</f>
        <v>Hari Kerja</v>
      </c>
      <c r="N1581" s="71">
        <f t="shared" si="217"/>
        <v>0</v>
      </c>
      <c r="O1581" s="71">
        <f t="shared" si="218"/>
        <v>1</v>
      </c>
      <c r="P1581" s="71">
        <f t="shared" si="219"/>
        <v>0</v>
      </c>
      <c r="Q1581" s="71">
        <f t="shared" si="220"/>
        <v>0</v>
      </c>
      <c r="R1581" s="71">
        <f t="shared" si="221"/>
        <v>0</v>
      </c>
      <c r="S1581" s="71">
        <f t="shared" si="222"/>
        <v>0</v>
      </c>
      <c r="T1581" s="71">
        <f t="shared" si="223"/>
        <v>0</v>
      </c>
      <c r="U1581" s="71">
        <f>IF(AND(N1581=1,V1581=1),IF(COUNTIFS(AKTIVITAS!$B$2:$B$3052,B1581,AKTIVITAS!$E$2:$E$3052,H1581)&gt;0,1,0),0)</f>
        <v>0</v>
      </c>
      <c r="V1581" s="71">
        <f>IFERROR(IF(AND(H1581&gt;=INDEX(PEMAGANG!$J$3:$J$36,MATCH(B1581,PEMAGANG!$C$3:$C$36,0)),H1581&lt;=INDEX(PEMAGANG!$K$3:$K$36,MATCH(B1581,PEMAGANG!$C$3:$C$36,0))),1,0),0)</f>
        <v>1</v>
      </c>
      <c r="W1581" s="71">
        <f t="shared" si="224"/>
        <v>0</v>
      </c>
    </row>
    <row r="1582" spans="1:23" x14ac:dyDescent="0.2">
      <c r="A1582" s="71" t="s">
        <v>205</v>
      </c>
      <c r="B1582" s="71" t="s">
        <v>206</v>
      </c>
      <c r="C1582" s="71" t="s">
        <v>187</v>
      </c>
      <c r="D1582" s="71" t="s">
        <v>207</v>
      </c>
      <c r="E1582" s="71" t="s">
        <v>582</v>
      </c>
      <c r="F1582" s="71" t="s">
        <v>298</v>
      </c>
      <c r="G1582" s="88">
        <v>46234.315300925897</v>
      </c>
      <c r="H1582" s="89">
        <v>46234</v>
      </c>
      <c r="I1582" s="71" t="s">
        <v>373</v>
      </c>
      <c r="J1582" s="71">
        <v>3.9999999999999898</v>
      </c>
      <c r="K1582" s="71" t="s">
        <v>293</v>
      </c>
      <c r="L1582" s="71">
        <f t="shared" si="216"/>
        <v>7</v>
      </c>
      <c r="M1582" s="71" t="str">
        <f>IFERROR(INDEX(KALENDER!$D$3:$D$132,MATCH(H1582,KALENDER!$A$3:$A$132,0)),"Di luar periode")</f>
        <v>Hari Kerja</v>
      </c>
      <c r="N1582" s="71">
        <f t="shared" si="217"/>
        <v>1</v>
      </c>
      <c r="O1582" s="71">
        <f t="shared" si="218"/>
        <v>1</v>
      </c>
      <c r="P1582" s="71">
        <f t="shared" si="219"/>
        <v>1</v>
      </c>
      <c r="Q1582" s="71">
        <f t="shared" si="220"/>
        <v>0</v>
      </c>
      <c r="R1582" s="71">
        <f t="shared" si="221"/>
        <v>1</v>
      </c>
      <c r="S1582" s="71">
        <f t="shared" si="222"/>
        <v>3.9999999999999898</v>
      </c>
      <c r="T1582" s="71">
        <f t="shared" si="223"/>
        <v>0</v>
      </c>
      <c r="U1582" s="71">
        <f>IF(AND(N1582=1,V1582=1),IF(COUNTIFS(AKTIVITAS!$B$2:$B$3052,B1582,AKTIVITAS!$E$2:$E$3052,H1582)&gt;0,1,0),0)</f>
        <v>1</v>
      </c>
      <c r="V1582" s="71">
        <f>IFERROR(IF(AND(H1582&gt;=INDEX(PEMAGANG!$J$3:$J$36,MATCH(B1582,PEMAGANG!$C$3:$C$36,0)),H1582&lt;=INDEX(PEMAGANG!$K$3:$K$36,MATCH(B1582,PEMAGANG!$C$3:$C$36,0))),1,0),0)</f>
        <v>1</v>
      </c>
      <c r="W1582" s="71">
        <f t="shared" si="224"/>
        <v>1</v>
      </c>
    </row>
    <row r="1583" spans="1:23" x14ac:dyDescent="0.2">
      <c r="A1583" s="71" t="s">
        <v>205</v>
      </c>
      <c r="B1583" s="71" t="s">
        <v>206</v>
      </c>
      <c r="C1583" s="71" t="s">
        <v>187</v>
      </c>
      <c r="D1583" s="71" t="s">
        <v>207</v>
      </c>
      <c r="E1583" s="71" t="s">
        <v>582</v>
      </c>
      <c r="F1583" s="71" t="s">
        <v>300</v>
      </c>
      <c r="G1583" s="88">
        <v>46234.690671296303</v>
      </c>
      <c r="H1583" s="89">
        <v>46234</v>
      </c>
      <c r="I1583" s="71" t="s">
        <v>314</v>
      </c>
      <c r="J1583" s="71">
        <v>0</v>
      </c>
      <c r="K1583" s="71" t="s">
        <v>302</v>
      </c>
      <c r="L1583" s="71">
        <f t="shared" si="216"/>
        <v>7</v>
      </c>
      <c r="M1583" s="71" t="str">
        <f>IFERROR(INDEX(KALENDER!$D$3:$D$132,MATCH(H1583,KALENDER!$A$3:$A$132,0)),"Di luar periode")</f>
        <v>Hari Kerja</v>
      </c>
      <c r="N1583" s="71">
        <f t="shared" si="217"/>
        <v>0</v>
      </c>
      <c r="O1583" s="71">
        <f t="shared" si="218"/>
        <v>1</v>
      </c>
      <c r="P1583" s="71">
        <f t="shared" si="219"/>
        <v>0</v>
      </c>
      <c r="Q1583" s="71">
        <f t="shared" si="220"/>
        <v>0</v>
      </c>
      <c r="R1583" s="71">
        <f t="shared" si="221"/>
        <v>0</v>
      </c>
      <c r="S1583" s="71">
        <f t="shared" si="222"/>
        <v>0</v>
      </c>
      <c r="T1583" s="71">
        <f t="shared" si="223"/>
        <v>0</v>
      </c>
      <c r="U1583" s="71">
        <f>IF(AND(N1583=1,V1583=1),IF(COUNTIFS(AKTIVITAS!$B$2:$B$3052,B1583,AKTIVITAS!$E$2:$E$3052,H1583)&gt;0,1,0),0)</f>
        <v>0</v>
      </c>
      <c r="V1583" s="71">
        <f>IFERROR(IF(AND(H1583&gt;=INDEX(PEMAGANG!$J$3:$J$36,MATCH(B1583,PEMAGANG!$C$3:$C$36,0)),H1583&lt;=INDEX(PEMAGANG!$K$3:$K$36,MATCH(B1583,PEMAGANG!$C$3:$C$36,0))),1,0),0)</f>
        <v>1</v>
      </c>
      <c r="W1583" s="71">
        <f t="shared" si="224"/>
        <v>0</v>
      </c>
    </row>
    <row r="1584" spans="1:23" x14ac:dyDescent="0.2">
      <c r="A1584" s="71" t="s">
        <v>205</v>
      </c>
      <c r="B1584" s="71" t="s">
        <v>206</v>
      </c>
      <c r="C1584" s="71" t="s">
        <v>187</v>
      </c>
      <c r="D1584" s="71" t="s">
        <v>207</v>
      </c>
      <c r="E1584" s="71" t="s">
        <v>582</v>
      </c>
      <c r="F1584" s="71" t="s">
        <v>298</v>
      </c>
      <c r="G1584" s="88">
        <v>46237.310729166697</v>
      </c>
      <c r="H1584" s="89">
        <v>46237</v>
      </c>
      <c r="I1584" s="71" t="s">
        <v>309</v>
      </c>
      <c r="J1584" s="71">
        <v>-2.9999999999999898</v>
      </c>
      <c r="K1584" s="71" t="s">
        <v>302</v>
      </c>
      <c r="L1584" s="71">
        <f t="shared" si="216"/>
        <v>8</v>
      </c>
      <c r="M1584" s="71" t="str">
        <f>IFERROR(INDEX(KALENDER!$D$3:$D$132,MATCH(H1584,KALENDER!$A$3:$A$132,0)),"Di luar periode")</f>
        <v>Hari Kerja</v>
      </c>
      <c r="N1584" s="71">
        <f t="shared" si="217"/>
        <v>1</v>
      </c>
      <c r="O1584" s="71">
        <f t="shared" si="218"/>
        <v>1</v>
      </c>
      <c r="P1584" s="71">
        <f t="shared" si="219"/>
        <v>1</v>
      </c>
      <c r="Q1584" s="71">
        <f t="shared" si="220"/>
        <v>0</v>
      </c>
      <c r="R1584" s="71">
        <f t="shared" si="221"/>
        <v>0</v>
      </c>
      <c r="S1584" s="71">
        <f t="shared" si="222"/>
        <v>0</v>
      </c>
      <c r="T1584" s="71">
        <f t="shared" si="223"/>
        <v>0</v>
      </c>
      <c r="U1584" s="71">
        <f>IF(AND(N1584=1,V1584=1),IF(COUNTIFS(AKTIVITAS!$B$2:$B$3052,B1584,AKTIVITAS!$E$2:$E$3052,H1584)&gt;0,1,0),0)</f>
        <v>1</v>
      </c>
      <c r="V1584" s="71">
        <f>IFERROR(IF(AND(H1584&gt;=INDEX(PEMAGANG!$J$3:$J$36,MATCH(B1584,PEMAGANG!$C$3:$C$36,0)),H1584&lt;=INDEX(PEMAGANG!$K$3:$K$36,MATCH(B1584,PEMAGANG!$C$3:$C$36,0))),1,0),0)</f>
        <v>1</v>
      </c>
      <c r="W1584" s="71">
        <f t="shared" si="224"/>
        <v>1</v>
      </c>
    </row>
    <row r="1585" spans="1:23" x14ac:dyDescent="0.2">
      <c r="A1585" s="71" t="s">
        <v>205</v>
      </c>
      <c r="B1585" s="71" t="s">
        <v>206</v>
      </c>
      <c r="C1585" s="71" t="s">
        <v>187</v>
      </c>
      <c r="D1585" s="71" t="s">
        <v>207</v>
      </c>
      <c r="E1585" s="71" t="s">
        <v>582</v>
      </c>
      <c r="F1585" s="71" t="s">
        <v>300</v>
      </c>
      <c r="G1585" s="88">
        <v>46237.690439814804</v>
      </c>
      <c r="H1585" s="89">
        <v>46237</v>
      </c>
      <c r="I1585" s="71" t="s">
        <v>314</v>
      </c>
      <c r="J1585" s="71">
        <v>0</v>
      </c>
      <c r="K1585" s="71" t="s">
        <v>302</v>
      </c>
      <c r="L1585" s="71">
        <f t="shared" si="216"/>
        <v>8</v>
      </c>
      <c r="M1585" s="71" t="str">
        <f>IFERROR(INDEX(KALENDER!$D$3:$D$132,MATCH(H1585,KALENDER!$A$3:$A$132,0)),"Di luar periode")</f>
        <v>Hari Kerja</v>
      </c>
      <c r="N1585" s="71">
        <f t="shared" si="217"/>
        <v>0</v>
      </c>
      <c r="O1585" s="71">
        <f t="shared" si="218"/>
        <v>1</v>
      </c>
      <c r="P1585" s="71">
        <f t="shared" si="219"/>
        <v>0</v>
      </c>
      <c r="Q1585" s="71">
        <f t="shared" si="220"/>
        <v>0</v>
      </c>
      <c r="R1585" s="71">
        <f t="shared" si="221"/>
        <v>0</v>
      </c>
      <c r="S1585" s="71">
        <f t="shared" si="222"/>
        <v>0</v>
      </c>
      <c r="T1585" s="71">
        <f t="shared" si="223"/>
        <v>0</v>
      </c>
      <c r="U1585" s="71">
        <f>IF(AND(N1585=1,V1585=1),IF(COUNTIFS(AKTIVITAS!$B$2:$B$3052,B1585,AKTIVITAS!$E$2:$E$3052,H1585)&gt;0,1,0),0)</f>
        <v>0</v>
      </c>
      <c r="V1585" s="71">
        <f>IFERROR(IF(AND(H1585&gt;=INDEX(PEMAGANG!$J$3:$J$36,MATCH(B1585,PEMAGANG!$C$3:$C$36,0)),H1585&lt;=INDEX(PEMAGANG!$K$3:$K$36,MATCH(B1585,PEMAGANG!$C$3:$C$36,0))),1,0),0)</f>
        <v>1</v>
      </c>
      <c r="W1585" s="71">
        <f t="shared" si="224"/>
        <v>0</v>
      </c>
    </row>
    <row r="1586" spans="1:23" x14ac:dyDescent="0.2">
      <c r="A1586" s="71" t="s">
        <v>205</v>
      </c>
      <c r="B1586" s="71" t="s">
        <v>206</v>
      </c>
      <c r="C1586" s="71" t="s">
        <v>187</v>
      </c>
      <c r="D1586" s="71" t="s">
        <v>207</v>
      </c>
      <c r="E1586" s="71" t="s">
        <v>582</v>
      </c>
      <c r="F1586" s="71" t="s">
        <v>298</v>
      </c>
      <c r="G1586" s="88">
        <v>46238.313240740703</v>
      </c>
      <c r="H1586" s="89">
        <v>46238</v>
      </c>
      <c r="I1586" s="71" t="s">
        <v>392</v>
      </c>
      <c r="J1586" s="71">
        <v>0.999999999999996</v>
      </c>
      <c r="K1586" s="71" t="s">
        <v>293</v>
      </c>
      <c r="L1586" s="71">
        <f t="shared" si="216"/>
        <v>8</v>
      </c>
      <c r="M1586" s="71" t="str">
        <f>IFERROR(INDEX(KALENDER!$D$3:$D$132,MATCH(H1586,KALENDER!$A$3:$A$132,0)),"Di luar periode")</f>
        <v>Hari Kerja</v>
      </c>
      <c r="N1586" s="71">
        <f t="shared" si="217"/>
        <v>1</v>
      </c>
      <c r="O1586" s="71">
        <f t="shared" si="218"/>
        <v>1</v>
      </c>
      <c r="P1586" s="71">
        <f t="shared" si="219"/>
        <v>1</v>
      </c>
      <c r="Q1586" s="71">
        <f t="shared" si="220"/>
        <v>0</v>
      </c>
      <c r="R1586" s="71">
        <f t="shared" si="221"/>
        <v>1</v>
      </c>
      <c r="S1586" s="71">
        <f t="shared" si="222"/>
        <v>0.999999999999996</v>
      </c>
      <c r="T1586" s="71">
        <f t="shared" si="223"/>
        <v>0</v>
      </c>
      <c r="U1586" s="71">
        <f>IF(AND(N1586=1,V1586=1),IF(COUNTIFS(AKTIVITAS!$B$2:$B$3052,B1586,AKTIVITAS!$E$2:$E$3052,H1586)&gt;0,1,0),0)</f>
        <v>1</v>
      </c>
      <c r="V1586" s="71">
        <f>IFERROR(IF(AND(H1586&gt;=INDEX(PEMAGANG!$J$3:$J$36,MATCH(B1586,PEMAGANG!$C$3:$C$36,0)),H1586&lt;=INDEX(PEMAGANG!$K$3:$K$36,MATCH(B1586,PEMAGANG!$C$3:$C$36,0))),1,0),0)</f>
        <v>1</v>
      </c>
      <c r="W1586" s="71">
        <f t="shared" si="224"/>
        <v>1</v>
      </c>
    </row>
    <row r="1587" spans="1:23" x14ac:dyDescent="0.2">
      <c r="A1587" s="71" t="s">
        <v>205</v>
      </c>
      <c r="B1587" s="71" t="s">
        <v>206</v>
      </c>
      <c r="C1587" s="71" t="s">
        <v>187</v>
      </c>
      <c r="D1587" s="71" t="s">
        <v>207</v>
      </c>
      <c r="E1587" s="71" t="s">
        <v>582</v>
      </c>
      <c r="F1587" s="71" t="s">
        <v>300</v>
      </c>
      <c r="G1587" s="88">
        <v>46238.718240740702</v>
      </c>
      <c r="H1587" s="89">
        <v>46238</v>
      </c>
      <c r="I1587" s="71" t="s">
        <v>384</v>
      </c>
      <c r="J1587" s="71">
        <v>0</v>
      </c>
      <c r="K1587" s="71" t="s">
        <v>302</v>
      </c>
      <c r="L1587" s="71">
        <f t="shared" si="216"/>
        <v>8</v>
      </c>
      <c r="M1587" s="71" t="str">
        <f>IFERROR(INDEX(KALENDER!$D$3:$D$132,MATCH(H1587,KALENDER!$A$3:$A$132,0)),"Di luar periode")</f>
        <v>Hari Kerja</v>
      </c>
      <c r="N1587" s="71">
        <f t="shared" si="217"/>
        <v>0</v>
      </c>
      <c r="O1587" s="71">
        <f t="shared" si="218"/>
        <v>1</v>
      </c>
      <c r="P1587" s="71">
        <f t="shared" si="219"/>
        <v>0</v>
      </c>
      <c r="Q1587" s="71">
        <f t="shared" si="220"/>
        <v>0</v>
      </c>
      <c r="R1587" s="71">
        <f t="shared" si="221"/>
        <v>0</v>
      </c>
      <c r="S1587" s="71">
        <f t="shared" si="222"/>
        <v>0</v>
      </c>
      <c r="T1587" s="71">
        <f t="shared" si="223"/>
        <v>0</v>
      </c>
      <c r="U1587" s="71">
        <f>IF(AND(N1587=1,V1587=1),IF(COUNTIFS(AKTIVITAS!$B$2:$B$3052,B1587,AKTIVITAS!$E$2:$E$3052,H1587)&gt;0,1,0),0)</f>
        <v>0</v>
      </c>
      <c r="V1587" s="71">
        <f>IFERROR(IF(AND(H1587&gt;=INDEX(PEMAGANG!$J$3:$J$36,MATCH(B1587,PEMAGANG!$C$3:$C$36,0)),H1587&lt;=INDEX(PEMAGANG!$K$3:$K$36,MATCH(B1587,PEMAGANG!$C$3:$C$36,0))),1,0),0)</f>
        <v>1</v>
      </c>
      <c r="W1587" s="71">
        <f t="shared" si="224"/>
        <v>0</v>
      </c>
    </row>
    <row r="1588" spans="1:23" x14ac:dyDescent="0.2">
      <c r="A1588" s="71" t="s">
        <v>205</v>
      </c>
      <c r="B1588" s="71" t="s">
        <v>206</v>
      </c>
      <c r="C1588" s="71" t="s">
        <v>187</v>
      </c>
      <c r="D1588" s="71" t="s">
        <v>207</v>
      </c>
      <c r="E1588" s="71" t="s">
        <v>582</v>
      </c>
      <c r="F1588" s="71" t="s">
        <v>298</v>
      </c>
      <c r="G1588" s="88">
        <v>46240.311585648204</v>
      </c>
      <c r="H1588" s="89">
        <v>46240</v>
      </c>
      <c r="I1588" s="71" t="s">
        <v>377</v>
      </c>
      <c r="J1588" s="71">
        <v>-1.99999999999999</v>
      </c>
      <c r="K1588" s="71" t="s">
        <v>302</v>
      </c>
      <c r="L1588" s="71">
        <f t="shared" si="216"/>
        <v>8</v>
      </c>
      <c r="M1588" s="71" t="str">
        <f>IFERROR(INDEX(KALENDER!$D$3:$D$132,MATCH(H1588,KALENDER!$A$3:$A$132,0)),"Di luar periode")</f>
        <v>Hari Kerja</v>
      </c>
      <c r="N1588" s="71">
        <f t="shared" si="217"/>
        <v>1</v>
      </c>
      <c r="O1588" s="71">
        <f t="shared" si="218"/>
        <v>1</v>
      </c>
      <c r="P1588" s="71">
        <f t="shared" si="219"/>
        <v>1</v>
      </c>
      <c r="Q1588" s="71">
        <f t="shared" si="220"/>
        <v>0</v>
      </c>
      <c r="R1588" s="71">
        <f t="shared" si="221"/>
        <v>0</v>
      </c>
      <c r="S1588" s="71">
        <f t="shared" si="222"/>
        <v>0</v>
      </c>
      <c r="T1588" s="71">
        <f t="shared" si="223"/>
        <v>0</v>
      </c>
      <c r="U1588" s="71">
        <f>IF(AND(N1588=1,V1588=1),IF(COUNTIFS(AKTIVITAS!$B$2:$B$3052,B1588,AKTIVITAS!$E$2:$E$3052,H1588)&gt;0,1,0),0)</f>
        <v>1</v>
      </c>
      <c r="V1588" s="71">
        <f>IFERROR(IF(AND(H1588&gt;=INDEX(PEMAGANG!$J$3:$J$36,MATCH(B1588,PEMAGANG!$C$3:$C$36,0)),H1588&lt;=INDEX(PEMAGANG!$K$3:$K$36,MATCH(B1588,PEMAGANG!$C$3:$C$36,0))),1,0),0)</f>
        <v>1</v>
      </c>
      <c r="W1588" s="71">
        <f t="shared" si="224"/>
        <v>1</v>
      </c>
    </row>
    <row r="1589" spans="1:23" x14ac:dyDescent="0.2">
      <c r="A1589" s="71" t="s">
        <v>205</v>
      </c>
      <c r="B1589" s="71" t="s">
        <v>206</v>
      </c>
      <c r="C1589" s="71" t="s">
        <v>187</v>
      </c>
      <c r="D1589" s="71" t="s">
        <v>207</v>
      </c>
      <c r="E1589" s="71" t="s">
        <v>582</v>
      </c>
      <c r="F1589" s="71" t="s">
        <v>300</v>
      </c>
      <c r="G1589" s="88">
        <v>46240.689583333296</v>
      </c>
      <c r="H1589" s="89">
        <v>46240</v>
      </c>
      <c r="I1589" s="71" t="s">
        <v>316</v>
      </c>
      <c r="J1589" s="71">
        <v>0</v>
      </c>
      <c r="K1589" s="71" t="s">
        <v>302</v>
      </c>
      <c r="L1589" s="71">
        <f t="shared" si="216"/>
        <v>8</v>
      </c>
      <c r="M1589" s="71" t="str">
        <f>IFERROR(INDEX(KALENDER!$D$3:$D$132,MATCH(H1589,KALENDER!$A$3:$A$132,0)),"Di luar periode")</f>
        <v>Hari Kerja</v>
      </c>
      <c r="N1589" s="71">
        <f t="shared" si="217"/>
        <v>0</v>
      </c>
      <c r="O1589" s="71">
        <f t="shared" si="218"/>
        <v>1</v>
      </c>
      <c r="P1589" s="71">
        <f t="shared" si="219"/>
        <v>0</v>
      </c>
      <c r="Q1589" s="71">
        <f t="shared" si="220"/>
        <v>0</v>
      </c>
      <c r="R1589" s="71">
        <f t="shared" si="221"/>
        <v>0</v>
      </c>
      <c r="S1589" s="71">
        <f t="shared" si="222"/>
        <v>0</v>
      </c>
      <c r="T1589" s="71">
        <f t="shared" si="223"/>
        <v>0</v>
      </c>
      <c r="U1589" s="71">
        <f>IF(AND(N1589=1,V1589=1),IF(COUNTIFS(AKTIVITAS!$B$2:$B$3052,B1589,AKTIVITAS!$E$2:$E$3052,H1589)&gt;0,1,0),0)</f>
        <v>0</v>
      </c>
      <c r="V1589" s="71">
        <f>IFERROR(IF(AND(H1589&gt;=INDEX(PEMAGANG!$J$3:$J$36,MATCH(B1589,PEMAGANG!$C$3:$C$36,0)),H1589&lt;=INDEX(PEMAGANG!$K$3:$K$36,MATCH(B1589,PEMAGANG!$C$3:$C$36,0))),1,0),0)</f>
        <v>1</v>
      </c>
      <c r="W1589" s="71">
        <f t="shared" si="224"/>
        <v>0</v>
      </c>
    </row>
    <row r="1590" spans="1:23" x14ac:dyDescent="0.2">
      <c r="A1590" s="71" t="s">
        <v>205</v>
      </c>
      <c r="B1590" s="71" t="s">
        <v>206</v>
      </c>
      <c r="C1590" s="71" t="s">
        <v>187</v>
      </c>
      <c r="D1590" s="71" t="s">
        <v>207</v>
      </c>
      <c r="E1590" s="71" t="s">
        <v>582</v>
      </c>
      <c r="F1590" s="71" t="s">
        <v>298</v>
      </c>
      <c r="G1590" s="88">
        <v>46241.315891203703</v>
      </c>
      <c r="H1590" s="89">
        <v>46241</v>
      </c>
      <c r="I1590" s="71" t="s">
        <v>373</v>
      </c>
      <c r="J1590" s="71">
        <v>3.9999999999999898</v>
      </c>
      <c r="K1590" s="71" t="s">
        <v>293</v>
      </c>
      <c r="L1590" s="71">
        <f t="shared" si="216"/>
        <v>8</v>
      </c>
      <c r="M1590" s="71" t="str">
        <f>IFERROR(INDEX(KALENDER!$D$3:$D$132,MATCH(H1590,KALENDER!$A$3:$A$132,0)),"Di luar periode")</f>
        <v>Hari Kerja</v>
      </c>
      <c r="N1590" s="71">
        <f t="shared" si="217"/>
        <v>1</v>
      </c>
      <c r="O1590" s="71">
        <f t="shared" si="218"/>
        <v>1</v>
      </c>
      <c r="P1590" s="71">
        <f t="shared" si="219"/>
        <v>1</v>
      </c>
      <c r="Q1590" s="71">
        <f t="shared" si="220"/>
        <v>0</v>
      </c>
      <c r="R1590" s="71">
        <f t="shared" si="221"/>
        <v>1</v>
      </c>
      <c r="S1590" s="71">
        <f t="shared" si="222"/>
        <v>3.9999999999999898</v>
      </c>
      <c r="T1590" s="71">
        <f t="shared" si="223"/>
        <v>0</v>
      </c>
      <c r="U1590" s="71">
        <f>IF(AND(N1590=1,V1590=1),IF(COUNTIFS(AKTIVITAS!$B$2:$B$3052,B1590,AKTIVITAS!$E$2:$E$3052,H1590)&gt;0,1,0),0)</f>
        <v>1</v>
      </c>
      <c r="V1590" s="71">
        <f>IFERROR(IF(AND(H1590&gt;=INDEX(PEMAGANG!$J$3:$J$36,MATCH(B1590,PEMAGANG!$C$3:$C$36,0)),H1590&lt;=INDEX(PEMAGANG!$K$3:$K$36,MATCH(B1590,PEMAGANG!$C$3:$C$36,0))),1,0),0)</f>
        <v>1</v>
      </c>
      <c r="W1590" s="71">
        <f t="shared" si="224"/>
        <v>1</v>
      </c>
    </row>
    <row r="1591" spans="1:23" x14ac:dyDescent="0.2">
      <c r="A1591" s="71" t="s">
        <v>205</v>
      </c>
      <c r="B1591" s="71" t="s">
        <v>206</v>
      </c>
      <c r="C1591" s="71" t="s">
        <v>187</v>
      </c>
      <c r="D1591" s="71" t="s">
        <v>207</v>
      </c>
      <c r="E1591" s="71" t="s">
        <v>582</v>
      </c>
      <c r="F1591" s="71" t="s">
        <v>300</v>
      </c>
      <c r="G1591" s="88">
        <v>46241.6930208333</v>
      </c>
      <c r="H1591" s="89">
        <v>46241</v>
      </c>
      <c r="I1591" s="71" t="s">
        <v>328</v>
      </c>
      <c r="J1591" s="71">
        <v>0</v>
      </c>
      <c r="K1591" s="71" t="s">
        <v>302</v>
      </c>
      <c r="L1591" s="71">
        <f t="shared" si="216"/>
        <v>8</v>
      </c>
      <c r="M1591" s="71" t="str">
        <f>IFERROR(INDEX(KALENDER!$D$3:$D$132,MATCH(H1591,KALENDER!$A$3:$A$132,0)),"Di luar periode")</f>
        <v>Hari Kerja</v>
      </c>
      <c r="N1591" s="71">
        <f t="shared" si="217"/>
        <v>0</v>
      </c>
      <c r="O1591" s="71">
        <f t="shared" si="218"/>
        <v>1</v>
      </c>
      <c r="P1591" s="71">
        <f t="shared" si="219"/>
        <v>0</v>
      </c>
      <c r="Q1591" s="71">
        <f t="shared" si="220"/>
        <v>0</v>
      </c>
      <c r="R1591" s="71">
        <f t="shared" si="221"/>
        <v>0</v>
      </c>
      <c r="S1591" s="71">
        <f t="shared" si="222"/>
        <v>0</v>
      </c>
      <c r="T1591" s="71">
        <f t="shared" si="223"/>
        <v>0</v>
      </c>
      <c r="U1591" s="71">
        <f>IF(AND(N1591=1,V1591=1),IF(COUNTIFS(AKTIVITAS!$B$2:$B$3052,B1591,AKTIVITAS!$E$2:$E$3052,H1591)&gt;0,1,0),0)</f>
        <v>0</v>
      </c>
      <c r="V1591" s="71">
        <f>IFERROR(IF(AND(H1591&gt;=INDEX(PEMAGANG!$J$3:$J$36,MATCH(B1591,PEMAGANG!$C$3:$C$36,0)),H1591&lt;=INDEX(PEMAGANG!$K$3:$K$36,MATCH(B1591,PEMAGANG!$C$3:$C$36,0))),1,0),0)</f>
        <v>1</v>
      </c>
      <c r="W1591" s="71">
        <f t="shared" si="224"/>
        <v>0</v>
      </c>
    </row>
    <row r="1592" spans="1:23" x14ac:dyDescent="0.2">
      <c r="A1592" s="71" t="s">
        <v>205</v>
      </c>
      <c r="B1592" s="71" t="s">
        <v>206</v>
      </c>
      <c r="C1592" s="71" t="s">
        <v>187</v>
      </c>
      <c r="D1592" s="71" t="s">
        <v>207</v>
      </c>
      <c r="E1592" s="71" t="s">
        <v>582</v>
      </c>
      <c r="F1592" s="71" t="s">
        <v>298</v>
      </c>
      <c r="G1592" s="88">
        <v>46244.312256944497</v>
      </c>
      <c r="H1592" s="89">
        <v>46244</v>
      </c>
      <c r="I1592" s="71" t="s">
        <v>365</v>
      </c>
      <c r="J1592" s="71">
        <v>-0.999999999999996</v>
      </c>
      <c r="K1592" s="71" t="s">
        <v>302</v>
      </c>
      <c r="L1592" s="71">
        <f t="shared" si="216"/>
        <v>8</v>
      </c>
      <c r="M1592" s="71" t="str">
        <f>IFERROR(INDEX(KALENDER!$D$3:$D$132,MATCH(H1592,KALENDER!$A$3:$A$132,0)),"Di luar periode")</f>
        <v>Hari Kerja</v>
      </c>
      <c r="N1592" s="71">
        <f t="shared" si="217"/>
        <v>1</v>
      </c>
      <c r="O1592" s="71">
        <f t="shared" si="218"/>
        <v>1</v>
      </c>
      <c r="P1592" s="71">
        <f t="shared" si="219"/>
        <v>1</v>
      </c>
      <c r="Q1592" s="71">
        <f t="shared" si="220"/>
        <v>0</v>
      </c>
      <c r="R1592" s="71">
        <f t="shared" si="221"/>
        <v>0</v>
      </c>
      <c r="S1592" s="71">
        <f t="shared" si="222"/>
        <v>0</v>
      </c>
      <c r="T1592" s="71">
        <f t="shared" si="223"/>
        <v>0</v>
      </c>
      <c r="U1592" s="71">
        <f>IF(AND(N1592=1,V1592=1),IF(COUNTIFS(AKTIVITAS!$B$2:$B$3052,B1592,AKTIVITAS!$E$2:$E$3052,H1592)&gt;0,1,0),0)</f>
        <v>1</v>
      </c>
      <c r="V1592" s="71">
        <f>IFERROR(IF(AND(H1592&gt;=INDEX(PEMAGANG!$J$3:$J$36,MATCH(B1592,PEMAGANG!$C$3:$C$36,0)),H1592&lt;=INDEX(PEMAGANG!$K$3:$K$36,MATCH(B1592,PEMAGANG!$C$3:$C$36,0))),1,0),0)</f>
        <v>1</v>
      </c>
      <c r="W1592" s="71">
        <f t="shared" si="224"/>
        <v>1</v>
      </c>
    </row>
    <row r="1593" spans="1:23" x14ac:dyDescent="0.2">
      <c r="A1593" s="71" t="s">
        <v>205</v>
      </c>
      <c r="B1593" s="71" t="s">
        <v>206</v>
      </c>
      <c r="C1593" s="71" t="s">
        <v>187</v>
      </c>
      <c r="D1593" s="71" t="s">
        <v>207</v>
      </c>
      <c r="E1593" s="71" t="s">
        <v>582</v>
      </c>
      <c r="F1593" s="71" t="s">
        <v>300</v>
      </c>
      <c r="G1593" s="88">
        <v>46244.692488425899</v>
      </c>
      <c r="H1593" s="89">
        <v>46244</v>
      </c>
      <c r="I1593" s="71" t="s">
        <v>328</v>
      </c>
      <c r="J1593" s="71">
        <v>0</v>
      </c>
      <c r="K1593" s="71" t="s">
        <v>302</v>
      </c>
      <c r="L1593" s="71">
        <f t="shared" si="216"/>
        <v>8</v>
      </c>
      <c r="M1593" s="71" t="str">
        <f>IFERROR(INDEX(KALENDER!$D$3:$D$132,MATCH(H1593,KALENDER!$A$3:$A$132,0)),"Di luar periode")</f>
        <v>Hari Kerja</v>
      </c>
      <c r="N1593" s="71">
        <f t="shared" si="217"/>
        <v>0</v>
      </c>
      <c r="O1593" s="71">
        <f t="shared" si="218"/>
        <v>1</v>
      </c>
      <c r="P1593" s="71">
        <f t="shared" si="219"/>
        <v>0</v>
      </c>
      <c r="Q1593" s="71">
        <f t="shared" si="220"/>
        <v>0</v>
      </c>
      <c r="R1593" s="71">
        <f t="shared" si="221"/>
        <v>0</v>
      </c>
      <c r="S1593" s="71">
        <f t="shared" si="222"/>
        <v>0</v>
      </c>
      <c r="T1593" s="71">
        <f t="shared" si="223"/>
        <v>0</v>
      </c>
      <c r="U1593" s="71">
        <f>IF(AND(N1593=1,V1593=1),IF(COUNTIFS(AKTIVITAS!$B$2:$B$3052,B1593,AKTIVITAS!$E$2:$E$3052,H1593)&gt;0,1,0),0)</f>
        <v>0</v>
      </c>
      <c r="V1593" s="71">
        <f>IFERROR(IF(AND(H1593&gt;=INDEX(PEMAGANG!$J$3:$J$36,MATCH(B1593,PEMAGANG!$C$3:$C$36,0)),H1593&lt;=INDEX(PEMAGANG!$K$3:$K$36,MATCH(B1593,PEMAGANG!$C$3:$C$36,0))),1,0),0)</f>
        <v>1</v>
      </c>
      <c r="W1593" s="71">
        <f t="shared" si="224"/>
        <v>0</v>
      </c>
    </row>
    <row r="1594" spans="1:23" x14ac:dyDescent="0.2">
      <c r="A1594" s="71" t="s">
        <v>205</v>
      </c>
      <c r="B1594" s="71" t="s">
        <v>206</v>
      </c>
      <c r="C1594" s="71" t="s">
        <v>187</v>
      </c>
      <c r="D1594" s="71" t="s">
        <v>207</v>
      </c>
      <c r="E1594" s="71" t="s">
        <v>582</v>
      </c>
      <c r="F1594" s="71" t="s">
        <v>298</v>
      </c>
      <c r="G1594" s="88">
        <v>46245.314421296302</v>
      </c>
      <c r="H1594" s="89">
        <v>46245</v>
      </c>
      <c r="I1594" s="71" t="s">
        <v>338</v>
      </c>
      <c r="J1594" s="71">
        <v>1.99999999999999</v>
      </c>
      <c r="K1594" s="71" t="s">
        <v>293</v>
      </c>
      <c r="L1594" s="71">
        <f t="shared" si="216"/>
        <v>8</v>
      </c>
      <c r="M1594" s="71" t="str">
        <f>IFERROR(INDEX(KALENDER!$D$3:$D$132,MATCH(H1594,KALENDER!$A$3:$A$132,0)),"Di luar periode")</f>
        <v>Hari Kerja</v>
      </c>
      <c r="N1594" s="71">
        <f t="shared" si="217"/>
        <v>1</v>
      </c>
      <c r="O1594" s="71">
        <f t="shared" si="218"/>
        <v>1</v>
      </c>
      <c r="P1594" s="71">
        <f t="shared" si="219"/>
        <v>1</v>
      </c>
      <c r="Q1594" s="71">
        <f t="shared" si="220"/>
        <v>0</v>
      </c>
      <c r="R1594" s="71">
        <f t="shared" si="221"/>
        <v>1</v>
      </c>
      <c r="S1594" s="71">
        <f t="shared" si="222"/>
        <v>1.99999999999999</v>
      </c>
      <c r="T1594" s="71">
        <f t="shared" si="223"/>
        <v>0</v>
      </c>
      <c r="U1594" s="71">
        <f>IF(AND(N1594=1,V1594=1),IF(COUNTIFS(AKTIVITAS!$B$2:$B$3052,B1594,AKTIVITAS!$E$2:$E$3052,H1594)&gt;0,1,0),0)</f>
        <v>1</v>
      </c>
      <c r="V1594" s="71">
        <f>IFERROR(IF(AND(H1594&gt;=INDEX(PEMAGANG!$J$3:$J$36,MATCH(B1594,PEMAGANG!$C$3:$C$36,0)),H1594&lt;=INDEX(PEMAGANG!$K$3:$K$36,MATCH(B1594,PEMAGANG!$C$3:$C$36,0))),1,0),0)</f>
        <v>1</v>
      </c>
      <c r="W1594" s="71">
        <f t="shared" si="224"/>
        <v>1</v>
      </c>
    </row>
    <row r="1595" spans="1:23" x14ac:dyDescent="0.2">
      <c r="A1595" s="71" t="s">
        <v>205</v>
      </c>
      <c r="B1595" s="71" t="s">
        <v>206</v>
      </c>
      <c r="C1595" s="71" t="s">
        <v>187</v>
      </c>
      <c r="D1595" s="71" t="s">
        <v>207</v>
      </c>
      <c r="E1595" s="71" t="s">
        <v>582</v>
      </c>
      <c r="F1595" s="71" t="s">
        <v>300</v>
      </c>
      <c r="G1595" s="88">
        <v>46245.689328703702</v>
      </c>
      <c r="H1595" s="89">
        <v>46245</v>
      </c>
      <c r="I1595" s="71" t="s">
        <v>306</v>
      </c>
      <c r="J1595" s="71">
        <v>0</v>
      </c>
      <c r="K1595" s="71" t="s">
        <v>302</v>
      </c>
      <c r="L1595" s="71">
        <f t="shared" si="216"/>
        <v>8</v>
      </c>
      <c r="M1595" s="71" t="str">
        <f>IFERROR(INDEX(KALENDER!$D$3:$D$132,MATCH(H1595,KALENDER!$A$3:$A$132,0)),"Di luar periode")</f>
        <v>Hari Kerja</v>
      </c>
      <c r="N1595" s="71">
        <f t="shared" si="217"/>
        <v>0</v>
      </c>
      <c r="O1595" s="71">
        <f t="shared" si="218"/>
        <v>1</v>
      </c>
      <c r="P1595" s="71">
        <f t="shared" si="219"/>
        <v>0</v>
      </c>
      <c r="Q1595" s="71">
        <f t="shared" si="220"/>
        <v>0</v>
      </c>
      <c r="R1595" s="71">
        <f t="shared" si="221"/>
        <v>0</v>
      </c>
      <c r="S1595" s="71">
        <f t="shared" si="222"/>
        <v>0</v>
      </c>
      <c r="T1595" s="71">
        <f t="shared" si="223"/>
        <v>0</v>
      </c>
      <c r="U1595" s="71">
        <f>IF(AND(N1595=1,V1595=1),IF(COUNTIFS(AKTIVITAS!$B$2:$B$3052,B1595,AKTIVITAS!$E$2:$E$3052,H1595)&gt;0,1,0),0)</f>
        <v>0</v>
      </c>
      <c r="V1595" s="71">
        <f>IFERROR(IF(AND(H1595&gt;=INDEX(PEMAGANG!$J$3:$J$36,MATCH(B1595,PEMAGANG!$C$3:$C$36,0)),H1595&lt;=INDEX(PEMAGANG!$K$3:$K$36,MATCH(B1595,PEMAGANG!$C$3:$C$36,0))),1,0),0)</f>
        <v>1</v>
      </c>
      <c r="W1595" s="71">
        <f t="shared" si="224"/>
        <v>0</v>
      </c>
    </row>
    <row r="1596" spans="1:23" x14ac:dyDescent="0.2">
      <c r="A1596" s="71" t="s">
        <v>205</v>
      </c>
      <c r="B1596" s="71" t="s">
        <v>206</v>
      </c>
      <c r="C1596" s="71" t="s">
        <v>187</v>
      </c>
      <c r="D1596" s="71" t="s">
        <v>207</v>
      </c>
      <c r="E1596" s="71" t="s">
        <v>582</v>
      </c>
      <c r="F1596" s="71" t="s">
        <v>298</v>
      </c>
      <c r="G1596" s="88">
        <v>46246.312743055598</v>
      </c>
      <c r="H1596" s="89">
        <v>46246</v>
      </c>
      <c r="I1596" s="71" t="s">
        <v>335</v>
      </c>
      <c r="J1596" s="71">
        <v>0</v>
      </c>
      <c r="K1596" s="71" t="s">
        <v>302</v>
      </c>
      <c r="L1596" s="71">
        <f t="shared" si="216"/>
        <v>8</v>
      </c>
      <c r="M1596" s="71" t="str">
        <f>IFERROR(INDEX(KALENDER!$D$3:$D$132,MATCH(H1596,KALENDER!$A$3:$A$132,0)),"Di luar periode")</f>
        <v>Hari Kerja</v>
      </c>
      <c r="N1596" s="71">
        <f t="shared" si="217"/>
        <v>1</v>
      </c>
      <c r="O1596" s="71">
        <f t="shared" si="218"/>
        <v>1</v>
      </c>
      <c r="P1596" s="71">
        <f t="shared" si="219"/>
        <v>1</v>
      </c>
      <c r="Q1596" s="71">
        <f t="shared" si="220"/>
        <v>0</v>
      </c>
      <c r="R1596" s="71">
        <f t="shared" si="221"/>
        <v>0</v>
      </c>
      <c r="S1596" s="71">
        <f t="shared" si="222"/>
        <v>0</v>
      </c>
      <c r="T1596" s="71">
        <f t="shared" si="223"/>
        <v>0</v>
      </c>
      <c r="U1596" s="71">
        <f>IF(AND(N1596=1,V1596=1),IF(COUNTIFS(AKTIVITAS!$B$2:$B$3052,B1596,AKTIVITAS!$E$2:$E$3052,H1596)&gt;0,1,0),0)</f>
        <v>1</v>
      </c>
      <c r="V1596" s="71">
        <f>IFERROR(IF(AND(H1596&gt;=INDEX(PEMAGANG!$J$3:$J$36,MATCH(B1596,PEMAGANG!$C$3:$C$36,0)),H1596&lt;=INDEX(PEMAGANG!$K$3:$K$36,MATCH(B1596,PEMAGANG!$C$3:$C$36,0))),1,0),0)</f>
        <v>1</v>
      </c>
      <c r="W1596" s="71">
        <f t="shared" si="224"/>
        <v>1</v>
      </c>
    </row>
    <row r="1597" spans="1:23" x14ac:dyDescent="0.2">
      <c r="A1597" s="71" t="s">
        <v>205</v>
      </c>
      <c r="B1597" s="71" t="s">
        <v>206</v>
      </c>
      <c r="C1597" s="71" t="s">
        <v>187</v>
      </c>
      <c r="D1597" s="71" t="s">
        <v>207</v>
      </c>
      <c r="E1597" s="71" t="s">
        <v>582</v>
      </c>
      <c r="F1597" s="71" t="s">
        <v>300</v>
      </c>
      <c r="G1597" s="88">
        <v>46246.690057870401</v>
      </c>
      <c r="H1597" s="89">
        <v>46246</v>
      </c>
      <c r="I1597" s="71" t="s">
        <v>316</v>
      </c>
      <c r="J1597" s="71">
        <v>0</v>
      </c>
      <c r="K1597" s="71" t="s">
        <v>302</v>
      </c>
      <c r="L1597" s="71">
        <f t="shared" si="216"/>
        <v>8</v>
      </c>
      <c r="M1597" s="71" t="str">
        <f>IFERROR(INDEX(KALENDER!$D$3:$D$132,MATCH(H1597,KALENDER!$A$3:$A$132,0)),"Di luar periode")</f>
        <v>Hari Kerja</v>
      </c>
      <c r="N1597" s="71">
        <f t="shared" si="217"/>
        <v>0</v>
      </c>
      <c r="O1597" s="71">
        <f t="shared" si="218"/>
        <v>1</v>
      </c>
      <c r="P1597" s="71">
        <f t="shared" si="219"/>
        <v>0</v>
      </c>
      <c r="Q1597" s="71">
        <f t="shared" si="220"/>
        <v>0</v>
      </c>
      <c r="R1597" s="71">
        <f t="shared" si="221"/>
        <v>0</v>
      </c>
      <c r="S1597" s="71">
        <f t="shared" si="222"/>
        <v>0</v>
      </c>
      <c r="T1597" s="71">
        <f t="shared" si="223"/>
        <v>0</v>
      </c>
      <c r="U1597" s="71">
        <f>IF(AND(N1597=1,V1597=1),IF(COUNTIFS(AKTIVITAS!$B$2:$B$3052,B1597,AKTIVITAS!$E$2:$E$3052,H1597)&gt;0,1,0),0)</f>
        <v>0</v>
      </c>
      <c r="V1597" s="71">
        <f>IFERROR(IF(AND(H1597&gt;=INDEX(PEMAGANG!$J$3:$J$36,MATCH(B1597,PEMAGANG!$C$3:$C$36,0)),H1597&lt;=INDEX(PEMAGANG!$K$3:$K$36,MATCH(B1597,PEMAGANG!$C$3:$C$36,0))),1,0),0)</f>
        <v>1</v>
      </c>
      <c r="W1597" s="71">
        <f t="shared" si="224"/>
        <v>0</v>
      </c>
    </row>
    <row r="1598" spans="1:23" x14ac:dyDescent="0.2">
      <c r="A1598" s="71" t="s">
        <v>205</v>
      </c>
      <c r="B1598" s="71" t="s">
        <v>206</v>
      </c>
      <c r="C1598" s="71" t="s">
        <v>187</v>
      </c>
      <c r="D1598" s="71" t="s">
        <v>207</v>
      </c>
      <c r="E1598" s="71" t="s">
        <v>582</v>
      </c>
      <c r="F1598" s="71" t="s">
        <v>298</v>
      </c>
      <c r="G1598" s="88">
        <v>46247.308680555601</v>
      </c>
      <c r="H1598" s="89">
        <v>46247</v>
      </c>
      <c r="I1598" s="71" t="s">
        <v>303</v>
      </c>
      <c r="J1598" s="71">
        <v>-5.9999999999999796</v>
      </c>
      <c r="K1598" s="71" t="s">
        <v>302</v>
      </c>
      <c r="L1598" s="71">
        <f t="shared" si="216"/>
        <v>8</v>
      </c>
      <c r="M1598" s="71" t="str">
        <f>IFERROR(INDEX(KALENDER!$D$3:$D$132,MATCH(H1598,KALENDER!$A$3:$A$132,0)),"Di luar periode")</f>
        <v>Hari Kerja</v>
      </c>
      <c r="N1598" s="71">
        <f t="shared" si="217"/>
        <v>1</v>
      </c>
      <c r="O1598" s="71">
        <f t="shared" si="218"/>
        <v>1</v>
      </c>
      <c r="P1598" s="71">
        <f t="shared" si="219"/>
        <v>1</v>
      </c>
      <c r="Q1598" s="71">
        <f t="shared" si="220"/>
        <v>0</v>
      </c>
      <c r="R1598" s="71">
        <f t="shared" si="221"/>
        <v>0</v>
      </c>
      <c r="S1598" s="71">
        <f t="shared" si="222"/>
        <v>0</v>
      </c>
      <c r="T1598" s="71">
        <f t="shared" si="223"/>
        <v>0</v>
      </c>
      <c r="U1598" s="71">
        <f>IF(AND(N1598=1,V1598=1),IF(COUNTIFS(AKTIVITAS!$B$2:$B$3052,B1598,AKTIVITAS!$E$2:$E$3052,H1598)&gt;0,1,0),0)</f>
        <v>1</v>
      </c>
      <c r="V1598" s="71">
        <f>IFERROR(IF(AND(H1598&gt;=INDEX(PEMAGANG!$J$3:$J$36,MATCH(B1598,PEMAGANG!$C$3:$C$36,0)),H1598&lt;=INDEX(PEMAGANG!$K$3:$K$36,MATCH(B1598,PEMAGANG!$C$3:$C$36,0))),1,0),0)</f>
        <v>1</v>
      </c>
      <c r="W1598" s="71">
        <f t="shared" si="224"/>
        <v>1</v>
      </c>
    </row>
    <row r="1599" spans="1:23" x14ac:dyDescent="0.2">
      <c r="A1599" s="71" t="s">
        <v>205</v>
      </c>
      <c r="B1599" s="71" t="s">
        <v>206</v>
      </c>
      <c r="C1599" s="71" t="s">
        <v>187</v>
      </c>
      <c r="D1599" s="71" t="s">
        <v>207</v>
      </c>
      <c r="E1599" s="71" t="s">
        <v>582</v>
      </c>
      <c r="F1599" s="71" t="s">
        <v>300</v>
      </c>
      <c r="G1599" s="88">
        <v>46247.699074074102</v>
      </c>
      <c r="H1599" s="89">
        <v>46247</v>
      </c>
      <c r="I1599" s="71" t="s">
        <v>488</v>
      </c>
      <c r="J1599" s="71">
        <v>0</v>
      </c>
      <c r="K1599" s="71" t="s">
        <v>302</v>
      </c>
      <c r="L1599" s="71">
        <f t="shared" si="216"/>
        <v>8</v>
      </c>
      <c r="M1599" s="71" t="str">
        <f>IFERROR(INDEX(KALENDER!$D$3:$D$132,MATCH(H1599,KALENDER!$A$3:$A$132,0)),"Di luar periode")</f>
        <v>Hari Kerja</v>
      </c>
      <c r="N1599" s="71">
        <f t="shared" si="217"/>
        <v>0</v>
      </c>
      <c r="O1599" s="71">
        <f t="shared" si="218"/>
        <v>1</v>
      </c>
      <c r="P1599" s="71">
        <f t="shared" si="219"/>
        <v>0</v>
      </c>
      <c r="Q1599" s="71">
        <f t="shared" si="220"/>
        <v>0</v>
      </c>
      <c r="R1599" s="71">
        <f t="shared" si="221"/>
        <v>0</v>
      </c>
      <c r="S1599" s="71">
        <f t="shared" si="222"/>
        <v>0</v>
      </c>
      <c r="T1599" s="71">
        <f t="shared" si="223"/>
        <v>0</v>
      </c>
      <c r="U1599" s="71">
        <f>IF(AND(N1599=1,V1599=1),IF(COUNTIFS(AKTIVITAS!$B$2:$B$3052,B1599,AKTIVITAS!$E$2:$E$3052,H1599)&gt;0,1,0),0)</f>
        <v>0</v>
      </c>
      <c r="V1599" s="71">
        <f>IFERROR(IF(AND(H1599&gt;=INDEX(PEMAGANG!$J$3:$J$36,MATCH(B1599,PEMAGANG!$C$3:$C$36,0)),H1599&lt;=INDEX(PEMAGANG!$K$3:$K$36,MATCH(B1599,PEMAGANG!$C$3:$C$36,0))),1,0),0)</f>
        <v>1</v>
      </c>
      <c r="W1599" s="71">
        <f t="shared" si="224"/>
        <v>0</v>
      </c>
    </row>
    <row r="1600" spans="1:23" x14ac:dyDescent="0.2">
      <c r="A1600" s="71" t="s">
        <v>205</v>
      </c>
      <c r="B1600" s="71" t="s">
        <v>206</v>
      </c>
      <c r="C1600" s="71" t="s">
        <v>187</v>
      </c>
      <c r="D1600" s="71" t="s">
        <v>207</v>
      </c>
      <c r="E1600" s="71" t="s">
        <v>582</v>
      </c>
      <c r="F1600" s="71" t="s">
        <v>298</v>
      </c>
      <c r="G1600" s="88">
        <v>46248.311817129601</v>
      </c>
      <c r="H1600" s="89">
        <v>46248</v>
      </c>
      <c r="I1600" s="71" t="s">
        <v>365</v>
      </c>
      <c r="J1600" s="71">
        <v>-0.999999999999996</v>
      </c>
      <c r="K1600" s="71" t="s">
        <v>302</v>
      </c>
      <c r="L1600" s="71">
        <f t="shared" si="216"/>
        <v>8</v>
      </c>
      <c r="M1600" s="71" t="str">
        <f>IFERROR(INDEX(KALENDER!$D$3:$D$132,MATCH(H1600,KALENDER!$A$3:$A$132,0)),"Di luar periode")</f>
        <v>Hari Kerja</v>
      </c>
      <c r="N1600" s="71">
        <f t="shared" si="217"/>
        <v>1</v>
      </c>
      <c r="O1600" s="71">
        <f t="shared" si="218"/>
        <v>1</v>
      </c>
      <c r="P1600" s="71">
        <f t="shared" si="219"/>
        <v>1</v>
      </c>
      <c r="Q1600" s="71">
        <f t="shared" si="220"/>
        <v>0</v>
      </c>
      <c r="R1600" s="71">
        <f t="shared" si="221"/>
        <v>0</v>
      </c>
      <c r="S1600" s="71">
        <f t="shared" si="222"/>
        <v>0</v>
      </c>
      <c r="T1600" s="71">
        <f t="shared" si="223"/>
        <v>0</v>
      </c>
      <c r="U1600" s="71">
        <f>IF(AND(N1600=1,V1600=1),IF(COUNTIFS(AKTIVITAS!$B$2:$B$3052,B1600,AKTIVITAS!$E$2:$E$3052,H1600)&gt;0,1,0),0)</f>
        <v>1</v>
      </c>
      <c r="V1600" s="71">
        <f>IFERROR(IF(AND(H1600&gt;=INDEX(PEMAGANG!$J$3:$J$36,MATCH(B1600,PEMAGANG!$C$3:$C$36,0)),H1600&lt;=INDEX(PEMAGANG!$K$3:$K$36,MATCH(B1600,PEMAGANG!$C$3:$C$36,0))),1,0),0)</f>
        <v>1</v>
      </c>
      <c r="W1600" s="71">
        <f t="shared" si="224"/>
        <v>1</v>
      </c>
    </row>
    <row r="1601" spans="1:23" x14ac:dyDescent="0.2">
      <c r="A1601" s="71" t="s">
        <v>205</v>
      </c>
      <c r="B1601" s="71" t="s">
        <v>206</v>
      </c>
      <c r="C1601" s="71" t="s">
        <v>187</v>
      </c>
      <c r="D1601" s="71" t="s">
        <v>207</v>
      </c>
      <c r="E1601" s="71" t="s">
        <v>582</v>
      </c>
      <c r="F1601" s="71" t="s">
        <v>300</v>
      </c>
      <c r="G1601" s="88">
        <v>46248.7042013889</v>
      </c>
      <c r="H1601" s="89">
        <v>46248</v>
      </c>
      <c r="I1601" s="71" t="s">
        <v>394</v>
      </c>
      <c r="J1601" s="71">
        <v>0</v>
      </c>
      <c r="K1601" s="71" t="s">
        <v>302</v>
      </c>
      <c r="L1601" s="71">
        <f t="shared" si="216"/>
        <v>8</v>
      </c>
      <c r="M1601" s="71" t="str">
        <f>IFERROR(INDEX(KALENDER!$D$3:$D$132,MATCH(H1601,KALENDER!$A$3:$A$132,0)),"Di luar periode")</f>
        <v>Hari Kerja</v>
      </c>
      <c r="N1601" s="71">
        <f t="shared" si="217"/>
        <v>0</v>
      </c>
      <c r="O1601" s="71">
        <f t="shared" si="218"/>
        <v>1</v>
      </c>
      <c r="P1601" s="71">
        <f t="shared" si="219"/>
        <v>0</v>
      </c>
      <c r="Q1601" s="71">
        <f t="shared" si="220"/>
        <v>0</v>
      </c>
      <c r="R1601" s="71">
        <f t="shared" si="221"/>
        <v>0</v>
      </c>
      <c r="S1601" s="71">
        <f t="shared" si="222"/>
        <v>0</v>
      </c>
      <c r="T1601" s="71">
        <f t="shared" si="223"/>
        <v>0</v>
      </c>
      <c r="U1601" s="71">
        <f>IF(AND(N1601=1,V1601=1),IF(COUNTIFS(AKTIVITAS!$B$2:$B$3052,B1601,AKTIVITAS!$E$2:$E$3052,H1601)&gt;0,1,0),0)</f>
        <v>0</v>
      </c>
      <c r="V1601" s="71">
        <f>IFERROR(IF(AND(H1601&gt;=INDEX(PEMAGANG!$J$3:$J$36,MATCH(B1601,PEMAGANG!$C$3:$C$36,0)),H1601&lt;=INDEX(PEMAGANG!$K$3:$K$36,MATCH(B1601,PEMAGANG!$C$3:$C$36,0))),1,0),0)</f>
        <v>1</v>
      </c>
      <c r="W1601" s="71">
        <f t="shared" si="224"/>
        <v>0</v>
      </c>
    </row>
    <row r="1602" spans="1:23" x14ac:dyDescent="0.2">
      <c r="A1602" s="71" t="s">
        <v>205</v>
      </c>
      <c r="B1602" s="71" t="s">
        <v>206</v>
      </c>
      <c r="C1602" s="71" t="s">
        <v>187</v>
      </c>
      <c r="D1602" s="71" t="s">
        <v>207</v>
      </c>
      <c r="E1602" s="71" t="s">
        <v>582</v>
      </c>
      <c r="F1602" s="71" t="s">
        <v>298</v>
      </c>
      <c r="G1602" s="88">
        <v>46252.316041666701</v>
      </c>
      <c r="H1602" s="89">
        <v>46252</v>
      </c>
      <c r="I1602" s="71" t="s">
        <v>339</v>
      </c>
      <c r="J1602" s="71">
        <v>4.9999999999999796</v>
      </c>
      <c r="K1602" s="71" t="s">
        <v>293</v>
      </c>
      <c r="L1602" s="71">
        <f t="shared" ref="L1602:L1665" si="225">MONTH(H1602)</f>
        <v>8</v>
      </c>
      <c r="M1602" s="71" t="str">
        <f>IFERROR(INDEX(KALENDER!$D$3:$D$132,MATCH(H1602,KALENDER!$A$3:$A$132,0)),"Di luar periode")</f>
        <v>Hari Kerja</v>
      </c>
      <c r="N1602" s="71">
        <f t="shared" ref="N1602:N1665" si="226">IF(AND(B1602=B1601,H1602=H1601),0,1)</f>
        <v>1</v>
      </c>
      <c r="O1602" s="71">
        <f t="shared" ref="O1602:O1665" si="227">IF(N1602=1,0,O1601)+IF(F1602="MASUK",1,0)</f>
        <v>1</v>
      </c>
      <c r="P1602" s="71">
        <f t="shared" ref="P1602:P1665" si="228">IF(AND(N1602=1,M1602="Hari Kerja",V1602=1),1,0)</f>
        <v>1</v>
      </c>
      <c r="Q1602" s="71">
        <f t="shared" ref="Q1602:Q1665" si="229">IF(AND(N1602=1,OR(M1602&lt;&gt;"Hari Kerja",V1602=0)),1,0)</f>
        <v>0</v>
      </c>
      <c r="R1602" s="71">
        <f t="shared" ref="R1602:R1665" si="230">IF(AND(F1602="MASUK",O1602=1,N(J1602)&gt;0,V1602=1),1,0)</f>
        <v>1</v>
      </c>
      <c r="S1602" s="71">
        <f t="shared" ref="S1602:S1665" si="231">R1602*N(J1602)</f>
        <v>4.9999999999999796</v>
      </c>
      <c r="T1602" s="71">
        <f t="shared" ref="T1602:T1665" si="232">IF(AND(N1602=1,V1602=1),IF(AND(COUNTIFS($B$2:$B$4094,B1602,$H$2:$H$4094,H1602,$F$2:$F$4094,"MASUK")&gt;0,COUNTIFS($B$2:$B$4094,B1602,$H$2:$H$4094,H1602,$F$2:$F$4094,"PULANG")=0),1,0),0)</f>
        <v>0</v>
      </c>
      <c r="U1602" s="71">
        <f>IF(AND(N1602=1,V1602=1),IF(COUNTIFS(AKTIVITAS!$B$2:$B$3052,B1602,AKTIVITAS!$E$2:$E$3052,H1602)&gt;0,1,0),0)</f>
        <v>1</v>
      </c>
      <c r="V1602" s="71">
        <f>IFERROR(IF(AND(H1602&gt;=INDEX(PEMAGANG!$J$3:$J$36,MATCH(B1602,PEMAGANG!$C$3:$C$36,0)),H1602&lt;=INDEX(PEMAGANG!$K$3:$K$36,MATCH(B1602,PEMAGANG!$C$3:$C$36,0))),1,0),0)</f>
        <v>1</v>
      </c>
      <c r="W1602" s="71">
        <f t="shared" ref="W1602:W1665" si="233">N1602*V1602</f>
        <v>1</v>
      </c>
    </row>
    <row r="1603" spans="1:23" x14ac:dyDescent="0.2">
      <c r="A1603" s="71" t="s">
        <v>205</v>
      </c>
      <c r="B1603" s="71" t="s">
        <v>206</v>
      </c>
      <c r="C1603" s="71" t="s">
        <v>187</v>
      </c>
      <c r="D1603" s="71" t="s">
        <v>207</v>
      </c>
      <c r="E1603" s="71" t="s">
        <v>582</v>
      </c>
      <c r="F1603" s="71" t="s">
        <v>300</v>
      </c>
      <c r="G1603" s="88">
        <v>46252.6895717593</v>
      </c>
      <c r="H1603" s="89">
        <v>46252</v>
      </c>
      <c r="I1603" s="71" t="s">
        <v>306</v>
      </c>
      <c r="J1603" s="71">
        <v>0</v>
      </c>
      <c r="K1603" s="71" t="s">
        <v>302</v>
      </c>
      <c r="L1603" s="71">
        <f t="shared" si="225"/>
        <v>8</v>
      </c>
      <c r="M1603" s="71" t="str">
        <f>IFERROR(INDEX(KALENDER!$D$3:$D$132,MATCH(H1603,KALENDER!$A$3:$A$132,0)),"Di luar periode")</f>
        <v>Hari Kerja</v>
      </c>
      <c r="N1603" s="71">
        <f t="shared" si="226"/>
        <v>0</v>
      </c>
      <c r="O1603" s="71">
        <f t="shared" si="227"/>
        <v>1</v>
      </c>
      <c r="P1603" s="71">
        <f t="shared" si="228"/>
        <v>0</v>
      </c>
      <c r="Q1603" s="71">
        <f t="shared" si="229"/>
        <v>0</v>
      </c>
      <c r="R1603" s="71">
        <f t="shared" si="230"/>
        <v>0</v>
      </c>
      <c r="S1603" s="71">
        <f t="shared" si="231"/>
        <v>0</v>
      </c>
      <c r="T1603" s="71">
        <f t="shared" si="232"/>
        <v>0</v>
      </c>
      <c r="U1603" s="71">
        <f>IF(AND(N1603=1,V1603=1),IF(COUNTIFS(AKTIVITAS!$B$2:$B$3052,B1603,AKTIVITAS!$E$2:$E$3052,H1603)&gt;0,1,0),0)</f>
        <v>0</v>
      </c>
      <c r="V1603" s="71">
        <f>IFERROR(IF(AND(H1603&gt;=INDEX(PEMAGANG!$J$3:$J$36,MATCH(B1603,PEMAGANG!$C$3:$C$36,0)),H1603&lt;=INDEX(PEMAGANG!$K$3:$K$36,MATCH(B1603,PEMAGANG!$C$3:$C$36,0))),1,0),0)</f>
        <v>1</v>
      </c>
      <c r="W1603" s="71">
        <f t="shared" si="233"/>
        <v>0</v>
      </c>
    </row>
    <row r="1604" spans="1:23" x14ac:dyDescent="0.2">
      <c r="A1604" s="71" t="s">
        <v>205</v>
      </c>
      <c r="B1604" s="71" t="s">
        <v>206</v>
      </c>
      <c r="C1604" s="71" t="s">
        <v>187</v>
      </c>
      <c r="D1604" s="71" t="s">
        <v>207</v>
      </c>
      <c r="E1604" s="71" t="s">
        <v>582</v>
      </c>
      <c r="F1604" s="71" t="s">
        <v>298</v>
      </c>
      <c r="G1604" s="88">
        <v>46253.3135763889</v>
      </c>
      <c r="H1604" s="89">
        <v>46253</v>
      </c>
      <c r="I1604" s="71" t="s">
        <v>392</v>
      </c>
      <c r="J1604" s="71">
        <v>0.999999999999996</v>
      </c>
      <c r="K1604" s="71" t="s">
        <v>293</v>
      </c>
      <c r="L1604" s="71">
        <f t="shared" si="225"/>
        <v>8</v>
      </c>
      <c r="M1604" s="71" t="str">
        <f>IFERROR(INDEX(KALENDER!$D$3:$D$132,MATCH(H1604,KALENDER!$A$3:$A$132,0)),"Di luar periode")</f>
        <v>Hari Kerja</v>
      </c>
      <c r="N1604" s="71">
        <f t="shared" si="226"/>
        <v>1</v>
      </c>
      <c r="O1604" s="71">
        <f t="shared" si="227"/>
        <v>1</v>
      </c>
      <c r="P1604" s="71">
        <f t="shared" si="228"/>
        <v>1</v>
      </c>
      <c r="Q1604" s="71">
        <f t="shared" si="229"/>
        <v>0</v>
      </c>
      <c r="R1604" s="71">
        <f t="shared" si="230"/>
        <v>1</v>
      </c>
      <c r="S1604" s="71">
        <f t="shared" si="231"/>
        <v>0.999999999999996</v>
      </c>
      <c r="T1604" s="71">
        <f t="shared" si="232"/>
        <v>0</v>
      </c>
      <c r="U1604" s="71">
        <f>IF(AND(N1604=1,V1604=1),IF(COUNTIFS(AKTIVITAS!$B$2:$B$3052,B1604,AKTIVITAS!$E$2:$E$3052,H1604)&gt;0,1,0),0)</f>
        <v>1</v>
      </c>
      <c r="V1604" s="71">
        <f>IFERROR(IF(AND(H1604&gt;=INDEX(PEMAGANG!$J$3:$J$36,MATCH(B1604,PEMAGANG!$C$3:$C$36,0)),H1604&lt;=INDEX(PEMAGANG!$K$3:$K$36,MATCH(B1604,PEMAGANG!$C$3:$C$36,0))),1,0),0)</f>
        <v>1</v>
      </c>
      <c r="W1604" s="71">
        <f t="shared" si="233"/>
        <v>1</v>
      </c>
    </row>
    <row r="1605" spans="1:23" x14ac:dyDescent="0.2">
      <c r="A1605" s="71" t="s">
        <v>205</v>
      </c>
      <c r="B1605" s="71" t="s">
        <v>206</v>
      </c>
      <c r="C1605" s="71" t="s">
        <v>187</v>
      </c>
      <c r="D1605" s="71" t="s">
        <v>207</v>
      </c>
      <c r="E1605" s="71" t="s">
        <v>582</v>
      </c>
      <c r="F1605" s="71" t="s">
        <v>300</v>
      </c>
      <c r="G1605" s="88">
        <v>46253.699953703697</v>
      </c>
      <c r="H1605" s="89">
        <v>46253</v>
      </c>
      <c r="I1605" s="71" t="s">
        <v>337</v>
      </c>
      <c r="J1605" s="71">
        <v>0</v>
      </c>
      <c r="K1605" s="71" t="s">
        <v>302</v>
      </c>
      <c r="L1605" s="71">
        <f t="shared" si="225"/>
        <v>8</v>
      </c>
      <c r="M1605" s="71" t="str">
        <f>IFERROR(INDEX(KALENDER!$D$3:$D$132,MATCH(H1605,KALENDER!$A$3:$A$132,0)),"Di luar periode")</f>
        <v>Hari Kerja</v>
      </c>
      <c r="N1605" s="71">
        <f t="shared" si="226"/>
        <v>0</v>
      </c>
      <c r="O1605" s="71">
        <f t="shared" si="227"/>
        <v>1</v>
      </c>
      <c r="P1605" s="71">
        <f t="shared" si="228"/>
        <v>0</v>
      </c>
      <c r="Q1605" s="71">
        <f t="shared" si="229"/>
        <v>0</v>
      </c>
      <c r="R1605" s="71">
        <f t="shared" si="230"/>
        <v>0</v>
      </c>
      <c r="S1605" s="71">
        <f t="shared" si="231"/>
        <v>0</v>
      </c>
      <c r="T1605" s="71">
        <f t="shared" si="232"/>
        <v>0</v>
      </c>
      <c r="U1605" s="71">
        <f>IF(AND(N1605=1,V1605=1),IF(COUNTIFS(AKTIVITAS!$B$2:$B$3052,B1605,AKTIVITAS!$E$2:$E$3052,H1605)&gt;0,1,0),0)</f>
        <v>0</v>
      </c>
      <c r="V1605" s="71">
        <f>IFERROR(IF(AND(H1605&gt;=INDEX(PEMAGANG!$J$3:$J$36,MATCH(B1605,PEMAGANG!$C$3:$C$36,0)),H1605&lt;=INDEX(PEMAGANG!$K$3:$K$36,MATCH(B1605,PEMAGANG!$C$3:$C$36,0))),1,0),0)</f>
        <v>1</v>
      </c>
      <c r="W1605" s="71">
        <f t="shared" si="233"/>
        <v>0</v>
      </c>
    </row>
    <row r="1606" spans="1:23" x14ac:dyDescent="0.2">
      <c r="A1606" s="71" t="s">
        <v>205</v>
      </c>
      <c r="B1606" s="71" t="s">
        <v>206</v>
      </c>
      <c r="C1606" s="71" t="s">
        <v>187</v>
      </c>
      <c r="D1606" s="71" t="s">
        <v>207</v>
      </c>
      <c r="E1606" s="71" t="s">
        <v>582</v>
      </c>
      <c r="F1606" s="71" t="s">
        <v>298</v>
      </c>
      <c r="G1606" s="88">
        <v>46254.036597222199</v>
      </c>
      <c r="H1606" s="89">
        <v>46254</v>
      </c>
      <c r="I1606" s="71" t="s">
        <v>583</v>
      </c>
      <c r="J1606" s="71">
        <v>-398</v>
      </c>
      <c r="K1606" s="71" t="s">
        <v>302</v>
      </c>
      <c r="L1606" s="71">
        <f t="shared" si="225"/>
        <v>8</v>
      </c>
      <c r="M1606" s="71" t="str">
        <f>IFERROR(INDEX(KALENDER!$D$3:$D$132,MATCH(H1606,KALENDER!$A$3:$A$132,0)),"Di luar periode")</f>
        <v>Hari Kerja</v>
      </c>
      <c r="N1606" s="71">
        <f t="shared" si="226"/>
        <v>1</v>
      </c>
      <c r="O1606" s="71">
        <f t="shared" si="227"/>
        <v>1</v>
      </c>
      <c r="P1606" s="71">
        <f t="shared" si="228"/>
        <v>1</v>
      </c>
      <c r="Q1606" s="71">
        <f t="shared" si="229"/>
        <v>0</v>
      </c>
      <c r="R1606" s="71">
        <f t="shared" si="230"/>
        <v>0</v>
      </c>
      <c r="S1606" s="71">
        <f t="shared" si="231"/>
        <v>0</v>
      </c>
      <c r="T1606" s="71">
        <f t="shared" si="232"/>
        <v>0</v>
      </c>
      <c r="U1606" s="71">
        <f>IF(AND(N1606=1,V1606=1),IF(COUNTIFS(AKTIVITAS!$B$2:$B$3052,B1606,AKTIVITAS!$E$2:$E$3052,H1606)&gt;0,1,0),0)</f>
        <v>1</v>
      </c>
      <c r="V1606" s="71">
        <f>IFERROR(IF(AND(H1606&gt;=INDEX(PEMAGANG!$J$3:$J$36,MATCH(B1606,PEMAGANG!$C$3:$C$36,0)),H1606&lt;=INDEX(PEMAGANG!$K$3:$K$36,MATCH(B1606,PEMAGANG!$C$3:$C$36,0))),1,0),0)</f>
        <v>1</v>
      </c>
      <c r="W1606" s="71">
        <f t="shared" si="233"/>
        <v>1</v>
      </c>
    </row>
    <row r="1607" spans="1:23" x14ac:dyDescent="0.2">
      <c r="A1607" s="71" t="s">
        <v>205</v>
      </c>
      <c r="B1607" s="71" t="s">
        <v>206</v>
      </c>
      <c r="C1607" s="71" t="s">
        <v>187</v>
      </c>
      <c r="D1607" s="71" t="s">
        <v>207</v>
      </c>
      <c r="E1607" s="71" t="s">
        <v>582</v>
      </c>
      <c r="F1607" s="71" t="s">
        <v>300</v>
      </c>
      <c r="G1607" s="88">
        <v>46254.690462963001</v>
      </c>
      <c r="H1607" s="89">
        <v>46254</v>
      </c>
      <c r="I1607" s="71" t="s">
        <v>314</v>
      </c>
      <c r="J1607" s="71">
        <v>0</v>
      </c>
      <c r="K1607" s="71" t="s">
        <v>302</v>
      </c>
      <c r="L1607" s="71">
        <f t="shared" si="225"/>
        <v>8</v>
      </c>
      <c r="M1607" s="71" t="str">
        <f>IFERROR(INDEX(KALENDER!$D$3:$D$132,MATCH(H1607,KALENDER!$A$3:$A$132,0)),"Di luar periode")</f>
        <v>Hari Kerja</v>
      </c>
      <c r="N1607" s="71">
        <f t="shared" si="226"/>
        <v>0</v>
      </c>
      <c r="O1607" s="71">
        <f t="shared" si="227"/>
        <v>1</v>
      </c>
      <c r="P1607" s="71">
        <f t="shared" si="228"/>
        <v>0</v>
      </c>
      <c r="Q1607" s="71">
        <f t="shared" si="229"/>
        <v>0</v>
      </c>
      <c r="R1607" s="71">
        <f t="shared" si="230"/>
        <v>0</v>
      </c>
      <c r="S1607" s="71">
        <f t="shared" si="231"/>
        <v>0</v>
      </c>
      <c r="T1607" s="71">
        <f t="shared" si="232"/>
        <v>0</v>
      </c>
      <c r="U1607" s="71">
        <f>IF(AND(N1607=1,V1607=1),IF(COUNTIFS(AKTIVITAS!$B$2:$B$3052,B1607,AKTIVITAS!$E$2:$E$3052,H1607)&gt;0,1,0),0)</f>
        <v>0</v>
      </c>
      <c r="V1607" s="71">
        <f>IFERROR(IF(AND(H1607&gt;=INDEX(PEMAGANG!$J$3:$J$36,MATCH(B1607,PEMAGANG!$C$3:$C$36,0)),H1607&lt;=INDEX(PEMAGANG!$K$3:$K$36,MATCH(B1607,PEMAGANG!$C$3:$C$36,0))),1,0),0)</f>
        <v>1</v>
      </c>
      <c r="W1607" s="71">
        <f t="shared" si="233"/>
        <v>0</v>
      </c>
    </row>
    <row r="1608" spans="1:23" x14ac:dyDescent="0.2">
      <c r="A1608" s="71" t="s">
        <v>205</v>
      </c>
      <c r="B1608" s="71" t="s">
        <v>206</v>
      </c>
      <c r="C1608" s="71" t="s">
        <v>187</v>
      </c>
      <c r="D1608" s="71" t="s">
        <v>207</v>
      </c>
      <c r="E1608" s="71" t="s">
        <v>582</v>
      </c>
      <c r="F1608" s="71" t="s">
        <v>298</v>
      </c>
      <c r="G1608" s="88">
        <v>46255.313472222202</v>
      </c>
      <c r="H1608" s="89">
        <v>46255</v>
      </c>
      <c r="I1608" s="71" t="s">
        <v>392</v>
      </c>
      <c r="J1608" s="71">
        <v>-29</v>
      </c>
      <c r="K1608" s="71" t="s">
        <v>302</v>
      </c>
      <c r="L1608" s="71">
        <f t="shared" si="225"/>
        <v>8</v>
      </c>
      <c r="M1608" s="71" t="str">
        <f>IFERROR(INDEX(KALENDER!$D$3:$D$132,MATCH(H1608,KALENDER!$A$3:$A$132,0)),"Di luar periode")</f>
        <v>Hari Kerja</v>
      </c>
      <c r="N1608" s="71">
        <f t="shared" si="226"/>
        <v>1</v>
      </c>
      <c r="O1608" s="71">
        <f t="shared" si="227"/>
        <v>1</v>
      </c>
      <c r="P1608" s="71">
        <f t="shared" si="228"/>
        <v>1</v>
      </c>
      <c r="Q1608" s="71">
        <f t="shared" si="229"/>
        <v>0</v>
      </c>
      <c r="R1608" s="71">
        <f t="shared" si="230"/>
        <v>0</v>
      </c>
      <c r="S1608" s="71">
        <f t="shared" si="231"/>
        <v>0</v>
      </c>
      <c r="T1608" s="71">
        <f t="shared" si="232"/>
        <v>0</v>
      </c>
      <c r="U1608" s="71">
        <f>IF(AND(N1608=1,V1608=1),IF(COUNTIFS(AKTIVITAS!$B$2:$B$3052,B1608,AKTIVITAS!$E$2:$E$3052,H1608)&gt;0,1,0),0)</f>
        <v>1</v>
      </c>
      <c r="V1608" s="71">
        <f>IFERROR(IF(AND(H1608&gt;=INDEX(PEMAGANG!$J$3:$J$36,MATCH(B1608,PEMAGANG!$C$3:$C$36,0)),H1608&lt;=INDEX(PEMAGANG!$K$3:$K$36,MATCH(B1608,PEMAGANG!$C$3:$C$36,0))),1,0),0)</f>
        <v>1</v>
      </c>
      <c r="W1608" s="71">
        <f t="shared" si="233"/>
        <v>1</v>
      </c>
    </row>
    <row r="1609" spans="1:23" x14ac:dyDescent="0.2">
      <c r="A1609" s="71" t="s">
        <v>205</v>
      </c>
      <c r="B1609" s="71" t="s">
        <v>206</v>
      </c>
      <c r="C1609" s="71" t="s">
        <v>187</v>
      </c>
      <c r="D1609" s="71" t="s">
        <v>207</v>
      </c>
      <c r="E1609" s="71" t="s">
        <v>582</v>
      </c>
      <c r="F1609" s="71" t="s">
        <v>300</v>
      </c>
      <c r="G1609" s="88">
        <v>46255.691273148201</v>
      </c>
      <c r="H1609" s="89">
        <v>46255</v>
      </c>
      <c r="I1609" s="71" t="s">
        <v>310</v>
      </c>
      <c r="J1609" s="71">
        <v>0</v>
      </c>
      <c r="K1609" s="71" t="s">
        <v>302</v>
      </c>
      <c r="L1609" s="71">
        <f t="shared" si="225"/>
        <v>8</v>
      </c>
      <c r="M1609" s="71" t="str">
        <f>IFERROR(INDEX(KALENDER!$D$3:$D$132,MATCH(H1609,KALENDER!$A$3:$A$132,0)),"Di luar periode")</f>
        <v>Hari Kerja</v>
      </c>
      <c r="N1609" s="71">
        <f t="shared" si="226"/>
        <v>0</v>
      </c>
      <c r="O1609" s="71">
        <f t="shared" si="227"/>
        <v>1</v>
      </c>
      <c r="P1609" s="71">
        <f t="shared" si="228"/>
        <v>0</v>
      </c>
      <c r="Q1609" s="71">
        <f t="shared" si="229"/>
        <v>0</v>
      </c>
      <c r="R1609" s="71">
        <f t="shared" si="230"/>
        <v>0</v>
      </c>
      <c r="S1609" s="71">
        <f t="shared" si="231"/>
        <v>0</v>
      </c>
      <c r="T1609" s="71">
        <f t="shared" si="232"/>
        <v>0</v>
      </c>
      <c r="U1609" s="71">
        <f>IF(AND(N1609=1,V1609=1),IF(COUNTIFS(AKTIVITAS!$B$2:$B$3052,B1609,AKTIVITAS!$E$2:$E$3052,H1609)&gt;0,1,0),0)</f>
        <v>0</v>
      </c>
      <c r="V1609" s="71">
        <f>IFERROR(IF(AND(H1609&gt;=INDEX(PEMAGANG!$J$3:$J$36,MATCH(B1609,PEMAGANG!$C$3:$C$36,0)),H1609&lt;=INDEX(PEMAGANG!$K$3:$K$36,MATCH(B1609,PEMAGANG!$C$3:$C$36,0))),1,0),0)</f>
        <v>1</v>
      </c>
      <c r="W1609" s="71">
        <f t="shared" si="233"/>
        <v>0</v>
      </c>
    </row>
    <row r="1610" spans="1:23" x14ac:dyDescent="0.2">
      <c r="A1610" s="71" t="s">
        <v>205</v>
      </c>
      <c r="B1610" s="71" t="s">
        <v>206</v>
      </c>
      <c r="C1610" s="71" t="s">
        <v>187</v>
      </c>
      <c r="D1610" s="71" t="s">
        <v>207</v>
      </c>
      <c r="E1610" s="71" t="s">
        <v>582</v>
      </c>
      <c r="F1610" s="71" t="s">
        <v>298</v>
      </c>
      <c r="G1610" s="88">
        <v>46258.293055555601</v>
      </c>
      <c r="H1610" s="89">
        <v>46258</v>
      </c>
      <c r="I1610" s="71" t="s">
        <v>492</v>
      </c>
      <c r="J1610" s="71">
        <v>-58</v>
      </c>
      <c r="K1610" s="71" t="s">
        <v>302</v>
      </c>
      <c r="L1610" s="71">
        <f t="shared" si="225"/>
        <v>8</v>
      </c>
      <c r="M1610" s="71" t="str">
        <f>IFERROR(INDEX(KALENDER!$D$3:$D$132,MATCH(H1610,KALENDER!$A$3:$A$132,0)),"Di luar periode")</f>
        <v>Hari Kerja</v>
      </c>
      <c r="N1610" s="71">
        <f t="shared" si="226"/>
        <v>1</v>
      </c>
      <c r="O1610" s="71">
        <f t="shared" si="227"/>
        <v>1</v>
      </c>
      <c r="P1610" s="71">
        <f t="shared" si="228"/>
        <v>1</v>
      </c>
      <c r="Q1610" s="71">
        <f t="shared" si="229"/>
        <v>0</v>
      </c>
      <c r="R1610" s="71">
        <f t="shared" si="230"/>
        <v>0</v>
      </c>
      <c r="S1610" s="71">
        <f t="shared" si="231"/>
        <v>0</v>
      </c>
      <c r="T1610" s="71">
        <f t="shared" si="232"/>
        <v>0</v>
      </c>
      <c r="U1610" s="71">
        <f>IF(AND(N1610=1,V1610=1),IF(COUNTIFS(AKTIVITAS!$B$2:$B$3052,B1610,AKTIVITAS!$E$2:$E$3052,H1610)&gt;0,1,0),0)</f>
        <v>1</v>
      </c>
      <c r="V1610" s="71">
        <f>IFERROR(IF(AND(H1610&gt;=INDEX(PEMAGANG!$J$3:$J$36,MATCH(B1610,PEMAGANG!$C$3:$C$36,0)),H1610&lt;=INDEX(PEMAGANG!$K$3:$K$36,MATCH(B1610,PEMAGANG!$C$3:$C$36,0))),1,0),0)</f>
        <v>1</v>
      </c>
      <c r="W1610" s="71">
        <f t="shared" si="233"/>
        <v>1</v>
      </c>
    </row>
    <row r="1611" spans="1:23" x14ac:dyDescent="0.2">
      <c r="A1611" s="71" t="s">
        <v>205</v>
      </c>
      <c r="B1611" s="71" t="s">
        <v>206</v>
      </c>
      <c r="C1611" s="71" t="s">
        <v>187</v>
      </c>
      <c r="D1611" s="71" t="s">
        <v>207</v>
      </c>
      <c r="E1611" s="71" t="s">
        <v>582</v>
      </c>
      <c r="F1611" s="71" t="s">
        <v>300</v>
      </c>
      <c r="G1611" s="88">
        <v>46258.695879629602</v>
      </c>
      <c r="H1611" s="89">
        <v>46258</v>
      </c>
      <c r="I1611" s="71" t="s">
        <v>320</v>
      </c>
      <c r="J1611" s="71">
        <v>0</v>
      </c>
      <c r="K1611" s="71" t="s">
        <v>302</v>
      </c>
      <c r="L1611" s="71">
        <f t="shared" si="225"/>
        <v>8</v>
      </c>
      <c r="M1611" s="71" t="str">
        <f>IFERROR(INDEX(KALENDER!$D$3:$D$132,MATCH(H1611,KALENDER!$A$3:$A$132,0)),"Di luar periode")</f>
        <v>Hari Kerja</v>
      </c>
      <c r="N1611" s="71">
        <f t="shared" si="226"/>
        <v>0</v>
      </c>
      <c r="O1611" s="71">
        <f t="shared" si="227"/>
        <v>1</v>
      </c>
      <c r="P1611" s="71">
        <f t="shared" si="228"/>
        <v>0</v>
      </c>
      <c r="Q1611" s="71">
        <f t="shared" si="229"/>
        <v>0</v>
      </c>
      <c r="R1611" s="71">
        <f t="shared" si="230"/>
        <v>0</v>
      </c>
      <c r="S1611" s="71">
        <f t="shared" si="231"/>
        <v>0</v>
      </c>
      <c r="T1611" s="71">
        <f t="shared" si="232"/>
        <v>0</v>
      </c>
      <c r="U1611" s="71">
        <f>IF(AND(N1611=1,V1611=1),IF(COUNTIFS(AKTIVITAS!$B$2:$B$3052,B1611,AKTIVITAS!$E$2:$E$3052,H1611)&gt;0,1,0),0)</f>
        <v>0</v>
      </c>
      <c r="V1611" s="71">
        <f>IFERROR(IF(AND(H1611&gt;=INDEX(PEMAGANG!$J$3:$J$36,MATCH(B1611,PEMAGANG!$C$3:$C$36,0)),H1611&lt;=INDEX(PEMAGANG!$K$3:$K$36,MATCH(B1611,PEMAGANG!$C$3:$C$36,0))),1,0),0)</f>
        <v>1</v>
      </c>
      <c r="W1611" s="71">
        <f t="shared" si="233"/>
        <v>0</v>
      </c>
    </row>
    <row r="1612" spans="1:23" x14ac:dyDescent="0.2">
      <c r="A1612" s="71" t="s">
        <v>205</v>
      </c>
      <c r="B1612" s="71" t="s">
        <v>206</v>
      </c>
      <c r="C1612" s="71" t="s">
        <v>187</v>
      </c>
      <c r="D1612" s="71" t="s">
        <v>207</v>
      </c>
      <c r="E1612" s="71" t="s">
        <v>582</v>
      </c>
      <c r="F1612" s="71" t="s">
        <v>298</v>
      </c>
      <c r="G1612" s="88">
        <v>46260.310659722199</v>
      </c>
      <c r="H1612" s="89">
        <v>46260</v>
      </c>
      <c r="I1612" s="71" t="s">
        <v>309</v>
      </c>
      <c r="J1612" s="71">
        <v>-33</v>
      </c>
      <c r="K1612" s="71" t="s">
        <v>302</v>
      </c>
      <c r="L1612" s="71">
        <f t="shared" si="225"/>
        <v>8</v>
      </c>
      <c r="M1612" s="71" t="str">
        <f>IFERROR(INDEX(KALENDER!$D$3:$D$132,MATCH(H1612,KALENDER!$A$3:$A$132,0)),"Di luar periode")</f>
        <v>Hari Kerja</v>
      </c>
      <c r="N1612" s="71">
        <f t="shared" si="226"/>
        <v>1</v>
      </c>
      <c r="O1612" s="71">
        <f t="shared" si="227"/>
        <v>1</v>
      </c>
      <c r="P1612" s="71">
        <f t="shared" si="228"/>
        <v>1</v>
      </c>
      <c r="Q1612" s="71">
        <f t="shared" si="229"/>
        <v>0</v>
      </c>
      <c r="R1612" s="71">
        <f t="shared" si="230"/>
        <v>0</v>
      </c>
      <c r="S1612" s="71">
        <f t="shared" si="231"/>
        <v>0</v>
      </c>
      <c r="T1612" s="71">
        <f t="shared" si="232"/>
        <v>0</v>
      </c>
      <c r="U1612" s="71">
        <f>IF(AND(N1612=1,V1612=1),IF(COUNTIFS(AKTIVITAS!$B$2:$B$3052,B1612,AKTIVITAS!$E$2:$E$3052,H1612)&gt;0,1,0),0)</f>
        <v>1</v>
      </c>
      <c r="V1612" s="71">
        <f>IFERROR(IF(AND(H1612&gt;=INDEX(PEMAGANG!$J$3:$J$36,MATCH(B1612,PEMAGANG!$C$3:$C$36,0)),H1612&lt;=INDEX(PEMAGANG!$K$3:$K$36,MATCH(B1612,PEMAGANG!$C$3:$C$36,0))),1,0),0)</f>
        <v>1</v>
      </c>
      <c r="W1612" s="71">
        <f t="shared" si="233"/>
        <v>1</v>
      </c>
    </row>
    <row r="1613" spans="1:23" x14ac:dyDescent="0.2">
      <c r="A1613" s="71" t="s">
        <v>205</v>
      </c>
      <c r="B1613" s="71" t="s">
        <v>206</v>
      </c>
      <c r="C1613" s="71" t="s">
        <v>187</v>
      </c>
      <c r="D1613" s="71" t="s">
        <v>207</v>
      </c>
      <c r="E1613" s="71" t="s">
        <v>584</v>
      </c>
      <c r="F1613" s="71" t="s">
        <v>298</v>
      </c>
      <c r="G1613" s="88">
        <v>46260.310659722199</v>
      </c>
      <c r="H1613" s="89">
        <v>46260</v>
      </c>
      <c r="I1613" s="71" t="s">
        <v>309</v>
      </c>
      <c r="J1613" s="71">
        <v>-33</v>
      </c>
      <c r="K1613" s="71" t="s">
        <v>302</v>
      </c>
      <c r="L1613" s="71">
        <f t="shared" si="225"/>
        <v>8</v>
      </c>
      <c r="M1613" s="71" t="str">
        <f>IFERROR(INDEX(KALENDER!$D$3:$D$132,MATCH(H1613,KALENDER!$A$3:$A$132,0)),"Di luar periode")</f>
        <v>Hari Kerja</v>
      </c>
      <c r="N1613" s="71">
        <f t="shared" si="226"/>
        <v>0</v>
      </c>
      <c r="O1613" s="71">
        <f t="shared" si="227"/>
        <v>2</v>
      </c>
      <c r="P1613" s="71">
        <f t="shared" si="228"/>
        <v>0</v>
      </c>
      <c r="Q1613" s="71">
        <f t="shared" si="229"/>
        <v>0</v>
      </c>
      <c r="R1613" s="71">
        <f t="shared" si="230"/>
        <v>0</v>
      </c>
      <c r="S1613" s="71">
        <f t="shared" si="231"/>
        <v>0</v>
      </c>
      <c r="T1613" s="71">
        <f t="shared" si="232"/>
        <v>0</v>
      </c>
      <c r="U1613" s="71">
        <f>IF(AND(N1613=1,V1613=1),IF(COUNTIFS(AKTIVITAS!$B$2:$B$3052,B1613,AKTIVITAS!$E$2:$E$3052,H1613)&gt;0,1,0),0)</f>
        <v>0</v>
      </c>
      <c r="V1613" s="71">
        <f>IFERROR(IF(AND(H1613&gt;=INDEX(PEMAGANG!$J$3:$J$36,MATCH(B1613,PEMAGANG!$C$3:$C$36,0)),H1613&lt;=INDEX(PEMAGANG!$K$3:$K$36,MATCH(B1613,PEMAGANG!$C$3:$C$36,0))),1,0),0)</f>
        <v>1</v>
      </c>
      <c r="W1613" s="71">
        <f t="shared" si="233"/>
        <v>0</v>
      </c>
    </row>
    <row r="1614" spans="1:23" x14ac:dyDescent="0.2">
      <c r="A1614" s="71" t="s">
        <v>205</v>
      </c>
      <c r="B1614" s="71" t="s">
        <v>206</v>
      </c>
      <c r="C1614" s="71" t="s">
        <v>187</v>
      </c>
      <c r="D1614" s="71" t="s">
        <v>207</v>
      </c>
      <c r="E1614" s="71" t="s">
        <v>584</v>
      </c>
      <c r="F1614" s="71" t="s">
        <v>300</v>
      </c>
      <c r="G1614" s="88">
        <v>46260.7241319444</v>
      </c>
      <c r="H1614" s="89">
        <v>46260</v>
      </c>
      <c r="I1614" s="71" t="s">
        <v>385</v>
      </c>
      <c r="J1614" s="71">
        <v>0</v>
      </c>
      <c r="K1614" s="71" t="s">
        <v>302</v>
      </c>
      <c r="L1614" s="71">
        <f t="shared" si="225"/>
        <v>8</v>
      </c>
      <c r="M1614" s="71" t="str">
        <f>IFERROR(INDEX(KALENDER!$D$3:$D$132,MATCH(H1614,KALENDER!$A$3:$A$132,0)),"Di luar periode")</f>
        <v>Hari Kerja</v>
      </c>
      <c r="N1614" s="71">
        <f t="shared" si="226"/>
        <v>0</v>
      </c>
      <c r="O1614" s="71">
        <f t="shared" si="227"/>
        <v>2</v>
      </c>
      <c r="P1614" s="71">
        <f t="shared" si="228"/>
        <v>0</v>
      </c>
      <c r="Q1614" s="71">
        <f t="shared" si="229"/>
        <v>0</v>
      </c>
      <c r="R1614" s="71">
        <f t="shared" si="230"/>
        <v>0</v>
      </c>
      <c r="S1614" s="71">
        <f t="shared" si="231"/>
        <v>0</v>
      </c>
      <c r="T1614" s="71">
        <f t="shared" si="232"/>
        <v>0</v>
      </c>
      <c r="U1614" s="71">
        <f>IF(AND(N1614=1,V1614=1),IF(COUNTIFS(AKTIVITAS!$B$2:$B$3052,B1614,AKTIVITAS!$E$2:$E$3052,H1614)&gt;0,1,0),0)</f>
        <v>0</v>
      </c>
      <c r="V1614" s="71">
        <f>IFERROR(IF(AND(H1614&gt;=INDEX(PEMAGANG!$J$3:$J$36,MATCH(B1614,PEMAGANG!$C$3:$C$36,0)),H1614&lt;=INDEX(PEMAGANG!$K$3:$K$36,MATCH(B1614,PEMAGANG!$C$3:$C$36,0))),1,0),0)</f>
        <v>1</v>
      </c>
      <c r="W1614" s="71">
        <f t="shared" si="233"/>
        <v>0</v>
      </c>
    </row>
    <row r="1615" spans="1:23" x14ac:dyDescent="0.2">
      <c r="A1615" s="71" t="s">
        <v>205</v>
      </c>
      <c r="B1615" s="71" t="s">
        <v>206</v>
      </c>
      <c r="C1615" s="71" t="s">
        <v>187</v>
      </c>
      <c r="D1615" s="71" t="s">
        <v>207</v>
      </c>
      <c r="E1615" s="71" t="s">
        <v>584</v>
      </c>
      <c r="F1615" s="71" t="s">
        <v>298</v>
      </c>
      <c r="G1615" s="88">
        <v>46261.313425925902</v>
      </c>
      <c r="H1615" s="89">
        <v>46261</v>
      </c>
      <c r="I1615" s="71" t="s">
        <v>392</v>
      </c>
      <c r="J1615" s="71">
        <v>-29</v>
      </c>
      <c r="K1615" s="71" t="s">
        <v>302</v>
      </c>
      <c r="L1615" s="71">
        <f t="shared" si="225"/>
        <v>8</v>
      </c>
      <c r="M1615" s="71" t="str">
        <f>IFERROR(INDEX(KALENDER!$D$3:$D$132,MATCH(H1615,KALENDER!$A$3:$A$132,0)),"Di luar periode")</f>
        <v>Hari Kerja</v>
      </c>
      <c r="N1615" s="71">
        <f t="shared" si="226"/>
        <v>1</v>
      </c>
      <c r="O1615" s="71">
        <f t="shared" si="227"/>
        <v>1</v>
      </c>
      <c r="P1615" s="71">
        <f t="shared" si="228"/>
        <v>1</v>
      </c>
      <c r="Q1615" s="71">
        <f t="shared" si="229"/>
        <v>0</v>
      </c>
      <c r="R1615" s="71">
        <f t="shared" si="230"/>
        <v>0</v>
      </c>
      <c r="S1615" s="71">
        <f t="shared" si="231"/>
        <v>0</v>
      </c>
      <c r="T1615" s="71">
        <f t="shared" si="232"/>
        <v>0</v>
      </c>
      <c r="U1615" s="71">
        <f>IF(AND(N1615=1,V1615=1),IF(COUNTIFS(AKTIVITAS!$B$2:$B$3052,B1615,AKTIVITAS!$E$2:$E$3052,H1615)&gt;0,1,0),0)</f>
        <v>1</v>
      </c>
      <c r="V1615" s="71">
        <f>IFERROR(IF(AND(H1615&gt;=INDEX(PEMAGANG!$J$3:$J$36,MATCH(B1615,PEMAGANG!$C$3:$C$36,0)),H1615&lt;=INDEX(PEMAGANG!$K$3:$K$36,MATCH(B1615,PEMAGANG!$C$3:$C$36,0))),1,0),0)</f>
        <v>1</v>
      </c>
      <c r="W1615" s="71">
        <f t="shared" si="233"/>
        <v>1</v>
      </c>
    </row>
    <row r="1616" spans="1:23" x14ac:dyDescent="0.2">
      <c r="A1616" s="71" t="s">
        <v>205</v>
      </c>
      <c r="B1616" s="71" t="s">
        <v>206</v>
      </c>
      <c r="C1616" s="71" t="s">
        <v>187</v>
      </c>
      <c r="D1616" s="71" t="s">
        <v>207</v>
      </c>
      <c r="E1616" s="71" t="s">
        <v>584</v>
      </c>
      <c r="F1616" s="71" t="s">
        <v>300</v>
      </c>
      <c r="G1616" s="88">
        <v>46261.7182523148</v>
      </c>
      <c r="H1616" s="89">
        <v>46261</v>
      </c>
      <c r="I1616" s="71" t="s">
        <v>384</v>
      </c>
      <c r="J1616" s="71">
        <v>0</v>
      </c>
      <c r="K1616" s="71" t="s">
        <v>302</v>
      </c>
      <c r="L1616" s="71">
        <f t="shared" si="225"/>
        <v>8</v>
      </c>
      <c r="M1616" s="71" t="str">
        <f>IFERROR(INDEX(KALENDER!$D$3:$D$132,MATCH(H1616,KALENDER!$A$3:$A$132,0)),"Di luar periode")</f>
        <v>Hari Kerja</v>
      </c>
      <c r="N1616" s="71">
        <f t="shared" si="226"/>
        <v>0</v>
      </c>
      <c r="O1616" s="71">
        <f t="shared" si="227"/>
        <v>1</v>
      </c>
      <c r="P1616" s="71">
        <f t="shared" si="228"/>
        <v>0</v>
      </c>
      <c r="Q1616" s="71">
        <f t="shared" si="229"/>
        <v>0</v>
      </c>
      <c r="R1616" s="71">
        <f t="shared" si="230"/>
        <v>0</v>
      </c>
      <c r="S1616" s="71">
        <f t="shared" si="231"/>
        <v>0</v>
      </c>
      <c r="T1616" s="71">
        <f t="shared" si="232"/>
        <v>0</v>
      </c>
      <c r="U1616" s="71">
        <f>IF(AND(N1616=1,V1616=1),IF(COUNTIFS(AKTIVITAS!$B$2:$B$3052,B1616,AKTIVITAS!$E$2:$E$3052,H1616)&gt;0,1,0),0)</f>
        <v>0</v>
      </c>
      <c r="V1616" s="71">
        <f>IFERROR(IF(AND(H1616&gt;=INDEX(PEMAGANG!$J$3:$J$36,MATCH(B1616,PEMAGANG!$C$3:$C$36,0)),H1616&lt;=INDEX(PEMAGANG!$K$3:$K$36,MATCH(B1616,PEMAGANG!$C$3:$C$36,0))),1,0),0)</f>
        <v>1</v>
      </c>
      <c r="W1616" s="71">
        <f t="shared" si="233"/>
        <v>0</v>
      </c>
    </row>
    <row r="1617" spans="1:23" x14ac:dyDescent="0.2">
      <c r="A1617" s="71" t="s">
        <v>205</v>
      </c>
      <c r="B1617" s="71" t="s">
        <v>206</v>
      </c>
      <c r="C1617" s="71" t="s">
        <v>187</v>
      </c>
      <c r="D1617" s="71" t="s">
        <v>207</v>
      </c>
      <c r="E1617" s="71" t="s">
        <v>584</v>
      </c>
      <c r="F1617" s="71" t="s">
        <v>298</v>
      </c>
      <c r="G1617" s="88">
        <v>46262.312627314801</v>
      </c>
      <c r="H1617" s="89">
        <v>46262</v>
      </c>
      <c r="I1617" s="71" t="s">
        <v>335</v>
      </c>
      <c r="J1617" s="71">
        <v>-30</v>
      </c>
      <c r="K1617" s="71" t="s">
        <v>302</v>
      </c>
      <c r="L1617" s="71">
        <f t="shared" si="225"/>
        <v>8</v>
      </c>
      <c r="M1617" s="71" t="str">
        <f>IFERROR(INDEX(KALENDER!$D$3:$D$132,MATCH(H1617,KALENDER!$A$3:$A$132,0)),"Di luar periode")</f>
        <v>Hari Kerja</v>
      </c>
      <c r="N1617" s="71">
        <f t="shared" si="226"/>
        <v>1</v>
      </c>
      <c r="O1617" s="71">
        <f t="shared" si="227"/>
        <v>1</v>
      </c>
      <c r="P1617" s="71">
        <f t="shared" si="228"/>
        <v>1</v>
      </c>
      <c r="Q1617" s="71">
        <f t="shared" si="229"/>
        <v>0</v>
      </c>
      <c r="R1617" s="71">
        <f t="shared" si="230"/>
        <v>0</v>
      </c>
      <c r="S1617" s="71">
        <f t="shared" si="231"/>
        <v>0</v>
      </c>
      <c r="T1617" s="71">
        <f t="shared" si="232"/>
        <v>0</v>
      </c>
      <c r="U1617" s="71">
        <f>IF(AND(N1617=1,V1617=1),IF(COUNTIFS(AKTIVITAS!$B$2:$B$3052,B1617,AKTIVITAS!$E$2:$E$3052,H1617)&gt;0,1,0),0)</f>
        <v>1</v>
      </c>
      <c r="V1617" s="71">
        <f>IFERROR(IF(AND(H1617&gt;=INDEX(PEMAGANG!$J$3:$J$36,MATCH(B1617,PEMAGANG!$C$3:$C$36,0)),H1617&lt;=INDEX(PEMAGANG!$K$3:$K$36,MATCH(B1617,PEMAGANG!$C$3:$C$36,0))),1,0),0)</f>
        <v>1</v>
      </c>
      <c r="W1617" s="71">
        <f t="shared" si="233"/>
        <v>1</v>
      </c>
    </row>
    <row r="1618" spans="1:23" x14ac:dyDescent="0.2">
      <c r="A1618" s="71" t="s">
        <v>205</v>
      </c>
      <c r="B1618" s="71" t="s">
        <v>206</v>
      </c>
      <c r="C1618" s="71" t="s">
        <v>187</v>
      </c>
      <c r="D1618" s="71" t="s">
        <v>207</v>
      </c>
      <c r="E1618" s="71" t="s">
        <v>584</v>
      </c>
      <c r="F1618" s="71" t="s">
        <v>300</v>
      </c>
      <c r="G1618" s="88">
        <v>46262.694791666698</v>
      </c>
      <c r="H1618" s="89">
        <v>46262</v>
      </c>
      <c r="I1618" s="71" t="s">
        <v>343</v>
      </c>
      <c r="J1618" s="71">
        <v>0</v>
      </c>
      <c r="K1618" s="71" t="s">
        <v>302</v>
      </c>
      <c r="L1618" s="71">
        <f t="shared" si="225"/>
        <v>8</v>
      </c>
      <c r="M1618" s="71" t="str">
        <f>IFERROR(INDEX(KALENDER!$D$3:$D$132,MATCH(H1618,KALENDER!$A$3:$A$132,0)),"Di luar periode")</f>
        <v>Hari Kerja</v>
      </c>
      <c r="N1618" s="71">
        <f t="shared" si="226"/>
        <v>0</v>
      </c>
      <c r="O1618" s="71">
        <f t="shared" si="227"/>
        <v>1</v>
      </c>
      <c r="P1618" s="71">
        <f t="shared" si="228"/>
        <v>0</v>
      </c>
      <c r="Q1618" s="71">
        <f t="shared" si="229"/>
        <v>0</v>
      </c>
      <c r="R1618" s="71">
        <f t="shared" si="230"/>
        <v>0</v>
      </c>
      <c r="S1618" s="71">
        <f t="shared" si="231"/>
        <v>0</v>
      </c>
      <c r="T1618" s="71">
        <f t="shared" si="232"/>
        <v>0</v>
      </c>
      <c r="U1618" s="71">
        <f>IF(AND(N1618=1,V1618=1),IF(COUNTIFS(AKTIVITAS!$B$2:$B$3052,B1618,AKTIVITAS!$E$2:$E$3052,H1618)&gt;0,1,0),0)</f>
        <v>0</v>
      </c>
      <c r="V1618" s="71">
        <f>IFERROR(IF(AND(H1618&gt;=INDEX(PEMAGANG!$J$3:$J$36,MATCH(B1618,PEMAGANG!$C$3:$C$36,0)),H1618&lt;=INDEX(PEMAGANG!$K$3:$K$36,MATCH(B1618,PEMAGANG!$C$3:$C$36,0))),1,0),0)</f>
        <v>1</v>
      </c>
      <c r="W1618" s="71">
        <f t="shared" si="233"/>
        <v>0</v>
      </c>
    </row>
    <row r="1619" spans="1:23" x14ac:dyDescent="0.2">
      <c r="A1619" s="71" t="s">
        <v>205</v>
      </c>
      <c r="B1619" s="71" t="s">
        <v>206</v>
      </c>
      <c r="C1619" s="71" t="s">
        <v>187</v>
      </c>
      <c r="D1619" s="71" t="s">
        <v>207</v>
      </c>
      <c r="E1619" s="71" t="s">
        <v>584</v>
      </c>
      <c r="F1619" s="71" t="s">
        <v>298</v>
      </c>
      <c r="G1619" s="88">
        <v>46265.300462963001</v>
      </c>
      <c r="H1619" s="89">
        <v>46265</v>
      </c>
      <c r="I1619" s="71" t="s">
        <v>478</v>
      </c>
      <c r="J1619" s="71">
        <v>-48</v>
      </c>
      <c r="K1619" s="71" t="s">
        <v>302</v>
      </c>
      <c r="L1619" s="71">
        <f t="shared" si="225"/>
        <v>8</v>
      </c>
      <c r="M1619" s="71" t="str">
        <f>IFERROR(INDEX(KALENDER!$D$3:$D$132,MATCH(H1619,KALENDER!$A$3:$A$132,0)),"Di luar periode")</f>
        <v>Hari Kerja</v>
      </c>
      <c r="N1619" s="71">
        <f t="shared" si="226"/>
        <v>1</v>
      </c>
      <c r="O1619" s="71">
        <f t="shared" si="227"/>
        <v>1</v>
      </c>
      <c r="P1619" s="71">
        <f t="shared" si="228"/>
        <v>1</v>
      </c>
      <c r="Q1619" s="71">
        <f t="shared" si="229"/>
        <v>0</v>
      </c>
      <c r="R1619" s="71">
        <f t="shared" si="230"/>
        <v>0</v>
      </c>
      <c r="S1619" s="71">
        <f t="shared" si="231"/>
        <v>0</v>
      </c>
      <c r="T1619" s="71">
        <f t="shared" si="232"/>
        <v>0</v>
      </c>
      <c r="U1619" s="71">
        <f>IF(AND(N1619=1,V1619=1),IF(COUNTIFS(AKTIVITAS!$B$2:$B$3052,B1619,AKTIVITAS!$E$2:$E$3052,H1619)&gt;0,1,0),0)</f>
        <v>1</v>
      </c>
      <c r="V1619" s="71">
        <f>IFERROR(IF(AND(H1619&gt;=INDEX(PEMAGANG!$J$3:$J$36,MATCH(B1619,PEMAGANG!$C$3:$C$36,0)),H1619&lt;=INDEX(PEMAGANG!$K$3:$K$36,MATCH(B1619,PEMAGANG!$C$3:$C$36,0))),1,0),0)</f>
        <v>1</v>
      </c>
      <c r="W1619" s="71">
        <f t="shared" si="233"/>
        <v>1</v>
      </c>
    </row>
    <row r="1620" spans="1:23" x14ac:dyDescent="0.2">
      <c r="A1620" s="71" t="s">
        <v>205</v>
      </c>
      <c r="B1620" s="71" t="s">
        <v>206</v>
      </c>
      <c r="C1620" s="71" t="s">
        <v>187</v>
      </c>
      <c r="D1620" s="71" t="s">
        <v>207</v>
      </c>
      <c r="E1620" s="71" t="s">
        <v>584</v>
      </c>
      <c r="F1620" s="71" t="s">
        <v>300</v>
      </c>
      <c r="G1620" s="88">
        <v>46265.690092592602</v>
      </c>
      <c r="H1620" s="89">
        <v>46265</v>
      </c>
      <c r="I1620" s="71" t="s">
        <v>316</v>
      </c>
      <c r="J1620" s="71">
        <v>0</v>
      </c>
      <c r="K1620" s="71" t="s">
        <v>302</v>
      </c>
      <c r="L1620" s="71">
        <f t="shared" si="225"/>
        <v>8</v>
      </c>
      <c r="M1620" s="71" t="str">
        <f>IFERROR(INDEX(KALENDER!$D$3:$D$132,MATCH(H1620,KALENDER!$A$3:$A$132,0)),"Di luar periode")</f>
        <v>Hari Kerja</v>
      </c>
      <c r="N1620" s="71">
        <f t="shared" si="226"/>
        <v>0</v>
      </c>
      <c r="O1620" s="71">
        <f t="shared" si="227"/>
        <v>1</v>
      </c>
      <c r="P1620" s="71">
        <f t="shared" si="228"/>
        <v>0</v>
      </c>
      <c r="Q1620" s="71">
        <f t="shared" si="229"/>
        <v>0</v>
      </c>
      <c r="R1620" s="71">
        <f t="shared" si="230"/>
        <v>0</v>
      </c>
      <c r="S1620" s="71">
        <f t="shared" si="231"/>
        <v>0</v>
      </c>
      <c r="T1620" s="71">
        <f t="shared" si="232"/>
        <v>0</v>
      </c>
      <c r="U1620" s="71">
        <f>IF(AND(N1620=1,V1620=1),IF(COUNTIFS(AKTIVITAS!$B$2:$B$3052,B1620,AKTIVITAS!$E$2:$E$3052,H1620)&gt;0,1,0),0)</f>
        <v>0</v>
      </c>
      <c r="V1620" s="71">
        <f>IFERROR(IF(AND(H1620&gt;=INDEX(PEMAGANG!$J$3:$J$36,MATCH(B1620,PEMAGANG!$C$3:$C$36,0)),H1620&lt;=INDEX(PEMAGANG!$K$3:$K$36,MATCH(B1620,PEMAGANG!$C$3:$C$36,0))),1,0),0)</f>
        <v>1</v>
      </c>
      <c r="W1620" s="71">
        <f t="shared" si="233"/>
        <v>0</v>
      </c>
    </row>
    <row r="1621" spans="1:23" x14ac:dyDescent="0.2">
      <c r="A1621" s="71" t="s">
        <v>205</v>
      </c>
      <c r="B1621" s="71" t="s">
        <v>206</v>
      </c>
      <c r="C1621" s="71" t="s">
        <v>187</v>
      </c>
      <c r="D1621" s="71" t="s">
        <v>207</v>
      </c>
      <c r="E1621" s="71" t="s">
        <v>584</v>
      </c>
      <c r="F1621" s="71" t="s">
        <v>298</v>
      </c>
      <c r="G1621" s="88">
        <v>46266.314039351899</v>
      </c>
      <c r="H1621" s="89">
        <v>46266</v>
      </c>
      <c r="I1621" s="71" t="s">
        <v>338</v>
      </c>
      <c r="J1621" s="71">
        <v>-28</v>
      </c>
      <c r="K1621" s="71" t="s">
        <v>302</v>
      </c>
      <c r="L1621" s="71">
        <f t="shared" si="225"/>
        <v>9</v>
      </c>
      <c r="M1621" s="71" t="str">
        <f>IFERROR(INDEX(KALENDER!$D$3:$D$132,MATCH(H1621,KALENDER!$A$3:$A$132,0)),"Di luar periode")</f>
        <v>Hari Kerja</v>
      </c>
      <c r="N1621" s="71">
        <f t="shared" si="226"/>
        <v>1</v>
      </c>
      <c r="O1621" s="71">
        <f t="shared" si="227"/>
        <v>1</v>
      </c>
      <c r="P1621" s="71">
        <f t="shared" si="228"/>
        <v>1</v>
      </c>
      <c r="Q1621" s="71">
        <f t="shared" si="229"/>
        <v>0</v>
      </c>
      <c r="R1621" s="71">
        <f t="shared" si="230"/>
        <v>0</v>
      </c>
      <c r="S1621" s="71">
        <f t="shared" si="231"/>
        <v>0</v>
      </c>
      <c r="T1621" s="71">
        <f t="shared" si="232"/>
        <v>0</v>
      </c>
      <c r="U1621" s="71">
        <f>IF(AND(N1621=1,V1621=1),IF(COUNTIFS(AKTIVITAS!$B$2:$B$3052,B1621,AKTIVITAS!$E$2:$E$3052,H1621)&gt;0,1,0),0)</f>
        <v>1</v>
      </c>
      <c r="V1621" s="71">
        <f>IFERROR(IF(AND(H1621&gt;=INDEX(PEMAGANG!$J$3:$J$36,MATCH(B1621,PEMAGANG!$C$3:$C$36,0)),H1621&lt;=INDEX(PEMAGANG!$K$3:$K$36,MATCH(B1621,PEMAGANG!$C$3:$C$36,0))),1,0),0)</f>
        <v>1</v>
      </c>
      <c r="W1621" s="71">
        <f t="shared" si="233"/>
        <v>1</v>
      </c>
    </row>
    <row r="1622" spans="1:23" x14ac:dyDescent="0.2">
      <c r="A1622" s="71" t="s">
        <v>205</v>
      </c>
      <c r="B1622" s="71" t="s">
        <v>206</v>
      </c>
      <c r="C1622" s="71" t="s">
        <v>187</v>
      </c>
      <c r="D1622" s="71" t="s">
        <v>207</v>
      </c>
      <c r="E1622" s="71" t="s">
        <v>584</v>
      </c>
      <c r="F1622" s="71" t="s">
        <v>300</v>
      </c>
      <c r="G1622" s="88">
        <v>46266.692696759303</v>
      </c>
      <c r="H1622" s="89">
        <v>46266</v>
      </c>
      <c r="I1622" s="71" t="s">
        <v>328</v>
      </c>
      <c r="J1622" s="71">
        <v>0</v>
      </c>
      <c r="K1622" s="71" t="s">
        <v>302</v>
      </c>
      <c r="L1622" s="71">
        <f t="shared" si="225"/>
        <v>9</v>
      </c>
      <c r="M1622" s="71" t="str">
        <f>IFERROR(INDEX(KALENDER!$D$3:$D$132,MATCH(H1622,KALENDER!$A$3:$A$132,0)),"Di luar periode")</f>
        <v>Hari Kerja</v>
      </c>
      <c r="N1622" s="71">
        <f t="shared" si="226"/>
        <v>0</v>
      </c>
      <c r="O1622" s="71">
        <f t="shared" si="227"/>
        <v>1</v>
      </c>
      <c r="P1622" s="71">
        <f t="shared" si="228"/>
        <v>0</v>
      </c>
      <c r="Q1622" s="71">
        <f t="shared" si="229"/>
        <v>0</v>
      </c>
      <c r="R1622" s="71">
        <f t="shared" si="230"/>
        <v>0</v>
      </c>
      <c r="S1622" s="71">
        <f t="shared" si="231"/>
        <v>0</v>
      </c>
      <c r="T1622" s="71">
        <f t="shared" si="232"/>
        <v>0</v>
      </c>
      <c r="U1622" s="71">
        <f>IF(AND(N1622=1,V1622=1),IF(COUNTIFS(AKTIVITAS!$B$2:$B$3052,B1622,AKTIVITAS!$E$2:$E$3052,H1622)&gt;0,1,0),0)</f>
        <v>0</v>
      </c>
      <c r="V1622" s="71">
        <f>IFERROR(IF(AND(H1622&gt;=INDEX(PEMAGANG!$J$3:$J$36,MATCH(B1622,PEMAGANG!$C$3:$C$36,0)),H1622&lt;=INDEX(PEMAGANG!$K$3:$K$36,MATCH(B1622,PEMAGANG!$C$3:$C$36,0))),1,0),0)</f>
        <v>1</v>
      </c>
      <c r="W1622" s="71">
        <f t="shared" si="233"/>
        <v>0</v>
      </c>
    </row>
    <row r="1623" spans="1:23" x14ac:dyDescent="0.2">
      <c r="A1623" s="71" t="s">
        <v>205</v>
      </c>
      <c r="B1623" s="71" t="s">
        <v>206</v>
      </c>
      <c r="C1623" s="71" t="s">
        <v>187</v>
      </c>
      <c r="D1623" s="71" t="s">
        <v>207</v>
      </c>
      <c r="E1623" s="71" t="s">
        <v>584</v>
      </c>
      <c r="F1623" s="71" t="s">
        <v>298</v>
      </c>
      <c r="G1623" s="88">
        <v>46267.314907407403</v>
      </c>
      <c r="H1623" s="89">
        <v>46267</v>
      </c>
      <c r="I1623" s="71" t="s">
        <v>383</v>
      </c>
      <c r="J1623" s="71">
        <v>-27</v>
      </c>
      <c r="K1623" s="71" t="s">
        <v>302</v>
      </c>
      <c r="L1623" s="71">
        <f t="shared" si="225"/>
        <v>9</v>
      </c>
      <c r="M1623" s="71" t="str">
        <f>IFERROR(INDEX(KALENDER!$D$3:$D$132,MATCH(H1623,KALENDER!$A$3:$A$132,0)),"Di luar periode")</f>
        <v>Hari Kerja</v>
      </c>
      <c r="N1623" s="71">
        <f t="shared" si="226"/>
        <v>1</v>
      </c>
      <c r="O1623" s="71">
        <f t="shared" si="227"/>
        <v>1</v>
      </c>
      <c r="P1623" s="71">
        <f t="shared" si="228"/>
        <v>1</v>
      </c>
      <c r="Q1623" s="71">
        <f t="shared" si="229"/>
        <v>0</v>
      </c>
      <c r="R1623" s="71">
        <f t="shared" si="230"/>
        <v>0</v>
      </c>
      <c r="S1623" s="71">
        <f t="shared" si="231"/>
        <v>0</v>
      </c>
      <c r="T1623" s="71">
        <f t="shared" si="232"/>
        <v>0</v>
      </c>
      <c r="U1623" s="71">
        <f>IF(AND(N1623=1,V1623=1),IF(COUNTIFS(AKTIVITAS!$B$2:$B$3052,B1623,AKTIVITAS!$E$2:$E$3052,H1623)&gt;0,1,0),0)</f>
        <v>1</v>
      </c>
      <c r="V1623" s="71">
        <f>IFERROR(IF(AND(H1623&gt;=INDEX(PEMAGANG!$J$3:$J$36,MATCH(B1623,PEMAGANG!$C$3:$C$36,0)),H1623&lt;=INDEX(PEMAGANG!$K$3:$K$36,MATCH(B1623,PEMAGANG!$C$3:$C$36,0))),1,0),0)</f>
        <v>1</v>
      </c>
      <c r="W1623" s="71">
        <f t="shared" si="233"/>
        <v>1</v>
      </c>
    </row>
    <row r="1624" spans="1:23" x14ac:dyDescent="0.2">
      <c r="A1624" s="71" t="s">
        <v>205</v>
      </c>
      <c r="B1624" s="71" t="s">
        <v>206</v>
      </c>
      <c r="C1624" s="71" t="s">
        <v>187</v>
      </c>
      <c r="D1624" s="71" t="s">
        <v>207</v>
      </c>
      <c r="E1624" s="71" t="s">
        <v>584</v>
      </c>
      <c r="F1624" s="71" t="s">
        <v>300</v>
      </c>
      <c r="G1624" s="88">
        <v>46267.7004282407</v>
      </c>
      <c r="H1624" s="89">
        <v>46267</v>
      </c>
      <c r="I1624" s="71" t="s">
        <v>346</v>
      </c>
      <c r="J1624" s="71">
        <v>0</v>
      </c>
      <c r="K1624" s="71" t="s">
        <v>302</v>
      </c>
      <c r="L1624" s="71">
        <f t="shared" si="225"/>
        <v>9</v>
      </c>
      <c r="M1624" s="71" t="str">
        <f>IFERROR(INDEX(KALENDER!$D$3:$D$132,MATCH(H1624,KALENDER!$A$3:$A$132,0)),"Di luar periode")</f>
        <v>Hari Kerja</v>
      </c>
      <c r="N1624" s="71">
        <f t="shared" si="226"/>
        <v>0</v>
      </c>
      <c r="O1624" s="71">
        <f t="shared" si="227"/>
        <v>1</v>
      </c>
      <c r="P1624" s="71">
        <f t="shared" si="228"/>
        <v>0</v>
      </c>
      <c r="Q1624" s="71">
        <f t="shared" si="229"/>
        <v>0</v>
      </c>
      <c r="R1624" s="71">
        <f t="shared" si="230"/>
        <v>0</v>
      </c>
      <c r="S1624" s="71">
        <f t="shared" si="231"/>
        <v>0</v>
      </c>
      <c r="T1624" s="71">
        <f t="shared" si="232"/>
        <v>0</v>
      </c>
      <c r="U1624" s="71">
        <f>IF(AND(N1624=1,V1624=1),IF(COUNTIFS(AKTIVITAS!$B$2:$B$3052,B1624,AKTIVITAS!$E$2:$E$3052,H1624)&gt;0,1,0),0)</f>
        <v>0</v>
      </c>
      <c r="V1624" s="71">
        <f>IFERROR(IF(AND(H1624&gt;=INDEX(PEMAGANG!$J$3:$J$36,MATCH(B1624,PEMAGANG!$C$3:$C$36,0)),H1624&lt;=INDEX(PEMAGANG!$K$3:$K$36,MATCH(B1624,PEMAGANG!$C$3:$C$36,0))),1,0),0)</f>
        <v>1</v>
      </c>
      <c r="W1624" s="71">
        <f t="shared" si="233"/>
        <v>0</v>
      </c>
    </row>
    <row r="1625" spans="1:23" x14ac:dyDescent="0.2">
      <c r="A1625" s="71" t="s">
        <v>205</v>
      </c>
      <c r="B1625" s="71" t="s">
        <v>206</v>
      </c>
      <c r="C1625" s="71" t="s">
        <v>187</v>
      </c>
      <c r="D1625" s="71" t="s">
        <v>207</v>
      </c>
      <c r="E1625" s="71" t="s">
        <v>584</v>
      </c>
      <c r="F1625" s="71" t="s">
        <v>298</v>
      </c>
      <c r="G1625" s="88">
        <v>46268.314421296302</v>
      </c>
      <c r="H1625" s="89">
        <v>46268</v>
      </c>
      <c r="I1625" s="71" t="s">
        <v>338</v>
      </c>
      <c r="J1625" s="71">
        <v>-28</v>
      </c>
      <c r="K1625" s="71" t="s">
        <v>302</v>
      </c>
      <c r="L1625" s="71">
        <f t="shared" si="225"/>
        <v>9</v>
      </c>
      <c r="M1625" s="71" t="str">
        <f>IFERROR(INDEX(KALENDER!$D$3:$D$132,MATCH(H1625,KALENDER!$A$3:$A$132,0)),"Di luar periode")</f>
        <v>Hari Kerja</v>
      </c>
      <c r="N1625" s="71">
        <f t="shared" si="226"/>
        <v>1</v>
      </c>
      <c r="O1625" s="71">
        <f t="shared" si="227"/>
        <v>1</v>
      </c>
      <c r="P1625" s="71">
        <f t="shared" si="228"/>
        <v>1</v>
      </c>
      <c r="Q1625" s="71">
        <f t="shared" si="229"/>
        <v>0</v>
      </c>
      <c r="R1625" s="71">
        <f t="shared" si="230"/>
        <v>0</v>
      </c>
      <c r="S1625" s="71">
        <f t="shared" si="231"/>
        <v>0</v>
      </c>
      <c r="T1625" s="71">
        <f t="shared" si="232"/>
        <v>0</v>
      </c>
      <c r="U1625" s="71">
        <f>IF(AND(N1625=1,V1625=1),IF(COUNTIFS(AKTIVITAS!$B$2:$B$3052,B1625,AKTIVITAS!$E$2:$E$3052,H1625)&gt;0,1,0),0)</f>
        <v>1</v>
      </c>
      <c r="V1625" s="71">
        <f>IFERROR(IF(AND(H1625&gt;=INDEX(PEMAGANG!$J$3:$J$36,MATCH(B1625,PEMAGANG!$C$3:$C$36,0)),H1625&lt;=INDEX(PEMAGANG!$K$3:$K$36,MATCH(B1625,PEMAGANG!$C$3:$C$36,0))),1,0),0)</f>
        <v>1</v>
      </c>
      <c r="W1625" s="71">
        <f t="shared" si="233"/>
        <v>1</v>
      </c>
    </row>
    <row r="1626" spans="1:23" x14ac:dyDescent="0.2">
      <c r="A1626" s="71" t="s">
        <v>205</v>
      </c>
      <c r="B1626" s="71" t="s">
        <v>206</v>
      </c>
      <c r="C1626" s="71" t="s">
        <v>187</v>
      </c>
      <c r="D1626" s="71" t="s">
        <v>207</v>
      </c>
      <c r="E1626" s="71" t="s">
        <v>584</v>
      </c>
      <c r="F1626" s="71" t="s">
        <v>300</v>
      </c>
      <c r="G1626" s="88">
        <v>46268.694895833301</v>
      </c>
      <c r="H1626" s="89">
        <v>46268</v>
      </c>
      <c r="I1626" s="71" t="s">
        <v>343</v>
      </c>
      <c r="J1626" s="71">
        <v>0</v>
      </c>
      <c r="K1626" s="71" t="s">
        <v>302</v>
      </c>
      <c r="L1626" s="71">
        <f t="shared" si="225"/>
        <v>9</v>
      </c>
      <c r="M1626" s="71" t="str">
        <f>IFERROR(INDEX(KALENDER!$D$3:$D$132,MATCH(H1626,KALENDER!$A$3:$A$132,0)),"Di luar periode")</f>
        <v>Hari Kerja</v>
      </c>
      <c r="N1626" s="71">
        <f t="shared" si="226"/>
        <v>0</v>
      </c>
      <c r="O1626" s="71">
        <f t="shared" si="227"/>
        <v>1</v>
      </c>
      <c r="P1626" s="71">
        <f t="shared" si="228"/>
        <v>0</v>
      </c>
      <c r="Q1626" s="71">
        <f t="shared" si="229"/>
        <v>0</v>
      </c>
      <c r="R1626" s="71">
        <f t="shared" si="230"/>
        <v>0</v>
      </c>
      <c r="S1626" s="71">
        <f t="shared" si="231"/>
        <v>0</v>
      </c>
      <c r="T1626" s="71">
        <f t="shared" si="232"/>
        <v>0</v>
      </c>
      <c r="U1626" s="71">
        <f>IF(AND(N1626=1,V1626=1),IF(COUNTIFS(AKTIVITAS!$B$2:$B$3052,B1626,AKTIVITAS!$E$2:$E$3052,H1626)&gt;0,1,0),0)</f>
        <v>0</v>
      </c>
      <c r="V1626" s="71">
        <f>IFERROR(IF(AND(H1626&gt;=INDEX(PEMAGANG!$J$3:$J$36,MATCH(B1626,PEMAGANG!$C$3:$C$36,0)),H1626&lt;=INDEX(PEMAGANG!$K$3:$K$36,MATCH(B1626,PEMAGANG!$C$3:$C$36,0))),1,0),0)</f>
        <v>1</v>
      </c>
      <c r="W1626" s="71">
        <f t="shared" si="233"/>
        <v>0</v>
      </c>
    </row>
    <row r="1627" spans="1:23" x14ac:dyDescent="0.2">
      <c r="A1627" s="71" t="s">
        <v>205</v>
      </c>
      <c r="B1627" s="71" t="s">
        <v>206</v>
      </c>
      <c r="C1627" s="71" t="s">
        <v>187</v>
      </c>
      <c r="D1627" s="71" t="s">
        <v>207</v>
      </c>
      <c r="E1627" s="71" t="s">
        <v>584</v>
      </c>
      <c r="F1627" s="71" t="s">
        <v>298</v>
      </c>
      <c r="G1627" s="88">
        <v>46269.325208333299</v>
      </c>
      <c r="H1627" s="89">
        <v>46269</v>
      </c>
      <c r="I1627" s="71" t="s">
        <v>567</v>
      </c>
      <c r="J1627" s="71">
        <v>-12</v>
      </c>
      <c r="K1627" s="71" t="s">
        <v>302</v>
      </c>
      <c r="L1627" s="71">
        <f t="shared" si="225"/>
        <v>9</v>
      </c>
      <c r="M1627" s="71" t="str">
        <f>IFERROR(INDEX(KALENDER!$D$3:$D$132,MATCH(H1627,KALENDER!$A$3:$A$132,0)),"Di luar periode")</f>
        <v>Hari Kerja</v>
      </c>
      <c r="N1627" s="71">
        <f t="shared" si="226"/>
        <v>1</v>
      </c>
      <c r="O1627" s="71">
        <f t="shared" si="227"/>
        <v>1</v>
      </c>
      <c r="P1627" s="71">
        <f t="shared" si="228"/>
        <v>1</v>
      </c>
      <c r="Q1627" s="71">
        <f t="shared" si="229"/>
        <v>0</v>
      </c>
      <c r="R1627" s="71">
        <f t="shared" si="230"/>
        <v>0</v>
      </c>
      <c r="S1627" s="71">
        <f t="shared" si="231"/>
        <v>0</v>
      </c>
      <c r="T1627" s="71">
        <f t="shared" si="232"/>
        <v>0</v>
      </c>
      <c r="U1627" s="71">
        <f>IF(AND(N1627=1,V1627=1),IF(COUNTIFS(AKTIVITAS!$B$2:$B$3052,B1627,AKTIVITAS!$E$2:$E$3052,H1627)&gt;0,1,0),0)</f>
        <v>1</v>
      </c>
      <c r="V1627" s="71">
        <f>IFERROR(IF(AND(H1627&gt;=INDEX(PEMAGANG!$J$3:$J$36,MATCH(B1627,PEMAGANG!$C$3:$C$36,0)),H1627&lt;=INDEX(PEMAGANG!$K$3:$K$36,MATCH(B1627,PEMAGANG!$C$3:$C$36,0))),1,0),0)</f>
        <v>1</v>
      </c>
      <c r="W1627" s="71">
        <f t="shared" si="233"/>
        <v>1</v>
      </c>
    </row>
    <row r="1628" spans="1:23" x14ac:dyDescent="0.2">
      <c r="A1628" s="71" t="s">
        <v>205</v>
      </c>
      <c r="B1628" s="71" t="s">
        <v>206</v>
      </c>
      <c r="C1628" s="71" t="s">
        <v>187</v>
      </c>
      <c r="D1628" s="71" t="s">
        <v>207</v>
      </c>
      <c r="E1628" s="71" t="s">
        <v>584</v>
      </c>
      <c r="F1628" s="71" t="s">
        <v>300</v>
      </c>
      <c r="G1628" s="88">
        <v>46269.689317129603</v>
      </c>
      <c r="H1628" s="89">
        <v>46269</v>
      </c>
      <c r="I1628" s="71" t="s">
        <v>306</v>
      </c>
      <c r="J1628" s="71">
        <v>0</v>
      </c>
      <c r="K1628" s="71" t="s">
        <v>302</v>
      </c>
      <c r="L1628" s="71">
        <f t="shared" si="225"/>
        <v>9</v>
      </c>
      <c r="M1628" s="71" t="str">
        <f>IFERROR(INDEX(KALENDER!$D$3:$D$132,MATCH(H1628,KALENDER!$A$3:$A$132,0)),"Di luar periode")</f>
        <v>Hari Kerja</v>
      </c>
      <c r="N1628" s="71">
        <f t="shared" si="226"/>
        <v>0</v>
      </c>
      <c r="O1628" s="71">
        <f t="shared" si="227"/>
        <v>1</v>
      </c>
      <c r="P1628" s="71">
        <f t="shared" si="228"/>
        <v>0</v>
      </c>
      <c r="Q1628" s="71">
        <f t="shared" si="229"/>
        <v>0</v>
      </c>
      <c r="R1628" s="71">
        <f t="shared" si="230"/>
        <v>0</v>
      </c>
      <c r="S1628" s="71">
        <f t="shared" si="231"/>
        <v>0</v>
      </c>
      <c r="T1628" s="71">
        <f t="shared" si="232"/>
        <v>0</v>
      </c>
      <c r="U1628" s="71">
        <f>IF(AND(N1628=1,V1628=1),IF(COUNTIFS(AKTIVITAS!$B$2:$B$3052,B1628,AKTIVITAS!$E$2:$E$3052,H1628)&gt;0,1,0),0)</f>
        <v>0</v>
      </c>
      <c r="V1628" s="71">
        <f>IFERROR(IF(AND(H1628&gt;=INDEX(PEMAGANG!$J$3:$J$36,MATCH(B1628,PEMAGANG!$C$3:$C$36,0)),H1628&lt;=INDEX(PEMAGANG!$K$3:$K$36,MATCH(B1628,PEMAGANG!$C$3:$C$36,0))),1,0),0)</f>
        <v>1</v>
      </c>
      <c r="W1628" s="71">
        <f t="shared" si="233"/>
        <v>0</v>
      </c>
    </row>
    <row r="1629" spans="1:23" x14ac:dyDescent="0.2">
      <c r="A1629" s="71" t="s">
        <v>205</v>
      </c>
      <c r="B1629" s="71" t="s">
        <v>206</v>
      </c>
      <c r="C1629" s="71" t="s">
        <v>187</v>
      </c>
      <c r="D1629" s="71" t="s">
        <v>207</v>
      </c>
      <c r="E1629" s="71" t="s">
        <v>584</v>
      </c>
      <c r="F1629" s="71" t="s">
        <v>298</v>
      </c>
      <c r="G1629" s="88">
        <v>46272.315115740697</v>
      </c>
      <c r="H1629" s="89">
        <v>46272</v>
      </c>
      <c r="I1629" s="71" t="s">
        <v>383</v>
      </c>
      <c r="J1629" s="71">
        <v>-27</v>
      </c>
      <c r="K1629" s="71" t="s">
        <v>302</v>
      </c>
      <c r="L1629" s="71">
        <f t="shared" si="225"/>
        <v>9</v>
      </c>
      <c r="M1629" s="71" t="str">
        <f>IFERROR(INDEX(KALENDER!$D$3:$D$132,MATCH(H1629,KALENDER!$A$3:$A$132,0)),"Di luar periode")</f>
        <v>Hari Kerja</v>
      </c>
      <c r="N1629" s="71">
        <f t="shared" si="226"/>
        <v>1</v>
      </c>
      <c r="O1629" s="71">
        <f t="shared" si="227"/>
        <v>1</v>
      </c>
      <c r="P1629" s="71">
        <f t="shared" si="228"/>
        <v>1</v>
      </c>
      <c r="Q1629" s="71">
        <f t="shared" si="229"/>
        <v>0</v>
      </c>
      <c r="R1629" s="71">
        <f t="shared" si="230"/>
        <v>0</v>
      </c>
      <c r="S1629" s="71">
        <f t="shared" si="231"/>
        <v>0</v>
      </c>
      <c r="T1629" s="71">
        <f t="shared" si="232"/>
        <v>0</v>
      </c>
      <c r="U1629" s="71">
        <f>IF(AND(N1629=1,V1629=1),IF(COUNTIFS(AKTIVITAS!$B$2:$B$3052,B1629,AKTIVITAS!$E$2:$E$3052,H1629)&gt;0,1,0),0)</f>
        <v>1</v>
      </c>
      <c r="V1629" s="71">
        <f>IFERROR(IF(AND(H1629&gt;=INDEX(PEMAGANG!$J$3:$J$36,MATCH(B1629,PEMAGANG!$C$3:$C$36,0)),H1629&lt;=INDEX(PEMAGANG!$K$3:$K$36,MATCH(B1629,PEMAGANG!$C$3:$C$36,0))),1,0),0)</f>
        <v>1</v>
      </c>
      <c r="W1629" s="71">
        <f t="shared" si="233"/>
        <v>1</v>
      </c>
    </row>
    <row r="1630" spans="1:23" x14ac:dyDescent="0.2">
      <c r="A1630" s="71" t="s">
        <v>205</v>
      </c>
      <c r="B1630" s="71" t="s">
        <v>206</v>
      </c>
      <c r="C1630" s="71" t="s">
        <v>187</v>
      </c>
      <c r="D1630" s="71" t="s">
        <v>207</v>
      </c>
      <c r="E1630" s="71" t="s">
        <v>584</v>
      </c>
      <c r="F1630" s="71" t="s">
        <v>300</v>
      </c>
      <c r="G1630" s="88">
        <v>46272.6945023148</v>
      </c>
      <c r="H1630" s="89">
        <v>46272</v>
      </c>
      <c r="I1630" s="71" t="s">
        <v>343</v>
      </c>
      <c r="J1630" s="71">
        <v>0</v>
      </c>
      <c r="K1630" s="71" t="s">
        <v>302</v>
      </c>
      <c r="L1630" s="71">
        <f t="shared" si="225"/>
        <v>9</v>
      </c>
      <c r="M1630" s="71" t="str">
        <f>IFERROR(INDEX(KALENDER!$D$3:$D$132,MATCH(H1630,KALENDER!$A$3:$A$132,0)),"Di luar periode")</f>
        <v>Hari Kerja</v>
      </c>
      <c r="N1630" s="71">
        <f t="shared" si="226"/>
        <v>0</v>
      </c>
      <c r="O1630" s="71">
        <f t="shared" si="227"/>
        <v>1</v>
      </c>
      <c r="P1630" s="71">
        <f t="shared" si="228"/>
        <v>0</v>
      </c>
      <c r="Q1630" s="71">
        <f t="shared" si="229"/>
        <v>0</v>
      </c>
      <c r="R1630" s="71">
        <f t="shared" si="230"/>
        <v>0</v>
      </c>
      <c r="S1630" s="71">
        <f t="shared" si="231"/>
        <v>0</v>
      </c>
      <c r="T1630" s="71">
        <f t="shared" si="232"/>
        <v>0</v>
      </c>
      <c r="U1630" s="71">
        <f>IF(AND(N1630=1,V1630=1),IF(COUNTIFS(AKTIVITAS!$B$2:$B$3052,B1630,AKTIVITAS!$E$2:$E$3052,H1630)&gt;0,1,0),0)</f>
        <v>0</v>
      </c>
      <c r="V1630" s="71">
        <f>IFERROR(IF(AND(H1630&gt;=INDEX(PEMAGANG!$J$3:$J$36,MATCH(B1630,PEMAGANG!$C$3:$C$36,0)),H1630&lt;=INDEX(PEMAGANG!$K$3:$K$36,MATCH(B1630,PEMAGANG!$C$3:$C$36,0))),1,0),0)</f>
        <v>1</v>
      </c>
      <c r="W1630" s="71">
        <f t="shared" si="233"/>
        <v>0</v>
      </c>
    </row>
    <row r="1631" spans="1:23" x14ac:dyDescent="0.2">
      <c r="A1631" s="71" t="s">
        <v>205</v>
      </c>
      <c r="B1631" s="71" t="s">
        <v>206</v>
      </c>
      <c r="C1631" s="71" t="s">
        <v>187</v>
      </c>
      <c r="D1631" s="71" t="s">
        <v>207</v>
      </c>
      <c r="E1631" s="71" t="s">
        <v>584</v>
      </c>
      <c r="F1631" s="71" t="s">
        <v>298</v>
      </c>
      <c r="G1631" s="88">
        <v>46273.316724536999</v>
      </c>
      <c r="H1631" s="89">
        <v>46273</v>
      </c>
      <c r="I1631" s="71" t="s">
        <v>376</v>
      </c>
      <c r="J1631" s="71">
        <v>-24</v>
      </c>
      <c r="K1631" s="71" t="s">
        <v>302</v>
      </c>
      <c r="L1631" s="71">
        <f t="shared" si="225"/>
        <v>9</v>
      </c>
      <c r="M1631" s="71" t="str">
        <f>IFERROR(INDEX(KALENDER!$D$3:$D$132,MATCH(H1631,KALENDER!$A$3:$A$132,0)),"Di luar periode")</f>
        <v>Hari Kerja</v>
      </c>
      <c r="N1631" s="71">
        <f t="shared" si="226"/>
        <v>1</v>
      </c>
      <c r="O1631" s="71">
        <f t="shared" si="227"/>
        <v>1</v>
      </c>
      <c r="P1631" s="71">
        <f t="shared" si="228"/>
        <v>1</v>
      </c>
      <c r="Q1631" s="71">
        <f t="shared" si="229"/>
        <v>0</v>
      </c>
      <c r="R1631" s="71">
        <f t="shared" si="230"/>
        <v>0</v>
      </c>
      <c r="S1631" s="71">
        <f t="shared" si="231"/>
        <v>0</v>
      </c>
      <c r="T1631" s="71">
        <f t="shared" si="232"/>
        <v>0</v>
      </c>
      <c r="U1631" s="71">
        <f>IF(AND(N1631=1,V1631=1),IF(COUNTIFS(AKTIVITAS!$B$2:$B$3052,B1631,AKTIVITAS!$E$2:$E$3052,H1631)&gt;0,1,0),0)</f>
        <v>1</v>
      </c>
      <c r="V1631" s="71">
        <f>IFERROR(IF(AND(H1631&gt;=INDEX(PEMAGANG!$J$3:$J$36,MATCH(B1631,PEMAGANG!$C$3:$C$36,0)),H1631&lt;=INDEX(PEMAGANG!$K$3:$K$36,MATCH(B1631,PEMAGANG!$C$3:$C$36,0))),1,0),0)</f>
        <v>1</v>
      </c>
      <c r="W1631" s="71">
        <f t="shared" si="233"/>
        <v>1</v>
      </c>
    </row>
    <row r="1632" spans="1:23" x14ac:dyDescent="0.2">
      <c r="A1632" s="71" t="s">
        <v>205</v>
      </c>
      <c r="B1632" s="71" t="s">
        <v>206</v>
      </c>
      <c r="C1632" s="71" t="s">
        <v>187</v>
      </c>
      <c r="D1632" s="71" t="s">
        <v>207</v>
      </c>
      <c r="E1632" s="71" t="s">
        <v>584</v>
      </c>
      <c r="F1632" s="71" t="s">
        <v>300</v>
      </c>
      <c r="G1632" s="88">
        <v>46273.705266203702</v>
      </c>
      <c r="H1632" s="89">
        <v>46273</v>
      </c>
      <c r="I1632" s="71" t="s">
        <v>585</v>
      </c>
      <c r="J1632" s="71">
        <v>0</v>
      </c>
      <c r="K1632" s="71" t="s">
        <v>302</v>
      </c>
      <c r="L1632" s="71">
        <f t="shared" si="225"/>
        <v>9</v>
      </c>
      <c r="M1632" s="71" t="str">
        <f>IFERROR(INDEX(KALENDER!$D$3:$D$132,MATCH(H1632,KALENDER!$A$3:$A$132,0)),"Di luar periode")</f>
        <v>Hari Kerja</v>
      </c>
      <c r="N1632" s="71">
        <f t="shared" si="226"/>
        <v>0</v>
      </c>
      <c r="O1632" s="71">
        <f t="shared" si="227"/>
        <v>1</v>
      </c>
      <c r="P1632" s="71">
        <f t="shared" si="228"/>
        <v>0</v>
      </c>
      <c r="Q1632" s="71">
        <f t="shared" si="229"/>
        <v>0</v>
      </c>
      <c r="R1632" s="71">
        <f t="shared" si="230"/>
        <v>0</v>
      </c>
      <c r="S1632" s="71">
        <f t="shared" si="231"/>
        <v>0</v>
      </c>
      <c r="T1632" s="71">
        <f t="shared" si="232"/>
        <v>0</v>
      </c>
      <c r="U1632" s="71">
        <f>IF(AND(N1632=1,V1632=1),IF(COUNTIFS(AKTIVITAS!$B$2:$B$3052,B1632,AKTIVITAS!$E$2:$E$3052,H1632)&gt;0,1,0),0)</f>
        <v>0</v>
      </c>
      <c r="V1632" s="71">
        <f>IFERROR(IF(AND(H1632&gt;=INDEX(PEMAGANG!$J$3:$J$36,MATCH(B1632,PEMAGANG!$C$3:$C$36,0)),H1632&lt;=INDEX(PEMAGANG!$K$3:$K$36,MATCH(B1632,PEMAGANG!$C$3:$C$36,0))),1,0),0)</f>
        <v>1</v>
      </c>
      <c r="W1632" s="71">
        <f t="shared" si="233"/>
        <v>0</v>
      </c>
    </row>
    <row r="1633" spans="1:23" x14ac:dyDescent="0.2">
      <c r="A1633" s="71" t="s">
        <v>205</v>
      </c>
      <c r="B1633" s="71" t="s">
        <v>206</v>
      </c>
      <c r="C1633" s="71" t="s">
        <v>187</v>
      </c>
      <c r="D1633" s="71" t="s">
        <v>207</v>
      </c>
      <c r="E1633" s="71" t="s">
        <v>584</v>
      </c>
      <c r="F1633" s="71" t="s">
        <v>298</v>
      </c>
      <c r="G1633" s="88">
        <v>46274.307627314804</v>
      </c>
      <c r="H1633" s="89">
        <v>46274</v>
      </c>
      <c r="I1633" s="71" t="s">
        <v>313</v>
      </c>
      <c r="J1633" s="71">
        <v>-38</v>
      </c>
      <c r="K1633" s="71" t="s">
        <v>302</v>
      </c>
      <c r="L1633" s="71">
        <f t="shared" si="225"/>
        <v>9</v>
      </c>
      <c r="M1633" s="71" t="str">
        <f>IFERROR(INDEX(KALENDER!$D$3:$D$132,MATCH(H1633,KALENDER!$A$3:$A$132,0)),"Di luar periode")</f>
        <v>Hari Kerja</v>
      </c>
      <c r="N1633" s="71">
        <f t="shared" si="226"/>
        <v>1</v>
      </c>
      <c r="O1633" s="71">
        <f t="shared" si="227"/>
        <v>1</v>
      </c>
      <c r="P1633" s="71">
        <f t="shared" si="228"/>
        <v>1</v>
      </c>
      <c r="Q1633" s="71">
        <f t="shared" si="229"/>
        <v>0</v>
      </c>
      <c r="R1633" s="71">
        <f t="shared" si="230"/>
        <v>0</v>
      </c>
      <c r="S1633" s="71">
        <f t="shared" si="231"/>
        <v>0</v>
      </c>
      <c r="T1633" s="71">
        <f t="shared" si="232"/>
        <v>0</v>
      </c>
      <c r="U1633" s="71">
        <f>IF(AND(N1633=1,V1633=1),IF(COUNTIFS(AKTIVITAS!$B$2:$B$3052,B1633,AKTIVITAS!$E$2:$E$3052,H1633)&gt;0,1,0),0)</f>
        <v>1</v>
      </c>
      <c r="V1633" s="71">
        <f>IFERROR(IF(AND(H1633&gt;=INDEX(PEMAGANG!$J$3:$J$36,MATCH(B1633,PEMAGANG!$C$3:$C$36,0)),H1633&lt;=INDEX(PEMAGANG!$K$3:$K$36,MATCH(B1633,PEMAGANG!$C$3:$C$36,0))),1,0),0)</f>
        <v>1</v>
      </c>
      <c r="W1633" s="71">
        <f t="shared" si="233"/>
        <v>1</v>
      </c>
    </row>
    <row r="1634" spans="1:23" x14ac:dyDescent="0.2">
      <c r="A1634" s="71" t="s">
        <v>205</v>
      </c>
      <c r="B1634" s="71" t="s">
        <v>206</v>
      </c>
      <c r="C1634" s="71" t="s">
        <v>187</v>
      </c>
      <c r="D1634" s="71" t="s">
        <v>207</v>
      </c>
      <c r="E1634" s="71" t="s">
        <v>584</v>
      </c>
      <c r="F1634" s="71" t="s">
        <v>298</v>
      </c>
      <c r="G1634" s="88">
        <v>46274.307627314804</v>
      </c>
      <c r="H1634" s="89">
        <v>46274</v>
      </c>
      <c r="I1634" s="71" t="s">
        <v>313</v>
      </c>
      <c r="J1634" s="71">
        <v>-8.0000000000000497</v>
      </c>
      <c r="K1634" s="71" t="s">
        <v>302</v>
      </c>
      <c r="L1634" s="71">
        <f t="shared" si="225"/>
        <v>9</v>
      </c>
      <c r="M1634" s="71" t="str">
        <f>IFERROR(INDEX(KALENDER!$D$3:$D$132,MATCH(H1634,KALENDER!$A$3:$A$132,0)),"Di luar periode")</f>
        <v>Hari Kerja</v>
      </c>
      <c r="N1634" s="71">
        <f t="shared" si="226"/>
        <v>0</v>
      </c>
      <c r="O1634" s="71">
        <f t="shared" si="227"/>
        <v>2</v>
      </c>
      <c r="P1634" s="71">
        <f t="shared" si="228"/>
        <v>0</v>
      </c>
      <c r="Q1634" s="71">
        <f t="shared" si="229"/>
        <v>0</v>
      </c>
      <c r="R1634" s="71">
        <f t="shared" si="230"/>
        <v>0</v>
      </c>
      <c r="S1634" s="71">
        <f t="shared" si="231"/>
        <v>0</v>
      </c>
      <c r="T1634" s="71">
        <f t="shared" si="232"/>
        <v>0</v>
      </c>
      <c r="U1634" s="71">
        <f>IF(AND(N1634=1,V1634=1),IF(COUNTIFS(AKTIVITAS!$B$2:$B$3052,B1634,AKTIVITAS!$E$2:$E$3052,H1634)&gt;0,1,0),0)</f>
        <v>0</v>
      </c>
      <c r="V1634" s="71">
        <f>IFERROR(IF(AND(H1634&gt;=INDEX(PEMAGANG!$J$3:$J$36,MATCH(B1634,PEMAGANG!$C$3:$C$36,0)),H1634&lt;=INDEX(PEMAGANG!$K$3:$K$36,MATCH(B1634,PEMAGANG!$C$3:$C$36,0))),1,0),0)</f>
        <v>1</v>
      </c>
      <c r="W1634" s="71">
        <f t="shared" si="233"/>
        <v>0</v>
      </c>
    </row>
    <row r="1635" spans="1:23" x14ac:dyDescent="0.2">
      <c r="A1635" s="71" t="s">
        <v>205</v>
      </c>
      <c r="B1635" s="71" t="s">
        <v>206</v>
      </c>
      <c r="C1635" s="71" t="s">
        <v>187</v>
      </c>
      <c r="D1635" s="71" t="s">
        <v>207</v>
      </c>
      <c r="E1635" s="71" t="s">
        <v>584</v>
      </c>
      <c r="F1635" s="71" t="s">
        <v>300</v>
      </c>
      <c r="G1635" s="88">
        <v>46274.691111111097</v>
      </c>
      <c r="H1635" s="89">
        <v>46274</v>
      </c>
      <c r="I1635" s="71" t="s">
        <v>310</v>
      </c>
      <c r="J1635" s="71">
        <v>0</v>
      </c>
      <c r="K1635" s="71" t="s">
        <v>302</v>
      </c>
      <c r="L1635" s="71">
        <f t="shared" si="225"/>
        <v>9</v>
      </c>
      <c r="M1635" s="71" t="str">
        <f>IFERROR(INDEX(KALENDER!$D$3:$D$132,MATCH(H1635,KALENDER!$A$3:$A$132,0)),"Di luar periode")</f>
        <v>Hari Kerja</v>
      </c>
      <c r="N1635" s="71">
        <f t="shared" si="226"/>
        <v>0</v>
      </c>
      <c r="O1635" s="71">
        <f t="shared" si="227"/>
        <v>2</v>
      </c>
      <c r="P1635" s="71">
        <f t="shared" si="228"/>
        <v>0</v>
      </c>
      <c r="Q1635" s="71">
        <f t="shared" si="229"/>
        <v>0</v>
      </c>
      <c r="R1635" s="71">
        <f t="shared" si="230"/>
        <v>0</v>
      </c>
      <c r="S1635" s="71">
        <f t="shared" si="231"/>
        <v>0</v>
      </c>
      <c r="T1635" s="71">
        <f t="shared" si="232"/>
        <v>0</v>
      </c>
      <c r="U1635" s="71">
        <f>IF(AND(N1635=1,V1635=1),IF(COUNTIFS(AKTIVITAS!$B$2:$B$3052,B1635,AKTIVITAS!$E$2:$E$3052,H1635)&gt;0,1,0),0)</f>
        <v>0</v>
      </c>
      <c r="V1635" s="71">
        <f>IFERROR(IF(AND(H1635&gt;=INDEX(PEMAGANG!$J$3:$J$36,MATCH(B1635,PEMAGANG!$C$3:$C$36,0)),H1635&lt;=INDEX(PEMAGANG!$K$3:$K$36,MATCH(B1635,PEMAGANG!$C$3:$C$36,0))),1,0),0)</f>
        <v>1</v>
      </c>
      <c r="W1635" s="71">
        <f t="shared" si="233"/>
        <v>0</v>
      </c>
    </row>
    <row r="1636" spans="1:23" x14ac:dyDescent="0.2">
      <c r="A1636" s="71" t="s">
        <v>205</v>
      </c>
      <c r="B1636" s="71" t="s">
        <v>206</v>
      </c>
      <c r="C1636" s="71" t="s">
        <v>187</v>
      </c>
      <c r="D1636" s="71" t="s">
        <v>207</v>
      </c>
      <c r="E1636" s="71" t="s">
        <v>584</v>
      </c>
      <c r="F1636" s="71" t="s">
        <v>298</v>
      </c>
      <c r="G1636" s="88">
        <v>46275.315474536997</v>
      </c>
      <c r="H1636" s="89">
        <v>46275</v>
      </c>
      <c r="I1636" s="71" t="s">
        <v>373</v>
      </c>
      <c r="J1636" s="71">
        <v>3.9999999999999898</v>
      </c>
      <c r="K1636" s="71" t="s">
        <v>293</v>
      </c>
      <c r="L1636" s="71">
        <f t="shared" si="225"/>
        <v>9</v>
      </c>
      <c r="M1636" s="71" t="str">
        <f>IFERROR(INDEX(KALENDER!$D$3:$D$132,MATCH(H1636,KALENDER!$A$3:$A$132,0)),"Di luar periode")</f>
        <v>Hari Kerja</v>
      </c>
      <c r="N1636" s="71">
        <f t="shared" si="226"/>
        <v>1</v>
      </c>
      <c r="O1636" s="71">
        <f t="shared" si="227"/>
        <v>1</v>
      </c>
      <c r="P1636" s="71">
        <f t="shared" si="228"/>
        <v>1</v>
      </c>
      <c r="Q1636" s="71">
        <f t="shared" si="229"/>
        <v>0</v>
      </c>
      <c r="R1636" s="71">
        <f t="shared" si="230"/>
        <v>1</v>
      </c>
      <c r="S1636" s="71">
        <f t="shared" si="231"/>
        <v>3.9999999999999898</v>
      </c>
      <c r="T1636" s="71">
        <f t="shared" si="232"/>
        <v>0</v>
      </c>
      <c r="U1636" s="71">
        <f>IF(AND(N1636=1,V1636=1),IF(COUNTIFS(AKTIVITAS!$B$2:$B$3052,B1636,AKTIVITAS!$E$2:$E$3052,H1636)&gt;0,1,0),0)</f>
        <v>1</v>
      </c>
      <c r="V1636" s="71">
        <f>IFERROR(IF(AND(H1636&gt;=INDEX(PEMAGANG!$J$3:$J$36,MATCH(B1636,PEMAGANG!$C$3:$C$36,0)),H1636&lt;=INDEX(PEMAGANG!$K$3:$K$36,MATCH(B1636,PEMAGANG!$C$3:$C$36,0))),1,0),0)</f>
        <v>1</v>
      </c>
      <c r="W1636" s="71">
        <f t="shared" si="233"/>
        <v>1</v>
      </c>
    </row>
    <row r="1637" spans="1:23" x14ac:dyDescent="0.2">
      <c r="A1637" s="71" t="s">
        <v>205</v>
      </c>
      <c r="B1637" s="71" t="s">
        <v>206</v>
      </c>
      <c r="C1637" s="71" t="s">
        <v>187</v>
      </c>
      <c r="D1637" s="71" t="s">
        <v>207</v>
      </c>
      <c r="E1637" s="71" t="s">
        <v>584</v>
      </c>
      <c r="F1637" s="71" t="s">
        <v>298</v>
      </c>
      <c r="G1637" s="88">
        <v>46275.315486111103</v>
      </c>
      <c r="H1637" s="89">
        <v>46275</v>
      </c>
      <c r="I1637" s="71" t="s">
        <v>373</v>
      </c>
      <c r="J1637" s="71">
        <v>-26</v>
      </c>
      <c r="K1637" s="71" t="s">
        <v>302</v>
      </c>
      <c r="L1637" s="71">
        <f t="shared" si="225"/>
        <v>9</v>
      </c>
      <c r="M1637" s="71" t="str">
        <f>IFERROR(INDEX(KALENDER!$D$3:$D$132,MATCH(H1637,KALENDER!$A$3:$A$132,0)),"Di luar periode")</f>
        <v>Hari Kerja</v>
      </c>
      <c r="N1637" s="71">
        <f t="shared" si="226"/>
        <v>0</v>
      </c>
      <c r="O1637" s="71">
        <f t="shared" si="227"/>
        <v>2</v>
      </c>
      <c r="P1637" s="71">
        <f t="shared" si="228"/>
        <v>0</v>
      </c>
      <c r="Q1637" s="71">
        <f t="shared" si="229"/>
        <v>0</v>
      </c>
      <c r="R1637" s="71">
        <f t="shared" si="230"/>
        <v>0</v>
      </c>
      <c r="S1637" s="71">
        <f t="shared" si="231"/>
        <v>0</v>
      </c>
      <c r="T1637" s="71">
        <f t="shared" si="232"/>
        <v>0</v>
      </c>
      <c r="U1637" s="71">
        <f>IF(AND(N1637=1,V1637=1),IF(COUNTIFS(AKTIVITAS!$B$2:$B$3052,B1637,AKTIVITAS!$E$2:$E$3052,H1637)&gt;0,1,0),0)</f>
        <v>0</v>
      </c>
      <c r="V1637" s="71">
        <f>IFERROR(IF(AND(H1637&gt;=INDEX(PEMAGANG!$J$3:$J$36,MATCH(B1637,PEMAGANG!$C$3:$C$36,0)),H1637&lt;=INDEX(PEMAGANG!$K$3:$K$36,MATCH(B1637,PEMAGANG!$C$3:$C$36,0))),1,0),0)</f>
        <v>1</v>
      </c>
      <c r="W1637" s="71">
        <f t="shared" si="233"/>
        <v>0</v>
      </c>
    </row>
    <row r="1638" spans="1:23" x14ac:dyDescent="0.2">
      <c r="A1638" s="71" t="s">
        <v>205</v>
      </c>
      <c r="B1638" s="71" t="s">
        <v>206</v>
      </c>
      <c r="C1638" s="71" t="s">
        <v>187</v>
      </c>
      <c r="D1638" s="71" t="s">
        <v>207</v>
      </c>
      <c r="E1638" s="71" t="s">
        <v>584</v>
      </c>
      <c r="F1638" s="71" t="s">
        <v>298</v>
      </c>
      <c r="G1638" s="88">
        <v>46275.315486111103</v>
      </c>
      <c r="H1638" s="89">
        <v>46275</v>
      </c>
      <c r="I1638" s="71" t="s">
        <v>373</v>
      </c>
      <c r="J1638" s="71">
        <v>3.9999999999999898</v>
      </c>
      <c r="K1638" s="71" t="s">
        <v>293</v>
      </c>
      <c r="L1638" s="71">
        <f t="shared" si="225"/>
        <v>9</v>
      </c>
      <c r="M1638" s="71" t="str">
        <f>IFERROR(INDEX(KALENDER!$D$3:$D$132,MATCH(H1638,KALENDER!$A$3:$A$132,0)),"Di luar periode")</f>
        <v>Hari Kerja</v>
      </c>
      <c r="N1638" s="71">
        <f t="shared" si="226"/>
        <v>0</v>
      </c>
      <c r="O1638" s="71">
        <f t="shared" si="227"/>
        <v>3</v>
      </c>
      <c r="P1638" s="71">
        <f t="shared" si="228"/>
        <v>0</v>
      </c>
      <c r="Q1638" s="71">
        <f t="shared" si="229"/>
        <v>0</v>
      </c>
      <c r="R1638" s="71">
        <f t="shared" si="230"/>
        <v>0</v>
      </c>
      <c r="S1638" s="71">
        <f t="shared" si="231"/>
        <v>0</v>
      </c>
      <c r="T1638" s="71">
        <f t="shared" si="232"/>
        <v>0</v>
      </c>
      <c r="U1638" s="71">
        <f>IF(AND(N1638=1,V1638=1),IF(COUNTIFS(AKTIVITAS!$B$2:$B$3052,B1638,AKTIVITAS!$E$2:$E$3052,H1638)&gt;0,1,0),0)</f>
        <v>0</v>
      </c>
      <c r="V1638" s="71">
        <f>IFERROR(IF(AND(H1638&gt;=INDEX(PEMAGANG!$J$3:$J$36,MATCH(B1638,PEMAGANG!$C$3:$C$36,0)),H1638&lt;=INDEX(PEMAGANG!$K$3:$K$36,MATCH(B1638,PEMAGANG!$C$3:$C$36,0))),1,0),0)</f>
        <v>1</v>
      </c>
      <c r="W1638" s="71">
        <f t="shared" si="233"/>
        <v>0</v>
      </c>
    </row>
    <row r="1639" spans="1:23" x14ac:dyDescent="0.2">
      <c r="A1639" s="71" t="s">
        <v>205</v>
      </c>
      <c r="B1639" s="71" t="s">
        <v>206</v>
      </c>
      <c r="C1639" s="71" t="s">
        <v>187</v>
      </c>
      <c r="D1639" s="71" t="s">
        <v>207</v>
      </c>
      <c r="E1639" s="71" t="s">
        <v>584</v>
      </c>
      <c r="F1639" s="71" t="s">
        <v>300</v>
      </c>
      <c r="G1639" s="88">
        <v>46275.6897453704</v>
      </c>
      <c r="H1639" s="89">
        <v>46275</v>
      </c>
      <c r="I1639" s="71" t="s">
        <v>316</v>
      </c>
      <c r="J1639" s="71">
        <v>0</v>
      </c>
      <c r="K1639" s="71" t="s">
        <v>302</v>
      </c>
      <c r="L1639" s="71">
        <f t="shared" si="225"/>
        <v>9</v>
      </c>
      <c r="M1639" s="71" t="str">
        <f>IFERROR(INDEX(KALENDER!$D$3:$D$132,MATCH(H1639,KALENDER!$A$3:$A$132,0)),"Di luar periode")</f>
        <v>Hari Kerja</v>
      </c>
      <c r="N1639" s="71">
        <f t="shared" si="226"/>
        <v>0</v>
      </c>
      <c r="O1639" s="71">
        <f t="shared" si="227"/>
        <v>3</v>
      </c>
      <c r="P1639" s="71">
        <f t="shared" si="228"/>
        <v>0</v>
      </c>
      <c r="Q1639" s="71">
        <f t="shared" si="229"/>
        <v>0</v>
      </c>
      <c r="R1639" s="71">
        <f t="shared" si="230"/>
        <v>0</v>
      </c>
      <c r="S1639" s="71">
        <f t="shared" si="231"/>
        <v>0</v>
      </c>
      <c r="T1639" s="71">
        <f t="shared" si="232"/>
        <v>0</v>
      </c>
      <c r="U1639" s="71">
        <f>IF(AND(N1639=1,V1639=1),IF(COUNTIFS(AKTIVITAS!$B$2:$B$3052,B1639,AKTIVITAS!$E$2:$E$3052,H1639)&gt;0,1,0),0)</f>
        <v>0</v>
      </c>
      <c r="V1639" s="71">
        <f>IFERROR(IF(AND(H1639&gt;=INDEX(PEMAGANG!$J$3:$J$36,MATCH(B1639,PEMAGANG!$C$3:$C$36,0)),H1639&lt;=INDEX(PEMAGANG!$K$3:$K$36,MATCH(B1639,PEMAGANG!$C$3:$C$36,0))),1,0),0)</f>
        <v>1</v>
      </c>
      <c r="W1639" s="71">
        <f t="shared" si="233"/>
        <v>0</v>
      </c>
    </row>
    <row r="1640" spans="1:23" x14ac:dyDescent="0.2">
      <c r="A1640" s="71" t="s">
        <v>205</v>
      </c>
      <c r="B1640" s="71" t="s">
        <v>206</v>
      </c>
      <c r="C1640" s="71" t="s">
        <v>187</v>
      </c>
      <c r="D1640" s="71" t="s">
        <v>207</v>
      </c>
      <c r="E1640" s="71" t="s">
        <v>584</v>
      </c>
      <c r="F1640" s="71" t="s">
        <v>298</v>
      </c>
      <c r="G1640" s="88">
        <v>46276.313298611101</v>
      </c>
      <c r="H1640" s="89">
        <v>46276</v>
      </c>
      <c r="I1640" s="71" t="s">
        <v>392</v>
      </c>
      <c r="J1640" s="71">
        <v>0.999999999999996</v>
      </c>
      <c r="K1640" s="71" t="s">
        <v>293</v>
      </c>
      <c r="L1640" s="71">
        <f t="shared" si="225"/>
        <v>9</v>
      </c>
      <c r="M1640" s="71" t="str">
        <f>IFERROR(INDEX(KALENDER!$D$3:$D$132,MATCH(H1640,KALENDER!$A$3:$A$132,0)),"Di luar periode")</f>
        <v>Hari Kerja</v>
      </c>
      <c r="N1640" s="71">
        <f t="shared" si="226"/>
        <v>1</v>
      </c>
      <c r="O1640" s="71">
        <f t="shared" si="227"/>
        <v>1</v>
      </c>
      <c r="P1640" s="71">
        <f t="shared" si="228"/>
        <v>1</v>
      </c>
      <c r="Q1640" s="71">
        <f t="shared" si="229"/>
        <v>0</v>
      </c>
      <c r="R1640" s="71">
        <f t="shared" si="230"/>
        <v>1</v>
      </c>
      <c r="S1640" s="71">
        <f t="shared" si="231"/>
        <v>0.999999999999996</v>
      </c>
      <c r="T1640" s="71">
        <f t="shared" si="232"/>
        <v>1</v>
      </c>
      <c r="U1640" s="71">
        <f>IF(AND(N1640=1,V1640=1),IF(COUNTIFS(AKTIVITAS!$B$2:$B$3052,B1640,AKTIVITAS!$E$2:$E$3052,H1640)&gt;0,1,0),0)</f>
        <v>1</v>
      </c>
      <c r="V1640" s="71">
        <f>IFERROR(IF(AND(H1640&gt;=INDEX(PEMAGANG!$J$3:$J$36,MATCH(B1640,PEMAGANG!$C$3:$C$36,0)),H1640&lt;=INDEX(PEMAGANG!$K$3:$K$36,MATCH(B1640,PEMAGANG!$C$3:$C$36,0))),1,0),0)</f>
        <v>1</v>
      </c>
      <c r="W1640" s="71">
        <f t="shared" si="233"/>
        <v>1</v>
      </c>
    </row>
    <row r="1641" spans="1:23" x14ac:dyDescent="0.2">
      <c r="A1641" s="71" t="s">
        <v>205</v>
      </c>
      <c r="B1641" s="71" t="s">
        <v>206</v>
      </c>
      <c r="C1641" s="71" t="s">
        <v>187</v>
      </c>
      <c r="D1641" s="71" t="s">
        <v>207</v>
      </c>
      <c r="E1641" s="71" t="s">
        <v>584</v>
      </c>
      <c r="F1641" s="71" t="s">
        <v>298</v>
      </c>
      <c r="G1641" s="88">
        <v>46279.317199074103</v>
      </c>
      <c r="H1641" s="89">
        <v>46279</v>
      </c>
      <c r="I1641" s="71" t="s">
        <v>376</v>
      </c>
      <c r="J1641" s="71">
        <v>5.9999999999999796</v>
      </c>
      <c r="K1641" s="71" t="s">
        <v>293</v>
      </c>
      <c r="L1641" s="71">
        <f t="shared" si="225"/>
        <v>9</v>
      </c>
      <c r="M1641" s="71" t="str">
        <f>IFERROR(INDEX(KALENDER!$D$3:$D$132,MATCH(H1641,KALENDER!$A$3:$A$132,0)),"Di luar periode")</f>
        <v>Hari Kerja</v>
      </c>
      <c r="N1641" s="71">
        <f t="shared" si="226"/>
        <v>1</v>
      </c>
      <c r="O1641" s="71">
        <f t="shared" si="227"/>
        <v>1</v>
      </c>
      <c r="P1641" s="71">
        <f t="shared" si="228"/>
        <v>1</v>
      </c>
      <c r="Q1641" s="71">
        <f t="shared" si="229"/>
        <v>0</v>
      </c>
      <c r="R1641" s="71">
        <f t="shared" si="230"/>
        <v>1</v>
      </c>
      <c r="S1641" s="71">
        <f t="shared" si="231"/>
        <v>5.9999999999999796</v>
      </c>
      <c r="T1641" s="71">
        <f t="shared" si="232"/>
        <v>0</v>
      </c>
      <c r="U1641" s="71">
        <f>IF(AND(N1641=1,V1641=1),IF(COUNTIFS(AKTIVITAS!$B$2:$B$3052,B1641,AKTIVITAS!$E$2:$E$3052,H1641)&gt;0,1,0),0)</f>
        <v>1</v>
      </c>
      <c r="V1641" s="71">
        <f>IFERROR(IF(AND(H1641&gt;=INDEX(PEMAGANG!$J$3:$J$36,MATCH(B1641,PEMAGANG!$C$3:$C$36,0)),H1641&lt;=INDEX(PEMAGANG!$K$3:$K$36,MATCH(B1641,PEMAGANG!$C$3:$C$36,0))),1,0),0)</f>
        <v>1</v>
      </c>
      <c r="W1641" s="71">
        <f t="shared" si="233"/>
        <v>1</v>
      </c>
    </row>
    <row r="1642" spans="1:23" x14ac:dyDescent="0.2">
      <c r="A1642" s="71" t="s">
        <v>205</v>
      </c>
      <c r="B1642" s="71" t="s">
        <v>206</v>
      </c>
      <c r="C1642" s="71" t="s">
        <v>187</v>
      </c>
      <c r="D1642" s="71" t="s">
        <v>207</v>
      </c>
      <c r="E1642" s="71" t="s">
        <v>584</v>
      </c>
      <c r="F1642" s="71" t="s">
        <v>300</v>
      </c>
      <c r="G1642" s="88">
        <v>46279.705567129597</v>
      </c>
      <c r="H1642" s="89">
        <v>46279</v>
      </c>
      <c r="I1642" s="71" t="s">
        <v>474</v>
      </c>
      <c r="J1642" s="71">
        <v>0</v>
      </c>
      <c r="K1642" s="71" t="s">
        <v>302</v>
      </c>
      <c r="L1642" s="71">
        <f t="shared" si="225"/>
        <v>9</v>
      </c>
      <c r="M1642" s="71" t="str">
        <f>IFERROR(INDEX(KALENDER!$D$3:$D$132,MATCH(H1642,KALENDER!$A$3:$A$132,0)),"Di luar periode")</f>
        <v>Hari Kerja</v>
      </c>
      <c r="N1642" s="71">
        <f t="shared" si="226"/>
        <v>0</v>
      </c>
      <c r="O1642" s="71">
        <f t="shared" si="227"/>
        <v>1</v>
      </c>
      <c r="P1642" s="71">
        <f t="shared" si="228"/>
        <v>0</v>
      </c>
      <c r="Q1642" s="71">
        <f t="shared" si="229"/>
        <v>0</v>
      </c>
      <c r="R1642" s="71">
        <f t="shared" si="230"/>
        <v>0</v>
      </c>
      <c r="S1642" s="71">
        <f t="shared" si="231"/>
        <v>0</v>
      </c>
      <c r="T1642" s="71">
        <f t="shared" si="232"/>
        <v>0</v>
      </c>
      <c r="U1642" s="71">
        <f>IF(AND(N1642=1,V1642=1),IF(COUNTIFS(AKTIVITAS!$B$2:$B$3052,B1642,AKTIVITAS!$E$2:$E$3052,H1642)&gt;0,1,0),0)</f>
        <v>0</v>
      </c>
      <c r="V1642" s="71">
        <f>IFERROR(IF(AND(H1642&gt;=INDEX(PEMAGANG!$J$3:$J$36,MATCH(B1642,PEMAGANG!$C$3:$C$36,0)),H1642&lt;=INDEX(PEMAGANG!$K$3:$K$36,MATCH(B1642,PEMAGANG!$C$3:$C$36,0))),1,0),0)</f>
        <v>1</v>
      </c>
      <c r="W1642" s="71">
        <f t="shared" si="233"/>
        <v>0</v>
      </c>
    </row>
    <row r="1643" spans="1:23" x14ac:dyDescent="0.2">
      <c r="A1643" s="71" t="s">
        <v>205</v>
      </c>
      <c r="B1643" s="71" t="s">
        <v>206</v>
      </c>
      <c r="C1643" s="71" t="s">
        <v>187</v>
      </c>
      <c r="D1643" s="71" t="s">
        <v>207</v>
      </c>
      <c r="E1643" s="71" t="s">
        <v>584</v>
      </c>
      <c r="F1643" s="71" t="s">
        <v>298</v>
      </c>
      <c r="G1643" s="88">
        <v>46280.312928240703</v>
      </c>
      <c r="H1643" s="89">
        <v>46280</v>
      </c>
      <c r="I1643" s="71" t="s">
        <v>335</v>
      </c>
      <c r="J1643" s="71">
        <v>0</v>
      </c>
      <c r="K1643" s="71" t="s">
        <v>302</v>
      </c>
      <c r="L1643" s="71">
        <f t="shared" si="225"/>
        <v>9</v>
      </c>
      <c r="M1643" s="71" t="str">
        <f>IFERROR(INDEX(KALENDER!$D$3:$D$132,MATCH(H1643,KALENDER!$A$3:$A$132,0)),"Di luar periode")</f>
        <v>Hari Kerja</v>
      </c>
      <c r="N1643" s="71">
        <f t="shared" si="226"/>
        <v>1</v>
      </c>
      <c r="O1643" s="71">
        <f t="shared" si="227"/>
        <v>1</v>
      </c>
      <c r="P1643" s="71">
        <f t="shared" si="228"/>
        <v>1</v>
      </c>
      <c r="Q1643" s="71">
        <f t="shared" si="229"/>
        <v>0</v>
      </c>
      <c r="R1643" s="71">
        <f t="shared" si="230"/>
        <v>0</v>
      </c>
      <c r="S1643" s="71">
        <f t="shared" si="231"/>
        <v>0</v>
      </c>
      <c r="T1643" s="71">
        <f t="shared" si="232"/>
        <v>0</v>
      </c>
      <c r="U1643" s="71">
        <f>IF(AND(N1643=1,V1643=1),IF(COUNTIFS(AKTIVITAS!$B$2:$B$3052,B1643,AKTIVITAS!$E$2:$E$3052,H1643)&gt;0,1,0),0)</f>
        <v>1</v>
      </c>
      <c r="V1643" s="71">
        <f>IFERROR(IF(AND(H1643&gt;=INDEX(PEMAGANG!$J$3:$J$36,MATCH(B1643,PEMAGANG!$C$3:$C$36,0)),H1643&lt;=INDEX(PEMAGANG!$K$3:$K$36,MATCH(B1643,PEMAGANG!$C$3:$C$36,0))),1,0),0)</f>
        <v>1</v>
      </c>
      <c r="W1643" s="71">
        <f t="shared" si="233"/>
        <v>1</v>
      </c>
    </row>
    <row r="1644" spans="1:23" x14ac:dyDescent="0.2">
      <c r="A1644" s="71" t="s">
        <v>205</v>
      </c>
      <c r="B1644" s="71" t="s">
        <v>206</v>
      </c>
      <c r="C1644" s="71" t="s">
        <v>187</v>
      </c>
      <c r="D1644" s="71" t="s">
        <v>207</v>
      </c>
      <c r="E1644" s="71" t="s">
        <v>584</v>
      </c>
      <c r="F1644" s="71" t="s">
        <v>300</v>
      </c>
      <c r="G1644" s="88">
        <v>46280.696157407401</v>
      </c>
      <c r="H1644" s="89">
        <v>46280</v>
      </c>
      <c r="I1644" s="71" t="s">
        <v>320</v>
      </c>
      <c r="J1644" s="71">
        <v>0</v>
      </c>
      <c r="K1644" s="71" t="s">
        <v>302</v>
      </c>
      <c r="L1644" s="71">
        <f t="shared" si="225"/>
        <v>9</v>
      </c>
      <c r="M1644" s="71" t="str">
        <f>IFERROR(INDEX(KALENDER!$D$3:$D$132,MATCH(H1644,KALENDER!$A$3:$A$132,0)),"Di luar periode")</f>
        <v>Hari Kerja</v>
      </c>
      <c r="N1644" s="71">
        <f t="shared" si="226"/>
        <v>0</v>
      </c>
      <c r="O1644" s="71">
        <f t="shared" si="227"/>
        <v>1</v>
      </c>
      <c r="P1644" s="71">
        <f t="shared" si="228"/>
        <v>0</v>
      </c>
      <c r="Q1644" s="71">
        <f t="shared" si="229"/>
        <v>0</v>
      </c>
      <c r="R1644" s="71">
        <f t="shared" si="230"/>
        <v>0</v>
      </c>
      <c r="S1644" s="71">
        <f t="shared" si="231"/>
        <v>0</v>
      </c>
      <c r="T1644" s="71">
        <f t="shared" si="232"/>
        <v>0</v>
      </c>
      <c r="U1644" s="71">
        <f>IF(AND(N1644=1,V1644=1),IF(COUNTIFS(AKTIVITAS!$B$2:$B$3052,B1644,AKTIVITAS!$E$2:$E$3052,H1644)&gt;0,1,0),0)</f>
        <v>0</v>
      </c>
      <c r="V1644" s="71">
        <f>IFERROR(IF(AND(H1644&gt;=INDEX(PEMAGANG!$J$3:$J$36,MATCH(B1644,PEMAGANG!$C$3:$C$36,0)),H1644&lt;=INDEX(PEMAGANG!$K$3:$K$36,MATCH(B1644,PEMAGANG!$C$3:$C$36,0))),1,0),0)</f>
        <v>1</v>
      </c>
      <c r="W1644" s="71">
        <f t="shared" si="233"/>
        <v>0</v>
      </c>
    </row>
    <row r="1645" spans="1:23" x14ac:dyDescent="0.2">
      <c r="A1645" s="71" t="s">
        <v>205</v>
      </c>
      <c r="B1645" s="71" t="s">
        <v>206</v>
      </c>
      <c r="C1645" s="71" t="s">
        <v>187</v>
      </c>
      <c r="D1645" s="71" t="s">
        <v>207</v>
      </c>
      <c r="E1645" s="71" t="s">
        <v>584</v>
      </c>
      <c r="F1645" s="71" t="s">
        <v>298</v>
      </c>
      <c r="G1645" s="88">
        <v>46281.316793981503</v>
      </c>
      <c r="H1645" s="89">
        <v>46281</v>
      </c>
      <c r="I1645" s="71" t="s">
        <v>376</v>
      </c>
      <c r="J1645" s="71">
        <v>5.9999999999999796</v>
      </c>
      <c r="K1645" s="71" t="s">
        <v>293</v>
      </c>
      <c r="L1645" s="71">
        <f t="shared" si="225"/>
        <v>9</v>
      </c>
      <c r="M1645" s="71" t="str">
        <f>IFERROR(INDEX(KALENDER!$D$3:$D$132,MATCH(H1645,KALENDER!$A$3:$A$132,0)),"Di luar periode")</f>
        <v>Hari Kerja</v>
      </c>
      <c r="N1645" s="71">
        <f t="shared" si="226"/>
        <v>1</v>
      </c>
      <c r="O1645" s="71">
        <f t="shared" si="227"/>
        <v>1</v>
      </c>
      <c r="P1645" s="71">
        <f t="shared" si="228"/>
        <v>1</v>
      </c>
      <c r="Q1645" s="71">
        <f t="shared" si="229"/>
        <v>0</v>
      </c>
      <c r="R1645" s="71">
        <f t="shared" si="230"/>
        <v>1</v>
      </c>
      <c r="S1645" s="71">
        <f t="shared" si="231"/>
        <v>5.9999999999999796</v>
      </c>
      <c r="T1645" s="71">
        <f t="shared" si="232"/>
        <v>0</v>
      </c>
      <c r="U1645" s="71">
        <f>IF(AND(N1645=1,V1645=1),IF(COUNTIFS(AKTIVITAS!$B$2:$B$3052,B1645,AKTIVITAS!$E$2:$E$3052,H1645)&gt;0,1,0),0)</f>
        <v>1</v>
      </c>
      <c r="V1645" s="71">
        <f>IFERROR(IF(AND(H1645&gt;=INDEX(PEMAGANG!$J$3:$J$36,MATCH(B1645,PEMAGANG!$C$3:$C$36,0)),H1645&lt;=INDEX(PEMAGANG!$K$3:$K$36,MATCH(B1645,PEMAGANG!$C$3:$C$36,0))),1,0),0)</f>
        <v>1</v>
      </c>
      <c r="W1645" s="71">
        <f t="shared" si="233"/>
        <v>1</v>
      </c>
    </row>
    <row r="1646" spans="1:23" x14ac:dyDescent="0.2">
      <c r="A1646" s="71" t="s">
        <v>205</v>
      </c>
      <c r="B1646" s="71" t="s">
        <v>206</v>
      </c>
      <c r="C1646" s="71" t="s">
        <v>187</v>
      </c>
      <c r="D1646" s="71" t="s">
        <v>207</v>
      </c>
      <c r="E1646" s="71" t="s">
        <v>584</v>
      </c>
      <c r="F1646" s="71" t="s">
        <v>300</v>
      </c>
      <c r="G1646" s="88">
        <v>46281.720104166699</v>
      </c>
      <c r="H1646" s="89">
        <v>46281</v>
      </c>
      <c r="I1646" s="71" t="s">
        <v>387</v>
      </c>
      <c r="J1646" s="71">
        <v>0</v>
      </c>
      <c r="K1646" s="71" t="s">
        <v>302</v>
      </c>
      <c r="L1646" s="71">
        <f t="shared" si="225"/>
        <v>9</v>
      </c>
      <c r="M1646" s="71" t="str">
        <f>IFERROR(INDEX(KALENDER!$D$3:$D$132,MATCH(H1646,KALENDER!$A$3:$A$132,0)),"Di luar periode")</f>
        <v>Hari Kerja</v>
      </c>
      <c r="N1646" s="71">
        <f t="shared" si="226"/>
        <v>0</v>
      </c>
      <c r="O1646" s="71">
        <f t="shared" si="227"/>
        <v>1</v>
      </c>
      <c r="P1646" s="71">
        <f t="shared" si="228"/>
        <v>0</v>
      </c>
      <c r="Q1646" s="71">
        <f t="shared" si="229"/>
        <v>0</v>
      </c>
      <c r="R1646" s="71">
        <f t="shared" si="230"/>
        <v>0</v>
      </c>
      <c r="S1646" s="71">
        <f t="shared" si="231"/>
        <v>0</v>
      </c>
      <c r="T1646" s="71">
        <f t="shared" si="232"/>
        <v>0</v>
      </c>
      <c r="U1646" s="71">
        <f>IF(AND(N1646=1,V1646=1),IF(COUNTIFS(AKTIVITAS!$B$2:$B$3052,B1646,AKTIVITAS!$E$2:$E$3052,H1646)&gt;0,1,0),0)</f>
        <v>0</v>
      </c>
      <c r="V1646" s="71">
        <f>IFERROR(IF(AND(H1646&gt;=INDEX(PEMAGANG!$J$3:$J$36,MATCH(B1646,PEMAGANG!$C$3:$C$36,0)),H1646&lt;=INDEX(PEMAGANG!$K$3:$K$36,MATCH(B1646,PEMAGANG!$C$3:$C$36,0))),1,0),0)</f>
        <v>1</v>
      </c>
      <c r="W1646" s="71">
        <f t="shared" si="233"/>
        <v>0</v>
      </c>
    </row>
    <row r="1647" spans="1:23" x14ac:dyDescent="0.2">
      <c r="A1647" s="71" t="s">
        <v>205</v>
      </c>
      <c r="B1647" s="71" t="s">
        <v>206</v>
      </c>
      <c r="C1647" s="71" t="s">
        <v>187</v>
      </c>
      <c r="D1647" s="71" t="s">
        <v>207</v>
      </c>
      <c r="E1647" s="71" t="s">
        <v>584</v>
      </c>
      <c r="F1647" s="71" t="s">
        <v>298</v>
      </c>
      <c r="G1647" s="88">
        <v>46283.315810185202</v>
      </c>
      <c r="H1647" s="89">
        <v>46283</v>
      </c>
      <c r="I1647" s="71" t="s">
        <v>373</v>
      </c>
      <c r="J1647" s="71">
        <v>3.9999999999999898</v>
      </c>
      <c r="K1647" s="71" t="s">
        <v>293</v>
      </c>
      <c r="L1647" s="71">
        <f t="shared" si="225"/>
        <v>9</v>
      </c>
      <c r="M1647" s="71" t="str">
        <f>IFERROR(INDEX(KALENDER!$D$3:$D$132,MATCH(H1647,KALENDER!$A$3:$A$132,0)),"Di luar periode")</f>
        <v>Hari Kerja</v>
      </c>
      <c r="N1647" s="71">
        <f t="shared" si="226"/>
        <v>1</v>
      </c>
      <c r="O1647" s="71">
        <f t="shared" si="227"/>
        <v>1</v>
      </c>
      <c r="P1647" s="71">
        <f t="shared" si="228"/>
        <v>1</v>
      </c>
      <c r="Q1647" s="71">
        <f t="shared" si="229"/>
        <v>0</v>
      </c>
      <c r="R1647" s="71">
        <f t="shared" si="230"/>
        <v>1</v>
      </c>
      <c r="S1647" s="71">
        <f t="shared" si="231"/>
        <v>3.9999999999999898</v>
      </c>
      <c r="T1647" s="71">
        <f t="shared" si="232"/>
        <v>1</v>
      </c>
      <c r="U1647" s="71">
        <f>IF(AND(N1647=1,V1647=1),IF(COUNTIFS(AKTIVITAS!$B$2:$B$3052,B1647,AKTIVITAS!$E$2:$E$3052,H1647)&gt;0,1,0),0)</f>
        <v>1</v>
      </c>
      <c r="V1647" s="71">
        <f>IFERROR(IF(AND(H1647&gt;=INDEX(PEMAGANG!$J$3:$J$36,MATCH(B1647,PEMAGANG!$C$3:$C$36,0)),H1647&lt;=INDEX(PEMAGANG!$K$3:$K$36,MATCH(B1647,PEMAGANG!$C$3:$C$36,0))),1,0),0)</f>
        <v>1</v>
      </c>
      <c r="W1647" s="71">
        <f t="shared" si="233"/>
        <v>1</v>
      </c>
    </row>
    <row r="1648" spans="1:23" x14ac:dyDescent="0.2">
      <c r="A1648" s="71" t="s">
        <v>205</v>
      </c>
      <c r="B1648" s="71" t="s">
        <v>206</v>
      </c>
      <c r="C1648" s="71" t="s">
        <v>187</v>
      </c>
      <c r="D1648" s="71" t="s">
        <v>207</v>
      </c>
      <c r="E1648" s="71" t="s">
        <v>584</v>
      </c>
      <c r="F1648" s="71" t="s">
        <v>298</v>
      </c>
      <c r="G1648" s="88">
        <v>46286.288310185198</v>
      </c>
      <c r="H1648" s="89">
        <v>46286</v>
      </c>
      <c r="I1648" s="71" t="s">
        <v>353</v>
      </c>
      <c r="J1648" s="71">
        <v>-35</v>
      </c>
      <c r="K1648" s="71" t="s">
        <v>302</v>
      </c>
      <c r="L1648" s="71">
        <f t="shared" si="225"/>
        <v>9</v>
      </c>
      <c r="M1648" s="71" t="str">
        <f>IFERROR(INDEX(KALENDER!$D$3:$D$132,MATCH(H1648,KALENDER!$A$3:$A$132,0)),"Di luar periode")</f>
        <v>Hari Kerja</v>
      </c>
      <c r="N1648" s="71">
        <f t="shared" si="226"/>
        <v>1</v>
      </c>
      <c r="O1648" s="71">
        <f t="shared" si="227"/>
        <v>1</v>
      </c>
      <c r="P1648" s="71">
        <f t="shared" si="228"/>
        <v>1</v>
      </c>
      <c r="Q1648" s="71">
        <f t="shared" si="229"/>
        <v>0</v>
      </c>
      <c r="R1648" s="71">
        <f t="shared" si="230"/>
        <v>0</v>
      </c>
      <c r="S1648" s="71">
        <f t="shared" si="231"/>
        <v>0</v>
      </c>
      <c r="T1648" s="71">
        <f t="shared" si="232"/>
        <v>0</v>
      </c>
      <c r="U1648" s="71">
        <f>IF(AND(N1648=1,V1648=1),IF(COUNTIFS(AKTIVITAS!$B$2:$B$3052,B1648,AKTIVITAS!$E$2:$E$3052,H1648)&gt;0,1,0),0)</f>
        <v>1</v>
      </c>
      <c r="V1648" s="71">
        <f>IFERROR(IF(AND(H1648&gt;=INDEX(PEMAGANG!$J$3:$J$36,MATCH(B1648,PEMAGANG!$C$3:$C$36,0)),H1648&lt;=INDEX(PEMAGANG!$K$3:$K$36,MATCH(B1648,PEMAGANG!$C$3:$C$36,0))),1,0),0)</f>
        <v>1</v>
      </c>
      <c r="W1648" s="71">
        <f t="shared" si="233"/>
        <v>1</v>
      </c>
    </row>
    <row r="1649" spans="1:23" x14ac:dyDescent="0.2">
      <c r="A1649" s="71" t="s">
        <v>205</v>
      </c>
      <c r="B1649" s="71" t="s">
        <v>206</v>
      </c>
      <c r="C1649" s="71" t="s">
        <v>187</v>
      </c>
      <c r="D1649" s="71" t="s">
        <v>207</v>
      </c>
      <c r="E1649" s="71" t="s">
        <v>584</v>
      </c>
      <c r="F1649" s="71" t="s">
        <v>300</v>
      </c>
      <c r="G1649" s="88">
        <v>46286.688379629602</v>
      </c>
      <c r="H1649" s="89">
        <v>46286</v>
      </c>
      <c r="I1649" s="71" t="s">
        <v>336</v>
      </c>
      <c r="J1649" s="71">
        <v>0</v>
      </c>
      <c r="K1649" s="71" t="s">
        <v>302</v>
      </c>
      <c r="L1649" s="71">
        <f t="shared" si="225"/>
        <v>9</v>
      </c>
      <c r="M1649" s="71" t="str">
        <f>IFERROR(INDEX(KALENDER!$D$3:$D$132,MATCH(H1649,KALENDER!$A$3:$A$132,0)),"Di luar periode")</f>
        <v>Hari Kerja</v>
      </c>
      <c r="N1649" s="71">
        <f t="shared" si="226"/>
        <v>0</v>
      </c>
      <c r="O1649" s="71">
        <f t="shared" si="227"/>
        <v>1</v>
      </c>
      <c r="P1649" s="71">
        <f t="shared" si="228"/>
        <v>0</v>
      </c>
      <c r="Q1649" s="71">
        <f t="shared" si="229"/>
        <v>0</v>
      </c>
      <c r="R1649" s="71">
        <f t="shared" si="230"/>
        <v>0</v>
      </c>
      <c r="S1649" s="71">
        <f t="shared" si="231"/>
        <v>0</v>
      </c>
      <c r="T1649" s="71">
        <f t="shared" si="232"/>
        <v>0</v>
      </c>
      <c r="U1649" s="71">
        <f>IF(AND(N1649=1,V1649=1),IF(COUNTIFS(AKTIVITAS!$B$2:$B$3052,B1649,AKTIVITAS!$E$2:$E$3052,H1649)&gt;0,1,0),0)</f>
        <v>0</v>
      </c>
      <c r="V1649" s="71">
        <f>IFERROR(IF(AND(H1649&gt;=INDEX(PEMAGANG!$J$3:$J$36,MATCH(B1649,PEMAGANG!$C$3:$C$36,0)),H1649&lt;=INDEX(PEMAGANG!$K$3:$K$36,MATCH(B1649,PEMAGANG!$C$3:$C$36,0))),1,0),0)</f>
        <v>1</v>
      </c>
      <c r="W1649" s="71">
        <f t="shared" si="233"/>
        <v>0</v>
      </c>
    </row>
    <row r="1650" spans="1:23" x14ac:dyDescent="0.2">
      <c r="A1650" s="71" t="s">
        <v>205</v>
      </c>
      <c r="B1650" s="71" t="s">
        <v>206</v>
      </c>
      <c r="C1650" s="71" t="s">
        <v>187</v>
      </c>
      <c r="D1650" s="71" t="s">
        <v>207</v>
      </c>
      <c r="E1650" s="71" t="s">
        <v>584</v>
      </c>
      <c r="F1650" s="71" t="s">
        <v>298</v>
      </c>
      <c r="G1650" s="88">
        <v>46287.312754629602</v>
      </c>
      <c r="H1650" s="89">
        <v>46287</v>
      </c>
      <c r="I1650" s="71" t="s">
        <v>335</v>
      </c>
      <c r="J1650" s="71">
        <v>0</v>
      </c>
      <c r="K1650" s="71" t="s">
        <v>302</v>
      </c>
      <c r="L1650" s="71">
        <f t="shared" si="225"/>
        <v>9</v>
      </c>
      <c r="M1650" s="71" t="str">
        <f>IFERROR(INDEX(KALENDER!$D$3:$D$132,MATCH(H1650,KALENDER!$A$3:$A$132,0)),"Di luar periode")</f>
        <v>Hari Kerja</v>
      </c>
      <c r="N1650" s="71">
        <f t="shared" si="226"/>
        <v>1</v>
      </c>
      <c r="O1650" s="71">
        <f t="shared" si="227"/>
        <v>1</v>
      </c>
      <c r="P1650" s="71">
        <f t="shared" si="228"/>
        <v>1</v>
      </c>
      <c r="Q1650" s="71">
        <f t="shared" si="229"/>
        <v>0</v>
      </c>
      <c r="R1650" s="71">
        <f t="shared" si="230"/>
        <v>0</v>
      </c>
      <c r="S1650" s="71">
        <f t="shared" si="231"/>
        <v>0</v>
      </c>
      <c r="T1650" s="71">
        <f t="shared" si="232"/>
        <v>0</v>
      </c>
      <c r="U1650" s="71">
        <f>IF(AND(N1650=1,V1650=1),IF(COUNTIFS(AKTIVITAS!$B$2:$B$3052,B1650,AKTIVITAS!$E$2:$E$3052,H1650)&gt;0,1,0),0)</f>
        <v>1</v>
      </c>
      <c r="V1650" s="71">
        <f>IFERROR(IF(AND(H1650&gt;=INDEX(PEMAGANG!$J$3:$J$36,MATCH(B1650,PEMAGANG!$C$3:$C$36,0)),H1650&lt;=INDEX(PEMAGANG!$K$3:$K$36,MATCH(B1650,PEMAGANG!$C$3:$C$36,0))),1,0),0)</f>
        <v>1</v>
      </c>
      <c r="W1650" s="71">
        <f t="shared" si="233"/>
        <v>1</v>
      </c>
    </row>
    <row r="1651" spans="1:23" x14ac:dyDescent="0.2">
      <c r="A1651" s="71" t="s">
        <v>205</v>
      </c>
      <c r="B1651" s="71" t="s">
        <v>206</v>
      </c>
      <c r="C1651" s="71" t="s">
        <v>187</v>
      </c>
      <c r="D1651" s="71" t="s">
        <v>207</v>
      </c>
      <c r="E1651" s="71" t="s">
        <v>584</v>
      </c>
      <c r="F1651" s="71" t="s">
        <v>300</v>
      </c>
      <c r="G1651" s="88">
        <v>46287.695416666698</v>
      </c>
      <c r="H1651" s="89">
        <v>46287</v>
      </c>
      <c r="I1651" s="71" t="s">
        <v>319</v>
      </c>
      <c r="J1651" s="71">
        <v>0</v>
      </c>
      <c r="K1651" s="71" t="s">
        <v>302</v>
      </c>
      <c r="L1651" s="71">
        <f t="shared" si="225"/>
        <v>9</v>
      </c>
      <c r="M1651" s="71" t="str">
        <f>IFERROR(INDEX(KALENDER!$D$3:$D$132,MATCH(H1651,KALENDER!$A$3:$A$132,0)),"Di luar periode")</f>
        <v>Hari Kerja</v>
      </c>
      <c r="N1651" s="71">
        <f t="shared" si="226"/>
        <v>0</v>
      </c>
      <c r="O1651" s="71">
        <f t="shared" si="227"/>
        <v>1</v>
      </c>
      <c r="P1651" s="71">
        <f t="shared" si="228"/>
        <v>0</v>
      </c>
      <c r="Q1651" s="71">
        <f t="shared" si="229"/>
        <v>0</v>
      </c>
      <c r="R1651" s="71">
        <f t="shared" si="230"/>
        <v>0</v>
      </c>
      <c r="S1651" s="71">
        <f t="shared" si="231"/>
        <v>0</v>
      </c>
      <c r="T1651" s="71">
        <f t="shared" si="232"/>
        <v>0</v>
      </c>
      <c r="U1651" s="71">
        <f>IF(AND(N1651=1,V1651=1),IF(COUNTIFS(AKTIVITAS!$B$2:$B$3052,B1651,AKTIVITAS!$E$2:$E$3052,H1651)&gt;0,1,0),0)</f>
        <v>0</v>
      </c>
      <c r="V1651" s="71">
        <f>IFERROR(IF(AND(H1651&gt;=INDEX(PEMAGANG!$J$3:$J$36,MATCH(B1651,PEMAGANG!$C$3:$C$36,0)),H1651&lt;=INDEX(PEMAGANG!$K$3:$K$36,MATCH(B1651,PEMAGANG!$C$3:$C$36,0))),1,0),0)</f>
        <v>1</v>
      </c>
      <c r="W1651" s="71">
        <f t="shared" si="233"/>
        <v>0</v>
      </c>
    </row>
    <row r="1652" spans="1:23" x14ac:dyDescent="0.2">
      <c r="A1652" s="71" t="s">
        <v>205</v>
      </c>
      <c r="B1652" s="71" t="s">
        <v>206</v>
      </c>
      <c r="C1652" s="71" t="s">
        <v>187</v>
      </c>
      <c r="D1652" s="71" t="s">
        <v>207</v>
      </c>
      <c r="E1652" s="71" t="s">
        <v>584</v>
      </c>
      <c r="F1652" s="71" t="s">
        <v>298</v>
      </c>
      <c r="G1652" s="88">
        <v>46288.314155092601</v>
      </c>
      <c r="H1652" s="89">
        <v>46288</v>
      </c>
      <c r="I1652" s="71" t="s">
        <v>338</v>
      </c>
      <c r="J1652" s="71">
        <v>1.99999999999999</v>
      </c>
      <c r="K1652" s="71" t="s">
        <v>293</v>
      </c>
      <c r="L1652" s="71">
        <f t="shared" si="225"/>
        <v>9</v>
      </c>
      <c r="M1652" s="71" t="str">
        <f>IFERROR(INDEX(KALENDER!$D$3:$D$132,MATCH(H1652,KALENDER!$A$3:$A$132,0)),"Di luar periode")</f>
        <v>Hari Kerja</v>
      </c>
      <c r="N1652" s="71">
        <f t="shared" si="226"/>
        <v>1</v>
      </c>
      <c r="O1652" s="71">
        <f t="shared" si="227"/>
        <v>1</v>
      </c>
      <c r="P1652" s="71">
        <f t="shared" si="228"/>
        <v>1</v>
      </c>
      <c r="Q1652" s="71">
        <f t="shared" si="229"/>
        <v>0</v>
      </c>
      <c r="R1652" s="71">
        <f t="shared" si="230"/>
        <v>1</v>
      </c>
      <c r="S1652" s="71">
        <f t="shared" si="231"/>
        <v>1.99999999999999</v>
      </c>
      <c r="T1652" s="71">
        <f t="shared" si="232"/>
        <v>0</v>
      </c>
      <c r="U1652" s="71">
        <f>IF(AND(N1652=1,V1652=1),IF(COUNTIFS(AKTIVITAS!$B$2:$B$3052,B1652,AKTIVITAS!$E$2:$E$3052,H1652)&gt;0,1,0),0)</f>
        <v>1</v>
      </c>
      <c r="V1652" s="71">
        <f>IFERROR(IF(AND(H1652&gt;=INDEX(PEMAGANG!$J$3:$J$36,MATCH(B1652,PEMAGANG!$C$3:$C$36,0)),H1652&lt;=INDEX(PEMAGANG!$K$3:$K$36,MATCH(B1652,PEMAGANG!$C$3:$C$36,0))),1,0),0)</f>
        <v>1</v>
      </c>
      <c r="W1652" s="71">
        <f t="shared" si="233"/>
        <v>1</v>
      </c>
    </row>
    <row r="1653" spans="1:23" x14ac:dyDescent="0.2">
      <c r="A1653" s="71" t="s">
        <v>205</v>
      </c>
      <c r="B1653" s="71" t="s">
        <v>206</v>
      </c>
      <c r="C1653" s="71" t="s">
        <v>187</v>
      </c>
      <c r="D1653" s="71" t="s">
        <v>207</v>
      </c>
      <c r="E1653" s="71" t="s">
        <v>584</v>
      </c>
      <c r="F1653" s="71" t="s">
        <v>300</v>
      </c>
      <c r="G1653" s="88">
        <v>46288.696053240703</v>
      </c>
      <c r="H1653" s="89">
        <v>46288</v>
      </c>
      <c r="I1653" s="71" t="s">
        <v>320</v>
      </c>
      <c r="J1653" s="71">
        <v>0</v>
      </c>
      <c r="K1653" s="71" t="s">
        <v>302</v>
      </c>
      <c r="L1653" s="71">
        <f t="shared" si="225"/>
        <v>9</v>
      </c>
      <c r="M1653" s="71" t="str">
        <f>IFERROR(INDEX(KALENDER!$D$3:$D$132,MATCH(H1653,KALENDER!$A$3:$A$132,0)),"Di luar periode")</f>
        <v>Hari Kerja</v>
      </c>
      <c r="N1653" s="71">
        <f t="shared" si="226"/>
        <v>0</v>
      </c>
      <c r="O1653" s="71">
        <f t="shared" si="227"/>
        <v>1</v>
      </c>
      <c r="P1653" s="71">
        <f t="shared" si="228"/>
        <v>0</v>
      </c>
      <c r="Q1653" s="71">
        <f t="shared" si="229"/>
        <v>0</v>
      </c>
      <c r="R1653" s="71">
        <f t="shared" si="230"/>
        <v>0</v>
      </c>
      <c r="S1653" s="71">
        <f t="shared" si="231"/>
        <v>0</v>
      </c>
      <c r="T1653" s="71">
        <f t="shared" si="232"/>
        <v>0</v>
      </c>
      <c r="U1653" s="71">
        <f>IF(AND(N1653=1,V1653=1),IF(COUNTIFS(AKTIVITAS!$B$2:$B$3052,B1653,AKTIVITAS!$E$2:$E$3052,H1653)&gt;0,1,0),0)</f>
        <v>0</v>
      </c>
      <c r="V1653" s="71">
        <f>IFERROR(IF(AND(H1653&gt;=INDEX(PEMAGANG!$J$3:$J$36,MATCH(B1653,PEMAGANG!$C$3:$C$36,0)),H1653&lt;=INDEX(PEMAGANG!$K$3:$K$36,MATCH(B1653,PEMAGANG!$C$3:$C$36,0))),1,0),0)</f>
        <v>1</v>
      </c>
      <c r="W1653" s="71">
        <f t="shared" si="233"/>
        <v>0</v>
      </c>
    </row>
    <row r="1654" spans="1:23" x14ac:dyDescent="0.2">
      <c r="A1654" s="71" t="s">
        <v>205</v>
      </c>
      <c r="B1654" s="71" t="s">
        <v>206</v>
      </c>
      <c r="C1654" s="71" t="s">
        <v>187</v>
      </c>
      <c r="D1654" s="71" t="s">
        <v>207</v>
      </c>
      <c r="E1654" s="71" t="s">
        <v>584</v>
      </c>
      <c r="F1654" s="71" t="s">
        <v>298</v>
      </c>
      <c r="G1654" s="88">
        <v>46289.312488425901</v>
      </c>
      <c r="H1654" s="89">
        <v>46289</v>
      </c>
      <c r="I1654" s="71" t="s">
        <v>365</v>
      </c>
      <c r="J1654" s="71">
        <v>-0.999999999999996</v>
      </c>
      <c r="K1654" s="71" t="s">
        <v>302</v>
      </c>
      <c r="L1654" s="71">
        <f t="shared" si="225"/>
        <v>9</v>
      </c>
      <c r="M1654" s="71" t="str">
        <f>IFERROR(INDEX(KALENDER!$D$3:$D$132,MATCH(H1654,KALENDER!$A$3:$A$132,0)),"Di luar periode")</f>
        <v>Hari Kerja</v>
      </c>
      <c r="N1654" s="71">
        <f t="shared" si="226"/>
        <v>1</v>
      </c>
      <c r="O1654" s="71">
        <f t="shared" si="227"/>
        <v>1</v>
      </c>
      <c r="P1654" s="71">
        <f t="shared" si="228"/>
        <v>1</v>
      </c>
      <c r="Q1654" s="71">
        <f t="shared" si="229"/>
        <v>0</v>
      </c>
      <c r="R1654" s="71">
        <f t="shared" si="230"/>
        <v>0</v>
      </c>
      <c r="S1654" s="71">
        <f t="shared" si="231"/>
        <v>0</v>
      </c>
      <c r="T1654" s="71">
        <f t="shared" si="232"/>
        <v>0</v>
      </c>
      <c r="U1654" s="71">
        <f>IF(AND(N1654=1,V1654=1),IF(COUNTIFS(AKTIVITAS!$B$2:$B$3052,B1654,AKTIVITAS!$E$2:$E$3052,H1654)&gt;0,1,0),0)</f>
        <v>1</v>
      </c>
      <c r="V1654" s="71">
        <f>IFERROR(IF(AND(H1654&gt;=INDEX(PEMAGANG!$J$3:$J$36,MATCH(B1654,PEMAGANG!$C$3:$C$36,0)),H1654&lt;=INDEX(PEMAGANG!$K$3:$K$36,MATCH(B1654,PEMAGANG!$C$3:$C$36,0))),1,0),0)</f>
        <v>1</v>
      </c>
      <c r="W1654" s="71">
        <f t="shared" si="233"/>
        <v>1</v>
      </c>
    </row>
    <row r="1655" spans="1:23" x14ac:dyDescent="0.2">
      <c r="A1655" s="71" t="s">
        <v>205</v>
      </c>
      <c r="B1655" s="71" t="s">
        <v>206</v>
      </c>
      <c r="C1655" s="71" t="s">
        <v>187</v>
      </c>
      <c r="D1655" s="71" t="s">
        <v>207</v>
      </c>
      <c r="E1655" s="71" t="s">
        <v>584</v>
      </c>
      <c r="F1655" s="71" t="s">
        <v>300</v>
      </c>
      <c r="G1655" s="88">
        <v>46289.727835648198</v>
      </c>
      <c r="H1655" s="89">
        <v>46289</v>
      </c>
      <c r="I1655" s="71" t="s">
        <v>391</v>
      </c>
      <c r="J1655" s="71">
        <v>0</v>
      </c>
      <c r="K1655" s="71" t="s">
        <v>302</v>
      </c>
      <c r="L1655" s="71">
        <f t="shared" si="225"/>
        <v>9</v>
      </c>
      <c r="M1655" s="71" t="str">
        <f>IFERROR(INDEX(KALENDER!$D$3:$D$132,MATCH(H1655,KALENDER!$A$3:$A$132,0)),"Di luar periode")</f>
        <v>Hari Kerja</v>
      </c>
      <c r="N1655" s="71">
        <f t="shared" si="226"/>
        <v>0</v>
      </c>
      <c r="O1655" s="71">
        <f t="shared" si="227"/>
        <v>1</v>
      </c>
      <c r="P1655" s="71">
        <f t="shared" si="228"/>
        <v>0</v>
      </c>
      <c r="Q1655" s="71">
        <f t="shared" si="229"/>
        <v>0</v>
      </c>
      <c r="R1655" s="71">
        <f t="shared" si="230"/>
        <v>0</v>
      </c>
      <c r="S1655" s="71">
        <f t="shared" si="231"/>
        <v>0</v>
      </c>
      <c r="T1655" s="71">
        <f t="shared" si="232"/>
        <v>0</v>
      </c>
      <c r="U1655" s="71">
        <f>IF(AND(N1655=1,V1655=1),IF(COUNTIFS(AKTIVITAS!$B$2:$B$3052,B1655,AKTIVITAS!$E$2:$E$3052,H1655)&gt;0,1,0),0)</f>
        <v>0</v>
      </c>
      <c r="V1655" s="71">
        <f>IFERROR(IF(AND(H1655&gt;=INDEX(PEMAGANG!$J$3:$J$36,MATCH(B1655,PEMAGANG!$C$3:$C$36,0)),H1655&lt;=INDEX(PEMAGANG!$K$3:$K$36,MATCH(B1655,PEMAGANG!$C$3:$C$36,0))),1,0),0)</f>
        <v>1</v>
      </c>
      <c r="W1655" s="71">
        <f t="shared" si="233"/>
        <v>0</v>
      </c>
    </row>
    <row r="1656" spans="1:23" x14ac:dyDescent="0.2">
      <c r="A1656" s="71" t="s">
        <v>205</v>
      </c>
      <c r="B1656" s="71" t="s">
        <v>206</v>
      </c>
      <c r="C1656" s="71" t="s">
        <v>187</v>
      </c>
      <c r="D1656" s="71" t="s">
        <v>207</v>
      </c>
      <c r="E1656" s="71" t="s">
        <v>584</v>
      </c>
      <c r="F1656" s="71" t="s">
        <v>298</v>
      </c>
      <c r="G1656" s="88">
        <v>46290.309247685203</v>
      </c>
      <c r="H1656" s="89">
        <v>46290</v>
      </c>
      <c r="I1656" s="71" t="s">
        <v>307</v>
      </c>
      <c r="J1656" s="71">
        <v>-4.9999999999999796</v>
      </c>
      <c r="K1656" s="71" t="s">
        <v>302</v>
      </c>
      <c r="L1656" s="71">
        <f t="shared" si="225"/>
        <v>9</v>
      </c>
      <c r="M1656" s="71" t="str">
        <f>IFERROR(INDEX(KALENDER!$D$3:$D$132,MATCH(H1656,KALENDER!$A$3:$A$132,0)),"Di luar periode")</f>
        <v>Hari Kerja</v>
      </c>
      <c r="N1656" s="71">
        <f t="shared" si="226"/>
        <v>1</v>
      </c>
      <c r="O1656" s="71">
        <f t="shared" si="227"/>
        <v>1</v>
      </c>
      <c r="P1656" s="71">
        <f t="shared" si="228"/>
        <v>1</v>
      </c>
      <c r="Q1656" s="71">
        <f t="shared" si="229"/>
        <v>0</v>
      </c>
      <c r="R1656" s="71">
        <f t="shared" si="230"/>
        <v>0</v>
      </c>
      <c r="S1656" s="71">
        <f t="shared" si="231"/>
        <v>0</v>
      </c>
      <c r="T1656" s="71">
        <f t="shared" si="232"/>
        <v>0</v>
      </c>
      <c r="U1656" s="71">
        <f>IF(AND(N1656=1,V1656=1),IF(COUNTIFS(AKTIVITAS!$B$2:$B$3052,B1656,AKTIVITAS!$E$2:$E$3052,H1656)&gt;0,1,0),0)</f>
        <v>1</v>
      </c>
      <c r="V1656" s="71">
        <f>IFERROR(IF(AND(H1656&gt;=INDEX(PEMAGANG!$J$3:$J$36,MATCH(B1656,PEMAGANG!$C$3:$C$36,0)),H1656&lt;=INDEX(PEMAGANG!$K$3:$K$36,MATCH(B1656,PEMAGANG!$C$3:$C$36,0))),1,0),0)</f>
        <v>1</v>
      </c>
      <c r="W1656" s="71">
        <f t="shared" si="233"/>
        <v>1</v>
      </c>
    </row>
    <row r="1657" spans="1:23" x14ac:dyDescent="0.2">
      <c r="A1657" s="71" t="s">
        <v>205</v>
      </c>
      <c r="B1657" s="71" t="s">
        <v>206</v>
      </c>
      <c r="C1657" s="71" t="s">
        <v>187</v>
      </c>
      <c r="D1657" s="71" t="s">
        <v>207</v>
      </c>
      <c r="E1657" s="71" t="s">
        <v>584</v>
      </c>
      <c r="F1657" s="71" t="s">
        <v>298</v>
      </c>
      <c r="G1657" s="88">
        <v>46290.707812499997</v>
      </c>
      <c r="H1657" s="89">
        <v>46290</v>
      </c>
      <c r="I1657" s="71" t="s">
        <v>364</v>
      </c>
      <c r="J1657" s="71">
        <v>569</v>
      </c>
      <c r="K1657" s="71" t="s">
        <v>293</v>
      </c>
      <c r="L1657" s="71">
        <f t="shared" si="225"/>
        <v>9</v>
      </c>
      <c r="M1657" s="71" t="str">
        <f>IFERROR(INDEX(KALENDER!$D$3:$D$132,MATCH(H1657,KALENDER!$A$3:$A$132,0)),"Di luar periode")</f>
        <v>Hari Kerja</v>
      </c>
      <c r="N1657" s="71">
        <f t="shared" si="226"/>
        <v>0</v>
      </c>
      <c r="O1657" s="71">
        <f t="shared" si="227"/>
        <v>2</v>
      </c>
      <c r="P1657" s="71">
        <f t="shared" si="228"/>
        <v>0</v>
      </c>
      <c r="Q1657" s="71">
        <f t="shared" si="229"/>
        <v>0</v>
      </c>
      <c r="R1657" s="71">
        <f t="shared" si="230"/>
        <v>0</v>
      </c>
      <c r="S1657" s="71">
        <f t="shared" si="231"/>
        <v>0</v>
      </c>
      <c r="T1657" s="71">
        <f t="shared" si="232"/>
        <v>0</v>
      </c>
      <c r="U1657" s="71">
        <f>IF(AND(N1657=1,V1657=1),IF(COUNTIFS(AKTIVITAS!$B$2:$B$3052,B1657,AKTIVITAS!$E$2:$E$3052,H1657)&gt;0,1,0),0)</f>
        <v>0</v>
      </c>
      <c r="V1657" s="71">
        <f>IFERROR(IF(AND(H1657&gt;=INDEX(PEMAGANG!$J$3:$J$36,MATCH(B1657,PEMAGANG!$C$3:$C$36,0)),H1657&lt;=INDEX(PEMAGANG!$K$3:$K$36,MATCH(B1657,PEMAGANG!$C$3:$C$36,0))),1,0),0)</f>
        <v>1</v>
      </c>
      <c r="W1657" s="71">
        <f t="shared" si="233"/>
        <v>0</v>
      </c>
    </row>
    <row r="1658" spans="1:23" x14ac:dyDescent="0.2">
      <c r="A1658" s="71" t="s">
        <v>205</v>
      </c>
      <c r="B1658" s="71" t="s">
        <v>206</v>
      </c>
      <c r="C1658" s="71" t="s">
        <v>187</v>
      </c>
      <c r="D1658" s="71" t="s">
        <v>207</v>
      </c>
      <c r="E1658" s="71" t="s">
        <v>584</v>
      </c>
      <c r="F1658" s="71" t="s">
        <v>300</v>
      </c>
      <c r="G1658" s="88">
        <v>46290.708124999997</v>
      </c>
      <c r="H1658" s="89">
        <v>46290</v>
      </c>
      <c r="I1658" s="71" t="s">
        <v>364</v>
      </c>
      <c r="J1658" s="71">
        <v>0</v>
      </c>
      <c r="K1658" s="71" t="s">
        <v>302</v>
      </c>
      <c r="L1658" s="71">
        <f t="shared" si="225"/>
        <v>9</v>
      </c>
      <c r="M1658" s="71" t="str">
        <f>IFERROR(INDEX(KALENDER!$D$3:$D$132,MATCH(H1658,KALENDER!$A$3:$A$132,0)),"Di luar periode")</f>
        <v>Hari Kerja</v>
      </c>
      <c r="N1658" s="71">
        <f t="shared" si="226"/>
        <v>0</v>
      </c>
      <c r="O1658" s="71">
        <f t="shared" si="227"/>
        <v>2</v>
      </c>
      <c r="P1658" s="71">
        <f t="shared" si="228"/>
        <v>0</v>
      </c>
      <c r="Q1658" s="71">
        <f t="shared" si="229"/>
        <v>0</v>
      </c>
      <c r="R1658" s="71">
        <f t="shared" si="230"/>
        <v>0</v>
      </c>
      <c r="S1658" s="71">
        <f t="shared" si="231"/>
        <v>0</v>
      </c>
      <c r="T1658" s="71">
        <f t="shared" si="232"/>
        <v>0</v>
      </c>
      <c r="U1658" s="71">
        <f>IF(AND(N1658=1,V1658=1),IF(COUNTIFS(AKTIVITAS!$B$2:$B$3052,B1658,AKTIVITAS!$E$2:$E$3052,H1658)&gt;0,1,0),0)</f>
        <v>0</v>
      </c>
      <c r="V1658" s="71">
        <f>IFERROR(IF(AND(H1658&gt;=INDEX(PEMAGANG!$J$3:$J$36,MATCH(B1658,PEMAGANG!$C$3:$C$36,0)),H1658&lt;=INDEX(PEMAGANG!$K$3:$K$36,MATCH(B1658,PEMAGANG!$C$3:$C$36,0))),1,0),0)</f>
        <v>1</v>
      </c>
      <c r="W1658" s="71">
        <f t="shared" si="233"/>
        <v>0</v>
      </c>
    </row>
    <row r="1659" spans="1:23" x14ac:dyDescent="0.2">
      <c r="A1659" s="71" t="s">
        <v>205</v>
      </c>
      <c r="B1659" s="71" t="s">
        <v>206</v>
      </c>
      <c r="C1659" s="71" t="s">
        <v>187</v>
      </c>
      <c r="D1659" s="71" t="s">
        <v>207</v>
      </c>
      <c r="E1659" s="71" t="s">
        <v>584</v>
      </c>
      <c r="F1659" s="71" t="s">
        <v>298</v>
      </c>
      <c r="G1659" s="88">
        <v>46293.289317129602</v>
      </c>
      <c r="H1659" s="89">
        <v>46293</v>
      </c>
      <c r="I1659" s="71" t="s">
        <v>504</v>
      </c>
      <c r="J1659" s="71">
        <v>-34</v>
      </c>
      <c r="K1659" s="71" t="s">
        <v>302</v>
      </c>
      <c r="L1659" s="71">
        <f t="shared" si="225"/>
        <v>9</v>
      </c>
      <c r="M1659" s="71" t="str">
        <f>IFERROR(INDEX(KALENDER!$D$3:$D$132,MATCH(H1659,KALENDER!$A$3:$A$132,0)),"Di luar periode")</f>
        <v>Hari Kerja</v>
      </c>
      <c r="N1659" s="71">
        <f t="shared" si="226"/>
        <v>1</v>
      </c>
      <c r="O1659" s="71">
        <f t="shared" si="227"/>
        <v>1</v>
      </c>
      <c r="P1659" s="71">
        <f t="shared" si="228"/>
        <v>1</v>
      </c>
      <c r="Q1659" s="71">
        <f t="shared" si="229"/>
        <v>0</v>
      </c>
      <c r="R1659" s="71">
        <f t="shared" si="230"/>
        <v>0</v>
      </c>
      <c r="S1659" s="71">
        <f t="shared" si="231"/>
        <v>0</v>
      </c>
      <c r="T1659" s="71">
        <f t="shared" si="232"/>
        <v>0</v>
      </c>
      <c r="U1659" s="71">
        <f>IF(AND(N1659=1,V1659=1),IF(COUNTIFS(AKTIVITAS!$B$2:$B$3052,B1659,AKTIVITAS!$E$2:$E$3052,H1659)&gt;0,1,0),0)</f>
        <v>1</v>
      </c>
      <c r="V1659" s="71">
        <f>IFERROR(IF(AND(H1659&gt;=INDEX(PEMAGANG!$J$3:$J$36,MATCH(B1659,PEMAGANG!$C$3:$C$36,0)),H1659&lt;=INDEX(PEMAGANG!$K$3:$K$36,MATCH(B1659,PEMAGANG!$C$3:$C$36,0))),1,0),0)</f>
        <v>1</v>
      </c>
      <c r="W1659" s="71">
        <f t="shared" si="233"/>
        <v>1</v>
      </c>
    </row>
    <row r="1660" spans="1:23" x14ac:dyDescent="0.2">
      <c r="A1660" s="71" t="s">
        <v>205</v>
      </c>
      <c r="B1660" s="71" t="s">
        <v>206</v>
      </c>
      <c r="C1660" s="71" t="s">
        <v>187</v>
      </c>
      <c r="D1660" s="71" t="s">
        <v>207</v>
      </c>
      <c r="E1660" s="71" t="s">
        <v>584</v>
      </c>
      <c r="F1660" s="71" t="s">
        <v>300</v>
      </c>
      <c r="G1660" s="88">
        <v>46293.692812499998</v>
      </c>
      <c r="H1660" s="89">
        <v>46293</v>
      </c>
      <c r="I1660" s="71" t="s">
        <v>328</v>
      </c>
      <c r="J1660" s="71">
        <v>0</v>
      </c>
      <c r="K1660" s="71" t="s">
        <v>302</v>
      </c>
      <c r="L1660" s="71">
        <f t="shared" si="225"/>
        <v>9</v>
      </c>
      <c r="M1660" s="71" t="str">
        <f>IFERROR(INDEX(KALENDER!$D$3:$D$132,MATCH(H1660,KALENDER!$A$3:$A$132,0)),"Di luar periode")</f>
        <v>Hari Kerja</v>
      </c>
      <c r="N1660" s="71">
        <f t="shared" si="226"/>
        <v>0</v>
      </c>
      <c r="O1660" s="71">
        <f t="shared" si="227"/>
        <v>1</v>
      </c>
      <c r="P1660" s="71">
        <f t="shared" si="228"/>
        <v>0</v>
      </c>
      <c r="Q1660" s="71">
        <f t="shared" si="229"/>
        <v>0</v>
      </c>
      <c r="R1660" s="71">
        <f t="shared" si="230"/>
        <v>0</v>
      </c>
      <c r="S1660" s="71">
        <f t="shared" si="231"/>
        <v>0</v>
      </c>
      <c r="T1660" s="71">
        <f t="shared" si="232"/>
        <v>0</v>
      </c>
      <c r="U1660" s="71">
        <f>IF(AND(N1660=1,V1660=1),IF(COUNTIFS(AKTIVITAS!$B$2:$B$3052,B1660,AKTIVITAS!$E$2:$E$3052,H1660)&gt;0,1,0),0)</f>
        <v>0</v>
      </c>
      <c r="V1660" s="71">
        <f>IFERROR(IF(AND(H1660&gt;=INDEX(PEMAGANG!$J$3:$J$36,MATCH(B1660,PEMAGANG!$C$3:$C$36,0)),H1660&lt;=INDEX(PEMAGANG!$K$3:$K$36,MATCH(B1660,PEMAGANG!$C$3:$C$36,0))),1,0),0)</f>
        <v>1</v>
      </c>
      <c r="W1660" s="71">
        <f t="shared" si="233"/>
        <v>0</v>
      </c>
    </row>
    <row r="1661" spans="1:23" x14ac:dyDescent="0.2">
      <c r="A1661" s="71" t="s">
        <v>205</v>
      </c>
      <c r="B1661" s="71" t="s">
        <v>206</v>
      </c>
      <c r="C1661" s="71" t="s">
        <v>187</v>
      </c>
      <c r="D1661" s="71" t="s">
        <v>207</v>
      </c>
      <c r="E1661" s="71" t="s">
        <v>584</v>
      </c>
      <c r="F1661" s="71" t="s">
        <v>298</v>
      </c>
      <c r="G1661" s="88">
        <v>46294.3071643519</v>
      </c>
      <c r="H1661" s="89">
        <v>46294</v>
      </c>
      <c r="I1661" s="71" t="s">
        <v>313</v>
      </c>
      <c r="J1661" s="71">
        <v>-8.0000000000000497</v>
      </c>
      <c r="K1661" s="71" t="s">
        <v>302</v>
      </c>
      <c r="L1661" s="71">
        <f t="shared" si="225"/>
        <v>9</v>
      </c>
      <c r="M1661" s="71" t="str">
        <f>IFERROR(INDEX(KALENDER!$D$3:$D$132,MATCH(H1661,KALENDER!$A$3:$A$132,0)),"Di luar periode")</f>
        <v>Hari Kerja</v>
      </c>
      <c r="N1661" s="71">
        <f t="shared" si="226"/>
        <v>1</v>
      </c>
      <c r="O1661" s="71">
        <f t="shared" si="227"/>
        <v>1</v>
      </c>
      <c r="P1661" s="71">
        <f t="shared" si="228"/>
        <v>1</v>
      </c>
      <c r="Q1661" s="71">
        <f t="shared" si="229"/>
        <v>0</v>
      </c>
      <c r="R1661" s="71">
        <f t="shared" si="230"/>
        <v>0</v>
      </c>
      <c r="S1661" s="71">
        <f t="shared" si="231"/>
        <v>0</v>
      </c>
      <c r="T1661" s="71">
        <f t="shared" si="232"/>
        <v>0</v>
      </c>
      <c r="U1661" s="71">
        <f>IF(AND(N1661=1,V1661=1),IF(COUNTIFS(AKTIVITAS!$B$2:$B$3052,B1661,AKTIVITAS!$E$2:$E$3052,H1661)&gt;0,1,0),0)</f>
        <v>1</v>
      </c>
      <c r="V1661" s="71">
        <f>IFERROR(IF(AND(H1661&gt;=INDEX(PEMAGANG!$J$3:$J$36,MATCH(B1661,PEMAGANG!$C$3:$C$36,0)),H1661&lt;=INDEX(PEMAGANG!$K$3:$K$36,MATCH(B1661,PEMAGANG!$C$3:$C$36,0))),1,0),0)</f>
        <v>1</v>
      </c>
      <c r="W1661" s="71">
        <f t="shared" si="233"/>
        <v>1</v>
      </c>
    </row>
    <row r="1662" spans="1:23" x14ac:dyDescent="0.2">
      <c r="A1662" s="71" t="s">
        <v>205</v>
      </c>
      <c r="B1662" s="71" t="s">
        <v>206</v>
      </c>
      <c r="C1662" s="71" t="s">
        <v>187</v>
      </c>
      <c r="D1662" s="71" t="s">
        <v>207</v>
      </c>
      <c r="E1662" s="71" t="s">
        <v>584</v>
      </c>
      <c r="F1662" s="71" t="s">
        <v>300</v>
      </c>
      <c r="G1662" s="88">
        <v>46294.689108796301</v>
      </c>
      <c r="H1662" s="89">
        <v>46294</v>
      </c>
      <c r="I1662" s="71" t="s">
        <v>306</v>
      </c>
      <c r="J1662" s="71">
        <v>0</v>
      </c>
      <c r="K1662" s="71" t="s">
        <v>302</v>
      </c>
      <c r="L1662" s="71">
        <f t="shared" si="225"/>
        <v>9</v>
      </c>
      <c r="M1662" s="71" t="str">
        <f>IFERROR(INDEX(KALENDER!$D$3:$D$132,MATCH(H1662,KALENDER!$A$3:$A$132,0)),"Di luar periode")</f>
        <v>Hari Kerja</v>
      </c>
      <c r="N1662" s="71">
        <f t="shared" si="226"/>
        <v>0</v>
      </c>
      <c r="O1662" s="71">
        <f t="shared" si="227"/>
        <v>1</v>
      </c>
      <c r="P1662" s="71">
        <f t="shared" si="228"/>
        <v>0</v>
      </c>
      <c r="Q1662" s="71">
        <f t="shared" si="229"/>
        <v>0</v>
      </c>
      <c r="R1662" s="71">
        <f t="shared" si="230"/>
        <v>0</v>
      </c>
      <c r="S1662" s="71">
        <f t="shared" si="231"/>
        <v>0</v>
      </c>
      <c r="T1662" s="71">
        <f t="shared" si="232"/>
        <v>0</v>
      </c>
      <c r="U1662" s="71">
        <f>IF(AND(N1662=1,V1662=1),IF(COUNTIFS(AKTIVITAS!$B$2:$B$3052,B1662,AKTIVITAS!$E$2:$E$3052,H1662)&gt;0,1,0),0)</f>
        <v>0</v>
      </c>
      <c r="V1662" s="71">
        <f>IFERROR(IF(AND(H1662&gt;=INDEX(PEMAGANG!$J$3:$J$36,MATCH(B1662,PEMAGANG!$C$3:$C$36,0)),H1662&lt;=INDEX(PEMAGANG!$K$3:$K$36,MATCH(B1662,PEMAGANG!$C$3:$C$36,0))),1,0),0)</f>
        <v>1</v>
      </c>
      <c r="W1662" s="71">
        <f t="shared" si="233"/>
        <v>0</v>
      </c>
    </row>
    <row r="1663" spans="1:23" x14ac:dyDescent="0.2">
      <c r="A1663" s="71" t="s">
        <v>205</v>
      </c>
      <c r="B1663" s="71" t="s">
        <v>206</v>
      </c>
      <c r="C1663" s="71" t="s">
        <v>187</v>
      </c>
      <c r="D1663" s="71" t="s">
        <v>207</v>
      </c>
      <c r="E1663" s="71" t="s">
        <v>584</v>
      </c>
      <c r="F1663" s="71" t="s">
        <v>298</v>
      </c>
      <c r="G1663" s="88">
        <v>46295.309664351902</v>
      </c>
      <c r="H1663" s="89">
        <v>46295</v>
      </c>
      <c r="I1663" s="71" t="s">
        <v>307</v>
      </c>
      <c r="J1663" s="71">
        <v>-4.9999999999999796</v>
      </c>
      <c r="K1663" s="71" t="s">
        <v>302</v>
      </c>
      <c r="L1663" s="71">
        <f t="shared" si="225"/>
        <v>9</v>
      </c>
      <c r="M1663" s="71" t="str">
        <f>IFERROR(INDEX(KALENDER!$D$3:$D$132,MATCH(H1663,KALENDER!$A$3:$A$132,0)),"Di luar periode")</f>
        <v>Hari Kerja</v>
      </c>
      <c r="N1663" s="71">
        <f t="shared" si="226"/>
        <v>1</v>
      </c>
      <c r="O1663" s="71">
        <f t="shared" si="227"/>
        <v>1</v>
      </c>
      <c r="P1663" s="71">
        <f t="shared" si="228"/>
        <v>1</v>
      </c>
      <c r="Q1663" s="71">
        <f t="shared" si="229"/>
        <v>0</v>
      </c>
      <c r="R1663" s="71">
        <f t="shared" si="230"/>
        <v>0</v>
      </c>
      <c r="S1663" s="71">
        <f t="shared" si="231"/>
        <v>0</v>
      </c>
      <c r="T1663" s="71">
        <f t="shared" si="232"/>
        <v>0</v>
      </c>
      <c r="U1663" s="71">
        <f>IF(AND(N1663=1,V1663=1),IF(COUNTIFS(AKTIVITAS!$B$2:$B$3052,B1663,AKTIVITAS!$E$2:$E$3052,H1663)&gt;0,1,0),0)</f>
        <v>1</v>
      </c>
      <c r="V1663" s="71">
        <f>IFERROR(IF(AND(H1663&gt;=INDEX(PEMAGANG!$J$3:$J$36,MATCH(B1663,PEMAGANG!$C$3:$C$36,0)),H1663&lt;=INDEX(PEMAGANG!$K$3:$K$36,MATCH(B1663,PEMAGANG!$C$3:$C$36,0))),1,0),0)</f>
        <v>1</v>
      </c>
      <c r="W1663" s="71">
        <f t="shared" si="233"/>
        <v>1</v>
      </c>
    </row>
    <row r="1664" spans="1:23" x14ac:dyDescent="0.2">
      <c r="A1664" s="71" t="s">
        <v>205</v>
      </c>
      <c r="B1664" s="71" t="s">
        <v>206</v>
      </c>
      <c r="C1664" s="71" t="s">
        <v>187</v>
      </c>
      <c r="D1664" s="71" t="s">
        <v>207</v>
      </c>
      <c r="E1664" s="71" t="s">
        <v>584</v>
      </c>
      <c r="F1664" s="71" t="s">
        <v>300</v>
      </c>
      <c r="G1664" s="88">
        <v>46295.721284722204</v>
      </c>
      <c r="H1664" s="89">
        <v>46295</v>
      </c>
      <c r="I1664" s="71" t="s">
        <v>473</v>
      </c>
      <c r="J1664" s="71">
        <v>0</v>
      </c>
      <c r="K1664" s="71" t="s">
        <v>302</v>
      </c>
      <c r="L1664" s="71">
        <f t="shared" si="225"/>
        <v>9</v>
      </c>
      <c r="M1664" s="71" t="str">
        <f>IFERROR(INDEX(KALENDER!$D$3:$D$132,MATCH(H1664,KALENDER!$A$3:$A$132,0)),"Di luar periode")</f>
        <v>Hari Kerja</v>
      </c>
      <c r="N1664" s="71">
        <f t="shared" si="226"/>
        <v>0</v>
      </c>
      <c r="O1664" s="71">
        <f t="shared" si="227"/>
        <v>1</v>
      </c>
      <c r="P1664" s="71">
        <f t="shared" si="228"/>
        <v>0</v>
      </c>
      <c r="Q1664" s="71">
        <f t="shared" si="229"/>
        <v>0</v>
      </c>
      <c r="R1664" s="71">
        <f t="shared" si="230"/>
        <v>0</v>
      </c>
      <c r="S1664" s="71">
        <f t="shared" si="231"/>
        <v>0</v>
      </c>
      <c r="T1664" s="71">
        <f t="shared" si="232"/>
        <v>0</v>
      </c>
      <c r="U1664" s="71">
        <f>IF(AND(N1664=1,V1664=1),IF(COUNTIFS(AKTIVITAS!$B$2:$B$3052,B1664,AKTIVITAS!$E$2:$E$3052,H1664)&gt;0,1,0),0)</f>
        <v>0</v>
      </c>
      <c r="V1664" s="71">
        <f>IFERROR(IF(AND(H1664&gt;=INDEX(PEMAGANG!$J$3:$J$36,MATCH(B1664,PEMAGANG!$C$3:$C$36,0)),H1664&lt;=INDEX(PEMAGANG!$K$3:$K$36,MATCH(B1664,PEMAGANG!$C$3:$C$36,0))),1,0),0)</f>
        <v>1</v>
      </c>
      <c r="W1664" s="71">
        <f t="shared" si="233"/>
        <v>0</v>
      </c>
    </row>
    <row r="1665" spans="1:23" x14ac:dyDescent="0.2">
      <c r="A1665" s="71" t="s">
        <v>246</v>
      </c>
      <c r="B1665" s="71" t="s">
        <v>247</v>
      </c>
      <c r="C1665" s="71" t="s">
        <v>187</v>
      </c>
      <c r="D1665" s="71" t="s">
        <v>248</v>
      </c>
      <c r="E1665" s="71" t="s">
        <v>586</v>
      </c>
      <c r="F1665" s="71" t="s">
        <v>298</v>
      </c>
      <c r="G1665" s="88">
        <v>46175.311249999999</v>
      </c>
      <c r="H1665" s="89">
        <v>46175</v>
      </c>
      <c r="I1665" s="71" t="s">
        <v>377</v>
      </c>
      <c r="J1665" s="71">
        <v>-1.99999999999999</v>
      </c>
      <c r="K1665" s="71" t="s">
        <v>302</v>
      </c>
      <c r="L1665" s="71">
        <f t="shared" si="225"/>
        <v>6</v>
      </c>
      <c r="M1665" s="71" t="str">
        <f>IFERROR(INDEX(KALENDER!$D$3:$D$132,MATCH(H1665,KALENDER!$A$3:$A$132,0)),"Di luar periode")</f>
        <v>Hari Kerja</v>
      </c>
      <c r="N1665" s="71">
        <f t="shared" si="226"/>
        <v>1</v>
      </c>
      <c r="O1665" s="71">
        <f t="shared" si="227"/>
        <v>1</v>
      </c>
      <c r="P1665" s="71">
        <f t="shared" si="228"/>
        <v>1</v>
      </c>
      <c r="Q1665" s="71">
        <f t="shared" si="229"/>
        <v>0</v>
      </c>
      <c r="R1665" s="71">
        <f t="shared" si="230"/>
        <v>0</v>
      </c>
      <c r="S1665" s="71">
        <f t="shared" si="231"/>
        <v>0</v>
      </c>
      <c r="T1665" s="71">
        <f t="shared" si="232"/>
        <v>0</v>
      </c>
      <c r="U1665" s="71">
        <f>IF(AND(N1665=1,V1665=1),IF(COUNTIFS(AKTIVITAS!$B$2:$B$3052,B1665,AKTIVITAS!$E$2:$E$3052,H1665)&gt;0,1,0),0)</f>
        <v>1</v>
      </c>
      <c r="V1665" s="71">
        <f>IFERROR(IF(AND(H1665&gt;=INDEX(PEMAGANG!$J$3:$J$36,MATCH(B1665,PEMAGANG!$C$3:$C$36,0)),H1665&lt;=INDEX(PEMAGANG!$K$3:$K$36,MATCH(B1665,PEMAGANG!$C$3:$C$36,0))),1,0),0)</f>
        <v>1</v>
      </c>
      <c r="W1665" s="71">
        <f t="shared" si="233"/>
        <v>1</v>
      </c>
    </row>
    <row r="1666" spans="1:23" x14ac:dyDescent="0.2">
      <c r="A1666" s="71" t="s">
        <v>246</v>
      </c>
      <c r="B1666" s="71" t="s">
        <v>247</v>
      </c>
      <c r="C1666" s="71" t="s">
        <v>187</v>
      </c>
      <c r="D1666" s="71" t="s">
        <v>248</v>
      </c>
      <c r="E1666" s="71" t="s">
        <v>586</v>
      </c>
      <c r="F1666" s="71" t="s">
        <v>300</v>
      </c>
      <c r="G1666" s="88">
        <v>46175.690821759301</v>
      </c>
      <c r="H1666" s="89">
        <v>46175</v>
      </c>
      <c r="I1666" s="71" t="s">
        <v>314</v>
      </c>
      <c r="J1666" s="71">
        <v>0</v>
      </c>
      <c r="K1666" s="71" t="s">
        <v>302</v>
      </c>
      <c r="L1666" s="71">
        <f t="shared" ref="L1666:L1729" si="234">MONTH(H1666)</f>
        <v>6</v>
      </c>
      <c r="M1666" s="71" t="str">
        <f>IFERROR(INDEX(KALENDER!$D$3:$D$132,MATCH(H1666,KALENDER!$A$3:$A$132,0)),"Di luar periode")</f>
        <v>Hari Kerja</v>
      </c>
      <c r="N1666" s="71">
        <f t="shared" ref="N1666:N1729" si="235">IF(AND(B1666=B1665,H1666=H1665),0,1)</f>
        <v>0</v>
      </c>
      <c r="O1666" s="71">
        <f t="shared" ref="O1666:O1729" si="236">IF(N1666=1,0,O1665)+IF(F1666="MASUK",1,0)</f>
        <v>1</v>
      </c>
      <c r="P1666" s="71">
        <f t="shared" ref="P1666:P1729" si="237">IF(AND(N1666=1,M1666="Hari Kerja",V1666=1),1,0)</f>
        <v>0</v>
      </c>
      <c r="Q1666" s="71">
        <f t="shared" ref="Q1666:Q1729" si="238">IF(AND(N1666=1,OR(M1666&lt;&gt;"Hari Kerja",V1666=0)),1,0)</f>
        <v>0</v>
      </c>
      <c r="R1666" s="71">
        <f t="shared" ref="R1666:R1729" si="239">IF(AND(F1666="MASUK",O1666=1,N(J1666)&gt;0,V1666=1),1,0)</f>
        <v>0</v>
      </c>
      <c r="S1666" s="71">
        <f t="shared" ref="S1666:S1729" si="240">R1666*N(J1666)</f>
        <v>0</v>
      </c>
      <c r="T1666" s="71">
        <f t="shared" ref="T1666:T1729" si="241">IF(AND(N1666=1,V1666=1),IF(AND(COUNTIFS($B$2:$B$4094,B1666,$H$2:$H$4094,H1666,$F$2:$F$4094,"MASUK")&gt;0,COUNTIFS($B$2:$B$4094,B1666,$H$2:$H$4094,H1666,$F$2:$F$4094,"PULANG")=0),1,0),0)</f>
        <v>0</v>
      </c>
      <c r="U1666" s="71">
        <f>IF(AND(N1666=1,V1666=1),IF(COUNTIFS(AKTIVITAS!$B$2:$B$3052,B1666,AKTIVITAS!$E$2:$E$3052,H1666)&gt;0,1,0),0)</f>
        <v>0</v>
      </c>
      <c r="V1666" s="71">
        <f>IFERROR(IF(AND(H1666&gt;=INDEX(PEMAGANG!$J$3:$J$36,MATCH(B1666,PEMAGANG!$C$3:$C$36,0)),H1666&lt;=INDEX(PEMAGANG!$K$3:$K$36,MATCH(B1666,PEMAGANG!$C$3:$C$36,0))),1,0),0)</f>
        <v>1</v>
      </c>
      <c r="W1666" s="71">
        <f t="shared" ref="W1666:W1729" si="242">N1666*V1666</f>
        <v>0</v>
      </c>
    </row>
    <row r="1667" spans="1:23" x14ac:dyDescent="0.2">
      <c r="A1667" s="71" t="s">
        <v>246</v>
      </c>
      <c r="B1667" s="71" t="s">
        <v>247</v>
      </c>
      <c r="C1667" s="71" t="s">
        <v>187</v>
      </c>
      <c r="D1667" s="71" t="s">
        <v>248</v>
      </c>
      <c r="E1667" s="71" t="s">
        <v>586</v>
      </c>
      <c r="F1667" s="71" t="s">
        <v>298</v>
      </c>
      <c r="G1667" s="88">
        <v>46176.3041435185</v>
      </c>
      <c r="H1667" s="89">
        <v>46176</v>
      </c>
      <c r="I1667" s="71" t="s">
        <v>331</v>
      </c>
      <c r="J1667" s="71">
        <v>-13</v>
      </c>
      <c r="K1667" s="71" t="s">
        <v>302</v>
      </c>
      <c r="L1667" s="71">
        <f t="shared" si="234"/>
        <v>6</v>
      </c>
      <c r="M1667" s="71" t="str">
        <f>IFERROR(INDEX(KALENDER!$D$3:$D$132,MATCH(H1667,KALENDER!$A$3:$A$132,0)),"Di luar periode")</f>
        <v>WFH</v>
      </c>
      <c r="N1667" s="71">
        <f t="shared" si="235"/>
        <v>1</v>
      </c>
      <c r="O1667" s="71">
        <f t="shared" si="236"/>
        <v>1</v>
      </c>
      <c r="P1667" s="71">
        <f t="shared" si="237"/>
        <v>0</v>
      </c>
      <c r="Q1667" s="71">
        <f t="shared" si="238"/>
        <v>1</v>
      </c>
      <c r="R1667" s="71">
        <f t="shared" si="239"/>
        <v>0</v>
      </c>
      <c r="S1667" s="71">
        <f t="shared" si="240"/>
        <v>0</v>
      </c>
      <c r="T1667" s="71">
        <f t="shared" si="241"/>
        <v>0</v>
      </c>
      <c r="U1667" s="71">
        <f>IF(AND(N1667=1,V1667=1),IF(COUNTIFS(AKTIVITAS!$B$2:$B$3052,B1667,AKTIVITAS!$E$2:$E$3052,H1667)&gt;0,1,0),0)</f>
        <v>1</v>
      </c>
      <c r="V1667" s="71">
        <f>IFERROR(IF(AND(H1667&gt;=INDEX(PEMAGANG!$J$3:$J$36,MATCH(B1667,PEMAGANG!$C$3:$C$36,0)),H1667&lt;=INDEX(PEMAGANG!$K$3:$K$36,MATCH(B1667,PEMAGANG!$C$3:$C$36,0))),1,0),0)</f>
        <v>1</v>
      </c>
      <c r="W1667" s="71">
        <f t="shared" si="242"/>
        <v>1</v>
      </c>
    </row>
    <row r="1668" spans="1:23" x14ac:dyDescent="0.2">
      <c r="A1668" s="71" t="s">
        <v>246</v>
      </c>
      <c r="B1668" s="71" t="s">
        <v>247</v>
      </c>
      <c r="C1668" s="71" t="s">
        <v>187</v>
      </c>
      <c r="D1668" s="71" t="s">
        <v>248</v>
      </c>
      <c r="E1668" s="71" t="s">
        <v>586</v>
      </c>
      <c r="F1668" s="71" t="s">
        <v>300</v>
      </c>
      <c r="G1668" s="88">
        <v>46176.7039351852</v>
      </c>
      <c r="H1668" s="89">
        <v>46176</v>
      </c>
      <c r="I1668" s="71" t="s">
        <v>403</v>
      </c>
      <c r="J1668" s="71">
        <v>0</v>
      </c>
      <c r="K1668" s="71" t="s">
        <v>302</v>
      </c>
      <c r="L1668" s="71">
        <f t="shared" si="234"/>
        <v>6</v>
      </c>
      <c r="M1668" s="71" t="str">
        <f>IFERROR(INDEX(KALENDER!$D$3:$D$132,MATCH(H1668,KALENDER!$A$3:$A$132,0)),"Di luar periode")</f>
        <v>WFH</v>
      </c>
      <c r="N1668" s="71">
        <f t="shared" si="235"/>
        <v>0</v>
      </c>
      <c r="O1668" s="71">
        <f t="shared" si="236"/>
        <v>1</v>
      </c>
      <c r="P1668" s="71">
        <f t="shared" si="237"/>
        <v>0</v>
      </c>
      <c r="Q1668" s="71">
        <f t="shared" si="238"/>
        <v>0</v>
      </c>
      <c r="R1668" s="71">
        <f t="shared" si="239"/>
        <v>0</v>
      </c>
      <c r="S1668" s="71">
        <f t="shared" si="240"/>
        <v>0</v>
      </c>
      <c r="T1668" s="71">
        <f t="shared" si="241"/>
        <v>0</v>
      </c>
      <c r="U1668" s="71">
        <f>IF(AND(N1668=1,V1668=1),IF(COUNTIFS(AKTIVITAS!$B$2:$B$3052,B1668,AKTIVITAS!$E$2:$E$3052,H1668)&gt;0,1,0),0)</f>
        <v>0</v>
      </c>
      <c r="V1668" s="71">
        <f>IFERROR(IF(AND(H1668&gt;=INDEX(PEMAGANG!$J$3:$J$36,MATCH(B1668,PEMAGANG!$C$3:$C$36,0)),H1668&lt;=INDEX(PEMAGANG!$K$3:$K$36,MATCH(B1668,PEMAGANG!$C$3:$C$36,0))),1,0),0)</f>
        <v>1</v>
      </c>
      <c r="W1668" s="71">
        <f t="shared" si="242"/>
        <v>0</v>
      </c>
    </row>
    <row r="1669" spans="1:23" x14ac:dyDescent="0.2">
      <c r="A1669" s="71" t="s">
        <v>246</v>
      </c>
      <c r="B1669" s="71" t="s">
        <v>247</v>
      </c>
      <c r="C1669" s="71" t="s">
        <v>187</v>
      </c>
      <c r="D1669" s="71" t="s">
        <v>248</v>
      </c>
      <c r="E1669" s="71" t="s">
        <v>586</v>
      </c>
      <c r="F1669" s="71" t="s">
        <v>298</v>
      </c>
      <c r="G1669" s="88">
        <v>46177.309490740699</v>
      </c>
      <c r="H1669" s="89">
        <v>46177</v>
      </c>
      <c r="I1669" s="71" t="s">
        <v>307</v>
      </c>
      <c r="J1669" s="71">
        <v>-4.9999999999999796</v>
      </c>
      <c r="K1669" s="71" t="s">
        <v>302</v>
      </c>
      <c r="L1669" s="71">
        <f t="shared" si="234"/>
        <v>6</v>
      </c>
      <c r="M1669" s="71" t="str">
        <f>IFERROR(INDEX(KALENDER!$D$3:$D$132,MATCH(H1669,KALENDER!$A$3:$A$132,0)),"Di luar periode")</f>
        <v>Hari Kerja</v>
      </c>
      <c r="N1669" s="71">
        <f t="shared" si="235"/>
        <v>1</v>
      </c>
      <c r="O1669" s="71">
        <f t="shared" si="236"/>
        <v>1</v>
      </c>
      <c r="P1669" s="71">
        <f t="shared" si="237"/>
        <v>1</v>
      </c>
      <c r="Q1669" s="71">
        <f t="shared" si="238"/>
        <v>0</v>
      </c>
      <c r="R1669" s="71">
        <f t="shared" si="239"/>
        <v>0</v>
      </c>
      <c r="S1669" s="71">
        <f t="shared" si="240"/>
        <v>0</v>
      </c>
      <c r="T1669" s="71">
        <f t="shared" si="241"/>
        <v>0</v>
      </c>
      <c r="U1669" s="71">
        <f>IF(AND(N1669=1,V1669=1),IF(COUNTIFS(AKTIVITAS!$B$2:$B$3052,B1669,AKTIVITAS!$E$2:$E$3052,H1669)&gt;0,1,0),0)</f>
        <v>1</v>
      </c>
      <c r="V1669" s="71">
        <f>IFERROR(IF(AND(H1669&gt;=INDEX(PEMAGANG!$J$3:$J$36,MATCH(B1669,PEMAGANG!$C$3:$C$36,0)),H1669&lt;=INDEX(PEMAGANG!$K$3:$K$36,MATCH(B1669,PEMAGANG!$C$3:$C$36,0))),1,0),0)</f>
        <v>1</v>
      </c>
      <c r="W1669" s="71">
        <f t="shared" si="242"/>
        <v>1</v>
      </c>
    </row>
    <row r="1670" spans="1:23" x14ac:dyDescent="0.2">
      <c r="A1670" s="71" t="s">
        <v>246</v>
      </c>
      <c r="B1670" s="71" t="s">
        <v>247</v>
      </c>
      <c r="C1670" s="71" t="s">
        <v>187</v>
      </c>
      <c r="D1670" s="71" t="s">
        <v>248</v>
      </c>
      <c r="E1670" s="71" t="s">
        <v>586</v>
      </c>
      <c r="F1670" s="71" t="s">
        <v>300</v>
      </c>
      <c r="G1670" s="88">
        <v>46177.688599537003</v>
      </c>
      <c r="H1670" s="89">
        <v>46177</v>
      </c>
      <c r="I1670" s="71" t="s">
        <v>336</v>
      </c>
      <c r="J1670" s="71">
        <v>0</v>
      </c>
      <c r="K1670" s="71" t="s">
        <v>302</v>
      </c>
      <c r="L1670" s="71">
        <f t="shared" si="234"/>
        <v>6</v>
      </c>
      <c r="M1670" s="71" t="str">
        <f>IFERROR(INDEX(KALENDER!$D$3:$D$132,MATCH(H1670,KALENDER!$A$3:$A$132,0)),"Di luar periode")</f>
        <v>Hari Kerja</v>
      </c>
      <c r="N1670" s="71">
        <f t="shared" si="235"/>
        <v>0</v>
      </c>
      <c r="O1670" s="71">
        <f t="shared" si="236"/>
        <v>1</v>
      </c>
      <c r="P1670" s="71">
        <f t="shared" si="237"/>
        <v>0</v>
      </c>
      <c r="Q1670" s="71">
        <f t="shared" si="238"/>
        <v>0</v>
      </c>
      <c r="R1670" s="71">
        <f t="shared" si="239"/>
        <v>0</v>
      </c>
      <c r="S1670" s="71">
        <f t="shared" si="240"/>
        <v>0</v>
      </c>
      <c r="T1670" s="71">
        <f t="shared" si="241"/>
        <v>0</v>
      </c>
      <c r="U1670" s="71">
        <f>IF(AND(N1670=1,V1670=1),IF(COUNTIFS(AKTIVITAS!$B$2:$B$3052,B1670,AKTIVITAS!$E$2:$E$3052,H1670)&gt;0,1,0),0)</f>
        <v>0</v>
      </c>
      <c r="V1670" s="71">
        <f>IFERROR(IF(AND(H1670&gt;=INDEX(PEMAGANG!$J$3:$J$36,MATCH(B1670,PEMAGANG!$C$3:$C$36,0)),H1670&lt;=INDEX(PEMAGANG!$K$3:$K$36,MATCH(B1670,PEMAGANG!$C$3:$C$36,0))),1,0),0)</f>
        <v>1</v>
      </c>
      <c r="W1670" s="71">
        <f t="shared" si="242"/>
        <v>0</v>
      </c>
    </row>
    <row r="1671" spans="1:23" x14ac:dyDescent="0.2">
      <c r="A1671" s="71" t="s">
        <v>246</v>
      </c>
      <c r="B1671" s="71" t="s">
        <v>247</v>
      </c>
      <c r="C1671" s="71" t="s">
        <v>187</v>
      </c>
      <c r="D1671" s="71" t="s">
        <v>248</v>
      </c>
      <c r="E1671" s="71" t="s">
        <v>586</v>
      </c>
      <c r="F1671" s="71" t="s">
        <v>298</v>
      </c>
      <c r="G1671" s="88">
        <v>46178.308854166702</v>
      </c>
      <c r="H1671" s="89">
        <v>46178</v>
      </c>
      <c r="I1671" s="71" t="s">
        <v>303</v>
      </c>
      <c r="J1671" s="71">
        <v>-5.9999999999999796</v>
      </c>
      <c r="K1671" s="71" t="s">
        <v>302</v>
      </c>
      <c r="L1671" s="71">
        <f t="shared" si="234"/>
        <v>6</v>
      </c>
      <c r="M1671" s="71" t="str">
        <f>IFERROR(INDEX(KALENDER!$D$3:$D$132,MATCH(H1671,KALENDER!$A$3:$A$132,0)),"Di luar periode")</f>
        <v>Hari Kerja</v>
      </c>
      <c r="N1671" s="71">
        <f t="shared" si="235"/>
        <v>1</v>
      </c>
      <c r="O1671" s="71">
        <f t="shared" si="236"/>
        <v>1</v>
      </c>
      <c r="P1671" s="71">
        <f t="shared" si="237"/>
        <v>1</v>
      </c>
      <c r="Q1671" s="71">
        <f t="shared" si="238"/>
        <v>0</v>
      </c>
      <c r="R1671" s="71">
        <f t="shared" si="239"/>
        <v>0</v>
      </c>
      <c r="S1671" s="71">
        <f t="shared" si="240"/>
        <v>0</v>
      </c>
      <c r="T1671" s="71">
        <f t="shared" si="241"/>
        <v>0</v>
      </c>
      <c r="U1671" s="71">
        <f>IF(AND(N1671=1,V1671=1),IF(COUNTIFS(AKTIVITAS!$B$2:$B$3052,B1671,AKTIVITAS!$E$2:$E$3052,H1671)&gt;0,1,0),0)</f>
        <v>1</v>
      </c>
      <c r="V1671" s="71">
        <f>IFERROR(IF(AND(H1671&gt;=INDEX(PEMAGANG!$J$3:$J$36,MATCH(B1671,PEMAGANG!$C$3:$C$36,0)),H1671&lt;=INDEX(PEMAGANG!$K$3:$K$36,MATCH(B1671,PEMAGANG!$C$3:$C$36,0))),1,0),0)</f>
        <v>1</v>
      </c>
      <c r="W1671" s="71">
        <f t="shared" si="242"/>
        <v>1</v>
      </c>
    </row>
    <row r="1672" spans="1:23" x14ac:dyDescent="0.2">
      <c r="A1672" s="71" t="s">
        <v>246</v>
      </c>
      <c r="B1672" s="71" t="s">
        <v>247</v>
      </c>
      <c r="C1672" s="71" t="s">
        <v>187</v>
      </c>
      <c r="D1672" s="71" t="s">
        <v>248</v>
      </c>
      <c r="E1672" s="71" t="s">
        <v>586</v>
      </c>
      <c r="F1672" s="71" t="s">
        <v>300</v>
      </c>
      <c r="G1672" s="88">
        <v>46178.7756828704</v>
      </c>
      <c r="H1672" s="89">
        <v>46178</v>
      </c>
      <c r="I1672" s="71" t="s">
        <v>587</v>
      </c>
      <c r="J1672" s="71">
        <v>0</v>
      </c>
      <c r="K1672" s="71" t="s">
        <v>302</v>
      </c>
      <c r="L1672" s="71">
        <f t="shared" si="234"/>
        <v>6</v>
      </c>
      <c r="M1672" s="71" t="str">
        <f>IFERROR(INDEX(KALENDER!$D$3:$D$132,MATCH(H1672,KALENDER!$A$3:$A$132,0)),"Di luar periode")</f>
        <v>Hari Kerja</v>
      </c>
      <c r="N1672" s="71">
        <f t="shared" si="235"/>
        <v>0</v>
      </c>
      <c r="O1672" s="71">
        <f t="shared" si="236"/>
        <v>1</v>
      </c>
      <c r="P1672" s="71">
        <f t="shared" si="237"/>
        <v>0</v>
      </c>
      <c r="Q1672" s="71">
        <f t="shared" si="238"/>
        <v>0</v>
      </c>
      <c r="R1672" s="71">
        <f t="shared" si="239"/>
        <v>0</v>
      </c>
      <c r="S1672" s="71">
        <f t="shared" si="240"/>
        <v>0</v>
      </c>
      <c r="T1672" s="71">
        <f t="shared" si="241"/>
        <v>0</v>
      </c>
      <c r="U1672" s="71">
        <f>IF(AND(N1672=1,V1672=1),IF(COUNTIFS(AKTIVITAS!$B$2:$B$3052,B1672,AKTIVITAS!$E$2:$E$3052,H1672)&gt;0,1,0),0)</f>
        <v>0</v>
      </c>
      <c r="V1672" s="71">
        <f>IFERROR(IF(AND(H1672&gt;=INDEX(PEMAGANG!$J$3:$J$36,MATCH(B1672,PEMAGANG!$C$3:$C$36,0)),H1672&lt;=INDEX(PEMAGANG!$K$3:$K$36,MATCH(B1672,PEMAGANG!$C$3:$C$36,0))),1,0),0)</f>
        <v>1</v>
      </c>
      <c r="W1672" s="71">
        <f t="shared" si="242"/>
        <v>0</v>
      </c>
    </row>
    <row r="1673" spans="1:23" x14ac:dyDescent="0.2">
      <c r="A1673" s="71" t="s">
        <v>246</v>
      </c>
      <c r="B1673" s="71" t="s">
        <v>247</v>
      </c>
      <c r="C1673" s="71" t="s">
        <v>187</v>
      </c>
      <c r="D1673" s="71" t="s">
        <v>248</v>
      </c>
      <c r="E1673" s="71" t="s">
        <v>586</v>
      </c>
      <c r="F1673" s="71" t="s">
        <v>298</v>
      </c>
      <c r="G1673" s="88">
        <v>46181.311099537001</v>
      </c>
      <c r="H1673" s="89">
        <v>46181</v>
      </c>
      <c r="I1673" s="71" t="s">
        <v>309</v>
      </c>
      <c r="J1673" s="71">
        <v>-2.9999999999999898</v>
      </c>
      <c r="K1673" s="71" t="s">
        <v>302</v>
      </c>
      <c r="L1673" s="71">
        <f t="shared" si="234"/>
        <v>6</v>
      </c>
      <c r="M1673" s="71" t="str">
        <f>IFERROR(INDEX(KALENDER!$D$3:$D$132,MATCH(H1673,KALENDER!$A$3:$A$132,0)),"Di luar periode")</f>
        <v>Hari Kerja</v>
      </c>
      <c r="N1673" s="71">
        <f t="shared" si="235"/>
        <v>1</v>
      </c>
      <c r="O1673" s="71">
        <f t="shared" si="236"/>
        <v>1</v>
      </c>
      <c r="P1673" s="71">
        <f t="shared" si="237"/>
        <v>1</v>
      </c>
      <c r="Q1673" s="71">
        <f t="shared" si="238"/>
        <v>0</v>
      </c>
      <c r="R1673" s="71">
        <f t="shared" si="239"/>
        <v>0</v>
      </c>
      <c r="S1673" s="71">
        <f t="shared" si="240"/>
        <v>0</v>
      </c>
      <c r="T1673" s="71">
        <f t="shared" si="241"/>
        <v>0</v>
      </c>
      <c r="U1673" s="71">
        <f>IF(AND(N1673=1,V1673=1),IF(COUNTIFS(AKTIVITAS!$B$2:$B$3052,B1673,AKTIVITAS!$E$2:$E$3052,H1673)&gt;0,1,0),0)</f>
        <v>1</v>
      </c>
      <c r="V1673" s="71">
        <f>IFERROR(IF(AND(H1673&gt;=INDEX(PEMAGANG!$J$3:$J$36,MATCH(B1673,PEMAGANG!$C$3:$C$36,0)),H1673&lt;=INDEX(PEMAGANG!$K$3:$K$36,MATCH(B1673,PEMAGANG!$C$3:$C$36,0))),1,0),0)</f>
        <v>1</v>
      </c>
      <c r="W1673" s="71">
        <f t="shared" si="242"/>
        <v>1</v>
      </c>
    </row>
    <row r="1674" spans="1:23" x14ac:dyDescent="0.2">
      <c r="A1674" s="71" t="s">
        <v>246</v>
      </c>
      <c r="B1674" s="71" t="s">
        <v>247</v>
      </c>
      <c r="C1674" s="71" t="s">
        <v>187</v>
      </c>
      <c r="D1674" s="71" t="s">
        <v>248</v>
      </c>
      <c r="E1674" s="71" t="s">
        <v>586</v>
      </c>
      <c r="F1674" s="71" t="s">
        <v>300</v>
      </c>
      <c r="G1674" s="88">
        <v>46181.688738425903</v>
      </c>
      <c r="H1674" s="89">
        <v>46181</v>
      </c>
      <c r="I1674" s="71" t="s">
        <v>336</v>
      </c>
      <c r="J1674" s="71">
        <v>0</v>
      </c>
      <c r="K1674" s="71" t="s">
        <v>302</v>
      </c>
      <c r="L1674" s="71">
        <f t="shared" si="234"/>
        <v>6</v>
      </c>
      <c r="M1674" s="71" t="str">
        <f>IFERROR(INDEX(KALENDER!$D$3:$D$132,MATCH(H1674,KALENDER!$A$3:$A$132,0)),"Di luar periode")</f>
        <v>Hari Kerja</v>
      </c>
      <c r="N1674" s="71">
        <f t="shared" si="235"/>
        <v>0</v>
      </c>
      <c r="O1674" s="71">
        <f t="shared" si="236"/>
        <v>1</v>
      </c>
      <c r="P1674" s="71">
        <f t="shared" si="237"/>
        <v>0</v>
      </c>
      <c r="Q1674" s="71">
        <f t="shared" si="238"/>
        <v>0</v>
      </c>
      <c r="R1674" s="71">
        <f t="shared" si="239"/>
        <v>0</v>
      </c>
      <c r="S1674" s="71">
        <f t="shared" si="240"/>
        <v>0</v>
      </c>
      <c r="T1674" s="71">
        <f t="shared" si="241"/>
        <v>0</v>
      </c>
      <c r="U1674" s="71">
        <f>IF(AND(N1674=1,V1674=1),IF(COUNTIFS(AKTIVITAS!$B$2:$B$3052,B1674,AKTIVITAS!$E$2:$E$3052,H1674)&gt;0,1,0),0)</f>
        <v>0</v>
      </c>
      <c r="V1674" s="71">
        <f>IFERROR(IF(AND(H1674&gt;=INDEX(PEMAGANG!$J$3:$J$36,MATCH(B1674,PEMAGANG!$C$3:$C$36,0)),H1674&lt;=INDEX(PEMAGANG!$K$3:$K$36,MATCH(B1674,PEMAGANG!$C$3:$C$36,0))),1,0),0)</f>
        <v>1</v>
      </c>
      <c r="W1674" s="71">
        <f t="shared" si="242"/>
        <v>0</v>
      </c>
    </row>
    <row r="1675" spans="1:23" x14ac:dyDescent="0.2">
      <c r="A1675" s="71" t="s">
        <v>246</v>
      </c>
      <c r="B1675" s="71" t="s">
        <v>247</v>
      </c>
      <c r="C1675" s="71" t="s">
        <v>187</v>
      </c>
      <c r="D1675" s="71" t="s">
        <v>248</v>
      </c>
      <c r="E1675" s="71" t="s">
        <v>586</v>
      </c>
      <c r="F1675" s="71" t="s">
        <v>298</v>
      </c>
      <c r="G1675" s="88">
        <v>46182.3098032407</v>
      </c>
      <c r="H1675" s="89">
        <v>46182</v>
      </c>
      <c r="I1675" s="71" t="s">
        <v>315</v>
      </c>
      <c r="J1675" s="71">
        <v>-3.9999999999999898</v>
      </c>
      <c r="K1675" s="71" t="s">
        <v>302</v>
      </c>
      <c r="L1675" s="71">
        <f t="shared" si="234"/>
        <v>6</v>
      </c>
      <c r="M1675" s="71" t="str">
        <f>IFERROR(INDEX(KALENDER!$D$3:$D$132,MATCH(H1675,KALENDER!$A$3:$A$132,0)),"Di luar periode")</f>
        <v>Hari Kerja</v>
      </c>
      <c r="N1675" s="71">
        <f t="shared" si="235"/>
        <v>1</v>
      </c>
      <c r="O1675" s="71">
        <f t="shared" si="236"/>
        <v>1</v>
      </c>
      <c r="P1675" s="71">
        <f t="shared" si="237"/>
        <v>1</v>
      </c>
      <c r="Q1675" s="71">
        <f t="shared" si="238"/>
        <v>0</v>
      </c>
      <c r="R1675" s="71">
        <f t="shared" si="239"/>
        <v>0</v>
      </c>
      <c r="S1675" s="71">
        <f t="shared" si="240"/>
        <v>0</v>
      </c>
      <c r="T1675" s="71">
        <f t="shared" si="241"/>
        <v>0</v>
      </c>
      <c r="U1675" s="71">
        <f>IF(AND(N1675=1,V1675=1),IF(COUNTIFS(AKTIVITAS!$B$2:$B$3052,B1675,AKTIVITAS!$E$2:$E$3052,H1675)&gt;0,1,0),0)</f>
        <v>1</v>
      </c>
      <c r="V1675" s="71">
        <f>IFERROR(IF(AND(H1675&gt;=INDEX(PEMAGANG!$J$3:$J$36,MATCH(B1675,PEMAGANG!$C$3:$C$36,0)),H1675&lt;=INDEX(PEMAGANG!$K$3:$K$36,MATCH(B1675,PEMAGANG!$C$3:$C$36,0))),1,0),0)</f>
        <v>1</v>
      </c>
      <c r="W1675" s="71">
        <f t="shared" si="242"/>
        <v>1</v>
      </c>
    </row>
    <row r="1676" spans="1:23" x14ac:dyDescent="0.2">
      <c r="A1676" s="71" t="s">
        <v>246</v>
      </c>
      <c r="B1676" s="71" t="s">
        <v>247</v>
      </c>
      <c r="C1676" s="71" t="s">
        <v>187</v>
      </c>
      <c r="D1676" s="71" t="s">
        <v>248</v>
      </c>
      <c r="E1676" s="71" t="s">
        <v>586</v>
      </c>
      <c r="F1676" s="71" t="s">
        <v>300</v>
      </c>
      <c r="G1676" s="88">
        <v>46182.6879513889</v>
      </c>
      <c r="H1676" s="89">
        <v>46182</v>
      </c>
      <c r="I1676" s="71" t="s">
        <v>330</v>
      </c>
      <c r="J1676" s="71">
        <v>0</v>
      </c>
      <c r="K1676" s="71" t="s">
        <v>302</v>
      </c>
      <c r="L1676" s="71">
        <f t="shared" si="234"/>
        <v>6</v>
      </c>
      <c r="M1676" s="71" t="str">
        <f>IFERROR(INDEX(KALENDER!$D$3:$D$132,MATCH(H1676,KALENDER!$A$3:$A$132,0)),"Di luar periode")</f>
        <v>Hari Kerja</v>
      </c>
      <c r="N1676" s="71">
        <f t="shared" si="235"/>
        <v>0</v>
      </c>
      <c r="O1676" s="71">
        <f t="shared" si="236"/>
        <v>1</v>
      </c>
      <c r="P1676" s="71">
        <f t="shared" si="237"/>
        <v>0</v>
      </c>
      <c r="Q1676" s="71">
        <f t="shared" si="238"/>
        <v>0</v>
      </c>
      <c r="R1676" s="71">
        <f t="shared" si="239"/>
        <v>0</v>
      </c>
      <c r="S1676" s="71">
        <f t="shared" si="240"/>
        <v>0</v>
      </c>
      <c r="T1676" s="71">
        <f t="shared" si="241"/>
        <v>0</v>
      </c>
      <c r="U1676" s="71">
        <f>IF(AND(N1676=1,V1676=1),IF(COUNTIFS(AKTIVITAS!$B$2:$B$3052,B1676,AKTIVITAS!$E$2:$E$3052,H1676)&gt;0,1,0),0)</f>
        <v>0</v>
      </c>
      <c r="V1676" s="71">
        <f>IFERROR(IF(AND(H1676&gt;=INDEX(PEMAGANG!$J$3:$J$36,MATCH(B1676,PEMAGANG!$C$3:$C$36,0)),H1676&lt;=INDEX(PEMAGANG!$K$3:$K$36,MATCH(B1676,PEMAGANG!$C$3:$C$36,0))),1,0),0)</f>
        <v>1</v>
      </c>
      <c r="W1676" s="71">
        <f t="shared" si="242"/>
        <v>0</v>
      </c>
    </row>
    <row r="1677" spans="1:23" x14ac:dyDescent="0.2">
      <c r="A1677" s="71" t="s">
        <v>246</v>
      </c>
      <c r="B1677" s="71" t="s">
        <v>247</v>
      </c>
      <c r="C1677" s="71" t="s">
        <v>187</v>
      </c>
      <c r="D1677" s="71" t="s">
        <v>248</v>
      </c>
      <c r="E1677" s="71" t="s">
        <v>586</v>
      </c>
      <c r="F1677" s="71" t="s">
        <v>298</v>
      </c>
      <c r="G1677" s="88">
        <v>46183.305196759298</v>
      </c>
      <c r="H1677" s="89">
        <v>46183</v>
      </c>
      <c r="I1677" s="71" t="s">
        <v>321</v>
      </c>
      <c r="J1677" s="71">
        <v>-11</v>
      </c>
      <c r="K1677" s="71" t="s">
        <v>302</v>
      </c>
      <c r="L1677" s="71">
        <f t="shared" si="234"/>
        <v>6</v>
      </c>
      <c r="M1677" s="71" t="str">
        <f>IFERROR(INDEX(KALENDER!$D$3:$D$132,MATCH(H1677,KALENDER!$A$3:$A$132,0)),"Di luar periode")</f>
        <v>WFH</v>
      </c>
      <c r="N1677" s="71">
        <f t="shared" si="235"/>
        <v>1</v>
      </c>
      <c r="O1677" s="71">
        <f t="shared" si="236"/>
        <v>1</v>
      </c>
      <c r="P1677" s="71">
        <f t="shared" si="237"/>
        <v>0</v>
      </c>
      <c r="Q1677" s="71">
        <f t="shared" si="238"/>
        <v>1</v>
      </c>
      <c r="R1677" s="71">
        <f t="shared" si="239"/>
        <v>0</v>
      </c>
      <c r="S1677" s="71">
        <f t="shared" si="240"/>
        <v>0</v>
      </c>
      <c r="T1677" s="71">
        <f t="shared" si="241"/>
        <v>0</v>
      </c>
      <c r="U1677" s="71">
        <f>IF(AND(N1677=1,V1677=1),IF(COUNTIFS(AKTIVITAS!$B$2:$B$3052,B1677,AKTIVITAS!$E$2:$E$3052,H1677)&gt;0,1,0),0)</f>
        <v>1</v>
      </c>
      <c r="V1677" s="71">
        <f>IFERROR(IF(AND(H1677&gt;=INDEX(PEMAGANG!$J$3:$J$36,MATCH(B1677,PEMAGANG!$C$3:$C$36,0)),H1677&lt;=INDEX(PEMAGANG!$K$3:$K$36,MATCH(B1677,PEMAGANG!$C$3:$C$36,0))),1,0),0)</f>
        <v>1</v>
      </c>
      <c r="W1677" s="71">
        <f t="shared" si="242"/>
        <v>1</v>
      </c>
    </row>
    <row r="1678" spans="1:23" x14ac:dyDescent="0.2">
      <c r="A1678" s="71" t="s">
        <v>246</v>
      </c>
      <c r="B1678" s="71" t="s">
        <v>247</v>
      </c>
      <c r="C1678" s="71" t="s">
        <v>187</v>
      </c>
      <c r="D1678" s="71" t="s">
        <v>248</v>
      </c>
      <c r="E1678" s="71" t="s">
        <v>586</v>
      </c>
      <c r="F1678" s="71" t="s">
        <v>300</v>
      </c>
      <c r="G1678" s="88">
        <v>46183.7246296296</v>
      </c>
      <c r="H1678" s="89">
        <v>46183</v>
      </c>
      <c r="I1678" s="71" t="s">
        <v>357</v>
      </c>
      <c r="J1678" s="71">
        <v>0</v>
      </c>
      <c r="K1678" s="71" t="s">
        <v>302</v>
      </c>
      <c r="L1678" s="71">
        <f t="shared" si="234"/>
        <v>6</v>
      </c>
      <c r="M1678" s="71" t="str">
        <f>IFERROR(INDEX(KALENDER!$D$3:$D$132,MATCH(H1678,KALENDER!$A$3:$A$132,0)),"Di luar periode")</f>
        <v>WFH</v>
      </c>
      <c r="N1678" s="71">
        <f t="shared" si="235"/>
        <v>0</v>
      </c>
      <c r="O1678" s="71">
        <f t="shared" si="236"/>
        <v>1</v>
      </c>
      <c r="P1678" s="71">
        <f t="shared" si="237"/>
        <v>0</v>
      </c>
      <c r="Q1678" s="71">
        <f t="shared" si="238"/>
        <v>0</v>
      </c>
      <c r="R1678" s="71">
        <f t="shared" si="239"/>
        <v>0</v>
      </c>
      <c r="S1678" s="71">
        <f t="shared" si="240"/>
        <v>0</v>
      </c>
      <c r="T1678" s="71">
        <f t="shared" si="241"/>
        <v>0</v>
      </c>
      <c r="U1678" s="71">
        <f>IF(AND(N1678=1,V1678=1),IF(COUNTIFS(AKTIVITAS!$B$2:$B$3052,B1678,AKTIVITAS!$E$2:$E$3052,H1678)&gt;0,1,0),0)</f>
        <v>0</v>
      </c>
      <c r="V1678" s="71">
        <f>IFERROR(IF(AND(H1678&gt;=INDEX(PEMAGANG!$J$3:$J$36,MATCH(B1678,PEMAGANG!$C$3:$C$36,0)),H1678&lt;=INDEX(PEMAGANG!$K$3:$K$36,MATCH(B1678,PEMAGANG!$C$3:$C$36,0))),1,0),0)</f>
        <v>1</v>
      </c>
      <c r="W1678" s="71">
        <f t="shared" si="242"/>
        <v>0</v>
      </c>
    </row>
    <row r="1679" spans="1:23" x14ac:dyDescent="0.2">
      <c r="A1679" s="71" t="s">
        <v>246</v>
      </c>
      <c r="B1679" s="71" t="s">
        <v>247</v>
      </c>
      <c r="C1679" s="71" t="s">
        <v>187</v>
      </c>
      <c r="D1679" s="71" t="s">
        <v>248</v>
      </c>
      <c r="E1679" s="71" t="s">
        <v>586</v>
      </c>
      <c r="F1679" s="71" t="s">
        <v>298</v>
      </c>
      <c r="G1679" s="88">
        <v>46184.309513888897</v>
      </c>
      <c r="H1679" s="89">
        <v>46184</v>
      </c>
      <c r="I1679" s="71" t="s">
        <v>307</v>
      </c>
      <c r="J1679" s="71">
        <v>-4.9999999999999796</v>
      </c>
      <c r="K1679" s="71" t="s">
        <v>302</v>
      </c>
      <c r="L1679" s="71">
        <f t="shared" si="234"/>
        <v>6</v>
      </c>
      <c r="M1679" s="71" t="str">
        <f>IFERROR(INDEX(KALENDER!$D$3:$D$132,MATCH(H1679,KALENDER!$A$3:$A$132,0)),"Di luar periode")</f>
        <v>Hari Kerja</v>
      </c>
      <c r="N1679" s="71">
        <f t="shared" si="235"/>
        <v>1</v>
      </c>
      <c r="O1679" s="71">
        <f t="shared" si="236"/>
        <v>1</v>
      </c>
      <c r="P1679" s="71">
        <f t="shared" si="237"/>
        <v>1</v>
      </c>
      <c r="Q1679" s="71">
        <f t="shared" si="238"/>
        <v>0</v>
      </c>
      <c r="R1679" s="71">
        <f t="shared" si="239"/>
        <v>0</v>
      </c>
      <c r="S1679" s="71">
        <f t="shared" si="240"/>
        <v>0</v>
      </c>
      <c r="T1679" s="71">
        <f t="shared" si="241"/>
        <v>0</v>
      </c>
      <c r="U1679" s="71">
        <f>IF(AND(N1679=1,V1679=1),IF(COUNTIFS(AKTIVITAS!$B$2:$B$3052,B1679,AKTIVITAS!$E$2:$E$3052,H1679)&gt;0,1,0),0)</f>
        <v>1</v>
      </c>
      <c r="V1679" s="71">
        <f>IFERROR(IF(AND(H1679&gt;=INDEX(PEMAGANG!$J$3:$J$36,MATCH(B1679,PEMAGANG!$C$3:$C$36,0)),H1679&lt;=INDEX(PEMAGANG!$K$3:$K$36,MATCH(B1679,PEMAGANG!$C$3:$C$36,0))),1,0),0)</f>
        <v>1</v>
      </c>
      <c r="W1679" s="71">
        <f t="shared" si="242"/>
        <v>1</v>
      </c>
    </row>
    <row r="1680" spans="1:23" x14ac:dyDescent="0.2">
      <c r="A1680" s="71" t="s">
        <v>246</v>
      </c>
      <c r="B1680" s="71" t="s">
        <v>247</v>
      </c>
      <c r="C1680" s="71" t="s">
        <v>187</v>
      </c>
      <c r="D1680" s="71" t="s">
        <v>248</v>
      </c>
      <c r="E1680" s="71" t="s">
        <v>586</v>
      </c>
      <c r="F1680" s="71" t="s">
        <v>300</v>
      </c>
      <c r="G1680" s="88">
        <v>46184.688935185201</v>
      </c>
      <c r="H1680" s="89">
        <v>46184</v>
      </c>
      <c r="I1680" s="71" t="s">
        <v>306</v>
      </c>
      <c r="J1680" s="71">
        <v>0</v>
      </c>
      <c r="K1680" s="71" t="s">
        <v>302</v>
      </c>
      <c r="L1680" s="71">
        <f t="shared" si="234"/>
        <v>6</v>
      </c>
      <c r="M1680" s="71" t="str">
        <f>IFERROR(INDEX(KALENDER!$D$3:$D$132,MATCH(H1680,KALENDER!$A$3:$A$132,0)),"Di luar periode")</f>
        <v>Hari Kerja</v>
      </c>
      <c r="N1680" s="71">
        <f t="shared" si="235"/>
        <v>0</v>
      </c>
      <c r="O1680" s="71">
        <f t="shared" si="236"/>
        <v>1</v>
      </c>
      <c r="P1680" s="71">
        <f t="shared" si="237"/>
        <v>0</v>
      </c>
      <c r="Q1680" s="71">
        <f t="shared" si="238"/>
        <v>0</v>
      </c>
      <c r="R1680" s="71">
        <f t="shared" si="239"/>
        <v>0</v>
      </c>
      <c r="S1680" s="71">
        <f t="shared" si="240"/>
        <v>0</v>
      </c>
      <c r="T1680" s="71">
        <f t="shared" si="241"/>
        <v>0</v>
      </c>
      <c r="U1680" s="71">
        <f>IF(AND(N1680=1,V1680=1),IF(COUNTIFS(AKTIVITAS!$B$2:$B$3052,B1680,AKTIVITAS!$E$2:$E$3052,H1680)&gt;0,1,0),0)</f>
        <v>0</v>
      </c>
      <c r="V1680" s="71">
        <f>IFERROR(IF(AND(H1680&gt;=INDEX(PEMAGANG!$J$3:$J$36,MATCH(B1680,PEMAGANG!$C$3:$C$36,0)),H1680&lt;=INDEX(PEMAGANG!$K$3:$K$36,MATCH(B1680,PEMAGANG!$C$3:$C$36,0))),1,0),0)</f>
        <v>1</v>
      </c>
      <c r="W1680" s="71">
        <f t="shared" si="242"/>
        <v>0</v>
      </c>
    </row>
    <row r="1681" spans="1:23" x14ac:dyDescent="0.2">
      <c r="A1681" s="71" t="s">
        <v>246</v>
      </c>
      <c r="B1681" s="71" t="s">
        <v>247</v>
      </c>
      <c r="C1681" s="71" t="s">
        <v>187</v>
      </c>
      <c r="D1681" s="71" t="s">
        <v>248</v>
      </c>
      <c r="E1681" s="71" t="s">
        <v>586</v>
      </c>
      <c r="F1681" s="71" t="s">
        <v>298</v>
      </c>
      <c r="G1681" s="88">
        <v>46185.309907407398</v>
      </c>
      <c r="H1681" s="89">
        <v>46185</v>
      </c>
      <c r="I1681" s="71" t="s">
        <v>315</v>
      </c>
      <c r="J1681" s="71">
        <v>-3.9999999999999898</v>
      </c>
      <c r="K1681" s="71" t="s">
        <v>302</v>
      </c>
      <c r="L1681" s="71">
        <f t="shared" si="234"/>
        <v>6</v>
      </c>
      <c r="M1681" s="71" t="str">
        <f>IFERROR(INDEX(KALENDER!$D$3:$D$132,MATCH(H1681,KALENDER!$A$3:$A$132,0)),"Di luar periode")</f>
        <v>Hari Kerja</v>
      </c>
      <c r="N1681" s="71">
        <f t="shared" si="235"/>
        <v>1</v>
      </c>
      <c r="O1681" s="71">
        <f t="shared" si="236"/>
        <v>1</v>
      </c>
      <c r="P1681" s="71">
        <f t="shared" si="237"/>
        <v>1</v>
      </c>
      <c r="Q1681" s="71">
        <f t="shared" si="238"/>
        <v>0</v>
      </c>
      <c r="R1681" s="71">
        <f t="shared" si="239"/>
        <v>0</v>
      </c>
      <c r="S1681" s="71">
        <f t="shared" si="240"/>
        <v>0</v>
      </c>
      <c r="T1681" s="71">
        <f t="shared" si="241"/>
        <v>0</v>
      </c>
      <c r="U1681" s="71">
        <f>IF(AND(N1681=1,V1681=1),IF(COUNTIFS(AKTIVITAS!$B$2:$B$3052,B1681,AKTIVITAS!$E$2:$E$3052,H1681)&gt;0,1,0),0)</f>
        <v>1</v>
      </c>
      <c r="V1681" s="71">
        <f>IFERROR(IF(AND(H1681&gt;=INDEX(PEMAGANG!$J$3:$J$36,MATCH(B1681,PEMAGANG!$C$3:$C$36,0)),H1681&lt;=INDEX(PEMAGANG!$K$3:$K$36,MATCH(B1681,PEMAGANG!$C$3:$C$36,0))),1,0),0)</f>
        <v>1</v>
      </c>
      <c r="W1681" s="71">
        <f t="shared" si="242"/>
        <v>1</v>
      </c>
    </row>
    <row r="1682" spans="1:23" x14ac:dyDescent="0.2">
      <c r="A1682" s="71" t="s">
        <v>246</v>
      </c>
      <c r="B1682" s="71" t="s">
        <v>247</v>
      </c>
      <c r="C1682" s="71" t="s">
        <v>187</v>
      </c>
      <c r="D1682" s="71" t="s">
        <v>248</v>
      </c>
      <c r="E1682" s="71" t="s">
        <v>586</v>
      </c>
      <c r="F1682" s="71" t="s">
        <v>300</v>
      </c>
      <c r="G1682" s="88">
        <v>46185.6880439815</v>
      </c>
      <c r="H1682" s="89">
        <v>46185</v>
      </c>
      <c r="I1682" s="71" t="s">
        <v>330</v>
      </c>
      <c r="J1682" s="71">
        <v>0</v>
      </c>
      <c r="K1682" s="71" t="s">
        <v>302</v>
      </c>
      <c r="L1682" s="71">
        <f t="shared" si="234"/>
        <v>6</v>
      </c>
      <c r="M1682" s="71" t="str">
        <f>IFERROR(INDEX(KALENDER!$D$3:$D$132,MATCH(H1682,KALENDER!$A$3:$A$132,0)),"Di luar periode")</f>
        <v>Hari Kerja</v>
      </c>
      <c r="N1682" s="71">
        <f t="shared" si="235"/>
        <v>0</v>
      </c>
      <c r="O1682" s="71">
        <f t="shared" si="236"/>
        <v>1</v>
      </c>
      <c r="P1682" s="71">
        <f t="shared" si="237"/>
        <v>0</v>
      </c>
      <c r="Q1682" s="71">
        <f t="shared" si="238"/>
        <v>0</v>
      </c>
      <c r="R1682" s="71">
        <f t="shared" si="239"/>
        <v>0</v>
      </c>
      <c r="S1682" s="71">
        <f t="shared" si="240"/>
        <v>0</v>
      </c>
      <c r="T1682" s="71">
        <f t="shared" si="241"/>
        <v>0</v>
      </c>
      <c r="U1682" s="71">
        <f>IF(AND(N1682=1,V1682=1),IF(COUNTIFS(AKTIVITAS!$B$2:$B$3052,B1682,AKTIVITAS!$E$2:$E$3052,H1682)&gt;0,1,0),0)</f>
        <v>0</v>
      </c>
      <c r="V1682" s="71">
        <f>IFERROR(IF(AND(H1682&gt;=INDEX(PEMAGANG!$J$3:$J$36,MATCH(B1682,PEMAGANG!$C$3:$C$36,0)),H1682&lt;=INDEX(PEMAGANG!$K$3:$K$36,MATCH(B1682,PEMAGANG!$C$3:$C$36,0))),1,0),0)</f>
        <v>1</v>
      </c>
      <c r="W1682" s="71">
        <f t="shared" si="242"/>
        <v>0</v>
      </c>
    </row>
    <row r="1683" spans="1:23" x14ac:dyDescent="0.2">
      <c r="A1683" s="71" t="s">
        <v>246</v>
      </c>
      <c r="B1683" s="71" t="s">
        <v>247</v>
      </c>
      <c r="C1683" s="71" t="s">
        <v>187</v>
      </c>
      <c r="D1683" s="71" t="s">
        <v>248</v>
      </c>
      <c r="E1683" s="71" t="s">
        <v>586</v>
      </c>
      <c r="F1683" s="71" t="s">
        <v>298</v>
      </c>
      <c r="G1683" s="88">
        <v>46188.309097222198</v>
      </c>
      <c r="H1683" s="89">
        <v>46188</v>
      </c>
      <c r="I1683" s="71" t="s">
        <v>307</v>
      </c>
      <c r="J1683" s="71">
        <v>-4.9999999999999796</v>
      </c>
      <c r="K1683" s="71" t="s">
        <v>302</v>
      </c>
      <c r="L1683" s="71">
        <f t="shared" si="234"/>
        <v>6</v>
      </c>
      <c r="M1683" s="71" t="str">
        <f>IFERROR(INDEX(KALENDER!$D$3:$D$132,MATCH(H1683,KALENDER!$A$3:$A$132,0)),"Di luar periode")</f>
        <v>Hari Kerja</v>
      </c>
      <c r="N1683" s="71">
        <f t="shared" si="235"/>
        <v>1</v>
      </c>
      <c r="O1683" s="71">
        <f t="shared" si="236"/>
        <v>1</v>
      </c>
      <c r="P1683" s="71">
        <f t="shared" si="237"/>
        <v>1</v>
      </c>
      <c r="Q1683" s="71">
        <f t="shared" si="238"/>
        <v>0</v>
      </c>
      <c r="R1683" s="71">
        <f t="shared" si="239"/>
        <v>0</v>
      </c>
      <c r="S1683" s="71">
        <f t="shared" si="240"/>
        <v>0</v>
      </c>
      <c r="T1683" s="71">
        <f t="shared" si="241"/>
        <v>0</v>
      </c>
      <c r="U1683" s="71">
        <f>IF(AND(N1683=1,V1683=1),IF(COUNTIFS(AKTIVITAS!$B$2:$B$3052,B1683,AKTIVITAS!$E$2:$E$3052,H1683)&gt;0,1,0),0)</f>
        <v>1</v>
      </c>
      <c r="V1683" s="71">
        <f>IFERROR(IF(AND(H1683&gt;=INDEX(PEMAGANG!$J$3:$J$36,MATCH(B1683,PEMAGANG!$C$3:$C$36,0)),H1683&lt;=INDEX(PEMAGANG!$K$3:$K$36,MATCH(B1683,PEMAGANG!$C$3:$C$36,0))),1,0),0)</f>
        <v>1</v>
      </c>
      <c r="W1683" s="71">
        <f t="shared" si="242"/>
        <v>1</v>
      </c>
    </row>
    <row r="1684" spans="1:23" x14ac:dyDescent="0.2">
      <c r="A1684" s="71" t="s">
        <v>246</v>
      </c>
      <c r="B1684" s="71" t="s">
        <v>247</v>
      </c>
      <c r="C1684" s="71" t="s">
        <v>187</v>
      </c>
      <c r="D1684" s="71" t="s">
        <v>248</v>
      </c>
      <c r="E1684" s="71" t="s">
        <v>586</v>
      </c>
      <c r="F1684" s="71" t="s">
        <v>300</v>
      </c>
      <c r="G1684" s="88">
        <v>46188.688900462999</v>
      </c>
      <c r="H1684" s="89">
        <v>46188</v>
      </c>
      <c r="I1684" s="71" t="s">
        <v>306</v>
      </c>
      <c r="J1684" s="71">
        <v>0</v>
      </c>
      <c r="K1684" s="71" t="s">
        <v>302</v>
      </c>
      <c r="L1684" s="71">
        <f t="shared" si="234"/>
        <v>6</v>
      </c>
      <c r="M1684" s="71" t="str">
        <f>IFERROR(INDEX(KALENDER!$D$3:$D$132,MATCH(H1684,KALENDER!$A$3:$A$132,0)),"Di luar periode")</f>
        <v>Hari Kerja</v>
      </c>
      <c r="N1684" s="71">
        <f t="shared" si="235"/>
        <v>0</v>
      </c>
      <c r="O1684" s="71">
        <f t="shared" si="236"/>
        <v>1</v>
      </c>
      <c r="P1684" s="71">
        <f t="shared" si="237"/>
        <v>0</v>
      </c>
      <c r="Q1684" s="71">
        <f t="shared" si="238"/>
        <v>0</v>
      </c>
      <c r="R1684" s="71">
        <f t="shared" si="239"/>
        <v>0</v>
      </c>
      <c r="S1684" s="71">
        <f t="shared" si="240"/>
        <v>0</v>
      </c>
      <c r="T1684" s="71">
        <f t="shared" si="241"/>
        <v>0</v>
      </c>
      <c r="U1684" s="71">
        <f>IF(AND(N1684=1,V1684=1),IF(COUNTIFS(AKTIVITAS!$B$2:$B$3052,B1684,AKTIVITAS!$E$2:$E$3052,H1684)&gt;0,1,0),0)</f>
        <v>0</v>
      </c>
      <c r="V1684" s="71">
        <f>IFERROR(IF(AND(H1684&gt;=INDEX(PEMAGANG!$J$3:$J$36,MATCH(B1684,PEMAGANG!$C$3:$C$36,0)),H1684&lt;=INDEX(PEMAGANG!$K$3:$K$36,MATCH(B1684,PEMAGANG!$C$3:$C$36,0))),1,0),0)</f>
        <v>1</v>
      </c>
      <c r="W1684" s="71">
        <f t="shared" si="242"/>
        <v>0</v>
      </c>
    </row>
    <row r="1685" spans="1:23" x14ac:dyDescent="0.2">
      <c r="A1685" s="71" t="s">
        <v>246</v>
      </c>
      <c r="B1685" s="71" t="s">
        <v>247</v>
      </c>
      <c r="C1685" s="71" t="s">
        <v>187</v>
      </c>
      <c r="D1685" s="71" t="s">
        <v>248</v>
      </c>
      <c r="E1685" s="71" t="s">
        <v>586</v>
      </c>
      <c r="F1685" s="71" t="s">
        <v>298</v>
      </c>
      <c r="G1685" s="88">
        <v>46190.298923611103</v>
      </c>
      <c r="H1685" s="89">
        <v>46190</v>
      </c>
      <c r="I1685" s="71" t="s">
        <v>481</v>
      </c>
      <c r="J1685" s="71">
        <v>-20</v>
      </c>
      <c r="K1685" s="71" t="s">
        <v>302</v>
      </c>
      <c r="L1685" s="71">
        <f t="shared" si="234"/>
        <v>6</v>
      </c>
      <c r="M1685" s="71" t="str">
        <f>IFERROR(INDEX(KALENDER!$D$3:$D$132,MATCH(H1685,KALENDER!$A$3:$A$132,0)),"Di luar periode")</f>
        <v>WFH</v>
      </c>
      <c r="N1685" s="71">
        <f t="shared" si="235"/>
        <v>1</v>
      </c>
      <c r="O1685" s="71">
        <f t="shared" si="236"/>
        <v>1</v>
      </c>
      <c r="P1685" s="71">
        <f t="shared" si="237"/>
        <v>0</v>
      </c>
      <c r="Q1685" s="71">
        <f t="shared" si="238"/>
        <v>1</v>
      </c>
      <c r="R1685" s="71">
        <f t="shared" si="239"/>
        <v>0</v>
      </c>
      <c r="S1685" s="71">
        <f t="shared" si="240"/>
        <v>0</v>
      </c>
      <c r="T1685" s="71">
        <f t="shared" si="241"/>
        <v>0</v>
      </c>
      <c r="U1685" s="71">
        <f>IF(AND(N1685=1,V1685=1),IF(COUNTIFS(AKTIVITAS!$B$2:$B$3052,B1685,AKTIVITAS!$E$2:$E$3052,H1685)&gt;0,1,0),0)</f>
        <v>1</v>
      </c>
      <c r="V1685" s="71">
        <f>IFERROR(IF(AND(H1685&gt;=INDEX(PEMAGANG!$J$3:$J$36,MATCH(B1685,PEMAGANG!$C$3:$C$36,0)),H1685&lt;=INDEX(PEMAGANG!$K$3:$K$36,MATCH(B1685,PEMAGANG!$C$3:$C$36,0))),1,0),0)</f>
        <v>1</v>
      </c>
      <c r="W1685" s="71">
        <f t="shared" si="242"/>
        <v>1</v>
      </c>
    </row>
    <row r="1686" spans="1:23" x14ac:dyDescent="0.2">
      <c r="A1686" s="71" t="s">
        <v>246</v>
      </c>
      <c r="B1686" s="71" t="s">
        <v>247</v>
      </c>
      <c r="C1686" s="71" t="s">
        <v>187</v>
      </c>
      <c r="D1686" s="71" t="s">
        <v>248</v>
      </c>
      <c r="E1686" s="71" t="s">
        <v>586</v>
      </c>
      <c r="F1686" s="71" t="s">
        <v>300</v>
      </c>
      <c r="G1686" s="88">
        <v>46190.690856481502</v>
      </c>
      <c r="H1686" s="89">
        <v>46190</v>
      </c>
      <c r="I1686" s="71" t="s">
        <v>314</v>
      </c>
      <c r="J1686" s="71">
        <v>0</v>
      </c>
      <c r="K1686" s="71" t="s">
        <v>302</v>
      </c>
      <c r="L1686" s="71">
        <f t="shared" si="234"/>
        <v>6</v>
      </c>
      <c r="M1686" s="71" t="str">
        <f>IFERROR(INDEX(KALENDER!$D$3:$D$132,MATCH(H1686,KALENDER!$A$3:$A$132,0)),"Di luar periode")</f>
        <v>WFH</v>
      </c>
      <c r="N1686" s="71">
        <f t="shared" si="235"/>
        <v>0</v>
      </c>
      <c r="O1686" s="71">
        <f t="shared" si="236"/>
        <v>1</v>
      </c>
      <c r="P1686" s="71">
        <f t="shared" si="237"/>
        <v>0</v>
      </c>
      <c r="Q1686" s="71">
        <f t="shared" si="238"/>
        <v>0</v>
      </c>
      <c r="R1686" s="71">
        <f t="shared" si="239"/>
        <v>0</v>
      </c>
      <c r="S1686" s="71">
        <f t="shared" si="240"/>
        <v>0</v>
      </c>
      <c r="T1686" s="71">
        <f t="shared" si="241"/>
        <v>0</v>
      </c>
      <c r="U1686" s="71">
        <f>IF(AND(N1686=1,V1686=1),IF(COUNTIFS(AKTIVITAS!$B$2:$B$3052,B1686,AKTIVITAS!$E$2:$E$3052,H1686)&gt;0,1,0),0)</f>
        <v>0</v>
      </c>
      <c r="V1686" s="71">
        <f>IFERROR(IF(AND(H1686&gt;=INDEX(PEMAGANG!$J$3:$J$36,MATCH(B1686,PEMAGANG!$C$3:$C$36,0)),H1686&lt;=INDEX(PEMAGANG!$K$3:$K$36,MATCH(B1686,PEMAGANG!$C$3:$C$36,0))),1,0),0)</f>
        <v>1</v>
      </c>
      <c r="W1686" s="71">
        <f t="shared" si="242"/>
        <v>0</v>
      </c>
    </row>
    <row r="1687" spans="1:23" x14ac:dyDescent="0.2">
      <c r="A1687" s="71" t="s">
        <v>246</v>
      </c>
      <c r="B1687" s="71" t="s">
        <v>247</v>
      </c>
      <c r="C1687" s="71" t="s">
        <v>187</v>
      </c>
      <c r="D1687" s="71" t="s">
        <v>248</v>
      </c>
      <c r="E1687" s="71" t="s">
        <v>586</v>
      </c>
      <c r="F1687" s="71" t="s">
        <v>298</v>
      </c>
      <c r="G1687" s="88">
        <v>46191.308067129597</v>
      </c>
      <c r="H1687" s="89">
        <v>46191</v>
      </c>
      <c r="I1687" s="71" t="s">
        <v>311</v>
      </c>
      <c r="J1687" s="71">
        <v>-6.9999999999999796</v>
      </c>
      <c r="K1687" s="71" t="s">
        <v>302</v>
      </c>
      <c r="L1687" s="71">
        <f t="shared" si="234"/>
        <v>6</v>
      </c>
      <c r="M1687" s="71" t="str">
        <f>IFERROR(INDEX(KALENDER!$D$3:$D$132,MATCH(H1687,KALENDER!$A$3:$A$132,0)),"Di luar periode")</f>
        <v>Hari Kerja</v>
      </c>
      <c r="N1687" s="71">
        <f t="shared" si="235"/>
        <v>1</v>
      </c>
      <c r="O1687" s="71">
        <f t="shared" si="236"/>
        <v>1</v>
      </c>
      <c r="P1687" s="71">
        <f t="shared" si="237"/>
        <v>1</v>
      </c>
      <c r="Q1687" s="71">
        <f t="shared" si="238"/>
        <v>0</v>
      </c>
      <c r="R1687" s="71">
        <f t="shared" si="239"/>
        <v>0</v>
      </c>
      <c r="S1687" s="71">
        <f t="shared" si="240"/>
        <v>0</v>
      </c>
      <c r="T1687" s="71">
        <f t="shared" si="241"/>
        <v>0</v>
      </c>
      <c r="U1687" s="71">
        <f>IF(AND(N1687=1,V1687=1),IF(COUNTIFS(AKTIVITAS!$B$2:$B$3052,B1687,AKTIVITAS!$E$2:$E$3052,H1687)&gt;0,1,0),0)</f>
        <v>1</v>
      </c>
      <c r="V1687" s="71">
        <f>IFERROR(IF(AND(H1687&gt;=INDEX(PEMAGANG!$J$3:$J$36,MATCH(B1687,PEMAGANG!$C$3:$C$36,0)),H1687&lt;=INDEX(PEMAGANG!$K$3:$K$36,MATCH(B1687,PEMAGANG!$C$3:$C$36,0))),1,0),0)</f>
        <v>1</v>
      </c>
      <c r="W1687" s="71">
        <f t="shared" si="242"/>
        <v>1</v>
      </c>
    </row>
    <row r="1688" spans="1:23" x14ac:dyDescent="0.2">
      <c r="A1688" s="71" t="s">
        <v>246</v>
      </c>
      <c r="B1688" s="71" t="s">
        <v>247</v>
      </c>
      <c r="C1688" s="71" t="s">
        <v>187</v>
      </c>
      <c r="D1688" s="71" t="s">
        <v>248</v>
      </c>
      <c r="E1688" s="71" t="s">
        <v>586</v>
      </c>
      <c r="F1688" s="71" t="s">
        <v>300</v>
      </c>
      <c r="G1688" s="88">
        <v>46191.688159722202</v>
      </c>
      <c r="H1688" s="89">
        <v>46191</v>
      </c>
      <c r="I1688" s="71" t="s">
        <v>330</v>
      </c>
      <c r="J1688" s="71">
        <v>0</v>
      </c>
      <c r="K1688" s="71" t="s">
        <v>302</v>
      </c>
      <c r="L1688" s="71">
        <f t="shared" si="234"/>
        <v>6</v>
      </c>
      <c r="M1688" s="71" t="str">
        <f>IFERROR(INDEX(KALENDER!$D$3:$D$132,MATCH(H1688,KALENDER!$A$3:$A$132,0)),"Di luar periode")</f>
        <v>Hari Kerja</v>
      </c>
      <c r="N1688" s="71">
        <f t="shared" si="235"/>
        <v>0</v>
      </c>
      <c r="O1688" s="71">
        <f t="shared" si="236"/>
        <v>1</v>
      </c>
      <c r="P1688" s="71">
        <f t="shared" si="237"/>
        <v>0</v>
      </c>
      <c r="Q1688" s="71">
        <f t="shared" si="238"/>
        <v>0</v>
      </c>
      <c r="R1688" s="71">
        <f t="shared" si="239"/>
        <v>0</v>
      </c>
      <c r="S1688" s="71">
        <f t="shared" si="240"/>
        <v>0</v>
      </c>
      <c r="T1688" s="71">
        <f t="shared" si="241"/>
        <v>0</v>
      </c>
      <c r="U1688" s="71">
        <f>IF(AND(N1688=1,V1688=1),IF(COUNTIFS(AKTIVITAS!$B$2:$B$3052,B1688,AKTIVITAS!$E$2:$E$3052,H1688)&gt;0,1,0),0)</f>
        <v>0</v>
      </c>
      <c r="V1688" s="71">
        <f>IFERROR(IF(AND(H1688&gt;=INDEX(PEMAGANG!$J$3:$J$36,MATCH(B1688,PEMAGANG!$C$3:$C$36,0)),H1688&lt;=INDEX(PEMAGANG!$K$3:$K$36,MATCH(B1688,PEMAGANG!$C$3:$C$36,0))),1,0),0)</f>
        <v>1</v>
      </c>
      <c r="W1688" s="71">
        <f t="shared" si="242"/>
        <v>0</v>
      </c>
    </row>
    <row r="1689" spans="1:23" x14ac:dyDescent="0.2">
      <c r="A1689" s="71" t="s">
        <v>246</v>
      </c>
      <c r="B1689" s="71" t="s">
        <v>247</v>
      </c>
      <c r="C1689" s="71" t="s">
        <v>187</v>
      </c>
      <c r="D1689" s="71" t="s">
        <v>248</v>
      </c>
      <c r="E1689" s="71" t="s">
        <v>586</v>
      </c>
      <c r="F1689" s="71" t="s">
        <v>298</v>
      </c>
      <c r="G1689" s="88">
        <v>46192.308460648201</v>
      </c>
      <c r="H1689" s="89">
        <v>46192</v>
      </c>
      <c r="I1689" s="71" t="s">
        <v>303</v>
      </c>
      <c r="J1689" s="71">
        <v>-5.9999999999999796</v>
      </c>
      <c r="K1689" s="71" t="s">
        <v>302</v>
      </c>
      <c r="L1689" s="71">
        <f t="shared" si="234"/>
        <v>6</v>
      </c>
      <c r="M1689" s="71" t="str">
        <f>IFERROR(INDEX(KALENDER!$D$3:$D$132,MATCH(H1689,KALENDER!$A$3:$A$132,0)),"Di luar periode")</f>
        <v>Hari Kerja</v>
      </c>
      <c r="N1689" s="71">
        <f t="shared" si="235"/>
        <v>1</v>
      </c>
      <c r="O1689" s="71">
        <f t="shared" si="236"/>
        <v>1</v>
      </c>
      <c r="P1689" s="71">
        <f t="shared" si="237"/>
        <v>1</v>
      </c>
      <c r="Q1689" s="71">
        <f t="shared" si="238"/>
        <v>0</v>
      </c>
      <c r="R1689" s="71">
        <f t="shared" si="239"/>
        <v>0</v>
      </c>
      <c r="S1689" s="71">
        <f t="shared" si="240"/>
        <v>0</v>
      </c>
      <c r="T1689" s="71">
        <f t="shared" si="241"/>
        <v>0</v>
      </c>
      <c r="U1689" s="71">
        <f>IF(AND(N1689=1,V1689=1),IF(COUNTIFS(AKTIVITAS!$B$2:$B$3052,B1689,AKTIVITAS!$E$2:$E$3052,H1689)&gt;0,1,0),0)</f>
        <v>1</v>
      </c>
      <c r="V1689" s="71">
        <f>IFERROR(IF(AND(H1689&gt;=INDEX(PEMAGANG!$J$3:$J$36,MATCH(B1689,PEMAGANG!$C$3:$C$36,0)),H1689&lt;=INDEX(PEMAGANG!$K$3:$K$36,MATCH(B1689,PEMAGANG!$C$3:$C$36,0))),1,0),0)</f>
        <v>1</v>
      </c>
      <c r="W1689" s="71">
        <f t="shared" si="242"/>
        <v>1</v>
      </c>
    </row>
    <row r="1690" spans="1:23" x14ac:dyDescent="0.2">
      <c r="A1690" s="71" t="s">
        <v>246</v>
      </c>
      <c r="B1690" s="71" t="s">
        <v>247</v>
      </c>
      <c r="C1690" s="71" t="s">
        <v>187</v>
      </c>
      <c r="D1690" s="71" t="s">
        <v>248</v>
      </c>
      <c r="E1690" s="71" t="s">
        <v>586</v>
      </c>
      <c r="F1690" s="71" t="s">
        <v>300</v>
      </c>
      <c r="G1690" s="88">
        <v>46192.689317129603</v>
      </c>
      <c r="H1690" s="89">
        <v>46192</v>
      </c>
      <c r="I1690" s="71" t="s">
        <v>306</v>
      </c>
      <c r="J1690" s="71">
        <v>0</v>
      </c>
      <c r="K1690" s="71" t="s">
        <v>302</v>
      </c>
      <c r="L1690" s="71">
        <f t="shared" si="234"/>
        <v>6</v>
      </c>
      <c r="M1690" s="71" t="str">
        <f>IFERROR(INDEX(KALENDER!$D$3:$D$132,MATCH(H1690,KALENDER!$A$3:$A$132,0)),"Di luar periode")</f>
        <v>Hari Kerja</v>
      </c>
      <c r="N1690" s="71">
        <f t="shared" si="235"/>
        <v>0</v>
      </c>
      <c r="O1690" s="71">
        <f t="shared" si="236"/>
        <v>1</v>
      </c>
      <c r="P1690" s="71">
        <f t="shared" si="237"/>
        <v>0</v>
      </c>
      <c r="Q1690" s="71">
        <f t="shared" si="238"/>
        <v>0</v>
      </c>
      <c r="R1690" s="71">
        <f t="shared" si="239"/>
        <v>0</v>
      </c>
      <c r="S1690" s="71">
        <f t="shared" si="240"/>
        <v>0</v>
      </c>
      <c r="T1690" s="71">
        <f t="shared" si="241"/>
        <v>0</v>
      </c>
      <c r="U1690" s="71">
        <f>IF(AND(N1690=1,V1690=1),IF(COUNTIFS(AKTIVITAS!$B$2:$B$3052,B1690,AKTIVITAS!$E$2:$E$3052,H1690)&gt;0,1,0),0)</f>
        <v>0</v>
      </c>
      <c r="V1690" s="71">
        <f>IFERROR(IF(AND(H1690&gt;=INDEX(PEMAGANG!$J$3:$J$36,MATCH(B1690,PEMAGANG!$C$3:$C$36,0)),H1690&lt;=INDEX(PEMAGANG!$K$3:$K$36,MATCH(B1690,PEMAGANG!$C$3:$C$36,0))),1,0),0)</f>
        <v>1</v>
      </c>
      <c r="W1690" s="71">
        <f t="shared" si="242"/>
        <v>0</v>
      </c>
    </row>
    <row r="1691" spans="1:23" x14ac:dyDescent="0.2">
      <c r="A1691" s="71" t="s">
        <v>246</v>
      </c>
      <c r="B1691" s="71" t="s">
        <v>247</v>
      </c>
      <c r="C1691" s="71" t="s">
        <v>187</v>
      </c>
      <c r="D1691" s="71" t="s">
        <v>248</v>
      </c>
      <c r="E1691" s="71" t="s">
        <v>586</v>
      </c>
      <c r="F1691" s="71" t="s">
        <v>298</v>
      </c>
      <c r="G1691" s="88">
        <v>46195.309479166703</v>
      </c>
      <c r="H1691" s="89">
        <v>46195</v>
      </c>
      <c r="I1691" s="71" t="s">
        <v>307</v>
      </c>
      <c r="J1691" s="71">
        <v>-4.9999999999999796</v>
      </c>
      <c r="K1691" s="71" t="s">
        <v>302</v>
      </c>
      <c r="L1691" s="71">
        <f t="shared" si="234"/>
        <v>6</v>
      </c>
      <c r="M1691" s="71" t="str">
        <f>IFERROR(INDEX(KALENDER!$D$3:$D$132,MATCH(H1691,KALENDER!$A$3:$A$132,0)),"Di luar periode")</f>
        <v>Hari Kerja</v>
      </c>
      <c r="N1691" s="71">
        <f t="shared" si="235"/>
        <v>1</v>
      </c>
      <c r="O1691" s="71">
        <f t="shared" si="236"/>
        <v>1</v>
      </c>
      <c r="P1691" s="71">
        <f t="shared" si="237"/>
        <v>1</v>
      </c>
      <c r="Q1691" s="71">
        <f t="shared" si="238"/>
        <v>0</v>
      </c>
      <c r="R1691" s="71">
        <f t="shared" si="239"/>
        <v>0</v>
      </c>
      <c r="S1691" s="71">
        <f t="shared" si="240"/>
        <v>0</v>
      </c>
      <c r="T1691" s="71">
        <f t="shared" si="241"/>
        <v>0</v>
      </c>
      <c r="U1691" s="71">
        <f>IF(AND(N1691=1,V1691=1),IF(COUNTIFS(AKTIVITAS!$B$2:$B$3052,B1691,AKTIVITAS!$E$2:$E$3052,H1691)&gt;0,1,0),0)</f>
        <v>1</v>
      </c>
      <c r="V1691" s="71">
        <f>IFERROR(IF(AND(H1691&gt;=INDEX(PEMAGANG!$J$3:$J$36,MATCH(B1691,PEMAGANG!$C$3:$C$36,0)),H1691&lt;=INDEX(PEMAGANG!$K$3:$K$36,MATCH(B1691,PEMAGANG!$C$3:$C$36,0))),1,0),0)</f>
        <v>1</v>
      </c>
      <c r="W1691" s="71">
        <f t="shared" si="242"/>
        <v>1</v>
      </c>
    </row>
    <row r="1692" spans="1:23" x14ac:dyDescent="0.2">
      <c r="A1692" s="71" t="s">
        <v>246</v>
      </c>
      <c r="B1692" s="71" t="s">
        <v>247</v>
      </c>
      <c r="C1692" s="71" t="s">
        <v>187</v>
      </c>
      <c r="D1692" s="71" t="s">
        <v>248</v>
      </c>
      <c r="E1692" s="71" t="s">
        <v>586</v>
      </c>
      <c r="F1692" s="71" t="s">
        <v>300</v>
      </c>
      <c r="G1692" s="88">
        <v>46195.695324074099</v>
      </c>
      <c r="H1692" s="89">
        <v>46195</v>
      </c>
      <c r="I1692" s="71" t="s">
        <v>319</v>
      </c>
      <c r="J1692" s="71">
        <v>0</v>
      </c>
      <c r="K1692" s="71" t="s">
        <v>302</v>
      </c>
      <c r="L1692" s="71">
        <f t="shared" si="234"/>
        <v>6</v>
      </c>
      <c r="M1692" s="71" t="str">
        <f>IFERROR(INDEX(KALENDER!$D$3:$D$132,MATCH(H1692,KALENDER!$A$3:$A$132,0)),"Di luar periode")</f>
        <v>Hari Kerja</v>
      </c>
      <c r="N1692" s="71">
        <f t="shared" si="235"/>
        <v>0</v>
      </c>
      <c r="O1692" s="71">
        <f t="shared" si="236"/>
        <v>1</v>
      </c>
      <c r="P1692" s="71">
        <f t="shared" si="237"/>
        <v>0</v>
      </c>
      <c r="Q1692" s="71">
        <f t="shared" si="238"/>
        <v>0</v>
      </c>
      <c r="R1692" s="71">
        <f t="shared" si="239"/>
        <v>0</v>
      </c>
      <c r="S1692" s="71">
        <f t="shared" si="240"/>
        <v>0</v>
      </c>
      <c r="T1692" s="71">
        <f t="shared" si="241"/>
        <v>0</v>
      </c>
      <c r="U1692" s="71">
        <f>IF(AND(N1692=1,V1692=1),IF(COUNTIFS(AKTIVITAS!$B$2:$B$3052,B1692,AKTIVITAS!$E$2:$E$3052,H1692)&gt;0,1,0),0)</f>
        <v>0</v>
      </c>
      <c r="V1692" s="71">
        <f>IFERROR(IF(AND(H1692&gt;=INDEX(PEMAGANG!$J$3:$J$36,MATCH(B1692,PEMAGANG!$C$3:$C$36,0)),H1692&lt;=INDEX(PEMAGANG!$K$3:$K$36,MATCH(B1692,PEMAGANG!$C$3:$C$36,0))),1,0),0)</f>
        <v>1</v>
      </c>
      <c r="W1692" s="71">
        <f t="shared" si="242"/>
        <v>0</v>
      </c>
    </row>
    <row r="1693" spans="1:23" x14ac:dyDescent="0.2">
      <c r="A1693" s="71" t="s">
        <v>246</v>
      </c>
      <c r="B1693" s="71" t="s">
        <v>247</v>
      </c>
      <c r="C1693" s="71" t="s">
        <v>187</v>
      </c>
      <c r="D1693" s="71" t="s">
        <v>248</v>
      </c>
      <c r="E1693" s="71" t="s">
        <v>586</v>
      </c>
      <c r="F1693" s="71" t="s">
        <v>298</v>
      </c>
      <c r="G1693" s="88">
        <v>46196.3070717593</v>
      </c>
      <c r="H1693" s="89">
        <v>46196</v>
      </c>
      <c r="I1693" s="71" t="s">
        <v>313</v>
      </c>
      <c r="J1693" s="71">
        <v>-8.0000000000000497</v>
      </c>
      <c r="K1693" s="71" t="s">
        <v>302</v>
      </c>
      <c r="L1693" s="71">
        <f t="shared" si="234"/>
        <v>6</v>
      </c>
      <c r="M1693" s="71" t="str">
        <f>IFERROR(INDEX(KALENDER!$D$3:$D$132,MATCH(H1693,KALENDER!$A$3:$A$132,0)),"Di luar periode")</f>
        <v>Hari Kerja</v>
      </c>
      <c r="N1693" s="71">
        <f t="shared" si="235"/>
        <v>1</v>
      </c>
      <c r="O1693" s="71">
        <f t="shared" si="236"/>
        <v>1</v>
      </c>
      <c r="P1693" s="71">
        <f t="shared" si="237"/>
        <v>1</v>
      </c>
      <c r="Q1693" s="71">
        <f t="shared" si="238"/>
        <v>0</v>
      </c>
      <c r="R1693" s="71">
        <f t="shared" si="239"/>
        <v>0</v>
      </c>
      <c r="S1693" s="71">
        <f t="shared" si="240"/>
        <v>0</v>
      </c>
      <c r="T1693" s="71">
        <f t="shared" si="241"/>
        <v>0</v>
      </c>
      <c r="U1693" s="71">
        <f>IF(AND(N1693=1,V1693=1),IF(COUNTIFS(AKTIVITAS!$B$2:$B$3052,B1693,AKTIVITAS!$E$2:$E$3052,H1693)&gt;0,1,0),0)</f>
        <v>1</v>
      </c>
      <c r="V1693" s="71">
        <f>IFERROR(IF(AND(H1693&gt;=INDEX(PEMAGANG!$J$3:$J$36,MATCH(B1693,PEMAGANG!$C$3:$C$36,0)),H1693&lt;=INDEX(PEMAGANG!$K$3:$K$36,MATCH(B1693,PEMAGANG!$C$3:$C$36,0))),1,0),0)</f>
        <v>1</v>
      </c>
      <c r="W1693" s="71">
        <f t="shared" si="242"/>
        <v>1</v>
      </c>
    </row>
    <row r="1694" spans="1:23" x14ac:dyDescent="0.2">
      <c r="A1694" s="71" t="s">
        <v>246</v>
      </c>
      <c r="B1694" s="71" t="s">
        <v>247</v>
      </c>
      <c r="C1694" s="71" t="s">
        <v>187</v>
      </c>
      <c r="D1694" s="71" t="s">
        <v>248</v>
      </c>
      <c r="E1694" s="71" t="s">
        <v>586</v>
      </c>
      <c r="F1694" s="71" t="s">
        <v>300</v>
      </c>
      <c r="G1694" s="88">
        <v>46196.688333333303</v>
      </c>
      <c r="H1694" s="89">
        <v>46196</v>
      </c>
      <c r="I1694" s="71" t="s">
        <v>336</v>
      </c>
      <c r="J1694" s="71">
        <v>0</v>
      </c>
      <c r="K1694" s="71" t="s">
        <v>302</v>
      </c>
      <c r="L1694" s="71">
        <f t="shared" si="234"/>
        <v>6</v>
      </c>
      <c r="M1694" s="71" t="str">
        <f>IFERROR(INDEX(KALENDER!$D$3:$D$132,MATCH(H1694,KALENDER!$A$3:$A$132,0)),"Di luar periode")</f>
        <v>Hari Kerja</v>
      </c>
      <c r="N1694" s="71">
        <f t="shared" si="235"/>
        <v>0</v>
      </c>
      <c r="O1694" s="71">
        <f t="shared" si="236"/>
        <v>1</v>
      </c>
      <c r="P1694" s="71">
        <f t="shared" si="237"/>
        <v>0</v>
      </c>
      <c r="Q1694" s="71">
        <f t="shared" si="238"/>
        <v>0</v>
      </c>
      <c r="R1694" s="71">
        <f t="shared" si="239"/>
        <v>0</v>
      </c>
      <c r="S1694" s="71">
        <f t="shared" si="240"/>
        <v>0</v>
      </c>
      <c r="T1694" s="71">
        <f t="shared" si="241"/>
        <v>0</v>
      </c>
      <c r="U1694" s="71">
        <f>IF(AND(N1694=1,V1694=1),IF(COUNTIFS(AKTIVITAS!$B$2:$B$3052,B1694,AKTIVITAS!$E$2:$E$3052,H1694)&gt;0,1,0),0)</f>
        <v>0</v>
      </c>
      <c r="V1694" s="71">
        <f>IFERROR(IF(AND(H1694&gt;=INDEX(PEMAGANG!$J$3:$J$36,MATCH(B1694,PEMAGANG!$C$3:$C$36,0)),H1694&lt;=INDEX(PEMAGANG!$K$3:$K$36,MATCH(B1694,PEMAGANG!$C$3:$C$36,0))),1,0),0)</f>
        <v>1</v>
      </c>
      <c r="W1694" s="71">
        <f t="shared" si="242"/>
        <v>0</v>
      </c>
    </row>
    <row r="1695" spans="1:23" x14ac:dyDescent="0.2">
      <c r="A1695" s="71" t="s">
        <v>246</v>
      </c>
      <c r="B1695" s="71" t="s">
        <v>247</v>
      </c>
      <c r="C1695" s="71" t="s">
        <v>187</v>
      </c>
      <c r="D1695" s="71" t="s">
        <v>248</v>
      </c>
      <c r="E1695" s="71" t="s">
        <v>586</v>
      </c>
      <c r="F1695" s="71" t="s">
        <v>298</v>
      </c>
      <c r="G1695" s="88">
        <v>46197.3055902778</v>
      </c>
      <c r="H1695" s="89">
        <v>46197</v>
      </c>
      <c r="I1695" s="71" t="s">
        <v>329</v>
      </c>
      <c r="J1695" s="71">
        <v>-10</v>
      </c>
      <c r="K1695" s="71" t="s">
        <v>302</v>
      </c>
      <c r="L1695" s="71">
        <f t="shared" si="234"/>
        <v>6</v>
      </c>
      <c r="M1695" s="71" t="str">
        <f>IFERROR(INDEX(KALENDER!$D$3:$D$132,MATCH(H1695,KALENDER!$A$3:$A$132,0)),"Di luar periode")</f>
        <v>WFH</v>
      </c>
      <c r="N1695" s="71">
        <f t="shared" si="235"/>
        <v>1</v>
      </c>
      <c r="O1695" s="71">
        <f t="shared" si="236"/>
        <v>1</v>
      </c>
      <c r="P1695" s="71">
        <f t="shared" si="237"/>
        <v>0</v>
      </c>
      <c r="Q1695" s="71">
        <f t="shared" si="238"/>
        <v>1</v>
      </c>
      <c r="R1695" s="71">
        <f t="shared" si="239"/>
        <v>0</v>
      </c>
      <c r="S1695" s="71">
        <f t="shared" si="240"/>
        <v>0</v>
      </c>
      <c r="T1695" s="71">
        <f t="shared" si="241"/>
        <v>0</v>
      </c>
      <c r="U1695" s="71">
        <f>IF(AND(N1695=1,V1695=1),IF(COUNTIFS(AKTIVITAS!$B$2:$B$3052,B1695,AKTIVITAS!$E$2:$E$3052,H1695)&gt;0,1,0),0)</f>
        <v>1</v>
      </c>
      <c r="V1695" s="71">
        <f>IFERROR(IF(AND(H1695&gt;=INDEX(PEMAGANG!$J$3:$J$36,MATCH(B1695,PEMAGANG!$C$3:$C$36,0)),H1695&lt;=INDEX(PEMAGANG!$K$3:$K$36,MATCH(B1695,PEMAGANG!$C$3:$C$36,0))),1,0),0)</f>
        <v>1</v>
      </c>
      <c r="W1695" s="71">
        <f t="shared" si="242"/>
        <v>1</v>
      </c>
    </row>
    <row r="1696" spans="1:23" x14ac:dyDescent="0.2">
      <c r="A1696" s="71" t="s">
        <v>246</v>
      </c>
      <c r="B1696" s="71" t="s">
        <v>247</v>
      </c>
      <c r="C1696" s="71" t="s">
        <v>187</v>
      </c>
      <c r="D1696" s="71" t="s">
        <v>248</v>
      </c>
      <c r="E1696" s="71" t="s">
        <v>586</v>
      </c>
      <c r="F1696" s="71" t="s">
        <v>300</v>
      </c>
      <c r="G1696" s="88">
        <v>46197.691412036998</v>
      </c>
      <c r="H1696" s="89">
        <v>46197</v>
      </c>
      <c r="I1696" s="71" t="s">
        <v>310</v>
      </c>
      <c r="J1696" s="71">
        <v>0</v>
      </c>
      <c r="K1696" s="71" t="s">
        <v>302</v>
      </c>
      <c r="L1696" s="71">
        <f t="shared" si="234"/>
        <v>6</v>
      </c>
      <c r="M1696" s="71" t="str">
        <f>IFERROR(INDEX(KALENDER!$D$3:$D$132,MATCH(H1696,KALENDER!$A$3:$A$132,0)),"Di luar periode")</f>
        <v>WFH</v>
      </c>
      <c r="N1696" s="71">
        <f t="shared" si="235"/>
        <v>0</v>
      </c>
      <c r="O1696" s="71">
        <f t="shared" si="236"/>
        <v>1</v>
      </c>
      <c r="P1696" s="71">
        <f t="shared" si="237"/>
        <v>0</v>
      </c>
      <c r="Q1696" s="71">
        <f t="shared" si="238"/>
        <v>0</v>
      </c>
      <c r="R1696" s="71">
        <f t="shared" si="239"/>
        <v>0</v>
      </c>
      <c r="S1696" s="71">
        <f t="shared" si="240"/>
        <v>0</v>
      </c>
      <c r="T1696" s="71">
        <f t="shared" si="241"/>
        <v>0</v>
      </c>
      <c r="U1696" s="71">
        <f>IF(AND(N1696=1,V1696=1),IF(COUNTIFS(AKTIVITAS!$B$2:$B$3052,B1696,AKTIVITAS!$E$2:$E$3052,H1696)&gt;0,1,0),0)</f>
        <v>0</v>
      </c>
      <c r="V1696" s="71">
        <f>IFERROR(IF(AND(H1696&gt;=INDEX(PEMAGANG!$J$3:$J$36,MATCH(B1696,PEMAGANG!$C$3:$C$36,0)),H1696&lt;=INDEX(PEMAGANG!$K$3:$K$36,MATCH(B1696,PEMAGANG!$C$3:$C$36,0))),1,0),0)</f>
        <v>1</v>
      </c>
      <c r="W1696" s="71">
        <f t="shared" si="242"/>
        <v>0</v>
      </c>
    </row>
    <row r="1697" spans="1:23" x14ac:dyDescent="0.2">
      <c r="A1697" s="71" t="s">
        <v>246</v>
      </c>
      <c r="B1697" s="71" t="s">
        <v>247</v>
      </c>
      <c r="C1697" s="71" t="s">
        <v>187</v>
      </c>
      <c r="D1697" s="71" t="s">
        <v>248</v>
      </c>
      <c r="E1697" s="71" t="s">
        <v>586</v>
      </c>
      <c r="F1697" s="71" t="s">
        <v>298</v>
      </c>
      <c r="G1697" s="88">
        <v>46198.309502314798</v>
      </c>
      <c r="H1697" s="89">
        <v>46198</v>
      </c>
      <c r="I1697" s="71" t="s">
        <v>307</v>
      </c>
      <c r="J1697" s="71">
        <v>-4.9999999999999796</v>
      </c>
      <c r="K1697" s="71" t="s">
        <v>302</v>
      </c>
      <c r="L1697" s="71">
        <f t="shared" si="234"/>
        <v>6</v>
      </c>
      <c r="M1697" s="71" t="str">
        <f>IFERROR(INDEX(KALENDER!$D$3:$D$132,MATCH(H1697,KALENDER!$A$3:$A$132,0)),"Di luar periode")</f>
        <v>Hari Kerja</v>
      </c>
      <c r="N1697" s="71">
        <f t="shared" si="235"/>
        <v>1</v>
      </c>
      <c r="O1697" s="71">
        <f t="shared" si="236"/>
        <v>1</v>
      </c>
      <c r="P1697" s="71">
        <f t="shared" si="237"/>
        <v>1</v>
      </c>
      <c r="Q1697" s="71">
        <f t="shared" si="238"/>
        <v>0</v>
      </c>
      <c r="R1697" s="71">
        <f t="shared" si="239"/>
        <v>0</v>
      </c>
      <c r="S1697" s="71">
        <f t="shared" si="240"/>
        <v>0</v>
      </c>
      <c r="T1697" s="71">
        <f t="shared" si="241"/>
        <v>0</v>
      </c>
      <c r="U1697" s="71">
        <f>IF(AND(N1697=1,V1697=1),IF(COUNTIFS(AKTIVITAS!$B$2:$B$3052,B1697,AKTIVITAS!$E$2:$E$3052,H1697)&gt;0,1,0),0)</f>
        <v>1</v>
      </c>
      <c r="V1697" s="71">
        <f>IFERROR(IF(AND(H1697&gt;=INDEX(PEMAGANG!$J$3:$J$36,MATCH(B1697,PEMAGANG!$C$3:$C$36,0)),H1697&lt;=INDEX(PEMAGANG!$K$3:$K$36,MATCH(B1697,PEMAGANG!$C$3:$C$36,0))),1,0),0)</f>
        <v>1</v>
      </c>
      <c r="W1697" s="71">
        <f t="shared" si="242"/>
        <v>1</v>
      </c>
    </row>
    <row r="1698" spans="1:23" x14ac:dyDescent="0.2">
      <c r="A1698" s="71" t="s">
        <v>246</v>
      </c>
      <c r="B1698" s="71" t="s">
        <v>247</v>
      </c>
      <c r="C1698" s="71" t="s">
        <v>187</v>
      </c>
      <c r="D1698" s="71" t="s">
        <v>248</v>
      </c>
      <c r="E1698" s="71" t="s">
        <v>586</v>
      </c>
      <c r="F1698" s="71" t="s">
        <v>300</v>
      </c>
      <c r="G1698" s="88">
        <v>46198.689652777801</v>
      </c>
      <c r="H1698" s="89">
        <v>46198</v>
      </c>
      <c r="I1698" s="71" t="s">
        <v>316</v>
      </c>
      <c r="J1698" s="71">
        <v>0</v>
      </c>
      <c r="K1698" s="71" t="s">
        <v>302</v>
      </c>
      <c r="L1698" s="71">
        <f t="shared" si="234"/>
        <v>6</v>
      </c>
      <c r="M1698" s="71" t="str">
        <f>IFERROR(INDEX(KALENDER!$D$3:$D$132,MATCH(H1698,KALENDER!$A$3:$A$132,0)),"Di luar periode")</f>
        <v>Hari Kerja</v>
      </c>
      <c r="N1698" s="71">
        <f t="shared" si="235"/>
        <v>0</v>
      </c>
      <c r="O1698" s="71">
        <f t="shared" si="236"/>
        <v>1</v>
      </c>
      <c r="P1698" s="71">
        <f t="shared" si="237"/>
        <v>0</v>
      </c>
      <c r="Q1698" s="71">
        <f t="shared" si="238"/>
        <v>0</v>
      </c>
      <c r="R1698" s="71">
        <f t="shared" si="239"/>
        <v>0</v>
      </c>
      <c r="S1698" s="71">
        <f t="shared" si="240"/>
        <v>0</v>
      </c>
      <c r="T1698" s="71">
        <f t="shared" si="241"/>
        <v>0</v>
      </c>
      <c r="U1698" s="71">
        <f>IF(AND(N1698=1,V1698=1),IF(COUNTIFS(AKTIVITAS!$B$2:$B$3052,B1698,AKTIVITAS!$E$2:$E$3052,H1698)&gt;0,1,0),0)</f>
        <v>0</v>
      </c>
      <c r="V1698" s="71">
        <f>IFERROR(IF(AND(H1698&gt;=INDEX(PEMAGANG!$J$3:$J$36,MATCH(B1698,PEMAGANG!$C$3:$C$36,0)),H1698&lt;=INDEX(PEMAGANG!$K$3:$K$36,MATCH(B1698,PEMAGANG!$C$3:$C$36,0))),1,0),0)</f>
        <v>1</v>
      </c>
      <c r="W1698" s="71">
        <f t="shared" si="242"/>
        <v>0</v>
      </c>
    </row>
    <row r="1699" spans="1:23" x14ac:dyDescent="0.2">
      <c r="A1699" s="71" t="s">
        <v>246</v>
      </c>
      <c r="B1699" s="71" t="s">
        <v>247</v>
      </c>
      <c r="C1699" s="71" t="s">
        <v>187</v>
      </c>
      <c r="D1699" s="71" t="s">
        <v>248</v>
      </c>
      <c r="E1699" s="71" t="s">
        <v>586</v>
      </c>
      <c r="F1699" s="71" t="s">
        <v>298</v>
      </c>
      <c r="G1699" s="88">
        <v>46199.310914351903</v>
      </c>
      <c r="H1699" s="89">
        <v>46199</v>
      </c>
      <c r="I1699" s="71" t="s">
        <v>309</v>
      </c>
      <c r="J1699" s="71">
        <v>-2.9999999999999898</v>
      </c>
      <c r="K1699" s="71" t="s">
        <v>302</v>
      </c>
      <c r="L1699" s="71">
        <f t="shared" si="234"/>
        <v>6</v>
      </c>
      <c r="M1699" s="71" t="str">
        <f>IFERROR(INDEX(KALENDER!$D$3:$D$132,MATCH(H1699,KALENDER!$A$3:$A$132,0)),"Di luar periode")</f>
        <v>Hari Kerja</v>
      </c>
      <c r="N1699" s="71">
        <f t="shared" si="235"/>
        <v>1</v>
      </c>
      <c r="O1699" s="71">
        <f t="shared" si="236"/>
        <v>1</v>
      </c>
      <c r="P1699" s="71">
        <f t="shared" si="237"/>
        <v>1</v>
      </c>
      <c r="Q1699" s="71">
        <f t="shared" si="238"/>
        <v>0</v>
      </c>
      <c r="R1699" s="71">
        <f t="shared" si="239"/>
        <v>0</v>
      </c>
      <c r="S1699" s="71">
        <f t="shared" si="240"/>
        <v>0</v>
      </c>
      <c r="T1699" s="71">
        <f t="shared" si="241"/>
        <v>0</v>
      </c>
      <c r="U1699" s="71">
        <f>IF(AND(N1699=1,V1699=1),IF(COUNTIFS(AKTIVITAS!$B$2:$B$3052,B1699,AKTIVITAS!$E$2:$E$3052,H1699)&gt;0,1,0),0)</f>
        <v>1</v>
      </c>
      <c r="V1699" s="71">
        <f>IFERROR(IF(AND(H1699&gt;=INDEX(PEMAGANG!$J$3:$J$36,MATCH(B1699,PEMAGANG!$C$3:$C$36,0)),H1699&lt;=INDEX(PEMAGANG!$K$3:$K$36,MATCH(B1699,PEMAGANG!$C$3:$C$36,0))),1,0),0)</f>
        <v>1</v>
      </c>
      <c r="W1699" s="71">
        <f t="shared" si="242"/>
        <v>1</v>
      </c>
    </row>
    <row r="1700" spans="1:23" x14ac:dyDescent="0.2">
      <c r="A1700" s="71" t="s">
        <v>246</v>
      </c>
      <c r="B1700" s="71" t="s">
        <v>247</v>
      </c>
      <c r="C1700" s="71" t="s">
        <v>187</v>
      </c>
      <c r="D1700" s="71" t="s">
        <v>248</v>
      </c>
      <c r="E1700" s="71" t="s">
        <v>586</v>
      </c>
      <c r="F1700" s="71" t="s">
        <v>300</v>
      </c>
      <c r="G1700" s="88">
        <v>46199.689340277801</v>
      </c>
      <c r="H1700" s="89">
        <v>46199</v>
      </c>
      <c r="I1700" s="71" t="s">
        <v>306</v>
      </c>
      <c r="J1700" s="71">
        <v>0</v>
      </c>
      <c r="K1700" s="71" t="s">
        <v>302</v>
      </c>
      <c r="L1700" s="71">
        <f t="shared" si="234"/>
        <v>6</v>
      </c>
      <c r="M1700" s="71" t="str">
        <f>IFERROR(INDEX(KALENDER!$D$3:$D$132,MATCH(H1700,KALENDER!$A$3:$A$132,0)),"Di luar periode")</f>
        <v>Hari Kerja</v>
      </c>
      <c r="N1700" s="71">
        <f t="shared" si="235"/>
        <v>0</v>
      </c>
      <c r="O1700" s="71">
        <f t="shared" si="236"/>
        <v>1</v>
      </c>
      <c r="P1700" s="71">
        <f t="shared" si="237"/>
        <v>0</v>
      </c>
      <c r="Q1700" s="71">
        <f t="shared" si="238"/>
        <v>0</v>
      </c>
      <c r="R1700" s="71">
        <f t="shared" si="239"/>
        <v>0</v>
      </c>
      <c r="S1700" s="71">
        <f t="shared" si="240"/>
        <v>0</v>
      </c>
      <c r="T1700" s="71">
        <f t="shared" si="241"/>
        <v>0</v>
      </c>
      <c r="U1700" s="71">
        <f>IF(AND(N1700=1,V1700=1),IF(COUNTIFS(AKTIVITAS!$B$2:$B$3052,B1700,AKTIVITAS!$E$2:$E$3052,H1700)&gt;0,1,0),0)</f>
        <v>0</v>
      </c>
      <c r="V1700" s="71">
        <f>IFERROR(IF(AND(H1700&gt;=INDEX(PEMAGANG!$J$3:$J$36,MATCH(B1700,PEMAGANG!$C$3:$C$36,0)),H1700&lt;=INDEX(PEMAGANG!$K$3:$K$36,MATCH(B1700,PEMAGANG!$C$3:$C$36,0))),1,0),0)</f>
        <v>1</v>
      </c>
      <c r="W1700" s="71">
        <f t="shared" si="242"/>
        <v>0</v>
      </c>
    </row>
    <row r="1701" spans="1:23" x14ac:dyDescent="0.2">
      <c r="A1701" s="71" t="s">
        <v>246</v>
      </c>
      <c r="B1701" s="71" t="s">
        <v>247</v>
      </c>
      <c r="C1701" s="71" t="s">
        <v>187</v>
      </c>
      <c r="D1701" s="71" t="s">
        <v>248</v>
      </c>
      <c r="E1701" s="71" t="s">
        <v>586</v>
      </c>
      <c r="F1701" s="71" t="s">
        <v>298</v>
      </c>
      <c r="G1701" s="88">
        <v>46202.310648148101</v>
      </c>
      <c r="H1701" s="89">
        <v>46202</v>
      </c>
      <c r="I1701" s="71" t="s">
        <v>309</v>
      </c>
      <c r="J1701" s="71">
        <v>-2.9999999999999898</v>
      </c>
      <c r="K1701" s="71" t="s">
        <v>302</v>
      </c>
      <c r="L1701" s="71">
        <f t="shared" si="234"/>
        <v>6</v>
      </c>
      <c r="M1701" s="71" t="str">
        <f>IFERROR(INDEX(KALENDER!$D$3:$D$132,MATCH(H1701,KALENDER!$A$3:$A$132,0)),"Di luar periode")</f>
        <v>Hari Kerja</v>
      </c>
      <c r="N1701" s="71">
        <f t="shared" si="235"/>
        <v>1</v>
      </c>
      <c r="O1701" s="71">
        <f t="shared" si="236"/>
        <v>1</v>
      </c>
      <c r="P1701" s="71">
        <f t="shared" si="237"/>
        <v>1</v>
      </c>
      <c r="Q1701" s="71">
        <f t="shared" si="238"/>
        <v>0</v>
      </c>
      <c r="R1701" s="71">
        <f t="shared" si="239"/>
        <v>0</v>
      </c>
      <c r="S1701" s="71">
        <f t="shared" si="240"/>
        <v>0</v>
      </c>
      <c r="T1701" s="71">
        <f t="shared" si="241"/>
        <v>0</v>
      </c>
      <c r="U1701" s="71">
        <f>IF(AND(N1701=1,V1701=1),IF(COUNTIFS(AKTIVITAS!$B$2:$B$3052,B1701,AKTIVITAS!$E$2:$E$3052,H1701)&gt;0,1,0),0)</f>
        <v>1</v>
      </c>
      <c r="V1701" s="71">
        <f>IFERROR(IF(AND(H1701&gt;=INDEX(PEMAGANG!$J$3:$J$36,MATCH(B1701,PEMAGANG!$C$3:$C$36,0)),H1701&lt;=INDEX(PEMAGANG!$K$3:$K$36,MATCH(B1701,PEMAGANG!$C$3:$C$36,0))),1,0),0)</f>
        <v>1</v>
      </c>
      <c r="W1701" s="71">
        <f t="shared" si="242"/>
        <v>1</v>
      </c>
    </row>
    <row r="1702" spans="1:23" x14ac:dyDescent="0.2">
      <c r="A1702" s="71" t="s">
        <v>246</v>
      </c>
      <c r="B1702" s="71" t="s">
        <v>247</v>
      </c>
      <c r="C1702" s="71" t="s">
        <v>187</v>
      </c>
      <c r="D1702" s="71" t="s">
        <v>248</v>
      </c>
      <c r="E1702" s="71" t="s">
        <v>586</v>
      </c>
      <c r="F1702" s="71" t="s">
        <v>300</v>
      </c>
      <c r="G1702" s="88">
        <v>46202.692719907398</v>
      </c>
      <c r="H1702" s="89">
        <v>46202</v>
      </c>
      <c r="I1702" s="71" t="s">
        <v>328</v>
      </c>
      <c r="J1702" s="71">
        <v>0</v>
      </c>
      <c r="K1702" s="71" t="s">
        <v>302</v>
      </c>
      <c r="L1702" s="71">
        <f t="shared" si="234"/>
        <v>6</v>
      </c>
      <c r="M1702" s="71" t="str">
        <f>IFERROR(INDEX(KALENDER!$D$3:$D$132,MATCH(H1702,KALENDER!$A$3:$A$132,0)),"Di luar periode")</f>
        <v>Hari Kerja</v>
      </c>
      <c r="N1702" s="71">
        <f t="shared" si="235"/>
        <v>0</v>
      </c>
      <c r="O1702" s="71">
        <f t="shared" si="236"/>
        <v>1</v>
      </c>
      <c r="P1702" s="71">
        <f t="shared" si="237"/>
        <v>0</v>
      </c>
      <c r="Q1702" s="71">
        <f t="shared" si="238"/>
        <v>0</v>
      </c>
      <c r="R1702" s="71">
        <f t="shared" si="239"/>
        <v>0</v>
      </c>
      <c r="S1702" s="71">
        <f t="shared" si="240"/>
        <v>0</v>
      </c>
      <c r="T1702" s="71">
        <f t="shared" si="241"/>
        <v>0</v>
      </c>
      <c r="U1702" s="71">
        <f>IF(AND(N1702=1,V1702=1),IF(COUNTIFS(AKTIVITAS!$B$2:$B$3052,B1702,AKTIVITAS!$E$2:$E$3052,H1702)&gt;0,1,0),0)</f>
        <v>0</v>
      </c>
      <c r="V1702" s="71">
        <f>IFERROR(IF(AND(H1702&gt;=INDEX(PEMAGANG!$J$3:$J$36,MATCH(B1702,PEMAGANG!$C$3:$C$36,0)),H1702&lt;=INDEX(PEMAGANG!$K$3:$K$36,MATCH(B1702,PEMAGANG!$C$3:$C$36,0))),1,0),0)</f>
        <v>1</v>
      </c>
      <c r="W1702" s="71">
        <f t="shared" si="242"/>
        <v>0</v>
      </c>
    </row>
    <row r="1703" spans="1:23" x14ac:dyDescent="0.2">
      <c r="A1703" s="71" t="s">
        <v>246</v>
      </c>
      <c r="B1703" s="71" t="s">
        <v>247</v>
      </c>
      <c r="C1703" s="71" t="s">
        <v>187</v>
      </c>
      <c r="D1703" s="71" t="s">
        <v>248</v>
      </c>
      <c r="E1703" s="71" t="s">
        <v>586</v>
      </c>
      <c r="F1703" s="71" t="s">
        <v>298</v>
      </c>
      <c r="G1703" s="88">
        <v>46203.308564814797</v>
      </c>
      <c r="H1703" s="89">
        <v>46203</v>
      </c>
      <c r="I1703" s="71" t="s">
        <v>303</v>
      </c>
      <c r="J1703" s="71">
        <v>-5.9999999999999796</v>
      </c>
      <c r="K1703" s="71" t="s">
        <v>302</v>
      </c>
      <c r="L1703" s="71">
        <f t="shared" si="234"/>
        <v>6</v>
      </c>
      <c r="M1703" s="71" t="str">
        <f>IFERROR(INDEX(KALENDER!$D$3:$D$132,MATCH(H1703,KALENDER!$A$3:$A$132,0)),"Di luar periode")</f>
        <v>Hari Kerja</v>
      </c>
      <c r="N1703" s="71">
        <f t="shared" si="235"/>
        <v>1</v>
      </c>
      <c r="O1703" s="71">
        <f t="shared" si="236"/>
        <v>1</v>
      </c>
      <c r="P1703" s="71">
        <f t="shared" si="237"/>
        <v>1</v>
      </c>
      <c r="Q1703" s="71">
        <f t="shared" si="238"/>
        <v>0</v>
      </c>
      <c r="R1703" s="71">
        <f t="shared" si="239"/>
        <v>0</v>
      </c>
      <c r="S1703" s="71">
        <f t="shared" si="240"/>
        <v>0</v>
      </c>
      <c r="T1703" s="71">
        <f t="shared" si="241"/>
        <v>1</v>
      </c>
      <c r="U1703" s="71">
        <f>IF(AND(N1703=1,V1703=1),IF(COUNTIFS(AKTIVITAS!$B$2:$B$3052,B1703,AKTIVITAS!$E$2:$E$3052,H1703)&gt;0,1,0),0)</f>
        <v>0</v>
      </c>
      <c r="V1703" s="71">
        <f>IFERROR(IF(AND(H1703&gt;=INDEX(PEMAGANG!$J$3:$J$36,MATCH(B1703,PEMAGANG!$C$3:$C$36,0)),H1703&lt;=INDEX(PEMAGANG!$K$3:$K$36,MATCH(B1703,PEMAGANG!$C$3:$C$36,0))),1,0),0)</f>
        <v>1</v>
      </c>
      <c r="W1703" s="71">
        <f t="shared" si="242"/>
        <v>1</v>
      </c>
    </row>
    <row r="1704" spans="1:23" x14ac:dyDescent="0.2">
      <c r="A1704" s="71" t="s">
        <v>246</v>
      </c>
      <c r="B1704" s="71" t="s">
        <v>247</v>
      </c>
      <c r="C1704" s="71" t="s">
        <v>187</v>
      </c>
      <c r="D1704" s="71" t="s">
        <v>248</v>
      </c>
      <c r="E1704" s="71" t="s">
        <v>586</v>
      </c>
      <c r="F1704" s="71" t="s">
        <v>298</v>
      </c>
      <c r="G1704" s="88">
        <v>46204.295162037</v>
      </c>
      <c r="H1704" s="89">
        <v>46204</v>
      </c>
      <c r="I1704" s="71" t="s">
        <v>355</v>
      </c>
      <c r="J1704" s="71">
        <v>-25</v>
      </c>
      <c r="K1704" s="71" t="s">
        <v>302</v>
      </c>
      <c r="L1704" s="71">
        <f t="shared" si="234"/>
        <v>7</v>
      </c>
      <c r="M1704" s="71" t="str">
        <f>IFERROR(INDEX(KALENDER!$D$3:$D$132,MATCH(H1704,KALENDER!$A$3:$A$132,0)),"Di luar periode")</f>
        <v>WFH</v>
      </c>
      <c r="N1704" s="71">
        <f t="shared" si="235"/>
        <v>1</v>
      </c>
      <c r="O1704" s="71">
        <f t="shared" si="236"/>
        <v>1</v>
      </c>
      <c r="P1704" s="71">
        <f t="shared" si="237"/>
        <v>0</v>
      </c>
      <c r="Q1704" s="71">
        <f t="shared" si="238"/>
        <v>1</v>
      </c>
      <c r="R1704" s="71">
        <f t="shared" si="239"/>
        <v>0</v>
      </c>
      <c r="S1704" s="71">
        <f t="shared" si="240"/>
        <v>0</v>
      </c>
      <c r="T1704" s="71">
        <f t="shared" si="241"/>
        <v>0</v>
      </c>
      <c r="U1704" s="71">
        <f>IF(AND(N1704=1,V1704=1),IF(COUNTIFS(AKTIVITAS!$B$2:$B$3052,B1704,AKTIVITAS!$E$2:$E$3052,H1704)&gt;0,1,0),0)</f>
        <v>1</v>
      </c>
      <c r="V1704" s="71">
        <f>IFERROR(IF(AND(H1704&gt;=INDEX(PEMAGANG!$J$3:$J$36,MATCH(B1704,PEMAGANG!$C$3:$C$36,0)),H1704&lt;=INDEX(PEMAGANG!$K$3:$K$36,MATCH(B1704,PEMAGANG!$C$3:$C$36,0))),1,0),0)</f>
        <v>1</v>
      </c>
      <c r="W1704" s="71">
        <f t="shared" si="242"/>
        <v>1</v>
      </c>
    </row>
    <row r="1705" spans="1:23" x14ac:dyDescent="0.2">
      <c r="A1705" s="71" t="s">
        <v>246</v>
      </c>
      <c r="B1705" s="71" t="s">
        <v>247</v>
      </c>
      <c r="C1705" s="71" t="s">
        <v>187</v>
      </c>
      <c r="D1705" s="71" t="s">
        <v>248</v>
      </c>
      <c r="E1705" s="71" t="s">
        <v>586</v>
      </c>
      <c r="F1705" s="71" t="s">
        <v>300</v>
      </c>
      <c r="G1705" s="88">
        <v>46204.7570023148</v>
      </c>
      <c r="H1705" s="89">
        <v>46204</v>
      </c>
      <c r="I1705" s="71" t="s">
        <v>441</v>
      </c>
      <c r="J1705" s="71">
        <v>0</v>
      </c>
      <c r="K1705" s="71" t="s">
        <v>302</v>
      </c>
      <c r="L1705" s="71">
        <f t="shared" si="234"/>
        <v>7</v>
      </c>
      <c r="M1705" s="71" t="str">
        <f>IFERROR(INDEX(KALENDER!$D$3:$D$132,MATCH(H1705,KALENDER!$A$3:$A$132,0)),"Di luar periode")</f>
        <v>WFH</v>
      </c>
      <c r="N1705" s="71">
        <f t="shared" si="235"/>
        <v>0</v>
      </c>
      <c r="O1705" s="71">
        <f t="shared" si="236"/>
        <v>1</v>
      </c>
      <c r="P1705" s="71">
        <f t="shared" si="237"/>
        <v>0</v>
      </c>
      <c r="Q1705" s="71">
        <f t="shared" si="238"/>
        <v>0</v>
      </c>
      <c r="R1705" s="71">
        <f t="shared" si="239"/>
        <v>0</v>
      </c>
      <c r="S1705" s="71">
        <f t="shared" si="240"/>
        <v>0</v>
      </c>
      <c r="T1705" s="71">
        <f t="shared" si="241"/>
        <v>0</v>
      </c>
      <c r="U1705" s="71">
        <f>IF(AND(N1705=1,V1705=1),IF(COUNTIFS(AKTIVITAS!$B$2:$B$3052,B1705,AKTIVITAS!$E$2:$E$3052,H1705)&gt;0,1,0),0)</f>
        <v>0</v>
      </c>
      <c r="V1705" s="71">
        <f>IFERROR(IF(AND(H1705&gt;=INDEX(PEMAGANG!$J$3:$J$36,MATCH(B1705,PEMAGANG!$C$3:$C$36,0)),H1705&lt;=INDEX(PEMAGANG!$K$3:$K$36,MATCH(B1705,PEMAGANG!$C$3:$C$36,0))),1,0),0)</f>
        <v>1</v>
      </c>
      <c r="W1705" s="71">
        <f t="shared" si="242"/>
        <v>0</v>
      </c>
    </row>
    <row r="1706" spans="1:23" x14ac:dyDescent="0.2">
      <c r="A1706" s="71" t="s">
        <v>246</v>
      </c>
      <c r="B1706" s="71" t="s">
        <v>247</v>
      </c>
      <c r="C1706" s="71" t="s">
        <v>187</v>
      </c>
      <c r="D1706" s="71" t="s">
        <v>248</v>
      </c>
      <c r="E1706" s="71" t="s">
        <v>586</v>
      </c>
      <c r="F1706" s="71" t="s">
        <v>298</v>
      </c>
      <c r="G1706" s="88">
        <v>46205.309907407398</v>
      </c>
      <c r="H1706" s="89">
        <v>46205</v>
      </c>
      <c r="I1706" s="71" t="s">
        <v>315</v>
      </c>
      <c r="J1706" s="71">
        <v>-3.9999999999999898</v>
      </c>
      <c r="K1706" s="71" t="s">
        <v>302</v>
      </c>
      <c r="L1706" s="71">
        <f t="shared" si="234"/>
        <v>7</v>
      </c>
      <c r="M1706" s="71" t="str">
        <f>IFERROR(INDEX(KALENDER!$D$3:$D$132,MATCH(H1706,KALENDER!$A$3:$A$132,0)),"Di luar periode")</f>
        <v>Hari Kerja</v>
      </c>
      <c r="N1706" s="71">
        <f t="shared" si="235"/>
        <v>1</v>
      </c>
      <c r="O1706" s="71">
        <f t="shared" si="236"/>
        <v>1</v>
      </c>
      <c r="P1706" s="71">
        <f t="shared" si="237"/>
        <v>1</v>
      </c>
      <c r="Q1706" s="71">
        <f t="shared" si="238"/>
        <v>0</v>
      </c>
      <c r="R1706" s="71">
        <f t="shared" si="239"/>
        <v>0</v>
      </c>
      <c r="S1706" s="71">
        <f t="shared" si="240"/>
        <v>0</v>
      </c>
      <c r="T1706" s="71">
        <f t="shared" si="241"/>
        <v>0</v>
      </c>
      <c r="U1706" s="71">
        <f>IF(AND(N1706=1,V1706=1),IF(COUNTIFS(AKTIVITAS!$B$2:$B$3052,B1706,AKTIVITAS!$E$2:$E$3052,H1706)&gt;0,1,0),0)</f>
        <v>1</v>
      </c>
      <c r="V1706" s="71">
        <f>IFERROR(IF(AND(H1706&gt;=INDEX(PEMAGANG!$J$3:$J$36,MATCH(B1706,PEMAGANG!$C$3:$C$36,0)),H1706&lt;=INDEX(PEMAGANG!$K$3:$K$36,MATCH(B1706,PEMAGANG!$C$3:$C$36,0))),1,0),0)</f>
        <v>1</v>
      </c>
      <c r="W1706" s="71">
        <f t="shared" si="242"/>
        <v>1</v>
      </c>
    </row>
    <row r="1707" spans="1:23" x14ac:dyDescent="0.2">
      <c r="A1707" s="71" t="s">
        <v>246</v>
      </c>
      <c r="B1707" s="71" t="s">
        <v>247</v>
      </c>
      <c r="C1707" s="71" t="s">
        <v>187</v>
      </c>
      <c r="D1707" s="71" t="s">
        <v>248</v>
      </c>
      <c r="E1707" s="71" t="s">
        <v>586</v>
      </c>
      <c r="F1707" s="71" t="s">
        <v>300</v>
      </c>
      <c r="G1707" s="88">
        <v>46205.6891203704</v>
      </c>
      <c r="H1707" s="89">
        <v>46205</v>
      </c>
      <c r="I1707" s="71" t="s">
        <v>306</v>
      </c>
      <c r="J1707" s="71">
        <v>0</v>
      </c>
      <c r="K1707" s="71" t="s">
        <v>302</v>
      </c>
      <c r="L1707" s="71">
        <f t="shared" si="234"/>
        <v>7</v>
      </c>
      <c r="M1707" s="71" t="str">
        <f>IFERROR(INDEX(KALENDER!$D$3:$D$132,MATCH(H1707,KALENDER!$A$3:$A$132,0)),"Di luar periode")</f>
        <v>Hari Kerja</v>
      </c>
      <c r="N1707" s="71">
        <f t="shared" si="235"/>
        <v>0</v>
      </c>
      <c r="O1707" s="71">
        <f t="shared" si="236"/>
        <v>1</v>
      </c>
      <c r="P1707" s="71">
        <f t="shared" si="237"/>
        <v>0</v>
      </c>
      <c r="Q1707" s="71">
        <f t="shared" si="238"/>
        <v>0</v>
      </c>
      <c r="R1707" s="71">
        <f t="shared" si="239"/>
        <v>0</v>
      </c>
      <c r="S1707" s="71">
        <f t="shared" si="240"/>
        <v>0</v>
      </c>
      <c r="T1707" s="71">
        <f t="shared" si="241"/>
        <v>0</v>
      </c>
      <c r="U1707" s="71">
        <f>IF(AND(N1707=1,V1707=1),IF(COUNTIFS(AKTIVITAS!$B$2:$B$3052,B1707,AKTIVITAS!$E$2:$E$3052,H1707)&gt;0,1,0),0)</f>
        <v>0</v>
      </c>
      <c r="V1707" s="71">
        <f>IFERROR(IF(AND(H1707&gt;=INDEX(PEMAGANG!$J$3:$J$36,MATCH(B1707,PEMAGANG!$C$3:$C$36,0)),H1707&lt;=INDEX(PEMAGANG!$K$3:$K$36,MATCH(B1707,PEMAGANG!$C$3:$C$36,0))),1,0),0)</f>
        <v>1</v>
      </c>
      <c r="W1707" s="71">
        <f t="shared" si="242"/>
        <v>0</v>
      </c>
    </row>
    <row r="1708" spans="1:23" x14ac:dyDescent="0.2">
      <c r="A1708" s="71" t="s">
        <v>246</v>
      </c>
      <c r="B1708" s="71" t="s">
        <v>247</v>
      </c>
      <c r="C1708" s="71" t="s">
        <v>187</v>
      </c>
      <c r="D1708" s="71" t="s">
        <v>248</v>
      </c>
      <c r="E1708" s="71" t="s">
        <v>586</v>
      </c>
      <c r="F1708" s="71" t="s">
        <v>298</v>
      </c>
      <c r="G1708" s="88">
        <v>46206.308136574102</v>
      </c>
      <c r="H1708" s="89">
        <v>46206</v>
      </c>
      <c r="I1708" s="71" t="s">
        <v>311</v>
      </c>
      <c r="J1708" s="71">
        <v>-6.9999999999999796</v>
      </c>
      <c r="K1708" s="71" t="s">
        <v>302</v>
      </c>
      <c r="L1708" s="71">
        <f t="shared" si="234"/>
        <v>7</v>
      </c>
      <c r="M1708" s="71" t="str">
        <f>IFERROR(INDEX(KALENDER!$D$3:$D$132,MATCH(H1708,KALENDER!$A$3:$A$132,0)),"Di luar periode")</f>
        <v>Hari Kerja</v>
      </c>
      <c r="N1708" s="71">
        <f t="shared" si="235"/>
        <v>1</v>
      </c>
      <c r="O1708" s="71">
        <f t="shared" si="236"/>
        <v>1</v>
      </c>
      <c r="P1708" s="71">
        <f t="shared" si="237"/>
        <v>1</v>
      </c>
      <c r="Q1708" s="71">
        <f t="shared" si="238"/>
        <v>0</v>
      </c>
      <c r="R1708" s="71">
        <f t="shared" si="239"/>
        <v>0</v>
      </c>
      <c r="S1708" s="71">
        <f t="shared" si="240"/>
        <v>0</v>
      </c>
      <c r="T1708" s="71">
        <f t="shared" si="241"/>
        <v>0</v>
      </c>
      <c r="U1708" s="71">
        <f>IF(AND(N1708=1,V1708=1),IF(COUNTIFS(AKTIVITAS!$B$2:$B$3052,B1708,AKTIVITAS!$E$2:$E$3052,H1708)&gt;0,1,0),0)</f>
        <v>1</v>
      </c>
      <c r="V1708" s="71">
        <f>IFERROR(IF(AND(H1708&gt;=INDEX(PEMAGANG!$J$3:$J$36,MATCH(B1708,PEMAGANG!$C$3:$C$36,0)),H1708&lt;=INDEX(PEMAGANG!$K$3:$K$36,MATCH(B1708,PEMAGANG!$C$3:$C$36,0))),1,0),0)</f>
        <v>1</v>
      </c>
      <c r="W1708" s="71">
        <f t="shared" si="242"/>
        <v>1</v>
      </c>
    </row>
    <row r="1709" spans="1:23" x14ac:dyDescent="0.2">
      <c r="A1709" s="71" t="s">
        <v>246</v>
      </c>
      <c r="B1709" s="71" t="s">
        <v>247</v>
      </c>
      <c r="C1709" s="71" t="s">
        <v>187</v>
      </c>
      <c r="D1709" s="71" t="s">
        <v>248</v>
      </c>
      <c r="E1709" s="71" t="s">
        <v>586</v>
      </c>
      <c r="F1709" s="71" t="s">
        <v>300</v>
      </c>
      <c r="G1709" s="88">
        <v>46206.689085648199</v>
      </c>
      <c r="H1709" s="89">
        <v>46206</v>
      </c>
      <c r="I1709" s="71" t="s">
        <v>306</v>
      </c>
      <c r="J1709" s="71">
        <v>0</v>
      </c>
      <c r="K1709" s="71" t="s">
        <v>302</v>
      </c>
      <c r="L1709" s="71">
        <f t="shared" si="234"/>
        <v>7</v>
      </c>
      <c r="M1709" s="71" t="str">
        <f>IFERROR(INDEX(KALENDER!$D$3:$D$132,MATCH(H1709,KALENDER!$A$3:$A$132,0)),"Di luar periode")</f>
        <v>Hari Kerja</v>
      </c>
      <c r="N1709" s="71">
        <f t="shared" si="235"/>
        <v>0</v>
      </c>
      <c r="O1709" s="71">
        <f t="shared" si="236"/>
        <v>1</v>
      </c>
      <c r="P1709" s="71">
        <f t="shared" si="237"/>
        <v>0</v>
      </c>
      <c r="Q1709" s="71">
        <f t="shared" si="238"/>
        <v>0</v>
      </c>
      <c r="R1709" s="71">
        <f t="shared" si="239"/>
        <v>0</v>
      </c>
      <c r="S1709" s="71">
        <f t="shared" si="240"/>
        <v>0</v>
      </c>
      <c r="T1709" s="71">
        <f t="shared" si="241"/>
        <v>0</v>
      </c>
      <c r="U1709" s="71">
        <f>IF(AND(N1709=1,V1709=1),IF(COUNTIFS(AKTIVITAS!$B$2:$B$3052,B1709,AKTIVITAS!$E$2:$E$3052,H1709)&gt;0,1,0),0)</f>
        <v>0</v>
      </c>
      <c r="V1709" s="71">
        <f>IFERROR(IF(AND(H1709&gt;=INDEX(PEMAGANG!$J$3:$J$36,MATCH(B1709,PEMAGANG!$C$3:$C$36,0)),H1709&lt;=INDEX(PEMAGANG!$K$3:$K$36,MATCH(B1709,PEMAGANG!$C$3:$C$36,0))),1,0),0)</f>
        <v>1</v>
      </c>
      <c r="W1709" s="71">
        <f t="shared" si="242"/>
        <v>0</v>
      </c>
    </row>
    <row r="1710" spans="1:23" x14ac:dyDescent="0.2">
      <c r="A1710" s="71" t="s">
        <v>246</v>
      </c>
      <c r="B1710" s="71" t="s">
        <v>247</v>
      </c>
      <c r="C1710" s="71" t="s">
        <v>187</v>
      </c>
      <c r="D1710" s="71" t="s">
        <v>248</v>
      </c>
      <c r="E1710" s="71" t="s">
        <v>586</v>
      </c>
      <c r="F1710" s="71" t="s">
        <v>298</v>
      </c>
      <c r="G1710" s="88">
        <v>46209.308495370402</v>
      </c>
      <c r="H1710" s="89">
        <v>46209</v>
      </c>
      <c r="I1710" s="71" t="s">
        <v>303</v>
      </c>
      <c r="J1710" s="71">
        <v>-5.9999999999999796</v>
      </c>
      <c r="K1710" s="71" t="s">
        <v>302</v>
      </c>
      <c r="L1710" s="71">
        <f t="shared" si="234"/>
        <v>7</v>
      </c>
      <c r="M1710" s="71" t="str">
        <f>IFERROR(INDEX(KALENDER!$D$3:$D$132,MATCH(H1710,KALENDER!$A$3:$A$132,0)),"Di luar periode")</f>
        <v>Hari Kerja</v>
      </c>
      <c r="N1710" s="71">
        <f t="shared" si="235"/>
        <v>1</v>
      </c>
      <c r="O1710" s="71">
        <f t="shared" si="236"/>
        <v>1</v>
      </c>
      <c r="P1710" s="71">
        <f t="shared" si="237"/>
        <v>1</v>
      </c>
      <c r="Q1710" s="71">
        <f t="shared" si="238"/>
        <v>0</v>
      </c>
      <c r="R1710" s="71">
        <f t="shared" si="239"/>
        <v>0</v>
      </c>
      <c r="S1710" s="71">
        <f t="shared" si="240"/>
        <v>0</v>
      </c>
      <c r="T1710" s="71">
        <f t="shared" si="241"/>
        <v>0</v>
      </c>
      <c r="U1710" s="71">
        <f>IF(AND(N1710=1,V1710=1),IF(COUNTIFS(AKTIVITAS!$B$2:$B$3052,B1710,AKTIVITAS!$E$2:$E$3052,H1710)&gt;0,1,0),0)</f>
        <v>1</v>
      </c>
      <c r="V1710" s="71">
        <f>IFERROR(IF(AND(H1710&gt;=INDEX(PEMAGANG!$J$3:$J$36,MATCH(B1710,PEMAGANG!$C$3:$C$36,0)),H1710&lt;=INDEX(PEMAGANG!$K$3:$K$36,MATCH(B1710,PEMAGANG!$C$3:$C$36,0))),1,0),0)</f>
        <v>1</v>
      </c>
      <c r="W1710" s="71">
        <f t="shared" si="242"/>
        <v>1</v>
      </c>
    </row>
    <row r="1711" spans="1:23" x14ac:dyDescent="0.2">
      <c r="A1711" s="71" t="s">
        <v>246</v>
      </c>
      <c r="B1711" s="71" t="s">
        <v>247</v>
      </c>
      <c r="C1711" s="71" t="s">
        <v>187</v>
      </c>
      <c r="D1711" s="71" t="s">
        <v>248</v>
      </c>
      <c r="E1711" s="71" t="s">
        <v>586</v>
      </c>
      <c r="F1711" s="71" t="s">
        <v>300</v>
      </c>
      <c r="G1711" s="88">
        <v>46209.690069444398</v>
      </c>
      <c r="H1711" s="89">
        <v>46209</v>
      </c>
      <c r="I1711" s="71" t="s">
        <v>316</v>
      </c>
      <c r="J1711" s="71">
        <v>0</v>
      </c>
      <c r="K1711" s="71" t="s">
        <v>302</v>
      </c>
      <c r="L1711" s="71">
        <f t="shared" si="234"/>
        <v>7</v>
      </c>
      <c r="M1711" s="71" t="str">
        <f>IFERROR(INDEX(KALENDER!$D$3:$D$132,MATCH(H1711,KALENDER!$A$3:$A$132,0)),"Di luar periode")</f>
        <v>Hari Kerja</v>
      </c>
      <c r="N1711" s="71">
        <f t="shared" si="235"/>
        <v>0</v>
      </c>
      <c r="O1711" s="71">
        <f t="shared" si="236"/>
        <v>1</v>
      </c>
      <c r="P1711" s="71">
        <f t="shared" si="237"/>
        <v>0</v>
      </c>
      <c r="Q1711" s="71">
        <f t="shared" si="238"/>
        <v>0</v>
      </c>
      <c r="R1711" s="71">
        <f t="shared" si="239"/>
        <v>0</v>
      </c>
      <c r="S1711" s="71">
        <f t="shared" si="240"/>
        <v>0</v>
      </c>
      <c r="T1711" s="71">
        <f t="shared" si="241"/>
        <v>0</v>
      </c>
      <c r="U1711" s="71">
        <f>IF(AND(N1711=1,V1711=1),IF(COUNTIFS(AKTIVITAS!$B$2:$B$3052,B1711,AKTIVITAS!$E$2:$E$3052,H1711)&gt;0,1,0),0)</f>
        <v>0</v>
      </c>
      <c r="V1711" s="71">
        <f>IFERROR(IF(AND(H1711&gt;=INDEX(PEMAGANG!$J$3:$J$36,MATCH(B1711,PEMAGANG!$C$3:$C$36,0)),H1711&lt;=INDEX(PEMAGANG!$K$3:$K$36,MATCH(B1711,PEMAGANG!$C$3:$C$36,0))),1,0),0)</f>
        <v>1</v>
      </c>
      <c r="W1711" s="71">
        <f t="shared" si="242"/>
        <v>0</v>
      </c>
    </row>
    <row r="1712" spans="1:23" x14ac:dyDescent="0.2">
      <c r="A1712" s="71" t="s">
        <v>246</v>
      </c>
      <c r="B1712" s="71" t="s">
        <v>247</v>
      </c>
      <c r="C1712" s="71" t="s">
        <v>187</v>
      </c>
      <c r="D1712" s="71" t="s">
        <v>248</v>
      </c>
      <c r="E1712" s="71" t="s">
        <v>586</v>
      </c>
      <c r="F1712" s="71" t="s">
        <v>298</v>
      </c>
      <c r="G1712" s="88">
        <v>46211.298622685201</v>
      </c>
      <c r="H1712" s="89">
        <v>46211</v>
      </c>
      <c r="I1712" s="71" t="s">
        <v>481</v>
      </c>
      <c r="J1712" s="71">
        <v>-20</v>
      </c>
      <c r="K1712" s="71" t="s">
        <v>302</v>
      </c>
      <c r="L1712" s="71">
        <f t="shared" si="234"/>
        <v>7</v>
      </c>
      <c r="M1712" s="71" t="str">
        <f>IFERROR(INDEX(KALENDER!$D$3:$D$132,MATCH(H1712,KALENDER!$A$3:$A$132,0)),"Di luar periode")</f>
        <v>WFH</v>
      </c>
      <c r="N1712" s="71">
        <f t="shared" si="235"/>
        <v>1</v>
      </c>
      <c r="O1712" s="71">
        <f t="shared" si="236"/>
        <v>1</v>
      </c>
      <c r="P1712" s="71">
        <f t="shared" si="237"/>
        <v>0</v>
      </c>
      <c r="Q1712" s="71">
        <f t="shared" si="238"/>
        <v>1</v>
      </c>
      <c r="R1712" s="71">
        <f t="shared" si="239"/>
        <v>0</v>
      </c>
      <c r="S1712" s="71">
        <f t="shared" si="240"/>
        <v>0</v>
      </c>
      <c r="T1712" s="71">
        <f t="shared" si="241"/>
        <v>0</v>
      </c>
      <c r="U1712" s="71">
        <f>IF(AND(N1712=1,V1712=1),IF(COUNTIFS(AKTIVITAS!$B$2:$B$3052,B1712,AKTIVITAS!$E$2:$E$3052,H1712)&gt;0,1,0),0)</f>
        <v>1</v>
      </c>
      <c r="V1712" s="71">
        <f>IFERROR(IF(AND(H1712&gt;=INDEX(PEMAGANG!$J$3:$J$36,MATCH(B1712,PEMAGANG!$C$3:$C$36,0)),H1712&lt;=INDEX(PEMAGANG!$K$3:$K$36,MATCH(B1712,PEMAGANG!$C$3:$C$36,0))),1,0),0)</f>
        <v>1</v>
      </c>
      <c r="W1712" s="71">
        <f t="shared" si="242"/>
        <v>1</v>
      </c>
    </row>
    <row r="1713" spans="1:23" x14ac:dyDescent="0.2">
      <c r="A1713" s="71" t="s">
        <v>246</v>
      </c>
      <c r="B1713" s="71" t="s">
        <v>247</v>
      </c>
      <c r="C1713" s="71" t="s">
        <v>187</v>
      </c>
      <c r="D1713" s="71" t="s">
        <v>248</v>
      </c>
      <c r="E1713" s="71" t="s">
        <v>586</v>
      </c>
      <c r="F1713" s="71" t="s">
        <v>300</v>
      </c>
      <c r="G1713" s="88">
        <v>46211.782222222202</v>
      </c>
      <c r="H1713" s="89">
        <v>46211</v>
      </c>
      <c r="I1713" s="71" t="s">
        <v>588</v>
      </c>
      <c r="J1713" s="71">
        <v>0</v>
      </c>
      <c r="K1713" s="71" t="s">
        <v>302</v>
      </c>
      <c r="L1713" s="71">
        <f t="shared" si="234"/>
        <v>7</v>
      </c>
      <c r="M1713" s="71" t="str">
        <f>IFERROR(INDEX(KALENDER!$D$3:$D$132,MATCH(H1713,KALENDER!$A$3:$A$132,0)),"Di luar periode")</f>
        <v>WFH</v>
      </c>
      <c r="N1713" s="71">
        <f t="shared" si="235"/>
        <v>0</v>
      </c>
      <c r="O1713" s="71">
        <f t="shared" si="236"/>
        <v>1</v>
      </c>
      <c r="P1713" s="71">
        <f t="shared" si="237"/>
        <v>0</v>
      </c>
      <c r="Q1713" s="71">
        <f t="shared" si="238"/>
        <v>0</v>
      </c>
      <c r="R1713" s="71">
        <f t="shared" si="239"/>
        <v>0</v>
      </c>
      <c r="S1713" s="71">
        <f t="shared" si="240"/>
        <v>0</v>
      </c>
      <c r="T1713" s="71">
        <f t="shared" si="241"/>
        <v>0</v>
      </c>
      <c r="U1713" s="71">
        <f>IF(AND(N1713=1,V1713=1),IF(COUNTIFS(AKTIVITAS!$B$2:$B$3052,B1713,AKTIVITAS!$E$2:$E$3052,H1713)&gt;0,1,0),0)</f>
        <v>0</v>
      </c>
      <c r="V1713" s="71">
        <f>IFERROR(IF(AND(H1713&gt;=INDEX(PEMAGANG!$J$3:$J$36,MATCH(B1713,PEMAGANG!$C$3:$C$36,0)),H1713&lt;=INDEX(PEMAGANG!$K$3:$K$36,MATCH(B1713,PEMAGANG!$C$3:$C$36,0))),1,0),0)</f>
        <v>1</v>
      </c>
      <c r="W1713" s="71">
        <f t="shared" si="242"/>
        <v>0</v>
      </c>
    </row>
    <row r="1714" spans="1:23" x14ac:dyDescent="0.2">
      <c r="A1714" s="71" t="s">
        <v>246</v>
      </c>
      <c r="B1714" s="71" t="s">
        <v>247</v>
      </c>
      <c r="C1714" s="71" t="s">
        <v>187</v>
      </c>
      <c r="D1714" s="71" t="s">
        <v>248</v>
      </c>
      <c r="E1714" s="71" t="s">
        <v>586</v>
      </c>
      <c r="F1714" s="71" t="s">
        <v>298</v>
      </c>
      <c r="G1714" s="88">
        <v>46212.309363425898</v>
      </c>
      <c r="H1714" s="89">
        <v>46212</v>
      </c>
      <c r="I1714" s="71" t="s">
        <v>307</v>
      </c>
      <c r="J1714" s="71">
        <v>-4.9999999999999796</v>
      </c>
      <c r="K1714" s="71" t="s">
        <v>302</v>
      </c>
      <c r="L1714" s="71">
        <f t="shared" si="234"/>
        <v>7</v>
      </c>
      <c r="M1714" s="71" t="str">
        <f>IFERROR(INDEX(KALENDER!$D$3:$D$132,MATCH(H1714,KALENDER!$A$3:$A$132,0)),"Di luar periode")</f>
        <v>Hari Kerja</v>
      </c>
      <c r="N1714" s="71">
        <f t="shared" si="235"/>
        <v>1</v>
      </c>
      <c r="O1714" s="71">
        <f t="shared" si="236"/>
        <v>1</v>
      </c>
      <c r="P1714" s="71">
        <f t="shared" si="237"/>
        <v>1</v>
      </c>
      <c r="Q1714" s="71">
        <f t="shared" si="238"/>
        <v>0</v>
      </c>
      <c r="R1714" s="71">
        <f t="shared" si="239"/>
        <v>0</v>
      </c>
      <c r="S1714" s="71">
        <f t="shared" si="240"/>
        <v>0</v>
      </c>
      <c r="T1714" s="71">
        <f t="shared" si="241"/>
        <v>0</v>
      </c>
      <c r="U1714" s="71">
        <f>IF(AND(N1714=1,V1714=1),IF(COUNTIFS(AKTIVITAS!$B$2:$B$3052,B1714,AKTIVITAS!$E$2:$E$3052,H1714)&gt;0,1,0),0)</f>
        <v>1</v>
      </c>
      <c r="V1714" s="71">
        <f>IFERROR(IF(AND(H1714&gt;=INDEX(PEMAGANG!$J$3:$J$36,MATCH(B1714,PEMAGANG!$C$3:$C$36,0)),H1714&lt;=INDEX(PEMAGANG!$K$3:$K$36,MATCH(B1714,PEMAGANG!$C$3:$C$36,0))),1,0),0)</f>
        <v>1</v>
      </c>
      <c r="W1714" s="71">
        <f t="shared" si="242"/>
        <v>1</v>
      </c>
    </row>
    <row r="1715" spans="1:23" x14ac:dyDescent="0.2">
      <c r="A1715" s="71" t="s">
        <v>246</v>
      </c>
      <c r="B1715" s="71" t="s">
        <v>247</v>
      </c>
      <c r="C1715" s="71" t="s">
        <v>187</v>
      </c>
      <c r="D1715" s="71" t="s">
        <v>248</v>
      </c>
      <c r="E1715" s="71" t="s">
        <v>586</v>
      </c>
      <c r="F1715" s="71" t="s">
        <v>300</v>
      </c>
      <c r="G1715" s="88">
        <v>46212.6879050926</v>
      </c>
      <c r="H1715" s="89">
        <v>46212</v>
      </c>
      <c r="I1715" s="71" t="s">
        <v>330</v>
      </c>
      <c r="J1715" s="71">
        <v>0</v>
      </c>
      <c r="K1715" s="71" t="s">
        <v>302</v>
      </c>
      <c r="L1715" s="71">
        <f t="shared" si="234"/>
        <v>7</v>
      </c>
      <c r="M1715" s="71" t="str">
        <f>IFERROR(INDEX(KALENDER!$D$3:$D$132,MATCH(H1715,KALENDER!$A$3:$A$132,0)),"Di luar periode")</f>
        <v>Hari Kerja</v>
      </c>
      <c r="N1715" s="71">
        <f t="shared" si="235"/>
        <v>0</v>
      </c>
      <c r="O1715" s="71">
        <f t="shared" si="236"/>
        <v>1</v>
      </c>
      <c r="P1715" s="71">
        <f t="shared" si="237"/>
        <v>0</v>
      </c>
      <c r="Q1715" s="71">
        <f t="shared" si="238"/>
        <v>0</v>
      </c>
      <c r="R1715" s="71">
        <f t="shared" si="239"/>
        <v>0</v>
      </c>
      <c r="S1715" s="71">
        <f t="shared" si="240"/>
        <v>0</v>
      </c>
      <c r="T1715" s="71">
        <f t="shared" si="241"/>
        <v>0</v>
      </c>
      <c r="U1715" s="71">
        <f>IF(AND(N1715=1,V1715=1),IF(COUNTIFS(AKTIVITAS!$B$2:$B$3052,B1715,AKTIVITAS!$E$2:$E$3052,H1715)&gt;0,1,0),0)</f>
        <v>0</v>
      </c>
      <c r="V1715" s="71">
        <f>IFERROR(IF(AND(H1715&gt;=INDEX(PEMAGANG!$J$3:$J$36,MATCH(B1715,PEMAGANG!$C$3:$C$36,0)),H1715&lt;=INDEX(PEMAGANG!$K$3:$K$36,MATCH(B1715,PEMAGANG!$C$3:$C$36,0))),1,0),0)</f>
        <v>1</v>
      </c>
      <c r="W1715" s="71">
        <f t="shared" si="242"/>
        <v>0</v>
      </c>
    </row>
    <row r="1716" spans="1:23" x14ac:dyDescent="0.2">
      <c r="A1716" s="71" t="s">
        <v>246</v>
      </c>
      <c r="B1716" s="71" t="s">
        <v>247</v>
      </c>
      <c r="C1716" s="71" t="s">
        <v>187</v>
      </c>
      <c r="D1716" s="71" t="s">
        <v>248</v>
      </c>
      <c r="E1716" s="71" t="s">
        <v>586</v>
      </c>
      <c r="F1716" s="71" t="s">
        <v>298</v>
      </c>
      <c r="G1716" s="88">
        <v>46213.303553240701</v>
      </c>
      <c r="H1716" s="89">
        <v>46213</v>
      </c>
      <c r="I1716" s="71" t="s">
        <v>331</v>
      </c>
      <c r="J1716" s="71">
        <v>-13</v>
      </c>
      <c r="K1716" s="71" t="s">
        <v>302</v>
      </c>
      <c r="L1716" s="71">
        <f t="shared" si="234"/>
        <v>7</v>
      </c>
      <c r="M1716" s="71" t="str">
        <f>IFERROR(INDEX(KALENDER!$D$3:$D$132,MATCH(H1716,KALENDER!$A$3:$A$132,0)),"Di luar periode")</f>
        <v>Hari Kerja</v>
      </c>
      <c r="N1716" s="71">
        <f t="shared" si="235"/>
        <v>1</v>
      </c>
      <c r="O1716" s="71">
        <f t="shared" si="236"/>
        <v>1</v>
      </c>
      <c r="P1716" s="71">
        <f t="shared" si="237"/>
        <v>1</v>
      </c>
      <c r="Q1716" s="71">
        <f t="shared" si="238"/>
        <v>0</v>
      </c>
      <c r="R1716" s="71">
        <f t="shared" si="239"/>
        <v>0</v>
      </c>
      <c r="S1716" s="71">
        <f t="shared" si="240"/>
        <v>0</v>
      </c>
      <c r="T1716" s="71">
        <f t="shared" si="241"/>
        <v>0</v>
      </c>
      <c r="U1716" s="71">
        <f>IF(AND(N1716=1,V1716=1),IF(COUNTIFS(AKTIVITAS!$B$2:$B$3052,B1716,AKTIVITAS!$E$2:$E$3052,H1716)&gt;0,1,0),0)</f>
        <v>1</v>
      </c>
      <c r="V1716" s="71">
        <f>IFERROR(IF(AND(H1716&gt;=INDEX(PEMAGANG!$J$3:$J$36,MATCH(B1716,PEMAGANG!$C$3:$C$36,0)),H1716&lt;=INDEX(PEMAGANG!$K$3:$K$36,MATCH(B1716,PEMAGANG!$C$3:$C$36,0))),1,0),0)</f>
        <v>1</v>
      </c>
      <c r="W1716" s="71">
        <f t="shared" si="242"/>
        <v>1</v>
      </c>
    </row>
    <row r="1717" spans="1:23" x14ac:dyDescent="0.2">
      <c r="A1717" s="71" t="s">
        <v>246</v>
      </c>
      <c r="B1717" s="71" t="s">
        <v>247</v>
      </c>
      <c r="C1717" s="71" t="s">
        <v>187</v>
      </c>
      <c r="D1717" s="71" t="s">
        <v>248</v>
      </c>
      <c r="E1717" s="71" t="s">
        <v>586</v>
      </c>
      <c r="F1717" s="71" t="s">
        <v>300</v>
      </c>
      <c r="G1717" s="88">
        <v>46213.688460648198</v>
      </c>
      <c r="H1717" s="89">
        <v>46213</v>
      </c>
      <c r="I1717" s="71" t="s">
        <v>336</v>
      </c>
      <c r="J1717" s="71">
        <v>0</v>
      </c>
      <c r="K1717" s="71" t="s">
        <v>302</v>
      </c>
      <c r="L1717" s="71">
        <f t="shared" si="234"/>
        <v>7</v>
      </c>
      <c r="M1717" s="71" t="str">
        <f>IFERROR(INDEX(KALENDER!$D$3:$D$132,MATCH(H1717,KALENDER!$A$3:$A$132,0)),"Di luar periode")</f>
        <v>Hari Kerja</v>
      </c>
      <c r="N1717" s="71">
        <f t="shared" si="235"/>
        <v>0</v>
      </c>
      <c r="O1717" s="71">
        <f t="shared" si="236"/>
        <v>1</v>
      </c>
      <c r="P1717" s="71">
        <f t="shared" si="237"/>
        <v>0</v>
      </c>
      <c r="Q1717" s="71">
        <f t="shared" si="238"/>
        <v>0</v>
      </c>
      <c r="R1717" s="71">
        <f t="shared" si="239"/>
        <v>0</v>
      </c>
      <c r="S1717" s="71">
        <f t="shared" si="240"/>
        <v>0</v>
      </c>
      <c r="T1717" s="71">
        <f t="shared" si="241"/>
        <v>0</v>
      </c>
      <c r="U1717" s="71">
        <f>IF(AND(N1717=1,V1717=1),IF(COUNTIFS(AKTIVITAS!$B$2:$B$3052,B1717,AKTIVITAS!$E$2:$E$3052,H1717)&gt;0,1,0),0)</f>
        <v>0</v>
      </c>
      <c r="V1717" s="71">
        <f>IFERROR(IF(AND(H1717&gt;=INDEX(PEMAGANG!$J$3:$J$36,MATCH(B1717,PEMAGANG!$C$3:$C$36,0)),H1717&lt;=INDEX(PEMAGANG!$K$3:$K$36,MATCH(B1717,PEMAGANG!$C$3:$C$36,0))),1,0),0)</f>
        <v>1</v>
      </c>
      <c r="W1717" s="71">
        <f t="shared" si="242"/>
        <v>0</v>
      </c>
    </row>
    <row r="1718" spans="1:23" x14ac:dyDescent="0.2">
      <c r="A1718" s="71" t="s">
        <v>246</v>
      </c>
      <c r="B1718" s="71" t="s">
        <v>247</v>
      </c>
      <c r="C1718" s="71" t="s">
        <v>187</v>
      </c>
      <c r="D1718" s="71" t="s">
        <v>248</v>
      </c>
      <c r="E1718" s="71" t="s">
        <v>586</v>
      </c>
      <c r="F1718" s="71" t="s">
        <v>298</v>
      </c>
      <c r="G1718" s="88">
        <v>46219.307986111096</v>
      </c>
      <c r="H1718" s="89">
        <v>46219</v>
      </c>
      <c r="I1718" s="71" t="s">
        <v>311</v>
      </c>
      <c r="J1718" s="71">
        <v>-6.9999999999999796</v>
      </c>
      <c r="K1718" s="71" t="s">
        <v>302</v>
      </c>
      <c r="L1718" s="71">
        <f t="shared" si="234"/>
        <v>7</v>
      </c>
      <c r="M1718" s="71" t="str">
        <f>IFERROR(INDEX(KALENDER!$D$3:$D$132,MATCH(H1718,KALENDER!$A$3:$A$132,0)),"Di luar periode")</f>
        <v>Hari Kerja</v>
      </c>
      <c r="N1718" s="71">
        <f t="shared" si="235"/>
        <v>1</v>
      </c>
      <c r="O1718" s="71">
        <f t="shared" si="236"/>
        <v>1</v>
      </c>
      <c r="P1718" s="71">
        <f t="shared" si="237"/>
        <v>1</v>
      </c>
      <c r="Q1718" s="71">
        <f t="shared" si="238"/>
        <v>0</v>
      </c>
      <c r="R1718" s="71">
        <f t="shared" si="239"/>
        <v>0</v>
      </c>
      <c r="S1718" s="71">
        <f t="shared" si="240"/>
        <v>0</v>
      </c>
      <c r="T1718" s="71">
        <f t="shared" si="241"/>
        <v>0</v>
      </c>
      <c r="U1718" s="71">
        <f>IF(AND(N1718=1,V1718=1),IF(COUNTIFS(AKTIVITAS!$B$2:$B$3052,B1718,AKTIVITAS!$E$2:$E$3052,H1718)&gt;0,1,0),0)</f>
        <v>1</v>
      </c>
      <c r="V1718" s="71">
        <f>IFERROR(IF(AND(H1718&gt;=INDEX(PEMAGANG!$J$3:$J$36,MATCH(B1718,PEMAGANG!$C$3:$C$36,0)),H1718&lt;=INDEX(PEMAGANG!$K$3:$K$36,MATCH(B1718,PEMAGANG!$C$3:$C$36,0))),1,0),0)</f>
        <v>1</v>
      </c>
      <c r="W1718" s="71">
        <f t="shared" si="242"/>
        <v>1</v>
      </c>
    </row>
    <row r="1719" spans="1:23" x14ac:dyDescent="0.2">
      <c r="A1719" s="71" t="s">
        <v>246</v>
      </c>
      <c r="B1719" s="71" t="s">
        <v>247</v>
      </c>
      <c r="C1719" s="71" t="s">
        <v>187</v>
      </c>
      <c r="D1719" s="71" t="s">
        <v>248</v>
      </c>
      <c r="E1719" s="71" t="s">
        <v>586</v>
      </c>
      <c r="F1719" s="71" t="s">
        <v>300</v>
      </c>
      <c r="G1719" s="88">
        <v>46219.688483796301</v>
      </c>
      <c r="H1719" s="89">
        <v>46219</v>
      </c>
      <c r="I1719" s="71" t="s">
        <v>336</v>
      </c>
      <c r="J1719" s="71">
        <v>0</v>
      </c>
      <c r="K1719" s="71" t="s">
        <v>302</v>
      </c>
      <c r="L1719" s="71">
        <f t="shared" si="234"/>
        <v>7</v>
      </c>
      <c r="M1719" s="71" t="str">
        <f>IFERROR(INDEX(KALENDER!$D$3:$D$132,MATCH(H1719,KALENDER!$A$3:$A$132,0)),"Di luar periode")</f>
        <v>Hari Kerja</v>
      </c>
      <c r="N1719" s="71">
        <f t="shared" si="235"/>
        <v>0</v>
      </c>
      <c r="O1719" s="71">
        <f t="shared" si="236"/>
        <v>1</v>
      </c>
      <c r="P1719" s="71">
        <f t="shared" si="237"/>
        <v>0</v>
      </c>
      <c r="Q1719" s="71">
        <f t="shared" si="238"/>
        <v>0</v>
      </c>
      <c r="R1719" s="71">
        <f t="shared" si="239"/>
        <v>0</v>
      </c>
      <c r="S1719" s="71">
        <f t="shared" si="240"/>
        <v>0</v>
      </c>
      <c r="T1719" s="71">
        <f t="shared" si="241"/>
        <v>0</v>
      </c>
      <c r="U1719" s="71">
        <f>IF(AND(N1719=1,V1719=1),IF(COUNTIFS(AKTIVITAS!$B$2:$B$3052,B1719,AKTIVITAS!$E$2:$E$3052,H1719)&gt;0,1,0),0)</f>
        <v>0</v>
      </c>
      <c r="V1719" s="71">
        <f>IFERROR(IF(AND(H1719&gt;=INDEX(PEMAGANG!$J$3:$J$36,MATCH(B1719,PEMAGANG!$C$3:$C$36,0)),H1719&lt;=INDEX(PEMAGANG!$K$3:$K$36,MATCH(B1719,PEMAGANG!$C$3:$C$36,0))),1,0),0)</f>
        <v>1</v>
      </c>
      <c r="W1719" s="71">
        <f t="shared" si="242"/>
        <v>0</v>
      </c>
    </row>
    <row r="1720" spans="1:23" x14ac:dyDescent="0.2">
      <c r="A1720" s="71" t="s">
        <v>246</v>
      </c>
      <c r="B1720" s="71" t="s">
        <v>247</v>
      </c>
      <c r="C1720" s="71" t="s">
        <v>187</v>
      </c>
      <c r="D1720" s="71" t="s">
        <v>248</v>
      </c>
      <c r="E1720" s="71" t="s">
        <v>586</v>
      </c>
      <c r="F1720" s="71" t="s">
        <v>298</v>
      </c>
      <c r="G1720" s="88">
        <v>46220.309386574103</v>
      </c>
      <c r="H1720" s="89">
        <v>46220</v>
      </c>
      <c r="I1720" s="71" t="s">
        <v>307</v>
      </c>
      <c r="J1720" s="71">
        <v>-4.9999999999999796</v>
      </c>
      <c r="K1720" s="71" t="s">
        <v>302</v>
      </c>
      <c r="L1720" s="71">
        <f t="shared" si="234"/>
        <v>7</v>
      </c>
      <c r="M1720" s="71" t="str">
        <f>IFERROR(INDEX(KALENDER!$D$3:$D$132,MATCH(H1720,KALENDER!$A$3:$A$132,0)),"Di luar periode")</f>
        <v>Hari Kerja</v>
      </c>
      <c r="N1720" s="71">
        <f t="shared" si="235"/>
        <v>1</v>
      </c>
      <c r="O1720" s="71">
        <f t="shared" si="236"/>
        <v>1</v>
      </c>
      <c r="P1720" s="71">
        <f t="shared" si="237"/>
        <v>1</v>
      </c>
      <c r="Q1720" s="71">
        <f t="shared" si="238"/>
        <v>0</v>
      </c>
      <c r="R1720" s="71">
        <f t="shared" si="239"/>
        <v>0</v>
      </c>
      <c r="S1720" s="71">
        <f t="shared" si="240"/>
        <v>0</v>
      </c>
      <c r="T1720" s="71">
        <f t="shared" si="241"/>
        <v>0</v>
      </c>
      <c r="U1720" s="71">
        <f>IF(AND(N1720=1,V1720=1),IF(COUNTIFS(AKTIVITAS!$B$2:$B$3052,B1720,AKTIVITAS!$E$2:$E$3052,H1720)&gt;0,1,0),0)</f>
        <v>1</v>
      </c>
      <c r="V1720" s="71">
        <f>IFERROR(IF(AND(H1720&gt;=INDEX(PEMAGANG!$J$3:$J$36,MATCH(B1720,PEMAGANG!$C$3:$C$36,0)),H1720&lt;=INDEX(PEMAGANG!$K$3:$K$36,MATCH(B1720,PEMAGANG!$C$3:$C$36,0))),1,0),0)</f>
        <v>1</v>
      </c>
      <c r="W1720" s="71">
        <f t="shared" si="242"/>
        <v>1</v>
      </c>
    </row>
    <row r="1721" spans="1:23" x14ac:dyDescent="0.2">
      <c r="A1721" s="71" t="s">
        <v>246</v>
      </c>
      <c r="B1721" s="71" t="s">
        <v>247</v>
      </c>
      <c r="C1721" s="71" t="s">
        <v>187</v>
      </c>
      <c r="D1721" s="71" t="s">
        <v>248</v>
      </c>
      <c r="E1721" s="71" t="s">
        <v>586</v>
      </c>
      <c r="F1721" s="71" t="s">
        <v>300</v>
      </c>
      <c r="G1721" s="88">
        <v>46220.692372685196</v>
      </c>
      <c r="H1721" s="89">
        <v>46220</v>
      </c>
      <c r="I1721" s="71" t="s">
        <v>328</v>
      </c>
      <c r="J1721" s="71">
        <v>0</v>
      </c>
      <c r="K1721" s="71" t="s">
        <v>302</v>
      </c>
      <c r="L1721" s="71">
        <f t="shared" si="234"/>
        <v>7</v>
      </c>
      <c r="M1721" s="71" t="str">
        <f>IFERROR(INDEX(KALENDER!$D$3:$D$132,MATCH(H1721,KALENDER!$A$3:$A$132,0)),"Di luar periode")</f>
        <v>Hari Kerja</v>
      </c>
      <c r="N1721" s="71">
        <f t="shared" si="235"/>
        <v>0</v>
      </c>
      <c r="O1721" s="71">
        <f t="shared" si="236"/>
        <v>1</v>
      </c>
      <c r="P1721" s="71">
        <f t="shared" si="237"/>
        <v>0</v>
      </c>
      <c r="Q1721" s="71">
        <f t="shared" si="238"/>
        <v>0</v>
      </c>
      <c r="R1721" s="71">
        <f t="shared" si="239"/>
        <v>0</v>
      </c>
      <c r="S1721" s="71">
        <f t="shared" si="240"/>
        <v>0</v>
      </c>
      <c r="T1721" s="71">
        <f t="shared" si="241"/>
        <v>0</v>
      </c>
      <c r="U1721" s="71">
        <f>IF(AND(N1721=1,V1721=1),IF(COUNTIFS(AKTIVITAS!$B$2:$B$3052,B1721,AKTIVITAS!$E$2:$E$3052,H1721)&gt;0,1,0),0)</f>
        <v>0</v>
      </c>
      <c r="V1721" s="71">
        <f>IFERROR(IF(AND(H1721&gt;=INDEX(PEMAGANG!$J$3:$J$36,MATCH(B1721,PEMAGANG!$C$3:$C$36,0)),H1721&lt;=INDEX(PEMAGANG!$K$3:$K$36,MATCH(B1721,PEMAGANG!$C$3:$C$36,0))),1,0),0)</f>
        <v>1</v>
      </c>
      <c r="W1721" s="71">
        <f t="shared" si="242"/>
        <v>0</v>
      </c>
    </row>
    <row r="1722" spans="1:23" x14ac:dyDescent="0.2">
      <c r="A1722" s="71" t="s">
        <v>246</v>
      </c>
      <c r="B1722" s="71" t="s">
        <v>247</v>
      </c>
      <c r="C1722" s="71" t="s">
        <v>187</v>
      </c>
      <c r="D1722" s="71" t="s">
        <v>248</v>
      </c>
      <c r="E1722" s="71" t="s">
        <v>586</v>
      </c>
      <c r="F1722" s="71" t="s">
        <v>298</v>
      </c>
      <c r="G1722" s="88">
        <v>46223.307013888902</v>
      </c>
      <c r="H1722" s="89">
        <v>46223</v>
      </c>
      <c r="I1722" s="71" t="s">
        <v>313</v>
      </c>
      <c r="J1722" s="71">
        <v>-8.0000000000000497</v>
      </c>
      <c r="K1722" s="71" t="s">
        <v>302</v>
      </c>
      <c r="L1722" s="71">
        <f t="shared" si="234"/>
        <v>7</v>
      </c>
      <c r="M1722" s="71" t="str">
        <f>IFERROR(INDEX(KALENDER!$D$3:$D$132,MATCH(H1722,KALENDER!$A$3:$A$132,0)),"Di luar periode")</f>
        <v>Hari Kerja</v>
      </c>
      <c r="N1722" s="71">
        <f t="shared" si="235"/>
        <v>1</v>
      </c>
      <c r="O1722" s="71">
        <f t="shared" si="236"/>
        <v>1</v>
      </c>
      <c r="P1722" s="71">
        <f t="shared" si="237"/>
        <v>1</v>
      </c>
      <c r="Q1722" s="71">
        <f t="shared" si="238"/>
        <v>0</v>
      </c>
      <c r="R1722" s="71">
        <f t="shared" si="239"/>
        <v>0</v>
      </c>
      <c r="S1722" s="71">
        <f t="shared" si="240"/>
        <v>0</v>
      </c>
      <c r="T1722" s="71">
        <f t="shared" si="241"/>
        <v>0</v>
      </c>
      <c r="U1722" s="71">
        <f>IF(AND(N1722=1,V1722=1),IF(COUNTIFS(AKTIVITAS!$B$2:$B$3052,B1722,AKTIVITAS!$E$2:$E$3052,H1722)&gt;0,1,0),0)</f>
        <v>1</v>
      </c>
      <c r="V1722" s="71">
        <f>IFERROR(IF(AND(H1722&gt;=INDEX(PEMAGANG!$J$3:$J$36,MATCH(B1722,PEMAGANG!$C$3:$C$36,0)),H1722&lt;=INDEX(PEMAGANG!$K$3:$K$36,MATCH(B1722,PEMAGANG!$C$3:$C$36,0))),1,0),0)</f>
        <v>1</v>
      </c>
      <c r="W1722" s="71">
        <f t="shared" si="242"/>
        <v>1</v>
      </c>
    </row>
    <row r="1723" spans="1:23" x14ac:dyDescent="0.2">
      <c r="A1723" s="71" t="s">
        <v>246</v>
      </c>
      <c r="B1723" s="71" t="s">
        <v>247</v>
      </c>
      <c r="C1723" s="71" t="s">
        <v>187</v>
      </c>
      <c r="D1723" s="71" t="s">
        <v>248</v>
      </c>
      <c r="E1723" s="71" t="s">
        <v>586</v>
      </c>
      <c r="F1723" s="71" t="s">
        <v>300</v>
      </c>
      <c r="G1723" s="88">
        <v>46223.689456018503</v>
      </c>
      <c r="H1723" s="89">
        <v>46223</v>
      </c>
      <c r="I1723" s="71" t="s">
        <v>306</v>
      </c>
      <c r="J1723" s="71">
        <v>0</v>
      </c>
      <c r="K1723" s="71" t="s">
        <v>302</v>
      </c>
      <c r="L1723" s="71">
        <f t="shared" si="234"/>
        <v>7</v>
      </c>
      <c r="M1723" s="71" t="str">
        <f>IFERROR(INDEX(KALENDER!$D$3:$D$132,MATCH(H1723,KALENDER!$A$3:$A$132,0)),"Di luar periode")</f>
        <v>Hari Kerja</v>
      </c>
      <c r="N1723" s="71">
        <f t="shared" si="235"/>
        <v>0</v>
      </c>
      <c r="O1723" s="71">
        <f t="shared" si="236"/>
        <v>1</v>
      </c>
      <c r="P1723" s="71">
        <f t="shared" si="237"/>
        <v>0</v>
      </c>
      <c r="Q1723" s="71">
        <f t="shared" si="238"/>
        <v>0</v>
      </c>
      <c r="R1723" s="71">
        <f t="shared" si="239"/>
        <v>0</v>
      </c>
      <c r="S1723" s="71">
        <f t="shared" si="240"/>
        <v>0</v>
      </c>
      <c r="T1723" s="71">
        <f t="shared" si="241"/>
        <v>0</v>
      </c>
      <c r="U1723" s="71">
        <f>IF(AND(N1723=1,V1723=1),IF(COUNTIFS(AKTIVITAS!$B$2:$B$3052,B1723,AKTIVITAS!$E$2:$E$3052,H1723)&gt;0,1,0),0)</f>
        <v>0</v>
      </c>
      <c r="V1723" s="71">
        <f>IFERROR(IF(AND(H1723&gt;=INDEX(PEMAGANG!$J$3:$J$36,MATCH(B1723,PEMAGANG!$C$3:$C$36,0)),H1723&lt;=INDEX(PEMAGANG!$K$3:$K$36,MATCH(B1723,PEMAGANG!$C$3:$C$36,0))),1,0),0)</f>
        <v>1</v>
      </c>
      <c r="W1723" s="71">
        <f t="shared" si="242"/>
        <v>0</v>
      </c>
    </row>
    <row r="1724" spans="1:23" x14ac:dyDescent="0.2">
      <c r="A1724" s="71" t="s">
        <v>246</v>
      </c>
      <c r="B1724" s="71" t="s">
        <v>247</v>
      </c>
      <c r="C1724" s="71" t="s">
        <v>187</v>
      </c>
      <c r="D1724" s="71" t="s">
        <v>248</v>
      </c>
      <c r="E1724" s="71" t="s">
        <v>586</v>
      </c>
      <c r="F1724" s="71" t="s">
        <v>298</v>
      </c>
      <c r="G1724" s="88">
        <v>46224.309363425898</v>
      </c>
      <c r="H1724" s="89">
        <v>46224</v>
      </c>
      <c r="I1724" s="71" t="s">
        <v>307</v>
      </c>
      <c r="J1724" s="71">
        <v>-4.9999999999999796</v>
      </c>
      <c r="K1724" s="71" t="s">
        <v>302</v>
      </c>
      <c r="L1724" s="71">
        <f t="shared" si="234"/>
        <v>7</v>
      </c>
      <c r="M1724" s="71" t="str">
        <f>IFERROR(INDEX(KALENDER!$D$3:$D$132,MATCH(H1724,KALENDER!$A$3:$A$132,0)),"Di luar periode")</f>
        <v>Hari Kerja</v>
      </c>
      <c r="N1724" s="71">
        <f t="shared" si="235"/>
        <v>1</v>
      </c>
      <c r="O1724" s="71">
        <f t="shared" si="236"/>
        <v>1</v>
      </c>
      <c r="P1724" s="71">
        <f t="shared" si="237"/>
        <v>1</v>
      </c>
      <c r="Q1724" s="71">
        <f t="shared" si="238"/>
        <v>0</v>
      </c>
      <c r="R1724" s="71">
        <f t="shared" si="239"/>
        <v>0</v>
      </c>
      <c r="S1724" s="71">
        <f t="shared" si="240"/>
        <v>0</v>
      </c>
      <c r="T1724" s="71">
        <f t="shared" si="241"/>
        <v>0</v>
      </c>
      <c r="U1724" s="71">
        <f>IF(AND(N1724=1,V1724=1),IF(COUNTIFS(AKTIVITAS!$B$2:$B$3052,B1724,AKTIVITAS!$E$2:$E$3052,H1724)&gt;0,1,0),0)</f>
        <v>1</v>
      </c>
      <c r="V1724" s="71">
        <f>IFERROR(IF(AND(H1724&gt;=INDEX(PEMAGANG!$J$3:$J$36,MATCH(B1724,PEMAGANG!$C$3:$C$36,0)),H1724&lt;=INDEX(PEMAGANG!$K$3:$K$36,MATCH(B1724,PEMAGANG!$C$3:$C$36,0))),1,0),0)</f>
        <v>1</v>
      </c>
      <c r="W1724" s="71">
        <f t="shared" si="242"/>
        <v>1</v>
      </c>
    </row>
    <row r="1725" spans="1:23" x14ac:dyDescent="0.2">
      <c r="A1725" s="71" t="s">
        <v>246</v>
      </c>
      <c r="B1725" s="71" t="s">
        <v>247</v>
      </c>
      <c r="C1725" s="71" t="s">
        <v>187</v>
      </c>
      <c r="D1725" s="71" t="s">
        <v>248</v>
      </c>
      <c r="E1725" s="71" t="s">
        <v>586</v>
      </c>
      <c r="F1725" s="71" t="s">
        <v>300</v>
      </c>
      <c r="G1725" s="88">
        <v>46224.688877314802</v>
      </c>
      <c r="H1725" s="89">
        <v>46224</v>
      </c>
      <c r="I1725" s="71" t="s">
        <v>336</v>
      </c>
      <c r="J1725" s="71">
        <v>0</v>
      </c>
      <c r="K1725" s="71" t="s">
        <v>302</v>
      </c>
      <c r="L1725" s="71">
        <f t="shared" si="234"/>
        <v>7</v>
      </c>
      <c r="M1725" s="71" t="str">
        <f>IFERROR(INDEX(KALENDER!$D$3:$D$132,MATCH(H1725,KALENDER!$A$3:$A$132,0)),"Di luar periode")</f>
        <v>Hari Kerja</v>
      </c>
      <c r="N1725" s="71">
        <f t="shared" si="235"/>
        <v>0</v>
      </c>
      <c r="O1725" s="71">
        <f t="shared" si="236"/>
        <v>1</v>
      </c>
      <c r="P1725" s="71">
        <f t="shared" si="237"/>
        <v>0</v>
      </c>
      <c r="Q1725" s="71">
        <f t="shared" si="238"/>
        <v>0</v>
      </c>
      <c r="R1725" s="71">
        <f t="shared" si="239"/>
        <v>0</v>
      </c>
      <c r="S1725" s="71">
        <f t="shared" si="240"/>
        <v>0</v>
      </c>
      <c r="T1725" s="71">
        <f t="shared" si="241"/>
        <v>0</v>
      </c>
      <c r="U1725" s="71">
        <f>IF(AND(N1725=1,V1725=1),IF(COUNTIFS(AKTIVITAS!$B$2:$B$3052,B1725,AKTIVITAS!$E$2:$E$3052,H1725)&gt;0,1,0),0)</f>
        <v>0</v>
      </c>
      <c r="V1725" s="71">
        <f>IFERROR(IF(AND(H1725&gt;=INDEX(PEMAGANG!$J$3:$J$36,MATCH(B1725,PEMAGANG!$C$3:$C$36,0)),H1725&lt;=INDEX(PEMAGANG!$K$3:$K$36,MATCH(B1725,PEMAGANG!$C$3:$C$36,0))),1,0),0)</f>
        <v>1</v>
      </c>
      <c r="W1725" s="71">
        <f t="shared" si="242"/>
        <v>0</v>
      </c>
    </row>
    <row r="1726" spans="1:23" x14ac:dyDescent="0.2">
      <c r="A1726" s="71" t="s">
        <v>246</v>
      </c>
      <c r="B1726" s="71" t="s">
        <v>247</v>
      </c>
      <c r="C1726" s="71" t="s">
        <v>187</v>
      </c>
      <c r="D1726" s="71" t="s">
        <v>248</v>
      </c>
      <c r="E1726" s="71" t="s">
        <v>586</v>
      </c>
      <c r="F1726" s="71" t="s">
        <v>298</v>
      </c>
      <c r="G1726" s="88">
        <v>46226.311145833301</v>
      </c>
      <c r="H1726" s="89">
        <v>46226</v>
      </c>
      <c r="I1726" s="71" t="s">
        <v>377</v>
      </c>
      <c r="J1726" s="71">
        <v>-1.99999999999999</v>
      </c>
      <c r="K1726" s="71" t="s">
        <v>302</v>
      </c>
      <c r="L1726" s="71">
        <f t="shared" si="234"/>
        <v>7</v>
      </c>
      <c r="M1726" s="71" t="str">
        <f>IFERROR(INDEX(KALENDER!$D$3:$D$132,MATCH(H1726,KALENDER!$A$3:$A$132,0)),"Di luar periode")</f>
        <v>Hari Kerja</v>
      </c>
      <c r="N1726" s="71">
        <f t="shared" si="235"/>
        <v>1</v>
      </c>
      <c r="O1726" s="71">
        <f t="shared" si="236"/>
        <v>1</v>
      </c>
      <c r="P1726" s="71">
        <f t="shared" si="237"/>
        <v>1</v>
      </c>
      <c r="Q1726" s="71">
        <f t="shared" si="238"/>
        <v>0</v>
      </c>
      <c r="R1726" s="71">
        <f t="shared" si="239"/>
        <v>0</v>
      </c>
      <c r="S1726" s="71">
        <f t="shared" si="240"/>
        <v>0</v>
      </c>
      <c r="T1726" s="71">
        <f t="shared" si="241"/>
        <v>0</v>
      </c>
      <c r="U1726" s="71">
        <f>IF(AND(N1726=1,V1726=1),IF(COUNTIFS(AKTIVITAS!$B$2:$B$3052,B1726,AKTIVITAS!$E$2:$E$3052,H1726)&gt;0,1,0),0)</f>
        <v>1</v>
      </c>
      <c r="V1726" s="71">
        <f>IFERROR(IF(AND(H1726&gt;=INDEX(PEMAGANG!$J$3:$J$36,MATCH(B1726,PEMAGANG!$C$3:$C$36,0)),H1726&lt;=INDEX(PEMAGANG!$K$3:$K$36,MATCH(B1726,PEMAGANG!$C$3:$C$36,0))),1,0),0)</f>
        <v>1</v>
      </c>
      <c r="W1726" s="71">
        <f t="shared" si="242"/>
        <v>1</v>
      </c>
    </row>
    <row r="1727" spans="1:23" x14ac:dyDescent="0.2">
      <c r="A1727" s="71" t="s">
        <v>246</v>
      </c>
      <c r="B1727" s="71" t="s">
        <v>247</v>
      </c>
      <c r="C1727" s="71" t="s">
        <v>187</v>
      </c>
      <c r="D1727" s="71" t="s">
        <v>248</v>
      </c>
      <c r="E1727" s="71" t="s">
        <v>586</v>
      </c>
      <c r="F1727" s="71" t="s">
        <v>300</v>
      </c>
      <c r="G1727" s="88">
        <v>46226.693078703698</v>
      </c>
      <c r="H1727" s="89">
        <v>46226</v>
      </c>
      <c r="I1727" s="71" t="s">
        <v>317</v>
      </c>
      <c r="J1727" s="71">
        <v>0</v>
      </c>
      <c r="K1727" s="71" t="s">
        <v>302</v>
      </c>
      <c r="L1727" s="71">
        <f t="shared" si="234"/>
        <v>7</v>
      </c>
      <c r="M1727" s="71" t="str">
        <f>IFERROR(INDEX(KALENDER!$D$3:$D$132,MATCH(H1727,KALENDER!$A$3:$A$132,0)),"Di luar periode")</f>
        <v>Hari Kerja</v>
      </c>
      <c r="N1727" s="71">
        <f t="shared" si="235"/>
        <v>0</v>
      </c>
      <c r="O1727" s="71">
        <f t="shared" si="236"/>
        <v>1</v>
      </c>
      <c r="P1727" s="71">
        <f t="shared" si="237"/>
        <v>0</v>
      </c>
      <c r="Q1727" s="71">
        <f t="shared" si="238"/>
        <v>0</v>
      </c>
      <c r="R1727" s="71">
        <f t="shared" si="239"/>
        <v>0</v>
      </c>
      <c r="S1727" s="71">
        <f t="shared" si="240"/>
        <v>0</v>
      </c>
      <c r="T1727" s="71">
        <f t="shared" si="241"/>
        <v>0</v>
      </c>
      <c r="U1727" s="71">
        <f>IF(AND(N1727=1,V1727=1),IF(COUNTIFS(AKTIVITAS!$B$2:$B$3052,B1727,AKTIVITAS!$E$2:$E$3052,H1727)&gt;0,1,0),0)</f>
        <v>0</v>
      </c>
      <c r="V1727" s="71">
        <f>IFERROR(IF(AND(H1727&gt;=INDEX(PEMAGANG!$J$3:$J$36,MATCH(B1727,PEMAGANG!$C$3:$C$36,0)),H1727&lt;=INDEX(PEMAGANG!$K$3:$K$36,MATCH(B1727,PEMAGANG!$C$3:$C$36,0))),1,0),0)</f>
        <v>1</v>
      </c>
      <c r="W1727" s="71">
        <f t="shared" si="242"/>
        <v>0</v>
      </c>
    </row>
    <row r="1728" spans="1:23" x14ac:dyDescent="0.2">
      <c r="A1728" s="71" t="s">
        <v>246</v>
      </c>
      <c r="B1728" s="71" t="s">
        <v>247</v>
      </c>
      <c r="C1728" s="71" t="s">
        <v>187</v>
      </c>
      <c r="D1728" s="71" t="s">
        <v>248</v>
      </c>
      <c r="E1728" s="71" t="s">
        <v>586</v>
      </c>
      <c r="F1728" s="71" t="s">
        <v>298</v>
      </c>
      <c r="G1728" s="88">
        <v>46227.298275462999</v>
      </c>
      <c r="H1728" s="89">
        <v>46227</v>
      </c>
      <c r="I1728" s="71" t="s">
        <v>479</v>
      </c>
      <c r="J1728" s="71">
        <v>-21</v>
      </c>
      <c r="K1728" s="71" t="s">
        <v>302</v>
      </c>
      <c r="L1728" s="71">
        <f t="shared" si="234"/>
        <v>7</v>
      </c>
      <c r="M1728" s="71" t="str">
        <f>IFERROR(INDEX(KALENDER!$D$3:$D$132,MATCH(H1728,KALENDER!$A$3:$A$132,0)),"Di luar periode")</f>
        <v>Hari Kerja</v>
      </c>
      <c r="N1728" s="71">
        <f t="shared" si="235"/>
        <v>1</v>
      </c>
      <c r="O1728" s="71">
        <f t="shared" si="236"/>
        <v>1</v>
      </c>
      <c r="P1728" s="71">
        <f t="shared" si="237"/>
        <v>1</v>
      </c>
      <c r="Q1728" s="71">
        <f t="shared" si="238"/>
        <v>0</v>
      </c>
      <c r="R1728" s="71">
        <f t="shared" si="239"/>
        <v>0</v>
      </c>
      <c r="S1728" s="71">
        <f t="shared" si="240"/>
        <v>0</v>
      </c>
      <c r="T1728" s="71">
        <f t="shared" si="241"/>
        <v>0</v>
      </c>
      <c r="U1728" s="71">
        <f>IF(AND(N1728=1,V1728=1),IF(COUNTIFS(AKTIVITAS!$B$2:$B$3052,B1728,AKTIVITAS!$E$2:$E$3052,H1728)&gt;0,1,0),0)</f>
        <v>1</v>
      </c>
      <c r="V1728" s="71">
        <f>IFERROR(IF(AND(H1728&gt;=INDEX(PEMAGANG!$J$3:$J$36,MATCH(B1728,PEMAGANG!$C$3:$C$36,0)),H1728&lt;=INDEX(PEMAGANG!$K$3:$K$36,MATCH(B1728,PEMAGANG!$C$3:$C$36,0))),1,0),0)</f>
        <v>1</v>
      </c>
      <c r="W1728" s="71">
        <f t="shared" si="242"/>
        <v>1</v>
      </c>
    </row>
    <row r="1729" spans="1:23" x14ac:dyDescent="0.2">
      <c r="A1729" s="71" t="s">
        <v>246</v>
      </c>
      <c r="B1729" s="71" t="s">
        <v>247</v>
      </c>
      <c r="C1729" s="71" t="s">
        <v>187</v>
      </c>
      <c r="D1729" s="71" t="s">
        <v>248</v>
      </c>
      <c r="E1729" s="71" t="s">
        <v>586</v>
      </c>
      <c r="F1729" s="71" t="s">
        <v>300</v>
      </c>
      <c r="G1729" s="88">
        <v>46227.697731481501</v>
      </c>
      <c r="H1729" s="89">
        <v>46227</v>
      </c>
      <c r="I1729" s="71" t="s">
        <v>312</v>
      </c>
      <c r="J1729" s="71">
        <v>0</v>
      </c>
      <c r="K1729" s="71" t="s">
        <v>302</v>
      </c>
      <c r="L1729" s="71">
        <f t="shared" si="234"/>
        <v>7</v>
      </c>
      <c r="M1729" s="71" t="str">
        <f>IFERROR(INDEX(KALENDER!$D$3:$D$132,MATCH(H1729,KALENDER!$A$3:$A$132,0)),"Di luar periode")</f>
        <v>Hari Kerja</v>
      </c>
      <c r="N1729" s="71">
        <f t="shared" si="235"/>
        <v>0</v>
      </c>
      <c r="O1729" s="71">
        <f t="shared" si="236"/>
        <v>1</v>
      </c>
      <c r="P1729" s="71">
        <f t="shared" si="237"/>
        <v>0</v>
      </c>
      <c r="Q1729" s="71">
        <f t="shared" si="238"/>
        <v>0</v>
      </c>
      <c r="R1729" s="71">
        <f t="shared" si="239"/>
        <v>0</v>
      </c>
      <c r="S1729" s="71">
        <f t="shared" si="240"/>
        <v>0</v>
      </c>
      <c r="T1729" s="71">
        <f t="shared" si="241"/>
        <v>0</v>
      </c>
      <c r="U1729" s="71">
        <f>IF(AND(N1729=1,V1729=1),IF(COUNTIFS(AKTIVITAS!$B$2:$B$3052,B1729,AKTIVITAS!$E$2:$E$3052,H1729)&gt;0,1,0),0)</f>
        <v>0</v>
      </c>
      <c r="V1729" s="71">
        <f>IFERROR(IF(AND(H1729&gt;=INDEX(PEMAGANG!$J$3:$J$36,MATCH(B1729,PEMAGANG!$C$3:$C$36,0)),H1729&lt;=INDEX(PEMAGANG!$K$3:$K$36,MATCH(B1729,PEMAGANG!$C$3:$C$36,0))),1,0),0)</f>
        <v>1</v>
      </c>
      <c r="W1729" s="71">
        <f t="shared" si="242"/>
        <v>0</v>
      </c>
    </row>
    <row r="1730" spans="1:23" x14ac:dyDescent="0.2">
      <c r="A1730" s="71" t="s">
        <v>246</v>
      </c>
      <c r="B1730" s="71" t="s">
        <v>247</v>
      </c>
      <c r="C1730" s="71" t="s">
        <v>187</v>
      </c>
      <c r="D1730" s="71" t="s">
        <v>248</v>
      </c>
      <c r="E1730" s="71" t="s">
        <v>586</v>
      </c>
      <c r="F1730" s="71" t="s">
        <v>298</v>
      </c>
      <c r="G1730" s="88">
        <v>46230.310173611098</v>
      </c>
      <c r="H1730" s="89">
        <v>46230</v>
      </c>
      <c r="I1730" s="71" t="s">
        <v>315</v>
      </c>
      <c r="J1730" s="71">
        <v>-3.9999999999999898</v>
      </c>
      <c r="K1730" s="71" t="s">
        <v>302</v>
      </c>
      <c r="L1730" s="71">
        <f t="shared" ref="L1730:L1793" si="243">MONTH(H1730)</f>
        <v>7</v>
      </c>
      <c r="M1730" s="71" t="str">
        <f>IFERROR(INDEX(KALENDER!$D$3:$D$132,MATCH(H1730,KALENDER!$A$3:$A$132,0)),"Di luar periode")</f>
        <v>Hari Kerja</v>
      </c>
      <c r="N1730" s="71">
        <f t="shared" ref="N1730:N1793" si="244">IF(AND(B1730=B1729,H1730=H1729),0,1)</f>
        <v>1</v>
      </c>
      <c r="O1730" s="71">
        <f t="shared" ref="O1730:O1793" si="245">IF(N1730=1,0,O1729)+IF(F1730="MASUK",1,0)</f>
        <v>1</v>
      </c>
      <c r="P1730" s="71">
        <f t="shared" ref="P1730:P1793" si="246">IF(AND(N1730=1,M1730="Hari Kerja",V1730=1),1,0)</f>
        <v>1</v>
      </c>
      <c r="Q1730" s="71">
        <f t="shared" ref="Q1730:Q1793" si="247">IF(AND(N1730=1,OR(M1730&lt;&gt;"Hari Kerja",V1730=0)),1,0)</f>
        <v>0</v>
      </c>
      <c r="R1730" s="71">
        <f t="shared" ref="R1730:R1793" si="248">IF(AND(F1730="MASUK",O1730=1,N(J1730)&gt;0,V1730=1),1,0)</f>
        <v>0</v>
      </c>
      <c r="S1730" s="71">
        <f t="shared" ref="S1730:S1793" si="249">R1730*N(J1730)</f>
        <v>0</v>
      </c>
      <c r="T1730" s="71">
        <f t="shared" ref="T1730:T1793" si="250">IF(AND(N1730=1,V1730=1),IF(AND(COUNTIFS($B$2:$B$4094,B1730,$H$2:$H$4094,H1730,$F$2:$F$4094,"MASUK")&gt;0,COUNTIFS($B$2:$B$4094,B1730,$H$2:$H$4094,H1730,$F$2:$F$4094,"PULANG")=0),1,0),0)</f>
        <v>0</v>
      </c>
      <c r="U1730" s="71">
        <f>IF(AND(N1730=1,V1730=1),IF(COUNTIFS(AKTIVITAS!$B$2:$B$3052,B1730,AKTIVITAS!$E$2:$E$3052,H1730)&gt;0,1,0),0)</f>
        <v>1</v>
      </c>
      <c r="V1730" s="71">
        <f>IFERROR(IF(AND(H1730&gt;=INDEX(PEMAGANG!$J$3:$J$36,MATCH(B1730,PEMAGANG!$C$3:$C$36,0)),H1730&lt;=INDEX(PEMAGANG!$K$3:$K$36,MATCH(B1730,PEMAGANG!$C$3:$C$36,0))),1,0),0)</f>
        <v>1</v>
      </c>
      <c r="W1730" s="71">
        <f t="shared" ref="W1730:W1793" si="251">N1730*V1730</f>
        <v>1</v>
      </c>
    </row>
    <row r="1731" spans="1:23" x14ac:dyDescent="0.2">
      <c r="A1731" s="71" t="s">
        <v>246</v>
      </c>
      <c r="B1731" s="71" t="s">
        <v>247</v>
      </c>
      <c r="C1731" s="71" t="s">
        <v>187</v>
      </c>
      <c r="D1731" s="71" t="s">
        <v>248</v>
      </c>
      <c r="E1731" s="71" t="s">
        <v>586</v>
      </c>
      <c r="F1731" s="71" t="s">
        <v>300</v>
      </c>
      <c r="G1731" s="88">
        <v>46230.688703703701</v>
      </c>
      <c r="H1731" s="89">
        <v>46230</v>
      </c>
      <c r="I1731" s="71" t="s">
        <v>336</v>
      </c>
      <c r="J1731" s="71">
        <v>0</v>
      </c>
      <c r="K1731" s="71" t="s">
        <v>302</v>
      </c>
      <c r="L1731" s="71">
        <f t="shared" si="243"/>
        <v>7</v>
      </c>
      <c r="M1731" s="71" t="str">
        <f>IFERROR(INDEX(KALENDER!$D$3:$D$132,MATCH(H1731,KALENDER!$A$3:$A$132,0)),"Di luar periode")</f>
        <v>Hari Kerja</v>
      </c>
      <c r="N1731" s="71">
        <f t="shared" si="244"/>
        <v>0</v>
      </c>
      <c r="O1731" s="71">
        <f t="shared" si="245"/>
        <v>1</v>
      </c>
      <c r="P1731" s="71">
        <f t="shared" si="246"/>
        <v>0</v>
      </c>
      <c r="Q1731" s="71">
        <f t="shared" si="247"/>
        <v>0</v>
      </c>
      <c r="R1731" s="71">
        <f t="shared" si="248"/>
        <v>0</v>
      </c>
      <c r="S1731" s="71">
        <f t="shared" si="249"/>
        <v>0</v>
      </c>
      <c r="T1731" s="71">
        <f t="shared" si="250"/>
        <v>0</v>
      </c>
      <c r="U1731" s="71">
        <f>IF(AND(N1731=1,V1731=1),IF(COUNTIFS(AKTIVITAS!$B$2:$B$3052,B1731,AKTIVITAS!$E$2:$E$3052,H1731)&gt;0,1,0),0)</f>
        <v>0</v>
      </c>
      <c r="V1731" s="71">
        <f>IFERROR(IF(AND(H1731&gt;=INDEX(PEMAGANG!$J$3:$J$36,MATCH(B1731,PEMAGANG!$C$3:$C$36,0)),H1731&lt;=INDEX(PEMAGANG!$K$3:$K$36,MATCH(B1731,PEMAGANG!$C$3:$C$36,0))),1,0),0)</f>
        <v>1</v>
      </c>
      <c r="W1731" s="71">
        <f t="shared" si="251"/>
        <v>0</v>
      </c>
    </row>
    <row r="1732" spans="1:23" x14ac:dyDescent="0.2">
      <c r="A1732" s="71" t="s">
        <v>246</v>
      </c>
      <c r="B1732" s="71" t="s">
        <v>247</v>
      </c>
      <c r="C1732" s="71" t="s">
        <v>187</v>
      </c>
      <c r="D1732" s="71" t="s">
        <v>248</v>
      </c>
      <c r="E1732" s="71" t="s">
        <v>586</v>
      </c>
      <c r="F1732" s="71" t="s">
        <v>298</v>
      </c>
      <c r="G1732" s="88">
        <v>46231.309236111098</v>
      </c>
      <c r="H1732" s="89">
        <v>46231</v>
      </c>
      <c r="I1732" s="71" t="s">
        <v>307</v>
      </c>
      <c r="J1732" s="71">
        <v>-4.9999999999999796</v>
      </c>
      <c r="K1732" s="71" t="s">
        <v>302</v>
      </c>
      <c r="L1732" s="71">
        <f t="shared" si="243"/>
        <v>7</v>
      </c>
      <c r="M1732" s="71" t="str">
        <f>IFERROR(INDEX(KALENDER!$D$3:$D$132,MATCH(H1732,KALENDER!$A$3:$A$132,0)),"Di luar periode")</f>
        <v>Hari Kerja</v>
      </c>
      <c r="N1732" s="71">
        <f t="shared" si="244"/>
        <v>1</v>
      </c>
      <c r="O1732" s="71">
        <f t="shared" si="245"/>
        <v>1</v>
      </c>
      <c r="P1732" s="71">
        <f t="shared" si="246"/>
        <v>1</v>
      </c>
      <c r="Q1732" s="71">
        <f t="shared" si="247"/>
        <v>0</v>
      </c>
      <c r="R1732" s="71">
        <f t="shared" si="248"/>
        <v>0</v>
      </c>
      <c r="S1732" s="71">
        <f t="shared" si="249"/>
        <v>0</v>
      </c>
      <c r="T1732" s="71">
        <f t="shared" si="250"/>
        <v>0</v>
      </c>
      <c r="U1732" s="71">
        <f>IF(AND(N1732=1,V1732=1),IF(COUNTIFS(AKTIVITAS!$B$2:$B$3052,B1732,AKTIVITAS!$E$2:$E$3052,H1732)&gt;0,1,0),0)</f>
        <v>1</v>
      </c>
      <c r="V1732" s="71">
        <f>IFERROR(IF(AND(H1732&gt;=INDEX(PEMAGANG!$J$3:$J$36,MATCH(B1732,PEMAGANG!$C$3:$C$36,0)),H1732&lt;=INDEX(PEMAGANG!$K$3:$K$36,MATCH(B1732,PEMAGANG!$C$3:$C$36,0))),1,0),0)</f>
        <v>1</v>
      </c>
      <c r="W1732" s="71">
        <f t="shared" si="251"/>
        <v>1</v>
      </c>
    </row>
    <row r="1733" spans="1:23" x14ac:dyDescent="0.2">
      <c r="A1733" s="71" t="s">
        <v>246</v>
      </c>
      <c r="B1733" s="71" t="s">
        <v>247</v>
      </c>
      <c r="C1733" s="71" t="s">
        <v>187</v>
      </c>
      <c r="D1733" s="71" t="s">
        <v>248</v>
      </c>
      <c r="E1733" s="71" t="s">
        <v>586</v>
      </c>
      <c r="F1733" s="71" t="s">
        <v>300</v>
      </c>
      <c r="G1733" s="88">
        <v>46231.6930208333</v>
      </c>
      <c r="H1733" s="89">
        <v>46231</v>
      </c>
      <c r="I1733" s="71" t="s">
        <v>328</v>
      </c>
      <c r="J1733" s="71">
        <v>0</v>
      </c>
      <c r="K1733" s="71" t="s">
        <v>302</v>
      </c>
      <c r="L1733" s="71">
        <f t="shared" si="243"/>
        <v>7</v>
      </c>
      <c r="M1733" s="71" t="str">
        <f>IFERROR(INDEX(KALENDER!$D$3:$D$132,MATCH(H1733,KALENDER!$A$3:$A$132,0)),"Di luar periode")</f>
        <v>Hari Kerja</v>
      </c>
      <c r="N1733" s="71">
        <f t="shared" si="244"/>
        <v>0</v>
      </c>
      <c r="O1733" s="71">
        <f t="shared" si="245"/>
        <v>1</v>
      </c>
      <c r="P1733" s="71">
        <f t="shared" si="246"/>
        <v>0</v>
      </c>
      <c r="Q1733" s="71">
        <f t="shared" si="247"/>
        <v>0</v>
      </c>
      <c r="R1733" s="71">
        <f t="shared" si="248"/>
        <v>0</v>
      </c>
      <c r="S1733" s="71">
        <f t="shared" si="249"/>
        <v>0</v>
      </c>
      <c r="T1733" s="71">
        <f t="shared" si="250"/>
        <v>0</v>
      </c>
      <c r="U1733" s="71">
        <f>IF(AND(N1733=1,V1733=1),IF(COUNTIFS(AKTIVITAS!$B$2:$B$3052,B1733,AKTIVITAS!$E$2:$E$3052,H1733)&gt;0,1,0),0)</f>
        <v>0</v>
      </c>
      <c r="V1733" s="71">
        <f>IFERROR(IF(AND(H1733&gt;=INDEX(PEMAGANG!$J$3:$J$36,MATCH(B1733,PEMAGANG!$C$3:$C$36,0)),H1733&lt;=INDEX(PEMAGANG!$K$3:$K$36,MATCH(B1733,PEMAGANG!$C$3:$C$36,0))),1,0),0)</f>
        <v>1</v>
      </c>
      <c r="W1733" s="71">
        <f t="shared" si="251"/>
        <v>0</v>
      </c>
    </row>
    <row r="1734" spans="1:23" x14ac:dyDescent="0.2">
      <c r="A1734" s="71" t="s">
        <v>246</v>
      </c>
      <c r="B1734" s="71" t="s">
        <v>247</v>
      </c>
      <c r="C1734" s="71" t="s">
        <v>187</v>
      </c>
      <c r="D1734" s="71" t="s">
        <v>248</v>
      </c>
      <c r="E1734" s="71" t="s">
        <v>586</v>
      </c>
      <c r="F1734" s="71" t="s">
        <v>298</v>
      </c>
      <c r="G1734" s="88">
        <v>46233.311006944401</v>
      </c>
      <c r="H1734" s="89">
        <v>46233</v>
      </c>
      <c r="I1734" s="71" t="s">
        <v>309</v>
      </c>
      <c r="J1734" s="71">
        <v>-2.9999999999999898</v>
      </c>
      <c r="K1734" s="71" t="s">
        <v>302</v>
      </c>
      <c r="L1734" s="71">
        <f t="shared" si="243"/>
        <v>7</v>
      </c>
      <c r="M1734" s="71" t="str">
        <f>IFERROR(INDEX(KALENDER!$D$3:$D$132,MATCH(H1734,KALENDER!$A$3:$A$132,0)),"Di luar periode")</f>
        <v>Hari Kerja</v>
      </c>
      <c r="N1734" s="71">
        <f t="shared" si="244"/>
        <v>1</v>
      </c>
      <c r="O1734" s="71">
        <f t="shared" si="245"/>
        <v>1</v>
      </c>
      <c r="P1734" s="71">
        <f t="shared" si="246"/>
        <v>1</v>
      </c>
      <c r="Q1734" s="71">
        <f t="shared" si="247"/>
        <v>0</v>
      </c>
      <c r="R1734" s="71">
        <f t="shared" si="248"/>
        <v>0</v>
      </c>
      <c r="S1734" s="71">
        <f t="shared" si="249"/>
        <v>0</v>
      </c>
      <c r="T1734" s="71">
        <f t="shared" si="250"/>
        <v>0</v>
      </c>
      <c r="U1734" s="71">
        <f>IF(AND(N1734=1,V1734=1),IF(COUNTIFS(AKTIVITAS!$B$2:$B$3052,B1734,AKTIVITAS!$E$2:$E$3052,H1734)&gt;0,1,0),0)</f>
        <v>1</v>
      </c>
      <c r="V1734" s="71">
        <f>IFERROR(IF(AND(H1734&gt;=INDEX(PEMAGANG!$J$3:$J$36,MATCH(B1734,PEMAGANG!$C$3:$C$36,0)),H1734&lt;=INDEX(PEMAGANG!$K$3:$K$36,MATCH(B1734,PEMAGANG!$C$3:$C$36,0))),1,0),0)</f>
        <v>1</v>
      </c>
      <c r="W1734" s="71">
        <f t="shared" si="251"/>
        <v>1</v>
      </c>
    </row>
    <row r="1735" spans="1:23" x14ac:dyDescent="0.2">
      <c r="A1735" s="71" t="s">
        <v>246</v>
      </c>
      <c r="B1735" s="71" t="s">
        <v>247</v>
      </c>
      <c r="C1735" s="71" t="s">
        <v>187</v>
      </c>
      <c r="D1735" s="71" t="s">
        <v>248</v>
      </c>
      <c r="E1735" s="71" t="s">
        <v>586</v>
      </c>
      <c r="F1735" s="71" t="s">
        <v>300</v>
      </c>
      <c r="G1735" s="88">
        <v>46233.688344907401</v>
      </c>
      <c r="H1735" s="89">
        <v>46233</v>
      </c>
      <c r="I1735" s="71" t="s">
        <v>336</v>
      </c>
      <c r="J1735" s="71">
        <v>0</v>
      </c>
      <c r="K1735" s="71" t="s">
        <v>302</v>
      </c>
      <c r="L1735" s="71">
        <f t="shared" si="243"/>
        <v>7</v>
      </c>
      <c r="M1735" s="71" t="str">
        <f>IFERROR(INDEX(KALENDER!$D$3:$D$132,MATCH(H1735,KALENDER!$A$3:$A$132,0)),"Di luar periode")</f>
        <v>Hari Kerja</v>
      </c>
      <c r="N1735" s="71">
        <f t="shared" si="244"/>
        <v>0</v>
      </c>
      <c r="O1735" s="71">
        <f t="shared" si="245"/>
        <v>1</v>
      </c>
      <c r="P1735" s="71">
        <f t="shared" si="246"/>
        <v>0</v>
      </c>
      <c r="Q1735" s="71">
        <f t="shared" si="247"/>
        <v>0</v>
      </c>
      <c r="R1735" s="71">
        <f t="shared" si="248"/>
        <v>0</v>
      </c>
      <c r="S1735" s="71">
        <f t="shared" si="249"/>
        <v>0</v>
      </c>
      <c r="T1735" s="71">
        <f t="shared" si="250"/>
        <v>0</v>
      </c>
      <c r="U1735" s="71">
        <f>IF(AND(N1735=1,V1735=1),IF(COUNTIFS(AKTIVITAS!$B$2:$B$3052,B1735,AKTIVITAS!$E$2:$E$3052,H1735)&gt;0,1,0),0)</f>
        <v>0</v>
      </c>
      <c r="V1735" s="71">
        <f>IFERROR(IF(AND(H1735&gt;=INDEX(PEMAGANG!$J$3:$J$36,MATCH(B1735,PEMAGANG!$C$3:$C$36,0)),H1735&lt;=INDEX(PEMAGANG!$K$3:$K$36,MATCH(B1735,PEMAGANG!$C$3:$C$36,0))),1,0),0)</f>
        <v>1</v>
      </c>
      <c r="W1735" s="71">
        <f t="shared" si="251"/>
        <v>0</v>
      </c>
    </row>
    <row r="1736" spans="1:23" x14ac:dyDescent="0.2">
      <c r="A1736" s="71" t="s">
        <v>246</v>
      </c>
      <c r="B1736" s="71" t="s">
        <v>247</v>
      </c>
      <c r="C1736" s="71" t="s">
        <v>187</v>
      </c>
      <c r="D1736" s="71" t="s">
        <v>248</v>
      </c>
      <c r="E1736" s="71" t="s">
        <v>586</v>
      </c>
      <c r="F1736" s="71" t="s">
        <v>298</v>
      </c>
      <c r="G1736" s="88">
        <v>46234.308506944399</v>
      </c>
      <c r="H1736" s="89">
        <v>46234</v>
      </c>
      <c r="I1736" s="71" t="s">
        <v>303</v>
      </c>
      <c r="J1736" s="71">
        <v>-5.9999999999999796</v>
      </c>
      <c r="K1736" s="71" t="s">
        <v>302</v>
      </c>
      <c r="L1736" s="71">
        <f t="shared" si="243"/>
        <v>7</v>
      </c>
      <c r="M1736" s="71" t="str">
        <f>IFERROR(INDEX(KALENDER!$D$3:$D$132,MATCH(H1736,KALENDER!$A$3:$A$132,0)),"Di luar periode")</f>
        <v>Hari Kerja</v>
      </c>
      <c r="N1736" s="71">
        <f t="shared" si="244"/>
        <v>1</v>
      </c>
      <c r="O1736" s="71">
        <f t="shared" si="245"/>
        <v>1</v>
      </c>
      <c r="P1736" s="71">
        <f t="shared" si="246"/>
        <v>1</v>
      </c>
      <c r="Q1736" s="71">
        <f t="shared" si="247"/>
        <v>0</v>
      </c>
      <c r="R1736" s="71">
        <f t="shared" si="248"/>
        <v>0</v>
      </c>
      <c r="S1736" s="71">
        <f t="shared" si="249"/>
        <v>0</v>
      </c>
      <c r="T1736" s="71">
        <f t="shared" si="250"/>
        <v>0</v>
      </c>
      <c r="U1736" s="71">
        <f>IF(AND(N1736=1,V1736=1),IF(COUNTIFS(AKTIVITAS!$B$2:$B$3052,B1736,AKTIVITAS!$E$2:$E$3052,H1736)&gt;0,1,0),0)</f>
        <v>1</v>
      </c>
      <c r="V1736" s="71">
        <f>IFERROR(IF(AND(H1736&gt;=INDEX(PEMAGANG!$J$3:$J$36,MATCH(B1736,PEMAGANG!$C$3:$C$36,0)),H1736&lt;=INDEX(PEMAGANG!$K$3:$K$36,MATCH(B1736,PEMAGANG!$C$3:$C$36,0))),1,0),0)</f>
        <v>1</v>
      </c>
      <c r="W1736" s="71">
        <f t="shared" si="251"/>
        <v>1</v>
      </c>
    </row>
    <row r="1737" spans="1:23" x14ac:dyDescent="0.2">
      <c r="A1737" s="71" t="s">
        <v>246</v>
      </c>
      <c r="B1737" s="71" t="s">
        <v>247</v>
      </c>
      <c r="C1737" s="71" t="s">
        <v>187</v>
      </c>
      <c r="D1737" s="71" t="s">
        <v>248</v>
      </c>
      <c r="E1737" s="71" t="s">
        <v>586</v>
      </c>
      <c r="F1737" s="71" t="s">
        <v>300</v>
      </c>
      <c r="G1737" s="88">
        <v>46234.689965277801</v>
      </c>
      <c r="H1737" s="89">
        <v>46234</v>
      </c>
      <c r="I1737" s="71" t="s">
        <v>316</v>
      </c>
      <c r="J1737" s="71">
        <v>0</v>
      </c>
      <c r="K1737" s="71" t="s">
        <v>302</v>
      </c>
      <c r="L1737" s="71">
        <f t="shared" si="243"/>
        <v>7</v>
      </c>
      <c r="M1737" s="71" t="str">
        <f>IFERROR(INDEX(KALENDER!$D$3:$D$132,MATCH(H1737,KALENDER!$A$3:$A$132,0)),"Di luar periode")</f>
        <v>Hari Kerja</v>
      </c>
      <c r="N1737" s="71">
        <f t="shared" si="244"/>
        <v>0</v>
      </c>
      <c r="O1737" s="71">
        <f t="shared" si="245"/>
        <v>1</v>
      </c>
      <c r="P1737" s="71">
        <f t="shared" si="246"/>
        <v>0</v>
      </c>
      <c r="Q1737" s="71">
        <f t="shared" si="247"/>
        <v>0</v>
      </c>
      <c r="R1737" s="71">
        <f t="shared" si="248"/>
        <v>0</v>
      </c>
      <c r="S1737" s="71">
        <f t="shared" si="249"/>
        <v>0</v>
      </c>
      <c r="T1737" s="71">
        <f t="shared" si="250"/>
        <v>0</v>
      </c>
      <c r="U1737" s="71">
        <f>IF(AND(N1737=1,V1737=1),IF(COUNTIFS(AKTIVITAS!$B$2:$B$3052,B1737,AKTIVITAS!$E$2:$E$3052,H1737)&gt;0,1,0),0)</f>
        <v>0</v>
      </c>
      <c r="V1737" s="71">
        <f>IFERROR(IF(AND(H1737&gt;=INDEX(PEMAGANG!$J$3:$J$36,MATCH(B1737,PEMAGANG!$C$3:$C$36,0)),H1737&lt;=INDEX(PEMAGANG!$K$3:$K$36,MATCH(B1737,PEMAGANG!$C$3:$C$36,0))),1,0),0)</f>
        <v>1</v>
      </c>
      <c r="W1737" s="71">
        <f t="shared" si="251"/>
        <v>0</v>
      </c>
    </row>
    <row r="1738" spans="1:23" x14ac:dyDescent="0.2">
      <c r="A1738" s="71" t="s">
        <v>246</v>
      </c>
      <c r="B1738" s="71" t="s">
        <v>247</v>
      </c>
      <c r="C1738" s="71" t="s">
        <v>187</v>
      </c>
      <c r="D1738" s="71" t="s">
        <v>248</v>
      </c>
      <c r="E1738" s="71" t="s">
        <v>586</v>
      </c>
      <c r="F1738" s="71" t="s">
        <v>298</v>
      </c>
      <c r="G1738" s="88">
        <v>46237.3101157407</v>
      </c>
      <c r="H1738" s="89">
        <v>46237</v>
      </c>
      <c r="I1738" s="71" t="s">
        <v>315</v>
      </c>
      <c r="J1738" s="71">
        <v>-3.9999999999999898</v>
      </c>
      <c r="K1738" s="71" t="s">
        <v>302</v>
      </c>
      <c r="L1738" s="71">
        <f t="shared" si="243"/>
        <v>8</v>
      </c>
      <c r="M1738" s="71" t="str">
        <f>IFERROR(INDEX(KALENDER!$D$3:$D$132,MATCH(H1738,KALENDER!$A$3:$A$132,0)),"Di luar periode")</f>
        <v>Hari Kerja</v>
      </c>
      <c r="N1738" s="71">
        <f t="shared" si="244"/>
        <v>1</v>
      </c>
      <c r="O1738" s="71">
        <f t="shared" si="245"/>
        <v>1</v>
      </c>
      <c r="P1738" s="71">
        <f t="shared" si="246"/>
        <v>1</v>
      </c>
      <c r="Q1738" s="71">
        <f t="shared" si="247"/>
        <v>0</v>
      </c>
      <c r="R1738" s="71">
        <f t="shared" si="248"/>
        <v>0</v>
      </c>
      <c r="S1738" s="71">
        <f t="shared" si="249"/>
        <v>0</v>
      </c>
      <c r="T1738" s="71">
        <f t="shared" si="250"/>
        <v>0</v>
      </c>
      <c r="U1738" s="71">
        <f>IF(AND(N1738=1,V1738=1),IF(COUNTIFS(AKTIVITAS!$B$2:$B$3052,B1738,AKTIVITAS!$E$2:$E$3052,H1738)&gt;0,1,0),0)</f>
        <v>1</v>
      </c>
      <c r="V1738" s="71">
        <f>IFERROR(IF(AND(H1738&gt;=INDEX(PEMAGANG!$J$3:$J$36,MATCH(B1738,PEMAGANG!$C$3:$C$36,0)),H1738&lt;=INDEX(PEMAGANG!$K$3:$K$36,MATCH(B1738,PEMAGANG!$C$3:$C$36,0))),1,0),0)</f>
        <v>1</v>
      </c>
      <c r="W1738" s="71">
        <f t="shared" si="251"/>
        <v>1</v>
      </c>
    </row>
    <row r="1739" spans="1:23" x14ac:dyDescent="0.2">
      <c r="A1739" s="71" t="s">
        <v>246</v>
      </c>
      <c r="B1739" s="71" t="s">
        <v>247</v>
      </c>
      <c r="C1739" s="71" t="s">
        <v>187</v>
      </c>
      <c r="D1739" s="71" t="s">
        <v>248</v>
      </c>
      <c r="E1739" s="71" t="s">
        <v>586</v>
      </c>
      <c r="F1739" s="71" t="s">
        <v>300</v>
      </c>
      <c r="G1739" s="88">
        <v>46237.828067129602</v>
      </c>
      <c r="H1739" s="89">
        <v>46237</v>
      </c>
      <c r="I1739" s="71" t="s">
        <v>589</v>
      </c>
      <c r="J1739" s="71">
        <v>0</v>
      </c>
      <c r="K1739" s="71" t="s">
        <v>302</v>
      </c>
      <c r="L1739" s="71">
        <f t="shared" si="243"/>
        <v>8</v>
      </c>
      <c r="M1739" s="71" t="str">
        <f>IFERROR(INDEX(KALENDER!$D$3:$D$132,MATCH(H1739,KALENDER!$A$3:$A$132,0)),"Di luar periode")</f>
        <v>Hari Kerja</v>
      </c>
      <c r="N1739" s="71">
        <f t="shared" si="244"/>
        <v>0</v>
      </c>
      <c r="O1739" s="71">
        <f t="shared" si="245"/>
        <v>1</v>
      </c>
      <c r="P1739" s="71">
        <f t="shared" si="246"/>
        <v>0</v>
      </c>
      <c r="Q1739" s="71">
        <f t="shared" si="247"/>
        <v>0</v>
      </c>
      <c r="R1739" s="71">
        <f t="shared" si="248"/>
        <v>0</v>
      </c>
      <c r="S1739" s="71">
        <f t="shared" si="249"/>
        <v>0</v>
      </c>
      <c r="T1739" s="71">
        <f t="shared" si="250"/>
        <v>0</v>
      </c>
      <c r="U1739" s="71">
        <f>IF(AND(N1739=1,V1739=1),IF(COUNTIFS(AKTIVITAS!$B$2:$B$3052,B1739,AKTIVITAS!$E$2:$E$3052,H1739)&gt;0,1,0),0)</f>
        <v>0</v>
      </c>
      <c r="V1739" s="71">
        <f>IFERROR(IF(AND(H1739&gt;=INDEX(PEMAGANG!$J$3:$J$36,MATCH(B1739,PEMAGANG!$C$3:$C$36,0)),H1739&lt;=INDEX(PEMAGANG!$K$3:$K$36,MATCH(B1739,PEMAGANG!$C$3:$C$36,0))),1,0),0)</f>
        <v>1</v>
      </c>
      <c r="W1739" s="71">
        <f t="shared" si="251"/>
        <v>0</v>
      </c>
    </row>
    <row r="1740" spans="1:23" x14ac:dyDescent="0.2">
      <c r="A1740" s="71" t="s">
        <v>246</v>
      </c>
      <c r="B1740" s="71" t="s">
        <v>247</v>
      </c>
      <c r="C1740" s="71" t="s">
        <v>187</v>
      </c>
      <c r="D1740" s="71" t="s">
        <v>248</v>
      </c>
      <c r="E1740" s="71" t="s">
        <v>586</v>
      </c>
      <c r="F1740" s="71" t="s">
        <v>298</v>
      </c>
      <c r="G1740" s="88">
        <v>46238.309814814798</v>
      </c>
      <c r="H1740" s="89">
        <v>46238</v>
      </c>
      <c r="I1740" s="71" t="s">
        <v>315</v>
      </c>
      <c r="J1740" s="71">
        <v>-3.9999999999999898</v>
      </c>
      <c r="K1740" s="71" t="s">
        <v>302</v>
      </c>
      <c r="L1740" s="71">
        <f t="shared" si="243"/>
        <v>8</v>
      </c>
      <c r="M1740" s="71" t="str">
        <f>IFERROR(INDEX(KALENDER!$D$3:$D$132,MATCH(H1740,KALENDER!$A$3:$A$132,0)),"Di luar periode")</f>
        <v>Hari Kerja</v>
      </c>
      <c r="N1740" s="71">
        <f t="shared" si="244"/>
        <v>1</v>
      </c>
      <c r="O1740" s="71">
        <f t="shared" si="245"/>
        <v>1</v>
      </c>
      <c r="P1740" s="71">
        <f t="shared" si="246"/>
        <v>1</v>
      </c>
      <c r="Q1740" s="71">
        <f t="shared" si="247"/>
        <v>0</v>
      </c>
      <c r="R1740" s="71">
        <f t="shared" si="248"/>
        <v>0</v>
      </c>
      <c r="S1740" s="71">
        <f t="shared" si="249"/>
        <v>0</v>
      </c>
      <c r="T1740" s="71">
        <f t="shared" si="250"/>
        <v>0</v>
      </c>
      <c r="U1740" s="71">
        <f>IF(AND(N1740=1,V1740=1),IF(COUNTIFS(AKTIVITAS!$B$2:$B$3052,B1740,AKTIVITAS!$E$2:$E$3052,H1740)&gt;0,1,0),0)</f>
        <v>1</v>
      </c>
      <c r="V1740" s="71">
        <f>IFERROR(IF(AND(H1740&gt;=INDEX(PEMAGANG!$J$3:$J$36,MATCH(B1740,PEMAGANG!$C$3:$C$36,0)),H1740&lt;=INDEX(PEMAGANG!$K$3:$K$36,MATCH(B1740,PEMAGANG!$C$3:$C$36,0))),1,0),0)</f>
        <v>1</v>
      </c>
      <c r="W1740" s="71">
        <f t="shared" si="251"/>
        <v>1</v>
      </c>
    </row>
    <row r="1741" spans="1:23" x14ac:dyDescent="0.2">
      <c r="A1741" s="71" t="s">
        <v>246</v>
      </c>
      <c r="B1741" s="71" t="s">
        <v>247</v>
      </c>
      <c r="C1741" s="71" t="s">
        <v>187</v>
      </c>
      <c r="D1741" s="71" t="s">
        <v>248</v>
      </c>
      <c r="E1741" s="71" t="s">
        <v>586</v>
      </c>
      <c r="F1741" s="71" t="s">
        <v>300</v>
      </c>
      <c r="G1741" s="88">
        <v>46238.6882175926</v>
      </c>
      <c r="H1741" s="89">
        <v>46238</v>
      </c>
      <c r="I1741" s="71" t="s">
        <v>336</v>
      </c>
      <c r="J1741" s="71">
        <v>0</v>
      </c>
      <c r="K1741" s="71" t="s">
        <v>302</v>
      </c>
      <c r="L1741" s="71">
        <f t="shared" si="243"/>
        <v>8</v>
      </c>
      <c r="M1741" s="71" t="str">
        <f>IFERROR(INDEX(KALENDER!$D$3:$D$132,MATCH(H1741,KALENDER!$A$3:$A$132,0)),"Di luar periode")</f>
        <v>Hari Kerja</v>
      </c>
      <c r="N1741" s="71">
        <f t="shared" si="244"/>
        <v>0</v>
      </c>
      <c r="O1741" s="71">
        <f t="shared" si="245"/>
        <v>1</v>
      </c>
      <c r="P1741" s="71">
        <f t="shared" si="246"/>
        <v>0</v>
      </c>
      <c r="Q1741" s="71">
        <f t="shared" si="247"/>
        <v>0</v>
      </c>
      <c r="R1741" s="71">
        <f t="shared" si="248"/>
        <v>0</v>
      </c>
      <c r="S1741" s="71">
        <f t="shared" si="249"/>
        <v>0</v>
      </c>
      <c r="T1741" s="71">
        <f t="shared" si="250"/>
        <v>0</v>
      </c>
      <c r="U1741" s="71">
        <f>IF(AND(N1741=1,V1741=1),IF(COUNTIFS(AKTIVITAS!$B$2:$B$3052,B1741,AKTIVITAS!$E$2:$E$3052,H1741)&gt;0,1,0),0)</f>
        <v>0</v>
      </c>
      <c r="V1741" s="71">
        <f>IFERROR(IF(AND(H1741&gt;=INDEX(PEMAGANG!$J$3:$J$36,MATCH(B1741,PEMAGANG!$C$3:$C$36,0)),H1741&lt;=INDEX(PEMAGANG!$K$3:$K$36,MATCH(B1741,PEMAGANG!$C$3:$C$36,0))),1,0),0)</f>
        <v>1</v>
      </c>
      <c r="W1741" s="71">
        <f t="shared" si="251"/>
        <v>0</v>
      </c>
    </row>
    <row r="1742" spans="1:23" x14ac:dyDescent="0.2">
      <c r="A1742" s="71" t="s">
        <v>246</v>
      </c>
      <c r="B1742" s="71" t="s">
        <v>247</v>
      </c>
      <c r="C1742" s="71" t="s">
        <v>187</v>
      </c>
      <c r="D1742" s="71" t="s">
        <v>248</v>
      </c>
      <c r="E1742" s="71" t="s">
        <v>586</v>
      </c>
      <c r="F1742" s="71" t="s">
        <v>298</v>
      </c>
      <c r="G1742" s="88">
        <v>46239.310405092598</v>
      </c>
      <c r="H1742" s="89">
        <v>46239</v>
      </c>
      <c r="I1742" s="71" t="s">
        <v>315</v>
      </c>
      <c r="J1742" s="71">
        <v>-3.9999999999999898</v>
      </c>
      <c r="K1742" s="71" t="s">
        <v>302</v>
      </c>
      <c r="L1742" s="71">
        <f t="shared" si="243"/>
        <v>8</v>
      </c>
      <c r="M1742" s="71" t="str">
        <f>IFERROR(INDEX(KALENDER!$D$3:$D$132,MATCH(H1742,KALENDER!$A$3:$A$132,0)),"Di luar periode")</f>
        <v>Hari Kerja</v>
      </c>
      <c r="N1742" s="71">
        <f t="shared" si="244"/>
        <v>1</v>
      </c>
      <c r="O1742" s="71">
        <f t="shared" si="245"/>
        <v>1</v>
      </c>
      <c r="P1742" s="71">
        <f t="shared" si="246"/>
        <v>1</v>
      </c>
      <c r="Q1742" s="71">
        <f t="shared" si="247"/>
        <v>0</v>
      </c>
      <c r="R1742" s="71">
        <f t="shared" si="248"/>
        <v>0</v>
      </c>
      <c r="S1742" s="71">
        <f t="shared" si="249"/>
        <v>0</v>
      </c>
      <c r="T1742" s="71">
        <f t="shared" si="250"/>
        <v>0</v>
      </c>
      <c r="U1742" s="71">
        <f>IF(AND(N1742=1,V1742=1),IF(COUNTIFS(AKTIVITAS!$B$2:$B$3052,B1742,AKTIVITAS!$E$2:$E$3052,H1742)&gt;0,1,0),0)</f>
        <v>1</v>
      </c>
      <c r="V1742" s="71">
        <f>IFERROR(IF(AND(H1742&gt;=INDEX(PEMAGANG!$J$3:$J$36,MATCH(B1742,PEMAGANG!$C$3:$C$36,0)),H1742&lt;=INDEX(PEMAGANG!$K$3:$K$36,MATCH(B1742,PEMAGANG!$C$3:$C$36,0))),1,0),0)</f>
        <v>1</v>
      </c>
      <c r="W1742" s="71">
        <f t="shared" si="251"/>
        <v>1</v>
      </c>
    </row>
    <row r="1743" spans="1:23" x14ac:dyDescent="0.2">
      <c r="A1743" s="71" t="s">
        <v>246</v>
      </c>
      <c r="B1743" s="71" t="s">
        <v>247</v>
      </c>
      <c r="C1743" s="71" t="s">
        <v>187</v>
      </c>
      <c r="D1743" s="71" t="s">
        <v>248</v>
      </c>
      <c r="E1743" s="71" t="s">
        <v>586</v>
      </c>
      <c r="F1743" s="71" t="s">
        <v>300</v>
      </c>
      <c r="G1743" s="88">
        <v>46239.688726851899</v>
      </c>
      <c r="H1743" s="89">
        <v>46239</v>
      </c>
      <c r="I1743" s="71" t="s">
        <v>336</v>
      </c>
      <c r="J1743" s="71">
        <v>0</v>
      </c>
      <c r="K1743" s="71" t="s">
        <v>302</v>
      </c>
      <c r="L1743" s="71">
        <f t="shared" si="243"/>
        <v>8</v>
      </c>
      <c r="M1743" s="71" t="str">
        <f>IFERROR(INDEX(KALENDER!$D$3:$D$132,MATCH(H1743,KALENDER!$A$3:$A$132,0)),"Di luar periode")</f>
        <v>Hari Kerja</v>
      </c>
      <c r="N1743" s="71">
        <f t="shared" si="244"/>
        <v>0</v>
      </c>
      <c r="O1743" s="71">
        <f t="shared" si="245"/>
        <v>1</v>
      </c>
      <c r="P1743" s="71">
        <f t="shared" si="246"/>
        <v>0</v>
      </c>
      <c r="Q1743" s="71">
        <f t="shared" si="247"/>
        <v>0</v>
      </c>
      <c r="R1743" s="71">
        <f t="shared" si="248"/>
        <v>0</v>
      </c>
      <c r="S1743" s="71">
        <f t="shared" si="249"/>
        <v>0</v>
      </c>
      <c r="T1743" s="71">
        <f t="shared" si="250"/>
        <v>0</v>
      </c>
      <c r="U1743" s="71">
        <f>IF(AND(N1743=1,V1743=1),IF(COUNTIFS(AKTIVITAS!$B$2:$B$3052,B1743,AKTIVITAS!$E$2:$E$3052,H1743)&gt;0,1,0),0)</f>
        <v>0</v>
      </c>
      <c r="V1743" s="71">
        <f>IFERROR(IF(AND(H1743&gt;=INDEX(PEMAGANG!$J$3:$J$36,MATCH(B1743,PEMAGANG!$C$3:$C$36,0)),H1743&lt;=INDEX(PEMAGANG!$K$3:$K$36,MATCH(B1743,PEMAGANG!$C$3:$C$36,0))),1,0),0)</f>
        <v>1</v>
      </c>
      <c r="W1743" s="71">
        <f t="shared" si="251"/>
        <v>0</v>
      </c>
    </row>
    <row r="1744" spans="1:23" x14ac:dyDescent="0.2">
      <c r="A1744" s="71" t="s">
        <v>246</v>
      </c>
      <c r="B1744" s="71" t="s">
        <v>247</v>
      </c>
      <c r="C1744" s="71" t="s">
        <v>187</v>
      </c>
      <c r="D1744" s="71" t="s">
        <v>248</v>
      </c>
      <c r="E1744" s="71" t="s">
        <v>586</v>
      </c>
      <c r="F1744" s="71" t="s">
        <v>298</v>
      </c>
      <c r="G1744" s="88">
        <v>46240.310729166697</v>
      </c>
      <c r="H1744" s="89">
        <v>46240</v>
      </c>
      <c r="I1744" s="71" t="s">
        <v>309</v>
      </c>
      <c r="J1744" s="71">
        <v>-2.9999999999999898</v>
      </c>
      <c r="K1744" s="71" t="s">
        <v>302</v>
      </c>
      <c r="L1744" s="71">
        <f t="shared" si="243"/>
        <v>8</v>
      </c>
      <c r="M1744" s="71" t="str">
        <f>IFERROR(INDEX(KALENDER!$D$3:$D$132,MATCH(H1744,KALENDER!$A$3:$A$132,0)),"Di luar periode")</f>
        <v>Hari Kerja</v>
      </c>
      <c r="N1744" s="71">
        <f t="shared" si="244"/>
        <v>1</v>
      </c>
      <c r="O1744" s="71">
        <f t="shared" si="245"/>
        <v>1</v>
      </c>
      <c r="P1744" s="71">
        <f t="shared" si="246"/>
        <v>1</v>
      </c>
      <c r="Q1744" s="71">
        <f t="shared" si="247"/>
        <v>0</v>
      </c>
      <c r="R1744" s="71">
        <f t="shared" si="248"/>
        <v>0</v>
      </c>
      <c r="S1744" s="71">
        <f t="shared" si="249"/>
        <v>0</v>
      </c>
      <c r="T1744" s="71">
        <f t="shared" si="250"/>
        <v>0</v>
      </c>
      <c r="U1744" s="71">
        <f>IF(AND(N1744=1,V1744=1),IF(COUNTIFS(AKTIVITAS!$B$2:$B$3052,B1744,AKTIVITAS!$E$2:$E$3052,H1744)&gt;0,1,0),0)</f>
        <v>1</v>
      </c>
      <c r="V1744" s="71">
        <f>IFERROR(IF(AND(H1744&gt;=INDEX(PEMAGANG!$J$3:$J$36,MATCH(B1744,PEMAGANG!$C$3:$C$36,0)),H1744&lt;=INDEX(PEMAGANG!$K$3:$K$36,MATCH(B1744,PEMAGANG!$C$3:$C$36,0))),1,0),0)</f>
        <v>1</v>
      </c>
      <c r="W1744" s="71">
        <f t="shared" si="251"/>
        <v>1</v>
      </c>
    </row>
    <row r="1745" spans="1:23" x14ac:dyDescent="0.2">
      <c r="A1745" s="71" t="s">
        <v>246</v>
      </c>
      <c r="B1745" s="71" t="s">
        <v>247</v>
      </c>
      <c r="C1745" s="71" t="s">
        <v>187</v>
      </c>
      <c r="D1745" s="71" t="s">
        <v>248</v>
      </c>
      <c r="E1745" s="71" t="s">
        <v>586</v>
      </c>
      <c r="F1745" s="71" t="s">
        <v>300</v>
      </c>
      <c r="G1745" s="88">
        <v>46240.688009259298</v>
      </c>
      <c r="H1745" s="89">
        <v>46240</v>
      </c>
      <c r="I1745" s="71" t="s">
        <v>330</v>
      </c>
      <c r="J1745" s="71">
        <v>0</v>
      </c>
      <c r="K1745" s="71" t="s">
        <v>302</v>
      </c>
      <c r="L1745" s="71">
        <f t="shared" si="243"/>
        <v>8</v>
      </c>
      <c r="M1745" s="71" t="str">
        <f>IFERROR(INDEX(KALENDER!$D$3:$D$132,MATCH(H1745,KALENDER!$A$3:$A$132,0)),"Di luar periode")</f>
        <v>Hari Kerja</v>
      </c>
      <c r="N1745" s="71">
        <f t="shared" si="244"/>
        <v>0</v>
      </c>
      <c r="O1745" s="71">
        <f t="shared" si="245"/>
        <v>1</v>
      </c>
      <c r="P1745" s="71">
        <f t="shared" si="246"/>
        <v>0</v>
      </c>
      <c r="Q1745" s="71">
        <f t="shared" si="247"/>
        <v>0</v>
      </c>
      <c r="R1745" s="71">
        <f t="shared" si="248"/>
        <v>0</v>
      </c>
      <c r="S1745" s="71">
        <f t="shared" si="249"/>
        <v>0</v>
      </c>
      <c r="T1745" s="71">
        <f t="shared" si="250"/>
        <v>0</v>
      </c>
      <c r="U1745" s="71">
        <f>IF(AND(N1745=1,V1745=1),IF(COUNTIFS(AKTIVITAS!$B$2:$B$3052,B1745,AKTIVITAS!$E$2:$E$3052,H1745)&gt;0,1,0),0)</f>
        <v>0</v>
      </c>
      <c r="V1745" s="71">
        <f>IFERROR(IF(AND(H1745&gt;=INDEX(PEMAGANG!$J$3:$J$36,MATCH(B1745,PEMAGANG!$C$3:$C$36,0)),H1745&lt;=INDEX(PEMAGANG!$K$3:$K$36,MATCH(B1745,PEMAGANG!$C$3:$C$36,0))),1,0),0)</f>
        <v>1</v>
      </c>
      <c r="W1745" s="71">
        <f t="shared" si="251"/>
        <v>0</v>
      </c>
    </row>
    <row r="1746" spans="1:23" x14ac:dyDescent="0.2">
      <c r="A1746" s="71" t="s">
        <v>246</v>
      </c>
      <c r="B1746" s="71" t="s">
        <v>247</v>
      </c>
      <c r="C1746" s="71" t="s">
        <v>187</v>
      </c>
      <c r="D1746" s="71" t="s">
        <v>248</v>
      </c>
      <c r="E1746" s="71" t="s">
        <v>586</v>
      </c>
      <c r="F1746" s="71" t="s">
        <v>298</v>
      </c>
      <c r="G1746" s="88">
        <v>46241.308865740699</v>
      </c>
      <c r="H1746" s="89">
        <v>46241</v>
      </c>
      <c r="I1746" s="71" t="s">
        <v>303</v>
      </c>
      <c r="J1746" s="71">
        <v>-5.9999999999999796</v>
      </c>
      <c r="K1746" s="71" t="s">
        <v>302</v>
      </c>
      <c r="L1746" s="71">
        <f t="shared" si="243"/>
        <v>8</v>
      </c>
      <c r="M1746" s="71" t="str">
        <f>IFERROR(INDEX(KALENDER!$D$3:$D$132,MATCH(H1746,KALENDER!$A$3:$A$132,0)),"Di luar periode")</f>
        <v>Hari Kerja</v>
      </c>
      <c r="N1746" s="71">
        <f t="shared" si="244"/>
        <v>1</v>
      </c>
      <c r="O1746" s="71">
        <f t="shared" si="245"/>
        <v>1</v>
      </c>
      <c r="P1746" s="71">
        <f t="shared" si="246"/>
        <v>1</v>
      </c>
      <c r="Q1746" s="71">
        <f t="shared" si="247"/>
        <v>0</v>
      </c>
      <c r="R1746" s="71">
        <f t="shared" si="248"/>
        <v>0</v>
      </c>
      <c r="S1746" s="71">
        <f t="shared" si="249"/>
        <v>0</v>
      </c>
      <c r="T1746" s="71">
        <f t="shared" si="250"/>
        <v>0</v>
      </c>
      <c r="U1746" s="71">
        <f>IF(AND(N1746=1,V1746=1),IF(COUNTIFS(AKTIVITAS!$B$2:$B$3052,B1746,AKTIVITAS!$E$2:$E$3052,H1746)&gt;0,1,0),0)</f>
        <v>1</v>
      </c>
      <c r="V1746" s="71">
        <f>IFERROR(IF(AND(H1746&gt;=INDEX(PEMAGANG!$J$3:$J$36,MATCH(B1746,PEMAGANG!$C$3:$C$36,0)),H1746&lt;=INDEX(PEMAGANG!$K$3:$K$36,MATCH(B1746,PEMAGANG!$C$3:$C$36,0))),1,0),0)</f>
        <v>1</v>
      </c>
      <c r="W1746" s="71">
        <f t="shared" si="251"/>
        <v>1</v>
      </c>
    </row>
    <row r="1747" spans="1:23" x14ac:dyDescent="0.2">
      <c r="A1747" s="71" t="s">
        <v>246</v>
      </c>
      <c r="B1747" s="71" t="s">
        <v>247</v>
      </c>
      <c r="C1747" s="71" t="s">
        <v>187</v>
      </c>
      <c r="D1747" s="71" t="s">
        <v>248</v>
      </c>
      <c r="E1747" s="71" t="s">
        <v>586</v>
      </c>
      <c r="F1747" s="71" t="s">
        <v>300</v>
      </c>
      <c r="G1747" s="88">
        <v>46241.6881712963</v>
      </c>
      <c r="H1747" s="89">
        <v>46241</v>
      </c>
      <c r="I1747" s="71" t="s">
        <v>330</v>
      </c>
      <c r="J1747" s="71">
        <v>0</v>
      </c>
      <c r="K1747" s="71" t="s">
        <v>302</v>
      </c>
      <c r="L1747" s="71">
        <f t="shared" si="243"/>
        <v>8</v>
      </c>
      <c r="M1747" s="71" t="str">
        <f>IFERROR(INDEX(KALENDER!$D$3:$D$132,MATCH(H1747,KALENDER!$A$3:$A$132,0)),"Di luar periode")</f>
        <v>Hari Kerja</v>
      </c>
      <c r="N1747" s="71">
        <f t="shared" si="244"/>
        <v>0</v>
      </c>
      <c r="O1747" s="71">
        <f t="shared" si="245"/>
        <v>1</v>
      </c>
      <c r="P1747" s="71">
        <f t="shared" si="246"/>
        <v>0</v>
      </c>
      <c r="Q1747" s="71">
        <f t="shared" si="247"/>
        <v>0</v>
      </c>
      <c r="R1747" s="71">
        <f t="shared" si="248"/>
        <v>0</v>
      </c>
      <c r="S1747" s="71">
        <f t="shared" si="249"/>
        <v>0</v>
      </c>
      <c r="T1747" s="71">
        <f t="shared" si="250"/>
        <v>0</v>
      </c>
      <c r="U1747" s="71">
        <f>IF(AND(N1747=1,V1747=1),IF(COUNTIFS(AKTIVITAS!$B$2:$B$3052,B1747,AKTIVITAS!$E$2:$E$3052,H1747)&gt;0,1,0),0)</f>
        <v>0</v>
      </c>
      <c r="V1747" s="71">
        <f>IFERROR(IF(AND(H1747&gt;=INDEX(PEMAGANG!$J$3:$J$36,MATCH(B1747,PEMAGANG!$C$3:$C$36,0)),H1747&lt;=INDEX(PEMAGANG!$K$3:$K$36,MATCH(B1747,PEMAGANG!$C$3:$C$36,0))),1,0),0)</f>
        <v>1</v>
      </c>
      <c r="W1747" s="71">
        <f t="shared" si="251"/>
        <v>0</v>
      </c>
    </row>
    <row r="1748" spans="1:23" x14ac:dyDescent="0.2">
      <c r="A1748" s="71" t="s">
        <v>246</v>
      </c>
      <c r="B1748" s="71" t="s">
        <v>247</v>
      </c>
      <c r="C1748" s="71" t="s">
        <v>187</v>
      </c>
      <c r="D1748" s="71" t="s">
        <v>248</v>
      </c>
      <c r="E1748" s="71" t="s">
        <v>586</v>
      </c>
      <c r="F1748" s="71" t="s">
        <v>298</v>
      </c>
      <c r="G1748" s="88">
        <v>46244.308784722198</v>
      </c>
      <c r="H1748" s="89">
        <v>46244</v>
      </c>
      <c r="I1748" s="71" t="s">
        <v>303</v>
      </c>
      <c r="J1748" s="71">
        <v>-5.9999999999999796</v>
      </c>
      <c r="K1748" s="71" t="s">
        <v>302</v>
      </c>
      <c r="L1748" s="71">
        <f t="shared" si="243"/>
        <v>8</v>
      </c>
      <c r="M1748" s="71" t="str">
        <f>IFERROR(INDEX(KALENDER!$D$3:$D$132,MATCH(H1748,KALENDER!$A$3:$A$132,0)),"Di luar periode")</f>
        <v>Hari Kerja</v>
      </c>
      <c r="N1748" s="71">
        <f t="shared" si="244"/>
        <v>1</v>
      </c>
      <c r="O1748" s="71">
        <f t="shared" si="245"/>
        <v>1</v>
      </c>
      <c r="P1748" s="71">
        <f t="shared" si="246"/>
        <v>1</v>
      </c>
      <c r="Q1748" s="71">
        <f t="shared" si="247"/>
        <v>0</v>
      </c>
      <c r="R1748" s="71">
        <f t="shared" si="248"/>
        <v>0</v>
      </c>
      <c r="S1748" s="71">
        <f t="shared" si="249"/>
        <v>0</v>
      </c>
      <c r="T1748" s="71">
        <f t="shared" si="250"/>
        <v>0</v>
      </c>
      <c r="U1748" s="71">
        <f>IF(AND(N1748=1,V1748=1),IF(COUNTIFS(AKTIVITAS!$B$2:$B$3052,B1748,AKTIVITAS!$E$2:$E$3052,H1748)&gt;0,1,0),0)</f>
        <v>1</v>
      </c>
      <c r="V1748" s="71">
        <f>IFERROR(IF(AND(H1748&gt;=INDEX(PEMAGANG!$J$3:$J$36,MATCH(B1748,PEMAGANG!$C$3:$C$36,0)),H1748&lt;=INDEX(PEMAGANG!$K$3:$K$36,MATCH(B1748,PEMAGANG!$C$3:$C$36,0))),1,0),0)</f>
        <v>1</v>
      </c>
      <c r="W1748" s="71">
        <f t="shared" si="251"/>
        <v>1</v>
      </c>
    </row>
    <row r="1749" spans="1:23" x14ac:dyDescent="0.2">
      <c r="A1749" s="71" t="s">
        <v>246</v>
      </c>
      <c r="B1749" s="71" t="s">
        <v>247</v>
      </c>
      <c r="C1749" s="71" t="s">
        <v>187</v>
      </c>
      <c r="D1749" s="71" t="s">
        <v>248</v>
      </c>
      <c r="E1749" s="71" t="s">
        <v>586</v>
      </c>
      <c r="F1749" s="71" t="s">
        <v>300</v>
      </c>
      <c r="G1749" s="88">
        <v>46244.690416666701</v>
      </c>
      <c r="H1749" s="89">
        <v>46244</v>
      </c>
      <c r="I1749" s="71" t="s">
        <v>314</v>
      </c>
      <c r="J1749" s="71">
        <v>0</v>
      </c>
      <c r="K1749" s="71" t="s">
        <v>302</v>
      </c>
      <c r="L1749" s="71">
        <f t="shared" si="243"/>
        <v>8</v>
      </c>
      <c r="M1749" s="71" t="str">
        <f>IFERROR(INDEX(KALENDER!$D$3:$D$132,MATCH(H1749,KALENDER!$A$3:$A$132,0)),"Di luar periode")</f>
        <v>Hari Kerja</v>
      </c>
      <c r="N1749" s="71">
        <f t="shared" si="244"/>
        <v>0</v>
      </c>
      <c r="O1749" s="71">
        <f t="shared" si="245"/>
        <v>1</v>
      </c>
      <c r="P1749" s="71">
        <f t="shared" si="246"/>
        <v>0</v>
      </c>
      <c r="Q1749" s="71">
        <f t="shared" si="247"/>
        <v>0</v>
      </c>
      <c r="R1749" s="71">
        <f t="shared" si="248"/>
        <v>0</v>
      </c>
      <c r="S1749" s="71">
        <f t="shared" si="249"/>
        <v>0</v>
      </c>
      <c r="T1749" s="71">
        <f t="shared" si="250"/>
        <v>0</v>
      </c>
      <c r="U1749" s="71">
        <f>IF(AND(N1749=1,V1749=1),IF(COUNTIFS(AKTIVITAS!$B$2:$B$3052,B1749,AKTIVITAS!$E$2:$E$3052,H1749)&gt;0,1,0),0)</f>
        <v>0</v>
      </c>
      <c r="V1749" s="71">
        <f>IFERROR(IF(AND(H1749&gt;=INDEX(PEMAGANG!$J$3:$J$36,MATCH(B1749,PEMAGANG!$C$3:$C$36,0)),H1749&lt;=INDEX(PEMAGANG!$K$3:$K$36,MATCH(B1749,PEMAGANG!$C$3:$C$36,0))),1,0),0)</f>
        <v>1</v>
      </c>
      <c r="W1749" s="71">
        <f t="shared" si="251"/>
        <v>0</v>
      </c>
    </row>
    <row r="1750" spans="1:23" x14ac:dyDescent="0.2">
      <c r="A1750" s="71" t="s">
        <v>246</v>
      </c>
      <c r="B1750" s="71" t="s">
        <v>247</v>
      </c>
      <c r="C1750" s="71" t="s">
        <v>187</v>
      </c>
      <c r="D1750" s="71" t="s">
        <v>248</v>
      </c>
      <c r="E1750" s="71" t="s">
        <v>586</v>
      </c>
      <c r="F1750" s="71" t="s">
        <v>298</v>
      </c>
      <c r="G1750" s="88">
        <v>46245.311273148203</v>
      </c>
      <c r="H1750" s="89">
        <v>46245</v>
      </c>
      <c r="I1750" s="71" t="s">
        <v>377</v>
      </c>
      <c r="J1750" s="71">
        <v>-1.99999999999999</v>
      </c>
      <c r="K1750" s="71" t="s">
        <v>302</v>
      </c>
      <c r="L1750" s="71">
        <f t="shared" si="243"/>
        <v>8</v>
      </c>
      <c r="M1750" s="71" t="str">
        <f>IFERROR(INDEX(KALENDER!$D$3:$D$132,MATCH(H1750,KALENDER!$A$3:$A$132,0)),"Di luar periode")</f>
        <v>Hari Kerja</v>
      </c>
      <c r="N1750" s="71">
        <f t="shared" si="244"/>
        <v>1</v>
      </c>
      <c r="O1750" s="71">
        <f t="shared" si="245"/>
        <v>1</v>
      </c>
      <c r="P1750" s="71">
        <f t="shared" si="246"/>
        <v>1</v>
      </c>
      <c r="Q1750" s="71">
        <f t="shared" si="247"/>
        <v>0</v>
      </c>
      <c r="R1750" s="71">
        <f t="shared" si="248"/>
        <v>0</v>
      </c>
      <c r="S1750" s="71">
        <f t="shared" si="249"/>
        <v>0</v>
      </c>
      <c r="T1750" s="71">
        <f t="shared" si="250"/>
        <v>0</v>
      </c>
      <c r="U1750" s="71">
        <f>IF(AND(N1750=1,V1750=1),IF(COUNTIFS(AKTIVITAS!$B$2:$B$3052,B1750,AKTIVITAS!$E$2:$E$3052,H1750)&gt;0,1,0),0)</f>
        <v>1</v>
      </c>
      <c r="V1750" s="71">
        <f>IFERROR(IF(AND(H1750&gt;=INDEX(PEMAGANG!$J$3:$J$36,MATCH(B1750,PEMAGANG!$C$3:$C$36,0)),H1750&lt;=INDEX(PEMAGANG!$K$3:$K$36,MATCH(B1750,PEMAGANG!$C$3:$C$36,0))),1,0),0)</f>
        <v>1</v>
      </c>
      <c r="W1750" s="71">
        <f t="shared" si="251"/>
        <v>1</v>
      </c>
    </row>
    <row r="1751" spans="1:23" x14ac:dyDescent="0.2">
      <c r="A1751" s="71" t="s">
        <v>246</v>
      </c>
      <c r="B1751" s="71" t="s">
        <v>247</v>
      </c>
      <c r="C1751" s="71" t="s">
        <v>187</v>
      </c>
      <c r="D1751" s="71" t="s">
        <v>248</v>
      </c>
      <c r="E1751" s="71" t="s">
        <v>586</v>
      </c>
      <c r="F1751" s="71" t="s">
        <v>300</v>
      </c>
      <c r="G1751" s="88">
        <v>46245.692986111098</v>
      </c>
      <c r="H1751" s="89">
        <v>46245</v>
      </c>
      <c r="I1751" s="71" t="s">
        <v>328</v>
      </c>
      <c r="J1751" s="71">
        <v>0</v>
      </c>
      <c r="K1751" s="71" t="s">
        <v>302</v>
      </c>
      <c r="L1751" s="71">
        <f t="shared" si="243"/>
        <v>8</v>
      </c>
      <c r="M1751" s="71" t="str">
        <f>IFERROR(INDEX(KALENDER!$D$3:$D$132,MATCH(H1751,KALENDER!$A$3:$A$132,0)),"Di luar periode")</f>
        <v>Hari Kerja</v>
      </c>
      <c r="N1751" s="71">
        <f t="shared" si="244"/>
        <v>0</v>
      </c>
      <c r="O1751" s="71">
        <f t="shared" si="245"/>
        <v>1</v>
      </c>
      <c r="P1751" s="71">
        <f t="shared" si="246"/>
        <v>0</v>
      </c>
      <c r="Q1751" s="71">
        <f t="shared" si="247"/>
        <v>0</v>
      </c>
      <c r="R1751" s="71">
        <f t="shared" si="248"/>
        <v>0</v>
      </c>
      <c r="S1751" s="71">
        <f t="shared" si="249"/>
        <v>0</v>
      </c>
      <c r="T1751" s="71">
        <f t="shared" si="250"/>
        <v>0</v>
      </c>
      <c r="U1751" s="71">
        <f>IF(AND(N1751=1,V1751=1),IF(COUNTIFS(AKTIVITAS!$B$2:$B$3052,B1751,AKTIVITAS!$E$2:$E$3052,H1751)&gt;0,1,0),0)</f>
        <v>0</v>
      </c>
      <c r="V1751" s="71">
        <f>IFERROR(IF(AND(H1751&gt;=INDEX(PEMAGANG!$J$3:$J$36,MATCH(B1751,PEMAGANG!$C$3:$C$36,0)),H1751&lt;=INDEX(PEMAGANG!$K$3:$K$36,MATCH(B1751,PEMAGANG!$C$3:$C$36,0))),1,0),0)</f>
        <v>1</v>
      </c>
      <c r="W1751" s="71">
        <f t="shared" si="251"/>
        <v>0</v>
      </c>
    </row>
    <row r="1752" spans="1:23" x14ac:dyDescent="0.2">
      <c r="A1752" s="71" t="s">
        <v>246</v>
      </c>
      <c r="B1752" s="71" t="s">
        <v>247</v>
      </c>
      <c r="C1752" s="71" t="s">
        <v>187</v>
      </c>
      <c r="D1752" s="71" t="s">
        <v>248</v>
      </c>
      <c r="E1752" s="71" t="s">
        <v>586</v>
      </c>
      <c r="F1752" s="71" t="s">
        <v>298</v>
      </c>
      <c r="G1752" s="88">
        <v>46246.308425925898</v>
      </c>
      <c r="H1752" s="89">
        <v>46246</v>
      </c>
      <c r="I1752" s="71" t="s">
        <v>303</v>
      </c>
      <c r="J1752" s="71">
        <v>-5.9999999999999796</v>
      </c>
      <c r="K1752" s="71" t="s">
        <v>302</v>
      </c>
      <c r="L1752" s="71">
        <f t="shared" si="243"/>
        <v>8</v>
      </c>
      <c r="M1752" s="71" t="str">
        <f>IFERROR(INDEX(KALENDER!$D$3:$D$132,MATCH(H1752,KALENDER!$A$3:$A$132,0)),"Di luar periode")</f>
        <v>Hari Kerja</v>
      </c>
      <c r="N1752" s="71">
        <f t="shared" si="244"/>
        <v>1</v>
      </c>
      <c r="O1752" s="71">
        <f t="shared" si="245"/>
        <v>1</v>
      </c>
      <c r="P1752" s="71">
        <f t="shared" si="246"/>
        <v>1</v>
      </c>
      <c r="Q1752" s="71">
        <f t="shared" si="247"/>
        <v>0</v>
      </c>
      <c r="R1752" s="71">
        <f t="shared" si="248"/>
        <v>0</v>
      </c>
      <c r="S1752" s="71">
        <f t="shared" si="249"/>
        <v>0</v>
      </c>
      <c r="T1752" s="71">
        <f t="shared" si="250"/>
        <v>0</v>
      </c>
      <c r="U1752" s="71">
        <f>IF(AND(N1752=1,V1752=1),IF(COUNTIFS(AKTIVITAS!$B$2:$B$3052,B1752,AKTIVITAS!$E$2:$E$3052,H1752)&gt;0,1,0),0)</f>
        <v>1</v>
      </c>
      <c r="V1752" s="71">
        <f>IFERROR(IF(AND(H1752&gt;=INDEX(PEMAGANG!$J$3:$J$36,MATCH(B1752,PEMAGANG!$C$3:$C$36,0)),H1752&lt;=INDEX(PEMAGANG!$K$3:$K$36,MATCH(B1752,PEMAGANG!$C$3:$C$36,0))),1,0),0)</f>
        <v>1</v>
      </c>
      <c r="W1752" s="71">
        <f t="shared" si="251"/>
        <v>1</v>
      </c>
    </row>
    <row r="1753" spans="1:23" x14ac:dyDescent="0.2">
      <c r="A1753" s="71" t="s">
        <v>246</v>
      </c>
      <c r="B1753" s="71" t="s">
        <v>247</v>
      </c>
      <c r="C1753" s="71" t="s">
        <v>187</v>
      </c>
      <c r="D1753" s="71" t="s">
        <v>248</v>
      </c>
      <c r="E1753" s="71" t="s">
        <v>586</v>
      </c>
      <c r="F1753" s="71" t="s">
        <v>300</v>
      </c>
      <c r="G1753" s="88">
        <v>46246.688252314802</v>
      </c>
      <c r="H1753" s="89">
        <v>46246</v>
      </c>
      <c r="I1753" s="71" t="s">
        <v>336</v>
      </c>
      <c r="J1753" s="71">
        <v>0</v>
      </c>
      <c r="K1753" s="71" t="s">
        <v>302</v>
      </c>
      <c r="L1753" s="71">
        <f t="shared" si="243"/>
        <v>8</v>
      </c>
      <c r="M1753" s="71" t="str">
        <f>IFERROR(INDEX(KALENDER!$D$3:$D$132,MATCH(H1753,KALENDER!$A$3:$A$132,0)),"Di luar periode")</f>
        <v>Hari Kerja</v>
      </c>
      <c r="N1753" s="71">
        <f t="shared" si="244"/>
        <v>0</v>
      </c>
      <c r="O1753" s="71">
        <f t="shared" si="245"/>
        <v>1</v>
      </c>
      <c r="P1753" s="71">
        <f t="shared" si="246"/>
        <v>0</v>
      </c>
      <c r="Q1753" s="71">
        <f t="shared" si="247"/>
        <v>0</v>
      </c>
      <c r="R1753" s="71">
        <f t="shared" si="248"/>
        <v>0</v>
      </c>
      <c r="S1753" s="71">
        <f t="shared" si="249"/>
        <v>0</v>
      </c>
      <c r="T1753" s="71">
        <f t="shared" si="250"/>
        <v>0</v>
      </c>
      <c r="U1753" s="71">
        <f>IF(AND(N1753=1,V1753=1),IF(COUNTIFS(AKTIVITAS!$B$2:$B$3052,B1753,AKTIVITAS!$E$2:$E$3052,H1753)&gt;0,1,0),0)</f>
        <v>0</v>
      </c>
      <c r="V1753" s="71">
        <f>IFERROR(IF(AND(H1753&gt;=INDEX(PEMAGANG!$J$3:$J$36,MATCH(B1753,PEMAGANG!$C$3:$C$36,0)),H1753&lt;=INDEX(PEMAGANG!$K$3:$K$36,MATCH(B1753,PEMAGANG!$C$3:$C$36,0))),1,0),0)</f>
        <v>1</v>
      </c>
      <c r="W1753" s="71">
        <f t="shared" si="251"/>
        <v>0</v>
      </c>
    </row>
    <row r="1754" spans="1:23" x14ac:dyDescent="0.2">
      <c r="A1754" s="71" t="s">
        <v>246</v>
      </c>
      <c r="B1754" s="71" t="s">
        <v>247</v>
      </c>
      <c r="C1754" s="71" t="s">
        <v>187</v>
      </c>
      <c r="D1754" s="71" t="s">
        <v>248</v>
      </c>
      <c r="E1754" s="71" t="s">
        <v>586</v>
      </c>
      <c r="F1754" s="71" t="s">
        <v>298</v>
      </c>
      <c r="G1754" s="88">
        <v>46247.309398148202</v>
      </c>
      <c r="H1754" s="89">
        <v>46247</v>
      </c>
      <c r="I1754" s="71" t="s">
        <v>307</v>
      </c>
      <c r="J1754" s="71">
        <v>-4.9999999999999796</v>
      </c>
      <c r="K1754" s="71" t="s">
        <v>302</v>
      </c>
      <c r="L1754" s="71">
        <f t="shared" si="243"/>
        <v>8</v>
      </c>
      <c r="M1754" s="71" t="str">
        <f>IFERROR(INDEX(KALENDER!$D$3:$D$132,MATCH(H1754,KALENDER!$A$3:$A$132,0)),"Di luar periode")</f>
        <v>Hari Kerja</v>
      </c>
      <c r="N1754" s="71">
        <f t="shared" si="244"/>
        <v>1</v>
      </c>
      <c r="O1754" s="71">
        <f t="shared" si="245"/>
        <v>1</v>
      </c>
      <c r="P1754" s="71">
        <f t="shared" si="246"/>
        <v>1</v>
      </c>
      <c r="Q1754" s="71">
        <f t="shared" si="247"/>
        <v>0</v>
      </c>
      <c r="R1754" s="71">
        <f t="shared" si="248"/>
        <v>0</v>
      </c>
      <c r="S1754" s="71">
        <f t="shared" si="249"/>
        <v>0</v>
      </c>
      <c r="T1754" s="71">
        <f t="shared" si="250"/>
        <v>0</v>
      </c>
      <c r="U1754" s="71">
        <f>IF(AND(N1754=1,V1754=1),IF(COUNTIFS(AKTIVITAS!$B$2:$B$3052,B1754,AKTIVITAS!$E$2:$E$3052,H1754)&gt;0,1,0),0)</f>
        <v>1</v>
      </c>
      <c r="V1754" s="71">
        <f>IFERROR(IF(AND(H1754&gt;=INDEX(PEMAGANG!$J$3:$J$36,MATCH(B1754,PEMAGANG!$C$3:$C$36,0)),H1754&lt;=INDEX(PEMAGANG!$K$3:$K$36,MATCH(B1754,PEMAGANG!$C$3:$C$36,0))),1,0),0)</f>
        <v>1</v>
      </c>
      <c r="W1754" s="71">
        <f t="shared" si="251"/>
        <v>1</v>
      </c>
    </row>
    <row r="1755" spans="1:23" x14ac:dyDescent="0.2">
      <c r="A1755" s="71" t="s">
        <v>246</v>
      </c>
      <c r="B1755" s="71" t="s">
        <v>247</v>
      </c>
      <c r="C1755" s="71" t="s">
        <v>187</v>
      </c>
      <c r="D1755" s="71" t="s">
        <v>248</v>
      </c>
      <c r="E1755" s="71" t="s">
        <v>586</v>
      </c>
      <c r="F1755" s="71" t="s">
        <v>300</v>
      </c>
      <c r="G1755" s="88">
        <v>46247.6958564815</v>
      </c>
      <c r="H1755" s="89">
        <v>46247</v>
      </c>
      <c r="I1755" s="71" t="s">
        <v>320</v>
      </c>
      <c r="J1755" s="71">
        <v>0</v>
      </c>
      <c r="K1755" s="71" t="s">
        <v>302</v>
      </c>
      <c r="L1755" s="71">
        <f t="shared" si="243"/>
        <v>8</v>
      </c>
      <c r="M1755" s="71" t="str">
        <f>IFERROR(INDEX(KALENDER!$D$3:$D$132,MATCH(H1755,KALENDER!$A$3:$A$132,0)),"Di luar periode")</f>
        <v>Hari Kerja</v>
      </c>
      <c r="N1755" s="71">
        <f t="shared" si="244"/>
        <v>0</v>
      </c>
      <c r="O1755" s="71">
        <f t="shared" si="245"/>
        <v>1</v>
      </c>
      <c r="P1755" s="71">
        <f t="shared" si="246"/>
        <v>0</v>
      </c>
      <c r="Q1755" s="71">
        <f t="shared" si="247"/>
        <v>0</v>
      </c>
      <c r="R1755" s="71">
        <f t="shared" si="248"/>
        <v>0</v>
      </c>
      <c r="S1755" s="71">
        <f t="shared" si="249"/>
        <v>0</v>
      </c>
      <c r="T1755" s="71">
        <f t="shared" si="250"/>
        <v>0</v>
      </c>
      <c r="U1755" s="71">
        <f>IF(AND(N1755=1,V1755=1),IF(COUNTIFS(AKTIVITAS!$B$2:$B$3052,B1755,AKTIVITAS!$E$2:$E$3052,H1755)&gt;0,1,0),0)</f>
        <v>0</v>
      </c>
      <c r="V1755" s="71">
        <f>IFERROR(IF(AND(H1755&gt;=INDEX(PEMAGANG!$J$3:$J$36,MATCH(B1755,PEMAGANG!$C$3:$C$36,0)),H1755&lt;=INDEX(PEMAGANG!$K$3:$K$36,MATCH(B1755,PEMAGANG!$C$3:$C$36,0))),1,0),0)</f>
        <v>1</v>
      </c>
      <c r="W1755" s="71">
        <f t="shared" si="251"/>
        <v>0</v>
      </c>
    </row>
    <row r="1756" spans="1:23" x14ac:dyDescent="0.2">
      <c r="A1756" s="71" t="s">
        <v>246</v>
      </c>
      <c r="B1756" s="71" t="s">
        <v>247</v>
      </c>
      <c r="C1756" s="71" t="s">
        <v>187</v>
      </c>
      <c r="D1756" s="71" t="s">
        <v>248</v>
      </c>
      <c r="E1756" s="71" t="s">
        <v>586</v>
      </c>
      <c r="F1756" s="71" t="s">
        <v>298</v>
      </c>
      <c r="G1756" s="88">
        <v>46248.286840277797</v>
      </c>
      <c r="H1756" s="89">
        <v>46248</v>
      </c>
      <c r="I1756" s="71" t="s">
        <v>512</v>
      </c>
      <c r="J1756" s="71">
        <v>-37</v>
      </c>
      <c r="K1756" s="71" t="s">
        <v>302</v>
      </c>
      <c r="L1756" s="71">
        <f t="shared" si="243"/>
        <v>8</v>
      </c>
      <c r="M1756" s="71" t="str">
        <f>IFERROR(INDEX(KALENDER!$D$3:$D$132,MATCH(H1756,KALENDER!$A$3:$A$132,0)),"Di luar periode")</f>
        <v>Hari Kerja</v>
      </c>
      <c r="N1756" s="71">
        <f t="shared" si="244"/>
        <v>1</v>
      </c>
      <c r="O1756" s="71">
        <f t="shared" si="245"/>
        <v>1</v>
      </c>
      <c r="P1756" s="71">
        <f t="shared" si="246"/>
        <v>1</v>
      </c>
      <c r="Q1756" s="71">
        <f t="shared" si="247"/>
        <v>0</v>
      </c>
      <c r="R1756" s="71">
        <f t="shared" si="248"/>
        <v>0</v>
      </c>
      <c r="S1756" s="71">
        <f t="shared" si="249"/>
        <v>0</v>
      </c>
      <c r="T1756" s="71">
        <f t="shared" si="250"/>
        <v>0</v>
      </c>
      <c r="U1756" s="71">
        <f>IF(AND(N1756=1,V1756=1),IF(COUNTIFS(AKTIVITAS!$B$2:$B$3052,B1756,AKTIVITAS!$E$2:$E$3052,H1756)&gt;0,1,0),0)</f>
        <v>1</v>
      </c>
      <c r="V1756" s="71">
        <f>IFERROR(IF(AND(H1756&gt;=INDEX(PEMAGANG!$J$3:$J$36,MATCH(B1756,PEMAGANG!$C$3:$C$36,0)),H1756&lt;=INDEX(PEMAGANG!$K$3:$K$36,MATCH(B1756,PEMAGANG!$C$3:$C$36,0))),1,0),0)</f>
        <v>1</v>
      </c>
      <c r="W1756" s="71">
        <f t="shared" si="251"/>
        <v>1</v>
      </c>
    </row>
    <row r="1757" spans="1:23" x14ac:dyDescent="0.2">
      <c r="A1757" s="71" t="s">
        <v>246</v>
      </c>
      <c r="B1757" s="71" t="s">
        <v>247</v>
      </c>
      <c r="C1757" s="71" t="s">
        <v>187</v>
      </c>
      <c r="D1757" s="71" t="s">
        <v>248</v>
      </c>
      <c r="E1757" s="71" t="s">
        <v>586</v>
      </c>
      <c r="F1757" s="71" t="s">
        <v>300</v>
      </c>
      <c r="G1757" s="88">
        <v>46248.688437500001</v>
      </c>
      <c r="H1757" s="89">
        <v>46248</v>
      </c>
      <c r="I1757" s="71" t="s">
        <v>336</v>
      </c>
      <c r="J1757" s="71">
        <v>0</v>
      </c>
      <c r="K1757" s="71" t="s">
        <v>302</v>
      </c>
      <c r="L1757" s="71">
        <f t="shared" si="243"/>
        <v>8</v>
      </c>
      <c r="M1757" s="71" t="str">
        <f>IFERROR(INDEX(KALENDER!$D$3:$D$132,MATCH(H1757,KALENDER!$A$3:$A$132,0)),"Di luar periode")</f>
        <v>Hari Kerja</v>
      </c>
      <c r="N1757" s="71">
        <f t="shared" si="244"/>
        <v>0</v>
      </c>
      <c r="O1757" s="71">
        <f t="shared" si="245"/>
        <v>1</v>
      </c>
      <c r="P1757" s="71">
        <f t="shared" si="246"/>
        <v>0</v>
      </c>
      <c r="Q1757" s="71">
        <f t="shared" si="247"/>
        <v>0</v>
      </c>
      <c r="R1757" s="71">
        <f t="shared" si="248"/>
        <v>0</v>
      </c>
      <c r="S1757" s="71">
        <f t="shared" si="249"/>
        <v>0</v>
      </c>
      <c r="T1757" s="71">
        <f t="shared" si="250"/>
        <v>0</v>
      </c>
      <c r="U1757" s="71">
        <f>IF(AND(N1757=1,V1757=1),IF(COUNTIFS(AKTIVITAS!$B$2:$B$3052,B1757,AKTIVITAS!$E$2:$E$3052,H1757)&gt;0,1,0),0)</f>
        <v>0</v>
      </c>
      <c r="V1757" s="71">
        <f>IFERROR(IF(AND(H1757&gt;=INDEX(PEMAGANG!$J$3:$J$36,MATCH(B1757,PEMAGANG!$C$3:$C$36,0)),H1757&lt;=INDEX(PEMAGANG!$K$3:$K$36,MATCH(B1757,PEMAGANG!$C$3:$C$36,0))),1,0),0)</f>
        <v>1</v>
      </c>
      <c r="W1757" s="71">
        <f t="shared" si="251"/>
        <v>0</v>
      </c>
    </row>
    <row r="1758" spans="1:23" x14ac:dyDescent="0.2">
      <c r="A1758" s="71" t="s">
        <v>246</v>
      </c>
      <c r="B1758" s="71" t="s">
        <v>247</v>
      </c>
      <c r="C1758" s="71" t="s">
        <v>187</v>
      </c>
      <c r="D1758" s="71" t="s">
        <v>248</v>
      </c>
      <c r="E1758" s="71" t="s">
        <v>586</v>
      </c>
      <c r="F1758" s="71" t="s">
        <v>298</v>
      </c>
      <c r="G1758" s="88">
        <v>46252.308101851901</v>
      </c>
      <c r="H1758" s="89">
        <v>46252</v>
      </c>
      <c r="I1758" s="71" t="s">
        <v>311</v>
      </c>
      <c r="J1758" s="71">
        <v>-6.9999999999999796</v>
      </c>
      <c r="K1758" s="71" t="s">
        <v>302</v>
      </c>
      <c r="L1758" s="71">
        <f t="shared" si="243"/>
        <v>8</v>
      </c>
      <c r="M1758" s="71" t="str">
        <f>IFERROR(INDEX(KALENDER!$D$3:$D$132,MATCH(H1758,KALENDER!$A$3:$A$132,0)),"Di luar periode")</f>
        <v>Hari Kerja</v>
      </c>
      <c r="N1758" s="71">
        <f t="shared" si="244"/>
        <v>1</v>
      </c>
      <c r="O1758" s="71">
        <f t="shared" si="245"/>
        <v>1</v>
      </c>
      <c r="P1758" s="71">
        <f t="shared" si="246"/>
        <v>1</v>
      </c>
      <c r="Q1758" s="71">
        <f t="shared" si="247"/>
        <v>0</v>
      </c>
      <c r="R1758" s="71">
        <f t="shared" si="248"/>
        <v>0</v>
      </c>
      <c r="S1758" s="71">
        <f t="shared" si="249"/>
        <v>0</v>
      </c>
      <c r="T1758" s="71">
        <f t="shared" si="250"/>
        <v>0</v>
      </c>
      <c r="U1758" s="71">
        <f>IF(AND(N1758=1,V1758=1),IF(COUNTIFS(AKTIVITAS!$B$2:$B$3052,B1758,AKTIVITAS!$E$2:$E$3052,H1758)&gt;0,1,0),0)</f>
        <v>1</v>
      </c>
      <c r="V1758" s="71">
        <f>IFERROR(IF(AND(H1758&gt;=INDEX(PEMAGANG!$J$3:$J$36,MATCH(B1758,PEMAGANG!$C$3:$C$36,0)),H1758&lt;=INDEX(PEMAGANG!$K$3:$K$36,MATCH(B1758,PEMAGANG!$C$3:$C$36,0))),1,0),0)</f>
        <v>1</v>
      </c>
      <c r="W1758" s="71">
        <f t="shared" si="251"/>
        <v>1</v>
      </c>
    </row>
    <row r="1759" spans="1:23" x14ac:dyDescent="0.2">
      <c r="A1759" s="71" t="s">
        <v>246</v>
      </c>
      <c r="B1759" s="71" t="s">
        <v>247</v>
      </c>
      <c r="C1759" s="71" t="s">
        <v>187</v>
      </c>
      <c r="D1759" s="71" t="s">
        <v>248</v>
      </c>
      <c r="E1759" s="71" t="s">
        <v>586</v>
      </c>
      <c r="F1759" s="71" t="s">
        <v>300</v>
      </c>
      <c r="G1759" s="88">
        <v>46252.688287037003</v>
      </c>
      <c r="H1759" s="89">
        <v>46252</v>
      </c>
      <c r="I1759" s="71" t="s">
        <v>336</v>
      </c>
      <c r="J1759" s="71">
        <v>0</v>
      </c>
      <c r="K1759" s="71" t="s">
        <v>302</v>
      </c>
      <c r="L1759" s="71">
        <f t="shared" si="243"/>
        <v>8</v>
      </c>
      <c r="M1759" s="71" t="str">
        <f>IFERROR(INDEX(KALENDER!$D$3:$D$132,MATCH(H1759,KALENDER!$A$3:$A$132,0)),"Di luar periode")</f>
        <v>Hari Kerja</v>
      </c>
      <c r="N1759" s="71">
        <f t="shared" si="244"/>
        <v>0</v>
      </c>
      <c r="O1759" s="71">
        <f t="shared" si="245"/>
        <v>1</v>
      </c>
      <c r="P1759" s="71">
        <f t="shared" si="246"/>
        <v>0</v>
      </c>
      <c r="Q1759" s="71">
        <f t="shared" si="247"/>
        <v>0</v>
      </c>
      <c r="R1759" s="71">
        <f t="shared" si="248"/>
        <v>0</v>
      </c>
      <c r="S1759" s="71">
        <f t="shared" si="249"/>
        <v>0</v>
      </c>
      <c r="T1759" s="71">
        <f t="shared" si="250"/>
        <v>0</v>
      </c>
      <c r="U1759" s="71">
        <f>IF(AND(N1759=1,V1759=1),IF(COUNTIFS(AKTIVITAS!$B$2:$B$3052,B1759,AKTIVITAS!$E$2:$E$3052,H1759)&gt;0,1,0),0)</f>
        <v>0</v>
      </c>
      <c r="V1759" s="71">
        <f>IFERROR(IF(AND(H1759&gt;=INDEX(PEMAGANG!$J$3:$J$36,MATCH(B1759,PEMAGANG!$C$3:$C$36,0)),H1759&lt;=INDEX(PEMAGANG!$K$3:$K$36,MATCH(B1759,PEMAGANG!$C$3:$C$36,0))),1,0),0)</f>
        <v>1</v>
      </c>
      <c r="W1759" s="71">
        <f t="shared" si="251"/>
        <v>0</v>
      </c>
    </row>
    <row r="1760" spans="1:23" x14ac:dyDescent="0.2">
      <c r="A1760" s="71" t="s">
        <v>246</v>
      </c>
      <c r="B1760" s="71" t="s">
        <v>247</v>
      </c>
      <c r="C1760" s="71" t="s">
        <v>187</v>
      </c>
      <c r="D1760" s="71" t="s">
        <v>248</v>
      </c>
      <c r="E1760" s="71" t="s">
        <v>586</v>
      </c>
      <c r="F1760" s="71" t="s">
        <v>298</v>
      </c>
      <c r="G1760" s="88">
        <v>46253.308263888903</v>
      </c>
      <c r="H1760" s="89">
        <v>46253</v>
      </c>
      <c r="I1760" s="71" t="s">
        <v>311</v>
      </c>
      <c r="J1760" s="71">
        <v>-6.9999999999999796</v>
      </c>
      <c r="K1760" s="71" t="s">
        <v>302</v>
      </c>
      <c r="L1760" s="71">
        <f t="shared" si="243"/>
        <v>8</v>
      </c>
      <c r="M1760" s="71" t="str">
        <f>IFERROR(INDEX(KALENDER!$D$3:$D$132,MATCH(H1760,KALENDER!$A$3:$A$132,0)),"Di luar periode")</f>
        <v>Hari Kerja</v>
      </c>
      <c r="N1760" s="71">
        <f t="shared" si="244"/>
        <v>1</v>
      </c>
      <c r="O1760" s="71">
        <f t="shared" si="245"/>
        <v>1</v>
      </c>
      <c r="P1760" s="71">
        <f t="shared" si="246"/>
        <v>1</v>
      </c>
      <c r="Q1760" s="71">
        <f t="shared" si="247"/>
        <v>0</v>
      </c>
      <c r="R1760" s="71">
        <f t="shared" si="248"/>
        <v>0</v>
      </c>
      <c r="S1760" s="71">
        <f t="shared" si="249"/>
        <v>0</v>
      </c>
      <c r="T1760" s="71">
        <f t="shared" si="250"/>
        <v>0</v>
      </c>
      <c r="U1760" s="71">
        <f>IF(AND(N1760=1,V1760=1),IF(COUNTIFS(AKTIVITAS!$B$2:$B$3052,B1760,AKTIVITAS!$E$2:$E$3052,H1760)&gt;0,1,0),0)</f>
        <v>1</v>
      </c>
      <c r="V1760" s="71">
        <f>IFERROR(IF(AND(H1760&gt;=INDEX(PEMAGANG!$J$3:$J$36,MATCH(B1760,PEMAGANG!$C$3:$C$36,0)),H1760&lt;=INDEX(PEMAGANG!$K$3:$K$36,MATCH(B1760,PEMAGANG!$C$3:$C$36,0))),1,0),0)</f>
        <v>1</v>
      </c>
      <c r="W1760" s="71">
        <f t="shared" si="251"/>
        <v>1</v>
      </c>
    </row>
    <row r="1761" spans="1:23" x14ac:dyDescent="0.2">
      <c r="A1761" s="71" t="s">
        <v>246</v>
      </c>
      <c r="B1761" s="71" t="s">
        <v>247</v>
      </c>
      <c r="C1761" s="71" t="s">
        <v>187</v>
      </c>
      <c r="D1761" s="71" t="s">
        <v>248</v>
      </c>
      <c r="E1761" s="71" t="s">
        <v>586</v>
      </c>
      <c r="F1761" s="71" t="s">
        <v>300</v>
      </c>
      <c r="G1761" s="88">
        <v>46253.689201388901</v>
      </c>
      <c r="H1761" s="89">
        <v>46253</v>
      </c>
      <c r="I1761" s="71" t="s">
        <v>306</v>
      </c>
      <c r="J1761" s="71">
        <v>0</v>
      </c>
      <c r="K1761" s="71" t="s">
        <v>302</v>
      </c>
      <c r="L1761" s="71">
        <f t="shared" si="243"/>
        <v>8</v>
      </c>
      <c r="M1761" s="71" t="str">
        <f>IFERROR(INDEX(KALENDER!$D$3:$D$132,MATCH(H1761,KALENDER!$A$3:$A$132,0)),"Di luar periode")</f>
        <v>Hari Kerja</v>
      </c>
      <c r="N1761" s="71">
        <f t="shared" si="244"/>
        <v>0</v>
      </c>
      <c r="O1761" s="71">
        <f t="shared" si="245"/>
        <v>1</v>
      </c>
      <c r="P1761" s="71">
        <f t="shared" si="246"/>
        <v>0</v>
      </c>
      <c r="Q1761" s="71">
        <f t="shared" si="247"/>
        <v>0</v>
      </c>
      <c r="R1761" s="71">
        <f t="shared" si="248"/>
        <v>0</v>
      </c>
      <c r="S1761" s="71">
        <f t="shared" si="249"/>
        <v>0</v>
      </c>
      <c r="T1761" s="71">
        <f t="shared" si="250"/>
        <v>0</v>
      </c>
      <c r="U1761" s="71">
        <f>IF(AND(N1761=1,V1761=1),IF(COUNTIFS(AKTIVITAS!$B$2:$B$3052,B1761,AKTIVITAS!$E$2:$E$3052,H1761)&gt;0,1,0),0)</f>
        <v>0</v>
      </c>
      <c r="V1761" s="71">
        <f>IFERROR(IF(AND(H1761&gt;=INDEX(PEMAGANG!$J$3:$J$36,MATCH(B1761,PEMAGANG!$C$3:$C$36,0)),H1761&lt;=INDEX(PEMAGANG!$K$3:$K$36,MATCH(B1761,PEMAGANG!$C$3:$C$36,0))),1,0),0)</f>
        <v>1</v>
      </c>
      <c r="W1761" s="71">
        <f t="shared" si="251"/>
        <v>0</v>
      </c>
    </row>
    <row r="1762" spans="1:23" x14ac:dyDescent="0.2">
      <c r="A1762" s="71" t="s">
        <v>246</v>
      </c>
      <c r="B1762" s="71" t="s">
        <v>247</v>
      </c>
      <c r="C1762" s="71" t="s">
        <v>187</v>
      </c>
      <c r="D1762" s="71" t="s">
        <v>248</v>
      </c>
      <c r="E1762" s="71" t="s">
        <v>586</v>
      </c>
      <c r="F1762" s="71" t="s">
        <v>298</v>
      </c>
      <c r="G1762" s="88">
        <v>46254.308518518497</v>
      </c>
      <c r="H1762" s="89">
        <v>46254</v>
      </c>
      <c r="I1762" s="71" t="s">
        <v>303</v>
      </c>
      <c r="J1762" s="71">
        <v>-5.9999999999999796</v>
      </c>
      <c r="K1762" s="71" t="s">
        <v>302</v>
      </c>
      <c r="L1762" s="71">
        <f t="shared" si="243"/>
        <v>8</v>
      </c>
      <c r="M1762" s="71" t="str">
        <f>IFERROR(INDEX(KALENDER!$D$3:$D$132,MATCH(H1762,KALENDER!$A$3:$A$132,0)),"Di luar periode")</f>
        <v>Hari Kerja</v>
      </c>
      <c r="N1762" s="71">
        <f t="shared" si="244"/>
        <v>1</v>
      </c>
      <c r="O1762" s="71">
        <f t="shared" si="245"/>
        <v>1</v>
      </c>
      <c r="P1762" s="71">
        <f t="shared" si="246"/>
        <v>1</v>
      </c>
      <c r="Q1762" s="71">
        <f t="shared" si="247"/>
        <v>0</v>
      </c>
      <c r="R1762" s="71">
        <f t="shared" si="248"/>
        <v>0</v>
      </c>
      <c r="S1762" s="71">
        <f t="shared" si="249"/>
        <v>0</v>
      </c>
      <c r="T1762" s="71">
        <f t="shared" si="250"/>
        <v>0</v>
      </c>
      <c r="U1762" s="71">
        <f>IF(AND(N1762=1,V1762=1),IF(COUNTIFS(AKTIVITAS!$B$2:$B$3052,B1762,AKTIVITAS!$E$2:$E$3052,H1762)&gt;0,1,0),0)</f>
        <v>1</v>
      </c>
      <c r="V1762" s="71">
        <f>IFERROR(IF(AND(H1762&gt;=INDEX(PEMAGANG!$J$3:$J$36,MATCH(B1762,PEMAGANG!$C$3:$C$36,0)),H1762&lt;=INDEX(PEMAGANG!$K$3:$K$36,MATCH(B1762,PEMAGANG!$C$3:$C$36,0))),1,0),0)</f>
        <v>1</v>
      </c>
      <c r="W1762" s="71">
        <f t="shared" si="251"/>
        <v>1</v>
      </c>
    </row>
    <row r="1763" spans="1:23" x14ac:dyDescent="0.2">
      <c r="A1763" s="71" t="s">
        <v>246</v>
      </c>
      <c r="B1763" s="71" t="s">
        <v>247</v>
      </c>
      <c r="C1763" s="71" t="s">
        <v>187</v>
      </c>
      <c r="D1763" s="71" t="s">
        <v>248</v>
      </c>
      <c r="E1763" s="71" t="s">
        <v>586</v>
      </c>
      <c r="F1763" s="71" t="s">
        <v>300</v>
      </c>
      <c r="G1763" s="88">
        <v>46254.689768518503</v>
      </c>
      <c r="H1763" s="89">
        <v>46254</v>
      </c>
      <c r="I1763" s="71" t="s">
        <v>316</v>
      </c>
      <c r="J1763" s="71">
        <v>0</v>
      </c>
      <c r="K1763" s="71" t="s">
        <v>302</v>
      </c>
      <c r="L1763" s="71">
        <f t="shared" si="243"/>
        <v>8</v>
      </c>
      <c r="M1763" s="71" t="str">
        <f>IFERROR(INDEX(KALENDER!$D$3:$D$132,MATCH(H1763,KALENDER!$A$3:$A$132,0)),"Di luar periode")</f>
        <v>Hari Kerja</v>
      </c>
      <c r="N1763" s="71">
        <f t="shared" si="244"/>
        <v>0</v>
      </c>
      <c r="O1763" s="71">
        <f t="shared" si="245"/>
        <v>1</v>
      </c>
      <c r="P1763" s="71">
        <f t="shared" si="246"/>
        <v>0</v>
      </c>
      <c r="Q1763" s="71">
        <f t="shared" si="247"/>
        <v>0</v>
      </c>
      <c r="R1763" s="71">
        <f t="shared" si="248"/>
        <v>0</v>
      </c>
      <c r="S1763" s="71">
        <f t="shared" si="249"/>
        <v>0</v>
      </c>
      <c r="T1763" s="71">
        <f t="shared" si="250"/>
        <v>0</v>
      </c>
      <c r="U1763" s="71">
        <f>IF(AND(N1763=1,V1763=1),IF(COUNTIFS(AKTIVITAS!$B$2:$B$3052,B1763,AKTIVITAS!$E$2:$E$3052,H1763)&gt;0,1,0),0)</f>
        <v>0</v>
      </c>
      <c r="V1763" s="71">
        <f>IFERROR(IF(AND(H1763&gt;=INDEX(PEMAGANG!$J$3:$J$36,MATCH(B1763,PEMAGANG!$C$3:$C$36,0)),H1763&lt;=INDEX(PEMAGANG!$K$3:$K$36,MATCH(B1763,PEMAGANG!$C$3:$C$36,0))),1,0),0)</f>
        <v>1</v>
      </c>
      <c r="W1763" s="71">
        <f t="shared" si="251"/>
        <v>0</v>
      </c>
    </row>
    <row r="1764" spans="1:23" x14ac:dyDescent="0.2">
      <c r="A1764" s="71" t="s">
        <v>246</v>
      </c>
      <c r="B1764" s="71" t="s">
        <v>247</v>
      </c>
      <c r="C1764" s="71" t="s">
        <v>187</v>
      </c>
      <c r="D1764" s="71" t="s">
        <v>248</v>
      </c>
      <c r="E1764" s="71" t="s">
        <v>586</v>
      </c>
      <c r="F1764" s="71" t="s">
        <v>298</v>
      </c>
      <c r="G1764" s="88">
        <v>46255.309062499997</v>
      </c>
      <c r="H1764" s="89">
        <v>46255</v>
      </c>
      <c r="I1764" s="71" t="s">
        <v>307</v>
      </c>
      <c r="J1764" s="71">
        <v>-35</v>
      </c>
      <c r="K1764" s="71" t="s">
        <v>302</v>
      </c>
      <c r="L1764" s="71">
        <f t="shared" si="243"/>
        <v>8</v>
      </c>
      <c r="M1764" s="71" t="str">
        <f>IFERROR(INDEX(KALENDER!$D$3:$D$132,MATCH(H1764,KALENDER!$A$3:$A$132,0)),"Di luar periode")</f>
        <v>Hari Kerja</v>
      </c>
      <c r="N1764" s="71">
        <f t="shared" si="244"/>
        <v>1</v>
      </c>
      <c r="O1764" s="71">
        <f t="shared" si="245"/>
        <v>1</v>
      </c>
      <c r="P1764" s="71">
        <f t="shared" si="246"/>
        <v>1</v>
      </c>
      <c r="Q1764" s="71">
        <f t="shared" si="247"/>
        <v>0</v>
      </c>
      <c r="R1764" s="71">
        <f t="shared" si="248"/>
        <v>0</v>
      </c>
      <c r="S1764" s="71">
        <f t="shared" si="249"/>
        <v>0</v>
      </c>
      <c r="T1764" s="71">
        <f t="shared" si="250"/>
        <v>0</v>
      </c>
      <c r="U1764" s="71">
        <f>IF(AND(N1764=1,V1764=1),IF(COUNTIFS(AKTIVITAS!$B$2:$B$3052,B1764,AKTIVITAS!$E$2:$E$3052,H1764)&gt;0,1,0),0)</f>
        <v>1</v>
      </c>
      <c r="V1764" s="71">
        <f>IFERROR(IF(AND(H1764&gt;=INDEX(PEMAGANG!$J$3:$J$36,MATCH(B1764,PEMAGANG!$C$3:$C$36,0)),H1764&lt;=INDEX(PEMAGANG!$K$3:$K$36,MATCH(B1764,PEMAGANG!$C$3:$C$36,0))),1,0),0)</f>
        <v>1</v>
      </c>
      <c r="W1764" s="71">
        <f t="shared" si="251"/>
        <v>1</v>
      </c>
    </row>
    <row r="1765" spans="1:23" x14ac:dyDescent="0.2">
      <c r="A1765" s="71" t="s">
        <v>246</v>
      </c>
      <c r="B1765" s="71" t="s">
        <v>247</v>
      </c>
      <c r="C1765" s="71" t="s">
        <v>187</v>
      </c>
      <c r="D1765" s="71" t="s">
        <v>248</v>
      </c>
      <c r="E1765" s="71" t="s">
        <v>586</v>
      </c>
      <c r="F1765" s="71" t="s">
        <v>300</v>
      </c>
      <c r="G1765" s="88">
        <v>46255.688414351898</v>
      </c>
      <c r="H1765" s="89">
        <v>46255</v>
      </c>
      <c r="I1765" s="71" t="s">
        <v>336</v>
      </c>
      <c r="J1765" s="71">
        <v>0</v>
      </c>
      <c r="K1765" s="71" t="s">
        <v>302</v>
      </c>
      <c r="L1765" s="71">
        <f t="shared" si="243"/>
        <v>8</v>
      </c>
      <c r="M1765" s="71" t="str">
        <f>IFERROR(INDEX(KALENDER!$D$3:$D$132,MATCH(H1765,KALENDER!$A$3:$A$132,0)),"Di luar periode")</f>
        <v>Hari Kerja</v>
      </c>
      <c r="N1765" s="71">
        <f t="shared" si="244"/>
        <v>0</v>
      </c>
      <c r="O1765" s="71">
        <f t="shared" si="245"/>
        <v>1</v>
      </c>
      <c r="P1765" s="71">
        <f t="shared" si="246"/>
        <v>0</v>
      </c>
      <c r="Q1765" s="71">
        <f t="shared" si="247"/>
        <v>0</v>
      </c>
      <c r="R1765" s="71">
        <f t="shared" si="248"/>
        <v>0</v>
      </c>
      <c r="S1765" s="71">
        <f t="shared" si="249"/>
        <v>0</v>
      </c>
      <c r="T1765" s="71">
        <f t="shared" si="250"/>
        <v>0</v>
      </c>
      <c r="U1765" s="71">
        <f>IF(AND(N1765=1,V1765=1),IF(COUNTIFS(AKTIVITAS!$B$2:$B$3052,B1765,AKTIVITAS!$E$2:$E$3052,H1765)&gt;0,1,0),0)</f>
        <v>0</v>
      </c>
      <c r="V1765" s="71">
        <f>IFERROR(IF(AND(H1765&gt;=INDEX(PEMAGANG!$J$3:$J$36,MATCH(B1765,PEMAGANG!$C$3:$C$36,0)),H1765&lt;=INDEX(PEMAGANG!$K$3:$K$36,MATCH(B1765,PEMAGANG!$C$3:$C$36,0))),1,0),0)</f>
        <v>1</v>
      </c>
      <c r="W1765" s="71">
        <f t="shared" si="251"/>
        <v>0</v>
      </c>
    </row>
    <row r="1766" spans="1:23" x14ac:dyDescent="0.2">
      <c r="A1766" s="71" t="s">
        <v>246</v>
      </c>
      <c r="B1766" s="71" t="s">
        <v>247</v>
      </c>
      <c r="C1766" s="71" t="s">
        <v>187</v>
      </c>
      <c r="D1766" s="71" t="s">
        <v>248</v>
      </c>
      <c r="E1766" s="71" t="s">
        <v>586</v>
      </c>
      <c r="F1766" s="71" t="s">
        <v>298</v>
      </c>
      <c r="G1766" s="88">
        <v>46258.307719907403</v>
      </c>
      <c r="H1766" s="89">
        <v>46258</v>
      </c>
      <c r="I1766" s="71" t="s">
        <v>311</v>
      </c>
      <c r="J1766" s="71">
        <v>-37</v>
      </c>
      <c r="K1766" s="71" t="s">
        <v>302</v>
      </c>
      <c r="L1766" s="71">
        <f t="shared" si="243"/>
        <v>8</v>
      </c>
      <c r="M1766" s="71" t="str">
        <f>IFERROR(INDEX(KALENDER!$D$3:$D$132,MATCH(H1766,KALENDER!$A$3:$A$132,0)),"Di luar periode")</f>
        <v>Hari Kerja</v>
      </c>
      <c r="N1766" s="71">
        <f t="shared" si="244"/>
        <v>1</v>
      </c>
      <c r="O1766" s="71">
        <f t="shared" si="245"/>
        <v>1</v>
      </c>
      <c r="P1766" s="71">
        <f t="shared" si="246"/>
        <v>1</v>
      </c>
      <c r="Q1766" s="71">
        <f t="shared" si="247"/>
        <v>0</v>
      </c>
      <c r="R1766" s="71">
        <f t="shared" si="248"/>
        <v>0</v>
      </c>
      <c r="S1766" s="71">
        <f t="shared" si="249"/>
        <v>0</v>
      </c>
      <c r="T1766" s="71">
        <f t="shared" si="250"/>
        <v>0</v>
      </c>
      <c r="U1766" s="71">
        <f>IF(AND(N1766=1,V1766=1),IF(COUNTIFS(AKTIVITAS!$B$2:$B$3052,B1766,AKTIVITAS!$E$2:$E$3052,H1766)&gt;0,1,0),0)</f>
        <v>1</v>
      </c>
      <c r="V1766" s="71">
        <f>IFERROR(IF(AND(H1766&gt;=INDEX(PEMAGANG!$J$3:$J$36,MATCH(B1766,PEMAGANG!$C$3:$C$36,0)),H1766&lt;=INDEX(PEMAGANG!$K$3:$K$36,MATCH(B1766,PEMAGANG!$C$3:$C$36,0))),1,0),0)</f>
        <v>1</v>
      </c>
      <c r="W1766" s="71">
        <f t="shared" si="251"/>
        <v>1</v>
      </c>
    </row>
    <row r="1767" spans="1:23" x14ac:dyDescent="0.2">
      <c r="A1767" s="71" t="s">
        <v>246</v>
      </c>
      <c r="B1767" s="71" t="s">
        <v>247</v>
      </c>
      <c r="C1767" s="71" t="s">
        <v>187</v>
      </c>
      <c r="D1767" s="71" t="s">
        <v>248</v>
      </c>
      <c r="E1767" s="71" t="s">
        <v>586</v>
      </c>
      <c r="F1767" s="71" t="s">
        <v>300</v>
      </c>
      <c r="G1767" s="88">
        <v>46258.690405092602</v>
      </c>
      <c r="H1767" s="89">
        <v>46258</v>
      </c>
      <c r="I1767" s="71" t="s">
        <v>314</v>
      </c>
      <c r="J1767" s="71">
        <v>0</v>
      </c>
      <c r="K1767" s="71" t="s">
        <v>302</v>
      </c>
      <c r="L1767" s="71">
        <f t="shared" si="243"/>
        <v>8</v>
      </c>
      <c r="M1767" s="71" t="str">
        <f>IFERROR(INDEX(KALENDER!$D$3:$D$132,MATCH(H1767,KALENDER!$A$3:$A$132,0)),"Di luar periode")</f>
        <v>Hari Kerja</v>
      </c>
      <c r="N1767" s="71">
        <f t="shared" si="244"/>
        <v>0</v>
      </c>
      <c r="O1767" s="71">
        <f t="shared" si="245"/>
        <v>1</v>
      </c>
      <c r="P1767" s="71">
        <f t="shared" si="246"/>
        <v>0</v>
      </c>
      <c r="Q1767" s="71">
        <f t="shared" si="247"/>
        <v>0</v>
      </c>
      <c r="R1767" s="71">
        <f t="shared" si="248"/>
        <v>0</v>
      </c>
      <c r="S1767" s="71">
        <f t="shared" si="249"/>
        <v>0</v>
      </c>
      <c r="T1767" s="71">
        <f t="shared" si="250"/>
        <v>0</v>
      </c>
      <c r="U1767" s="71">
        <f>IF(AND(N1767=1,V1767=1),IF(COUNTIFS(AKTIVITAS!$B$2:$B$3052,B1767,AKTIVITAS!$E$2:$E$3052,H1767)&gt;0,1,0),0)</f>
        <v>0</v>
      </c>
      <c r="V1767" s="71">
        <f>IFERROR(IF(AND(H1767&gt;=INDEX(PEMAGANG!$J$3:$J$36,MATCH(B1767,PEMAGANG!$C$3:$C$36,0)),H1767&lt;=INDEX(PEMAGANG!$K$3:$K$36,MATCH(B1767,PEMAGANG!$C$3:$C$36,0))),1,0),0)</f>
        <v>1</v>
      </c>
      <c r="W1767" s="71">
        <f t="shared" si="251"/>
        <v>0</v>
      </c>
    </row>
    <row r="1768" spans="1:23" x14ac:dyDescent="0.2">
      <c r="A1768" s="71" t="s">
        <v>246</v>
      </c>
      <c r="B1768" s="71" t="s">
        <v>247</v>
      </c>
      <c r="C1768" s="71" t="s">
        <v>187</v>
      </c>
      <c r="D1768" s="71" t="s">
        <v>248</v>
      </c>
      <c r="E1768" s="71" t="s">
        <v>586</v>
      </c>
      <c r="F1768" s="71" t="s">
        <v>298</v>
      </c>
      <c r="G1768" s="88">
        <v>46260.308194444398</v>
      </c>
      <c r="H1768" s="89">
        <v>46260</v>
      </c>
      <c r="I1768" s="71" t="s">
        <v>311</v>
      </c>
      <c r="J1768" s="71">
        <v>-37</v>
      </c>
      <c r="K1768" s="71" t="s">
        <v>302</v>
      </c>
      <c r="L1768" s="71">
        <f t="shared" si="243"/>
        <v>8</v>
      </c>
      <c r="M1768" s="71" t="str">
        <f>IFERROR(INDEX(KALENDER!$D$3:$D$132,MATCH(H1768,KALENDER!$A$3:$A$132,0)),"Di luar periode")</f>
        <v>Hari Kerja</v>
      </c>
      <c r="N1768" s="71">
        <f t="shared" si="244"/>
        <v>1</v>
      </c>
      <c r="O1768" s="71">
        <f t="shared" si="245"/>
        <v>1</v>
      </c>
      <c r="P1768" s="71">
        <f t="shared" si="246"/>
        <v>1</v>
      </c>
      <c r="Q1768" s="71">
        <f t="shared" si="247"/>
        <v>0</v>
      </c>
      <c r="R1768" s="71">
        <f t="shared" si="248"/>
        <v>0</v>
      </c>
      <c r="S1768" s="71">
        <f t="shared" si="249"/>
        <v>0</v>
      </c>
      <c r="T1768" s="71">
        <f t="shared" si="250"/>
        <v>0</v>
      </c>
      <c r="U1768" s="71">
        <f>IF(AND(N1768=1,V1768=1),IF(COUNTIFS(AKTIVITAS!$B$2:$B$3052,B1768,AKTIVITAS!$E$2:$E$3052,H1768)&gt;0,1,0),0)</f>
        <v>1</v>
      </c>
      <c r="V1768" s="71">
        <f>IFERROR(IF(AND(H1768&gt;=INDEX(PEMAGANG!$J$3:$J$36,MATCH(B1768,PEMAGANG!$C$3:$C$36,0)),H1768&lt;=INDEX(PEMAGANG!$K$3:$K$36,MATCH(B1768,PEMAGANG!$C$3:$C$36,0))),1,0),0)</f>
        <v>1</v>
      </c>
      <c r="W1768" s="71">
        <f t="shared" si="251"/>
        <v>1</v>
      </c>
    </row>
    <row r="1769" spans="1:23" x14ac:dyDescent="0.2">
      <c r="A1769" s="71" t="s">
        <v>246</v>
      </c>
      <c r="B1769" s="71" t="s">
        <v>247</v>
      </c>
      <c r="C1769" s="71" t="s">
        <v>187</v>
      </c>
      <c r="D1769" s="71" t="s">
        <v>248</v>
      </c>
      <c r="E1769" s="71" t="s">
        <v>586</v>
      </c>
      <c r="F1769" s="71" t="s">
        <v>300</v>
      </c>
      <c r="G1769" s="88">
        <v>46260.690324074101</v>
      </c>
      <c r="H1769" s="89">
        <v>46260</v>
      </c>
      <c r="I1769" s="71" t="s">
        <v>314</v>
      </c>
      <c r="J1769" s="71">
        <v>0</v>
      </c>
      <c r="K1769" s="71" t="s">
        <v>302</v>
      </c>
      <c r="L1769" s="71">
        <f t="shared" si="243"/>
        <v>8</v>
      </c>
      <c r="M1769" s="71" t="str">
        <f>IFERROR(INDEX(KALENDER!$D$3:$D$132,MATCH(H1769,KALENDER!$A$3:$A$132,0)),"Di luar periode")</f>
        <v>Hari Kerja</v>
      </c>
      <c r="N1769" s="71">
        <f t="shared" si="244"/>
        <v>0</v>
      </c>
      <c r="O1769" s="71">
        <f t="shared" si="245"/>
        <v>1</v>
      </c>
      <c r="P1769" s="71">
        <f t="shared" si="246"/>
        <v>0</v>
      </c>
      <c r="Q1769" s="71">
        <f t="shared" si="247"/>
        <v>0</v>
      </c>
      <c r="R1769" s="71">
        <f t="shared" si="248"/>
        <v>0</v>
      </c>
      <c r="S1769" s="71">
        <f t="shared" si="249"/>
        <v>0</v>
      </c>
      <c r="T1769" s="71">
        <f t="shared" si="250"/>
        <v>0</v>
      </c>
      <c r="U1769" s="71">
        <f>IF(AND(N1769=1,V1769=1),IF(COUNTIFS(AKTIVITAS!$B$2:$B$3052,B1769,AKTIVITAS!$E$2:$E$3052,H1769)&gt;0,1,0),0)</f>
        <v>0</v>
      </c>
      <c r="V1769" s="71">
        <f>IFERROR(IF(AND(H1769&gt;=INDEX(PEMAGANG!$J$3:$J$36,MATCH(B1769,PEMAGANG!$C$3:$C$36,0)),H1769&lt;=INDEX(PEMAGANG!$K$3:$K$36,MATCH(B1769,PEMAGANG!$C$3:$C$36,0))),1,0),0)</f>
        <v>1</v>
      </c>
      <c r="W1769" s="71">
        <f t="shared" si="251"/>
        <v>0</v>
      </c>
    </row>
    <row r="1770" spans="1:23" x14ac:dyDescent="0.2">
      <c r="A1770" s="71" t="s">
        <v>246</v>
      </c>
      <c r="B1770" s="71" t="s">
        <v>247</v>
      </c>
      <c r="C1770" s="71" t="s">
        <v>187</v>
      </c>
      <c r="D1770" s="71" t="s">
        <v>248</v>
      </c>
      <c r="E1770" s="71" t="s">
        <v>586</v>
      </c>
      <c r="F1770" s="71" t="s">
        <v>298</v>
      </c>
      <c r="G1770" s="88">
        <v>46261.309571759302</v>
      </c>
      <c r="H1770" s="89">
        <v>46261</v>
      </c>
      <c r="I1770" s="71" t="s">
        <v>307</v>
      </c>
      <c r="J1770" s="71">
        <v>-35</v>
      </c>
      <c r="K1770" s="71" t="s">
        <v>302</v>
      </c>
      <c r="L1770" s="71">
        <f t="shared" si="243"/>
        <v>8</v>
      </c>
      <c r="M1770" s="71" t="str">
        <f>IFERROR(INDEX(KALENDER!$D$3:$D$132,MATCH(H1770,KALENDER!$A$3:$A$132,0)),"Di luar periode")</f>
        <v>Hari Kerja</v>
      </c>
      <c r="N1770" s="71">
        <f t="shared" si="244"/>
        <v>1</v>
      </c>
      <c r="O1770" s="71">
        <f t="shared" si="245"/>
        <v>1</v>
      </c>
      <c r="P1770" s="71">
        <f t="shared" si="246"/>
        <v>1</v>
      </c>
      <c r="Q1770" s="71">
        <f t="shared" si="247"/>
        <v>0</v>
      </c>
      <c r="R1770" s="71">
        <f t="shared" si="248"/>
        <v>0</v>
      </c>
      <c r="S1770" s="71">
        <f t="shared" si="249"/>
        <v>0</v>
      </c>
      <c r="T1770" s="71">
        <f t="shared" si="250"/>
        <v>0</v>
      </c>
      <c r="U1770" s="71">
        <f>IF(AND(N1770=1,V1770=1),IF(COUNTIFS(AKTIVITAS!$B$2:$B$3052,B1770,AKTIVITAS!$E$2:$E$3052,H1770)&gt;0,1,0),0)</f>
        <v>1</v>
      </c>
      <c r="V1770" s="71">
        <f>IFERROR(IF(AND(H1770&gt;=INDEX(PEMAGANG!$J$3:$J$36,MATCH(B1770,PEMAGANG!$C$3:$C$36,0)),H1770&lt;=INDEX(PEMAGANG!$K$3:$K$36,MATCH(B1770,PEMAGANG!$C$3:$C$36,0))),1,0),0)</f>
        <v>1</v>
      </c>
      <c r="W1770" s="71">
        <f t="shared" si="251"/>
        <v>1</v>
      </c>
    </row>
    <row r="1771" spans="1:23" x14ac:dyDescent="0.2">
      <c r="A1771" s="71" t="s">
        <v>246</v>
      </c>
      <c r="B1771" s="71" t="s">
        <v>247</v>
      </c>
      <c r="C1771" s="71" t="s">
        <v>187</v>
      </c>
      <c r="D1771" s="71" t="s">
        <v>248</v>
      </c>
      <c r="E1771" s="71" t="s">
        <v>586</v>
      </c>
      <c r="F1771" s="71" t="s">
        <v>300</v>
      </c>
      <c r="G1771" s="88">
        <v>46261.691354166702</v>
      </c>
      <c r="H1771" s="89">
        <v>46261</v>
      </c>
      <c r="I1771" s="71" t="s">
        <v>310</v>
      </c>
      <c r="J1771" s="71">
        <v>0</v>
      </c>
      <c r="K1771" s="71" t="s">
        <v>302</v>
      </c>
      <c r="L1771" s="71">
        <f t="shared" si="243"/>
        <v>8</v>
      </c>
      <c r="M1771" s="71" t="str">
        <f>IFERROR(INDEX(KALENDER!$D$3:$D$132,MATCH(H1771,KALENDER!$A$3:$A$132,0)),"Di luar periode")</f>
        <v>Hari Kerja</v>
      </c>
      <c r="N1771" s="71">
        <f t="shared" si="244"/>
        <v>0</v>
      </c>
      <c r="O1771" s="71">
        <f t="shared" si="245"/>
        <v>1</v>
      </c>
      <c r="P1771" s="71">
        <f t="shared" si="246"/>
        <v>0</v>
      </c>
      <c r="Q1771" s="71">
        <f t="shared" si="247"/>
        <v>0</v>
      </c>
      <c r="R1771" s="71">
        <f t="shared" si="248"/>
        <v>0</v>
      </c>
      <c r="S1771" s="71">
        <f t="shared" si="249"/>
        <v>0</v>
      </c>
      <c r="T1771" s="71">
        <f t="shared" si="250"/>
        <v>0</v>
      </c>
      <c r="U1771" s="71">
        <f>IF(AND(N1771=1,V1771=1),IF(COUNTIFS(AKTIVITAS!$B$2:$B$3052,B1771,AKTIVITAS!$E$2:$E$3052,H1771)&gt;0,1,0),0)</f>
        <v>0</v>
      </c>
      <c r="V1771" s="71">
        <f>IFERROR(IF(AND(H1771&gt;=INDEX(PEMAGANG!$J$3:$J$36,MATCH(B1771,PEMAGANG!$C$3:$C$36,0)),H1771&lt;=INDEX(PEMAGANG!$K$3:$K$36,MATCH(B1771,PEMAGANG!$C$3:$C$36,0))),1,0),0)</f>
        <v>1</v>
      </c>
      <c r="W1771" s="71">
        <f t="shared" si="251"/>
        <v>0</v>
      </c>
    </row>
    <row r="1772" spans="1:23" x14ac:dyDescent="0.2">
      <c r="A1772" s="71" t="s">
        <v>246</v>
      </c>
      <c r="B1772" s="71" t="s">
        <v>247</v>
      </c>
      <c r="C1772" s="71" t="s">
        <v>187</v>
      </c>
      <c r="D1772" s="71" t="s">
        <v>248</v>
      </c>
      <c r="E1772" s="71" t="s">
        <v>586</v>
      </c>
      <c r="F1772" s="71" t="s">
        <v>298</v>
      </c>
      <c r="G1772" s="88">
        <v>46262.308263888903</v>
      </c>
      <c r="H1772" s="89">
        <v>46262</v>
      </c>
      <c r="I1772" s="71" t="s">
        <v>311</v>
      </c>
      <c r="J1772" s="71">
        <v>-37</v>
      </c>
      <c r="K1772" s="71" t="s">
        <v>302</v>
      </c>
      <c r="L1772" s="71">
        <f t="shared" si="243"/>
        <v>8</v>
      </c>
      <c r="M1772" s="71" t="str">
        <f>IFERROR(INDEX(KALENDER!$D$3:$D$132,MATCH(H1772,KALENDER!$A$3:$A$132,0)),"Di luar periode")</f>
        <v>Hari Kerja</v>
      </c>
      <c r="N1772" s="71">
        <f t="shared" si="244"/>
        <v>1</v>
      </c>
      <c r="O1772" s="71">
        <f t="shared" si="245"/>
        <v>1</v>
      </c>
      <c r="P1772" s="71">
        <f t="shared" si="246"/>
        <v>1</v>
      </c>
      <c r="Q1772" s="71">
        <f t="shared" si="247"/>
        <v>0</v>
      </c>
      <c r="R1772" s="71">
        <f t="shared" si="248"/>
        <v>0</v>
      </c>
      <c r="S1772" s="71">
        <f t="shared" si="249"/>
        <v>0</v>
      </c>
      <c r="T1772" s="71">
        <f t="shared" si="250"/>
        <v>0</v>
      </c>
      <c r="U1772" s="71">
        <f>IF(AND(N1772=1,V1772=1),IF(COUNTIFS(AKTIVITAS!$B$2:$B$3052,B1772,AKTIVITAS!$E$2:$E$3052,H1772)&gt;0,1,0),0)</f>
        <v>1</v>
      </c>
      <c r="V1772" s="71">
        <f>IFERROR(IF(AND(H1772&gt;=INDEX(PEMAGANG!$J$3:$J$36,MATCH(B1772,PEMAGANG!$C$3:$C$36,0)),H1772&lt;=INDEX(PEMAGANG!$K$3:$K$36,MATCH(B1772,PEMAGANG!$C$3:$C$36,0))),1,0),0)</f>
        <v>1</v>
      </c>
      <c r="W1772" s="71">
        <f t="shared" si="251"/>
        <v>1</v>
      </c>
    </row>
    <row r="1773" spans="1:23" x14ac:dyDescent="0.2">
      <c r="A1773" s="71" t="s">
        <v>246</v>
      </c>
      <c r="B1773" s="71" t="s">
        <v>247</v>
      </c>
      <c r="C1773" s="71" t="s">
        <v>187</v>
      </c>
      <c r="D1773" s="71" t="s">
        <v>248</v>
      </c>
      <c r="E1773" s="71" t="s">
        <v>586</v>
      </c>
      <c r="F1773" s="71" t="s">
        <v>300</v>
      </c>
      <c r="G1773" s="88">
        <v>46262.689537036997</v>
      </c>
      <c r="H1773" s="89">
        <v>46262</v>
      </c>
      <c r="I1773" s="71" t="s">
        <v>306</v>
      </c>
      <c r="J1773" s="71">
        <v>0</v>
      </c>
      <c r="K1773" s="71" t="s">
        <v>302</v>
      </c>
      <c r="L1773" s="71">
        <f t="shared" si="243"/>
        <v>8</v>
      </c>
      <c r="M1773" s="71" t="str">
        <f>IFERROR(INDEX(KALENDER!$D$3:$D$132,MATCH(H1773,KALENDER!$A$3:$A$132,0)),"Di luar periode")</f>
        <v>Hari Kerja</v>
      </c>
      <c r="N1773" s="71">
        <f t="shared" si="244"/>
        <v>0</v>
      </c>
      <c r="O1773" s="71">
        <f t="shared" si="245"/>
        <v>1</v>
      </c>
      <c r="P1773" s="71">
        <f t="shared" si="246"/>
        <v>0</v>
      </c>
      <c r="Q1773" s="71">
        <f t="shared" si="247"/>
        <v>0</v>
      </c>
      <c r="R1773" s="71">
        <f t="shared" si="248"/>
        <v>0</v>
      </c>
      <c r="S1773" s="71">
        <f t="shared" si="249"/>
        <v>0</v>
      </c>
      <c r="T1773" s="71">
        <f t="shared" si="250"/>
        <v>0</v>
      </c>
      <c r="U1773" s="71">
        <f>IF(AND(N1773=1,V1773=1),IF(COUNTIFS(AKTIVITAS!$B$2:$B$3052,B1773,AKTIVITAS!$E$2:$E$3052,H1773)&gt;0,1,0),0)</f>
        <v>0</v>
      </c>
      <c r="V1773" s="71">
        <f>IFERROR(IF(AND(H1773&gt;=INDEX(PEMAGANG!$J$3:$J$36,MATCH(B1773,PEMAGANG!$C$3:$C$36,0)),H1773&lt;=INDEX(PEMAGANG!$K$3:$K$36,MATCH(B1773,PEMAGANG!$C$3:$C$36,0))),1,0),0)</f>
        <v>1</v>
      </c>
      <c r="W1773" s="71">
        <f t="shared" si="251"/>
        <v>0</v>
      </c>
    </row>
    <row r="1774" spans="1:23" x14ac:dyDescent="0.2">
      <c r="A1774" s="71" t="s">
        <v>246</v>
      </c>
      <c r="B1774" s="71" t="s">
        <v>247</v>
      </c>
      <c r="C1774" s="71" t="s">
        <v>187</v>
      </c>
      <c r="D1774" s="71" t="s">
        <v>248</v>
      </c>
      <c r="E1774" s="71" t="s">
        <v>586</v>
      </c>
      <c r="F1774" s="71" t="s">
        <v>298</v>
      </c>
      <c r="G1774" s="88">
        <v>46265.308240740698</v>
      </c>
      <c r="H1774" s="89">
        <v>46265</v>
      </c>
      <c r="I1774" s="71" t="s">
        <v>311</v>
      </c>
      <c r="J1774" s="71">
        <v>-37</v>
      </c>
      <c r="K1774" s="71" t="s">
        <v>302</v>
      </c>
      <c r="L1774" s="71">
        <f t="shared" si="243"/>
        <v>8</v>
      </c>
      <c r="M1774" s="71" t="str">
        <f>IFERROR(INDEX(KALENDER!$D$3:$D$132,MATCH(H1774,KALENDER!$A$3:$A$132,0)),"Di luar periode")</f>
        <v>Hari Kerja</v>
      </c>
      <c r="N1774" s="71">
        <f t="shared" si="244"/>
        <v>1</v>
      </c>
      <c r="O1774" s="71">
        <f t="shared" si="245"/>
        <v>1</v>
      </c>
      <c r="P1774" s="71">
        <f t="shared" si="246"/>
        <v>1</v>
      </c>
      <c r="Q1774" s="71">
        <f t="shared" si="247"/>
        <v>0</v>
      </c>
      <c r="R1774" s="71">
        <f t="shared" si="248"/>
        <v>0</v>
      </c>
      <c r="S1774" s="71">
        <f t="shared" si="249"/>
        <v>0</v>
      </c>
      <c r="T1774" s="71">
        <f t="shared" si="250"/>
        <v>0</v>
      </c>
      <c r="U1774" s="71">
        <f>IF(AND(N1774=1,V1774=1),IF(COUNTIFS(AKTIVITAS!$B$2:$B$3052,B1774,AKTIVITAS!$E$2:$E$3052,H1774)&gt;0,1,0),0)</f>
        <v>1</v>
      </c>
      <c r="V1774" s="71">
        <f>IFERROR(IF(AND(H1774&gt;=INDEX(PEMAGANG!$J$3:$J$36,MATCH(B1774,PEMAGANG!$C$3:$C$36,0)),H1774&lt;=INDEX(PEMAGANG!$K$3:$K$36,MATCH(B1774,PEMAGANG!$C$3:$C$36,0))),1,0),0)</f>
        <v>1</v>
      </c>
      <c r="W1774" s="71">
        <f t="shared" si="251"/>
        <v>1</v>
      </c>
    </row>
    <row r="1775" spans="1:23" x14ac:dyDescent="0.2">
      <c r="A1775" s="71" t="s">
        <v>246</v>
      </c>
      <c r="B1775" s="71" t="s">
        <v>247</v>
      </c>
      <c r="C1775" s="71" t="s">
        <v>187</v>
      </c>
      <c r="D1775" s="71" t="s">
        <v>248</v>
      </c>
      <c r="E1775" s="71" t="s">
        <v>586</v>
      </c>
      <c r="F1775" s="71" t="s">
        <v>300</v>
      </c>
      <c r="G1775" s="88">
        <v>46265.691319444399</v>
      </c>
      <c r="H1775" s="89">
        <v>46265</v>
      </c>
      <c r="I1775" s="71" t="s">
        <v>310</v>
      </c>
      <c r="J1775" s="71">
        <v>0</v>
      </c>
      <c r="K1775" s="71" t="s">
        <v>302</v>
      </c>
      <c r="L1775" s="71">
        <f t="shared" si="243"/>
        <v>8</v>
      </c>
      <c r="M1775" s="71" t="str">
        <f>IFERROR(INDEX(KALENDER!$D$3:$D$132,MATCH(H1775,KALENDER!$A$3:$A$132,0)),"Di luar periode")</f>
        <v>Hari Kerja</v>
      </c>
      <c r="N1775" s="71">
        <f t="shared" si="244"/>
        <v>0</v>
      </c>
      <c r="O1775" s="71">
        <f t="shared" si="245"/>
        <v>1</v>
      </c>
      <c r="P1775" s="71">
        <f t="shared" si="246"/>
        <v>0</v>
      </c>
      <c r="Q1775" s="71">
        <f t="shared" si="247"/>
        <v>0</v>
      </c>
      <c r="R1775" s="71">
        <f t="shared" si="248"/>
        <v>0</v>
      </c>
      <c r="S1775" s="71">
        <f t="shared" si="249"/>
        <v>0</v>
      </c>
      <c r="T1775" s="71">
        <f t="shared" si="250"/>
        <v>0</v>
      </c>
      <c r="U1775" s="71">
        <f>IF(AND(N1775=1,V1775=1),IF(COUNTIFS(AKTIVITAS!$B$2:$B$3052,B1775,AKTIVITAS!$E$2:$E$3052,H1775)&gt;0,1,0),0)</f>
        <v>0</v>
      </c>
      <c r="V1775" s="71">
        <f>IFERROR(IF(AND(H1775&gt;=INDEX(PEMAGANG!$J$3:$J$36,MATCH(B1775,PEMAGANG!$C$3:$C$36,0)),H1775&lt;=INDEX(PEMAGANG!$K$3:$K$36,MATCH(B1775,PEMAGANG!$C$3:$C$36,0))),1,0),0)</f>
        <v>1</v>
      </c>
      <c r="W1775" s="71">
        <f t="shared" si="251"/>
        <v>0</v>
      </c>
    </row>
    <row r="1776" spans="1:23" x14ac:dyDescent="0.2">
      <c r="A1776" s="71" t="s">
        <v>246</v>
      </c>
      <c r="B1776" s="71" t="s">
        <v>247</v>
      </c>
      <c r="C1776" s="71" t="s">
        <v>187</v>
      </c>
      <c r="D1776" s="71" t="s">
        <v>248</v>
      </c>
      <c r="E1776" s="71" t="s">
        <v>586</v>
      </c>
      <c r="F1776" s="71" t="s">
        <v>298</v>
      </c>
      <c r="G1776" s="88">
        <v>46266.309687499997</v>
      </c>
      <c r="H1776" s="89">
        <v>46266</v>
      </c>
      <c r="I1776" s="71" t="s">
        <v>307</v>
      </c>
      <c r="J1776" s="71">
        <v>-35</v>
      </c>
      <c r="K1776" s="71" t="s">
        <v>302</v>
      </c>
      <c r="L1776" s="71">
        <f t="shared" si="243"/>
        <v>9</v>
      </c>
      <c r="M1776" s="71" t="str">
        <f>IFERROR(INDEX(KALENDER!$D$3:$D$132,MATCH(H1776,KALENDER!$A$3:$A$132,0)),"Di luar periode")</f>
        <v>Hari Kerja</v>
      </c>
      <c r="N1776" s="71">
        <f t="shared" si="244"/>
        <v>1</v>
      </c>
      <c r="O1776" s="71">
        <f t="shared" si="245"/>
        <v>1</v>
      </c>
      <c r="P1776" s="71">
        <f t="shared" si="246"/>
        <v>1</v>
      </c>
      <c r="Q1776" s="71">
        <f t="shared" si="247"/>
        <v>0</v>
      </c>
      <c r="R1776" s="71">
        <f t="shared" si="248"/>
        <v>0</v>
      </c>
      <c r="S1776" s="71">
        <f t="shared" si="249"/>
        <v>0</v>
      </c>
      <c r="T1776" s="71">
        <f t="shared" si="250"/>
        <v>0</v>
      </c>
      <c r="U1776" s="71">
        <f>IF(AND(N1776=1,V1776=1),IF(COUNTIFS(AKTIVITAS!$B$2:$B$3052,B1776,AKTIVITAS!$E$2:$E$3052,H1776)&gt;0,1,0),0)</f>
        <v>1</v>
      </c>
      <c r="V1776" s="71">
        <f>IFERROR(IF(AND(H1776&gt;=INDEX(PEMAGANG!$J$3:$J$36,MATCH(B1776,PEMAGANG!$C$3:$C$36,0)),H1776&lt;=INDEX(PEMAGANG!$K$3:$K$36,MATCH(B1776,PEMAGANG!$C$3:$C$36,0))),1,0),0)</f>
        <v>1</v>
      </c>
      <c r="W1776" s="71">
        <f t="shared" si="251"/>
        <v>1</v>
      </c>
    </row>
    <row r="1777" spans="1:23" x14ac:dyDescent="0.2">
      <c r="A1777" s="71" t="s">
        <v>246</v>
      </c>
      <c r="B1777" s="71" t="s">
        <v>247</v>
      </c>
      <c r="C1777" s="71" t="s">
        <v>187</v>
      </c>
      <c r="D1777" s="71" t="s">
        <v>248</v>
      </c>
      <c r="E1777" s="71" t="s">
        <v>586</v>
      </c>
      <c r="F1777" s="71" t="s">
        <v>300</v>
      </c>
      <c r="G1777" s="88">
        <v>46266.688148148198</v>
      </c>
      <c r="H1777" s="89">
        <v>46266</v>
      </c>
      <c r="I1777" s="71" t="s">
        <v>330</v>
      </c>
      <c r="J1777" s="71">
        <v>0</v>
      </c>
      <c r="K1777" s="71" t="s">
        <v>302</v>
      </c>
      <c r="L1777" s="71">
        <f t="shared" si="243"/>
        <v>9</v>
      </c>
      <c r="M1777" s="71" t="str">
        <f>IFERROR(INDEX(KALENDER!$D$3:$D$132,MATCH(H1777,KALENDER!$A$3:$A$132,0)),"Di luar periode")</f>
        <v>Hari Kerja</v>
      </c>
      <c r="N1777" s="71">
        <f t="shared" si="244"/>
        <v>0</v>
      </c>
      <c r="O1777" s="71">
        <f t="shared" si="245"/>
        <v>1</v>
      </c>
      <c r="P1777" s="71">
        <f t="shared" si="246"/>
        <v>0</v>
      </c>
      <c r="Q1777" s="71">
        <f t="shared" si="247"/>
        <v>0</v>
      </c>
      <c r="R1777" s="71">
        <f t="shared" si="248"/>
        <v>0</v>
      </c>
      <c r="S1777" s="71">
        <f t="shared" si="249"/>
        <v>0</v>
      </c>
      <c r="T1777" s="71">
        <f t="shared" si="250"/>
        <v>0</v>
      </c>
      <c r="U1777" s="71">
        <f>IF(AND(N1777=1,V1777=1),IF(COUNTIFS(AKTIVITAS!$B$2:$B$3052,B1777,AKTIVITAS!$E$2:$E$3052,H1777)&gt;0,1,0),0)</f>
        <v>0</v>
      </c>
      <c r="V1777" s="71">
        <f>IFERROR(IF(AND(H1777&gt;=INDEX(PEMAGANG!$J$3:$J$36,MATCH(B1777,PEMAGANG!$C$3:$C$36,0)),H1777&lt;=INDEX(PEMAGANG!$K$3:$K$36,MATCH(B1777,PEMAGANG!$C$3:$C$36,0))),1,0),0)</f>
        <v>1</v>
      </c>
      <c r="W1777" s="71">
        <f t="shared" si="251"/>
        <v>0</v>
      </c>
    </row>
    <row r="1778" spans="1:23" x14ac:dyDescent="0.2">
      <c r="A1778" s="71" t="s">
        <v>246</v>
      </c>
      <c r="B1778" s="71" t="s">
        <v>247</v>
      </c>
      <c r="C1778" s="71" t="s">
        <v>187</v>
      </c>
      <c r="D1778" s="71" t="s">
        <v>248</v>
      </c>
      <c r="E1778" s="71" t="s">
        <v>586</v>
      </c>
      <c r="F1778" s="71" t="s">
        <v>298</v>
      </c>
      <c r="G1778" s="88">
        <v>46267.3072106482</v>
      </c>
      <c r="H1778" s="89">
        <v>46267</v>
      </c>
      <c r="I1778" s="71" t="s">
        <v>313</v>
      </c>
      <c r="J1778" s="71">
        <v>-38</v>
      </c>
      <c r="K1778" s="71" t="s">
        <v>302</v>
      </c>
      <c r="L1778" s="71">
        <f t="shared" si="243"/>
        <v>9</v>
      </c>
      <c r="M1778" s="71" t="str">
        <f>IFERROR(INDEX(KALENDER!$D$3:$D$132,MATCH(H1778,KALENDER!$A$3:$A$132,0)),"Di luar periode")</f>
        <v>Hari Kerja</v>
      </c>
      <c r="N1778" s="71">
        <f t="shared" si="244"/>
        <v>1</v>
      </c>
      <c r="O1778" s="71">
        <f t="shared" si="245"/>
        <v>1</v>
      </c>
      <c r="P1778" s="71">
        <f t="shared" si="246"/>
        <v>1</v>
      </c>
      <c r="Q1778" s="71">
        <f t="shared" si="247"/>
        <v>0</v>
      </c>
      <c r="R1778" s="71">
        <f t="shared" si="248"/>
        <v>0</v>
      </c>
      <c r="S1778" s="71">
        <f t="shared" si="249"/>
        <v>0</v>
      </c>
      <c r="T1778" s="71">
        <f t="shared" si="250"/>
        <v>0</v>
      </c>
      <c r="U1778" s="71">
        <f>IF(AND(N1778=1,V1778=1),IF(COUNTIFS(AKTIVITAS!$B$2:$B$3052,B1778,AKTIVITAS!$E$2:$E$3052,H1778)&gt;0,1,0),0)</f>
        <v>1</v>
      </c>
      <c r="V1778" s="71">
        <f>IFERROR(IF(AND(H1778&gt;=INDEX(PEMAGANG!$J$3:$J$36,MATCH(B1778,PEMAGANG!$C$3:$C$36,0)),H1778&lt;=INDEX(PEMAGANG!$K$3:$K$36,MATCH(B1778,PEMAGANG!$C$3:$C$36,0))),1,0),0)</f>
        <v>1</v>
      </c>
      <c r="W1778" s="71">
        <f t="shared" si="251"/>
        <v>1</v>
      </c>
    </row>
    <row r="1779" spans="1:23" x14ac:dyDescent="0.2">
      <c r="A1779" s="71" t="s">
        <v>246</v>
      </c>
      <c r="B1779" s="71" t="s">
        <v>247</v>
      </c>
      <c r="C1779" s="71" t="s">
        <v>187</v>
      </c>
      <c r="D1779" s="71" t="s">
        <v>248</v>
      </c>
      <c r="E1779" s="71" t="s">
        <v>586</v>
      </c>
      <c r="F1779" s="71" t="s">
        <v>300</v>
      </c>
      <c r="G1779" s="88">
        <v>46267.688125000001</v>
      </c>
      <c r="H1779" s="89">
        <v>46267</v>
      </c>
      <c r="I1779" s="71" t="s">
        <v>330</v>
      </c>
      <c r="J1779" s="71">
        <v>0</v>
      </c>
      <c r="K1779" s="71" t="s">
        <v>302</v>
      </c>
      <c r="L1779" s="71">
        <f t="shared" si="243"/>
        <v>9</v>
      </c>
      <c r="M1779" s="71" t="str">
        <f>IFERROR(INDEX(KALENDER!$D$3:$D$132,MATCH(H1779,KALENDER!$A$3:$A$132,0)),"Di luar periode")</f>
        <v>Hari Kerja</v>
      </c>
      <c r="N1779" s="71">
        <f t="shared" si="244"/>
        <v>0</v>
      </c>
      <c r="O1779" s="71">
        <f t="shared" si="245"/>
        <v>1</v>
      </c>
      <c r="P1779" s="71">
        <f t="shared" si="246"/>
        <v>0</v>
      </c>
      <c r="Q1779" s="71">
        <f t="shared" si="247"/>
        <v>0</v>
      </c>
      <c r="R1779" s="71">
        <f t="shared" si="248"/>
        <v>0</v>
      </c>
      <c r="S1779" s="71">
        <f t="shared" si="249"/>
        <v>0</v>
      </c>
      <c r="T1779" s="71">
        <f t="shared" si="250"/>
        <v>0</v>
      </c>
      <c r="U1779" s="71">
        <f>IF(AND(N1779=1,V1779=1),IF(COUNTIFS(AKTIVITAS!$B$2:$B$3052,B1779,AKTIVITAS!$E$2:$E$3052,H1779)&gt;0,1,0),0)</f>
        <v>0</v>
      </c>
      <c r="V1779" s="71">
        <f>IFERROR(IF(AND(H1779&gt;=INDEX(PEMAGANG!$J$3:$J$36,MATCH(B1779,PEMAGANG!$C$3:$C$36,0)),H1779&lt;=INDEX(PEMAGANG!$K$3:$K$36,MATCH(B1779,PEMAGANG!$C$3:$C$36,0))),1,0),0)</f>
        <v>1</v>
      </c>
      <c r="W1779" s="71">
        <f t="shared" si="251"/>
        <v>0</v>
      </c>
    </row>
    <row r="1780" spans="1:23" x14ac:dyDescent="0.2">
      <c r="A1780" s="71" t="s">
        <v>246</v>
      </c>
      <c r="B1780" s="71" t="s">
        <v>247</v>
      </c>
      <c r="C1780" s="71" t="s">
        <v>187</v>
      </c>
      <c r="D1780" s="71" t="s">
        <v>248</v>
      </c>
      <c r="E1780" s="71" t="s">
        <v>586</v>
      </c>
      <c r="F1780" s="71" t="s">
        <v>298</v>
      </c>
      <c r="G1780" s="88">
        <v>46268.310636574097</v>
      </c>
      <c r="H1780" s="89">
        <v>46268</v>
      </c>
      <c r="I1780" s="71" t="s">
        <v>309</v>
      </c>
      <c r="J1780" s="71">
        <v>-33</v>
      </c>
      <c r="K1780" s="71" t="s">
        <v>302</v>
      </c>
      <c r="L1780" s="71">
        <f t="shared" si="243"/>
        <v>9</v>
      </c>
      <c r="M1780" s="71" t="str">
        <f>IFERROR(INDEX(KALENDER!$D$3:$D$132,MATCH(H1780,KALENDER!$A$3:$A$132,0)),"Di luar periode")</f>
        <v>Hari Kerja</v>
      </c>
      <c r="N1780" s="71">
        <f t="shared" si="244"/>
        <v>1</v>
      </c>
      <c r="O1780" s="71">
        <f t="shared" si="245"/>
        <v>1</v>
      </c>
      <c r="P1780" s="71">
        <f t="shared" si="246"/>
        <v>1</v>
      </c>
      <c r="Q1780" s="71">
        <f t="shared" si="247"/>
        <v>0</v>
      </c>
      <c r="R1780" s="71">
        <f t="shared" si="248"/>
        <v>0</v>
      </c>
      <c r="S1780" s="71">
        <f t="shared" si="249"/>
        <v>0</v>
      </c>
      <c r="T1780" s="71">
        <f t="shared" si="250"/>
        <v>0</v>
      </c>
      <c r="U1780" s="71">
        <f>IF(AND(N1780=1,V1780=1),IF(COUNTIFS(AKTIVITAS!$B$2:$B$3052,B1780,AKTIVITAS!$E$2:$E$3052,H1780)&gt;0,1,0),0)</f>
        <v>1</v>
      </c>
      <c r="V1780" s="71">
        <f>IFERROR(IF(AND(H1780&gt;=INDEX(PEMAGANG!$J$3:$J$36,MATCH(B1780,PEMAGANG!$C$3:$C$36,0)),H1780&lt;=INDEX(PEMAGANG!$K$3:$K$36,MATCH(B1780,PEMAGANG!$C$3:$C$36,0))),1,0),0)</f>
        <v>1</v>
      </c>
      <c r="W1780" s="71">
        <f t="shared" si="251"/>
        <v>1</v>
      </c>
    </row>
    <row r="1781" spans="1:23" x14ac:dyDescent="0.2">
      <c r="A1781" s="71" t="s">
        <v>246</v>
      </c>
      <c r="B1781" s="71" t="s">
        <v>247</v>
      </c>
      <c r="C1781" s="71" t="s">
        <v>187</v>
      </c>
      <c r="D1781" s="71" t="s">
        <v>248</v>
      </c>
      <c r="E1781" s="71" t="s">
        <v>586</v>
      </c>
      <c r="F1781" s="71" t="s">
        <v>300</v>
      </c>
      <c r="G1781" s="88">
        <v>46268.688969907402</v>
      </c>
      <c r="H1781" s="89">
        <v>46268</v>
      </c>
      <c r="I1781" s="71" t="s">
        <v>306</v>
      </c>
      <c r="J1781" s="71">
        <v>0</v>
      </c>
      <c r="K1781" s="71" t="s">
        <v>302</v>
      </c>
      <c r="L1781" s="71">
        <f t="shared" si="243"/>
        <v>9</v>
      </c>
      <c r="M1781" s="71" t="str">
        <f>IFERROR(INDEX(KALENDER!$D$3:$D$132,MATCH(H1781,KALENDER!$A$3:$A$132,0)),"Di luar periode")</f>
        <v>Hari Kerja</v>
      </c>
      <c r="N1781" s="71">
        <f t="shared" si="244"/>
        <v>0</v>
      </c>
      <c r="O1781" s="71">
        <f t="shared" si="245"/>
        <v>1</v>
      </c>
      <c r="P1781" s="71">
        <f t="shared" si="246"/>
        <v>0</v>
      </c>
      <c r="Q1781" s="71">
        <f t="shared" si="247"/>
        <v>0</v>
      </c>
      <c r="R1781" s="71">
        <f t="shared" si="248"/>
        <v>0</v>
      </c>
      <c r="S1781" s="71">
        <f t="shared" si="249"/>
        <v>0</v>
      </c>
      <c r="T1781" s="71">
        <f t="shared" si="250"/>
        <v>0</v>
      </c>
      <c r="U1781" s="71">
        <f>IF(AND(N1781=1,V1781=1),IF(COUNTIFS(AKTIVITAS!$B$2:$B$3052,B1781,AKTIVITAS!$E$2:$E$3052,H1781)&gt;0,1,0),0)</f>
        <v>0</v>
      </c>
      <c r="V1781" s="71">
        <f>IFERROR(IF(AND(H1781&gt;=INDEX(PEMAGANG!$J$3:$J$36,MATCH(B1781,PEMAGANG!$C$3:$C$36,0)),H1781&lt;=INDEX(PEMAGANG!$K$3:$K$36,MATCH(B1781,PEMAGANG!$C$3:$C$36,0))),1,0),0)</f>
        <v>1</v>
      </c>
      <c r="W1781" s="71">
        <f t="shared" si="251"/>
        <v>0</v>
      </c>
    </row>
    <row r="1782" spans="1:23" x14ac:dyDescent="0.2">
      <c r="A1782" s="71" t="s">
        <v>246</v>
      </c>
      <c r="B1782" s="71" t="s">
        <v>247</v>
      </c>
      <c r="C1782" s="71" t="s">
        <v>187</v>
      </c>
      <c r="D1782" s="71" t="s">
        <v>248</v>
      </c>
      <c r="E1782" s="71" t="s">
        <v>586</v>
      </c>
      <c r="F1782" s="71" t="s">
        <v>298</v>
      </c>
      <c r="G1782" s="88">
        <v>46269.325914351903</v>
      </c>
      <c r="H1782" s="89">
        <v>46269</v>
      </c>
      <c r="I1782" s="71" t="s">
        <v>590</v>
      </c>
      <c r="J1782" s="71">
        <v>-11</v>
      </c>
      <c r="K1782" s="71" t="s">
        <v>302</v>
      </c>
      <c r="L1782" s="71">
        <f t="shared" si="243"/>
        <v>9</v>
      </c>
      <c r="M1782" s="71" t="str">
        <f>IFERROR(INDEX(KALENDER!$D$3:$D$132,MATCH(H1782,KALENDER!$A$3:$A$132,0)),"Di luar periode")</f>
        <v>Hari Kerja</v>
      </c>
      <c r="N1782" s="71">
        <f t="shared" si="244"/>
        <v>1</v>
      </c>
      <c r="O1782" s="71">
        <f t="shared" si="245"/>
        <v>1</v>
      </c>
      <c r="P1782" s="71">
        <f t="shared" si="246"/>
        <v>1</v>
      </c>
      <c r="Q1782" s="71">
        <f t="shared" si="247"/>
        <v>0</v>
      </c>
      <c r="R1782" s="71">
        <f t="shared" si="248"/>
        <v>0</v>
      </c>
      <c r="S1782" s="71">
        <f t="shared" si="249"/>
        <v>0</v>
      </c>
      <c r="T1782" s="71">
        <f t="shared" si="250"/>
        <v>0</v>
      </c>
      <c r="U1782" s="71">
        <f>IF(AND(N1782=1,V1782=1),IF(COUNTIFS(AKTIVITAS!$B$2:$B$3052,B1782,AKTIVITAS!$E$2:$E$3052,H1782)&gt;0,1,0),0)</f>
        <v>1</v>
      </c>
      <c r="V1782" s="71">
        <f>IFERROR(IF(AND(H1782&gt;=INDEX(PEMAGANG!$J$3:$J$36,MATCH(B1782,PEMAGANG!$C$3:$C$36,0)),H1782&lt;=INDEX(PEMAGANG!$K$3:$K$36,MATCH(B1782,PEMAGANG!$C$3:$C$36,0))),1,0),0)</f>
        <v>1</v>
      </c>
      <c r="W1782" s="71">
        <f t="shared" si="251"/>
        <v>1</v>
      </c>
    </row>
    <row r="1783" spans="1:23" x14ac:dyDescent="0.2">
      <c r="A1783" s="71" t="s">
        <v>246</v>
      </c>
      <c r="B1783" s="71" t="s">
        <v>247</v>
      </c>
      <c r="C1783" s="71" t="s">
        <v>187</v>
      </c>
      <c r="D1783" s="71" t="s">
        <v>248</v>
      </c>
      <c r="E1783" s="71" t="s">
        <v>586</v>
      </c>
      <c r="F1783" s="71" t="s">
        <v>300</v>
      </c>
      <c r="G1783" s="88">
        <v>46269.687939814801</v>
      </c>
      <c r="H1783" s="89">
        <v>46269</v>
      </c>
      <c r="I1783" s="71" t="s">
        <v>330</v>
      </c>
      <c r="J1783" s="71">
        <v>0</v>
      </c>
      <c r="K1783" s="71" t="s">
        <v>302</v>
      </c>
      <c r="L1783" s="71">
        <f t="shared" si="243"/>
        <v>9</v>
      </c>
      <c r="M1783" s="71" t="str">
        <f>IFERROR(INDEX(KALENDER!$D$3:$D$132,MATCH(H1783,KALENDER!$A$3:$A$132,0)),"Di luar periode")</f>
        <v>Hari Kerja</v>
      </c>
      <c r="N1783" s="71">
        <f t="shared" si="244"/>
        <v>0</v>
      </c>
      <c r="O1783" s="71">
        <f t="shared" si="245"/>
        <v>1</v>
      </c>
      <c r="P1783" s="71">
        <f t="shared" si="246"/>
        <v>0</v>
      </c>
      <c r="Q1783" s="71">
        <f t="shared" si="247"/>
        <v>0</v>
      </c>
      <c r="R1783" s="71">
        <f t="shared" si="248"/>
        <v>0</v>
      </c>
      <c r="S1783" s="71">
        <f t="shared" si="249"/>
        <v>0</v>
      </c>
      <c r="T1783" s="71">
        <f t="shared" si="250"/>
        <v>0</v>
      </c>
      <c r="U1783" s="71">
        <f>IF(AND(N1783=1,V1783=1),IF(COUNTIFS(AKTIVITAS!$B$2:$B$3052,B1783,AKTIVITAS!$E$2:$E$3052,H1783)&gt;0,1,0),0)</f>
        <v>0</v>
      </c>
      <c r="V1783" s="71">
        <f>IFERROR(IF(AND(H1783&gt;=INDEX(PEMAGANG!$J$3:$J$36,MATCH(B1783,PEMAGANG!$C$3:$C$36,0)),H1783&lt;=INDEX(PEMAGANG!$K$3:$K$36,MATCH(B1783,PEMAGANG!$C$3:$C$36,0))),1,0),0)</f>
        <v>1</v>
      </c>
      <c r="W1783" s="71">
        <f t="shared" si="251"/>
        <v>0</v>
      </c>
    </row>
    <row r="1784" spans="1:23" x14ac:dyDescent="0.2">
      <c r="A1784" s="71" t="s">
        <v>246</v>
      </c>
      <c r="B1784" s="71" t="s">
        <v>247</v>
      </c>
      <c r="C1784" s="71" t="s">
        <v>187</v>
      </c>
      <c r="D1784" s="71" t="s">
        <v>248</v>
      </c>
      <c r="E1784" s="71" t="s">
        <v>586</v>
      </c>
      <c r="F1784" s="71" t="s">
        <v>298</v>
      </c>
      <c r="G1784" s="88">
        <v>46272.307187500002</v>
      </c>
      <c r="H1784" s="89">
        <v>46272</v>
      </c>
      <c r="I1784" s="71" t="s">
        <v>313</v>
      </c>
      <c r="J1784" s="71">
        <v>-38</v>
      </c>
      <c r="K1784" s="71" t="s">
        <v>302</v>
      </c>
      <c r="L1784" s="71">
        <f t="shared" si="243"/>
        <v>9</v>
      </c>
      <c r="M1784" s="71" t="str">
        <f>IFERROR(INDEX(KALENDER!$D$3:$D$132,MATCH(H1784,KALENDER!$A$3:$A$132,0)),"Di luar periode")</f>
        <v>Hari Kerja</v>
      </c>
      <c r="N1784" s="71">
        <f t="shared" si="244"/>
        <v>1</v>
      </c>
      <c r="O1784" s="71">
        <f t="shared" si="245"/>
        <v>1</v>
      </c>
      <c r="P1784" s="71">
        <f t="shared" si="246"/>
        <v>1</v>
      </c>
      <c r="Q1784" s="71">
        <f t="shared" si="247"/>
        <v>0</v>
      </c>
      <c r="R1784" s="71">
        <f t="shared" si="248"/>
        <v>0</v>
      </c>
      <c r="S1784" s="71">
        <f t="shared" si="249"/>
        <v>0</v>
      </c>
      <c r="T1784" s="71">
        <f t="shared" si="250"/>
        <v>0</v>
      </c>
      <c r="U1784" s="71">
        <f>IF(AND(N1784=1,V1784=1),IF(COUNTIFS(AKTIVITAS!$B$2:$B$3052,B1784,AKTIVITAS!$E$2:$E$3052,H1784)&gt;0,1,0),0)</f>
        <v>1</v>
      </c>
      <c r="V1784" s="71">
        <f>IFERROR(IF(AND(H1784&gt;=INDEX(PEMAGANG!$J$3:$J$36,MATCH(B1784,PEMAGANG!$C$3:$C$36,0)),H1784&lt;=INDEX(PEMAGANG!$K$3:$K$36,MATCH(B1784,PEMAGANG!$C$3:$C$36,0))),1,0),0)</f>
        <v>1</v>
      </c>
      <c r="W1784" s="71">
        <f t="shared" si="251"/>
        <v>1</v>
      </c>
    </row>
    <row r="1785" spans="1:23" x14ac:dyDescent="0.2">
      <c r="A1785" s="71" t="s">
        <v>246</v>
      </c>
      <c r="B1785" s="71" t="s">
        <v>247</v>
      </c>
      <c r="C1785" s="71" t="s">
        <v>187</v>
      </c>
      <c r="D1785" s="71" t="s">
        <v>248</v>
      </c>
      <c r="E1785" s="71" t="s">
        <v>586</v>
      </c>
      <c r="F1785" s="71" t="s">
        <v>300</v>
      </c>
      <c r="G1785" s="88">
        <v>46272.688159722202</v>
      </c>
      <c r="H1785" s="89">
        <v>46272</v>
      </c>
      <c r="I1785" s="71" t="s">
        <v>330</v>
      </c>
      <c r="J1785" s="71">
        <v>0</v>
      </c>
      <c r="K1785" s="71" t="s">
        <v>302</v>
      </c>
      <c r="L1785" s="71">
        <f t="shared" si="243"/>
        <v>9</v>
      </c>
      <c r="M1785" s="71" t="str">
        <f>IFERROR(INDEX(KALENDER!$D$3:$D$132,MATCH(H1785,KALENDER!$A$3:$A$132,0)),"Di luar periode")</f>
        <v>Hari Kerja</v>
      </c>
      <c r="N1785" s="71">
        <f t="shared" si="244"/>
        <v>0</v>
      </c>
      <c r="O1785" s="71">
        <f t="shared" si="245"/>
        <v>1</v>
      </c>
      <c r="P1785" s="71">
        <f t="shared" si="246"/>
        <v>0</v>
      </c>
      <c r="Q1785" s="71">
        <f t="shared" si="247"/>
        <v>0</v>
      </c>
      <c r="R1785" s="71">
        <f t="shared" si="248"/>
        <v>0</v>
      </c>
      <c r="S1785" s="71">
        <f t="shared" si="249"/>
        <v>0</v>
      </c>
      <c r="T1785" s="71">
        <f t="shared" si="250"/>
        <v>0</v>
      </c>
      <c r="U1785" s="71">
        <f>IF(AND(N1785=1,V1785=1),IF(COUNTIFS(AKTIVITAS!$B$2:$B$3052,B1785,AKTIVITAS!$E$2:$E$3052,H1785)&gt;0,1,0),0)</f>
        <v>0</v>
      </c>
      <c r="V1785" s="71">
        <f>IFERROR(IF(AND(H1785&gt;=INDEX(PEMAGANG!$J$3:$J$36,MATCH(B1785,PEMAGANG!$C$3:$C$36,0)),H1785&lt;=INDEX(PEMAGANG!$K$3:$K$36,MATCH(B1785,PEMAGANG!$C$3:$C$36,0))),1,0),0)</f>
        <v>1</v>
      </c>
      <c r="W1785" s="71">
        <f t="shared" si="251"/>
        <v>0</v>
      </c>
    </row>
    <row r="1786" spans="1:23" x14ac:dyDescent="0.2">
      <c r="A1786" s="71" t="s">
        <v>246</v>
      </c>
      <c r="B1786" s="71" t="s">
        <v>247</v>
      </c>
      <c r="C1786" s="71" t="s">
        <v>187</v>
      </c>
      <c r="D1786" s="71" t="s">
        <v>248</v>
      </c>
      <c r="E1786" s="71" t="s">
        <v>586</v>
      </c>
      <c r="F1786" s="71" t="s">
        <v>298</v>
      </c>
      <c r="G1786" s="88">
        <v>46273.308981481503</v>
      </c>
      <c r="H1786" s="89">
        <v>46273</v>
      </c>
      <c r="I1786" s="71" t="s">
        <v>303</v>
      </c>
      <c r="J1786" s="71">
        <v>-36</v>
      </c>
      <c r="K1786" s="71" t="s">
        <v>302</v>
      </c>
      <c r="L1786" s="71">
        <f t="shared" si="243"/>
        <v>9</v>
      </c>
      <c r="M1786" s="71" t="str">
        <f>IFERROR(INDEX(KALENDER!$D$3:$D$132,MATCH(H1786,KALENDER!$A$3:$A$132,0)),"Di luar periode")</f>
        <v>Hari Kerja</v>
      </c>
      <c r="N1786" s="71">
        <f t="shared" si="244"/>
        <v>1</v>
      </c>
      <c r="O1786" s="71">
        <f t="shared" si="245"/>
        <v>1</v>
      </c>
      <c r="P1786" s="71">
        <f t="shared" si="246"/>
        <v>1</v>
      </c>
      <c r="Q1786" s="71">
        <f t="shared" si="247"/>
        <v>0</v>
      </c>
      <c r="R1786" s="71">
        <f t="shared" si="248"/>
        <v>0</v>
      </c>
      <c r="S1786" s="71">
        <f t="shared" si="249"/>
        <v>0</v>
      </c>
      <c r="T1786" s="71">
        <f t="shared" si="250"/>
        <v>0</v>
      </c>
      <c r="U1786" s="71">
        <f>IF(AND(N1786=1,V1786=1),IF(COUNTIFS(AKTIVITAS!$B$2:$B$3052,B1786,AKTIVITAS!$E$2:$E$3052,H1786)&gt;0,1,0),0)</f>
        <v>1</v>
      </c>
      <c r="V1786" s="71">
        <f>IFERROR(IF(AND(H1786&gt;=INDEX(PEMAGANG!$J$3:$J$36,MATCH(B1786,PEMAGANG!$C$3:$C$36,0)),H1786&lt;=INDEX(PEMAGANG!$K$3:$K$36,MATCH(B1786,PEMAGANG!$C$3:$C$36,0))),1,0),0)</f>
        <v>1</v>
      </c>
      <c r="W1786" s="71">
        <f t="shared" si="251"/>
        <v>1</v>
      </c>
    </row>
    <row r="1787" spans="1:23" x14ac:dyDescent="0.2">
      <c r="A1787" s="71" t="s">
        <v>246</v>
      </c>
      <c r="B1787" s="71" t="s">
        <v>247</v>
      </c>
      <c r="C1787" s="71" t="s">
        <v>187</v>
      </c>
      <c r="D1787" s="71" t="s">
        <v>248</v>
      </c>
      <c r="E1787" s="71" t="s">
        <v>586</v>
      </c>
      <c r="F1787" s="71" t="s">
        <v>300</v>
      </c>
      <c r="G1787" s="88">
        <v>46273.6882638889</v>
      </c>
      <c r="H1787" s="89">
        <v>46273</v>
      </c>
      <c r="I1787" s="71" t="s">
        <v>336</v>
      </c>
      <c r="J1787" s="71">
        <v>0</v>
      </c>
      <c r="K1787" s="71" t="s">
        <v>302</v>
      </c>
      <c r="L1787" s="71">
        <f t="shared" si="243"/>
        <v>9</v>
      </c>
      <c r="M1787" s="71" t="str">
        <f>IFERROR(INDEX(KALENDER!$D$3:$D$132,MATCH(H1787,KALENDER!$A$3:$A$132,0)),"Di luar periode")</f>
        <v>Hari Kerja</v>
      </c>
      <c r="N1787" s="71">
        <f t="shared" si="244"/>
        <v>0</v>
      </c>
      <c r="O1787" s="71">
        <f t="shared" si="245"/>
        <v>1</v>
      </c>
      <c r="P1787" s="71">
        <f t="shared" si="246"/>
        <v>0</v>
      </c>
      <c r="Q1787" s="71">
        <f t="shared" si="247"/>
        <v>0</v>
      </c>
      <c r="R1787" s="71">
        <f t="shared" si="248"/>
        <v>0</v>
      </c>
      <c r="S1787" s="71">
        <f t="shared" si="249"/>
        <v>0</v>
      </c>
      <c r="T1787" s="71">
        <f t="shared" si="250"/>
        <v>0</v>
      </c>
      <c r="U1787" s="71">
        <f>IF(AND(N1787=1,V1787=1),IF(COUNTIFS(AKTIVITAS!$B$2:$B$3052,B1787,AKTIVITAS!$E$2:$E$3052,H1787)&gt;0,1,0),0)</f>
        <v>0</v>
      </c>
      <c r="V1787" s="71">
        <f>IFERROR(IF(AND(H1787&gt;=INDEX(PEMAGANG!$J$3:$J$36,MATCH(B1787,PEMAGANG!$C$3:$C$36,0)),H1787&lt;=INDEX(PEMAGANG!$K$3:$K$36,MATCH(B1787,PEMAGANG!$C$3:$C$36,0))),1,0),0)</f>
        <v>1</v>
      </c>
      <c r="W1787" s="71">
        <f t="shared" si="251"/>
        <v>0</v>
      </c>
    </row>
    <row r="1788" spans="1:23" x14ac:dyDescent="0.2">
      <c r="A1788" s="71" t="s">
        <v>246</v>
      </c>
      <c r="B1788" s="71" t="s">
        <v>247</v>
      </c>
      <c r="C1788" s="71" t="s">
        <v>187</v>
      </c>
      <c r="D1788" s="71" t="s">
        <v>248</v>
      </c>
      <c r="E1788" s="71" t="s">
        <v>586</v>
      </c>
      <c r="F1788" s="71" t="s">
        <v>298</v>
      </c>
      <c r="G1788" s="88">
        <v>46274.307129629597</v>
      </c>
      <c r="H1788" s="89">
        <v>46274</v>
      </c>
      <c r="I1788" s="71" t="s">
        <v>313</v>
      </c>
      <c r="J1788" s="71">
        <v>-38</v>
      </c>
      <c r="K1788" s="71" t="s">
        <v>302</v>
      </c>
      <c r="L1788" s="71">
        <f t="shared" si="243"/>
        <v>9</v>
      </c>
      <c r="M1788" s="71" t="str">
        <f>IFERROR(INDEX(KALENDER!$D$3:$D$132,MATCH(H1788,KALENDER!$A$3:$A$132,0)),"Di luar periode")</f>
        <v>Hari Kerja</v>
      </c>
      <c r="N1788" s="71">
        <f t="shared" si="244"/>
        <v>1</v>
      </c>
      <c r="O1788" s="71">
        <f t="shared" si="245"/>
        <v>1</v>
      </c>
      <c r="P1788" s="71">
        <f t="shared" si="246"/>
        <v>1</v>
      </c>
      <c r="Q1788" s="71">
        <f t="shared" si="247"/>
        <v>0</v>
      </c>
      <c r="R1788" s="71">
        <f t="shared" si="248"/>
        <v>0</v>
      </c>
      <c r="S1788" s="71">
        <f t="shared" si="249"/>
        <v>0</v>
      </c>
      <c r="T1788" s="71">
        <f t="shared" si="250"/>
        <v>0</v>
      </c>
      <c r="U1788" s="71">
        <f>IF(AND(N1788=1,V1788=1),IF(COUNTIFS(AKTIVITAS!$B$2:$B$3052,B1788,AKTIVITAS!$E$2:$E$3052,H1788)&gt;0,1,0),0)</f>
        <v>1</v>
      </c>
      <c r="V1788" s="71">
        <f>IFERROR(IF(AND(H1788&gt;=INDEX(PEMAGANG!$J$3:$J$36,MATCH(B1788,PEMAGANG!$C$3:$C$36,0)),H1788&lt;=INDEX(PEMAGANG!$K$3:$K$36,MATCH(B1788,PEMAGANG!$C$3:$C$36,0))),1,0),0)</f>
        <v>1</v>
      </c>
      <c r="W1788" s="71">
        <f t="shared" si="251"/>
        <v>1</v>
      </c>
    </row>
    <row r="1789" spans="1:23" x14ac:dyDescent="0.2">
      <c r="A1789" s="71" t="s">
        <v>246</v>
      </c>
      <c r="B1789" s="71" t="s">
        <v>247</v>
      </c>
      <c r="C1789" s="71" t="s">
        <v>187</v>
      </c>
      <c r="D1789" s="71" t="s">
        <v>248</v>
      </c>
      <c r="E1789" s="71" t="s">
        <v>586</v>
      </c>
      <c r="F1789" s="71" t="s">
        <v>300</v>
      </c>
      <c r="G1789" s="88">
        <v>46274.688321759299</v>
      </c>
      <c r="H1789" s="89">
        <v>46274</v>
      </c>
      <c r="I1789" s="71" t="s">
        <v>336</v>
      </c>
      <c r="J1789" s="71">
        <v>0</v>
      </c>
      <c r="K1789" s="71" t="s">
        <v>302</v>
      </c>
      <c r="L1789" s="71">
        <f t="shared" si="243"/>
        <v>9</v>
      </c>
      <c r="M1789" s="71" t="str">
        <f>IFERROR(INDEX(KALENDER!$D$3:$D$132,MATCH(H1789,KALENDER!$A$3:$A$132,0)),"Di luar periode")</f>
        <v>Hari Kerja</v>
      </c>
      <c r="N1789" s="71">
        <f t="shared" si="244"/>
        <v>0</v>
      </c>
      <c r="O1789" s="71">
        <f t="shared" si="245"/>
        <v>1</v>
      </c>
      <c r="P1789" s="71">
        <f t="shared" si="246"/>
        <v>0</v>
      </c>
      <c r="Q1789" s="71">
        <f t="shared" si="247"/>
        <v>0</v>
      </c>
      <c r="R1789" s="71">
        <f t="shared" si="248"/>
        <v>0</v>
      </c>
      <c r="S1789" s="71">
        <f t="shared" si="249"/>
        <v>0</v>
      </c>
      <c r="T1789" s="71">
        <f t="shared" si="250"/>
        <v>0</v>
      </c>
      <c r="U1789" s="71">
        <f>IF(AND(N1789=1,V1789=1),IF(COUNTIFS(AKTIVITAS!$B$2:$B$3052,B1789,AKTIVITAS!$E$2:$E$3052,H1789)&gt;0,1,0),0)</f>
        <v>0</v>
      </c>
      <c r="V1789" s="71">
        <f>IFERROR(IF(AND(H1789&gt;=INDEX(PEMAGANG!$J$3:$J$36,MATCH(B1789,PEMAGANG!$C$3:$C$36,0)),H1789&lt;=INDEX(PEMAGANG!$K$3:$K$36,MATCH(B1789,PEMAGANG!$C$3:$C$36,0))),1,0),0)</f>
        <v>1</v>
      </c>
      <c r="W1789" s="71">
        <f t="shared" si="251"/>
        <v>0</v>
      </c>
    </row>
    <row r="1790" spans="1:23" x14ac:dyDescent="0.2">
      <c r="A1790" s="71" t="s">
        <v>246</v>
      </c>
      <c r="B1790" s="71" t="s">
        <v>247</v>
      </c>
      <c r="C1790" s="71" t="s">
        <v>187</v>
      </c>
      <c r="D1790" s="71" t="s">
        <v>248</v>
      </c>
      <c r="E1790" s="71" t="s">
        <v>586</v>
      </c>
      <c r="F1790" s="71" t="s">
        <v>298</v>
      </c>
      <c r="G1790" s="88">
        <v>46275.307083333297</v>
      </c>
      <c r="H1790" s="89">
        <v>46275</v>
      </c>
      <c r="I1790" s="71" t="s">
        <v>313</v>
      </c>
      <c r="J1790" s="71">
        <v>-38</v>
      </c>
      <c r="K1790" s="71" t="s">
        <v>302</v>
      </c>
      <c r="L1790" s="71">
        <f t="shared" si="243"/>
        <v>9</v>
      </c>
      <c r="M1790" s="71" t="str">
        <f>IFERROR(INDEX(KALENDER!$D$3:$D$132,MATCH(H1790,KALENDER!$A$3:$A$132,0)),"Di luar periode")</f>
        <v>Hari Kerja</v>
      </c>
      <c r="N1790" s="71">
        <f t="shared" si="244"/>
        <v>1</v>
      </c>
      <c r="O1790" s="71">
        <f t="shared" si="245"/>
        <v>1</v>
      </c>
      <c r="P1790" s="71">
        <f t="shared" si="246"/>
        <v>1</v>
      </c>
      <c r="Q1790" s="71">
        <f t="shared" si="247"/>
        <v>0</v>
      </c>
      <c r="R1790" s="71">
        <f t="shared" si="248"/>
        <v>0</v>
      </c>
      <c r="S1790" s="71">
        <f t="shared" si="249"/>
        <v>0</v>
      </c>
      <c r="T1790" s="71">
        <f t="shared" si="250"/>
        <v>0</v>
      </c>
      <c r="U1790" s="71">
        <f>IF(AND(N1790=1,V1790=1),IF(COUNTIFS(AKTIVITAS!$B$2:$B$3052,B1790,AKTIVITAS!$E$2:$E$3052,H1790)&gt;0,1,0),0)</f>
        <v>1</v>
      </c>
      <c r="V1790" s="71">
        <f>IFERROR(IF(AND(H1790&gt;=INDEX(PEMAGANG!$J$3:$J$36,MATCH(B1790,PEMAGANG!$C$3:$C$36,0)),H1790&lt;=INDEX(PEMAGANG!$K$3:$K$36,MATCH(B1790,PEMAGANG!$C$3:$C$36,0))),1,0),0)</f>
        <v>1</v>
      </c>
      <c r="W1790" s="71">
        <f t="shared" si="251"/>
        <v>1</v>
      </c>
    </row>
    <row r="1791" spans="1:23" x14ac:dyDescent="0.2">
      <c r="A1791" s="71" t="s">
        <v>246</v>
      </c>
      <c r="B1791" s="71" t="s">
        <v>247</v>
      </c>
      <c r="C1791" s="71" t="s">
        <v>187</v>
      </c>
      <c r="D1791" s="71" t="s">
        <v>248</v>
      </c>
      <c r="E1791" s="71" t="s">
        <v>586</v>
      </c>
      <c r="F1791" s="71" t="s">
        <v>298</v>
      </c>
      <c r="G1791" s="88">
        <v>46275.307083333297</v>
      </c>
      <c r="H1791" s="89">
        <v>46275</v>
      </c>
      <c r="I1791" s="71" t="s">
        <v>313</v>
      </c>
      <c r="J1791" s="71">
        <v>-8.0000000000000497</v>
      </c>
      <c r="K1791" s="71" t="s">
        <v>302</v>
      </c>
      <c r="L1791" s="71">
        <f t="shared" si="243"/>
        <v>9</v>
      </c>
      <c r="M1791" s="71" t="str">
        <f>IFERROR(INDEX(KALENDER!$D$3:$D$132,MATCH(H1791,KALENDER!$A$3:$A$132,0)),"Di luar periode")</f>
        <v>Hari Kerja</v>
      </c>
      <c r="N1791" s="71">
        <f t="shared" si="244"/>
        <v>0</v>
      </c>
      <c r="O1791" s="71">
        <f t="shared" si="245"/>
        <v>2</v>
      </c>
      <c r="P1791" s="71">
        <f t="shared" si="246"/>
        <v>0</v>
      </c>
      <c r="Q1791" s="71">
        <f t="shared" si="247"/>
        <v>0</v>
      </c>
      <c r="R1791" s="71">
        <f t="shared" si="248"/>
        <v>0</v>
      </c>
      <c r="S1791" s="71">
        <f t="shared" si="249"/>
        <v>0</v>
      </c>
      <c r="T1791" s="71">
        <f t="shared" si="250"/>
        <v>0</v>
      </c>
      <c r="U1791" s="71">
        <f>IF(AND(N1791=1,V1791=1),IF(COUNTIFS(AKTIVITAS!$B$2:$B$3052,B1791,AKTIVITAS!$E$2:$E$3052,H1791)&gt;0,1,0),0)</f>
        <v>0</v>
      </c>
      <c r="V1791" s="71">
        <f>IFERROR(IF(AND(H1791&gt;=INDEX(PEMAGANG!$J$3:$J$36,MATCH(B1791,PEMAGANG!$C$3:$C$36,0)),H1791&lt;=INDEX(PEMAGANG!$K$3:$K$36,MATCH(B1791,PEMAGANG!$C$3:$C$36,0))),1,0),0)</f>
        <v>1</v>
      </c>
      <c r="W1791" s="71">
        <f t="shared" si="251"/>
        <v>0</v>
      </c>
    </row>
    <row r="1792" spans="1:23" x14ac:dyDescent="0.2">
      <c r="A1792" s="71" t="s">
        <v>246</v>
      </c>
      <c r="B1792" s="71" t="s">
        <v>247</v>
      </c>
      <c r="C1792" s="71" t="s">
        <v>187</v>
      </c>
      <c r="D1792" s="71" t="s">
        <v>248</v>
      </c>
      <c r="E1792" s="71" t="s">
        <v>586</v>
      </c>
      <c r="F1792" s="71" t="s">
        <v>300</v>
      </c>
      <c r="G1792" s="88">
        <v>46275.688194444498</v>
      </c>
      <c r="H1792" s="89">
        <v>46275</v>
      </c>
      <c r="I1792" s="71" t="s">
        <v>336</v>
      </c>
      <c r="J1792" s="71">
        <v>0</v>
      </c>
      <c r="K1792" s="71" t="s">
        <v>302</v>
      </c>
      <c r="L1792" s="71">
        <f t="shared" si="243"/>
        <v>9</v>
      </c>
      <c r="M1792" s="71" t="str">
        <f>IFERROR(INDEX(KALENDER!$D$3:$D$132,MATCH(H1792,KALENDER!$A$3:$A$132,0)),"Di luar periode")</f>
        <v>Hari Kerja</v>
      </c>
      <c r="N1792" s="71">
        <f t="shared" si="244"/>
        <v>0</v>
      </c>
      <c r="O1792" s="71">
        <f t="shared" si="245"/>
        <v>2</v>
      </c>
      <c r="P1792" s="71">
        <f t="shared" si="246"/>
        <v>0</v>
      </c>
      <c r="Q1792" s="71">
        <f t="shared" si="247"/>
        <v>0</v>
      </c>
      <c r="R1792" s="71">
        <f t="shared" si="248"/>
        <v>0</v>
      </c>
      <c r="S1792" s="71">
        <f t="shared" si="249"/>
        <v>0</v>
      </c>
      <c r="T1792" s="71">
        <f t="shared" si="250"/>
        <v>0</v>
      </c>
      <c r="U1792" s="71">
        <f>IF(AND(N1792=1,V1792=1),IF(COUNTIFS(AKTIVITAS!$B$2:$B$3052,B1792,AKTIVITAS!$E$2:$E$3052,H1792)&gt;0,1,0),0)</f>
        <v>0</v>
      </c>
      <c r="V1792" s="71">
        <f>IFERROR(IF(AND(H1792&gt;=INDEX(PEMAGANG!$J$3:$J$36,MATCH(B1792,PEMAGANG!$C$3:$C$36,0)),H1792&lt;=INDEX(PEMAGANG!$K$3:$K$36,MATCH(B1792,PEMAGANG!$C$3:$C$36,0))),1,0),0)</f>
        <v>1</v>
      </c>
      <c r="W1792" s="71">
        <f t="shared" si="251"/>
        <v>0</v>
      </c>
    </row>
    <row r="1793" spans="1:23" x14ac:dyDescent="0.2">
      <c r="A1793" s="71" t="s">
        <v>246</v>
      </c>
      <c r="B1793" s="71" t="s">
        <v>247</v>
      </c>
      <c r="C1793" s="71" t="s">
        <v>187</v>
      </c>
      <c r="D1793" s="71" t="s">
        <v>248</v>
      </c>
      <c r="E1793" s="71" t="s">
        <v>586</v>
      </c>
      <c r="F1793" s="71" t="s">
        <v>298</v>
      </c>
      <c r="G1793" s="88">
        <v>46276.308576388903</v>
      </c>
      <c r="H1793" s="89">
        <v>46276</v>
      </c>
      <c r="I1793" s="71" t="s">
        <v>303</v>
      </c>
      <c r="J1793" s="71">
        <v>-5.9999999999999796</v>
      </c>
      <c r="K1793" s="71" t="s">
        <v>302</v>
      </c>
      <c r="L1793" s="71">
        <f t="shared" si="243"/>
        <v>9</v>
      </c>
      <c r="M1793" s="71" t="str">
        <f>IFERROR(INDEX(KALENDER!$D$3:$D$132,MATCH(H1793,KALENDER!$A$3:$A$132,0)),"Di luar periode")</f>
        <v>Hari Kerja</v>
      </c>
      <c r="N1793" s="71">
        <f t="shared" si="244"/>
        <v>1</v>
      </c>
      <c r="O1793" s="71">
        <f t="shared" si="245"/>
        <v>1</v>
      </c>
      <c r="P1793" s="71">
        <f t="shared" si="246"/>
        <v>1</v>
      </c>
      <c r="Q1793" s="71">
        <f t="shared" si="247"/>
        <v>0</v>
      </c>
      <c r="R1793" s="71">
        <f t="shared" si="248"/>
        <v>0</v>
      </c>
      <c r="S1793" s="71">
        <f t="shared" si="249"/>
        <v>0</v>
      </c>
      <c r="T1793" s="71">
        <f t="shared" si="250"/>
        <v>1</v>
      </c>
      <c r="U1793" s="71">
        <f>IF(AND(N1793=1,V1793=1),IF(COUNTIFS(AKTIVITAS!$B$2:$B$3052,B1793,AKTIVITAS!$E$2:$E$3052,H1793)&gt;0,1,0),0)</f>
        <v>1</v>
      </c>
      <c r="V1793" s="71">
        <f>IFERROR(IF(AND(H1793&gt;=INDEX(PEMAGANG!$J$3:$J$36,MATCH(B1793,PEMAGANG!$C$3:$C$36,0)),H1793&lt;=INDEX(PEMAGANG!$K$3:$K$36,MATCH(B1793,PEMAGANG!$C$3:$C$36,0))),1,0),0)</f>
        <v>1</v>
      </c>
      <c r="W1793" s="71">
        <f t="shared" si="251"/>
        <v>1</v>
      </c>
    </row>
    <row r="1794" spans="1:23" x14ac:dyDescent="0.2">
      <c r="A1794" s="71" t="s">
        <v>246</v>
      </c>
      <c r="B1794" s="71" t="s">
        <v>247</v>
      </c>
      <c r="C1794" s="71" t="s">
        <v>187</v>
      </c>
      <c r="D1794" s="71" t="s">
        <v>248</v>
      </c>
      <c r="E1794" s="71" t="s">
        <v>586</v>
      </c>
      <c r="F1794" s="71" t="s">
        <v>298</v>
      </c>
      <c r="G1794" s="88">
        <v>46279.308657407397</v>
      </c>
      <c r="H1794" s="89">
        <v>46279</v>
      </c>
      <c r="I1794" s="71" t="s">
        <v>303</v>
      </c>
      <c r="J1794" s="71">
        <v>-5.9999999999999796</v>
      </c>
      <c r="K1794" s="71" t="s">
        <v>302</v>
      </c>
      <c r="L1794" s="71">
        <f t="shared" ref="L1794:L1857" si="252">MONTH(H1794)</f>
        <v>9</v>
      </c>
      <c r="M1794" s="71" t="str">
        <f>IFERROR(INDEX(KALENDER!$D$3:$D$132,MATCH(H1794,KALENDER!$A$3:$A$132,0)),"Di luar periode")</f>
        <v>Hari Kerja</v>
      </c>
      <c r="N1794" s="71">
        <f t="shared" ref="N1794:N1857" si="253">IF(AND(B1794=B1793,H1794=H1793),0,1)</f>
        <v>1</v>
      </c>
      <c r="O1794" s="71">
        <f t="shared" ref="O1794:O1857" si="254">IF(N1794=1,0,O1793)+IF(F1794="MASUK",1,0)</f>
        <v>1</v>
      </c>
      <c r="P1794" s="71">
        <f t="shared" ref="P1794:P1857" si="255">IF(AND(N1794=1,M1794="Hari Kerja",V1794=1),1,0)</f>
        <v>1</v>
      </c>
      <c r="Q1794" s="71">
        <f t="shared" ref="Q1794:Q1857" si="256">IF(AND(N1794=1,OR(M1794&lt;&gt;"Hari Kerja",V1794=0)),1,0)</f>
        <v>0</v>
      </c>
      <c r="R1794" s="71">
        <f t="shared" ref="R1794:R1857" si="257">IF(AND(F1794="MASUK",O1794=1,N(J1794)&gt;0,V1794=1),1,0)</f>
        <v>0</v>
      </c>
      <c r="S1794" s="71">
        <f t="shared" ref="S1794:S1857" si="258">R1794*N(J1794)</f>
        <v>0</v>
      </c>
      <c r="T1794" s="71">
        <f t="shared" ref="T1794:T1857" si="259">IF(AND(N1794=1,V1794=1),IF(AND(COUNTIFS($B$2:$B$4094,B1794,$H$2:$H$4094,H1794,$F$2:$F$4094,"MASUK")&gt;0,COUNTIFS($B$2:$B$4094,B1794,$H$2:$H$4094,H1794,$F$2:$F$4094,"PULANG")=0),1,0),0)</f>
        <v>0</v>
      </c>
      <c r="U1794" s="71">
        <f>IF(AND(N1794=1,V1794=1),IF(COUNTIFS(AKTIVITAS!$B$2:$B$3052,B1794,AKTIVITAS!$E$2:$E$3052,H1794)&gt;0,1,0),0)</f>
        <v>1</v>
      </c>
      <c r="V1794" s="71">
        <f>IFERROR(IF(AND(H1794&gt;=INDEX(PEMAGANG!$J$3:$J$36,MATCH(B1794,PEMAGANG!$C$3:$C$36,0)),H1794&lt;=INDEX(PEMAGANG!$K$3:$K$36,MATCH(B1794,PEMAGANG!$C$3:$C$36,0))),1,0),0)</f>
        <v>1</v>
      </c>
      <c r="W1794" s="71">
        <f t="shared" ref="W1794:W1857" si="260">N1794*V1794</f>
        <v>1</v>
      </c>
    </row>
    <row r="1795" spans="1:23" x14ac:dyDescent="0.2">
      <c r="A1795" s="71" t="s">
        <v>246</v>
      </c>
      <c r="B1795" s="71" t="s">
        <v>247</v>
      </c>
      <c r="C1795" s="71" t="s">
        <v>187</v>
      </c>
      <c r="D1795" s="71" t="s">
        <v>248</v>
      </c>
      <c r="E1795" s="71" t="s">
        <v>586</v>
      </c>
      <c r="F1795" s="71" t="s">
        <v>300</v>
      </c>
      <c r="G1795" s="88">
        <v>46279.691979166702</v>
      </c>
      <c r="H1795" s="89">
        <v>46279</v>
      </c>
      <c r="I1795" s="71" t="s">
        <v>344</v>
      </c>
      <c r="J1795" s="71">
        <v>0</v>
      </c>
      <c r="K1795" s="71" t="s">
        <v>302</v>
      </c>
      <c r="L1795" s="71">
        <f t="shared" si="252"/>
        <v>9</v>
      </c>
      <c r="M1795" s="71" t="str">
        <f>IFERROR(INDEX(KALENDER!$D$3:$D$132,MATCH(H1795,KALENDER!$A$3:$A$132,0)),"Di luar periode")</f>
        <v>Hari Kerja</v>
      </c>
      <c r="N1795" s="71">
        <f t="shared" si="253"/>
        <v>0</v>
      </c>
      <c r="O1795" s="71">
        <f t="shared" si="254"/>
        <v>1</v>
      </c>
      <c r="P1795" s="71">
        <f t="shared" si="255"/>
        <v>0</v>
      </c>
      <c r="Q1795" s="71">
        <f t="shared" si="256"/>
        <v>0</v>
      </c>
      <c r="R1795" s="71">
        <f t="shared" si="257"/>
        <v>0</v>
      </c>
      <c r="S1795" s="71">
        <f t="shared" si="258"/>
        <v>0</v>
      </c>
      <c r="T1795" s="71">
        <f t="shared" si="259"/>
        <v>0</v>
      </c>
      <c r="U1795" s="71">
        <f>IF(AND(N1795=1,V1795=1),IF(COUNTIFS(AKTIVITAS!$B$2:$B$3052,B1795,AKTIVITAS!$E$2:$E$3052,H1795)&gt;0,1,0),0)</f>
        <v>0</v>
      </c>
      <c r="V1795" s="71">
        <f>IFERROR(IF(AND(H1795&gt;=INDEX(PEMAGANG!$J$3:$J$36,MATCH(B1795,PEMAGANG!$C$3:$C$36,0)),H1795&lt;=INDEX(PEMAGANG!$K$3:$K$36,MATCH(B1795,PEMAGANG!$C$3:$C$36,0))),1,0),0)</f>
        <v>1</v>
      </c>
      <c r="W1795" s="71">
        <f t="shared" si="260"/>
        <v>0</v>
      </c>
    </row>
    <row r="1796" spans="1:23" x14ac:dyDescent="0.2">
      <c r="A1796" s="71" t="s">
        <v>246</v>
      </c>
      <c r="B1796" s="71" t="s">
        <v>247</v>
      </c>
      <c r="C1796" s="71" t="s">
        <v>187</v>
      </c>
      <c r="D1796" s="71" t="s">
        <v>248</v>
      </c>
      <c r="E1796" s="71" t="s">
        <v>586</v>
      </c>
      <c r="F1796" s="71" t="s">
        <v>298</v>
      </c>
      <c r="G1796" s="88">
        <v>46280.300439814797</v>
      </c>
      <c r="H1796" s="89">
        <v>46280</v>
      </c>
      <c r="I1796" s="71" t="s">
        <v>478</v>
      </c>
      <c r="J1796" s="71">
        <v>-18</v>
      </c>
      <c r="K1796" s="71" t="s">
        <v>302</v>
      </c>
      <c r="L1796" s="71">
        <f t="shared" si="252"/>
        <v>9</v>
      </c>
      <c r="M1796" s="71" t="str">
        <f>IFERROR(INDEX(KALENDER!$D$3:$D$132,MATCH(H1796,KALENDER!$A$3:$A$132,0)),"Di luar periode")</f>
        <v>Hari Kerja</v>
      </c>
      <c r="N1796" s="71">
        <f t="shared" si="253"/>
        <v>1</v>
      </c>
      <c r="O1796" s="71">
        <f t="shared" si="254"/>
        <v>1</v>
      </c>
      <c r="P1796" s="71">
        <f t="shared" si="255"/>
        <v>1</v>
      </c>
      <c r="Q1796" s="71">
        <f t="shared" si="256"/>
        <v>0</v>
      </c>
      <c r="R1796" s="71">
        <f t="shared" si="257"/>
        <v>0</v>
      </c>
      <c r="S1796" s="71">
        <f t="shared" si="258"/>
        <v>0</v>
      </c>
      <c r="T1796" s="71">
        <f t="shared" si="259"/>
        <v>0</v>
      </c>
      <c r="U1796" s="71">
        <f>IF(AND(N1796=1,V1796=1),IF(COUNTIFS(AKTIVITAS!$B$2:$B$3052,B1796,AKTIVITAS!$E$2:$E$3052,H1796)&gt;0,1,0),0)</f>
        <v>1</v>
      </c>
      <c r="V1796" s="71">
        <f>IFERROR(IF(AND(H1796&gt;=INDEX(PEMAGANG!$J$3:$J$36,MATCH(B1796,PEMAGANG!$C$3:$C$36,0)),H1796&lt;=INDEX(PEMAGANG!$K$3:$K$36,MATCH(B1796,PEMAGANG!$C$3:$C$36,0))),1,0),0)</f>
        <v>1</v>
      </c>
      <c r="W1796" s="71">
        <f t="shared" si="260"/>
        <v>1</v>
      </c>
    </row>
    <row r="1797" spans="1:23" x14ac:dyDescent="0.2">
      <c r="A1797" s="71" t="s">
        <v>246</v>
      </c>
      <c r="B1797" s="71" t="s">
        <v>247</v>
      </c>
      <c r="C1797" s="71" t="s">
        <v>187</v>
      </c>
      <c r="D1797" s="71" t="s">
        <v>248</v>
      </c>
      <c r="E1797" s="71" t="s">
        <v>586</v>
      </c>
      <c r="F1797" s="71" t="s">
        <v>300</v>
      </c>
      <c r="G1797" s="88">
        <v>46280.688472222202</v>
      </c>
      <c r="H1797" s="89">
        <v>46280</v>
      </c>
      <c r="I1797" s="71" t="s">
        <v>336</v>
      </c>
      <c r="J1797" s="71">
        <v>0</v>
      </c>
      <c r="K1797" s="71" t="s">
        <v>302</v>
      </c>
      <c r="L1797" s="71">
        <f t="shared" si="252"/>
        <v>9</v>
      </c>
      <c r="M1797" s="71" t="str">
        <f>IFERROR(INDEX(KALENDER!$D$3:$D$132,MATCH(H1797,KALENDER!$A$3:$A$132,0)),"Di luar periode")</f>
        <v>Hari Kerja</v>
      </c>
      <c r="N1797" s="71">
        <f t="shared" si="253"/>
        <v>0</v>
      </c>
      <c r="O1797" s="71">
        <f t="shared" si="254"/>
        <v>1</v>
      </c>
      <c r="P1797" s="71">
        <f t="shared" si="255"/>
        <v>0</v>
      </c>
      <c r="Q1797" s="71">
        <f t="shared" si="256"/>
        <v>0</v>
      </c>
      <c r="R1797" s="71">
        <f t="shared" si="257"/>
        <v>0</v>
      </c>
      <c r="S1797" s="71">
        <f t="shared" si="258"/>
        <v>0</v>
      </c>
      <c r="T1797" s="71">
        <f t="shared" si="259"/>
        <v>0</v>
      </c>
      <c r="U1797" s="71">
        <f>IF(AND(N1797=1,V1797=1),IF(COUNTIFS(AKTIVITAS!$B$2:$B$3052,B1797,AKTIVITAS!$E$2:$E$3052,H1797)&gt;0,1,0),0)</f>
        <v>0</v>
      </c>
      <c r="V1797" s="71">
        <f>IFERROR(IF(AND(H1797&gt;=INDEX(PEMAGANG!$J$3:$J$36,MATCH(B1797,PEMAGANG!$C$3:$C$36,0)),H1797&lt;=INDEX(PEMAGANG!$K$3:$K$36,MATCH(B1797,PEMAGANG!$C$3:$C$36,0))),1,0),0)</f>
        <v>1</v>
      </c>
      <c r="W1797" s="71">
        <f t="shared" si="260"/>
        <v>0</v>
      </c>
    </row>
    <row r="1798" spans="1:23" x14ac:dyDescent="0.2">
      <c r="A1798" s="71" t="s">
        <v>246</v>
      </c>
      <c r="B1798" s="71" t="s">
        <v>247</v>
      </c>
      <c r="C1798" s="71" t="s">
        <v>187</v>
      </c>
      <c r="D1798" s="71" t="s">
        <v>248</v>
      </c>
      <c r="E1798" s="71" t="s">
        <v>586</v>
      </c>
      <c r="F1798" s="71" t="s">
        <v>298</v>
      </c>
      <c r="G1798" s="88">
        <v>46281.307824074102</v>
      </c>
      <c r="H1798" s="89">
        <v>46281</v>
      </c>
      <c r="I1798" s="71" t="s">
        <v>311</v>
      </c>
      <c r="J1798" s="71">
        <v>-6.9999999999999796</v>
      </c>
      <c r="K1798" s="71" t="s">
        <v>302</v>
      </c>
      <c r="L1798" s="71">
        <f t="shared" si="252"/>
        <v>9</v>
      </c>
      <c r="M1798" s="71" t="str">
        <f>IFERROR(INDEX(KALENDER!$D$3:$D$132,MATCH(H1798,KALENDER!$A$3:$A$132,0)),"Di luar periode")</f>
        <v>Hari Kerja</v>
      </c>
      <c r="N1798" s="71">
        <f t="shared" si="253"/>
        <v>1</v>
      </c>
      <c r="O1798" s="71">
        <f t="shared" si="254"/>
        <v>1</v>
      </c>
      <c r="P1798" s="71">
        <f t="shared" si="255"/>
        <v>1</v>
      </c>
      <c r="Q1798" s="71">
        <f t="shared" si="256"/>
        <v>0</v>
      </c>
      <c r="R1798" s="71">
        <f t="shared" si="257"/>
        <v>0</v>
      </c>
      <c r="S1798" s="71">
        <f t="shared" si="258"/>
        <v>0</v>
      </c>
      <c r="T1798" s="71">
        <f t="shared" si="259"/>
        <v>0</v>
      </c>
      <c r="U1798" s="71">
        <f>IF(AND(N1798=1,V1798=1),IF(COUNTIFS(AKTIVITAS!$B$2:$B$3052,B1798,AKTIVITAS!$E$2:$E$3052,H1798)&gt;0,1,0),0)</f>
        <v>1</v>
      </c>
      <c r="V1798" s="71">
        <f>IFERROR(IF(AND(H1798&gt;=INDEX(PEMAGANG!$J$3:$J$36,MATCH(B1798,PEMAGANG!$C$3:$C$36,0)),H1798&lt;=INDEX(PEMAGANG!$K$3:$K$36,MATCH(B1798,PEMAGANG!$C$3:$C$36,0))),1,0),0)</f>
        <v>1</v>
      </c>
      <c r="W1798" s="71">
        <f t="shared" si="260"/>
        <v>1</v>
      </c>
    </row>
    <row r="1799" spans="1:23" x14ac:dyDescent="0.2">
      <c r="A1799" s="71" t="s">
        <v>246</v>
      </c>
      <c r="B1799" s="71" t="s">
        <v>247</v>
      </c>
      <c r="C1799" s="71" t="s">
        <v>187</v>
      </c>
      <c r="D1799" s="71" t="s">
        <v>248</v>
      </c>
      <c r="E1799" s="71" t="s">
        <v>586</v>
      </c>
      <c r="F1799" s="71" t="s">
        <v>300</v>
      </c>
      <c r="G1799" s="88">
        <v>46281.695127314801</v>
      </c>
      <c r="H1799" s="89">
        <v>46281</v>
      </c>
      <c r="I1799" s="71" t="s">
        <v>343</v>
      </c>
      <c r="J1799" s="71">
        <v>0</v>
      </c>
      <c r="K1799" s="71" t="s">
        <v>302</v>
      </c>
      <c r="L1799" s="71">
        <f t="shared" si="252"/>
        <v>9</v>
      </c>
      <c r="M1799" s="71" t="str">
        <f>IFERROR(INDEX(KALENDER!$D$3:$D$132,MATCH(H1799,KALENDER!$A$3:$A$132,0)),"Di luar periode")</f>
        <v>Hari Kerja</v>
      </c>
      <c r="N1799" s="71">
        <f t="shared" si="253"/>
        <v>0</v>
      </c>
      <c r="O1799" s="71">
        <f t="shared" si="254"/>
        <v>1</v>
      </c>
      <c r="P1799" s="71">
        <f t="shared" si="255"/>
        <v>0</v>
      </c>
      <c r="Q1799" s="71">
        <f t="shared" si="256"/>
        <v>0</v>
      </c>
      <c r="R1799" s="71">
        <f t="shared" si="257"/>
        <v>0</v>
      </c>
      <c r="S1799" s="71">
        <f t="shared" si="258"/>
        <v>0</v>
      </c>
      <c r="T1799" s="71">
        <f t="shared" si="259"/>
        <v>0</v>
      </c>
      <c r="U1799" s="71">
        <f>IF(AND(N1799=1,V1799=1),IF(COUNTIFS(AKTIVITAS!$B$2:$B$3052,B1799,AKTIVITAS!$E$2:$E$3052,H1799)&gt;0,1,0),0)</f>
        <v>0</v>
      </c>
      <c r="V1799" s="71">
        <f>IFERROR(IF(AND(H1799&gt;=INDEX(PEMAGANG!$J$3:$J$36,MATCH(B1799,PEMAGANG!$C$3:$C$36,0)),H1799&lt;=INDEX(PEMAGANG!$K$3:$K$36,MATCH(B1799,PEMAGANG!$C$3:$C$36,0))),1,0),0)</f>
        <v>1</v>
      </c>
      <c r="W1799" s="71">
        <f t="shared" si="260"/>
        <v>0</v>
      </c>
    </row>
    <row r="1800" spans="1:23" x14ac:dyDescent="0.2">
      <c r="A1800" s="71" t="s">
        <v>246</v>
      </c>
      <c r="B1800" s="71" t="s">
        <v>247</v>
      </c>
      <c r="C1800" s="71" t="s">
        <v>187</v>
      </c>
      <c r="D1800" s="71" t="s">
        <v>248</v>
      </c>
      <c r="E1800" s="71" t="s">
        <v>586</v>
      </c>
      <c r="F1800" s="71" t="s">
        <v>298</v>
      </c>
      <c r="G1800" s="88">
        <v>46282.308958333299</v>
      </c>
      <c r="H1800" s="89">
        <v>46282</v>
      </c>
      <c r="I1800" s="71" t="s">
        <v>303</v>
      </c>
      <c r="J1800" s="71">
        <v>-5.9999999999999796</v>
      </c>
      <c r="K1800" s="71" t="s">
        <v>302</v>
      </c>
      <c r="L1800" s="71">
        <f t="shared" si="252"/>
        <v>9</v>
      </c>
      <c r="M1800" s="71" t="str">
        <f>IFERROR(INDEX(KALENDER!$D$3:$D$132,MATCH(H1800,KALENDER!$A$3:$A$132,0)),"Di luar periode")</f>
        <v>Hari Kerja</v>
      </c>
      <c r="N1800" s="71">
        <f t="shared" si="253"/>
        <v>1</v>
      </c>
      <c r="O1800" s="71">
        <f t="shared" si="254"/>
        <v>1</v>
      </c>
      <c r="P1800" s="71">
        <f t="shared" si="255"/>
        <v>1</v>
      </c>
      <c r="Q1800" s="71">
        <f t="shared" si="256"/>
        <v>0</v>
      </c>
      <c r="R1800" s="71">
        <f t="shared" si="257"/>
        <v>0</v>
      </c>
      <c r="S1800" s="71">
        <f t="shared" si="258"/>
        <v>0</v>
      </c>
      <c r="T1800" s="71">
        <f t="shared" si="259"/>
        <v>0</v>
      </c>
      <c r="U1800" s="71">
        <f>IF(AND(N1800=1,V1800=1),IF(COUNTIFS(AKTIVITAS!$B$2:$B$3052,B1800,AKTIVITAS!$E$2:$E$3052,H1800)&gt;0,1,0),0)</f>
        <v>1</v>
      </c>
      <c r="V1800" s="71">
        <f>IFERROR(IF(AND(H1800&gt;=INDEX(PEMAGANG!$J$3:$J$36,MATCH(B1800,PEMAGANG!$C$3:$C$36,0)),H1800&lt;=INDEX(PEMAGANG!$K$3:$K$36,MATCH(B1800,PEMAGANG!$C$3:$C$36,0))),1,0),0)</f>
        <v>1</v>
      </c>
      <c r="W1800" s="71">
        <f t="shared" si="260"/>
        <v>1</v>
      </c>
    </row>
    <row r="1801" spans="1:23" x14ac:dyDescent="0.2">
      <c r="A1801" s="71" t="s">
        <v>246</v>
      </c>
      <c r="B1801" s="71" t="s">
        <v>247</v>
      </c>
      <c r="C1801" s="71" t="s">
        <v>187</v>
      </c>
      <c r="D1801" s="71" t="s">
        <v>248</v>
      </c>
      <c r="E1801" s="71" t="s">
        <v>586</v>
      </c>
      <c r="F1801" s="71" t="s">
        <v>300</v>
      </c>
      <c r="G1801" s="88">
        <v>46282.688067129602</v>
      </c>
      <c r="H1801" s="89">
        <v>46282</v>
      </c>
      <c r="I1801" s="71" t="s">
        <v>330</v>
      </c>
      <c r="J1801" s="71">
        <v>0</v>
      </c>
      <c r="K1801" s="71" t="s">
        <v>302</v>
      </c>
      <c r="L1801" s="71">
        <f t="shared" si="252"/>
        <v>9</v>
      </c>
      <c r="M1801" s="71" t="str">
        <f>IFERROR(INDEX(KALENDER!$D$3:$D$132,MATCH(H1801,KALENDER!$A$3:$A$132,0)),"Di luar periode")</f>
        <v>Hari Kerja</v>
      </c>
      <c r="N1801" s="71">
        <f t="shared" si="253"/>
        <v>0</v>
      </c>
      <c r="O1801" s="71">
        <f t="shared" si="254"/>
        <v>1</v>
      </c>
      <c r="P1801" s="71">
        <f t="shared" si="255"/>
        <v>0</v>
      </c>
      <c r="Q1801" s="71">
        <f t="shared" si="256"/>
        <v>0</v>
      </c>
      <c r="R1801" s="71">
        <f t="shared" si="257"/>
        <v>0</v>
      </c>
      <c r="S1801" s="71">
        <f t="shared" si="258"/>
        <v>0</v>
      </c>
      <c r="T1801" s="71">
        <f t="shared" si="259"/>
        <v>0</v>
      </c>
      <c r="U1801" s="71">
        <f>IF(AND(N1801=1,V1801=1),IF(COUNTIFS(AKTIVITAS!$B$2:$B$3052,B1801,AKTIVITAS!$E$2:$E$3052,H1801)&gt;0,1,0),0)</f>
        <v>0</v>
      </c>
      <c r="V1801" s="71">
        <f>IFERROR(IF(AND(H1801&gt;=INDEX(PEMAGANG!$J$3:$J$36,MATCH(B1801,PEMAGANG!$C$3:$C$36,0)),H1801&lt;=INDEX(PEMAGANG!$K$3:$K$36,MATCH(B1801,PEMAGANG!$C$3:$C$36,0))),1,0),0)</f>
        <v>1</v>
      </c>
      <c r="W1801" s="71">
        <f t="shared" si="260"/>
        <v>0</v>
      </c>
    </row>
    <row r="1802" spans="1:23" x14ac:dyDescent="0.2">
      <c r="A1802" s="71" t="s">
        <v>246</v>
      </c>
      <c r="B1802" s="71" t="s">
        <v>247</v>
      </c>
      <c r="C1802" s="71" t="s">
        <v>187</v>
      </c>
      <c r="D1802" s="71" t="s">
        <v>248</v>
      </c>
      <c r="E1802" s="71" t="s">
        <v>586</v>
      </c>
      <c r="F1802" s="71" t="s">
        <v>298</v>
      </c>
      <c r="G1802" s="88">
        <v>46283.306134259299</v>
      </c>
      <c r="H1802" s="89">
        <v>46283</v>
      </c>
      <c r="I1802" s="71" t="s">
        <v>329</v>
      </c>
      <c r="J1802" s="71">
        <v>-10</v>
      </c>
      <c r="K1802" s="71" t="s">
        <v>302</v>
      </c>
      <c r="L1802" s="71">
        <f t="shared" si="252"/>
        <v>9</v>
      </c>
      <c r="M1802" s="71" t="str">
        <f>IFERROR(INDEX(KALENDER!$D$3:$D$132,MATCH(H1802,KALENDER!$A$3:$A$132,0)),"Di luar periode")</f>
        <v>Hari Kerja</v>
      </c>
      <c r="N1802" s="71">
        <f t="shared" si="253"/>
        <v>1</v>
      </c>
      <c r="O1802" s="71">
        <f t="shared" si="254"/>
        <v>1</v>
      </c>
      <c r="P1802" s="71">
        <f t="shared" si="255"/>
        <v>1</v>
      </c>
      <c r="Q1802" s="71">
        <f t="shared" si="256"/>
        <v>0</v>
      </c>
      <c r="R1802" s="71">
        <f t="shared" si="257"/>
        <v>0</v>
      </c>
      <c r="S1802" s="71">
        <f t="shared" si="258"/>
        <v>0</v>
      </c>
      <c r="T1802" s="71">
        <f t="shared" si="259"/>
        <v>1</v>
      </c>
      <c r="U1802" s="71">
        <f>IF(AND(N1802=1,V1802=1),IF(COUNTIFS(AKTIVITAS!$B$2:$B$3052,B1802,AKTIVITAS!$E$2:$E$3052,H1802)&gt;0,1,0),0)</f>
        <v>1</v>
      </c>
      <c r="V1802" s="71">
        <f>IFERROR(IF(AND(H1802&gt;=INDEX(PEMAGANG!$J$3:$J$36,MATCH(B1802,PEMAGANG!$C$3:$C$36,0)),H1802&lt;=INDEX(PEMAGANG!$K$3:$K$36,MATCH(B1802,PEMAGANG!$C$3:$C$36,0))),1,0),0)</f>
        <v>1</v>
      </c>
      <c r="W1802" s="71">
        <f t="shared" si="260"/>
        <v>1</v>
      </c>
    </row>
    <row r="1803" spans="1:23" x14ac:dyDescent="0.2">
      <c r="A1803" s="71" t="s">
        <v>246</v>
      </c>
      <c r="B1803" s="71" t="s">
        <v>247</v>
      </c>
      <c r="C1803" s="71" t="s">
        <v>187</v>
      </c>
      <c r="D1803" s="71" t="s">
        <v>248</v>
      </c>
      <c r="E1803" s="71" t="s">
        <v>586</v>
      </c>
      <c r="F1803" s="71" t="s">
        <v>298</v>
      </c>
      <c r="G1803" s="88">
        <v>46286.307199074101</v>
      </c>
      <c r="H1803" s="89">
        <v>46286</v>
      </c>
      <c r="I1803" s="71" t="s">
        <v>313</v>
      </c>
      <c r="J1803" s="71">
        <v>-8.0000000000000497</v>
      </c>
      <c r="K1803" s="71" t="s">
        <v>302</v>
      </c>
      <c r="L1803" s="71">
        <f t="shared" si="252"/>
        <v>9</v>
      </c>
      <c r="M1803" s="71" t="str">
        <f>IFERROR(INDEX(KALENDER!$D$3:$D$132,MATCH(H1803,KALENDER!$A$3:$A$132,0)),"Di luar periode")</f>
        <v>Hari Kerja</v>
      </c>
      <c r="N1803" s="71">
        <f t="shared" si="253"/>
        <v>1</v>
      </c>
      <c r="O1803" s="71">
        <f t="shared" si="254"/>
        <v>1</v>
      </c>
      <c r="P1803" s="71">
        <f t="shared" si="255"/>
        <v>1</v>
      </c>
      <c r="Q1803" s="71">
        <f t="shared" si="256"/>
        <v>0</v>
      </c>
      <c r="R1803" s="71">
        <f t="shared" si="257"/>
        <v>0</v>
      </c>
      <c r="S1803" s="71">
        <f t="shared" si="258"/>
        <v>0</v>
      </c>
      <c r="T1803" s="71">
        <f t="shared" si="259"/>
        <v>0</v>
      </c>
      <c r="U1803" s="71">
        <f>IF(AND(N1803=1,V1803=1),IF(COUNTIFS(AKTIVITAS!$B$2:$B$3052,B1803,AKTIVITAS!$E$2:$E$3052,H1803)&gt;0,1,0),0)</f>
        <v>1</v>
      </c>
      <c r="V1803" s="71">
        <f>IFERROR(IF(AND(H1803&gt;=INDEX(PEMAGANG!$J$3:$J$36,MATCH(B1803,PEMAGANG!$C$3:$C$36,0)),H1803&lt;=INDEX(PEMAGANG!$K$3:$K$36,MATCH(B1803,PEMAGANG!$C$3:$C$36,0))),1,0),0)</f>
        <v>1</v>
      </c>
      <c r="W1803" s="71">
        <f t="shared" si="260"/>
        <v>1</v>
      </c>
    </row>
    <row r="1804" spans="1:23" x14ac:dyDescent="0.2">
      <c r="A1804" s="71" t="s">
        <v>246</v>
      </c>
      <c r="B1804" s="71" t="s">
        <v>247</v>
      </c>
      <c r="C1804" s="71" t="s">
        <v>187</v>
      </c>
      <c r="D1804" s="71" t="s">
        <v>248</v>
      </c>
      <c r="E1804" s="71" t="s">
        <v>586</v>
      </c>
      <c r="F1804" s="71" t="s">
        <v>300</v>
      </c>
      <c r="G1804" s="88">
        <v>46286.688611111102</v>
      </c>
      <c r="H1804" s="89">
        <v>46286</v>
      </c>
      <c r="I1804" s="71" t="s">
        <v>336</v>
      </c>
      <c r="J1804" s="71">
        <v>0</v>
      </c>
      <c r="K1804" s="71" t="s">
        <v>302</v>
      </c>
      <c r="L1804" s="71">
        <f t="shared" si="252"/>
        <v>9</v>
      </c>
      <c r="M1804" s="71" t="str">
        <f>IFERROR(INDEX(KALENDER!$D$3:$D$132,MATCH(H1804,KALENDER!$A$3:$A$132,0)),"Di luar periode")</f>
        <v>Hari Kerja</v>
      </c>
      <c r="N1804" s="71">
        <f t="shared" si="253"/>
        <v>0</v>
      </c>
      <c r="O1804" s="71">
        <f t="shared" si="254"/>
        <v>1</v>
      </c>
      <c r="P1804" s="71">
        <f t="shared" si="255"/>
        <v>0</v>
      </c>
      <c r="Q1804" s="71">
        <f t="shared" si="256"/>
        <v>0</v>
      </c>
      <c r="R1804" s="71">
        <f t="shared" si="257"/>
        <v>0</v>
      </c>
      <c r="S1804" s="71">
        <f t="shared" si="258"/>
        <v>0</v>
      </c>
      <c r="T1804" s="71">
        <f t="shared" si="259"/>
        <v>0</v>
      </c>
      <c r="U1804" s="71">
        <f>IF(AND(N1804=1,V1804=1),IF(COUNTIFS(AKTIVITAS!$B$2:$B$3052,B1804,AKTIVITAS!$E$2:$E$3052,H1804)&gt;0,1,0),0)</f>
        <v>0</v>
      </c>
      <c r="V1804" s="71">
        <f>IFERROR(IF(AND(H1804&gt;=INDEX(PEMAGANG!$J$3:$J$36,MATCH(B1804,PEMAGANG!$C$3:$C$36,0)),H1804&lt;=INDEX(PEMAGANG!$K$3:$K$36,MATCH(B1804,PEMAGANG!$C$3:$C$36,0))),1,0),0)</f>
        <v>1</v>
      </c>
      <c r="W1804" s="71">
        <f t="shared" si="260"/>
        <v>0</v>
      </c>
    </row>
    <row r="1805" spans="1:23" x14ac:dyDescent="0.2">
      <c r="A1805" s="71" t="s">
        <v>246</v>
      </c>
      <c r="B1805" s="71" t="s">
        <v>247</v>
      </c>
      <c r="C1805" s="71" t="s">
        <v>187</v>
      </c>
      <c r="D1805" s="71" t="s">
        <v>248</v>
      </c>
      <c r="E1805" s="71" t="s">
        <v>586</v>
      </c>
      <c r="F1805" s="71" t="s">
        <v>298</v>
      </c>
      <c r="G1805" s="88">
        <v>46287.308344907397</v>
      </c>
      <c r="H1805" s="89">
        <v>46287</v>
      </c>
      <c r="I1805" s="71" t="s">
        <v>303</v>
      </c>
      <c r="J1805" s="71">
        <v>-5.9999999999999796</v>
      </c>
      <c r="K1805" s="71" t="s">
        <v>302</v>
      </c>
      <c r="L1805" s="71">
        <f t="shared" si="252"/>
        <v>9</v>
      </c>
      <c r="M1805" s="71" t="str">
        <f>IFERROR(INDEX(KALENDER!$D$3:$D$132,MATCH(H1805,KALENDER!$A$3:$A$132,0)),"Di luar periode")</f>
        <v>Hari Kerja</v>
      </c>
      <c r="N1805" s="71">
        <f t="shared" si="253"/>
        <v>1</v>
      </c>
      <c r="O1805" s="71">
        <f t="shared" si="254"/>
        <v>1</v>
      </c>
      <c r="P1805" s="71">
        <f t="shared" si="255"/>
        <v>1</v>
      </c>
      <c r="Q1805" s="71">
        <f t="shared" si="256"/>
        <v>0</v>
      </c>
      <c r="R1805" s="71">
        <f t="shared" si="257"/>
        <v>0</v>
      </c>
      <c r="S1805" s="71">
        <f t="shared" si="258"/>
        <v>0</v>
      </c>
      <c r="T1805" s="71">
        <f t="shared" si="259"/>
        <v>0</v>
      </c>
      <c r="U1805" s="71">
        <f>IF(AND(N1805=1,V1805=1),IF(COUNTIFS(AKTIVITAS!$B$2:$B$3052,B1805,AKTIVITAS!$E$2:$E$3052,H1805)&gt;0,1,0),0)</f>
        <v>1</v>
      </c>
      <c r="V1805" s="71">
        <f>IFERROR(IF(AND(H1805&gt;=INDEX(PEMAGANG!$J$3:$J$36,MATCH(B1805,PEMAGANG!$C$3:$C$36,0)),H1805&lt;=INDEX(PEMAGANG!$K$3:$K$36,MATCH(B1805,PEMAGANG!$C$3:$C$36,0))),1,0),0)</f>
        <v>1</v>
      </c>
      <c r="W1805" s="71">
        <f t="shared" si="260"/>
        <v>1</v>
      </c>
    </row>
    <row r="1806" spans="1:23" x14ac:dyDescent="0.2">
      <c r="A1806" s="71" t="s">
        <v>246</v>
      </c>
      <c r="B1806" s="71" t="s">
        <v>247</v>
      </c>
      <c r="C1806" s="71" t="s">
        <v>187</v>
      </c>
      <c r="D1806" s="71" t="s">
        <v>248</v>
      </c>
      <c r="E1806" s="71" t="s">
        <v>586</v>
      </c>
      <c r="F1806" s="71" t="s">
        <v>300</v>
      </c>
      <c r="G1806" s="88">
        <v>46287.699976851902</v>
      </c>
      <c r="H1806" s="89">
        <v>46287</v>
      </c>
      <c r="I1806" s="71" t="s">
        <v>337</v>
      </c>
      <c r="J1806" s="71">
        <v>0</v>
      </c>
      <c r="K1806" s="71" t="s">
        <v>302</v>
      </c>
      <c r="L1806" s="71">
        <f t="shared" si="252"/>
        <v>9</v>
      </c>
      <c r="M1806" s="71" t="str">
        <f>IFERROR(INDEX(KALENDER!$D$3:$D$132,MATCH(H1806,KALENDER!$A$3:$A$132,0)),"Di luar periode")</f>
        <v>Hari Kerja</v>
      </c>
      <c r="N1806" s="71">
        <f t="shared" si="253"/>
        <v>0</v>
      </c>
      <c r="O1806" s="71">
        <f t="shared" si="254"/>
        <v>1</v>
      </c>
      <c r="P1806" s="71">
        <f t="shared" si="255"/>
        <v>0</v>
      </c>
      <c r="Q1806" s="71">
        <f t="shared" si="256"/>
        <v>0</v>
      </c>
      <c r="R1806" s="71">
        <f t="shared" si="257"/>
        <v>0</v>
      </c>
      <c r="S1806" s="71">
        <f t="shared" si="258"/>
        <v>0</v>
      </c>
      <c r="T1806" s="71">
        <f t="shared" si="259"/>
        <v>0</v>
      </c>
      <c r="U1806" s="71">
        <f>IF(AND(N1806=1,V1806=1),IF(COUNTIFS(AKTIVITAS!$B$2:$B$3052,B1806,AKTIVITAS!$E$2:$E$3052,H1806)&gt;0,1,0),0)</f>
        <v>0</v>
      </c>
      <c r="V1806" s="71">
        <f>IFERROR(IF(AND(H1806&gt;=INDEX(PEMAGANG!$J$3:$J$36,MATCH(B1806,PEMAGANG!$C$3:$C$36,0)),H1806&lt;=INDEX(PEMAGANG!$K$3:$K$36,MATCH(B1806,PEMAGANG!$C$3:$C$36,0))),1,0),0)</f>
        <v>1</v>
      </c>
      <c r="W1806" s="71">
        <f t="shared" si="260"/>
        <v>0</v>
      </c>
    </row>
    <row r="1807" spans="1:23" x14ac:dyDescent="0.2">
      <c r="A1807" s="71" t="s">
        <v>246</v>
      </c>
      <c r="B1807" s="71" t="s">
        <v>247</v>
      </c>
      <c r="C1807" s="71" t="s">
        <v>187</v>
      </c>
      <c r="D1807" s="71" t="s">
        <v>248</v>
      </c>
      <c r="E1807" s="71" t="s">
        <v>586</v>
      </c>
      <c r="F1807" s="71" t="s">
        <v>298</v>
      </c>
      <c r="G1807" s="88">
        <v>46288.304756944497</v>
      </c>
      <c r="H1807" s="89">
        <v>46288</v>
      </c>
      <c r="I1807" s="71" t="s">
        <v>326</v>
      </c>
      <c r="J1807" s="71">
        <v>-12</v>
      </c>
      <c r="K1807" s="71" t="s">
        <v>302</v>
      </c>
      <c r="L1807" s="71">
        <f t="shared" si="252"/>
        <v>9</v>
      </c>
      <c r="M1807" s="71" t="str">
        <f>IFERROR(INDEX(KALENDER!$D$3:$D$132,MATCH(H1807,KALENDER!$A$3:$A$132,0)),"Di luar periode")</f>
        <v>Hari Kerja</v>
      </c>
      <c r="N1807" s="71">
        <f t="shared" si="253"/>
        <v>1</v>
      </c>
      <c r="O1807" s="71">
        <f t="shared" si="254"/>
        <v>1</v>
      </c>
      <c r="P1807" s="71">
        <f t="shared" si="255"/>
        <v>1</v>
      </c>
      <c r="Q1807" s="71">
        <f t="shared" si="256"/>
        <v>0</v>
      </c>
      <c r="R1807" s="71">
        <f t="shared" si="257"/>
        <v>0</v>
      </c>
      <c r="S1807" s="71">
        <f t="shared" si="258"/>
        <v>0</v>
      </c>
      <c r="T1807" s="71">
        <f t="shared" si="259"/>
        <v>0</v>
      </c>
      <c r="U1807" s="71">
        <f>IF(AND(N1807=1,V1807=1),IF(COUNTIFS(AKTIVITAS!$B$2:$B$3052,B1807,AKTIVITAS!$E$2:$E$3052,H1807)&gt;0,1,0),0)</f>
        <v>1</v>
      </c>
      <c r="V1807" s="71">
        <f>IFERROR(IF(AND(H1807&gt;=INDEX(PEMAGANG!$J$3:$J$36,MATCH(B1807,PEMAGANG!$C$3:$C$36,0)),H1807&lt;=INDEX(PEMAGANG!$K$3:$K$36,MATCH(B1807,PEMAGANG!$C$3:$C$36,0))),1,0),0)</f>
        <v>1</v>
      </c>
      <c r="W1807" s="71">
        <f t="shared" si="260"/>
        <v>1</v>
      </c>
    </row>
    <row r="1808" spans="1:23" x14ac:dyDescent="0.2">
      <c r="A1808" s="71" t="s">
        <v>246</v>
      </c>
      <c r="B1808" s="71" t="s">
        <v>247</v>
      </c>
      <c r="C1808" s="71" t="s">
        <v>187</v>
      </c>
      <c r="D1808" s="71" t="s">
        <v>248</v>
      </c>
      <c r="E1808" s="71" t="s">
        <v>586</v>
      </c>
      <c r="F1808" s="71" t="s">
        <v>298</v>
      </c>
      <c r="G1808" s="88">
        <v>46288.305659722202</v>
      </c>
      <c r="H1808" s="89">
        <v>46288</v>
      </c>
      <c r="I1808" s="71" t="s">
        <v>329</v>
      </c>
      <c r="J1808" s="71">
        <v>-10</v>
      </c>
      <c r="K1808" s="71" t="s">
        <v>302</v>
      </c>
      <c r="L1808" s="71">
        <f t="shared" si="252"/>
        <v>9</v>
      </c>
      <c r="M1808" s="71" t="str">
        <f>IFERROR(INDEX(KALENDER!$D$3:$D$132,MATCH(H1808,KALENDER!$A$3:$A$132,0)),"Di luar periode")</f>
        <v>Hari Kerja</v>
      </c>
      <c r="N1808" s="71">
        <f t="shared" si="253"/>
        <v>0</v>
      </c>
      <c r="O1808" s="71">
        <f t="shared" si="254"/>
        <v>2</v>
      </c>
      <c r="P1808" s="71">
        <f t="shared" si="255"/>
        <v>0</v>
      </c>
      <c r="Q1808" s="71">
        <f t="shared" si="256"/>
        <v>0</v>
      </c>
      <c r="R1808" s="71">
        <f t="shared" si="257"/>
        <v>0</v>
      </c>
      <c r="S1808" s="71">
        <f t="shared" si="258"/>
        <v>0</v>
      </c>
      <c r="T1808" s="71">
        <f t="shared" si="259"/>
        <v>0</v>
      </c>
      <c r="U1808" s="71">
        <f>IF(AND(N1808=1,V1808=1),IF(COUNTIFS(AKTIVITAS!$B$2:$B$3052,B1808,AKTIVITAS!$E$2:$E$3052,H1808)&gt;0,1,0),0)</f>
        <v>0</v>
      </c>
      <c r="V1808" s="71">
        <f>IFERROR(IF(AND(H1808&gt;=INDEX(PEMAGANG!$J$3:$J$36,MATCH(B1808,PEMAGANG!$C$3:$C$36,0)),H1808&lt;=INDEX(PEMAGANG!$K$3:$K$36,MATCH(B1808,PEMAGANG!$C$3:$C$36,0))),1,0),0)</f>
        <v>1</v>
      </c>
      <c r="W1808" s="71">
        <f t="shared" si="260"/>
        <v>0</v>
      </c>
    </row>
    <row r="1809" spans="1:23" x14ac:dyDescent="0.2">
      <c r="A1809" s="71" t="s">
        <v>246</v>
      </c>
      <c r="B1809" s="71" t="s">
        <v>247</v>
      </c>
      <c r="C1809" s="71" t="s">
        <v>187</v>
      </c>
      <c r="D1809" s="71" t="s">
        <v>248</v>
      </c>
      <c r="E1809" s="71" t="s">
        <v>586</v>
      </c>
      <c r="F1809" s="71" t="s">
        <v>300</v>
      </c>
      <c r="G1809" s="88">
        <v>46288.692106481503</v>
      </c>
      <c r="H1809" s="89">
        <v>46288</v>
      </c>
      <c r="I1809" s="71" t="s">
        <v>344</v>
      </c>
      <c r="J1809" s="71">
        <v>0</v>
      </c>
      <c r="K1809" s="71" t="s">
        <v>302</v>
      </c>
      <c r="L1809" s="71">
        <f t="shared" si="252"/>
        <v>9</v>
      </c>
      <c r="M1809" s="71" t="str">
        <f>IFERROR(INDEX(KALENDER!$D$3:$D$132,MATCH(H1809,KALENDER!$A$3:$A$132,0)),"Di luar periode")</f>
        <v>Hari Kerja</v>
      </c>
      <c r="N1809" s="71">
        <f t="shared" si="253"/>
        <v>0</v>
      </c>
      <c r="O1809" s="71">
        <f t="shared" si="254"/>
        <v>2</v>
      </c>
      <c r="P1809" s="71">
        <f t="shared" si="255"/>
        <v>0</v>
      </c>
      <c r="Q1809" s="71">
        <f t="shared" si="256"/>
        <v>0</v>
      </c>
      <c r="R1809" s="71">
        <f t="shared" si="257"/>
        <v>0</v>
      </c>
      <c r="S1809" s="71">
        <f t="shared" si="258"/>
        <v>0</v>
      </c>
      <c r="T1809" s="71">
        <f t="shared" si="259"/>
        <v>0</v>
      </c>
      <c r="U1809" s="71">
        <f>IF(AND(N1809=1,V1809=1),IF(COUNTIFS(AKTIVITAS!$B$2:$B$3052,B1809,AKTIVITAS!$E$2:$E$3052,H1809)&gt;0,1,0),0)</f>
        <v>0</v>
      </c>
      <c r="V1809" s="71">
        <f>IFERROR(IF(AND(H1809&gt;=INDEX(PEMAGANG!$J$3:$J$36,MATCH(B1809,PEMAGANG!$C$3:$C$36,0)),H1809&lt;=INDEX(PEMAGANG!$K$3:$K$36,MATCH(B1809,PEMAGANG!$C$3:$C$36,0))),1,0),0)</f>
        <v>1</v>
      </c>
      <c r="W1809" s="71">
        <f t="shared" si="260"/>
        <v>0</v>
      </c>
    </row>
    <row r="1810" spans="1:23" x14ac:dyDescent="0.2">
      <c r="A1810" s="71" t="s">
        <v>246</v>
      </c>
      <c r="B1810" s="71" t="s">
        <v>247</v>
      </c>
      <c r="C1810" s="71" t="s">
        <v>187</v>
      </c>
      <c r="D1810" s="71" t="s">
        <v>248</v>
      </c>
      <c r="E1810" s="71" t="s">
        <v>586</v>
      </c>
      <c r="F1810" s="71" t="s">
        <v>298</v>
      </c>
      <c r="G1810" s="88">
        <v>46289.308495370402</v>
      </c>
      <c r="H1810" s="89">
        <v>46289</v>
      </c>
      <c r="I1810" s="71" t="s">
        <v>303</v>
      </c>
      <c r="J1810" s="71">
        <v>-5.9999999999999796</v>
      </c>
      <c r="K1810" s="71" t="s">
        <v>302</v>
      </c>
      <c r="L1810" s="71">
        <f t="shared" si="252"/>
        <v>9</v>
      </c>
      <c r="M1810" s="71" t="str">
        <f>IFERROR(INDEX(KALENDER!$D$3:$D$132,MATCH(H1810,KALENDER!$A$3:$A$132,0)),"Di luar periode")</f>
        <v>Hari Kerja</v>
      </c>
      <c r="N1810" s="71">
        <f t="shared" si="253"/>
        <v>1</v>
      </c>
      <c r="O1810" s="71">
        <f t="shared" si="254"/>
        <v>1</v>
      </c>
      <c r="P1810" s="71">
        <f t="shared" si="255"/>
        <v>1</v>
      </c>
      <c r="Q1810" s="71">
        <f t="shared" si="256"/>
        <v>0</v>
      </c>
      <c r="R1810" s="71">
        <f t="shared" si="257"/>
        <v>0</v>
      </c>
      <c r="S1810" s="71">
        <f t="shared" si="258"/>
        <v>0</v>
      </c>
      <c r="T1810" s="71">
        <f t="shared" si="259"/>
        <v>0</v>
      </c>
      <c r="U1810" s="71">
        <f>IF(AND(N1810=1,V1810=1),IF(COUNTIFS(AKTIVITAS!$B$2:$B$3052,B1810,AKTIVITAS!$E$2:$E$3052,H1810)&gt;0,1,0),0)</f>
        <v>1</v>
      </c>
      <c r="V1810" s="71">
        <f>IFERROR(IF(AND(H1810&gt;=INDEX(PEMAGANG!$J$3:$J$36,MATCH(B1810,PEMAGANG!$C$3:$C$36,0)),H1810&lt;=INDEX(PEMAGANG!$K$3:$K$36,MATCH(B1810,PEMAGANG!$C$3:$C$36,0))),1,0),0)</f>
        <v>1</v>
      </c>
      <c r="W1810" s="71">
        <f t="shared" si="260"/>
        <v>1</v>
      </c>
    </row>
    <row r="1811" spans="1:23" x14ac:dyDescent="0.2">
      <c r="A1811" s="71" t="s">
        <v>246</v>
      </c>
      <c r="B1811" s="71" t="s">
        <v>247</v>
      </c>
      <c r="C1811" s="71" t="s">
        <v>187</v>
      </c>
      <c r="D1811" s="71" t="s">
        <v>248</v>
      </c>
      <c r="E1811" s="71" t="s">
        <v>586</v>
      </c>
      <c r="F1811" s="71" t="s">
        <v>300</v>
      </c>
      <c r="G1811" s="88">
        <v>46289.689340277801</v>
      </c>
      <c r="H1811" s="89">
        <v>46289</v>
      </c>
      <c r="I1811" s="71" t="s">
        <v>306</v>
      </c>
      <c r="J1811" s="71">
        <v>0</v>
      </c>
      <c r="K1811" s="71" t="s">
        <v>302</v>
      </c>
      <c r="L1811" s="71">
        <f t="shared" si="252"/>
        <v>9</v>
      </c>
      <c r="M1811" s="71" t="str">
        <f>IFERROR(INDEX(KALENDER!$D$3:$D$132,MATCH(H1811,KALENDER!$A$3:$A$132,0)),"Di luar periode")</f>
        <v>Hari Kerja</v>
      </c>
      <c r="N1811" s="71">
        <f t="shared" si="253"/>
        <v>0</v>
      </c>
      <c r="O1811" s="71">
        <f t="shared" si="254"/>
        <v>1</v>
      </c>
      <c r="P1811" s="71">
        <f t="shared" si="255"/>
        <v>0</v>
      </c>
      <c r="Q1811" s="71">
        <f t="shared" si="256"/>
        <v>0</v>
      </c>
      <c r="R1811" s="71">
        <f t="shared" si="257"/>
        <v>0</v>
      </c>
      <c r="S1811" s="71">
        <f t="shared" si="258"/>
        <v>0</v>
      </c>
      <c r="T1811" s="71">
        <f t="shared" si="259"/>
        <v>0</v>
      </c>
      <c r="U1811" s="71">
        <f>IF(AND(N1811=1,V1811=1),IF(COUNTIFS(AKTIVITAS!$B$2:$B$3052,B1811,AKTIVITAS!$E$2:$E$3052,H1811)&gt;0,1,0),0)</f>
        <v>0</v>
      </c>
      <c r="V1811" s="71">
        <f>IFERROR(IF(AND(H1811&gt;=INDEX(PEMAGANG!$J$3:$J$36,MATCH(B1811,PEMAGANG!$C$3:$C$36,0)),H1811&lt;=INDEX(PEMAGANG!$K$3:$K$36,MATCH(B1811,PEMAGANG!$C$3:$C$36,0))),1,0),0)</f>
        <v>1</v>
      </c>
      <c r="W1811" s="71">
        <f t="shared" si="260"/>
        <v>0</v>
      </c>
    </row>
    <row r="1812" spans="1:23" x14ac:dyDescent="0.2">
      <c r="A1812" s="71" t="s">
        <v>246</v>
      </c>
      <c r="B1812" s="71" t="s">
        <v>247</v>
      </c>
      <c r="C1812" s="71" t="s">
        <v>187</v>
      </c>
      <c r="D1812" s="71" t="s">
        <v>248</v>
      </c>
      <c r="E1812" s="71" t="s">
        <v>586</v>
      </c>
      <c r="F1812" s="71" t="s">
        <v>298</v>
      </c>
      <c r="G1812" s="88">
        <v>46290.307638888902</v>
      </c>
      <c r="H1812" s="89">
        <v>46290</v>
      </c>
      <c r="I1812" s="71" t="s">
        <v>311</v>
      </c>
      <c r="J1812" s="71">
        <v>-6.9999999999999796</v>
      </c>
      <c r="K1812" s="71" t="s">
        <v>302</v>
      </c>
      <c r="L1812" s="71">
        <f t="shared" si="252"/>
        <v>9</v>
      </c>
      <c r="M1812" s="71" t="str">
        <f>IFERROR(INDEX(KALENDER!$D$3:$D$132,MATCH(H1812,KALENDER!$A$3:$A$132,0)),"Di luar periode")</f>
        <v>Hari Kerja</v>
      </c>
      <c r="N1812" s="71">
        <f t="shared" si="253"/>
        <v>1</v>
      </c>
      <c r="O1812" s="71">
        <f t="shared" si="254"/>
        <v>1</v>
      </c>
      <c r="P1812" s="71">
        <f t="shared" si="255"/>
        <v>1</v>
      </c>
      <c r="Q1812" s="71">
        <f t="shared" si="256"/>
        <v>0</v>
      </c>
      <c r="R1812" s="71">
        <f t="shared" si="257"/>
        <v>0</v>
      </c>
      <c r="S1812" s="71">
        <f t="shared" si="258"/>
        <v>0</v>
      </c>
      <c r="T1812" s="71">
        <f t="shared" si="259"/>
        <v>0</v>
      </c>
      <c r="U1812" s="71">
        <f>IF(AND(N1812=1,V1812=1),IF(COUNTIFS(AKTIVITAS!$B$2:$B$3052,B1812,AKTIVITAS!$E$2:$E$3052,H1812)&gt;0,1,0),0)</f>
        <v>1</v>
      </c>
      <c r="V1812" s="71">
        <f>IFERROR(IF(AND(H1812&gt;=INDEX(PEMAGANG!$J$3:$J$36,MATCH(B1812,PEMAGANG!$C$3:$C$36,0)),H1812&lt;=INDEX(PEMAGANG!$K$3:$K$36,MATCH(B1812,PEMAGANG!$C$3:$C$36,0))),1,0),0)</f>
        <v>1</v>
      </c>
      <c r="W1812" s="71">
        <f t="shared" si="260"/>
        <v>1</v>
      </c>
    </row>
    <row r="1813" spans="1:23" x14ac:dyDescent="0.2">
      <c r="A1813" s="71" t="s">
        <v>246</v>
      </c>
      <c r="B1813" s="71" t="s">
        <v>247</v>
      </c>
      <c r="C1813" s="71" t="s">
        <v>187</v>
      </c>
      <c r="D1813" s="71" t="s">
        <v>248</v>
      </c>
      <c r="E1813" s="71" t="s">
        <v>586</v>
      </c>
      <c r="F1813" s="71" t="s">
        <v>300</v>
      </c>
      <c r="G1813" s="88">
        <v>46290.688252314802</v>
      </c>
      <c r="H1813" s="89">
        <v>46290</v>
      </c>
      <c r="I1813" s="71" t="s">
        <v>336</v>
      </c>
      <c r="J1813" s="71">
        <v>0</v>
      </c>
      <c r="K1813" s="71" t="s">
        <v>302</v>
      </c>
      <c r="L1813" s="71">
        <f t="shared" si="252"/>
        <v>9</v>
      </c>
      <c r="M1813" s="71" t="str">
        <f>IFERROR(INDEX(KALENDER!$D$3:$D$132,MATCH(H1813,KALENDER!$A$3:$A$132,0)),"Di luar periode")</f>
        <v>Hari Kerja</v>
      </c>
      <c r="N1813" s="71">
        <f t="shared" si="253"/>
        <v>0</v>
      </c>
      <c r="O1813" s="71">
        <f t="shared" si="254"/>
        <v>1</v>
      </c>
      <c r="P1813" s="71">
        <f t="shared" si="255"/>
        <v>0</v>
      </c>
      <c r="Q1813" s="71">
        <f t="shared" si="256"/>
        <v>0</v>
      </c>
      <c r="R1813" s="71">
        <f t="shared" si="257"/>
        <v>0</v>
      </c>
      <c r="S1813" s="71">
        <f t="shared" si="258"/>
        <v>0</v>
      </c>
      <c r="T1813" s="71">
        <f t="shared" si="259"/>
        <v>0</v>
      </c>
      <c r="U1813" s="71">
        <f>IF(AND(N1813=1,V1813=1),IF(COUNTIFS(AKTIVITAS!$B$2:$B$3052,B1813,AKTIVITAS!$E$2:$E$3052,H1813)&gt;0,1,0),0)</f>
        <v>0</v>
      </c>
      <c r="V1813" s="71">
        <f>IFERROR(IF(AND(H1813&gt;=INDEX(PEMAGANG!$J$3:$J$36,MATCH(B1813,PEMAGANG!$C$3:$C$36,0)),H1813&lt;=INDEX(PEMAGANG!$K$3:$K$36,MATCH(B1813,PEMAGANG!$C$3:$C$36,0))),1,0),0)</f>
        <v>1</v>
      </c>
      <c r="W1813" s="71">
        <f t="shared" si="260"/>
        <v>0</v>
      </c>
    </row>
    <row r="1814" spans="1:23" x14ac:dyDescent="0.2">
      <c r="A1814" s="71" t="s">
        <v>246</v>
      </c>
      <c r="B1814" s="71" t="s">
        <v>247</v>
      </c>
      <c r="C1814" s="71" t="s">
        <v>187</v>
      </c>
      <c r="D1814" s="71" t="s">
        <v>248</v>
      </c>
      <c r="E1814" s="71" t="s">
        <v>586</v>
      </c>
      <c r="F1814" s="71" t="s">
        <v>298</v>
      </c>
      <c r="G1814" s="88">
        <v>46293.306817129604</v>
      </c>
      <c r="H1814" s="89">
        <v>46293</v>
      </c>
      <c r="I1814" s="71" t="s">
        <v>305</v>
      </c>
      <c r="J1814" s="71">
        <v>-9.0000000000000497</v>
      </c>
      <c r="K1814" s="71" t="s">
        <v>302</v>
      </c>
      <c r="L1814" s="71">
        <f t="shared" si="252"/>
        <v>9</v>
      </c>
      <c r="M1814" s="71" t="str">
        <f>IFERROR(INDEX(KALENDER!$D$3:$D$132,MATCH(H1814,KALENDER!$A$3:$A$132,0)),"Di luar periode")</f>
        <v>Hari Kerja</v>
      </c>
      <c r="N1814" s="71">
        <f t="shared" si="253"/>
        <v>1</v>
      </c>
      <c r="O1814" s="71">
        <f t="shared" si="254"/>
        <v>1</v>
      </c>
      <c r="P1814" s="71">
        <f t="shared" si="255"/>
        <v>1</v>
      </c>
      <c r="Q1814" s="71">
        <f t="shared" si="256"/>
        <v>0</v>
      </c>
      <c r="R1814" s="71">
        <f t="shared" si="257"/>
        <v>0</v>
      </c>
      <c r="S1814" s="71">
        <f t="shared" si="258"/>
        <v>0</v>
      </c>
      <c r="T1814" s="71">
        <f t="shared" si="259"/>
        <v>0</v>
      </c>
      <c r="U1814" s="71">
        <f>IF(AND(N1814=1,V1814=1),IF(COUNTIFS(AKTIVITAS!$B$2:$B$3052,B1814,AKTIVITAS!$E$2:$E$3052,H1814)&gt;0,1,0),0)</f>
        <v>1</v>
      </c>
      <c r="V1814" s="71">
        <f>IFERROR(IF(AND(H1814&gt;=INDEX(PEMAGANG!$J$3:$J$36,MATCH(B1814,PEMAGANG!$C$3:$C$36,0)),H1814&lt;=INDEX(PEMAGANG!$K$3:$K$36,MATCH(B1814,PEMAGANG!$C$3:$C$36,0))),1,0),0)</f>
        <v>1</v>
      </c>
      <c r="W1814" s="71">
        <f t="shared" si="260"/>
        <v>1</v>
      </c>
    </row>
    <row r="1815" spans="1:23" x14ac:dyDescent="0.2">
      <c r="A1815" s="71" t="s">
        <v>246</v>
      </c>
      <c r="B1815" s="71" t="s">
        <v>247</v>
      </c>
      <c r="C1815" s="71" t="s">
        <v>187</v>
      </c>
      <c r="D1815" s="71" t="s">
        <v>248</v>
      </c>
      <c r="E1815" s="71" t="s">
        <v>586</v>
      </c>
      <c r="F1815" s="71" t="s">
        <v>300</v>
      </c>
      <c r="G1815" s="88">
        <v>46293.688703703701</v>
      </c>
      <c r="H1815" s="89">
        <v>46293</v>
      </c>
      <c r="I1815" s="71" t="s">
        <v>336</v>
      </c>
      <c r="J1815" s="71">
        <v>0</v>
      </c>
      <c r="K1815" s="71" t="s">
        <v>302</v>
      </c>
      <c r="L1815" s="71">
        <f t="shared" si="252"/>
        <v>9</v>
      </c>
      <c r="M1815" s="71" t="str">
        <f>IFERROR(INDEX(KALENDER!$D$3:$D$132,MATCH(H1815,KALENDER!$A$3:$A$132,0)),"Di luar periode")</f>
        <v>Hari Kerja</v>
      </c>
      <c r="N1815" s="71">
        <f t="shared" si="253"/>
        <v>0</v>
      </c>
      <c r="O1815" s="71">
        <f t="shared" si="254"/>
        <v>1</v>
      </c>
      <c r="P1815" s="71">
        <f t="shared" si="255"/>
        <v>0</v>
      </c>
      <c r="Q1815" s="71">
        <f t="shared" si="256"/>
        <v>0</v>
      </c>
      <c r="R1815" s="71">
        <f t="shared" si="257"/>
        <v>0</v>
      </c>
      <c r="S1815" s="71">
        <f t="shared" si="258"/>
        <v>0</v>
      </c>
      <c r="T1815" s="71">
        <f t="shared" si="259"/>
        <v>0</v>
      </c>
      <c r="U1815" s="71">
        <f>IF(AND(N1815=1,V1815=1),IF(COUNTIFS(AKTIVITAS!$B$2:$B$3052,B1815,AKTIVITAS!$E$2:$E$3052,H1815)&gt;0,1,0),0)</f>
        <v>0</v>
      </c>
      <c r="V1815" s="71">
        <f>IFERROR(IF(AND(H1815&gt;=INDEX(PEMAGANG!$J$3:$J$36,MATCH(B1815,PEMAGANG!$C$3:$C$36,0)),H1815&lt;=INDEX(PEMAGANG!$K$3:$K$36,MATCH(B1815,PEMAGANG!$C$3:$C$36,0))),1,0),0)</f>
        <v>1</v>
      </c>
      <c r="W1815" s="71">
        <f t="shared" si="260"/>
        <v>0</v>
      </c>
    </row>
    <row r="1816" spans="1:23" x14ac:dyDescent="0.2">
      <c r="A1816" s="71" t="s">
        <v>246</v>
      </c>
      <c r="B1816" s="71" t="s">
        <v>247</v>
      </c>
      <c r="C1816" s="71" t="s">
        <v>187</v>
      </c>
      <c r="D1816" s="71" t="s">
        <v>248</v>
      </c>
      <c r="E1816" s="71" t="s">
        <v>586</v>
      </c>
      <c r="F1816" s="71" t="s">
        <v>298</v>
      </c>
      <c r="G1816" s="88">
        <v>46294.306435185201</v>
      </c>
      <c r="H1816" s="89">
        <v>46294</v>
      </c>
      <c r="I1816" s="71" t="s">
        <v>305</v>
      </c>
      <c r="J1816" s="71">
        <v>-9.0000000000000497</v>
      </c>
      <c r="K1816" s="71" t="s">
        <v>302</v>
      </c>
      <c r="L1816" s="71">
        <f t="shared" si="252"/>
        <v>9</v>
      </c>
      <c r="M1816" s="71" t="str">
        <f>IFERROR(INDEX(KALENDER!$D$3:$D$132,MATCH(H1816,KALENDER!$A$3:$A$132,0)),"Di luar periode")</f>
        <v>Hari Kerja</v>
      </c>
      <c r="N1816" s="71">
        <f t="shared" si="253"/>
        <v>1</v>
      </c>
      <c r="O1816" s="71">
        <f t="shared" si="254"/>
        <v>1</v>
      </c>
      <c r="P1816" s="71">
        <f t="shared" si="255"/>
        <v>1</v>
      </c>
      <c r="Q1816" s="71">
        <f t="shared" si="256"/>
        <v>0</v>
      </c>
      <c r="R1816" s="71">
        <f t="shared" si="257"/>
        <v>0</v>
      </c>
      <c r="S1816" s="71">
        <f t="shared" si="258"/>
        <v>0</v>
      </c>
      <c r="T1816" s="71">
        <f t="shared" si="259"/>
        <v>0</v>
      </c>
      <c r="U1816" s="71">
        <f>IF(AND(N1816=1,V1816=1),IF(COUNTIFS(AKTIVITAS!$B$2:$B$3052,B1816,AKTIVITAS!$E$2:$E$3052,H1816)&gt;0,1,0),0)</f>
        <v>1</v>
      </c>
      <c r="V1816" s="71">
        <f>IFERROR(IF(AND(H1816&gt;=INDEX(PEMAGANG!$J$3:$J$36,MATCH(B1816,PEMAGANG!$C$3:$C$36,0)),H1816&lt;=INDEX(PEMAGANG!$K$3:$K$36,MATCH(B1816,PEMAGANG!$C$3:$C$36,0))),1,0),0)</f>
        <v>1</v>
      </c>
      <c r="W1816" s="71">
        <f t="shared" si="260"/>
        <v>1</v>
      </c>
    </row>
    <row r="1817" spans="1:23" x14ac:dyDescent="0.2">
      <c r="A1817" s="71" t="s">
        <v>246</v>
      </c>
      <c r="B1817" s="71" t="s">
        <v>247</v>
      </c>
      <c r="C1817" s="71" t="s">
        <v>187</v>
      </c>
      <c r="D1817" s="71" t="s">
        <v>248</v>
      </c>
      <c r="E1817" s="71" t="s">
        <v>586</v>
      </c>
      <c r="F1817" s="71" t="s">
        <v>300</v>
      </c>
      <c r="G1817" s="88">
        <v>46294.688148148198</v>
      </c>
      <c r="H1817" s="89">
        <v>46294</v>
      </c>
      <c r="I1817" s="71" t="s">
        <v>330</v>
      </c>
      <c r="J1817" s="71">
        <v>0</v>
      </c>
      <c r="K1817" s="71" t="s">
        <v>302</v>
      </c>
      <c r="L1817" s="71">
        <f t="shared" si="252"/>
        <v>9</v>
      </c>
      <c r="M1817" s="71" t="str">
        <f>IFERROR(INDEX(KALENDER!$D$3:$D$132,MATCH(H1817,KALENDER!$A$3:$A$132,0)),"Di luar periode")</f>
        <v>Hari Kerja</v>
      </c>
      <c r="N1817" s="71">
        <f t="shared" si="253"/>
        <v>0</v>
      </c>
      <c r="O1817" s="71">
        <f t="shared" si="254"/>
        <v>1</v>
      </c>
      <c r="P1817" s="71">
        <f t="shared" si="255"/>
        <v>0</v>
      </c>
      <c r="Q1817" s="71">
        <f t="shared" si="256"/>
        <v>0</v>
      </c>
      <c r="R1817" s="71">
        <f t="shared" si="257"/>
        <v>0</v>
      </c>
      <c r="S1817" s="71">
        <f t="shared" si="258"/>
        <v>0</v>
      </c>
      <c r="T1817" s="71">
        <f t="shared" si="259"/>
        <v>0</v>
      </c>
      <c r="U1817" s="71">
        <f>IF(AND(N1817=1,V1817=1),IF(COUNTIFS(AKTIVITAS!$B$2:$B$3052,B1817,AKTIVITAS!$E$2:$E$3052,H1817)&gt;0,1,0),0)</f>
        <v>0</v>
      </c>
      <c r="V1817" s="71">
        <f>IFERROR(IF(AND(H1817&gt;=INDEX(PEMAGANG!$J$3:$J$36,MATCH(B1817,PEMAGANG!$C$3:$C$36,0)),H1817&lt;=INDEX(PEMAGANG!$K$3:$K$36,MATCH(B1817,PEMAGANG!$C$3:$C$36,0))),1,0),0)</f>
        <v>1</v>
      </c>
      <c r="W1817" s="71">
        <f t="shared" si="260"/>
        <v>0</v>
      </c>
    </row>
    <row r="1818" spans="1:23" x14ac:dyDescent="0.2">
      <c r="A1818" s="71" t="s">
        <v>246</v>
      </c>
      <c r="B1818" s="71" t="s">
        <v>247</v>
      </c>
      <c r="C1818" s="71" t="s">
        <v>187</v>
      </c>
      <c r="D1818" s="71" t="s">
        <v>248</v>
      </c>
      <c r="E1818" s="71" t="s">
        <v>586</v>
      </c>
      <c r="F1818" s="71" t="s">
        <v>298</v>
      </c>
      <c r="G1818" s="88">
        <v>46295.306412037004</v>
      </c>
      <c r="H1818" s="89">
        <v>46295</v>
      </c>
      <c r="I1818" s="71" t="s">
        <v>305</v>
      </c>
      <c r="J1818" s="71">
        <v>-9.0000000000000497</v>
      </c>
      <c r="K1818" s="71" t="s">
        <v>302</v>
      </c>
      <c r="L1818" s="71">
        <f t="shared" si="252"/>
        <v>9</v>
      </c>
      <c r="M1818" s="71" t="str">
        <f>IFERROR(INDEX(KALENDER!$D$3:$D$132,MATCH(H1818,KALENDER!$A$3:$A$132,0)),"Di luar periode")</f>
        <v>Hari Kerja</v>
      </c>
      <c r="N1818" s="71">
        <f t="shared" si="253"/>
        <v>1</v>
      </c>
      <c r="O1818" s="71">
        <f t="shared" si="254"/>
        <v>1</v>
      </c>
      <c r="P1818" s="71">
        <f t="shared" si="255"/>
        <v>1</v>
      </c>
      <c r="Q1818" s="71">
        <f t="shared" si="256"/>
        <v>0</v>
      </c>
      <c r="R1818" s="71">
        <f t="shared" si="257"/>
        <v>0</v>
      </c>
      <c r="S1818" s="71">
        <f t="shared" si="258"/>
        <v>0</v>
      </c>
      <c r="T1818" s="71">
        <f t="shared" si="259"/>
        <v>0</v>
      </c>
      <c r="U1818" s="71">
        <f>IF(AND(N1818=1,V1818=1),IF(COUNTIFS(AKTIVITAS!$B$2:$B$3052,B1818,AKTIVITAS!$E$2:$E$3052,H1818)&gt;0,1,0),0)</f>
        <v>1</v>
      </c>
      <c r="V1818" s="71">
        <f>IFERROR(IF(AND(H1818&gt;=INDEX(PEMAGANG!$J$3:$J$36,MATCH(B1818,PEMAGANG!$C$3:$C$36,0)),H1818&lt;=INDEX(PEMAGANG!$K$3:$K$36,MATCH(B1818,PEMAGANG!$C$3:$C$36,0))),1,0),0)</f>
        <v>1</v>
      </c>
      <c r="W1818" s="71">
        <f t="shared" si="260"/>
        <v>1</v>
      </c>
    </row>
    <row r="1819" spans="1:23" x14ac:dyDescent="0.2">
      <c r="A1819" s="71" t="s">
        <v>246</v>
      </c>
      <c r="B1819" s="71" t="s">
        <v>247</v>
      </c>
      <c r="C1819" s="71" t="s">
        <v>187</v>
      </c>
      <c r="D1819" s="71" t="s">
        <v>248</v>
      </c>
      <c r="E1819" s="71" t="s">
        <v>586</v>
      </c>
      <c r="F1819" s="71" t="s">
        <v>300</v>
      </c>
      <c r="G1819" s="88">
        <v>46295.69</v>
      </c>
      <c r="H1819" s="89">
        <v>46295</v>
      </c>
      <c r="I1819" s="71" t="s">
        <v>316</v>
      </c>
      <c r="J1819" s="71">
        <v>0</v>
      </c>
      <c r="K1819" s="71" t="s">
        <v>302</v>
      </c>
      <c r="L1819" s="71">
        <f t="shared" si="252"/>
        <v>9</v>
      </c>
      <c r="M1819" s="71" t="str">
        <f>IFERROR(INDEX(KALENDER!$D$3:$D$132,MATCH(H1819,KALENDER!$A$3:$A$132,0)),"Di luar periode")</f>
        <v>Hari Kerja</v>
      </c>
      <c r="N1819" s="71">
        <f t="shared" si="253"/>
        <v>0</v>
      </c>
      <c r="O1819" s="71">
        <f t="shared" si="254"/>
        <v>1</v>
      </c>
      <c r="P1819" s="71">
        <f t="shared" si="255"/>
        <v>0</v>
      </c>
      <c r="Q1819" s="71">
        <f t="shared" si="256"/>
        <v>0</v>
      </c>
      <c r="R1819" s="71">
        <f t="shared" si="257"/>
        <v>0</v>
      </c>
      <c r="S1819" s="71">
        <f t="shared" si="258"/>
        <v>0</v>
      </c>
      <c r="T1819" s="71">
        <f t="shared" si="259"/>
        <v>0</v>
      </c>
      <c r="U1819" s="71">
        <f>IF(AND(N1819=1,V1819=1),IF(COUNTIFS(AKTIVITAS!$B$2:$B$3052,B1819,AKTIVITAS!$E$2:$E$3052,H1819)&gt;0,1,0),0)</f>
        <v>0</v>
      </c>
      <c r="V1819" s="71">
        <f>IFERROR(IF(AND(H1819&gt;=INDEX(PEMAGANG!$J$3:$J$36,MATCH(B1819,PEMAGANG!$C$3:$C$36,0)),H1819&lt;=INDEX(PEMAGANG!$K$3:$K$36,MATCH(B1819,PEMAGANG!$C$3:$C$36,0))),1,0),0)</f>
        <v>1</v>
      </c>
      <c r="W1819" s="71">
        <f t="shared" si="260"/>
        <v>0</v>
      </c>
    </row>
    <row r="1820" spans="1:23" x14ac:dyDescent="0.2">
      <c r="A1820" s="71" t="s">
        <v>238</v>
      </c>
      <c r="B1820" s="71" t="s">
        <v>239</v>
      </c>
      <c r="C1820" s="71" t="s">
        <v>242</v>
      </c>
      <c r="D1820" s="71" t="s">
        <v>240</v>
      </c>
      <c r="E1820" s="71" t="s">
        <v>46</v>
      </c>
      <c r="F1820" s="71" t="s">
        <v>298</v>
      </c>
      <c r="G1820" s="88">
        <v>46268.350162037001</v>
      </c>
      <c r="H1820" s="89">
        <v>46268</v>
      </c>
      <c r="I1820" s="71" t="s">
        <v>591</v>
      </c>
      <c r="J1820" s="71">
        <v>24.000000000000099</v>
      </c>
      <c r="K1820" s="71" t="s">
        <v>293</v>
      </c>
      <c r="L1820" s="71">
        <f t="shared" si="252"/>
        <v>9</v>
      </c>
      <c r="M1820" s="71" t="str">
        <f>IFERROR(INDEX(KALENDER!$D$3:$D$132,MATCH(H1820,KALENDER!$A$3:$A$132,0)),"Di luar periode")</f>
        <v>Hari Kerja</v>
      </c>
      <c r="N1820" s="71">
        <f t="shared" si="253"/>
        <v>1</v>
      </c>
      <c r="O1820" s="71">
        <f t="shared" si="254"/>
        <v>1</v>
      </c>
      <c r="P1820" s="71">
        <f t="shared" si="255"/>
        <v>1</v>
      </c>
      <c r="Q1820" s="71">
        <f t="shared" si="256"/>
        <v>0</v>
      </c>
      <c r="R1820" s="71">
        <f t="shared" si="257"/>
        <v>1</v>
      </c>
      <c r="S1820" s="71">
        <f t="shared" si="258"/>
        <v>24.000000000000099</v>
      </c>
      <c r="T1820" s="71">
        <f t="shared" si="259"/>
        <v>1</v>
      </c>
      <c r="U1820" s="71">
        <f>IF(AND(N1820=1,V1820=1),IF(COUNTIFS(AKTIVITAS!$B$2:$B$3052,B1820,AKTIVITAS!$E$2:$E$3052,H1820)&gt;0,1,0),0)</f>
        <v>0</v>
      </c>
      <c r="V1820" s="71">
        <f>IFERROR(IF(AND(H1820&gt;=INDEX(PEMAGANG!$J$3:$J$36,MATCH(B1820,PEMAGANG!$C$3:$C$36,0)),H1820&lt;=INDEX(PEMAGANG!$K$3:$K$36,MATCH(B1820,PEMAGANG!$C$3:$C$36,0))),1,0),0)</f>
        <v>1</v>
      </c>
      <c r="W1820" s="71">
        <f t="shared" si="260"/>
        <v>1</v>
      </c>
    </row>
    <row r="1821" spans="1:23" x14ac:dyDescent="0.2">
      <c r="A1821" s="71" t="s">
        <v>238</v>
      </c>
      <c r="B1821" s="71" t="s">
        <v>239</v>
      </c>
      <c r="C1821" s="71" t="s">
        <v>242</v>
      </c>
      <c r="D1821" s="71" t="s">
        <v>240</v>
      </c>
      <c r="E1821" s="71" t="s">
        <v>46</v>
      </c>
      <c r="F1821" s="71" t="s">
        <v>298</v>
      </c>
      <c r="G1821" s="88">
        <v>46269.327499999999</v>
      </c>
      <c r="H1821" s="89">
        <v>46269</v>
      </c>
      <c r="I1821" s="71" t="s">
        <v>592</v>
      </c>
      <c r="J1821" s="71">
        <v>-8.9999999999999698</v>
      </c>
      <c r="K1821" s="71" t="s">
        <v>302</v>
      </c>
      <c r="L1821" s="71">
        <f t="shared" si="252"/>
        <v>9</v>
      </c>
      <c r="M1821" s="71" t="str">
        <f>IFERROR(INDEX(KALENDER!$D$3:$D$132,MATCH(H1821,KALENDER!$A$3:$A$132,0)),"Di luar periode")</f>
        <v>Hari Kerja</v>
      </c>
      <c r="N1821" s="71">
        <f t="shared" si="253"/>
        <v>1</v>
      </c>
      <c r="O1821" s="71">
        <f t="shared" si="254"/>
        <v>1</v>
      </c>
      <c r="P1821" s="71">
        <f t="shared" si="255"/>
        <v>1</v>
      </c>
      <c r="Q1821" s="71">
        <f t="shared" si="256"/>
        <v>0</v>
      </c>
      <c r="R1821" s="71">
        <f t="shared" si="257"/>
        <v>0</v>
      </c>
      <c r="S1821" s="71">
        <f t="shared" si="258"/>
        <v>0</v>
      </c>
      <c r="T1821" s="71">
        <f t="shared" si="259"/>
        <v>0</v>
      </c>
      <c r="U1821" s="71">
        <f>IF(AND(N1821=1,V1821=1),IF(COUNTIFS(AKTIVITAS!$B$2:$B$3052,B1821,AKTIVITAS!$E$2:$E$3052,H1821)&gt;0,1,0),0)</f>
        <v>0</v>
      </c>
      <c r="V1821" s="71">
        <f>IFERROR(IF(AND(H1821&gt;=INDEX(PEMAGANG!$J$3:$J$36,MATCH(B1821,PEMAGANG!$C$3:$C$36,0)),H1821&lt;=INDEX(PEMAGANG!$K$3:$K$36,MATCH(B1821,PEMAGANG!$C$3:$C$36,0))),1,0),0)</f>
        <v>1</v>
      </c>
      <c r="W1821" s="71">
        <f t="shared" si="260"/>
        <v>1</v>
      </c>
    </row>
    <row r="1822" spans="1:23" x14ac:dyDescent="0.2">
      <c r="A1822" s="71" t="s">
        <v>238</v>
      </c>
      <c r="B1822" s="71" t="s">
        <v>239</v>
      </c>
      <c r="C1822" s="71" t="s">
        <v>242</v>
      </c>
      <c r="D1822" s="71" t="s">
        <v>240</v>
      </c>
      <c r="E1822" s="71" t="s">
        <v>46</v>
      </c>
      <c r="F1822" s="71" t="s">
        <v>300</v>
      </c>
      <c r="G1822" s="88">
        <v>46269.699409722198</v>
      </c>
      <c r="H1822" s="89">
        <v>46269</v>
      </c>
      <c r="I1822" s="71" t="s">
        <v>337</v>
      </c>
      <c r="J1822" s="71">
        <v>0</v>
      </c>
      <c r="K1822" s="71" t="s">
        <v>302</v>
      </c>
      <c r="L1822" s="71">
        <f t="shared" si="252"/>
        <v>9</v>
      </c>
      <c r="M1822" s="71" t="str">
        <f>IFERROR(INDEX(KALENDER!$D$3:$D$132,MATCH(H1822,KALENDER!$A$3:$A$132,0)),"Di luar periode")</f>
        <v>Hari Kerja</v>
      </c>
      <c r="N1822" s="71">
        <f t="shared" si="253"/>
        <v>0</v>
      </c>
      <c r="O1822" s="71">
        <f t="shared" si="254"/>
        <v>1</v>
      </c>
      <c r="P1822" s="71">
        <f t="shared" si="255"/>
        <v>0</v>
      </c>
      <c r="Q1822" s="71">
        <f t="shared" si="256"/>
        <v>0</v>
      </c>
      <c r="R1822" s="71">
        <f t="shared" si="257"/>
        <v>0</v>
      </c>
      <c r="S1822" s="71">
        <f t="shared" si="258"/>
        <v>0</v>
      </c>
      <c r="T1822" s="71">
        <f t="shared" si="259"/>
        <v>0</v>
      </c>
      <c r="U1822" s="71">
        <f>IF(AND(N1822=1,V1822=1),IF(COUNTIFS(AKTIVITAS!$B$2:$B$3052,B1822,AKTIVITAS!$E$2:$E$3052,H1822)&gt;0,1,0),0)</f>
        <v>0</v>
      </c>
      <c r="V1822" s="71">
        <f>IFERROR(IF(AND(H1822&gt;=INDEX(PEMAGANG!$J$3:$J$36,MATCH(B1822,PEMAGANG!$C$3:$C$36,0)),H1822&lt;=INDEX(PEMAGANG!$K$3:$K$36,MATCH(B1822,PEMAGANG!$C$3:$C$36,0))),1,0),0)</f>
        <v>1</v>
      </c>
      <c r="W1822" s="71">
        <f t="shared" si="260"/>
        <v>0</v>
      </c>
    </row>
    <row r="1823" spans="1:23" x14ac:dyDescent="0.2">
      <c r="A1823" s="71" t="s">
        <v>238</v>
      </c>
      <c r="B1823" s="71" t="s">
        <v>239</v>
      </c>
      <c r="C1823" s="71" t="s">
        <v>242</v>
      </c>
      <c r="D1823" s="71" t="s">
        <v>240</v>
      </c>
      <c r="E1823" s="71" t="s">
        <v>46</v>
      </c>
      <c r="F1823" s="71" t="s">
        <v>298</v>
      </c>
      <c r="G1823" s="88">
        <v>46272.367152777799</v>
      </c>
      <c r="H1823" s="89">
        <v>46272</v>
      </c>
      <c r="I1823" s="71" t="s">
        <v>593</v>
      </c>
      <c r="J1823" s="71">
        <v>48.000000000000099</v>
      </c>
      <c r="K1823" s="71" t="s">
        <v>293</v>
      </c>
      <c r="L1823" s="71">
        <f t="shared" si="252"/>
        <v>9</v>
      </c>
      <c r="M1823" s="71" t="str">
        <f>IFERROR(INDEX(KALENDER!$D$3:$D$132,MATCH(H1823,KALENDER!$A$3:$A$132,0)),"Di luar periode")</f>
        <v>Hari Kerja</v>
      </c>
      <c r="N1823" s="71">
        <f t="shared" si="253"/>
        <v>1</v>
      </c>
      <c r="O1823" s="71">
        <f t="shared" si="254"/>
        <v>1</v>
      </c>
      <c r="P1823" s="71">
        <f t="shared" si="255"/>
        <v>1</v>
      </c>
      <c r="Q1823" s="71">
        <f t="shared" si="256"/>
        <v>0</v>
      </c>
      <c r="R1823" s="71">
        <f t="shared" si="257"/>
        <v>1</v>
      </c>
      <c r="S1823" s="71">
        <f t="shared" si="258"/>
        <v>48.000000000000099</v>
      </c>
      <c r="T1823" s="71">
        <f t="shared" si="259"/>
        <v>1</v>
      </c>
      <c r="U1823" s="71">
        <f>IF(AND(N1823=1,V1823=1),IF(COUNTIFS(AKTIVITAS!$B$2:$B$3052,B1823,AKTIVITAS!$E$2:$E$3052,H1823)&gt;0,1,0),0)</f>
        <v>0</v>
      </c>
      <c r="V1823" s="71">
        <f>IFERROR(IF(AND(H1823&gt;=INDEX(PEMAGANG!$J$3:$J$36,MATCH(B1823,PEMAGANG!$C$3:$C$36,0)),H1823&lt;=INDEX(PEMAGANG!$K$3:$K$36,MATCH(B1823,PEMAGANG!$C$3:$C$36,0))),1,0),0)</f>
        <v>1</v>
      </c>
      <c r="W1823" s="71">
        <f t="shared" si="260"/>
        <v>1</v>
      </c>
    </row>
    <row r="1824" spans="1:23" x14ac:dyDescent="0.2">
      <c r="A1824" s="71" t="s">
        <v>238</v>
      </c>
      <c r="B1824" s="71" t="s">
        <v>239</v>
      </c>
      <c r="C1824" s="71" t="s">
        <v>242</v>
      </c>
      <c r="D1824" s="71" t="s">
        <v>240</v>
      </c>
      <c r="E1824" s="71" t="s">
        <v>46</v>
      </c>
      <c r="F1824" s="71" t="s">
        <v>298</v>
      </c>
      <c r="G1824" s="88">
        <v>46273.319699074098</v>
      </c>
      <c r="H1824" s="89">
        <v>46273</v>
      </c>
      <c r="I1824" s="71" t="s">
        <v>381</v>
      </c>
      <c r="J1824" s="71">
        <v>-19.999999999999901</v>
      </c>
      <c r="K1824" s="71" t="s">
        <v>302</v>
      </c>
      <c r="L1824" s="71">
        <f t="shared" si="252"/>
        <v>9</v>
      </c>
      <c r="M1824" s="71" t="str">
        <f>IFERROR(INDEX(KALENDER!$D$3:$D$132,MATCH(H1824,KALENDER!$A$3:$A$132,0)),"Di luar periode")</f>
        <v>Hari Kerja</v>
      </c>
      <c r="N1824" s="71">
        <f t="shared" si="253"/>
        <v>1</v>
      </c>
      <c r="O1824" s="71">
        <f t="shared" si="254"/>
        <v>1</v>
      </c>
      <c r="P1824" s="71">
        <f t="shared" si="255"/>
        <v>1</v>
      </c>
      <c r="Q1824" s="71">
        <f t="shared" si="256"/>
        <v>0</v>
      </c>
      <c r="R1824" s="71">
        <f t="shared" si="257"/>
        <v>0</v>
      </c>
      <c r="S1824" s="71">
        <f t="shared" si="258"/>
        <v>0</v>
      </c>
      <c r="T1824" s="71">
        <f t="shared" si="259"/>
        <v>0</v>
      </c>
      <c r="U1824" s="71">
        <f>IF(AND(N1824=1,V1824=1),IF(COUNTIFS(AKTIVITAS!$B$2:$B$3052,B1824,AKTIVITAS!$E$2:$E$3052,H1824)&gt;0,1,0),0)</f>
        <v>0</v>
      </c>
      <c r="V1824" s="71">
        <f>IFERROR(IF(AND(H1824&gt;=INDEX(PEMAGANG!$J$3:$J$36,MATCH(B1824,PEMAGANG!$C$3:$C$36,0)),H1824&lt;=INDEX(PEMAGANG!$K$3:$K$36,MATCH(B1824,PEMAGANG!$C$3:$C$36,0))),1,0),0)</f>
        <v>1</v>
      </c>
      <c r="W1824" s="71">
        <f t="shared" si="260"/>
        <v>1</v>
      </c>
    </row>
    <row r="1825" spans="1:23" x14ac:dyDescent="0.2">
      <c r="A1825" s="71" t="s">
        <v>238</v>
      </c>
      <c r="B1825" s="71" t="s">
        <v>239</v>
      </c>
      <c r="C1825" s="71" t="s">
        <v>242</v>
      </c>
      <c r="D1825" s="71" t="s">
        <v>240</v>
      </c>
      <c r="E1825" s="71" t="s">
        <v>46</v>
      </c>
      <c r="F1825" s="71" t="s">
        <v>300</v>
      </c>
      <c r="G1825" s="88">
        <v>46273.674884259301</v>
      </c>
      <c r="H1825" s="89">
        <v>46273</v>
      </c>
      <c r="I1825" s="71" t="s">
        <v>594</v>
      </c>
      <c r="J1825" s="71">
        <v>0</v>
      </c>
      <c r="K1825" s="71" t="s">
        <v>302</v>
      </c>
      <c r="L1825" s="71">
        <f t="shared" si="252"/>
        <v>9</v>
      </c>
      <c r="M1825" s="71" t="str">
        <f>IFERROR(INDEX(KALENDER!$D$3:$D$132,MATCH(H1825,KALENDER!$A$3:$A$132,0)),"Di luar periode")</f>
        <v>Hari Kerja</v>
      </c>
      <c r="N1825" s="71">
        <f t="shared" si="253"/>
        <v>0</v>
      </c>
      <c r="O1825" s="71">
        <f t="shared" si="254"/>
        <v>1</v>
      </c>
      <c r="P1825" s="71">
        <f t="shared" si="255"/>
        <v>0</v>
      </c>
      <c r="Q1825" s="71">
        <f t="shared" si="256"/>
        <v>0</v>
      </c>
      <c r="R1825" s="71">
        <f t="shared" si="257"/>
        <v>0</v>
      </c>
      <c r="S1825" s="71">
        <f t="shared" si="258"/>
        <v>0</v>
      </c>
      <c r="T1825" s="71">
        <f t="shared" si="259"/>
        <v>0</v>
      </c>
      <c r="U1825" s="71">
        <f>IF(AND(N1825=1,V1825=1),IF(COUNTIFS(AKTIVITAS!$B$2:$B$3052,B1825,AKTIVITAS!$E$2:$E$3052,H1825)&gt;0,1,0),0)</f>
        <v>0</v>
      </c>
      <c r="V1825" s="71">
        <f>IFERROR(IF(AND(H1825&gt;=INDEX(PEMAGANG!$J$3:$J$36,MATCH(B1825,PEMAGANG!$C$3:$C$36,0)),H1825&lt;=INDEX(PEMAGANG!$K$3:$K$36,MATCH(B1825,PEMAGANG!$C$3:$C$36,0))),1,0),0)</f>
        <v>1</v>
      </c>
      <c r="W1825" s="71">
        <f t="shared" si="260"/>
        <v>0</v>
      </c>
    </row>
    <row r="1826" spans="1:23" x14ac:dyDescent="0.2">
      <c r="A1826" s="71" t="s">
        <v>238</v>
      </c>
      <c r="B1826" s="71" t="s">
        <v>239</v>
      </c>
      <c r="C1826" s="71" t="s">
        <v>242</v>
      </c>
      <c r="D1826" s="71" t="s">
        <v>240</v>
      </c>
      <c r="E1826" s="71" t="s">
        <v>46</v>
      </c>
      <c r="F1826" s="71" t="s">
        <v>298</v>
      </c>
      <c r="G1826" s="88">
        <v>46274.313437500001</v>
      </c>
      <c r="H1826" s="89">
        <v>46274</v>
      </c>
      <c r="I1826" s="71" t="s">
        <v>392</v>
      </c>
      <c r="J1826" s="71">
        <v>-29</v>
      </c>
      <c r="K1826" s="71" t="s">
        <v>302</v>
      </c>
      <c r="L1826" s="71">
        <f t="shared" si="252"/>
        <v>9</v>
      </c>
      <c r="M1826" s="71" t="str">
        <f>IFERROR(INDEX(KALENDER!$D$3:$D$132,MATCH(H1826,KALENDER!$A$3:$A$132,0)),"Di luar periode")</f>
        <v>Hari Kerja</v>
      </c>
      <c r="N1826" s="71">
        <f t="shared" si="253"/>
        <v>1</v>
      </c>
      <c r="O1826" s="71">
        <f t="shared" si="254"/>
        <v>1</v>
      </c>
      <c r="P1826" s="71">
        <f t="shared" si="255"/>
        <v>1</v>
      </c>
      <c r="Q1826" s="71">
        <f t="shared" si="256"/>
        <v>0</v>
      </c>
      <c r="R1826" s="71">
        <f t="shared" si="257"/>
        <v>0</v>
      </c>
      <c r="S1826" s="71">
        <f t="shared" si="258"/>
        <v>0</v>
      </c>
      <c r="T1826" s="71">
        <f t="shared" si="259"/>
        <v>1</v>
      </c>
      <c r="U1826" s="71">
        <f>IF(AND(N1826=1,V1826=1),IF(COUNTIFS(AKTIVITAS!$B$2:$B$3052,B1826,AKTIVITAS!$E$2:$E$3052,H1826)&gt;0,1,0),0)</f>
        <v>0</v>
      </c>
      <c r="V1826" s="71">
        <f>IFERROR(IF(AND(H1826&gt;=INDEX(PEMAGANG!$J$3:$J$36,MATCH(B1826,PEMAGANG!$C$3:$C$36,0)),H1826&lt;=INDEX(PEMAGANG!$K$3:$K$36,MATCH(B1826,PEMAGANG!$C$3:$C$36,0))),1,0),0)</f>
        <v>1</v>
      </c>
      <c r="W1826" s="71">
        <f t="shared" si="260"/>
        <v>1</v>
      </c>
    </row>
    <row r="1827" spans="1:23" x14ac:dyDescent="0.2">
      <c r="A1827" s="71" t="s">
        <v>238</v>
      </c>
      <c r="B1827" s="71" t="s">
        <v>239</v>
      </c>
      <c r="C1827" s="71" t="s">
        <v>242</v>
      </c>
      <c r="D1827" s="71" t="s">
        <v>240</v>
      </c>
      <c r="E1827" s="71" t="s">
        <v>46</v>
      </c>
      <c r="F1827" s="71" t="s">
        <v>298</v>
      </c>
      <c r="G1827" s="88">
        <v>46274.313437500001</v>
      </c>
      <c r="H1827" s="89">
        <v>46274</v>
      </c>
      <c r="I1827" s="71" t="s">
        <v>392</v>
      </c>
      <c r="J1827" s="71">
        <v>0.999999999999996</v>
      </c>
      <c r="K1827" s="71" t="s">
        <v>293</v>
      </c>
      <c r="L1827" s="71">
        <f t="shared" si="252"/>
        <v>9</v>
      </c>
      <c r="M1827" s="71" t="str">
        <f>IFERROR(INDEX(KALENDER!$D$3:$D$132,MATCH(H1827,KALENDER!$A$3:$A$132,0)),"Di luar periode")</f>
        <v>Hari Kerja</v>
      </c>
      <c r="N1827" s="71">
        <f t="shared" si="253"/>
        <v>0</v>
      </c>
      <c r="O1827" s="71">
        <f t="shared" si="254"/>
        <v>2</v>
      </c>
      <c r="P1827" s="71">
        <f t="shared" si="255"/>
        <v>0</v>
      </c>
      <c r="Q1827" s="71">
        <f t="shared" si="256"/>
        <v>0</v>
      </c>
      <c r="R1827" s="71">
        <f t="shared" si="257"/>
        <v>0</v>
      </c>
      <c r="S1827" s="71">
        <f t="shared" si="258"/>
        <v>0</v>
      </c>
      <c r="T1827" s="71">
        <f t="shared" si="259"/>
        <v>0</v>
      </c>
      <c r="U1827" s="71">
        <f>IF(AND(N1827=1,V1827=1),IF(COUNTIFS(AKTIVITAS!$B$2:$B$3052,B1827,AKTIVITAS!$E$2:$E$3052,H1827)&gt;0,1,0),0)</f>
        <v>0</v>
      </c>
      <c r="V1827" s="71">
        <f>IFERROR(IF(AND(H1827&gt;=INDEX(PEMAGANG!$J$3:$J$36,MATCH(B1827,PEMAGANG!$C$3:$C$36,0)),H1827&lt;=INDEX(PEMAGANG!$K$3:$K$36,MATCH(B1827,PEMAGANG!$C$3:$C$36,0))),1,0),0)</f>
        <v>1</v>
      </c>
      <c r="W1827" s="71">
        <f t="shared" si="260"/>
        <v>0</v>
      </c>
    </row>
    <row r="1828" spans="1:23" x14ac:dyDescent="0.2">
      <c r="A1828" s="71" t="s">
        <v>238</v>
      </c>
      <c r="B1828" s="71" t="s">
        <v>239</v>
      </c>
      <c r="C1828" s="71" t="s">
        <v>242</v>
      </c>
      <c r="D1828" s="71" t="s">
        <v>240</v>
      </c>
      <c r="E1828" s="71" t="s">
        <v>46</v>
      </c>
      <c r="F1828" s="71" t="s">
        <v>298</v>
      </c>
      <c r="G1828" s="88">
        <v>46275.320543981499</v>
      </c>
      <c r="H1828" s="89">
        <v>46275</v>
      </c>
      <c r="I1828" s="71" t="s">
        <v>367</v>
      </c>
      <c r="J1828" s="71">
        <v>-18.999999999999901</v>
      </c>
      <c r="K1828" s="71" t="s">
        <v>302</v>
      </c>
      <c r="L1828" s="71">
        <f t="shared" si="252"/>
        <v>9</v>
      </c>
      <c r="M1828" s="71" t="str">
        <f>IFERROR(INDEX(KALENDER!$D$3:$D$132,MATCH(H1828,KALENDER!$A$3:$A$132,0)),"Di luar periode")</f>
        <v>Hari Kerja</v>
      </c>
      <c r="N1828" s="71">
        <f t="shared" si="253"/>
        <v>1</v>
      </c>
      <c r="O1828" s="71">
        <f t="shared" si="254"/>
        <v>1</v>
      </c>
      <c r="P1828" s="71">
        <f t="shared" si="255"/>
        <v>1</v>
      </c>
      <c r="Q1828" s="71">
        <f t="shared" si="256"/>
        <v>0</v>
      </c>
      <c r="R1828" s="71">
        <f t="shared" si="257"/>
        <v>0</v>
      </c>
      <c r="S1828" s="71">
        <f t="shared" si="258"/>
        <v>0</v>
      </c>
      <c r="T1828" s="71">
        <f t="shared" si="259"/>
        <v>1</v>
      </c>
      <c r="U1828" s="71">
        <f>IF(AND(N1828=1,V1828=1),IF(COUNTIFS(AKTIVITAS!$B$2:$B$3052,B1828,AKTIVITAS!$E$2:$E$3052,H1828)&gt;0,1,0),0)</f>
        <v>0</v>
      </c>
      <c r="V1828" s="71">
        <f>IFERROR(IF(AND(H1828&gt;=INDEX(PEMAGANG!$J$3:$J$36,MATCH(B1828,PEMAGANG!$C$3:$C$36,0)),H1828&lt;=INDEX(PEMAGANG!$K$3:$K$36,MATCH(B1828,PEMAGANG!$C$3:$C$36,0))),1,0),0)</f>
        <v>1</v>
      </c>
      <c r="W1828" s="71">
        <f t="shared" si="260"/>
        <v>1</v>
      </c>
    </row>
    <row r="1829" spans="1:23" x14ac:dyDescent="0.2">
      <c r="A1829" s="71" t="s">
        <v>238</v>
      </c>
      <c r="B1829" s="71" t="s">
        <v>239</v>
      </c>
      <c r="C1829" s="71" t="s">
        <v>242</v>
      </c>
      <c r="D1829" s="71" t="s">
        <v>240</v>
      </c>
      <c r="E1829" s="71" t="s">
        <v>46</v>
      </c>
      <c r="F1829" s="71" t="s">
        <v>298</v>
      </c>
      <c r="G1829" s="88">
        <v>46275.320543981499</v>
      </c>
      <c r="H1829" s="89">
        <v>46275</v>
      </c>
      <c r="I1829" s="71" t="s">
        <v>367</v>
      </c>
      <c r="J1829" s="71">
        <v>11</v>
      </c>
      <c r="K1829" s="71" t="s">
        <v>293</v>
      </c>
      <c r="L1829" s="71">
        <f t="shared" si="252"/>
        <v>9</v>
      </c>
      <c r="M1829" s="71" t="str">
        <f>IFERROR(INDEX(KALENDER!$D$3:$D$132,MATCH(H1829,KALENDER!$A$3:$A$132,0)),"Di luar periode")</f>
        <v>Hari Kerja</v>
      </c>
      <c r="N1829" s="71">
        <f t="shared" si="253"/>
        <v>0</v>
      </c>
      <c r="O1829" s="71">
        <f t="shared" si="254"/>
        <v>2</v>
      </c>
      <c r="P1829" s="71">
        <f t="shared" si="255"/>
        <v>0</v>
      </c>
      <c r="Q1829" s="71">
        <f t="shared" si="256"/>
        <v>0</v>
      </c>
      <c r="R1829" s="71">
        <f t="shared" si="257"/>
        <v>0</v>
      </c>
      <c r="S1829" s="71">
        <f t="shared" si="258"/>
        <v>0</v>
      </c>
      <c r="T1829" s="71">
        <f t="shared" si="259"/>
        <v>0</v>
      </c>
      <c r="U1829" s="71">
        <f>IF(AND(N1829=1,V1829=1),IF(COUNTIFS(AKTIVITAS!$B$2:$B$3052,B1829,AKTIVITAS!$E$2:$E$3052,H1829)&gt;0,1,0),0)</f>
        <v>0</v>
      </c>
      <c r="V1829" s="71">
        <f>IFERROR(IF(AND(H1829&gt;=INDEX(PEMAGANG!$J$3:$J$36,MATCH(B1829,PEMAGANG!$C$3:$C$36,0)),H1829&lt;=INDEX(PEMAGANG!$K$3:$K$36,MATCH(B1829,PEMAGANG!$C$3:$C$36,0))),1,0),0)</f>
        <v>1</v>
      </c>
      <c r="W1829" s="71">
        <f t="shared" si="260"/>
        <v>0</v>
      </c>
    </row>
    <row r="1830" spans="1:23" x14ac:dyDescent="0.2">
      <c r="A1830" s="71" t="s">
        <v>238</v>
      </c>
      <c r="B1830" s="71" t="s">
        <v>239</v>
      </c>
      <c r="C1830" s="71" t="s">
        <v>242</v>
      </c>
      <c r="D1830" s="71" t="s">
        <v>240</v>
      </c>
      <c r="E1830" s="71" t="s">
        <v>46</v>
      </c>
      <c r="F1830" s="71" t="s">
        <v>298</v>
      </c>
      <c r="G1830" s="88">
        <v>46276.318715277797</v>
      </c>
      <c r="H1830" s="89">
        <v>46276</v>
      </c>
      <c r="I1830" s="71" t="s">
        <v>410</v>
      </c>
      <c r="J1830" s="71">
        <v>7.9999999999999698</v>
      </c>
      <c r="K1830" s="71" t="s">
        <v>293</v>
      </c>
      <c r="L1830" s="71">
        <f t="shared" si="252"/>
        <v>9</v>
      </c>
      <c r="M1830" s="71" t="str">
        <f>IFERROR(INDEX(KALENDER!$D$3:$D$132,MATCH(H1830,KALENDER!$A$3:$A$132,0)),"Di luar periode")</f>
        <v>Hari Kerja</v>
      </c>
      <c r="N1830" s="71">
        <f t="shared" si="253"/>
        <v>1</v>
      </c>
      <c r="O1830" s="71">
        <f t="shared" si="254"/>
        <v>1</v>
      </c>
      <c r="P1830" s="71">
        <f t="shared" si="255"/>
        <v>1</v>
      </c>
      <c r="Q1830" s="71">
        <f t="shared" si="256"/>
        <v>0</v>
      </c>
      <c r="R1830" s="71">
        <f t="shared" si="257"/>
        <v>1</v>
      </c>
      <c r="S1830" s="71">
        <f t="shared" si="258"/>
        <v>7.9999999999999698</v>
      </c>
      <c r="T1830" s="71">
        <f t="shared" si="259"/>
        <v>0</v>
      </c>
      <c r="U1830" s="71">
        <f>IF(AND(N1830=1,V1830=1),IF(COUNTIFS(AKTIVITAS!$B$2:$B$3052,B1830,AKTIVITAS!$E$2:$E$3052,H1830)&gt;0,1,0),0)</f>
        <v>0</v>
      </c>
      <c r="V1830" s="71">
        <f>IFERROR(IF(AND(H1830&gt;=INDEX(PEMAGANG!$J$3:$J$36,MATCH(B1830,PEMAGANG!$C$3:$C$36,0)),H1830&lt;=INDEX(PEMAGANG!$K$3:$K$36,MATCH(B1830,PEMAGANG!$C$3:$C$36,0))),1,0),0)</f>
        <v>1</v>
      </c>
      <c r="W1830" s="71">
        <f t="shared" si="260"/>
        <v>1</v>
      </c>
    </row>
    <row r="1831" spans="1:23" x14ac:dyDescent="0.2">
      <c r="A1831" s="71" t="s">
        <v>238</v>
      </c>
      <c r="B1831" s="71" t="s">
        <v>239</v>
      </c>
      <c r="C1831" s="71" t="s">
        <v>242</v>
      </c>
      <c r="D1831" s="71" t="s">
        <v>240</v>
      </c>
      <c r="E1831" s="71" t="s">
        <v>46</v>
      </c>
      <c r="F1831" s="71" t="s">
        <v>298</v>
      </c>
      <c r="G1831" s="88">
        <v>46276.3187384259</v>
      </c>
      <c r="H1831" s="89">
        <v>46276</v>
      </c>
      <c r="I1831" s="71" t="s">
        <v>410</v>
      </c>
      <c r="J1831" s="71">
        <v>7.9999999999999698</v>
      </c>
      <c r="K1831" s="71" t="s">
        <v>293</v>
      </c>
      <c r="L1831" s="71">
        <f t="shared" si="252"/>
        <v>9</v>
      </c>
      <c r="M1831" s="71" t="str">
        <f>IFERROR(INDEX(KALENDER!$D$3:$D$132,MATCH(H1831,KALENDER!$A$3:$A$132,0)),"Di luar periode")</f>
        <v>Hari Kerja</v>
      </c>
      <c r="N1831" s="71">
        <f t="shared" si="253"/>
        <v>0</v>
      </c>
      <c r="O1831" s="71">
        <f t="shared" si="254"/>
        <v>2</v>
      </c>
      <c r="P1831" s="71">
        <f t="shared" si="255"/>
        <v>0</v>
      </c>
      <c r="Q1831" s="71">
        <f t="shared" si="256"/>
        <v>0</v>
      </c>
      <c r="R1831" s="71">
        <f t="shared" si="257"/>
        <v>0</v>
      </c>
      <c r="S1831" s="71">
        <f t="shared" si="258"/>
        <v>0</v>
      </c>
      <c r="T1831" s="71">
        <f t="shared" si="259"/>
        <v>0</v>
      </c>
      <c r="U1831" s="71">
        <f>IF(AND(N1831=1,V1831=1),IF(COUNTIFS(AKTIVITAS!$B$2:$B$3052,B1831,AKTIVITAS!$E$2:$E$3052,H1831)&gt;0,1,0),0)</f>
        <v>0</v>
      </c>
      <c r="V1831" s="71">
        <f>IFERROR(IF(AND(H1831&gt;=INDEX(PEMAGANG!$J$3:$J$36,MATCH(B1831,PEMAGANG!$C$3:$C$36,0)),H1831&lt;=INDEX(PEMAGANG!$K$3:$K$36,MATCH(B1831,PEMAGANG!$C$3:$C$36,0))),1,0),0)</f>
        <v>1</v>
      </c>
      <c r="W1831" s="71">
        <f t="shared" si="260"/>
        <v>0</v>
      </c>
    </row>
    <row r="1832" spans="1:23" x14ac:dyDescent="0.2">
      <c r="A1832" s="71" t="s">
        <v>238</v>
      </c>
      <c r="B1832" s="71" t="s">
        <v>239</v>
      </c>
      <c r="C1832" s="71" t="s">
        <v>242</v>
      </c>
      <c r="D1832" s="71" t="s">
        <v>240</v>
      </c>
      <c r="E1832" s="71" t="s">
        <v>46</v>
      </c>
      <c r="F1832" s="71" t="s">
        <v>300</v>
      </c>
      <c r="G1832" s="88">
        <v>46276.666736111103</v>
      </c>
      <c r="H1832" s="89">
        <v>46276</v>
      </c>
      <c r="I1832" s="71" t="s">
        <v>566</v>
      </c>
      <c r="J1832" s="71">
        <v>0</v>
      </c>
      <c r="K1832" s="71" t="s">
        <v>302</v>
      </c>
      <c r="L1832" s="71">
        <f t="shared" si="252"/>
        <v>9</v>
      </c>
      <c r="M1832" s="71" t="str">
        <f>IFERROR(INDEX(KALENDER!$D$3:$D$132,MATCH(H1832,KALENDER!$A$3:$A$132,0)),"Di luar periode")</f>
        <v>Hari Kerja</v>
      </c>
      <c r="N1832" s="71">
        <f t="shared" si="253"/>
        <v>0</v>
      </c>
      <c r="O1832" s="71">
        <f t="shared" si="254"/>
        <v>2</v>
      </c>
      <c r="P1832" s="71">
        <f t="shared" si="255"/>
        <v>0</v>
      </c>
      <c r="Q1832" s="71">
        <f t="shared" si="256"/>
        <v>0</v>
      </c>
      <c r="R1832" s="71">
        <f t="shared" si="257"/>
        <v>0</v>
      </c>
      <c r="S1832" s="71">
        <f t="shared" si="258"/>
        <v>0</v>
      </c>
      <c r="T1832" s="71">
        <f t="shared" si="259"/>
        <v>0</v>
      </c>
      <c r="U1832" s="71">
        <f>IF(AND(N1832=1,V1832=1),IF(COUNTIFS(AKTIVITAS!$B$2:$B$3052,B1832,AKTIVITAS!$E$2:$E$3052,H1832)&gt;0,1,0),0)</f>
        <v>0</v>
      </c>
      <c r="V1832" s="71">
        <f>IFERROR(IF(AND(H1832&gt;=INDEX(PEMAGANG!$J$3:$J$36,MATCH(B1832,PEMAGANG!$C$3:$C$36,0)),H1832&lt;=INDEX(PEMAGANG!$K$3:$K$36,MATCH(B1832,PEMAGANG!$C$3:$C$36,0))),1,0),0)</f>
        <v>1</v>
      </c>
      <c r="W1832" s="71">
        <f t="shared" si="260"/>
        <v>0</v>
      </c>
    </row>
    <row r="1833" spans="1:23" x14ac:dyDescent="0.2">
      <c r="A1833" s="71" t="s">
        <v>238</v>
      </c>
      <c r="B1833" s="71" t="s">
        <v>239</v>
      </c>
      <c r="C1833" s="71" t="s">
        <v>242</v>
      </c>
      <c r="D1833" s="71" t="s">
        <v>240</v>
      </c>
      <c r="E1833" s="71" t="s">
        <v>46</v>
      </c>
      <c r="F1833" s="71" t="s">
        <v>298</v>
      </c>
      <c r="G1833" s="88">
        <v>46279.320231481499</v>
      </c>
      <c r="H1833" s="89">
        <v>46279</v>
      </c>
      <c r="I1833" s="71" t="s">
        <v>367</v>
      </c>
      <c r="J1833" s="71">
        <v>11</v>
      </c>
      <c r="K1833" s="71" t="s">
        <v>293</v>
      </c>
      <c r="L1833" s="71">
        <f t="shared" si="252"/>
        <v>9</v>
      </c>
      <c r="M1833" s="71" t="str">
        <f>IFERROR(INDEX(KALENDER!$D$3:$D$132,MATCH(H1833,KALENDER!$A$3:$A$132,0)),"Di luar periode")</f>
        <v>Hari Kerja</v>
      </c>
      <c r="N1833" s="71">
        <f t="shared" si="253"/>
        <v>1</v>
      </c>
      <c r="O1833" s="71">
        <f t="shared" si="254"/>
        <v>1</v>
      </c>
      <c r="P1833" s="71">
        <f t="shared" si="255"/>
        <v>1</v>
      </c>
      <c r="Q1833" s="71">
        <f t="shared" si="256"/>
        <v>0</v>
      </c>
      <c r="R1833" s="71">
        <f t="shared" si="257"/>
        <v>1</v>
      </c>
      <c r="S1833" s="71">
        <f t="shared" si="258"/>
        <v>11</v>
      </c>
      <c r="T1833" s="71">
        <f t="shared" si="259"/>
        <v>1</v>
      </c>
      <c r="U1833" s="71">
        <f>IF(AND(N1833=1,V1833=1),IF(COUNTIFS(AKTIVITAS!$B$2:$B$3052,B1833,AKTIVITAS!$E$2:$E$3052,H1833)&gt;0,1,0),0)</f>
        <v>0</v>
      </c>
      <c r="V1833" s="71">
        <f>IFERROR(IF(AND(H1833&gt;=INDEX(PEMAGANG!$J$3:$J$36,MATCH(B1833,PEMAGANG!$C$3:$C$36,0)),H1833&lt;=INDEX(PEMAGANG!$K$3:$K$36,MATCH(B1833,PEMAGANG!$C$3:$C$36,0))),1,0),0)</f>
        <v>1</v>
      </c>
      <c r="W1833" s="71">
        <f t="shared" si="260"/>
        <v>1</v>
      </c>
    </row>
    <row r="1834" spans="1:23" x14ac:dyDescent="0.2">
      <c r="A1834" s="71" t="s">
        <v>238</v>
      </c>
      <c r="B1834" s="71" t="s">
        <v>239</v>
      </c>
      <c r="C1834" s="71" t="s">
        <v>242</v>
      </c>
      <c r="D1834" s="71" t="s">
        <v>240</v>
      </c>
      <c r="E1834" s="71" t="s">
        <v>46</v>
      </c>
      <c r="F1834" s="71" t="s">
        <v>298</v>
      </c>
      <c r="G1834" s="88">
        <v>46282.319988425901</v>
      </c>
      <c r="H1834" s="89">
        <v>46282</v>
      </c>
      <c r="I1834" s="71" t="s">
        <v>381</v>
      </c>
      <c r="J1834" s="71">
        <v>10</v>
      </c>
      <c r="K1834" s="71" t="s">
        <v>293</v>
      </c>
      <c r="L1834" s="71">
        <f t="shared" si="252"/>
        <v>9</v>
      </c>
      <c r="M1834" s="71" t="str">
        <f>IFERROR(INDEX(KALENDER!$D$3:$D$132,MATCH(H1834,KALENDER!$A$3:$A$132,0)),"Di luar periode")</f>
        <v>Hari Kerja</v>
      </c>
      <c r="N1834" s="71">
        <f t="shared" si="253"/>
        <v>1</v>
      </c>
      <c r="O1834" s="71">
        <f t="shared" si="254"/>
        <v>1</v>
      </c>
      <c r="P1834" s="71">
        <f t="shared" si="255"/>
        <v>1</v>
      </c>
      <c r="Q1834" s="71">
        <f t="shared" si="256"/>
        <v>0</v>
      </c>
      <c r="R1834" s="71">
        <f t="shared" si="257"/>
        <v>1</v>
      </c>
      <c r="S1834" s="71">
        <f t="shared" si="258"/>
        <v>10</v>
      </c>
      <c r="T1834" s="71">
        <f t="shared" si="259"/>
        <v>1</v>
      </c>
      <c r="U1834" s="71">
        <f>IF(AND(N1834=1,V1834=1),IF(COUNTIFS(AKTIVITAS!$B$2:$B$3052,B1834,AKTIVITAS!$E$2:$E$3052,H1834)&gt;0,1,0),0)</f>
        <v>0</v>
      </c>
      <c r="V1834" s="71">
        <f>IFERROR(IF(AND(H1834&gt;=INDEX(PEMAGANG!$J$3:$J$36,MATCH(B1834,PEMAGANG!$C$3:$C$36,0)),H1834&lt;=INDEX(PEMAGANG!$K$3:$K$36,MATCH(B1834,PEMAGANG!$C$3:$C$36,0))),1,0),0)</f>
        <v>1</v>
      </c>
      <c r="W1834" s="71">
        <f t="shared" si="260"/>
        <v>1</v>
      </c>
    </row>
    <row r="1835" spans="1:23" x14ac:dyDescent="0.2">
      <c r="A1835" s="71" t="s">
        <v>238</v>
      </c>
      <c r="B1835" s="71" t="s">
        <v>239</v>
      </c>
      <c r="C1835" s="71" t="s">
        <v>242</v>
      </c>
      <c r="D1835" s="71" t="s">
        <v>240</v>
      </c>
      <c r="E1835" s="71" t="s">
        <v>46</v>
      </c>
      <c r="F1835" s="71" t="s">
        <v>298</v>
      </c>
      <c r="G1835" s="88">
        <v>46283.327511574098</v>
      </c>
      <c r="H1835" s="89">
        <v>46283</v>
      </c>
      <c r="I1835" s="71" t="s">
        <v>592</v>
      </c>
      <c r="J1835" s="71">
        <v>21</v>
      </c>
      <c r="K1835" s="71" t="s">
        <v>293</v>
      </c>
      <c r="L1835" s="71">
        <f t="shared" si="252"/>
        <v>9</v>
      </c>
      <c r="M1835" s="71" t="str">
        <f>IFERROR(INDEX(KALENDER!$D$3:$D$132,MATCH(H1835,KALENDER!$A$3:$A$132,0)),"Di luar periode")</f>
        <v>Hari Kerja</v>
      </c>
      <c r="N1835" s="71">
        <f t="shared" si="253"/>
        <v>1</v>
      </c>
      <c r="O1835" s="71">
        <f t="shared" si="254"/>
        <v>1</v>
      </c>
      <c r="P1835" s="71">
        <f t="shared" si="255"/>
        <v>1</v>
      </c>
      <c r="Q1835" s="71">
        <f t="shared" si="256"/>
        <v>0</v>
      </c>
      <c r="R1835" s="71">
        <f t="shared" si="257"/>
        <v>1</v>
      </c>
      <c r="S1835" s="71">
        <f t="shared" si="258"/>
        <v>21</v>
      </c>
      <c r="T1835" s="71">
        <f t="shared" si="259"/>
        <v>1</v>
      </c>
      <c r="U1835" s="71">
        <f>IF(AND(N1835=1,V1835=1),IF(COUNTIFS(AKTIVITAS!$B$2:$B$3052,B1835,AKTIVITAS!$E$2:$E$3052,H1835)&gt;0,1,0),0)</f>
        <v>0</v>
      </c>
      <c r="V1835" s="71">
        <f>IFERROR(IF(AND(H1835&gt;=INDEX(PEMAGANG!$J$3:$J$36,MATCH(B1835,PEMAGANG!$C$3:$C$36,0)),H1835&lt;=INDEX(PEMAGANG!$K$3:$K$36,MATCH(B1835,PEMAGANG!$C$3:$C$36,0))),1,0),0)</f>
        <v>1</v>
      </c>
      <c r="W1835" s="71">
        <f t="shared" si="260"/>
        <v>1</v>
      </c>
    </row>
    <row r="1836" spans="1:23" x14ac:dyDescent="0.2">
      <c r="A1836" s="71" t="s">
        <v>238</v>
      </c>
      <c r="B1836" s="71" t="s">
        <v>239</v>
      </c>
      <c r="C1836" s="71" t="s">
        <v>242</v>
      </c>
      <c r="D1836" s="71" t="s">
        <v>240</v>
      </c>
      <c r="E1836" s="71" t="s">
        <v>46</v>
      </c>
      <c r="F1836" s="71" t="s">
        <v>298</v>
      </c>
      <c r="G1836" s="88">
        <v>46286.310092592597</v>
      </c>
      <c r="H1836" s="89">
        <v>46286</v>
      </c>
      <c r="I1836" s="71" t="s">
        <v>315</v>
      </c>
      <c r="J1836" s="71">
        <v>-3.9999999999999898</v>
      </c>
      <c r="K1836" s="71" t="s">
        <v>302</v>
      </c>
      <c r="L1836" s="71">
        <f t="shared" si="252"/>
        <v>9</v>
      </c>
      <c r="M1836" s="71" t="str">
        <f>IFERROR(INDEX(KALENDER!$D$3:$D$132,MATCH(H1836,KALENDER!$A$3:$A$132,0)),"Di luar periode")</f>
        <v>Hari Kerja</v>
      </c>
      <c r="N1836" s="71">
        <f t="shared" si="253"/>
        <v>1</v>
      </c>
      <c r="O1836" s="71">
        <f t="shared" si="254"/>
        <v>1</v>
      </c>
      <c r="P1836" s="71">
        <f t="shared" si="255"/>
        <v>1</v>
      </c>
      <c r="Q1836" s="71">
        <f t="shared" si="256"/>
        <v>0</v>
      </c>
      <c r="R1836" s="71">
        <f t="shared" si="257"/>
        <v>0</v>
      </c>
      <c r="S1836" s="71">
        <f t="shared" si="258"/>
        <v>0</v>
      </c>
      <c r="T1836" s="71">
        <f t="shared" si="259"/>
        <v>1</v>
      </c>
      <c r="U1836" s="71">
        <f>IF(AND(N1836=1,V1836=1),IF(COUNTIFS(AKTIVITAS!$B$2:$B$3052,B1836,AKTIVITAS!$E$2:$E$3052,H1836)&gt;0,1,0),0)</f>
        <v>0</v>
      </c>
      <c r="V1836" s="71">
        <f>IFERROR(IF(AND(H1836&gt;=INDEX(PEMAGANG!$J$3:$J$36,MATCH(B1836,PEMAGANG!$C$3:$C$36,0)),H1836&lt;=INDEX(PEMAGANG!$K$3:$K$36,MATCH(B1836,PEMAGANG!$C$3:$C$36,0))),1,0),0)</f>
        <v>1</v>
      </c>
      <c r="W1836" s="71">
        <f t="shared" si="260"/>
        <v>1</v>
      </c>
    </row>
    <row r="1837" spans="1:23" x14ac:dyDescent="0.2">
      <c r="A1837" s="71" t="s">
        <v>238</v>
      </c>
      <c r="B1837" s="71" t="s">
        <v>239</v>
      </c>
      <c r="C1837" s="71" t="s">
        <v>242</v>
      </c>
      <c r="D1837" s="71" t="s">
        <v>240</v>
      </c>
      <c r="E1837" s="71" t="s">
        <v>46</v>
      </c>
      <c r="F1837" s="71" t="s">
        <v>298</v>
      </c>
      <c r="G1837" s="88">
        <v>46287.3237731482</v>
      </c>
      <c r="H1837" s="89">
        <v>46287</v>
      </c>
      <c r="I1837" s="71" t="s">
        <v>540</v>
      </c>
      <c r="J1837" s="71">
        <v>16</v>
      </c>
      <c r="K1837" s="71" t="s">
        <v>293</v>
      </c>
      <c r="L1837" s="71">
        <f t="shared" si="252"/>
        <v>9</v>
      </c>
      <c r="M1837" s="71" t="str">
        <f>IFERROR(INDEX(KALENDER!$D$3:$D$132,MATCH(H1837,KALENDER!$A$3:$A$132,0)),"Di luar periode")</f>
        <v>Hari Kerja</v>
      </c>
      <c r="N1837" s="71">
        <f t="shared" si="253"/>
        <v>1</v>
      </c>
      <c r="O1837" s="71">
        <f t="shared" si="254"/>
        <v>1</v>
      </c>
      <c r="P1837" s="71">
        <f t="shared" si="255"/>
        <v>1</v>
      </c>
      <c r="Q1837" s="71">
        <f t="shared" si="256"/>
        <v>0</v>
      </c>
      <c r="R1837" s="71">
        <f t="shared" si="257"/>
        <v>1</v>
      </c>
      <c r="S1837" s="71">
        <f t="shared" si="258"/>
        <v>16</v>
      </c>
      <c r="T1837" s="71">
        <f t="shared" si="259"/>
        <v>1</v>
      </c>
      <c r="U1837" s="71">
        <f>IF(AND(N1837=1,V1837=1),IF(COUNTIFS(AKTIVITAS!$B$2:$B$3052,B1837,AKTIVITAS!$E$2:$E$3052,H1837)&gt;0,1,0),0)</f>
        <v>0</v>
      </c>
      <c r="V1837" s="71">
        <f>IFERROR(IF(AND(H1837&gt;=INDEX(PEMAGANG!$J$3:$J$36,MATCH(B1837,PEMAGANG!$C$3:$C$36,0)),H1837&lt;=INDEX(PEMAGANG!$K$3:$K$36,MATCH(B1837,PEMAGANG!$C$3:$C$36,0))),1,0),0)</f>
        <v>1</v>
      </c>
      <c r="W1837" s="71">
        <f t="shared" si="260"/>
        <v>1</v>
      </c>
    </row>
    <row r="1838" spans="1:23" x14ac:dyDescent="0.2">
      <c r="A1838" s="71" t="s">
        <v>238</v>
      </c>
      <c r="B1838" s="71" t="s">
        <v>239</v>
      </c>
      <c r="C1838" s="71" t="s">
        <v>242</v>
      </c>
      <c r="D1838" s="71" t="s">
        <v>240</v>
      </c>
      <c r="E1838" s="71" t="s">
        <v>46</v>
      </c>
      <c r="F1838" s="71" t="s">
        <v>298</v>
      </c>
      <c r="G1838" s="88">
        <v>46288.3210300926</v>
      </c>
      <c r="H1838" s="89">
        <v>46288</v>
      </c>
      <c r="I1838" s="71" t="s">
        <v>565</v>
      </c>
      <c r="J1838" s="71">
        <v>12</v>
      </c>
      <c r="K1838" s="71" t="s">
        <v>293</v>
      </c>
      <c r="L1838" s="71">
        <f t="shared" si="252"/>
        <v>9</v>
      </c>
      <c r="M1838" s="71" t="str">
        <f>IFERROR(INDEX(KALENDER!$D$3:$D$132,MATCH(H1838,KALENDER!$A$3:$A$132,0)),"Di luar periode")</f>
        <v>Hari Kerja</v>
      </c>
      <c r="N1838" s="71">
        <f t="shared" si="253"/>
        <v>1</v>
      </c>
      <c r="O1838" s="71">
        <f t="shared" si="254"/>
        <v>1</v>
      </c>
      <c r="P1838" s="71">
        <f t="shared" si="255"/>
        <v>1</v>
      </c>
      <c r="Q1838" s="71">
        <f t="shared" si="256"/>
        <v>0</v>
      </c>
      <c r="R1838" s="71">
        <f t="shared" si="257"/>
        <v>1</v>
      </c>
      <c r="S1838" s="71">
        <f t="shared" si="258"/>
        <v>12</v>
      </c>
      <c r="T1838" s="71">
        <f t="shared" si="259"/>
        <v>1</v>
      </c>
      <c r="U1838" s="71">
        <f>IF(AND(N1838=1,V1838=1),IF(COUNTIFS(AKTIVITAS!$B$2:$B$3052,B1838,AKTIVITAS!$E$2:$E$3052,H1838)&gt;0,1,0),0)</f>
        <v>0</v>
      </c>
      <c r="V1838" s="71">
        <f>IFERROR(IF(AND(H1838&gt;=INDEX(PEMAGANG!$J$3:$J$36,MATCH(B1838,PEMAGANG!$C$3:$C$36,0)),H1838&lt;=INDEX(PEMAGANG!$K$3:$K$36,MATCH(B1838,PEMAGANG!$C$3:$C$36,0))),1,0),0)</f>
        <v>1</v>
      </c>
      <c r="W1838" s="71">
        <f t="shared" si="260"/>
        <v>1</v>
      </c>
    </row>
    <row r="1839" spans="1:23" x14ac:dyDescent="0.2">
      <c r="A1839" s="71" t="s">
        <v>238</v>
      </c>
      <c r="B1839" s="71" t="s">
        <v>239</v>
      </c>
      <c r="C1839" s="71" t="s">
        <v>242</v>
      </c>
      <c r="D1839" s="71" t="s">
        <v>240</v>
      </c>
      <c r="E1839" s="71" t="s">
        <v>46</v>
      </c>
      <c r="F1839" s="71" t="s">
        <v>298</v>
      </c>
      <c r="G1839" s="88">
        <v>46289.313101851898</v>
      </c>
      <c r="H1839" s="89">
        <v>46289</v>
      </c>
      <c r="I1839" s="71" t="s">
        <v>335</v>
      </c>
      <c r="J1839" s="71">
        <v>0</v>
      </c>
      <c r="K1839" s="71" t="s">
        <v>302</v>
      </c>
      <c r="L1839" s="71">
        <f t="shared" si="252"/>
        <v>9</v>
      </c>
      <c r="M1839" s="71" t="str">
        <f>IFERROR(INDEX(KALENDER!$D$3:$D$132,MATCH(H1839,KALENDER!$A$3:$A$132,0)),"Di luar periode")</f>
        <v>Hari Kerja</v>
      </c>
      <c r="N1839" s="71">
        <f t="shared" si="253"/>
        <v>1</v>
      </c>
      <c r="O1839" s="71">
        <f t="shared" si="254"/>
        <v>1</v>
      </c>
      <c r="P1839" s="71">
        <f t="shared" si="255"/>
        <v>1</v>
      </c>
      <c r="Q1839" s="71">
        <f t="shared" si="256"/>
        <v>0</v>
      </c>
      <c r="R1839" s="71">
        <f t="shared" si="257"/>
        <v>0</v>
      </c>
      <c r="S1839" s="71">
        <f t="shared" si="258"/>
        <v>0</v>
      </c>
      <c r="T1839" s="71">
        <f t="shared" si="259"/>
        <v>1</v>
      </c>
      <c r="U1839" s="71">
        <f>IF(AND(N1839=1,V1839=1),IF(COUNTIFS(AKTIVITAS!$B$2:$B$3052,B1839,AKTIVITAS!$E$2:$E$3052,H1839)&gt;0,1,0),0)</f>
        <v>0</v>
      </c>
      <c r="V1839" s="71">
        <f>IFERROR(IF(AND(H1839&gt;=INDEX(PEMAGANG!$J$3:$J$36,MATCH(B1839,PEMAGANG!$C$3:$C$36,0)),H1839&lt;=INDEX(PEMAGANG!$K$3:$K$36,MATCH(B1839,PEMAGANG!$C$3:$C$36,0))),1,0),0)</f>
        <v>1</v>
      </c>
      <c r="W1839" s="71">
        <f t="shared" si="260"/>
        <v>1</v>
      </c>
    </row>
    <row r="1840" spans="1:23" x14ac:dyDescent="0.2">
      <c r="A1840" s="71" t="s">
        <v>238</v>
      </c>
      <c r="B1840" s="71" t="s">
        <v>239</v>
      </c>
      <c r="C1840" s="71" t="s">
        <v>242</v>
      </c>
      <c r="D1840" s="71" t="s">
        <v>240</v>
      </c>
      <c r="E1840" s="71" t="s">
        <v>46</v>
      </c>
      <c r="F1840" s="71" t="s">
        <v>298</v>
      </c>
      <c r="G1840" s="88">
        <v>46293.307824074102</v>
      </c>
      <c r="H1840" s="89">
        <v>46293</v>
      </c>
      <c r="I1840" s="71" t="s">
        <v>311</v>
      </c>
      <c r="J1840" s="71">
        <v>-6.9999999999999796</v>
      </c>
      <c r="K1840" s="71" t="s">
        <v>302</v>
      </c>
      <c r="L1840" s="71">
        <f t="shared" si="252"/>
        <v>9</v>
      </c>
      <c r="M1840" s="71" t="str">
        <f>IFERROR(INDEX(KALENDER!$D$3:$D$132,MATCH(H1840,KALENDER!$A$3:$A$132,0)),"Di luar periode")</f>
        <v>Hari Kerja</v>
      </c>
      <c r="N1840" s="71">
        <f t="shared" si="253"/>
        <v>1</v>
      </c>
      <c r="O1840" s="71">
        <f t="shared" si="254"/>
        <v>1</v>
      </c>
      <c r="P1840" s="71">
        <f t="shared" si="255"/>
        <v>1</v>
      </c>
      <c r="Q1840" s="71">
        <f t="shared" si="256"/>
        <v>0</v>
      </c>
      <c r="R1840" s="71">
        <f t="shared" si="257"/>
        <v>0</v>
      </c>
      <c r="S1840" s="71">
        <f t="shared" si="258"/>
        <v>0</v>
      </c>
      <c r="T1840" s="71">
        <f t="shared" si="259"/>
        <v>1</v>
      </c>
      <c r="U1840" s="71">
        <f>IF(AND(N1840=1,V1840=1),IF(COUNTIFS(AKTIVITAS!$B$2:$B$3052,B1840,AKTIVITAS!$E$2:$E$3052,H1840)&gt;0,1,0),0)</f>
        <v>0</v>
      </c>
      <c r="V1840" s="71">
        <f>IFERROR(IF(AND(H1840&gt;=INDEX(PEMAGANG!$J$3:$J$36,MATCH(B1840,PEMAGANG!$C$3:$C$36,0)),H1840&lt;=INDEX(PEMAGANG!$K$3:$K$36,MATCH(B1840,PEMAGANG!$C$3:$C$36,0))),1,0),0)</f>
        <v>1</v>
      </c>
      <c r="W1840" s="71">
        <f t="shared" si="260"/>
        <v>1</v>
      </c>
    </row>
    <row r="1841" spans="1:23" x14ac:dyDescent="0.2">
      <c r="A1841" s="71" t="s">
        <v>595</v>
      </c>
      <c r="B1841" s="71" t="s">
        <v>596</v>
      </c>
      <c r="C1841" s="71" t="s">
        <v>187</v>
      </c>
      <c r="D1841" s="71" t="s">
        <v>421</v>
      </c>
      <c r="E1841" s="71" t="s">
        <v>422</v>
      </c>
      <c r="F1841" s="71" t="s">
        <v>300</v>
      </c>
      <c r="G1841" s="88">
        <v>46218.753425925897</v>
      </c>
      <c r="H1841" s="89">
        <v>46218</v>
      </c>
      <c r="I1841" s="71" t="s">
        <v>468</v>
      </c>
      <c r="J1841" s="71">
        <v>0</v>
      </c>
      <c r="K1841" s="71" t="s">
        <v>302</v>
      </c>
      <c r="L1841" s="71">
        <f t="shared" si="252"/>
        <v>7</v>
      </c>
      <c r="M1841" s="71" t="str">
        <f>IFERROR(INDEX(KALENDER!$D$3:$D$132,MATCH(H1841,KALENDER!$A$3:$A$132,0)),"Di luar periode")</f>
        <v>WFH</v>
      </c>
      <c r="N1841" s="71">
        <f t="shared" si="253"/>
        <v>1</v>
      </c>
      <c r="O1841" s="71">
        <f t="shared" si="254"/>
        <v>0</v>
      </c>
      <c r="P1841" s="71">
        <f t="shared" si="255"/>
        <v>0</v>
      </c>
      <c r="Q1841" s="71">
        <f t="shared" si="256"/>
        <v>1</v>
      </c>
      <c r="R1841" s="71">
        <f t="shared" si="257"/>
        <v>0</v>
      </c>
      <c r="S1841" s="71">
        <f t="shared" si="258"/>
        <v>0</v>
      </c>
      <c r="T1841" s="71">
        <f t="shared" si="259"/>
        <v>0</v>
      </c>
      <c r="U1841" s="71">
        <f>IF(AND(N1841=1,V1841=1),IF(COUNTIFS(AKTIVITAS!$B$2:$B$3052,B1841,AKTIVITAS!$E$2:$E$3052,H1841)&gt;0,1,0),0)</f>
        <v>0</v>
      </c>
      <c r="V1841" s="71">
        <f>IFERROR(IF(AND(H1841&gt;=INDEX(PEMAGANG!$J$3:$J$36,MATCH(B1841,PEMAGANG!$C$3:$C$36,0)),H1841&lt;=INDEX(PEMAGANG!$K$3:$K$36,MATCH(B1841,PEMAGANG!$C$3:$C$36,0))),1,0),0)</f>
        <v>0</v>
      </c>
      <c r="W1841" s="71">
        <f t="shared" si="260"/>
        <v>0</v>
      </c>
    </row>
    <row r="1842" spans="1:23" x14ac:dyDescent="0.2">
      <c r="A1842" s="71" t="s">
        <v>595</v>
      </c>
      <c r="B1842" s="71" t="s">
        <v>596</v>
      </c>
      <c r="C1842" s="71" t="s">
        <v>187</v>
      </c>
      <c r="D1842" s="71" t="s">
        <v>421</v>
      </c>
      <c r="E1842" s="71" t="s">
        <v>422</v>
      </c>
      <c r="F1842" s="71" t="s">
        <v>298</v>
      </c>
      <c r="G1842" s="88">
        <v>46219.281076388899</v>
      </c>
      <c r="H1842" s="89">
        <v>46219</v>
      </c>
      <c r="I1842" s="71" t="s">
        <v>501</v>
      </c>
      <c r="J1842" s="71">
        <v>-76</v>
      </c>
      <c r="K1842" s="71" t="s">
        <v>302</v>
      </c>
      <c r="L1842" s="71">
        <f t="shared" si="252"/>
        <v>7</v>
      </c>
      <c r="M1842" s="71" t="str">
        <f>IFERROR(INDEX(KALENDER!$D$3:$D$132,MATCH(H1842,KALENDER!$A$3:$A$132,0)),"Di luar periode")</f>
        <v>Hari Kerja</v>
      </c>
      <c r="N1842" s="71">
        <f t="shared" si="253"/>
        <v>1</v>
      </c>
      <c r="O1842" s="71">
        <f t="shared" si="254"/>
        <v>1</v>
      </c>
      <c r="P1842" s="71">
        <f t="shared" si="255"/>
        <v>0</v>
      </c>
      <c r="Q1842" s="71">
        <f t="shared" si="256"/>
        <v>1</v>
      </c>
      <c r="R1842" s="71">
        <f t="shared" si="257"/>
        <v>0</v>
      </c>
      <c r="S1842" s="71">
        <f t="shared" si="258"/>
        <v>0</v>
      </c>
      <c r="T1842" s="71">
        <f t="shared" si="259"/>
        <v>0</v>
      </c>
      <c r="U1842" s="71">
        <f>IF(AND(N1842=1,V1842=1),IF(COUNTIFS(AKTIVITAS!$B$2:$B$3052,B1842,AKTIVITAS!$E$2:$E$3052,H1842)&gt;0,1,0),0)</f>
        <v>0</v>
      </c>
      <c r="V1842" s="71">
        <f>IFERROR(IF(AND(H1842&gt;=INDEX(PEMAGANG!$J$3:$J$36,MATCH(B1842,PEMAGANG!$C$3:$C$36,0)),H1842&lt;=INDEX(PEMAGANG!$K$3:$K$36,MATCH(B1842,PEMAGANG!$C$3:$C$36,0))),1,0),0)</f>
        <v>0</v>
      </c>
      <c r="W1842" s="71">
        <f t="shared" si="260"/>
        <v>0</v>
      </c>
    </row>
    <row r="1843" spans="1:23" x14ac:dyDescent="0.2">
      <c r="A1843" s="71" t="s">
        <v>595</v>
      </c>
      <c r="B1843" s="71" t="s">
        <v>596</v>
      </c>
      <c r="C1843" s="71" t="s">
        <v>187</v>
      </c>
      <c r="D1843" s="71" t="s">
        <v>421</v>
      </c>
      <c r="E1843" s="71" t="s">
        <v>422</v>
      </c>
      <c r="F1843" s="71" t="s">
        <v>300</v>
      </c>
      <c r="G1843" s="88">
        <v>46219.753854166702</v>
      </c>
      <c r="H1843" s="89">
        <v>46219</v>
      </c>
      <c r="I1843" s="71" t="s">
        <v>354</v>
      </c>
      <c r="J1843" s="71">
        <v>0</v>
      </c>
      <c r="K1843" s="71" t="s">
        <v>302</v>
      </c>
      <c r="L1843" s="71">
        <f t="shared" si="252"/>
        <v>7</v>
      </c>
      <c r="M1843" s="71" t="str">
        <f>IFERROR(INDEX(KALENDER!$D$3:$D$132,MATCH(H1843,KALENDER!$A$3:$A$132,0)),"Di luar periode")</f>
        <v>Hari Kerja</v>
      </c>
      <c r="N1843" s="71">
        <f t="shared" si="253"/>
        <v>0</v>
      </c>
      <c r="O1843" s="71">
        <f t="shared" si="254"/>
        <v>1</v>
      </c>
      <c r="P1843" s="71">
        <f t="shared" si="255"/>
        <v>0</v>
      </c>
      <c r="Q1843" s="71">
        <f t="shared" si="256"/>
        <v>0</v>
      </c>
      <c r="R1843" s="71">
        <f t="shared" si="257"/>
        <v>0</v>
      </c>
      <c r="S1843" s="71">
        <f t="shared" si="258"/>
        <v>0</v>
      </c>
      <c r="T1843" s="71">
        <f t="shared" si="259"/>
        <v>0</v>
      </c>
      <c r="U1843" s="71">
        <f>IF(AND(N1843=1,V1843=1),IF(COUNTIFS(AKTIVITAS!$B$2:$B$3052,B1843,AKTIVITAS!$E$2:$E$3052,H1843)&gt;0,1,0),0)</f>
        <v>0</v>
      </c>
      <c r="V1843" s="71">
        <f>IFERROR(IF(AND(H1843&gt;=INDEX(PEMAGANG!$J$3:$J$36,MATCH(B1843,PEMAGANG!$C$3:$C$36,0)),H1843&lt;=INDEX(PEMAGANG!$K$3:$K$36,MATCH(B1843,PEMAGANG!$C$3:$C$36,0))),1,0),0)</f>
        <v>0</v>
      </c>
      <c r="W1843" s="71">
        <f t="shared" si="260"/>
        <v>0</v>
      </c>
    </row>
    <row r="1844" spans="1:23" x14ac:dyDescent="0.2">
      <c r="A1844" s="71" t="s">
        <v>595</v>
      </c>
      <c r="B1844" s="71" t="s">
        <v>596</v>
      </c>
      <c r="C1844" s="71" t="s">
        <v>187</v>
      </c>
      <c r="D1844" s="71" t="s">
        <v>421</v>
      </c>
      <c r="E1844" s="71" t="s">
        <v>422</v>
      </c>
      <c r="F1844" s="71" t="s">
        <v>298</v>
      </c>
      <c r="G1844" s="88">
        <v>46220.278611111098</v>
      </c>
      <c r="H1844" s="89">
        <v>46220</v>
      </c>
      <c r="I1844" s="71" t="s">
        <v>494</v>
      </c>
      <c r="J1844" s="71">
        <v>-79</v>
      </c>
      <c r="K1844" s="71" t="s">
        <v>302</v>
      </c>
      <c r="L1844" s="71">
        <f t="shared" si="252"/>
        <v>7</v>
      </c>
      <c r="M1844" s="71" t="str">
        <f>IFERROR(INDEX(KALENDER!$D$3:$D$132,MATCH(H1844,KALENDER!$A$3:$A$132,0)),"Di luar periode")</f>
        <v>Hari Kerja</v>
      </c>
      <c r="N1844" s="71">
        <f t="shared" si="253"/>
        <v>1</v>
      </c>
      <c r="O1844" s="71">
        <f t="shared" si="254"/>
        <v>1</v>
      </c>
      <c r="P1844" s="71">
        <f t="shared" si="255"/>
        <v>0</v>
      </c>
      <c r="Q1844" s="71">
        <f t="shared" si="256"/>
        <v>1</v>
      </c>
      <c r="R1844" s="71">
        <f t="shared" si="257"/>
        <v>0</v>
      </c>
      <c r="S1844" s="71">
        <f t="shared" si="258"/>
        <v>0</v>
      </c>
      <c r="T1844" s="71">
        <f t="shared" si="259"/>
        <v>0</v>
      </c>
      <c r="U1844" s="71">
        <f>IF(AND(N1844=1,V1844=1),IF(COUNTIFS(AKTIVITAS!$B$2:$B$3052,B1844,AKTIVITAS!$E$2:$E$3052,H1844)&gt;0,1,0),0)</f>
        <v>0</v>
      </c>
      <c r="V1844" s="71">
        <f>IFERROR(IF(AND(H1844&gt;=INDEX(PEMAGANG!$J$3:$J$36,MATCH(B1844,PEMAGANG!$C$3:$C$36,0)),H1844&lt;=INDEX(PEMAGANG!$K$3:$K$36,MATCH(B1844,PEMAGANG!$C$3:$C$36,0))),1,0),0)</f>
        <v>0</v>
      </c>
      <c r="W1844" s="71">
        <f t="shared" si="260"/>
        <v>0</v>
      </c>
    </row>
    <row r="1845" spans="1:23" x14ac:dyDescent="0.2">
      <c r="A1845" s="71" t="s">
        <v>595</v>
      </c>
      <c r="B1845" s="71" t="s">
        <v>596</v>
      </c>
      <c r="C1845" s="71" t="s">
        <v>187</v>
      </c>
      <c r="D1845" s="71" t="s">
        <v>421</v>
      </c>
      <c r="E1845" s="71" t="s">
        <v>422</v>
      </c>
      <c r="F1845" s="71" t="s">
        <v>300</v>
      </c>
      <c r="G1845" s="88">
        <v>46220.760821759301</v>
      </c>
      <c r="H1845" s="89">
        <v>46220</v>
      </c>
      <c r="I1845" s="71" t="s">
        <v>597</v>
      </c>
      <c r="J1845" s="71">
        <v>0</v>
      </c>
      <c r="K1845" s="71" t="s">
        <v>302</v>
      </c>
      <c r="L1845" s="71">
        <f t="shared" si="252"/>
        <v>7</v>
      </c>
      <c r="M1845" s="71" t="str">
        <f>IFERROR(INDEX(KALENDER!$D$3:$D$132,MATCH(H1845,KALENDER!$A$3:$A$132,0)),"Di luar periode")</f>
        <v>Hari Kerja</v>
      </c>
      <c r="N1845" s="71">
        <f t="shared" si="253"/>
        <v>0</v>
      </c>
      <c r="O1845" s="71">
        <f t="shared" si="254"/>
        <v>1</v>
      </c>
      <c r="P1845" s="71">
        <f t="shared" si="255"/>
        <v>0</v>
      </c>
      <c r="Q1845" s="71">
        <f t="shared" si="256"/>
        <v>0</v>
      </c>
      <c r="R1845" s="71">
        <f t="shared" si="257"/>
        <v>0</v>
      </c>
      <c r="S1845" s="71">
        <f t="shared" si="258"/>
        <v>0</v>
      </c>
      <c r="T1845" s="71">
        <f t="shared" si="259"/>
        <v>0</v>
      </c>
      <c r="U1845" s="71">
        <f>IF(AND(N1845=1,V1845=1),IF(COUNTIFS(AKTIVITAS!$B$2:$B$3052,B1845,AKTIVITAS!$E$2:$E$3052,H1845)&gt;0,1,0),0)</f>
        <v>0</v>
      </c>
      <c r="V1845" s="71">
        <f>IFERROR(IF(AND(H1845&gt;=INDEX(PEMAGANG!$J$3:$J$36,MATCH(B1845,PEMAGANG!$C$3:$C$36,0)),H1845&lt;=INDEX(PEMAGANG!$K$3:$K$36,MATCH(B1845,PEMAGANG!$C$3:$C$36,0))),1,0),0)</f>
        <v>0</v>
      </c>
      <c r="W1845" s="71">
        <f t="shared" si="260"/>
        <v>0</v>
      </c>
    </row>
    <row r="1846" spans="1:23" x14ac:dyDescent="0.2">
      <c r="A1846" s="71" t="s">
        <v>595</v>
      </c>
      <c r="B1846" s="71" t="s">
        <v>596</v>
      </c>
      <c r="C1846" s="71" t="s">
        <v>187</v>
      </c>
      <c r="D1846" s="71" t="s">
        <v>421</v>
      </c>
      <c r="E1846" s="71" t="s">
        <v>422</v>
      </c>
      <c r="F1846" s="71" t="s">
        <v>298</v>
      </c>
      <c r="G1846" s="88">
        <v>46223.274849537003</v>
      </c>
      <c r="H1846" s="89">
        <v>46223</v>
      </c>
      <c r="I1846" s="71" t="s">
        <v>598</v>
      </c>
      <c r="J1846" s="71">
        <v>-85</v>
      </c>
      <c r="K1846" s="71" t="s">
        <v>302</v>
      </c>
      <c r="L1846" s="71">
        <f t="shared" si="252"/>
        <v>7</v>
      </c>
      <c r="M1846" s="71" t="str">
        <f>IFERROR(INDEX(KALENDER!$D$3:$D$132,MATCH(H1846,KALENDER!$A$3:$A$132,0)),"Di luar periode")</f>
        <v>Hari Kerja</v>
      </c>
      <c r="N1846" s="71">
        <f t="shared" si="253"/>
        <v>1</v>
      </c>
      <c r="O1846" s="71">
        <f t="shared" si="254"/>
        <v>1</v>
      </c>
      <c r="P1846" s="71">
        <f t="shared" si="255"/>
        <v>0</v>
      </c>
      <c r="Q1846" s="71">
        <f t="shared" si="256"/>
        <v>1</v>
      </c>
      <c r="R1846" s="71">
        <f t="shared" si="257"/>
        <v>0</v>
      </c>
      <c r="S1846" s="71">
        <f t="shared" si="258"/>
        <v>0</v>
      </c>
      <c r="T1846" s="71">
        <f t="shared" si="259"/>
        <v>0</v>
      </c>
      <c r="U1846" s="71">
        <f>IF(AND(N1846=1,V1846=1),IF(COUNTIFS(AKTIVITAS!$B$2:$B$3052,B1846,AKTIVITAS!$E$2:$E$3052,H1846)&gt;0,1,0),0)</f>
        <v>0</v>
      </c>
      <c r="V1846" s="71">
        <f>IFERROR(IF(AND(H1846&gt;=INDEX(PEMAGANG!$J$3:$J$36,MATCH(B1846,PEMAGANG!$C$3:$C$36,0)),H1846&lt;=INDEX(PEMAGANG!$K$3:$K$36,MATCH(B1846,PEMAGANG!$C$3:$C$36,0))),1,0),0)</f>
        <v>0</v>
      </c>
      <c r="W1846" s="71">
        <f t="shared" si="260"/>
        <v>0</v>
      </c>
    </row>
    <row r="1847" spans="1:23" x14ac:dyDescent="0.2">
      <c r="A1847" s="71" t="s">
        <v>595</v>
      </c>
      <c r="B1847" s="71" t="s">
        <v>596</v>
      </c>
      <c r="C1847" s="71" t="s">
        <v>187</v>
      </c>
      <c r="D1847" s="71" t="s">
        <v>421</v>
      </c>
      <c r="E1847" s="71" t="s">
        <v>422</v>
      </c>
      <c r="F1847" s="71" t="s">
        <v>300</v>
      </c>
      <c r="G1847" s="88">
        <v>46223.753738425898</v>
      </c>
      <c r="H1847" s="89">
        <v>46223</v>
      </c>
      <c r="I1847" s="71" t="s">
        <v>354</v>
      </c>
      <c r="J1847" s="71">
        <v>0</v>
      </c>
      <c r="K1847" s="71" t="s">
        <v>302</v>
      </c>
      <c r="L1847" s="71">
        <f t="shared" si="252"/>
        <v>7</v>
      </c>
      <c r="M1847" s="71" t="str">
        <f>IFERROR(INDEX(KALENDER!$D$3:$D$132,MATCH(H1847,KALENDER!$A$3:$A$132,0)),"Di luar periode")</f>
        <v>Hari Kerja</v>
      </c>
      <c r="N1847" s="71">
        <f t="shared" si="253"/>
        <v>0</v>
      </c>
      <c r="O1847" s="71">
        <f t="shared" si="254"/>
        <v>1</v>
      </c>
      <c r="P1847" s="71">
        <f t="shared" si="255"/>
        <v>0</v>
      </c>
      <c r="Q1847" s="71">
        <f t="shared" si="256"/>
        <v>0</v>
      </c>
      <c r="R1847" s="71">
        <f t="shared" si="257"/>
        <v>0</v>
      </c>
      <c r="S1847" s="71">
        <f t="shared" si="258"/>
        <v>0</v>
      </c>
      <c r="T1847" s="71">
        <f t="shared" si="259"/>
        <v>0</v>
      </c>
      <c r="U1847" s="71">
        <f>IF(AND(N1847=1,V1847=1),IF(COUNTIFS(AKTIVITAS!$B$2:$B$3052,B1847,AKTIVITAS!$E$2:$E$3052,H1847)&gt;0,1,0),0)</f>
        <v>0</v>
      </c>
      <c r="V1847" s="71">
        <f>IFERROR(IF(AND(H1847&gt;=INDEX(PEMAGANG!$J$3:$J$36,MATCH(B1847,PEMAGANG!$C$3:$C$36,0)),H1847&lt;=INDEX(PEMAGANG!$K$3:$K$36,MATCH(B1847,PEMAGANG!$C$3:$C$36,0))),1,0),0)</f>
        <v>0</v>
      </c>
      <c r="W1847" s="71">
        <f t="shared" si="260"/>
        <v>0</v>
      </c>
    </row>
    <row r="1848" spans="1:23" x14ac:dyDescent="0.2">
      <c r="A1848" s="71" t="s">
        <v>595</v>
      </c>
      <c r="B1848" s="71" t="s">
        <v>596</v>
      </c>
      <c r="C1848" s="71" t="s">
        <v>187</v>
      </c>
      <c r="D1848" s="71" t="s">
        <v>421</v>
      </c>
      <c r="E1848" s="71" t="s">
        <v>422</v>
      </c>
      <c r="F1848" s="71" t="s">
        <v>298</v>
      </c>
      <c r="G1848" s="88">
        <v>46224.280069444401</v>
      </c>
      <c r="H1848" s="89">
        <v>46224</v>
      </c>
      <c r="I1848" s="71" t="s">
        <v>499</v>
      </c>
      <c r="J1848" s="71">
        <v>-77</v>
      </c>
      <c r="K1848" s="71" t="s">
        <v>302</v>
      </c>
      <c r="L1848" s="71">
        <f t="shared" si="252"/>
        <v>7</v>
      </c>
      <c r="M1848" s="71" t="str">
        <f>IFERROR(INDEX(KALENDER!$D$3:$D$132,MATCH(H1848,KALENDER!$A$3:$A$132,0)),"Di luar periode")</f>
        <v>Hari Kerja</v>
      </c>
      <c r="N1848" s="71">
        <f t="shared" si="253"/>
        <v>1</v>
      </c>
      <c r="O1848" s="71">
        <f t="shared" si="254"/>
        <v>1</v>
      </c>
      <c r="P1848" s="71">
        <f t="shared" si="255"/>
        <v>0</v>
      </c>
      <c r="Q1848" s="71">
        <f t="shared" si="256"/>
        <v>1</v>
      </c>
      <c r="R1848" s="71">
        <f t="shared" si="257"/>
        <v>0</v>
      </c>
      <c r="S1848" s="71">
        <f t="shared" si="258"/>
        <v>0</v>
      </c>
      <c r="T1848" s="71">
        <f t="shared" si="259"/>
        <v>0</v>
      </c>
      <c r="U1848" s="71">
        <f>IF(AND(N1848=1,V1848=1),IF(COUNTIFS(AKTIVITAS!$B$2:$B$3052,B1848,AKTIVITAS!$E$2:$E$3052,H1848)&gt;0,1,0),0)</f>
        <v>0</v>
      </c>
      <c r="V1848" s="71">
        <f>IFERROR(IF(AND(H1848&gt;=INDEX(PEMAGANG!$J$3:$J$36,MATCH(B1848,PEMAGANG!$C$3:$C$36,0)),H1848&lt;=INDEX(PEMAGANG!$K$3:$K$36,MATCH(B1848,PEMAGANG!$C$3:$C$36,0))),1,0),0)</f>
        <v>0</v>
      </c>
      <c r="W1848" s="71">
        <f t="shared" si="260"/>
        <v>0</v>
      </c>
    </row>
    <row r="1849" spans="1:23" x14ac:dyDescent="0.2">
      <c r="A1849" s="71" t="s">
        <v>595</v>
      </c>
      <c r="B1849" s="71" t="s">
        <v>596</v>
      </c>
      <c r="C1849" s="71" t="s">
        <v>187</v>
      </c>
      <c r="D1849" s="71" t="s">
        <v>421</v>
      </c>
      <c r="E1849" s="71" t="s">
        <v>422</v>
      </c>
      <c r="F1849" s="71" t="s">
        <v>300</v>
      </c>
      <c r="G1849" s="88">
        <v>46224.755358796298</v>
      </c>
      <c r="H1849" s="89">
        <v>46224</v>
      </c>
      <c r="I1849" s="71" t="s">
        <v>599</v>
      </c>
      <c r="J1849" s="71">
        <v>0</v>
      </c>
      <c r="K1849" s="71" t="s">
        <v>302</v>
      </c>
      <c r="L1849" s="71">
        <f t="shared" si="252"/>
        <v>7</v>
      </c>
      <c r="M1849" s="71" t="str">
        <f>IFERROR(INDEX(KALENDER!$D$3:$D$132,MATCH(H1849,KALENDER!$A$3:$A$132,0)),"Di luar periode")</f>
        <v>Hari Kerja</v>
      </c>
      <c r="N1849" s="71">
        <f t="shared" si="253"/>
        <v>0</v>
      </c>
      <c r="O1849" s="71">
        <f t="shared" si="254"/>
        <v>1</v>
      </c>
      <c r="P1849" s="71">
        <f t="shared" si="255"/>
        <v>0</v>
      </c>
      <c r="Q1849" s="71">
        <f t="shared" si="256"/>
        <v>0</v>
      </c>
      <c r="R1849" s="71">
        <f t="shared" si="257"/>
        <v>0</v>
      </c>
      <c r="S1849" s="71">
        <f t="shared" si="258"/>
        <v>0</v>
      </c>
      <c r="T1849" s="71">
        <f t="shared" si="259"/>
        <v>0</v>
      </c>
      <c r="U1849" s="71">
        <f>IF(AND(N1849=1,V1849=1),IF(COUNTIFS(AKTIVITAS!$B$2:$B$3052,B1849,AKTIVITAS!$E$2:$E$3052,H1849)&gt;0,1,0),0)</f>
        <v>0</v>
      </c>
      <c r="V1849" s="71">
        <f>IFERROR(IF(AND(H1849&gt;=INDEX(PEMAGANG!$J$3:$J$36,MATCH(B1849,PEMAGANG!$C$3:$C$36,0)),H1849&lt;=INDEX(PEMAGANG!$K$3:$K$36,MATCH(B1849,PEMAGANG!$C$3:$C$36,0))),1,0),0)</f>
        <v>0</v>
      </c>
      <c r="W1849" s="71">
        <f t="shared" si="260"/>
        <v>0</v>
      </c>
    </row>
    <row r="1850" spans="1:23" x14ac:dyDescent="0.2">
      <c r="A1850" s="71" t="s">
        <v>595</v>
      </c>
      <c r="B1850" s="71" t="s">
        <v>596</v>
      </c>
      <c r="C1850" s="71" t="s">
        <v>187</v>
      </c>
      <c r="D1850" s="71" t="s">
        <v>421</v>
      </c>
      <c r="E1850" s="71" t="s">
        <v>422</v>
      </c>
      <c r="F1850" s="71" t="s">
        <v>298</v>
      </c>
      <c r="G1850" s="88">
        <v>46225.279907407399</v>
      </c>
      <c r="H1850" s="89">
        <v>46225</v>
      </c>
      <c r="I1850" s="71" t="s">
        <v>499</v>
      </c>
      <c r="J1850" s="71">
        <v>-77</v>
      </c>
      <c r="K1850" s="71" t="s">
        <v>302</v>
      </c>
      <c r="L1850" s="71">
        <f t="shared" si="252"/>
        <v>7</v>
      </c>
      <c r="M1850" s="71" t="str">
        <f>IFERROR(INDEX(KALENDER!$D$3:$D$132,MATCH(H1850,KALENDER!$A$3:$A$132,0)),"Di luar periode")</f>
        <v>WFH</v>
      </c>
      <c r="N1850" s="71">
        <f t="shared" si="253"/>
        <v>1</v>
      </c>
      <c r="O1850" s="71">
        <f t="shared" si="254"/>
        <v>1</v>
      </c>
      <c r="P1850" s="71">
        <f t="shared" si="255"/>
        <v>0</v>
      </c>
      <c r="Q1850" s="71">
        <f t="shared" si="256"/>
        <v>1</v>
      </c>
      <c r="R1850" s="71">
        <f t="shared" si="257"/>
        <v>0</v>
      </c>
      <c r="S1850" s="71">
        <f t="shared" si="258"/>
        <v>0</v>
      </c>
      <c r="T1850" s="71">
        <f t="shared" si="259"/>
        <v>0</v>
      </c>
      <c r="U1850" s="71">
        <f>IF(AND(N1850=1,V1850=1),IF(COUNTIFS(AKTIVITAS!$B$2:$B$3052,B1850,AKTIVITAS!$E$2:$E$3052,H1850)&gt;0,1,0),0)</f>
        <v>0</v>
      </c>
      <c r="V1850" s="71">
        <f>IFERROR(IF(AND(H1850&gt;=INDEX(PEMAGANG!$J$3:$J$36,MATCH(B1850,PEMAGANG!$C$3:$C$36,0)),H1850&lt;=INDEX(PEMAGANG!$K$3:$K$36,MATCH(B1850,PEMAGANG!$C$3:$C$36,0))),1,0),0)</f>
        <v>0</v>
      </c>
      <c r="W1850" s="71">
        <f t="shared" si="260"/>
        <v>0</v>
      </c>
    </row>
    <row r="1851" spans="1:23" x14ac:dyDescent="0.2">
      <c r="A1851" s="71" t="s">
        <v>595</v>
      </c>
      <c r="B1851" s="71" t="s">
        <v>596</v>
      </c>
      <c r="C1851" s="71" t="s">
        <v>187</v>
      </c>
      <c r="D1851" s="71" t="s">
        <v>421</v>
      </c>
      <c r="E1851" s="71" t="s">
        <v>422</v>
      </c>
      <c r="F1851" s="71" t="s">
        <v>300</v>
      </c>
      <c r="G1851" s="88">
        <v>46225.753020833297</v>
      </c>
      <c r="H1851" s="89">
        <v>46225</v>
      </c>
      <c r="I1851" s="71" t="s">
        <v>468</v>
      </c>
      <c r="J1851" s="71">
        <v>0</v>
      </c>
      <c r="K1851" s="71" t="s">
        <v>302</v>
      </c>
      <c r="L1851" s="71">
        <f t="shared" si="252"/>
        <v>7</v>
      </c>
      <c r="M1851" s="71" t="str">
        <f>IFERROR(INDEX(KALENDER!$D$3:$D$132,MATCH(H1851,KALENDER!$A$3:$A$132,0)),"Di luar periode")</f>
        <v>WFH</v>
      </c>
      <c r="N1851" s="71">
        <f t="shared" si="253"/>
        <v>0</v>
      </c>
      <c r="O1851" s="71">
        <f t="shared" si="254"/>
        <v>1</v>
      </c>
      <c r="P1851" s="71">
        <f t="shared" si="255"/>
        <v>0</v>
      </c>
      <c r="Q1851" s="71">
        <f t="shared" si="256"/>
        <v>0</v>
      </c>
      <c r="R1851" s="71">
        <f t="shared" si="257"/>
        <v>0</v>
      </c>
      <c r="S1851" s="71">
        <f t="shared" si="258"/>
        <v>0</v>
      </c>
      <c r="T1851" s="71">
        <f t="shared" si="259"/>
        <v>0</v>
      </c>
      <c r="U1851" s="71">
        <f>IF(AND(N1851=1,V1851=1),IF(COUNTIFS(AKTIVITAS!$B$2:$B$3052,B1851,AKTIVITAS!$E$2:$E$3052,H1851)&gt;0,1,0),0)</f>
        <v>0</v>
      </c>
      <c r="V1851" s="71">
        <f>IFERROR(IF(AND(H1851&gt;=INDEX(PEMAGANG!$J$3:$J$36,MATCH(B1851,PEMAGANG!$C$3:$C$36,0)),H1851&lt;=INDEX(PEMAGANG!$K$3:$K$36,MATCH(B1851,PEMAGANG!$C$3:$C$36,0))),1,0),0)</f>
        <v>0</v>
      </c>
      <c r="W1851" s="71">
        <f t="shared" si="260"/>
        <v>0</v>
      </c>
    </row>
    <row r="1852" spans="1:23" x14ac:dyDescent="0.2">
      <c r="A1852" s="71" t="s">
        <v>595</v>
      </c>
      <c r="B1852" s="71" t="s">
        <v>596</v>
      </c>
      <c r="C1852" s="71" t="s">
        <v>187</v>
      </c>
      <c r="D1852" s="71" t="s">
        <v>421</v>
      </c>
      <c r="E1852" s="71" t="s">
        <v>422</v>
      </c>
      <c r="F1852" s="71" t="s">
        <v>298</v>
      </c>
      <c r="G1852" s="88">
        <v>46226.278773148202</v>
      </c>
      <c r="H1852" s="89">
        <v>46226</v>
      </c>
      <c r="I1852" s="71" t="s">
        <v>494</v>
      </c>
      <c r="J1852" s="71">
        <v>-79</v>
      </c>
      <c r="K1852" s="71" t="s">
        <v>302</v>
      </c>
      <c r="L1852" s="71">
        <f t="shared" si="252"/>
        <v>7</v>
      </c>
      <c r="M1852" s="71" t="str">
        <f>IFERROR(INDEX(KALENDER!$D$3:$D$132,MATCH(H1852,KALENDER!$A$3:$A$132,0)),"Di luar periode")</f>
        <v>Hari Kerja</v>
      </c>
      <c r="N1852" s="71">
        <f t="shared" si="253"/>
        <v>1</v>
      </c>
      <c r="O1852" s="71">
        <f t="shared" si="254"/>
        <v>1</v>
      </c>
      <c r="P1852" s="71">
        <f t="shared" si="255"/>
        <v>0</v>
      </c>
      <c r="Q1852" s="71">
        <f t="shared" si="256"/>
        <v>1</v>
      </c>
      <c r="R1852" s="71">
        <f t="shared" si="257"/>
        <v>0</v>
      </c>
      <c r="S1852" s="71">
        <f t="shared" si="258"/>
        <v>0</v>
      </c>
      <c r="T1852" s="71">
        <f t="shared" si="259"/>
        <v>0</v>
      </c>
      <c r="U1852" s="71">
        <f>IF(AND(N1852=1,V1852=1),IF(COUNTIFS(AKTIVITAS!$B$2:$B$3052,B1852,AKTIVITAS!$E$2:$E$3052,H1852)&gt;0,1,0),0)</f>
        <v>0</v>
      </c>
      <c r="V1852" s="71">
        <f>IFERROR(IF(AND(H1852&gt;=INDEX(PEMAGANG!$J$3:$J$36,MATCH(B1852,PEMAGANG!$C$3:$C$36,0)),H1852&lt;=INDEX(PEMAGANG!$K$3:$K$36,MATCH(B1852,PEMAGANG!$C$3:$C$36,0))),1,0),0)</f>
        <v>0</v>
      </c>
      <c r="W1852" s="71">
        <f t="shared" si="260"/>
        <v>0</v>
      </c>
    </row>
    <row r="1853" spans="1:23" x14ac:dyDescent="0.2">
      <c r="A1853" s="71" t="s">
        <v>595</v>
      </c>
      <c r="B1853" s="71" t="s">
        <v>596</v>
      </c>
      <c r="C1853" s="71" t="s">
        <v>187</v>
      </c>
      <c r="D1853" s="71" t="s">
        <v>421</v>
      </c>
      <c r="E1853" s="71" t="s">
        <v>422</v>
      </c>
      <c r="F1853" s="71" t="s">
        <v>300</v>
      </c>
      <c r="G1853" s="88">
        <v>46226.752256944397</v>
      </c>
      <c r="H1853" s="89">
        <v>46226</v>
      </c>
      <c r="I1853" s="71" t="s">
        <v>398</v>
      </c>
      <c r="J1853" s="71">
        <v>0</v>
      </c>
      <c r="K1853" s="71" t="s">
        <v>302</v>
      </c>
      <c r="L1853" s="71">
        <f t="shared" si="252"/>
        <v>7</v>
      </c>
      <c r="M1853" s="71" t="str">
        <f>IFERROR(INDEX(KALENDER!$D$3:$D$132,MATCH(H1853,KALENDER!$A$3:$A$132,0)),"Di luar periode")</f>
        <v>Hari Kerja</v>
      </c>
      <c r="N1853" s="71">
        <f t="shared" si="253"/>
        <v>0</v>
      </c>
      <c r="O1853" s="71">
        <f t="shared" si="254"/>
        <v>1</v>
      </c>
      <c r="P1853" s="71">
        <f t="shared" si="255"/>
        <v>0</v>
      </c>
      <c r="Q1853" s="71">
        <f t="shared" si="256"/>
        <v>0</v>
      </c>
      <c r="R1853" s="71">
        <f t="shared" si="257"/>
        <v>0</v>
      </c>
      <c r="S1853" s="71">
        <f t="shared" si="258"/>
        <v>0</v>
      </c>
      <c r="T1853" s="71">
        <f t="shared" si="259"/>
        <v>0</v>
      </c>
      <c r="U1853" s="71">
        <f>IF(AND(N1853=1,V1853=1),IF(COUNTIFS(AKTIVITAS!$B$2:$B$3052,B1853,AKTIVITAS!$E$2:$E$3052,H1853)&gt;0,1,0),0)</f>
        <v>0</v>
      </c>
      <c r="V1853" s="71">
        <f>IFERROR(IF(AND(H1853&gt;=INDEX(PEMAGANG!$J$3:$J$36,MATCH(B1853,PEMAGANG!$C$3:$C$36,0)),H1853&lt;=INDEX(PEMAGANG!$K$3:$K$36,MATCH(B1853,PEMAGANG!$C$3:$C$36,0))),1,0),0)</f>
        <v>0</v>
      </c>
      <c r="W1853" s="71">
        <f t="shared" si="260"/>
        <v>0</v>
      </c>
    </row>
    <row r="1854" spans="1:23" x14ac:dyDescent="0.2">
      <c r="A1854" s="71" t="s">
        <v>595</v>
      </c>
      <c r="B1854" s="71" t="s">
        <v>596</v>
      </c>
      <c r="C1854" s="71" t="s">
        <v>187</v>
      </c>
      <c r="D1854" s="71" t="s">
        <v>421</v>
      </c>
      <c r="E1854" s="71" t="s">
        <v>422</v>
      </c>
      <c r="F1854" s="71" t="s">
        <v>298</v>
      </c>
      <c r="G1854" s="88">
        <v>46227.2811111111</v>
      </c>
      <c r="H1854" s="89">
        <v>46227</v>
      </c>
      <c r="I1854" s="71" t="s">
        <v>501</v>
      </c>
      <c r="J1854" s="71">
        <v>-76</v>
      </c>
      <c r="K1854" s="71" t="s">
        <v>302</v>
      </c>
      <c r="L1854" s="71">
        <f t="shared" si="252"/>
        <v>7</v>
      </c>
      <c r="M1854" s="71" t="str">
        <f>IFERROR(INDEX(KALENDER!$D$3:$D$132,MATCH(H1854,KALENDER!$A$3:$A$132,0)),"Di luar periode")</f>
        <v>Hari Kerja</v>
      </c>
      <c r="N1854" s="71">
        <f t="shared" si="253"/>
        <v>1</v>
      </c>
      <c r="O1854" s="71">
        <f t="shared" si="254"/>
        <v>1</v>
      </c>
      <c r="P1854" s="71">
        <f t="shared" si="255"/>
        <v>0</v>
      </c>
      <c r="Q1854" s="71">
        <f t="shared" si="256"/>
        <v>1</v>
      </c>
      <c r="R1854" s="71">
        <f t="shared" si="257"/>
        <v>0</v>
      </c>
      <c r="S1854" s="71">
        <f t="shared" si="258"/>
        <v>0</v>
      </c>
      <c r="T1854" s="71">
        <f t="shared" si="259"/>
        <v>0</v>
      </c>
      <c r="U1854" s="71">
        <f>IF(AND(N1854=1,V1854=1),IF(COUNTIFS(AKTIVITAS!$B$2:$B$3052,B1854,AKTIVITAS!$E$2:$E$3052,H1854)&gt;0,1,0),0)</f>
        <v>0</v>
      </c>
      <c r="V1854" s="71">
        <f>IFERROR(IF(AND(H1854&gt;=INDEX(PEMAGANG!$J$3:$J$36,MATCH(B1854,PEMAGANG!$C$3:$C$36,0)),H1854&lt;=INDEX(PEMAGANG!$K$3:$K$36,MATCH(B1854,PEMAGANG!$C$3:$C$36,0))),1,0),0)</f>
        <v>0</v>
      </c>
      <c r="W1854" s="71">
        <f t="shared" si="260"/>
        <v>0</v>
      </c>
    </row>
    <row r="1855" spans="1:23" x14ac:dyDescent="0.2">
      <c r="A1855" s="71" t="s">
        <v>595</v>
      </c>
      <c r="B1855" s="71" t="s">
        <v>596</v>
      </c>
      <c r="C1855" s="71" t="s">
        <v>187</v>
      </c>
      <c r="D1855" s="71" t="s">
        <v>421</v>
      </c>
      <c r="E1855" s="71" t="s">
        <v>422</v>
      </c>
      <c r="F1855" s="71" t="s">
        <v>300</v>
      </c>
      <c r="G1855" s="88">
        <v>46227.753182870401</v>
      </c>
      <c r="H1855" s="89">
        <v>46227</v>
      </c>
      <c r="I1855" s="71" t="s">
        <v>468</v>
      </c>
      <c r="J1855" s="71">
        <v>0</v>
      </c>
      <c r="K1855" s="71" t="s">
        <v>302</v>
      </c>
      <c r="L1855" s="71">
        <f t="shared" si="252"/>
        <v>7</v>
      </c>
      <c r="M1855" s="71" t="str">
        <f>IFERROR(INDEX(KALENDER!$D$3:$D$132,MATCH(H1855,KALENDER!$A$3:$A$132,0)),"Di luar periode")</f>
        <v>Hari Kerja</v>
      </c>
      <c r="N1855" s="71">
        <f t="shared" si="253"/>
        <v>0</v>
      </c>
      <c r="O1855" s="71">
        <f t="shared" si="254"/>
        <v>1</v>
      </c>
      <c r="P1855" s="71">
        <f t="shared" si="255"/>
        <v>0</v>
      </c>
      <c r="Q1855" s="71">
        <f t="shared" si="256"/>
        <v>0</v>
      </c>
      <c r="R1855" s="71">
        <f t="shared" si="257"/>
        <v>0</v>
      </c>
      <c r="S1855" s="71">
        <f t="shared" si="258"/>
        <v>0</v>
      </c>
      <c r="T1855" s="71">
        <f t="shared" si="259"/>
        <v>0</v>
      </c>
      <c r="U1855" s="71">
        <f>IF(AND(N1855=1,V1855=1),IF(COUNTIFS(AKTIVITAS!$B$2:$B$3052,B1855,AKTIVITAS!$E$2:$E$3052,H1855)&gt;0,1,0),0)</f>
        <v>0</v>
      </c>
      <c r="V1855" s="71">
        <f>IFERROR(IF(AND(H1855&gt;=INDEX(PEMAGANG!$J$3:$J$36,MATCH(B1855,PEMAGANG!$C$3:$C$36,0)),H1855&lt;=INDEX(PEMAGANG!$K$3:$K$36,MATCH(B1855,PEMAGANG!$C$3:$C$36,0))),1,0),0)</f>
        <v>0</v>
      </c>
      <c r="W1855" s="71">
        <f t="shared" si="260"/>
        <v>0</v>
      </c>
    </row>
    <row r="1856" spans="1:23" x14ac:dyDescent="0.2">
      <c r="A1856" s="71" t="s">
        <v>595</v>
      </c>
      <c r="B1856" s="71" t="s">
        <v>596</v>
      </c>
      <c r="C1856" s="71" t="s">
        <v>187</v>
      </c>
      <c r="D1856" s="71" t="s">
        <v>421</v>
      </c>
      <c r="E1856" s="71" t="s">
        <v>422</v>
      </c>
      <c r="F1856" s="71" t="s">
        <v>298</v>
      </c>
      <c r="G1856" s="88">
        <v>46230.270775463003</v>
      </c>
      <c r="H1856" s="89">
        <v>46230</v>
      </c>
      <c r="I1856" s="71" t="s">
        <v>496</v>
      </c>
      <c r="J1856" s="71">
        <v>-91</v>
      </c>
      <c r="K1856" s="71" t="s">
        <v>302</v>
      </c>
      <c r="L1856" s="71">
        <f t="shared" si="252"/>
        <v>7</v>
      </c>
      <c r="M1856" s="71" t="str">
        <f>IFERROR(INDEX(KALENDER!$D$3:$D$132,MATCH(H1856,KALENDER!$A$3:$A$132,0)),"Di luar periode")</f>
        <v>Hari Kerja</v>
      </c>
      <c r="N1856" s="71">
        <f t="shared" si="253"/>
        <v>1</v>
      </c>
      <c r="O1856" s="71">
        <f t="shared" si="254"/>
        <v>1</v>
      </c>
      <c r="P1856" s="71">
        <f t="shared" si="255"/>
        <v>0</v>
      </c>
      <c r="Q1856" s="71">
        <f t="shared" si="256"/>
        <v>1</v>
      </c>
      <c r="R1856" s="71">
        <f t="shared" si="257"/>
        <v>0</v>
      </c>
      <c r="S1856" s="71">
        <f t="shared" si="258"/>
        <v>0</v>
      </c>
      <c r="T1856" s="71">
        <f t="shared" si="259"/>
        <v>0</v>
      </c>
      <c r="U1856" s="71">
        <f>IF(AND(N1856=1,V1856=1),IF(COUNTIFS(AKTIVITAS!$B$2:$B$3052,B1856,AKTIVITAS!$E$2:$E$3052,H1856)&gt;0,1,0),0)</f>
        <v>0</v>
      </c>
      <c r="V1856" s="71">
        <f>IFERROR(IF(AND(H1856&gt;=INDEX(PEMAGANG!$J$3:$J$36,MATCH(B1856,PEMAGANG!$C$3:$C$36,0)),H1856&lt;=INDEX(PEMAGANG!$K$3:$K$36,MATCH(B1856,PEMAGANG!$C$3:$C$36,0))),1,0),0)</f>
        <v>0</v>
      </c>
      <c r="W1856" s="71">
        <f t="shared" si="260"/>
        <v>0</v>
      </c>
    </row>
    <row r="1857" spans="1:23" x14ac:dyDescent="0.2">
      <c r="A1857" s="71" t="s">
        <v>595</v>
      </c>
      <c r="B1857" s="71" t="s">
        <v>596</v>
      </c>
      <c r="C1857" s="71" t="s">
        <v>187</v>
      </c>
      <c r="D1857" s="71" t="s">
        <v>421</v>
      </c>
      <c r="E1857" s="71" t="s">
        <v>422</v>
      </c>
      <c r="F1857" s="71" t="s">
        <v>300</v>
      </c>
      <c r="G1857" s="88">
        <v>46230.7515277778</v>
      </c>
      <c r="H1857" s="89">
        <v>46230</v>
      </c>
      <c r="I1857" s="71" t="s">
        <v>432</v>
      </c>
      <c r="J1857" s="71">
        <v>0</v>
      </c>
      <c r="K1857" s="71" t="s">
        <v>302</v>
      </c>
      <c r="L1857" s="71">
        <f t="shared" si="252"/>
        <v>7</v>
      </c>
      <c r="M1857" s="71" t="str">
        <f>IFERROR(INDEX(KALENDER!$D$3:$D$132,MATCH(H1857,KALENDER!$A$3:$A$132,0)),"Di luar periode")</f>
        <v>Hari Kerja</v>
      </c>
      <c r="N1857" s="71">
        <f t="shared" si="253"/>
        <v>0</v>
      </c>
      <c r="O1857" s="71">
        <f t="shared" si="254"/>
        <v>1</v>
      </c>
      <c r="P1857" s="71">
        <f t="shared" si="255"/>
        <v>0</v>
      </c>
      <c r="Q1857" s="71">
        <f t="shared" si="256"/>
        <v>0</v>
      </c>
      <c r="R1857" s="71">
        <f t="shared" si="257"/>
        <v>0</v>
      </c>
      <c r="S1857" s="71">
        <f t="shared" si="258"/>
        <v>0</v>
      </c>
      <c r="T1857" s="71">
        <f t="shared" si="259"/>
        <v>0</v>
      </c>
      <c r="U1857" s="71">
        <f>IF(AND(N1857=1,V1857=1),IF(COUNTIFS(AKTIVITAS!$B$2:$B$3052,B1857,AKTIVITAS!$E$2:$E$3052,H1857)&gt;0,1,0),0)</f>
        <v>0</v>
      </c>
      <c r="V1857" s="71">
        <f>IFERROR(IF(AND(H1857&gt;=INDEX(PEMAGANG!$J$3:$J$36,MATCH(B1857,PEMAGANG!$C$3:$C$36,0)),H1857&lt;=INDEX(PEMAGANG!$K$3:$K$36,MATCH(B1857,PEMAGANG!$C$3:$C$36,0))),1,0),0)</f>
        <v>0</v>
      </c>
      <c r="W1857" s="71">
        <f t="shared" si="260"/>
        <v>0</v>
      </c>
    </row>
    <row r="1858" spans="1:23" x14ac:dyDescent="0.2">
      <c r="A1858" s="71" t="s">
        <v>595</v>
      </c>
      <c r="B1858" s="71" t="s">
        <v>596</v>
      </c>
      <c r="C1858" s="71" t="s">
        <v>187</v>
      </c>
      <c r="D1858" s="71" t="s">
        <v>421</v>
      </c>
      <c r="E1858" s="71" t="s">
        <v>422</v>
      </c>
      <c r="F1858" s="71" t="s">
        <v>298</v>
      </c>
      <c r="G1858" s="88">
        <v>46231.276099536997</v>
      </c>
      <c r="H1858" s="89">
        <v>46231</v>
      </c>
      <c r="I1858" s="71" t="s">
        <v>493</v>
      </c>
      <c r="J1858" s="71">
        <v>-82.999999999999901</v>
      </c>
      <c r="K1858" s="71" t="s">
        <v>302</v>
      </c>
      <c r="L1858" s="71">
        <f t="shared" ref="L1858:L1921" si="261">MONTH(H1858)</f>
        <v>7</v>
      </c>
      <c r="M1858" s="71" t="str">
        <f>IFERROR(INDEX(KALENDER!$D$3:$D$132,MATCH(H1858,KALENDER!$A$3:$A$132,0)),"Di luar periode")</f>
        <v>Hari Kerja</v>
      </c>
      <c r="N1858" s="71">
        <f t="shared" ref="N1858:N1921" si="262">IF(AND(B1858=B1857,H1858=H1857),0,1)</f>
        <v>1</v>
      </c>
      <c r="O1858" s="71">
        <f t="shared" ref="O1858:O1921" si="263">IF(N1858=1,0,O1857)+IF(F1858="MASUK",1,0)</f>
        <v>1</v>
      </c>
      <c r="P1858" s="71">
        <f t="shared" ref="P1858:P1921" si="264">IF(AND(N1858=1,M1858="Hari Kerja",V1858=1),1,0)</f>
        <v>0</v>
      </c>
      <c r="Q1858" s="71">
        <f t="shared" ref="Q1858:Q1921" si="265">IF(AND(N1858=1,OR(M1858&lt;&gt;"Hari Kerja",V1858=0)),1,0)</f>
        <v>1</v>
      </c>
      <c r="R1858" s="71">
        <f t="shared" ref="R1858:R1921" si="266">IF(AND(F1858="MASUK",O1858=1,N(J1858)&gt;0,V1858=1),1,0)</f>
        <v>0</v>
      </c>
      <c r="S1858" s="71">
        <f t="shared" ref="S1858:S1921" si="267">R1858*N(J1858)</f>
        <v>0</v>
      </c>
      <c r="T1858" s="71">
        <f t="shared" ref="T1858:T1921" si="268">IF(AND(N1858=1,V1858=1),IF(AND(COUNTIFS($B$2:$B$4094,B1858,$H$2:$H$4094,H1858,$F$2:$F$4094,"MASUK")&gt;0,COUNTIFS($B$2:$B$4094,B1858,$H$2:$H$4094,H1858,$F$2:$F$4094,"PULANG")=0),1,0),0)</f>
        <v>0</v>
      </c>
      <c r="U1858" s="71">
        <f>IF(AND(N1858=1,V1858=1),IF(COUNTIFS(AKTIVITAS!$B$2:$B$3052,B1858,AKTIVITAS!$E$2:$E$3052,H1858)&gt;0,1,0),0)</f>
        <v>0</v>
      </c>
      <c r="V1858" s="71">
        <f>IFERROR(IF(AND(H1858&gt;=INDEX(PEMAGANG!$J$3:$J$36,MATCH(B1858,PEMAGANG!$C$3:$C$36,0)),H1858&lt;=INDEX(PEMAGANG!$K$3:$K$36,MATCH(B1858,PEMAGANG!$C$3:$C$36,0))),1,0),0)</f>
        <v>0</v>
      </c>
      <c r="W1858" s="71">
        <f t="shared" ref="W1858:W1921" si="269">N1858*V1858</f>
        <v>0</v>
      </c>
    </row>
    <row r="1859" spans="1:23" x14ac:dyDescent="0.2">
      <c r="A1859" s="71" t="s">
        <v>595</v>
      </c>
      <c r="B1859" s="71" t="s">
        <v>596</v>
      </c>
      <c r="C1859" s="71" t="s">
        <v>187</v>
      </c>
      <c r="D1859" s="71" t="s">
        <v>421</v>
      </c>
      <c r="E1859" s="71" t="s">
        <v>422</v>
      </c>
      <c r="F1859" s="71" t="s">
        <v>300</v>
      </c>
      <c r="G1859" s="88">
        <v>46231.753634259301</v>
      </c>
      <c r="H1859" s="89">
        <v>46231</v>
      </c>
      <c r="I1859" s="71" t="s">
        <v>354</v>
      </c>
      <c r="J1859" s="71">
        <v>0</v>
      </c>
      <c r="K1859" s="71" t="s">
        <v>302</v>
      </c>
      <c r="L1859" s="71">
        <f t="shared" si="261"/>
        <v>7</v>
      </c>
      <c r="M1859" s="71" t="str">
        <f>IFERROR(INDEX(KALENDER!$D$3:$D$132,MATCH(H1859,KALENDER!$A$3:$A$132,0)),"Di luar periode")</f>
        <v>Hari Kerja</v>
      </c>
      <c r="N1859" s="71">
        <f t="shared" si="262"/>
        <v>0</v>
      </c>
      <c r="O1859" s="71">
        <f t="shared" si="263"/>
        <v>1</v>
      </c>
      <c r="P1859" s="71">
        <f t="shared" si="264"/>
        <v>0</v>
      </c>
      <c r="Q1859" s="71">
        <f t="shared" si="265"/>
        <v>0</v>
      </c>
      <c r="R1859" s="71">
        <f t="shared" si="266"/>
        <v>0</v>
      </c>
      <c r="S1859" s="71">
        <f t="shared" si="267"/>
        <v>0</v>
      </c>
      <c r="T1859" s="71">
        <f t="shared" si="268"/>
        <v>0</v>
      </c>
      <c r="U1859" s="71">
        <f>IF(AND(N1859=1,V1859=1),IF(COUNTIFS(AKTIVITAS!$B$2:$B$3052,B1859,AKTIVITAS!$E$2:$E$3052,H1859)&gt;0,1,0),0)</f>
        <v>0</v>
      </c>
      <c r="V1859" s="71">
        <f>IFERROR(IF(AND(H1859&gt;=INDEX(PEMAGANG!$J$3:$J$36,MATCH(B1859,PEMAGANG!$C$3:$C$36,0)),H1859&lt;=INDEX(PEMAGANG!$K$3:$K$36,MATCH(B1859,PEMAGANG!$C$3:$C$36,0))),1,0),0)</f>
        <v>0</v>
      </c>
      <c r="W1859" s="71">
        <f t="shared" si="269"/>
        <v>0</v>
      </c>
    </row>
    <row r="1860" spans="1:23" x14ac:dyDescent="0.2">
      <c r="A1860" s="71" t="s">
        <v>595</v>
      </c>
      <c r="B1860" s="71" t="s">
        <v>596</v>
      </c>
      <c r="C1860" s="71" t="s">
        <v>187</v>
      </c>
      <c r="D1860" s="71" t="s">
        <v>421</v>
      </c>
      <c r="E1860" s="71" t="s">
        <v>422</v>
      </c>
      <c r="F1860" s="71" t="s">
        <v>298</v>
      </c>
      <c r="G1860" s="88">
        <v>46232.280300925901</v>
      </c>
      <c r="H1860" s="89">
        <v>46232</v>
      </c>
      <c r="I1860" s="71" t="s">
        <v>499</v>
      </c>
      <c r="J1860" s="71">
        <v>-77</v>
      </c>
      <c r="K1860" s="71" t="s">
        <v>302</v>
      </c>
      <c r="L1860" s="71">
        <f t="shared" si="261"/>
        <v>7</v>
      </c>
      <c r="M1860" s="71" t="str">
        <f>IFERROR(INDEX(KALENDER!$D$3:$D$132,MATCH(H1860,KALENDER!$A$3:$A$132,0)),"Di luar periode")</f>
        <v>WFH</v>
      </c>
      <c r="N1860" s="71">
        <f t="shared" si="262"/>
        <v>1</v>
      </c>
      <c r="O1860" s="71">
        <f t="shared" si="263"/>
        <v>1</v>
      </c>
      <c r="P1860" s="71">
        <f t="shared" si="264"/>
        <v>0</v>
      </c>
      <c r="Q1860" s="71">
        <f t="shared" si="265"/>
        <v>1</v>
      </c>
      <c r="R1860" s="71">
        <f t="shared" si="266"/>
        <v>0</v>
      </c>
      <c r="S1860" s="71">
        <f t="shared" si="267"/>
        <v>0</v>
      </c>
      <c r="T1860" s="71">
        <f t="shared" si="268"/>
        <v>0</v>
      </c>
      <c r="U1860" s="71">
        <f>IF(AND(N1860=1,V1860=1),IF(COUNTIFS(AKTIVITAS!$B$2:$B$3052,B1860,AKTIVITAS!$E$2:$E$3052,H1860)&gt;0,1,0),0)</f>
        <v>0</v>
      </c>
      <c r="V1860" s="71">
        <f>IFERROR(IF(AND(H1860&gt;=INDEX(PEMAGANG!$J$3:$J$36,MATCH(B1860,PEMAGANG!$C$3:$C$36,0)),H1860&lt;=INDEX(PEMAGANG!$K$3:$K$36,MATCH(B1860,PEMAGANG!$C$3:$C$36,0))),1,0),0)</f>
        <v>0</v>
      </c>
      <c r="W1860" s="71">
        <f t="shared" si="269"/>
        <v>0</v>
      </c>
    </row>
    <row r="1861" spans="1:23" x14ac:dyDescent="0.2">
      <c r="A1861" s="71" t="s">
        <v>595</v>
      </c>
      <c r="B1861" s="71" t="s">
        <v>596</v>
      </c>
      <c r="C1861" s="71" t="s">
        <v>187</v>
      </c>
      <c r="D1861" s="71" t="s">
        <v>421</v>
      </c>
      <c r="E1861" s="71" t="s">
        <v>422</v>
      </c>
      <c r="F1861" s="71" t="s">
        <v>300</v>
      </c>
      <c r="G1861" s="88">
        <v>46232.752083333296</v>
      </c>
      <c r="H1861" s="89">
        <v>46232</v>
      </c>
      <c r="I1861" s="71" t="s">
        <v>398</v>
      </c>
      <c r="J1861" s="71">
        <v>0</v>
      </c>
      <c r="K1861" s="71" t="s">
        <v>302</v>
      </c>
      <c r="L1861" s="71">
        <f t="shared" si="261"/>
        <v>7</v>
      </c>
      <c r="M1861" s="71" t="str">
        <f>IFERROR(INDEX(KALENDER!$D$3:$D$132,MATCH(H1861,KALENDER!$A$3:$A$132,0)),"Di luar periode")</f>
        <v>WFH</v>
      </c>
      <c r="N1861" s="71">
        <f t="shared" si="262"/>
        <v>0</v>
      </c>
      <c r="O1861" s="71">
        <f t="shared" si="263"/>
        <v>1</v>
      </c>
      <c r="P1861" s="71">
        <f t="shared" si="264"/>
        <v>0</v>
      </c>
      <c r="Q1861" s="71">
        <f t="shared" si="265"/>
        <v>0</v>
      </c>
      <c r="R1861" s="71">
        <f t="shared" si="266"/>
        <v>0</v>
      </c>
      <c r="S1861" s="71">
        <f t="shared" si="267"/>
        <v>0</v>
      </c>
      <c r="T1861" s="71">
        <f t="shared" si="268"/>
        <v>0</v>
      </c>
      <c r="U1861" s="71">
        <f>IF(AND(N1861=1,V1861=1),IF(COUNTIFS(AKTIVITAS!$B$2:$B$3052,B1861,AKTIVITAS!$E$2:$E$3052,H1861)&gt;0,1,0),0)</f>
        <v>0</v>
      </c>
      <c r="V1861" s="71">
        <f>IFERROR(IF(AND(H1861&gt;=INDEX(PEMAGANG!$J$3:$J$36,MATCH(B1861,PEMAGANG!$C$3:$C$36,0)),H1861&lt;=INDEX(PEMAGANG!$K$3:$K$36,MATCH(B1861,PEMAGANG!$C$3:$C$36,0))),1,0),0)</f>
        <v>0</v>
      </c>
      <c r="W1861" s="71">
        <f t="shared" si="269"/>
        <v>0</v>
      </c>
    </row>
    <row r="1862" spans="1:23" x14ac:dyDescent="0.2">
      <c r="A1862" s="71" t="s">
        <v>595</v>
      </c>
      <c r="B1862" s="71" t="s">
        <v>596</v>
      </c>
      <c r="C1862" s="71" t="s">
        <v>187</v>
      </c>
      <c r="D1862" s="71" t="s">
        <v>421</v>
      </c>
      <c r="E1862" s="71" t="s">
        <v>422</v>
      </c>
      <c r="F1862" s="71" t="s">
        <v>298</v>
      </c>
      <c r="G1862" s="88">
        <v>46233.278680555602</v>
      </c>
      <c r="H1862" s="89">
        <v>46233</v>
      </c>
      <c r="I1862" s="71" t="s">
        <v>494</v>
      </c>
      <c r="J1862" s="71">
        <v>-79</v>
      </c>
      <c r="K1862" s="71" t="s">
        <v>302</v>
      </c>
      <c r="L1862" s="71">
        <f t="shared" si="261"/>
        <v>7</v>
      </c>
      <c r="M1862" s="71" t="str">
        <f>IFERROR(INDEX(KALENDER!$D$3:$D$132,MATCH(H1862,KALENDER!$A$3:$A$132,0)),"Di luar periode")</f>
        <v>Hari Kerja</v>
      </c>
      <c r="N1862" s="71">
        <f t="shared" si="262"/>
        <v>1</v>
      </c>
      <c r="O1862" s="71">
        <f t="shared" si="263"/>
        <v>1</v>
      </c>
      <c r="P1862" s="71">
        <f t="shared" si="264"/>
        <v>0</v>
      </c>
      <c r="Q1862" s="71">
        <f t="shared" si="265"/>
        <v>1</v>
      </c>
      <c r="R1862" s="71">
        <f t="shared" si="266"/>
        <v>0</v>
      </c>
      <c r="S1862" s="71">
        <f t="shared" si="267"/>
        <v>0</v>
      </c>
      <c r="T1862" s="71">
        <f t="shared" si="268"/>
        <v>0</v>
      </c>
      <c r="U1862" s="71">
        <f>IF(AND(N1862=1,V1862=1),IF(COUNTIFS(AKTIVITAS!$B$2:$B$3052,B1862,AKTIVITAS!$E$2:$E$3052,H1862)&gt;0,1,0),0)</f>
        <v>0</v>
      </c>
      <c r="V1862" s="71">
        <f>IFERROR(IF(AND(H1862&gt;=INDEX(PEMAGANG!$J$3:$J$36,MATCH(B1862,PEMAGANG!$C$3:$C$36,0)),H1862&lt;=INDEX(PEMAGANG!$K$3:$K$36,MATCH(B1862,PEMAGANG!$C$3:$C$36,0))),1,0),0)</f>
        <v>0</v>
      </c>
      <c r="W1862" s="71">
        <f t="shared" si="269"/>
        <v>0</v>
      </c>
    </row>
    <row r="1863" spans="1:23" x14ac:dyDescent="0.2">
      <c r="A1863" s="71" t="s">
        <v>595</v>
      </c>
      <c r="B1863" s="71" t="s">
        <v>596</v>
      </c>
      <c r="C1863" s="71" t="s">
        <v>187</v>
      </c>
      <c r="D1863" s="71" t="s">
        <v>421</v>
      </c>
      <c r="E1863" s="71" t="s">
        <v>422</v>
      </c>
      <c r="F1863" s="71" t="s">
        <v>300</v>
      </c>
      <c r="G1863" s="88">
        <v>46233.762025463002</v>
      </c>
      <c r="H1863" s="89">
        <v>46233</v>
      </c>
      <c r="I1863" s="71" t="s">
        <v>464</v>
      </c>
      <c r="J1863" s="71">
        <v>0</v>
      </c>
      <c r="K1863" s="71" t="s">
        <v>302</v>
      </c>
      <c r="L1863" s="71">
        <f t="shared" si="261"/>
        <v>7</v>
      </c>
      <c r="M1863" s="71" t="str">
        <f>IFERROR(INDEX(KALENDER!$D$3:$D$132,MATCH(H1863,KALENDER!$A$3:$A$132,0)),"Di luar periode")</f>
        <v>Hari Kerja</v>
      </c>
      <c r="N1863" s="71">
        <f t="shared" si="262"/>
        <v>0</v>
      </c>
      <c r="O1863" s="71">
        <f t="shared" si="263"/>
        <v>1</v>
      </c>
      <c r="P1863" s="71">
        <f t="shared" si="264"/>
        <v>0</v>
      </c>
      <c r="Q1863" s="71">
        <f t="shared" si="265"/>
        <v>0</v>
      </c>
      <c r="R1863" s="71">
        <f t="shared" si="266"/>
        <v>0</v>
      </c>
      <c r="S1863" s="71">
        <f t="shared" si="267"/>
        <v>0</v>
      </c>
      <c r="T1863" s="71">
        <f t="shared" si="268"/>
        <v>0</v>
      </c>
      <c r="U1863" s="71">
        <f>IF(AND(N1863=1,V1863=1),IF(COUNTIFS(AKTIVITAS!$B$2:$B$3052,B1863,AKTIVITAS!$E$2:$E$3052,H1863)&gt;0,1,0),0)</f>
        <v>0</v>
      </c>
      <c r="V1863" s="71">
        <f>IFERROR(IF(AND(H1863&gt;=INDEX(PEMAGANG!$J$3:$J$36,MATCH(B1863,PEMAGANG!$C$3:$C$36,0)),H1863&lt;=INDEX(PEMAGANG!$K$3:$K$36,MATCH(B1863,PEMAGANG!$C$3:$C$36,0))),1,0),0)</f>
        <v>0</v>
      </c>
      <c r="W1863" s="71">
        <f t="shared" si="269"/>
        <v>0</v>
      </c>
    </row>
    <row r="1864" spans="1:23" x14ac:dyDescent="0.2">
      <c r="A1864" s="71" t="s">
        <v>595</v>
      </c>
      <c r="B1864" s="71" t="s">
        <v>596</v>
      </c>
      <c r="C1864" s="71" t="s">
        <v>187</v>
      </c>
      <c r="D1864" s="71" t="s">
        <v>421</v>
      </c>
      <c r="E1864" s="71" t="s">
        <v>422</v>
      </c>
      <c r="F1864" s="71" t="s">
        <v>298</v>
      </c>
      <c r="G1864" s="88">
        <v>46234.276909722197</v>
      </c>
      <c r="H1864" s="89">
        <v>46234</v>
      </c>
      <c r="I1864" s="71" t="s">
        <v>500</v>
      </c>
      <c r="J1864" s="71">
        <v>-82</v>
      </c>
      <c r="K1864" s="71" t="s">
        <v>302</v>
      </c>
      <c r="L1864" s="71">
        <f t="shared" si="261"/>
        <v>7</v>
      </c>
      <c r="M1864" s="71" t="str">
        <f>IFERROR(INDEX(KALENDER!$D$3:$D$132,MATCH(H1864,KALENDER!$A$3:$A$132,0)),"Di luar periode")</f>
        <v>Hari Kerja</v>
      </c>
      <c r="N1864" s="71">
        <f t="shared" si="262"/>
        <v>1</v>
      </c>
      <c r="O1864" s="71">
        <f t="shared" si="263"/>
        <v>1</v>
      </c>
      <c r="P1864" s="71">
        <f t="shared" si="264"/>
        <v>0</v>
      </c>
      <c r="Q1864" s="71">
        <f t="shared" si="265"/>
        <v>1</v>
      </c>
      <c r="R1864" s="71">
        <f t="shared" si="266"/>
        <v>0</v>
      </c>
      <c r="S1864" s="71">
        <f t="shared" si="267"/>
        <v>0</v>
      </c>
      <c r="T1864" s="71">
        <f t="shared" si="268"/>
        <v>0</v>
      </c>
      <c r="U1864" s="71">
        <f>IF(AND(N1864=1,V1864=1),IF(COUNTIFS(AKTIVITAS!$B$2:$B$3052,B1864,AKTIVITAS!$E$2:$E$3052,H1864)&gt;0,1,0),0)</f>
        <v>0</v>
      </c>
      <c r="V1864" s="71">
        <f>IFERROR(IF(AND(H1864&gt;=INDEX(PEMAGANG!$J$3:$J$36,MATCH(B1864,PEMAGANG!$C$3:$C$36,0)),H1864&lt;=INDEX(PEMAGANG!$K$3:$K$36,MATCH(B1864,PEMAGANG!$C$3:$C$36,0))),1,0),0)</f>
        <v>0</v>
      </c>
      <c r="W1864" s="71">
        <f t="shared" si="269"/>
        <v>0</v>
      </c>
    </row>
    <row r="1865" spans="1:23" x14ac:dyDescent="0.2">
      <c r="A1865" s="71" t="s">
        <v>595</v>
      </c>
      <c r="B1865" s="71" t="s">
        <v>596</v>
      </c>
      <c r="C1865" s="71" t="s">
        <v>187</v>
      </c>
      <c r="D1865" s="71" t="s">
        <v>421</v>
      </c>
      <c r="E1865" s="71" t="s">
        <v>422</v>
      </c>
      <c r="F1865" s="71" t="s">
        <v>300</v>
      </c>
      <c r="G1865" s="88">
        <v>46234.751643518503</v>
      </c>
      <c r="H1865" s="89">
        <v>46234</v>
      </c>
      <c r="I1865" s="71" t="s">
        <v>432</v>
      </c>
      <c r="J1865" s="71">
        <v>0</v>
      </c>
      <c r="K1865" s="71" t="s">
        <v>302</v>
      </c>
      <c r="L1865" s="71">
        <f t="shared" si="261"/>
        <v>7</v>
      </c>
      <c r="M1865" s="71" t="str">
        <f>IFERROR(INDEX(KALENDER!$D$3:$D$132,MATCH(H1865,KALENDER!$A$3:$A$132,0)),"Di luar periode")</f>
        <v>Hari Kerja</v>
      </c>
      <c r="N1865" s="71">
        <f t="shared" si="262"/>
        <v>0</v>
      </c>
      <c r="O1865" s="71">
        <f t="shared" si="263"/>
        <v>1</v>
      </c>
      <c r="P1865" s="71">
        <f t="shared" si="264"/>
        <v>0</v>
      </c>
      <c r="Q1865" s="71">
        <f t="shared" si="265"/>
        <v>0</v>
      </c>
      <c r="R1865" s="71">
        <f t="shared" si="266"/>
        <v>0</v>
      </c>
      <c r="S1865" s="71">
        <f t="shared" si="267"/>
        <v>0</v>
      </c>
      <c r="T1865" s="71">
        <f t="shared" si="268"/>
        <v>0</v>
      </c>
      <c r="U1865" s="71">
        <f>IF(AND(N1865=1,V1865=1),IF(COUNTIFS(AKTIVITAS!$B$2:$B$3052,B1865,AKTIVITAS!$E$2:$E$3052,H1865)&gt;0,1,0),0)</f>
        <v>0</v>
      </c>
      <c r="V1865" s="71">
        <f>IFERROR(IF(AND(H1865&gt;=INDEX(PEMAGANG!$J$3:$J$36,MATCH(B1865,PEMAGANG!$C$3:$C$36,0)),H1865&lt;=INDEX(PEMAGANG!$K$3:$K$36,MATCH(B1865,PEMAGANG!$C$3:$C$36,0))),1,0),0)</f>
        <v>0</v>
      </c>
      <c r="W1865" s="71">
        <f t="shared" si="269"/>
        <v>0</v>
      </c>
    </row>
    <row r="1866" spans="1:23" x14ac:dyDescent="0.2">
      <c r="A1866" s="71" t="s">
        <v>595</v>
      </c>
      <c r="B1866" s="71" t="s">
        <v>596</v>
      </c>
      <c r="C1866" s="71" t="s">
        <v>187</v>
      </c>
      <c r="D1866" s="71" t="s">
        <v>421</v>
      </c>
      <c r="E1866" s="71" t="s">
        <v>422</v>
      </c>
      <c r="F1866" s="71" t="s">
        <v>298</v>
      </c>
      <c r="G1866" s="88">
        <v>46237.277199074102</v>
      </c>
      <c r="H1866" s="89">
        <v>46237</v>
      </c>
      <c r="I1866" s="71" t="s">
        <v>502</v>
      </c>
      <c r="J1866" s="71">
        <v>-81</v>
      </c>
      <c r="K1866" s="71" t="s">
        <v>302</v>
      </c>
      <c r="L1866" s="71">
        <f t="shared" si="261"/>
        <v>8</v>
      </c>
      <c r="M1866" s="71" t="str">
        <f>IFERROR(INDEX(KALENDER!$D$3:$D$132,MATCH(H1866,KALENDER!$A$3:$A$132,0)),"Di luar periode")</f>
        <v>Hari Kerja</v>
      </c>
      <c r="N1866" s="71">
        <f t="shared" si="262"/>
        <v>1</v>
      </c>
      <c r="O1866" s="71">
        <f t="shared" si="263"/>
        <v>1</v>
      </c>
      <c r="P1866" s="71">
        <f t="shared" si="264"/>
        <v>0</v>
      </c>
      <c r="Q1866" s="71">
        <f t="shared" si="265"/>
        <v>1</v>
      </c>
      <c r="R1866" s="71">
        <f t="shared" si="266"/>
        <v>0</v>
      </c>
      <c r="S1866" s="71">
        <f t="shared" si="267"/>
        <v>0</v>
      </c>
      <c r="T1866" s="71">
        <f t="shared" si="268"/>
        <v>0</v>
      </c>
      <c r="U1866" s="71">
        <f>IF(AND(N1866=1,V1866=1),IF(COUNTIFS(AKTIVITAS!$B$2:$B$3052,B1866,AKTIVITAS!$E$2:$E$3052,H1866)&gt;0,1,0),0)</f>
        <v>0</v>
      </c>
      <c r="V1866" s="71">
        <f>IFERROR(IF(AND(H1866&gt;=INDEX(PEMAGANG!$J$3:$J$36,MATCH(B1866,PEMAGANG!$C$3:$C$36,0)),H1866&lt;=INDEX(PEMAGANG!$K$3:$K$36,MATCH(B1866,PEMAGANG!$C$3:$C$36,0))),1,0),0)</f>
        <v>0</v>
      </c>
      <c r="W1866" s="71">
        <f t="shared" si="269"/>
        <v>0</v>
      </c>
    </row>
    <row r="1867" spans="1:23" x14ac:dyDescent="0.2">
      <c r="A1867" s="71" t="s">
        <v>595</v>
      </c>
      <c r="B1867" s="71" t="s">
        <v>596</v>
      </c>
      <c r="C1867" s="71" t="s">
        <v>187</v>
      </c>
      <c r="D1867" s="71" t="s">
        <v>421</v>
      </c>
      <c r="E1867" s="71" t="s">
        <v>422</v>
      </c>
      <c r="F1867" s="71" t="s">
        <v>300</v>
      </c>
      <c r="G1867" s="88">
        <v>46237.753819444399</v>
      </c>
      <c r="H1867" s="89">
        <v>46237</v>
      </c>
      <c r="I1867" s="71" t="s">
        <v>354</v>
      </c>
      <c r="J1867" s="71">
        <v>0</v>
      </c>
      <c r="K1867" s="71" t="s">
        <v>302</v>
      </c>
      <c r="L1867" s="71">
        <f t="shared" si="261"/>
        <v>8</v>
      </c>
      <c r="M1867" s="71" t="str">
        <f>IFERROR(INDEX(KALENDER!$D$3:$D$132,MATCH(H1867,KALENDER!$A$3:$A$132,0)),"Di luar periode")</f>
        <v>Hari Kerja</v>
      </c>
      <c r="N1867" s="71">
        <f t="shared" si="262"/>
        <v>0</v>
      </c>
      <c r="O1867" s="71">
        <f t="shared" si="263"/>
        <v>1</v>
      </c>
      <c r="P1867" s="71">
        <f t="shared" si="264"/>
        <v>0</v>
      </c>
      <c r="Q1867" s="71">
        <f t="shared" si="265"/>
        <v>0</v>
      </c>
      <c r="R1867" s="71">
        <f t="shared" si="266"/>
        <v>0</v>
      </c>
      <c r="S1867" s="71">
        <f t="shared" si="267"/>
        <v>0</v>
      </c>
      <c r="T1867" s="71">
        <f t="shared" si="268"/>
        <v>0</v>
      </c>
      <c r="U1867" s="71">
        <f>IF(AND(N1867=1,V1867=1),IF(COUNTIFS(AKTIVITAS!$B$2:$B$3052,B1867,AKTIVITAS!$E$2:$E$3052,H1867)&gt;0,1,0),0)</f>
        <v>0</v>
      </c>
      <c r="V1867" s="71">
        <f>IFERROR(IF(AND(H1867&gt;=INDEX(PEMAGANG!$J$3:$J$36,MATCH(B1867,PEMAGANG!$C$3:$C$36,0)),H1867&lt;=INDEX(PEMAGANG!$K$3:$K$36,MATCH(B1867,PEMAGANG!$C$3:$C$36,0))),1,0),0)</f>
        <v>0</v>
      </c>
      <c r="W1867" s="71">
        <f t="shared" si="269"/>
        <v>0</v>
      </c>
    </row>
    <row r="1868" spans="1:23" x14ac:dyDescent="0.2">
      <c r="A1868" s="71" t="s">
        <v>595</v>
      </c>
      <c r="B1868" s="71" t="s">
        <v>596</v>
      </c>
      <c r="C1868" s="71" t="s">
        <v>187</v>
      </c>
      <c r="D1868" s="71" t="s">
        <v>421</v>
      </c>
      <c r="E1868" s="71" t="s">
        <v>422</v>
      </c>
      <c r="F1868" s="71" t="s">
        <v>298</v>
      </c>
      <c r="G1868" s="88">
        <v>46238.287511574097</v>
      </c>
      <c r="H1868" s="89">
        <v>46238</v>
      </c>
      <c r="I1868" s="71" t="s">
        <v>348</v>
      </c>
      <c r="J1868" s="71">
        <v>-65.999999999999901</v>
      </c>
      <c r="K1868" s="71" t="s">
        <v>302</v>
      </c>
      <c r="L1868" s="71">
        <f t="shared" si="261"/>
        <v>8</v>
      </c>
      <c r="M1868" s="71" t="str">
        <f>IFERROR(INDEX(KALENDER!$D$3:$D$132,MATCH(H1868,KALENDER!$A$3:$A$132,0)),"Di luar periode")</f>
        <v>Hari Kerja</v>
      </c>
      <c r="N1868" s="71">
        <f t="shared" si="262"/>
        <v>1</v>
      </c>
      <c r="O1868" s="71">
        <f t="shared" si="263"/>
        <v>1</v>
      </c>
      <c r="P1868" s="71">
        <f t="shared" si="264"/>
        <v>0</v>
      </c>
      <c r="Q1868" s="71">
        <f t="shared" si="265"/>
        <v>1</v>
      </c>
      <c r="R1868" s="71">
        <f t="shared" si="266"/>
        <v>0</v>
      </c>
      <c r="S1868" s="71">
        <f t="shared" si="267"/>
        <v>0</v>
      </c>
      <c r="T1868" s="71">
        <f t="shared" si="268"/>
        <v>0</v>
      </c>
      <c r="U1868" s="71">
        <f>IF(AND(N1868=1,V1868=1),IF(COUNTIFS(AKTIVITAS!$B$2:$B$3052,B1868,AKTIVITAS!$E$2:$E$3052,H1868)&gt;0,1,0),0)</f>
        <v>0</v>
      </c>
      <c r="V1868" s="71">
        <f>IFERROR(IF(AND(H1868&gt;=INDEX(PEMAGANG!$J$3:$J$36,MATCH(B1868,PEMAGANG!$C$3:$C$36,0)),H1868&lt;=INDEX(PEMAGANG!$K$3:$K$36,MATCH(B1868,PEMAGANG!$C$3:$C$36,0))),1,0),0)</f>
        <v>0</v>
      </c>
      <c r="W1868" s="71">
        <f t="shared" si="269"/>
        <v>0</v>
      </c>
    </row>
    <row r="1869" spans="1:23" x14ac:dyDescent="0.2">
      <c r="A1869" s="71" t="s">
        <v>595</v>
      </c>
      <c r="B1869" s="71" t="s">
        <v>596</v>
      </c>
      <c r="C1869" s="71" t="s">
        <v>187</v>
      </c>
      <c r="D1869" s="71" t="s">
        <v>421</v>
      </c>
      <c r="E1869" s="71" t="s">
        <v>422</v>
      </c>
      <c r="F1869" s="71" t="s">
        <v>300</v>
      </c>
      <c r="G1869" s="88">
        <v>46238.757175925901</v>
      </c>
      <c r="H1869" s="89">
        <v>46238</v>
      </c>
      <c r="I1869" s="71" t="s">
        <v>441</v>
      </c>
      <c r="J1869" s="71">
        <v>0</v>
      </c>
      <c r="K1869" s="71" t="s">
        <v>302</v>
      </c>
      <c r="L1869" s="71">
        <f t="shared" si="261"/>
        <v>8</v>
      </c>
      <c r="M1869" s="71" t="str">
        <f>IFERROR(INDEX(KALENDER!$D$3:$D$132,MATCH(H1869,KALENDER!$A$3:$A$132,0)),"Di luar periode")</f>
        <v>Hari Kerja</v>
      </c>
      <c r="N1869" s="71">
        <f t="shared" si="262"/>
        <v>0</v>
      </c>
      <c r="O1869" s="71">
        <f t="shared" si="263"/>
        <v>1</v>
      </c>
      <c r="P1869" s="71">
        <f t="shared" si="264"/>
        <v>0</v>
      </c>
      <c r="Q1869" s="71">
        <f t="shared" si="265"/>
        <v>0</v>
      </c>
      <c r="R1869" s="71">
        <f t="shared" si="266"/>
        <v>0</v>
      </c>
      <c r="S1869" s="71">
        <f t="shared" si="267"/>
        <v>0</v>
      </c>
      <c r="T1869" s="71">
        <f t="shared" si="268"/>
        <v>0</v>
      </c>
      <c r="U1869" s="71">
        <f>IF(AND(N1869=1,V1869=1),IF(COUNTIFS(AKTIVITAS!$B$2:$B$3052,B1869,AKTIVITAS!$E$2:$E$3052,H1869)&gt;0,1,0),0)</f>
        <v>0</v>
      </c>
      <c r="V1869" s="71">
        <f>IFERROR(IF(AND(H1869&gt;=INDEX(PEMAGANG!$J$3:$J$36,MATCH(B1869,PEMAGANG!$C$3:$C$36,0)),H1869&lt;=INDEX(PEMAGANG!$K$3:$K$36,MATCH(B1869,PEMAGANG!$C$3:$C$36,0))),1,0),0)</f>
        <v>0</v>
      </c>
      <c r="W1869" s="71">
        <f t="shared" si="269"/>
        <v>0</v>
      </c>
    </row>
    <row r="1870" spans="1:23" x14ac:dyDescent="0.2">
      <c r="A1870" s="71" t="s">
        <v>595</v>
      </c>
      <c r="B1870" s="71" t="s">
        <v>596</v>
      </c>
      <c r="C1870" s="71" t="s">
        <v>187</v>
      </c>
      <c r="D1870" s="71" t="s">
        <v>421</v>
      </c>
      <c r="E1870" s="71" t="s">
        <v>422</v>
      </c>
      <c r="F1870" s="71" t="s">
        <v>298</v>
      </c>
      <c r="G1870" s="88">
        <v>46239.280057870397</v>
      </c>
      <c r="H1870" s="89">
        <v>46239</v>
      </c>
      <c r="I1870" s="71" t="s">
        <v>499</v>
      </c>
      <c r="J1870" s="71">
        <v>-77</v>
      </c>
      <c r="K1870" s="71" t="s">
        <v>302</v>
      </c>
      <c r="L1870" s="71">
        <f t="shared" si="261"/>
        <v>8</v>
      </c>
      <c r="M1870" s="71" t="str">
        <f>IFERROR(INDEX(KALENDER!$D$3:$D$132,MATCH(H1870,KALENDER!$A$3:$A$132,0)),"Di luar periode")</f>
        <v>Hari Kerja</v>
      </c>
      <c r="N1870" s="71">
        <f t="shared" si="262"/>
        <v>1</v>
      </c>
      <c r="O1870" s="71">
        <f t="shared" si="263"/>
        <v>1</v>
      </c>
      <c r="P1870" s="71">
        <f t="shared" si="264"/>
        <v>0</v>
      </c>
      <c r="Q1870" s="71">
        <f t="shared" si="265"/>
        <v>1</v>
      </c>
      <c r="R1870" s="71">
        <f t="shared" si="266"/>
        <v>0</v>
      </c>
      <c r="S1870" s="71">
        <f t="shared" si="267"/>
        <v>0</v>
      </c>
      <c r="T1870" s="71">
        <f t="shared" si="268"/>
        <v>0</v>
      </c>
      <c r="U1870" s="71">
        <f>IF(AND(N1870=1,V1870=1),IF(COUNTIFS(AKTIVITAS!$B$2:$B$3052,B1870,AKTIVITAS!$E$2:$E$3052,H1870)&gt;0,1,0),0)</f>
        <v>0</v>
      </c>
      <c r="V1870" s="71">
        <f>IFERROR(IF(AND(H1870&gt;=INDEX(PEMAGANG!$J$3:$J$36,MATCH(B1870,PEMAGANG!$C$3:$C$36,0)),H1870&lt;=INDEX(PEMAGANG!$K$3:$K$36,MATCH(B1870,PEMAGANG!$C$3:$C$36,0))),1,0),0)</f>
        <v>0</v>
      </c>
      <c r="W1870" s="71">
        <f t="shared" si="269"/>
        <v>0</v>
      </c>
    </row>
    <row r="1871" spans="1:23" x14ac:dyDescent="0.2">
      <c r="A1871" s="71" t="s">
        <v>595</v>
      </c>
      <c r="B1871" s="71" t="s">
        <v>596</v>
      </c>
      <c r="C1871" s="71" t="s">
        <v>187</v>
      </c>
      <c r="D1871" s="71" t="s">
        <v>421</v>
      </c>
      <c r="E1871" s="71" t="s">
        <v>422</v>
      </c>
      <c r="F1871" s="71" t="s">
        <v>300</v>
      </c>
      <c r="G1871" s="88">
        <v>46239.756053240701</v>
      </c>
      <c r="H1871" s="89">
        <v>46239</v>
      </c>
      <c r="I1871" s="71" t="s">
        <v>469</v>
      </c>
      <c r="J1871" s="71">
        <v>0</v>
      </c>
      <c r="K1871" s="71" t="s">
        <v>302</v>
      </c>
      <c r="L1871" s="71">
        <f t="shared" si="261"/>
        <v>8</v>
      </c>
      <c r="M1871" s="71" t="str">
        <f>IFERROR(INDEX(KALENDER!$D$3:$D$132,MATCH(H1871,KALENDER!$A$3:$A$132,0)),"Di luar periode")</f>
        <v>Hari Kerja</v>
      </c>
      <c r="N1871" s="71">
        <f t="shared" si="262"/>
        <v>0</v>
      </c>
      <c r="O1871" s="71">
        <f t="shared" si="263"/>
        <v>1</v>
      </c>
      <c r="P1871" s="71">
        <f t="shared" si="264"/>
        <v>0</v>
      </c>
      <c r="Q1871" s="71">
        <f t="shared" si="265"/>
        <v>0</v>
      </c>
      <c r="R1871" s="71">
        <f t="shared" si="266"/>
        <v>0</v>
      </c>
      <c r="S1871" s="71">
        <f t="shared" si="267"/>
        <v>0</v>
      </c>
      <c r="T1871" s="71">
        <f t="shared" si="268"/>
        <v>0</v>
      </c>
      <c r="U1871" s="71">
        <f>IF(AND(N1871=1,V1871=1),IF(COUNTIFS(AKTIVITAS!$B$2:$B$3052,B1871,AKTIVITAS!$E$2:$E$3052,H1871)&gt;0,1,0),0)</f>
        <v>0</v>
      </c>
      <c r="V1871" s="71">
        <f>IFERROR(IF(AND(H1871&gt;=INDEX(PEMAGANG!$J$3:$J$36,MATCH(B1871,PEMAGANG!$C$3:$C$36,0)),H1871&lt;=INDEX(PEMAGANG!$K$3:$K$36,MATCH(B1871,PEMAGANG!$C$3:$C$36,0))),1,0),0)</f>
        <v>0</v>
      </c>
      <c r="W1871" s="71">
        <f t="shared" si="269"/>
        <v>0</v>
      </c>
    </row>
    <row r="1872" spans="1:23" x14ac:dyDescent="0.2">
      <c r="A1872" s="71" t="s">
        <v>595</v>
      </c>
      <c r="B1872" s="71" t="s">
        <v>596</v>
      </c>
      <c r="C1872" s="71" t="s">
        <v>187</v>
      </c>
      <c r="D1872" s="71" t="s">
        <v>421</v>
      </c>
      <c r="E1872" s="71" t="s">
        <v>422</v>
      </c>
      <c r="F1872" s="71" t="s">
        <v>298</v>
      </c>
      <c r="G1872" s="88">
        <v>46240.2791319444</v>
      </c>
      <c r="H1872" s="89">
        <v>46240</v>
      </c>
      <c r="I1872" s="71" t="s">
        <v>494</v>
      </c>
      <c r="J1872" s="71">
        <v>-79</v>
      </c>
      <c r="K1872" s="71" t="s">
        <v>302</v>
      </c>
      <c r="L1872" s="71">
        <f t="shared" si="261"/>
        <v>8</v>
      </c>
      <c r="M1872" s="71" t="str">
        <f>IFERROR(INDEX(KALENDER!$D$3:$D$132,MATCH(H1872,KALENDER!$A$3:$A$132,0)),"Di luar periode")</f>
        <v>Hari Kerja</v>
      </c>
      <c r="N1872" s="71">
        <f t="shared" si="262"/>
        <v>1</v>
      </c>
      <c r="O1872" s="71">
        <f t="shared" si="263"/>
        <v>1</v>
      </c>
      <c r="P1872" s="71">
        <f t="shared" si="264"/>
        <v>0</v>
      </c>
      <c r="Q1872" s="71">
        <f t="shared" si="265"/>
        <v>1</v>
      </c>
      <c r="R1872" s="71">
        <f t="shared" si="266"/>
        <v>0</v>
      </c>
      <c r="S1872" s="71">
        <f t="shared" si="267"/>
        <v>0</v>
      </c>
      <c r="T1872" s="71">
        <f t="shared" si="268"/>
        <v>0</v>
      </c>
      <c r="U1872" s="71">
        <f>IF(AND(N1872=1,V1872=1),IF(COUNTIFS(AKTIVITAS!$B$2:$B$3052,B1872,AKTIVITAS!$E$2:$E$3052,H1872)&gt;0,1,0),0)</f>
        <v>0</v>
      </c>
      <c r="V1872" s="71">
        <f>IFERROR(IF(AND(H1872&gt;=INDEX(PEMAGANG!$J$3:$J$36,MATCH(B1872,PEMAGANG!$C$3:$C$36,0)),H1872&lt;=INDEX(PEMAGANG!$K$3:$K$36,MATCH(B1872,PEMAGANG!$C$3:$C$36,0))),1,0),0)</f>
        <v>0</v>
      </c>
      <c r="W1872" s="71">
        <f t="shared" si="269"/>
        <v>0</v>
      </c>
    </row>
    <row r="1873" spans="1:23" x14ac:dyDescent="0.2">
      <c r="A1873" s="71" t="s">
        <v>595</v>
      </c>
      <c r="B1873" s="71" t="s">
        <v>596</v>
      </c>
      <c r="C1873" s="71" t="s">
        <v>187</v>
      </c>
      <c r="D1873" s="71" t="s">
        <v>421</v>
      </c>
      <c r="E1873" s="71" t="s">
        <v>422</v>
      </c>
      <c r="F1873" s="71" t="s">
        <v>300</v>
      </c>
      <c r="G1873" s="88">
        <v>46240.755775463003</v>
      </c>
      <c r="H1873" s="89">
        <v>46240</v>
      </c>
      <c r="I1873" s="71" t="s">
        <v>469</v>
      </c>
      <c r="J1873" s="71">
        <v>0</v>
      </c>
      <c r="K1873" s="71" t="s">
        <v>302</v>
      </c>
      <c r="L1873" s="71">
        <f t="shared" si="261"/>
        <v>8</v>
      </c>
      <c r="M1873" s="71" t="str">
        <f>IFERROR(INDEX(KALENDER!$D$3:$D$132,MATCH(H1873,KALENDER!$A$3:$A$132,0)),"Di luar periode")</f>
        <v>Hari Kerja</v>
      </c>
      <c r="N1873" s="71">
        <f t="shared" si="262"/>
        <v>0</v>
      </c>
      <c r="O1873" s="71">
        <f t="shared" si="263"/>
        <v>1</v>
      </c>
      <c r="P1873" s="71">
        <f t="shared" si="264"/>
        <v>0</v>
      </c>
      <c r="Q1873" s="71">
        <f t="shared" si="265"/>
        <v>0</v>
      </c>
      <c r="R1873" s="71">
        <f t="shared" si="266"/>
        <v>0</v>
      </c>
      <c r="S1873" s="71">
        <f t="shared" si="267"/>
        <v>0</v>
      </c>
      <c r="T1873" s="71">
        <f t="shared" si="268"/>
        <v>0</v>
      </c>
      <c r="U1873" s="71">
        <f>IF(AND(N1873=1,V1873=1),IF(COUNTIFS(AKTIVITAS!$B$2:$B$3052,B1873,AKTIVITAS!$E$2:$E$3052,H1873)&gt;0,1,0),0)</f>
        <v>0</v>
      </c>
      <c r="V1873" s="71">
        <f>IFERROR(IF(AND(H1873&gt;=INDEX(PEMAGANG!$J$3:$J$36,MATCH(B1873,PEMAGANG!$C$3:$C$36,0)),H1873&lt;=INDEX(PEMAGANG!$K$3:$K$36,MATCH(B1873,PEMAGANG!$C$3:$C$36,0))),1,0),0)</f>
        <v>0</v>
      </c>
      <c r="W1873" s="71">
        <f t="shared" si="269"/>
        <v>0</v>
      </c>
    </row>
    <row r="1874" spans="1:23" x14ac:dyDescent="0.2">
      <c r="A1874" s="71" t="s">
        <v>595</v>
      </c>
      <c r="B1874" s="71" t="s">
        <v>596</v>
      </c>
      <c r="C1874" s="71" t="s">
        <v>187</v>
      </c>
      <c r="D1874" s="71" t="s">
        <v>421</v>
      </c>
      <c r="E1874" s="71" t="s">
        <v>422</v>
      </c>
      <c r="F1874" s="71" t="s">
        <v>298</v>
      </c>
      <c r="G1874" s="88">
        <v>46241.277847222198</v>
      </c>
      <c r="H1874" s="89">
        <v>46241</v>
      </c>
      <c r="I1874" s="71" t="s">
        <v>484</v>
      </c>
      <c r="J1874" s="71">
        <v>-80</v>
      </c>
      <c r="K1874" s="71" t="s">
        <v>302</v>
      </c>
      <c r="L1874" s="71">
        <f t="shared" si="261"/>
        <v>8</v>
      </c>
      <c r="M1874" s="71" t="str">
        <f>IFERROR(INDEX(KALENDER!$D$3:$D$132,MATCH(H1874,KALENDER!$A$3:$A$132,0)),"Di luar periode")</f>
        <v>Hari Kerja</v>
      </c>
      <c r="N1874" s="71">
        <f t="shared" si="262"/>
        <v>1</v>
      </c>
      <c r="O1874" s="71">
        <f t="shared" si="263"/>
        <v>1</v>
      </c>
      <c r="P1874" s="71">
        <f t="shared" si="264"/>
        <v>0</v>
      </c>
      <c r="Q1874" s="71">
        <f t="shared" si="265"/>
        <v>1</v>
      </c>
      <c r="R1874" s="71">
        <f t="shared" si="266"/>
        <v>0</v>
      </c>
      <c r="S1874" s="71">
        <f t="shared" si="267"/>
        <v>0</v>
      </c>
      <c r="T1874" s="71">
        <f t="shared" si="268"/>
        <v>0</v>
      </c>
      <c r="U1874" s="71">
        <f>IF(AND(N1874=1,V1874=1),IF(COUNTIFS(AKTIVITAS!$B$2:$B$3052,B1874,AKTIVITAS!$E$2:$E$3052,H1874)&gt;0,1,0),0)</f>
        <v>0</v>
      </c>
      <c r="V1874" s="71">
        <f>IFERROR(IF(AND(H1874&gt;=INDEX(PEMAGANG!$J$3:$J$36,MATCH(B1874,PEMAGANG!$C$3:$C$36,0)),H1874&lt;=INDEX(PEMAGANG!$K$3:$K$36,MATCH(B1874,PEMAGANG!$C$3:$C$36,0))),1,0),0)</f>
        <v>0</v>
      </c>
      <c r="W1874" s="71">
        <f t="shared" si="269"/>
        <v>0</v>
      </c>
    </row>
    <row r="1875" spans="1:23" x14ac:dyDescent="0.2">
      <c r="A1875" s="71" t="s">
        <v>595</v>
      </c>
      <c r="B1875" s="71" t="s">
        <v>596</v>
      </c>
      <c r="C1875" s="71" t="s">
        <v>187</v>
      </c>
      <c r="D1875" s="71" t="s">
        <v>421</v>
      </c>
      <c r="E1875" s="71" t="s">
        <v>422</v>
      </c>
      <c r="F1875" s="71" t="s">
        <v>300</v>
      </c>
      <c r="G1875" s="88">
        <v>46241.7565046296</v>
      </c>
      <c r="H1875" s="89">
        <v>46241</v>
      </c>
      <c r="I1875" s="71" t="s">
        <v>444</v>
      </c>
      <c r="J1875" s="71">
        <v>0</v>
      </c>
      <c r="K1875" s="71" t="s">
        <v>302</v>
      </c>
      <c r="L1875" s="71">
        <f t="shared" si="261"/>
        <v>8</v>
      </c>
      <c r="M1875" s="71" t="str">
        <f>IFERROR(INDEX(KALENDER!$D$3:$D$132,MATCH(H1875,KALENDER!$A$3:$A$132,0)),"Di luar periode")</f>
        <v>Hari Kerja</v>
      </c>
      <c r="N1875" s="71">
        <f t="shared" si="262"/>
        <v>0</v>
      </c>
      <c r="O1875" s="71">
        <f t="shared" si="263"/>
        <v>1</v>
      </c>
      <c r="P1875" s="71">
        <f t="shared" si="264"/>
        <v>0</v>
      </c>
      <c r="Q1875" s="71">
        <f t="shared" si="265"/>
        <v>0</v>
      </c>
      <c r="R1875" s="71">
        <f t="shared" si="266"/>
        <v>0</v>
      </c>
      <c r="S1875" s="71">
        <f t="shared" si="267"/>
        <v>0</v>
      </c>
      <c r="T1875" s="71">
        <f t="shared" si="268"/>
        <v>0</v>
      </c>
      <c r="U1875" s="71">
        <f>IF(AND(N1875=1,V1875=1),IF(COUNTIFS(AKTIVITAS!$B$2:$B$3052,B1875,AKTIVITAS!$E$2:$E$3052,H1875)&gt;0,1,0),0)</f>
        <v>0</v>
      </c>
      <c r="V1875" s="71">
        <f>IFERROR(IF(AND(H1875&gt;=INDEX(PEMAGANG!$J$3:$J$36,MATCH(B1875,PEMAGANG!$C$3:$C$36,0)),H1875&lt;=INDEX(PEMAGANG!$K$3:$K$36,MATCH(B1875,PEMAGANG!$C$3:$C$36,0))),1,0),0)</f>
        <v>0</v>
      </c>
      <c r="W1875" s="71">
        <f t="shared" si="269"/>
        <v>0</v>
      </c>
    </row>
    <row r="1876" spans="1:23" x14ac:dyDescent="0.2">
      <c r="A1876" s="71" t="s">
        <v>595</v>
      </c>
      <c r="B1876" s="71" t="s">
        <v>596</v>
      </c>
      <c r="C1876" s="71" t="s">
        <v>187</v>
      </c>
      <c r="D1876" s="71" t="s">
        <v>421</v>
      </c>
      <c r="E1876" s="71" t="s">
        <v>422</v>
      </c>
      <c r="F1876" s="71" t="s">
        <v>298</v>
      </c>
      <c r="G1876" s="88">
        <v>46244.276597222197</v>
      </c>
      <c r="H1876" s="89">
        <v>46244</v>
      </c>
      <c r="I1876" s="71" t="s">
        <v>500</v>
      </c>
      <c r="J1876" s="71">
        <v>-82</v>
      </c>
      <c r="K1876" s="71" t="s">
        <v>302</v>
      </c>
      <c r="L1876" s="71">
        <f t="shared" si="261"/>
        <v>8</v>
      </c>
      <c r="M1876" s="71" t="str">
        <f>IFERROR(INDEX(KALENDER!$D$3:$D$132,MATCH(H1876,KALENDER!$A$3:$A$132,0)),"Di luar periode")</f>
        <v>Hari Kerja</v>
      </c>
      <c r="N1876" s="71">
        <f t="shared" si="262"/>
        <v>1</v>
      </c>
      <c r="O1876" s="71">
        <f t="shared" si="263"/>
        <v>1</v>
      </c>
      <c r="P1876" s="71">
        <f t="shared" si="264"/>
        <v>0</v>
      </c>
      <c r="Q1876" s="71">
        <f t="shared" si="265"/>
        <v>1</v>
      </c>
      <c r="R1876" s="71">
        <f t="shared" si="266"/>
        <v>0</v>
      </c>
      <c r="S1876" s="71">
        <f t="shared" si="267"/>
        <v>0</v>
      </c>
      <c r="T1876" s="71">
        <f t="shared" si="268"/>
        <v>0</v>
      </c>
      <c r="U1876" s="71">
        <f>IF(AND(N1876=1,V1876=1),IF(COUNTIFS(AKTIVITAS!$B$2:$B$3052,B1876,AKTIVITAS!$E$2:$E$3052,H1876)&gt;0,1,0),0)</f>
        <v>0</v>
      </c>
      <c r="V1876" s="71">
        <f>IFERROR(IF(AND(H1876&gt;=INDEX(PEMAGANG!$J$3:$J$36,MATCH(B1876,PEMAGANG!$C$3:$C$36,0)),H1876&lt;=INDEX(PEMAGANG!$K$3:$K$36,MATCH(B1876,PEMAGANG!$C$3:$C$36,0))),1,0),0)</f>
        <v>0</v>
      </c>
      <c r="W1876" s="71">
        <f t="shared" si="269"/>
        <v>0</v>
      </c>
    </row>
    <row r="1877" spans="1:23" x14ac:dyDescent="0.2">
      <c r="A1877" s="71" t="s">
        <v>595</v>
      </c>
      <c r="B1877" s="71" t="s">
        <v>596</v>
      </c>
      <c r="C1877" s="71" t="s">
        <v>187</v>
      </c>
      <c r="D1877" s="71" t="s">
        <v>421</v>
      </c>
      <c r="E1877" s="71" t="s">
        <v>422</v>
      </c>
      <c r="F1877" s="71" t="s">
        <v>300</v>
      </c>
      <c r="G1877" s="88">
        <v>46244.761400463001</v>
      </c>
      <c r="H1877" s="89">
        <v>46244</v>
      </c>
      <c r="I1877" s="71" t="s">
        <v>417</v>
      </c>
      <c r="J1877" s="71">
        <v>0</v>
      </c>
      <c r="K1877" s="71" t="s">
        <v>302</v>
      </c>
      <c r="L1877" s="71">
        <f t="shared" si="261"/>
        <v>8</v>
      </c>
      <c r="M1877" s="71" t="str">
        <f>IFERROR(INDEX(KALENDER!$D$3:$D$132,MATCH(H1877,KALENDER!$A$3:$A$132,0)),"Di luar periode")</f>
        <v>Hari Kerja</v>
      </c>
      <c r="N1877" s="71">
        <f t="shared" si="262"/>
        <v>0</v>
      </c>
      <c r="O1877" s="71">
        <f t="shared" si="263"/>
        <v>1</v>
      </c>
      <c r="P1877" s="71">
        <f t="shared" si="264"/>
        <v>0</v>
      </c>
      <c r="Q1877" s="71">
        <f t="shared" si="265"/>
        <v>0</v>
      </c>
      <c r="R1877" s="71">
        <f t="shared" si="266"/>
        <v>0</v>
      </c>
      <c r="S1877" s="71">
        <f t="shared" si="267"/>
        <v>0</v>
      </c>
      <c r="T1877" s="71">
        <f t="shared" si="268"/>
        <v>0</v>
      </c>
      <c r="U1877" s="71">
        <f>IF(AND(N1877=1,V1877=1),IF(COUNTIFS(AKTIVITAS!$B$2:$B$3052,B1877,AKTIVITAS!$E$2:$E$3052,H1877)&gt;0,1,0),0)</f>
        <v>0</v>
      </c>
      <c r="V1877" s="71">
        <f>IFERROR(IF(AND(H1877&gt;=INDEX(PEMAGANG!$J$3:$J$36,MATCH(B1877,PEMAGANG!$C$3:$C$36,0)),H1877&lt;=INDEX(PEMAGANG!$K$3:$K$36,MATCH(B1877,PEMAGANG!$C$3:$C$36,0))),1,0),0)</f>
        <v>0</v>
      </c>
      <c r="W1877" s="71">
        <f t="shared" si="269"/>
        <v>0</v>
      </c>
    </row>
    <row r="1878" spans="1:23" x14ac:dyDescent="0.2">
      <c r="A1878" s="71" t="s">
        <v>595</v>
      </c>
      <c r="B1878" s="71" t="s">
        <v>596</v>
      </c>
      <c r="C1878" s="71" t="s">
        <v>187</v>
      </c>
      <c r="D1878" s="71" t="s">
        <v>421</v>
      </c>
      <c r="E1878" s="71" t="s">
        <v>422</v>
      </c>
      <c r="F1878" s="71" t="s">
        <v>298</v>
      </c>
      <c r="G1878" s="88">
        <v>46245.280497685198</v>
      </c>
      <c r="H1878" s="89">
        <v>46245</v>
      </c>
      <c r="I1878" s="71" t="s">
        <v>499</v>
      </c>
      <c r="J1878" s="71">
        <v>-77</v>
      </c>
      <c r="K1878" s="71" t="s">
        <v>302</v>
      </c>
      <c r="L1878" s="71">
        <f t="shared" si="261"/>
        <v>8</v>
      </c>
      <c r="M1878" s="71" t="str">
        <f>IFERROR(INDEX(KALENDER!$D$3:$D$132,MATCH(H1878,KALENDER!$A$3:$A$132,0)),"Di luar periode")</f>
        <v>Hari Kerja</v>
      </c>
      <c r="N1878" s="71">
        <f t="shared" si="262"/>
        <v>1</v>
      </c>
      <c r="O1878" s="71">
        <f t="shared" si="263"/>
        <v>1</v>
      </c>
      <c r="P1878" s="71">
        <f t="shared" si="264"/>
        <v>0</v>
      </c>
      <c r="Q1878" s="71">
        <f t="shared" si="265"/>
        <v>1</v>
      </c>
      <c r="R1878" s="71">
        <f t="shared" si="266"/>
        <v>0</v>
      </c>
      <c r="S1878" s="71">
        <f t="shared" si="267"/>
        <v>0</v>
      </c>
      <c r="T1878" s="71">
        <f t="shared" si="268"/>
        <v>0</v>
      </c>
      <c r="U1878" s="71">
        <f>IF(AND(N1878=1,V1878=1),IF(COUNTIFS(AKTIVITAS!$B$2:$B$3052,B1878,AKTIVITAS!$E$2:$E$3052,H1878)&gt;0,1,0),0)</f>
        <v>0</v>
      </c>
      <c r="V1878" s="71">
        <f>IFERROR(IF(AND(H1878&gt;=INDEX(PEMAGANG!$J$3:$J$36,MATCH(B1878,PEMAGANG!$C$3:$C$36,0)),H1878&lt;=INDEX(PEMAGANG!$K$3:$K$36,MATCH(B1878,PEMAGANG!$C$3:$C$36,0))),1,0),0)</f>
        <v>0</v>
      </c>
      <c r="W1878" s="71">
        <f t="shared" si="269"/>
        <v>0</v>
      </c>
    </row>
    <row r="1879" spans="1:23" x14ac:dyDescent="0.2">
      <c r="A1879" s="71" t="s">
        <v>595</v>
      </c>
      <c r="B1879" s="71" t="s">
        <v>596</v>
      </c>
      <c r="C1879" s="71" t="s">
        <v>187</v>
      </c>
      <c r="D1879" s="71" t="s">
        <v>421</v>
      </c>
      <c r="E1879" s="71" t="s">
        <v>422</v>
      </c>
      <c r="F1879" s="71" t="s">
        <v>300</v>
      </c>
      <c r="G1879" s="88">
        <v>46245.7570949074</v>
      </c>
      <c r="H1879" s="89">
        <v>46245</v>
      </c>
      <c r="I1879" s="71" t="s">
        <v>441</v>
      </c>
      <c r="J1879" s="71">
        <v>0</v>
      </c>
      <c r="K1879" s="71" t="s">
        <v>302</v>
      </c>
      <c r="L1879" s="71">
        <f t="shared" si="261"/>
        <v>8</v>
      </c>
      <c r="M1879" s="71" t="str">
        <f>IFERROR(INDEX(KALENDER!$D$3:$D$132,MATCH(H1879,KALENDER!$A$3:$A$132,0)),"Di luar periode")</f>
        <v>Hari Kerja</v>
      </c>
      <c r="N1879" s="71">
        <f t="shared" si="262"/>
        <v>0</v>
      </c>
      <c r="O1879" s="71">
        <f t="shared" si="263"/>
        <v>1</v>
      </c>
      <c r="P1879" s="71">
        <f t="shared" si="264"/>
        <v>0</v>
      </c>
      <c r="Q1879" s="71">
        <f t="shared" si="265"/>
        <v>0</v>
      </c>
      <c r="R1879" s="71">
        <f t="shared" si="266"/>
        <v>0</v>
      </c>
      <c r="S1879" s="71">
        <f t="shared" si="267"/>
        <v>0</v>
      </c>
      <c r="T1879" s="71">
        <f t="shared" si="268"/>
        <v>0</v>
      </c>
      <c r="U1879" s="71">
        <f>IF(AND(N1879=1,V1879=1),IF(COUNTIFS(AKTIVITAS!$B$2:$B$3052,B1879,AKTIVITAS!$E$2:$E$3052,H1879)&gt;0,1,0),0)</f>
        <v>0</v>
      </c>
      <c r="V1879" s="71">
        <f>IFERROR(IF(AND(H1879&gt;=INDEX(PEMAGANG!$J$3:$J$36,MATCH(B1879,PEMAGANG!$C$3:$C$36,0)),H1879&lt;=INDEX(PEMAGANG!$K$3:$K$36,MATCH(B1879,PEMAGANG!$C$3:$C$36,0))),1,0),0)</f>
        <v>0</v>
      </c>
      <c r="W1879" s="71">
        <f t="shared" si="269"/>
        <v>0</v>
      </c>
    </row>
    <row r="1880" spans="1:23" x14ac:dyDescent="0.2">
      <c r="A1880" s="71" t="s">
        <v>595</v>
      </c>
      <c r="B1880" s="71" t="s">
        <v>596</v>
      </c>
      <c r="C1880" s="71" t="s">
        <v>187</v>
      </c>
      <c r="D1880" s="71" t="s">
        <v>421</v>
      </c>
      <c r="E1880" s="71" t="s">
        <v>422</v>
      </c>
      <c r="F1880" s="71" t="s">
        <v>298</v>
      </c>
      <c r="G1880" s="88">
        <v>46246.278935185197</v>
      </c>
      <c r="H1880" s="89">
        <v>46246</v>
      </c>
      <c r="I1880" s="71" t="s">
        <v>494</v>
      </c>
      <c r="J1880" s="71">
        <v>-79</v>
      </c>
      <c r="K1880" s="71" t="s">
        <v>302</v>
      </c>
      <c r="L1880" s="71">
        <f t="shared" si="261"/>
        <v>8</v>
      </c>
      <c r="M1880" s="71" t="str">
        <f>IFERROR(INDEX(KALENDER!$D$3:$D$132,MATCH(H1880,KALENDER!$A$3:$A$132,0)),"Di luar periode")</f>
        <v>Hari Kerja</v>
      </c>
      <c r="N1880" s="71">
        <f t="shared" si="262"/>
        <v>1</v>
      </c>
      <c r="O1880" s="71">
        <f t="shared" si="263"/>
        <v>1</v>
      </c>
      <c r="P1880" s="71">
        <f t="shared" si="264"/>
        <v>0</v>
      </c>
      <c r="Q1880" s="71">
        <f t="shared" si="265"/>
        <v>1</v>
      </c>
      <c r="R1880" s="71">
        <f t="shared" si="266"/>
        <v>0</v>
      </c>
      <c r="S1880" s="71">
        <f t="shared" si="267"/>
        <v>0</v>
      </c>
      <c r="T1880" s="71">
        <f t="shared" si="268"/>
        <v>0</v>
      </c>
      <c r="U1880" s="71">
        <f>IF(AND(N1880=1,V1880=1),IF(COUNTIFS(AKTIVITAS!$B$2:$B$3052,B1880,AKTIVITAS!$E$2:$E$3052,H1880)&gt;0,1,0),0)</f>
        <v>0</v>
      </c>
      <c r="V1880" s="71">
        <f>IFERROR(IF(AND(H1880&gt;=INDEX(PEMAGANG!$J$3:$J$36,MATCH(B1880,PEMAGANG!$C$3:$C$36,0)),H1880&lt;=INDEX(PEMAGANG!$K$3:$K$36,MATCH(B1880,PEMAGANG!$C$3:$C$36,0))),1,0),0)</f>
        <v>0</v>
      </c>
      <c r="W1880" s="71">
        <f t="shared" si="269"/>
        <v>0</v>
      </c>
    </row>
    <row r="1881" spans="1:23" x14ac:dyDescent="0.2">
      <c r="A1881" s="71" t="s">
        <v>595</v>
      </c>
      <c r="B1881" s="71" t="s">
        <v>596</v>
      </c>
      <c r="C1881" s="71" t="s">
        <v>187</v>
      </c>
      <c r="D1881" s="71" t="s">
        <v>421</v>
      </c>
      <c r="E1881" s="71" t="s">
        <v>422</v>
      </c>
      <c r="F1881" s="71" t="s">
        <v>300</v>
      </c>
      <c r="G1881" s="88">
        <v>46246.754965277803</v>
      </c>
      <c r="H1881" s="89">
        <v>46246</v>
      </c>
      <c r="I1881" s="71" t="s">
        <v>599</v>
      </c>
      <c r="J1881" s="71">
        <v>0</v>
      </c>
      <c r="K1881" s="71" t="s">
        <v>302</v>
      </c>
      <c r="L1881" s="71">
        <f t="shared" si="261"/>
        <v>8</v>
      </c>
      <c r="M1881" s="71" t="str">
        <f>IFERROR(INDEX(KALENDER!$D$3:$D$132,MATCH(H1881,KALENDER!$A$3:$A$132,0)),"Di luar periode")</f>
        <v>Hari Kerja</v>
      </c>
      <c r="N1881" s="71">
        <f t="shared" si="262"/>
        <v>0</v>
      </c>
      <c r="O1881" s="71">
        <f t="shared" si="263"/>
        <v>1</v>
      </c>
      <c r="P1881" s="71">
        <f t="shared" si="264"/>
        <v>0</v>
      </c>
      <c r="Q1881" s="71">
        <f t="shared" si="265"/>
        <v>0</v>
      </c>
      <c r="R1881" s="71">
        <f t="shared" si="266"/>
        <v>0</v>
      </c>
      <c r="S1881" s="71">
        <f t="shared" si="267"/>
        <v>0</v>
      </c>
      <c r="T1881" s="71">
        <f t="shared" si="268"/>
        <v>0</v>
      </c>
      <c r="U1881" s="71">
        <f>IF(AND(N1881=1,V1881=1),IF(COUNTIFS(AKTIVITAS!$B$2:$B$3052,B1881,AKTIVITAS!$E$2:$E$3052,H1881)&gt;0,1,0),0)</f>
        <v>0</v>
      </c>
      <c r="V1881" s="71">
        <f>IFERROR(IF(AND(H1881&gt;=INDEX(PEMAGANG!$J$3:$J$36,MATCH(B1881,PEMAGANG!$C$3:$C$36,0)),H1881&lt;=INDEX(PEMAGANG!$K$3:$K$36,MATCH(B1881,PEMAGANG!$C$3:$C$36,0))),1,0),0)</f>
        <v>0</v>
      </c>
      <c r="W1881" s="71">
        <f t="shared" si="269"/>
        <v>0</v>
      </c>
    </row>
    <row r="1882" spans="1:23" x14ac:dyDescent="0.2">
      <c r="A1882" s="71" t="s">
        <v>595</v>
      </c>
      <c r="B1882" s="71" t="s">
        <v>596</v>
      </c>
      <c r="C1882" s="71" t="s">
        <v>187</v>
      </c>
      <c r="D1882" s="71" t="s">
        <v>421</v>
      </c>
      <c r="E1882" s="71" t="s">
        <v>422</v>
      </c>
      <c r="F1882" s="71" t="s">
        <v>298</v>
      </c>
      <c r="G1882" s="88">
        <v>46247.277337963002</v>
      </c>
      <c r="H1882" s="89">
        <v>46247</v>
      </c>
      <c r="I1882" s="71" t="s">
        <v>502</v>
      </c>
      <c r="J1882" s="71">
        <v>-81</v>
      </c>
      <c r="K1882" s="71" t="s">
        <v>302</v>
      </c>
      <c r="L1882" s="71">
        <f t="shared" si="261"/>
        <v>8</v>
      </c>
      <c r="M1882" s="71" t="str">
        <f>IFERROR(INDEX(KALENDER!$D$3:$D$132,MATCH(H1882,KALENDER!$A$3:$A$132,0)),"Di luar periode")</f>
        <v>Hari Kerja</v>
      </c>
      <c r="N1882" s="71">
        <f t="shared" si="262"/>
        <v>1</v>
      </c>
      <c r="O1882" s="71">
        <f t="shared" si="263"/>
        <v>1</v>
      </c>
      <c r="P1882" s="71">
        <f t="shared" si="264"/>
        <v>0</v>
      </c>
      <c r="Q1882" s="71">
        <f t="shared" si="265"/>
        <v>1</v>
      </c>
      <c r="R1882" s="71">
        <f t="shared" si="266"/>
        <v>0</v>
      </c>
      <c r="S1882" s="71">
        <f t="shared" si="267"/>
        <v>0</v>
      </c>
      <c r="T1882" s="71">
        <f t="shared" si="268"/>
        <v>0</v>
      </c>
      <c r="U1882" s="71">
        <f>IF(AND(N1882=1,V1882=1),IF(COUNTIFS(AKTIVITAS!$B$2:$B$3052,B1882,AKTIVITAS!$E$2:$E$3052,H1882)&gt;0,1,0),0)</f>
        <v>0</v>
      </c>
      <c r="V1882" s="71">
        <f>IFERROR(IF(AND(H1882&gt;=INDEX(PEMAGANG!$J$3:$J$36,MATCH(B1882,PEMAGANG!$C$3:$C$36,0)),H1882&lt;=INDEX(PEMAGANG!$K$3:$K$36,MATCH(B1882,PEMAGANG!$C$3:$C$36,0))),1,0),0)</f>
        <v>0</v>
      </c>
      <c r="W1882" s="71">
        <f t="shared" si="269"/>
        <v>0</v>
      </c>
    </row>
    <row r="1883" spans="1:23" x14ac:dyDescent="0.2">
      <c r="A1883" s="71" t="s">
        <v>595</v>
      </c>
      <c r="B1883" s="71" t="s">
        <v>596</v>
      </c>
      <c r="C1883" s="71" t="s">
        <v>187</v>
      </c>
      <c r="D1883" s="71" t="s">
        <v>421</v>
      </c>
      <c r="E1883" s="71" t="s">
        <v>422</v>
      </c>
      <c r="F1883" s="71" t="s">
        <v>300</v>
      </c>
      <c r="G1883" s="88">
        <v>46247.7570486111</v>
      </c>
      <c r="H1883" s="89">
        <v>46247</v>
      </c>
      <c r="I1883" s="71" t="s">
        <v>441</v>
      </c>
      <c r="J1883" s="71">
        <v>0</v>
      </c>
      <c r="K1883" s="71" t="s">
        <v>302</v>
      </c>
      <c r="L1883" s="71">
        <f t="shared" si="261"/>
        <v>8</v>
      </c>
      <c r="M1883" s="71" t="str">
        <f>IFERROR(INDEX(KALENDER!$D$3:$D$132,MATCH(H1883,KALENDER!$A$3:$A$132,0)),"Di luar periode")</f>
        <v>Hari Kerja</v>
      </c>
      <c r="N1883" s="71">
        <f t="shared" si="262"/>
        <v>0</v>
      </c>
      <c r="O1883" s="71">
        <f t="shared" si="263"/>
        <v>1</v>
      </c>
      <c r="P1883" s="71">
        <f t="shared" si="264"/>
        <v>0</v>
      </c>
      <c r="Q1883" s="71">
        <f t="shared" si="265"/>
        <v>0</v>
      </c>
      <c r="R1883" s="71">
        <f t="shared" si="266"/>
        <v>0</v>
      </c>
      <c r="S1883" s="71">
        <f t="shared" si="267"/>
        <v>0</v>
      </c>
      <c r="T1883" s="71">
        <f t="shared" si="268"/>
        <v>0</v>
      </c>
      <c r="U1883" s="71">
        <f>IF(AND(N1883=1,V1883=1),IF(COUNTIFS(AKTIVITAS!$B$2:$B$3052,B1883,AKTIVITAS!$E$2:$E$3052,H1883)&gt;0,1,0),0)</f>
        <v>0</v>
      </c>
      <c r="V1883" s="71">
        <f>IFERROR(IF(AND(H1883&gt;=INDEX(PEMAGANG!$J$3:$J$36,MATCH(B1883,PEMAGANG!$C$3:$C$36,0)),H1883&lt;=INDEX(PEMAGANG!$K$3:$K$36,MATCH(B1883,PEMAGANG!$C$3:$C$36,0))),1,0),0)</f>
        <v>0</v>
      </c>
      <c r="W1883" s="71">
        <f t="shared" si="269"/>
        <v>0</v>
      </c>
    </row>
    <row r="1884" spans="1:23" x14ac:dyDescent="0.2">
      <c r="A1884" s="71" t="s">
        <v>595</v>
      </c>
      <c r="B1884" s="71" t="s">
        <v>596</v>
      </c>
      <c r="C1884" s="71" t="s">
        <v>187</v>
      </c>
      <c r="D1884" s="71" t="s">
        <v>421</v>
      </c>
      <c r="E1884" s="71" t="s">
        <v>422</v>
      </c>
      <c r="F1884" s="71" t="s">
        <v>298</v>
      </c>
      <c r="G1884" s="88">
        <v>46248.278240740699</v>
      </c>
      <c r="H1884" s="89">
        <v>46248</v>
      </c>
      <c r="I1884" s="71" t="s">
        <v>484</v>
      </c>
      <c r="J1884" s="71">
        <v>-80</v>
      </c>
      <c r="K1884" s="71" t="s">
        <v>302</v>
      </c>
      <c r="L1884" s="71">
        <f t="shared" si="261"/>
        <v>8</v>
      </c>
      <c r="M1884" s="71" t="str">
        <f>IFERROR(INDEX(KALENDER!$D$3:$D$132,MATCH(H1884,KALENDER!$A$3:$A$132,0)),"Di luar periode")</f>
        <v>Hari Kerja</v>
      </c>
      <c r="N1884" s="71">
        <f t="shared" si="262"/>
        <v>1</v>
      </c>
      <c r="O1884" s="71">
        <f t="shared" si="263"/>
        <v>1</v>
      </c>
      <c r="P1884" s="71">
        <f t="shared" si="264"/>
        <v>0</v>
      </c>
      <c r="Q1884" s="71">
        <f t="shared" si="265"/>
        <v>1</v>
      </c>
      <c r="R1884" s="71">
        <f t="shared" si="266"/>
        <v>0</v>
      </c>
      <c r="S1884" s="71">
        <f t="shared" si="267"/>
        <v>0</v>
      </c>
      <c r="T1884" s="71">
        <f t="shared" si="268"/>
        <v>0</v>
      </c>
      <c r="U1884" s="71">
        <f>IF(AND(N1884=1,V1884=1),IF(COUNTIFS(AKTIVITAS!$B$2:$B$3052,B1884,AKTIVITAS!$E$2:$E$3052,H1884)&gt;0,1,0),0)</f>
        <v>0</v>
      </c>
      <c r="V1884" s="71">
        <f>IFERROR(IF(AND(H1884&gt;=INDEX(PEMAGANG!$J$3:$J$36,MATCH(B1884,PEMAGANG!$C$3:$C$36,0)),H1884&lt;=INDEX(PEMAGANG!$K$3:$K$36,MATCH(B1884,PEMAGANG!$C$3:$C$36,0))),1,0),0)</f>
        <v>0</v>
      </c>
      <c r="W1884" s="71">
        <f t="shared" si="269"/>
        <v>0</v>
      </c>
    </row>
    <row r="1885" spans="1:23" x14ac:dyDescent="0.2">
      <c r="A1885" s="71" t="s">
        <v>595</v>
      </c>
      <c r="B1885" s="71" t="s">
        <v>596</v>
      </c>
      <c r="C1885" s="71" t="s">
        <v>187</v>
      </c>
      <c r="D1885" s="71" t="s">
        <v>421</v>
      </c>
      <c r="E1885" s="71" t="s">
        <v>422</v>
      </c>
      <c r="F1885" s="71" t="s">
        <v>300</v>
      </c>
      <c r="G1885" s="88">
        <v>46248.762685185196</v>
      </c>
      <c r="H1885" s="89">
        <v>46248</v>
      </c>
      <c r="I1885" s="71" t="s">
        <v>600</v>
      </c>
      <c r="J1885" s="71">
        <v>0</v>
      </c>
      <c r="K1885" s="71" t="s">
        <v>302</v>
      </c>
      <c r="L1885" s="71">
        <f t="shared" si="261"/>
        <v>8</v>
      </c>
      <c r="M1885" s="71" t="str">
        <f>IFERROR(INDEX(KALENDER!$D$3:$D$132,MATCH(H1885,KALENDER!$A$3:$A$132,0)),"Di luar periode")</f>
        <v>Hari Kerja</v>
      </c>
      <c r="N1885" s="71">
        <f t="shared" si="262"/>
        <v>0</v>
      </c>
      <c r="O1885" s="71">
        <f t="shared" si="263"/>
        <v>1</v>
      </c>
      <c r="P1885" s="71">
        <f t="shared" si="264"/>
        <v>0</v>
      </c>
      <c r="Q1885" s="71">
        <f t="shared" si="265"/>
        <v>0</v>
      </c>
      <c r="R1885" s="71">
        <f t="shared" si="266"/>
        <v>0</v>
      </c>
      <c r="S1885" s="71">
        <f t="shared" si="267"/>
        <v>0</v>
      </c>
      <c r="T1885" s="71">
        <f t="shared" si="268"/>
        <v>0</v>
      </c>
      <c r="U1885" s="71">
        <f>IF(AND(N1885=1,V1885=1),IF(COUNTIFS(AKTIVITAS!$B$2:$B$3052,B1885,AKTIVITAS!$E$2:$E$3052,H1885)&gt;0,1,0),0)</f>
        <v>0</v>
      </c>
      <c r="V1885" s="71">
        <f>IFERROR(IF(AND(H1885&gt;=INDEX(PEMAGANG!$J$3:$J$36,MATCH(B1885,PEMAGANG!$C$3:$C$36,0)),H1885&lt;=INDEX(PEMAGANG!$K$3:$K$36,MATCH(B1885,PEMAGANG!$C$3:$C$36,0))),1,0),0)</f>
        <v>0</v>
      </c>
      <c r="W1885" s="71">
        <f t="shared" si="269"/>
        <v>0</v>
      </c>
    </row>
    <row r="1886" spans="1:23" x14ac:dyDescent="0.2">
      <c r="A1886" s="71" t="s">
        <v>595</v>
      </c>
      <c r="B1886" s="71" t="s">
        <v>596</v>
      </c>
      <c r="C1886" s="71" t="s">
        <v>187</v>
      </c>
      <c r="D1886" s="71" t="s">
        <v>421</v>
      </c>
      <c r="E1886" s="71" t="s">
        <v>422</v>
      </c>
      <c r="F1886" s="71" t="s">
        <v>298</v>
      </c>
      <c r="G1886" s="88">
        <v>46252.276203703703</v>
      </c>
      <c r="H1886" s="89">
        <v>46252</v>
      </c>
      <c r="I1886" s="71" t="s">
        <v>493</v>
      </c>
      <c r="J1886" s="71">
        <v>-82.999999999999901</v>
      </c>
      <c r="K1886" s="71" t="s">
        <v>302</v>
      </c>
      <c r="L1886" s="71">
        <f t="shared" si="261"/>
        <v>8</v>
      </c>
      <c r="M1886" s="71" t="str">
        <f>IFERROR(INDEX(KALENDER!$D$3:$D$132,MATCH(H1886,KALENDER!$A$3:$A$132,0)),"Di luar periode")</f>
        <v>Hari Kerja</v>
      </c>
      <c r="N1886" s="71">
        <f t="shared" si="262"/>
        <v>1</v>
      </c>
      <c r="O1886" s="71">
        <f t="shared" si="263"/>
        <v>1</v>
      </c>
      <c r="P1886" s="71">
        <f t="shared" si="264"/>
        <v>0</v>
      </c>
      <c r="Q1886" s="71">
        <f t="shared" si="265"/>
        <v>1</v>
      </c>
      <c r="R1886" s="71">
        <f t="shared" si="266"/>
        <v>0</v>
      </c>
      <c r="S1886" s="71">
        <f t="shared" si="267"/>
        <v>0</v>
      </c>
      <c r="T1886" s="71">
        <f t="shared" si="268"/>
        <v>0</v>
      </c>
      <c r="U1886" s="71">
        <f>IF(AND(N1886=1,V1886=1),IF(COUNTIFS(AKTIVITAS!$B$2:$B$3052,B1886,AKTIVITAS!$E$2:$E$3052,H1886)&gt;0,1,0),0)</f>
        <v>0</v>
      </c>
      <c r="V1886" s="71">
        <f>IFERROR(IF(AND(H1886&gt;=INDEX(PEMAGANG!$J$3:$J$36,MATCH(B1886,PEMAGANG!$C$3:$C$36,0)),H1886&lt;=INDEX(PEMAGANG!$K$3:$K$36,MATCH(B1886,PEMAGANG!$C$3:$C$36,0))),1,0),0)</f>
        <v>0</v>
      </c>
      <c r="W1886" s="71">
        <f t="shared" si="269"/>
        <v>0</v>
      </c>
    </row>
    <row r="1887" spans="1:23" x14ac:dyDescent="0.2">
      <c r="A1887" s="71" t="s">
        <v>595</v>
      </c>
      <c r="B1887" s="71" t="s">
        <v>596</v>
      </c>
      <c r="C1887" s="71" t="s">
        <v>187</v>
      </c>
      <c r="D1887" s="71" t="s">
        <v>421</v>
      </c>
      <c r="E1887" s="71" t="s">
        <v>422</v>
      </c>
      <c r="F1887" s="71" t="s">
        <v>300</v>
      </c>
      <c r="G1887" s="88">
        <v>46252.761377314797</v>
      </c>
      <c r="H1887" s="89">
        <v>46252</v>
      </c>
      <c r="I1887" s="71" t="s">
        <v>417</v>
      </c>
      <c r="J1887" s="71">
        <v>0</v>
      </c>
      <c r="K1887" s="71" t="s">
        <v>302</v>
      </c>
      <c r="L1887" s="71">
        <f t="shared" si="261"/>
        <v>8</v>
      </c>
      <c r="M1887" s="71" t="str">
        <f>IFERROR(INDEX(KALENDER!$D$3:$D$132,MATCH(H1887,KALENDER!$A$3:$A$132,0)),"Di luar periode")</f>
        <v>Hari Kerja</v>
      </c>
      <c r="N1887" s="71">
        <f t="shared" si="262"/>
        <v>0</v>
      </c>
      <c r="O1887" s="71">
        <f t="shared" si="263"/>
        <v>1</v>
      </c>
      <c r="P1887" s="71">
        <f t="shared" si="264"/>
        <v>0</v>
      </c>
      <c r="Q1887" s="71">
        <f t="shared" si="265"/>
        <v>0</v>
      </c>
      <c r="R1887" s="71">
        <f t="shared" si="266"/>
        <v>0</v>
      </c>
      <c r="S1887" s="71">
        <f t="shared" si="267"/>
        <v>0</v>
      </c>
      <c r="T1887" s="71">
        <f t="shared" si="268"/>
        <v>0</v>
      </c>
      <c r="U1887" s="71">
        <f>IF(AND(N1887=1,V1887=1),IF(COUNTIFS(AKTIVITAS!$B$2:$B$3052,B1887,AKTIVITAS!$E$2:$E$3052,H1887)&gt;0,1,0),0)</f>
        <v>0</v>
      </c>
      <c r="V1887" s="71">
        <f>IFERROR(IF(AND(H1887&gt;=INDEX(PEMAGANG!$J$3:$J$36,MATCH(B1887,PEMAGANG!$C$3:$C$36,0)),H1887&lt;=INDEX(PEMAGANG!$K$3:$K$36,MATCH(B1887,PEMAGANG!$C$3:$C$36,0))),1,0),0)</f>
        <v>0</v>
      </c>
      <c r="W1887" s="71">
        <f t="shared" si="269"/>
        <v>0</v>
      </c>
    </row>
    <row r="1888" spans="1:23" x14ac:dyDescent="0.2">
      <c r="A1888" s="71" t="s">
        <v>595</v>
      </c>
      <c r="B1888" s="71" t="s">
        <v>596</v>
      </c>
      <c r="C1888" s="71" t="s">
        <v>187</v>
      </c>
      <c r="D1888" s="71" t="s">
        <v>421</v>
      </c>
      <c r="E1888" s="71" t="s">
        <v>422</v>
      </c>
      <c r="F1888" s="71" t="s">
        <v>298</v>
      </c>
      <c r="G1888" s="88">
        <v>46253.274895833303</v>
      </c>
      <c r="H1888" s="89">
        <v>46253</v>
      </c>
      <c r="I1888" s="71" t="s">
        <v>598</v>
      </c>
      <c r="J1888" s="71">
        <v>-85</v>
      </c>
      <c r="K1888" s="71" t="s">
        <v>302</v>
      </c>
      <c r="L1888" s="71">
        <f t="shared" si="261"/>
        <v>8</v>
      </c>
      <c r="M1888" s="71" t="str">
        <f>IFERROR(INDEX(KALENDER!$D$3:$D$132,MATCH(H1888,KALENDER!$A$3:$A$132,0)),"Di luar periode")</f>
        <v>Hari Kerja</v>
      </c>
      <c r="N1888" s="71">
        <f t="shared" si="262"/>
        <v>1</v>
      </c>
      <c r="O1888" s="71">
        <f t="shared" si="263"/>
        <v>1</v>
      </c>
      <c r="P1888" s="71">
        <f t="shared" si="264"/>
        <v>0</v>
      </c>
      <c r="Q1888" s="71">
        <f t="shared" si="265"/>
        <v>1</v>
      </c>
      <c r="R1888" s="71">
        <f t="shared" si="266"/>
        <v>0</v>
      </c>
      <c r="S1888" s="71">
        <f t="shared" si="267"/>
        <v>0</v>
      </c>
      <c r="T1888" s="71">
        <f t="shared" si="268"/>
        <v>0</v>
      </c>
      <c r="U1888" s="71">
        <f>IF(AND(N1888=1,V1888=1),IF(COUNTIFS(AKTIVITAS!$B$2:$B$3052,B1888,AKTIVITAS!$E$2:$E$3052,H1888)&gt;0,1,0),0)</f>
        <v>0</v>
      </c>
      <c r="V1888" s="71">
        <f>IFERROR(IF(AND(H1888&gt;=INDEX(PEMAGANG!$J$3:$J$36,MATCH(B1888,PEMAGANG!$C$3:$C$36,0)),H1888&lt;=INDEX(PEMAGANG!$K$3:$K$36,MATCH(B1888,PEMAGANG!$C$3:$C$36,0))),1,0),0)</f>
        <v>0</v>
      </c>
      <c r="W1888" s="71">
        <f t="shared" si="269"/>
        <v>0</v>
      </c>
    </row>
    <row r="1889" spans="1:23" x14ac:dyDescent="0.2">
      <c r="A1889" s="71" t="s">
        <v>595</v>
      </c>
      <c r="B1889" s="71" t="s">
        <v>596</v>
      </c>
      <c r="C1889" s="71" t="s">
        <v>187</v>
      </c>
      <c r="D1889" s="71" t="s">
        <v>421</v>
      </c>
      <c r="E1889" s="71" t="s">
        <v>422</v>
      </c>
      <c r="F1889" s="71" t="s">
        <v>300</v>
      </c>
      <c r="G1889" s="88">
        <v>46253.809490740699</v>
      </c>
      <c r="H1889" s="89">
        <v>46253</v>
      </c>
      <c r="I1889" s="71" t="s">
        <v>601</v>
      </c>
      <c r="J1889" s="71">
        <v>0</v>
      </c>
      <c r="K1889" s="71" t="s">
        <v>302</v>
      </c>
      <c r="L1889" s="71">
        <f t="shared" si="261"/>
        <v>8</v>
      </c>
      <c r="M1889" s="71" t="str">
        <f>IFERROR(INDEX(KALENDER!$D$3:$D$132,MATCH(H1889,KALENDER!$A$3:$A$132,0)),"Di luar periode")</f>
        <v>Hari Kerja</v>
      </c>
      <c r="N1889" s="71">
        <f t="shared" si="262"/>
        <v>0</v>
      </c>
      <c r="O1889" s="71">
        <f t="shared" si="263"/>
        <v>1</v>
      </c>
      <c r="P1889" s="71">
        <f t="shared" si="264"/>
        <v>0</v>
      </c>
      <c r="Q1889" s="71">
        <f t="shared" si="265"/>
        <v>0</v>
      </c>
      <c r="R1889" s="71">
        <f t="shared" si="266"/>
        <v>0</v>
      </c>
      <c r="S1889" s="71">
        <f t="shared" si="267"/>
        <v>0</v>
      </c>
      <c r="T1889" s="71">
        <f t="shared" si="268"/>
        <v>0</v>
      </c>
      <c r="U1889" s="71">
        <f>IF(AND(N1889=1,V1889=1),IF(COUNTIFS(AKTIVITAS!$B$2:$B$3052,B1889,AKTIVITAS!$E$2:$E$3052,H1889)&gt;0,1,0),0)</f>
        <v>0</v>
      </c>
      <c r="V1889" s="71">
        <f>IFERROR(IF(AND(H1889&gt;=INDEX(PEMAGANG!$J$3:$J$36,MATCH(B1889,PEMAGANG!$C$3:$C$36,0)),H1889&lt;=INDEX(PEMAGANG!$K$3:$K$36,MATCH(B1889,PEMAGANG!$C$3:$C$36,0))),1,0),0)</f>
        <v>0</v>
      </c>
      <c r="W1889" s="71">
        <f t="shared" si="269"/>
        <v>0</v>
      </c>
    </row>
    <row r="1890" spans="1:23" x14ac:dyDescent="0.2">
      <c r="A1890" s="71" t="s">
        <v>595</v>
      </c>
      <c r="B1890" s="71" t="s">
        <v>596</v>
      </c>
      <c r="C1890" s="71" t="s">
        <v>187</v>
      </c>
      <c r="D1890" s="71" t="s">
        <v>421</v>
      </c>
      <c r="E1890" s="71" t="s">
        <v>422</v>
      </c>
      <c r="F1890" s="71" t="s">
        <v>298</v>
      </c>
      <c r="G1890" s="88">
        <v>46254.273668981499</v>
      </c>
      <c r="H1890" s="89">
        <v>46254</v>
      </c>
      <c r="I1890" s="71" t="s">
        <v>602</v>
      </c>
      <c r="J1890" s="71">
        <v>-86</v>
      </c>
      <c r="K1890" s="71" t="s">
        <v>302</v>
      </c>
      <c r="L1890" s="71">
        <f t="shared" si="261"/>
        <v>8</v>
      </c>
      <c r="M1890" s="71" t="str">
        <f>IFERROR(INDEX(KALENDER!$D$3:$D$132,MATCH(H1890,KALENDER!$A$3:$A$132,0)),"Di luar periode")</f>
        <v>Hari Kerja</v>
      </c>
      <c r="N1890" s="71">
        <f t="shared" si="262"/>
        <v>1</v>
      </c>
      <c r="O1890" s="71">
        <f t="shared" si="263"/>
        <v>1</v>
      </c>
      <c r="P1890" s="71">
        <f t="shared" si="264"/>
        <v>0</v>
      </c>
      <c r="Q1890" s="71">
        <f t="shared" si="265"/>
        <v>1</v>
      </c>
      <c r="R1890" s="71">
        <f t="shared" si="266"/>
        <v>0</v>
      </c>
      <c r="S1890" s="71">
        <f t="shared" si="267"/>
        <v>0</v>
      </c>
      <c r="T1890" s="71">
        <f t="shared" si="268"/>
        <v>0</v>
      </c>
      <c r="U1890" s="71">
        <f>IF(AND(N1890=1,V1890=1),IF(COUNTIFS(AKTIVITAS!$B$2:$B$3052,B1890,AKTIVITAS!$E$2:$E$3052,H1890)&gt;0,1,0),0)</f>
        <v>0</v>
      </c>
      <c r="V1890" s="71">
        <f>IFERROR(IF(AND(H1890&gt;=INDEX(PEMAGANG!$J$3:$J$36,MATCH(B1890,PEMAGANG!$C$3:$C$36,0)),H1890&lt;=INDEX(PEMAGANG!$K$3:$K$36,MATCH(B1890,PEMAGANG!$C$3:$C$36,0))),1,0),0)</f>
        <v>0</v>
      </c>
      <c r="W1890" s="71">
        <f t="shared" si="269"/>
        <v>0</v>
      </c>
    </row>
    <row r="1891" spans="1:23" x14ac:dyDescent="0.2">
      <c r="A1891" s="71" t="s">
        <v>595</v>
      </c>
      <c r="B1891" s="71" t="s">
        <v>596</v>
      </c>
      <c r="C1891" s="71" t="s">
        <v>187</v>
      </c>
      <c r="D1891" s="71" t="s">
        <v>421</v>
      </c>
      <c r="E1891" s="71" t="s">
        <v>422</v>
      </c>
      <c r="F1891" s="71" t="s">
        <v>300</v>
      </c>
      <c r="G1891" s="88">
        <v>46254.754814814798</v>
      </c>
      <c r="H1891" s="89">
        <v>46254</v>
      </c>
      <c r="I1891" s="71" t="s">
        <v>460</v>
      </c>
      <c r="J1891" s="71">
        <v>0</v>
      </c>
      <c r="K1891" s="71" t="s">
        <v>302</v>
      </c>
      <c r="L1891" s="71">
        <f t="shared" si="261"/>
        <v>8</v>
      </c>
      <c r="M1891" s="71" t="str">
        <f>IFERROR(INDEX(KALENDER!$D$3:$D$132,MATCH(H1891,KALENDER!$A$3:$A$132,0)),"Di luar periode")</f>
        <v>Hari Kerja</v>
      </c>
      <c r="N1891" s="71">
        <f t="shared" si="262"/>
        <v>0</v>
      </c>
      <c r="O1891" s="71">
        <f t="shared" si="263"/>
        <v>1</v>
      </c>
      <c r="P1891" s="71">
        <f t="shared" si="264"/>
        <v>0</v>
      </c>
      <c r="Q1891" s="71">
        <f t="shared" si="265"/>
        <v>0</v>
      </c>
      <c r="R1891" s="71">
        <f t="shared" si="266"/>
        <v>0</v>
      </c>
      <c r="S1891" s="71">
        <f t="shared" si="267"/>
        <v>0</v>
      </c>
      <c r="T1891" s="71">
        <f t="shared" si="268"/>
        <v>0</v>
      </c>
      <c r="U1891" s="71">
        <f>IF(AND(N1891=1,V1891=1),IF(COUNTIFS(AKTIVITAS!$B$2:$B$3052,B1891,AKTIVITAS!$E$2:$E$3052,H1891)&gt;0,1,0),0)</f>
        <v>0</v>
      </c>
      <c r="V1891" s="71">
        <f>IFERROR(IF(AND(H1891&gt;=INDEX(PEMAGANG!$J$3:$J$36,MATCH(B1891,PEMAGANG!$C$3:$C$36,0)),H1891&lt;=INDEX(PEMAGANG!$K$3:$K$36,MATCH(B1891,PEMAGANG!$C$3:$C$36,0))),1,0),0)</f>
        <v>0</v>
      </c>
      <c r="W1891" s="71">
        <f t="shared" si="269"/>
        <v>0</v>
      </c>
    </row>
    <row r="1892" spans="1:23" x14ac:dyDescent="0.2">
      <c r="A1892" s="71" t="s">
        <v>595</v>
      </c>
      <c r="B1892" s="71" t="s">
        <v>596</v>
      </c>
      <c r="C1892" s="71" t="s">
        <v>187</v>
      </c>
      <c r="D1892" s="71" t="s">
        <v>421</v>
      </c>
      <c r="E1892" s="71" t="s">
        <v>422</v>
      </c>
      <c r="F1892" s="71" t="s">
        <v>298</v>
      </c>
      <c r="G1892" s="88">
        <v>46255.277141203696</v>
      </c>
      <c r="H1892" s="89">
        <v>46255</v>
      </c>
      <c r="I1892" s="71" t="s">
        <v>502</v>
      </c>
      <c r="J1892" s="71">
        <v>-81</v>
      </c>
      <c r="K1892" s="71" t="s">
        <v>302</v>
      </c>
      <c r="L1892" s="71">
        <f t="shared" si="261"/>
        <v>8</v>
      </c>
      <c r="M1892" s="71" t="str">
        <f>IFERROR(INDEX(KALENDER!$D$3:$D$132,MATCH(H1892,KALENDER!$A$3:$A$132,0)),"Di luar periode")</f>
        <v>Hari Kerja</v>
      </c>
      <c r="N1892" s="71">
        <f t="shared" si="262"/>
        <v>1</v>
      </c>
      <c r="O1892" s="71">
        <f t="shared" si="263"/>
        <v>1</v>
      </c>
      <c r="P1892" s="71">
        <f t="shared" si="264"/>
        <v>0</v>
      </c>
      <c r="Q1892" s="71">
        <f t="shared" si="265"/>
        <v>1</v>
      </c>
      <c r="R1892" s="71">
        <f t="shared" si="266"/>
        <v>0</v>
      </c>
      <c r="S1892" s="71">
        <f t="shared" si="267"/>
        <v>0</v>
      </c>
      <c r="T1892" s="71">
        <f t="shared" si="268"/>
        <v>0</v>
      </c>
      <c r="U1892" s="71">
        <f>IF(AND(N1892=1,V1892=1),IF(COUNTIFS(AKTIVITAS!$B$2:$B$3052,B1892,AKTIVITAS!$E$2:$E$3052,H1892)&gt;0,1,0),0)</f>
        <v>0</v>
      </c>
      <c r="V1892" s="71">
        <f>IFERROR(IF(AND(H1892&gt;=INDEX(PEMAGANG!$J$3:$J$36,MATCH(B1892,PEMAGANG!$C$3:$C$36,0)),H1892&lt;=INDEX(PEMAGANG!$K$3:$K$36,MATCH(B1892,PEMAGANG!$C$3:$C$36,0))),1,0),0)</f>
        <v>0</v>
      </c>
      <c r="W1892" s="71">
        <f t="shared" si="269"/>
        <v>0</v>
      </c>
    </row>
    <row r="1893" spans="1:23" x14ac:dyDescent="0.2">
      <c r="A1893" s="71" t="s">
        <v>595</v>
      </c>
      <c r="B1893" s="71" t="s">
        <v>596</v>
      </c>
      <c r="C1893" s="71" t="s">
        <v>187</v>
      </c>
      <c r="D1893" s="71" t="s">
        <v>421</v>
      </c>
      <c r="E1893" s="71" t="s">
        <v>422</v>
      </c>
      <c r="F1893" s="71" t="s">
        <v>300</v>
      </c>
      <c r="G1893" s="88">
        <v>46255.765543981499</v>
      </c>
      <c r="H1893" s="89">
        <v>46255</v>
      </c>
      <c r="I1893" s="71" t="s">
        <v>434</v>
      </c>
      <c r="J1893" s="71">
        <v>0</v>
      </c>
      <c r="K1893" s="71" t="s">
        <v>302</v>
      </c>
      <c r="L1893" s="71">
        <f t="shared" si="261"/>
        <v>8</v>
      </c>
      <c r="M1893" s="71" t="str">
        <f>IFERROR(INDEX(KALENDER!$D$3:$D$132,MATCH(H1893,KALENDER!$A$3:$A$132,0)),"Di luar periode")</f>
        <v>Hari Kerja</v>
      </c>
      <c r="N1893" s="71">
        <f t="shared" si="262"/>
        <v>0</v>
      </c>
      <c r="O1893" s="71">
        <f t="shared" si="263"/>
        <v>1</v>
      </c>
      <c r="P1893" s="71">
        <f t="shared" si="264"/>
        <v>0</v>
      </c>
      <c r="Q1893" s="71">
        <f t="shared" si="265"/>
        <v>0</v>
      </c>
      <c r="R1893" s="71">
        <f t="shared" si="266"/>
        <v>0</v>
      </c>
      <c r="S1893" s="71">
        <f t="shared" si="267"/>
        <v>0</v>
      </c>
      <c r="T1893" s="71">
        <f t="shared" si="268"/>
        <v>0</v>
      </c>
      <c r="U1893" s="71">
        <f>IF(AND(N1893=1,V1893=1),IF(COUNTIFS(AKTIVITAS!$B$2:$B$3052,B1893,AKTIVITAS!$E$2:$E$3052,H1893)&gt;0,1,0),0)</f>
        <v>0</v>
      </c>
      <c r="V1893" s="71">
        <f>IFERROR(IF(AND(H1893&gt;=INDEX(PEMAGANG!$J$3:$J$36,MATCH(B1893,PEMAGANG!$C$3:$C$36,0)),H1893&lt;=INDEX(PEMAGANG!$K$3:$K$36,MATCH(B1893,PEMAGANG!$C$3:$C$36,0))),1,0),0)</f>
        <v>0</v>
      </c>
      <c r="W1893" s="71">
        <f t="shared" si="269"/>
        <v>0</v>
      </c>
    </row>
    <row r="1894" spans="1:23" x14ac:dyDescent="0.2">
      <c r="A1894" s="71" t="s">
        <v>595</v>
      </c>
      <c r="B1894" s="71" t="s">
        <v>596</v>
      </c>
      <c r="C1894" s="71" t="s">
        <v>187</v>
      </c>
      <c r="D1894" s="71" t="s">
        <v>421</v>
      </c>
      <c r="E1894" s="71" t="s">
        <v>422</v>
      </c>
      <c r="F1894" s="71" t="s">
        <v>298</v>
      </c>
      <c r="G1894" s="88">
        <v>46258.277094907397</v>
      </c>
      <c r="H1894" s="89">
        <v>46258</v>
      </c>
      <c r="I1894" s="71" t="s">
        <v>502</v>
      </c>
      <c r="J1894" s="71">
        <v>-81</v>
      </c>
      <c r="K1894" s="71" t="s">
        <v>302</v>
      </c>
      <c r="L1894" s="71">
        <f t="shared" si="261"/>
        <v>8</v>
      </c>
      <c r="M1894" s="71" t="str">
        <f>IFERROR(INDEX(KALENDER!$D$3:$D$132,MATCH(H1894,KALENDER!$A$3:$A$132,0)),"Di luar periode")</f>
        <v>Hari Kerja</v>
      </c>
      <c r="N1894" s="71">
        <f t="shared" si="262"/>
        <v>1</v>
      </c>
      <c r="O1894" s="71">
        <f t="shared" si="263"/>
        <v>1</v>
      </c>
      <c r="P1894" s="71">
        <f t="shared" si="264"/>
        <v>0</v>
      </c>
      <c r="Q1894" s="71">
        <f t="shared" si="265"/>
        <v>1</v>
      </c>
      <c r="R1894" s="71">
        <f t="shared" si="266"/>
        <v>0</v>
      </c>
      <c r="S1894" s="71">
        <f t="shared" si="267"/>
        <v>0</v>
      </c>
      <c r="T1894" s="71">
        <f t="shared" si="268"/>
        <v>0</v>
      </c>
      <c r="U1894" s="71">
        <f>IF(AND(N1894=1,V1894=1),IF(COUNTIFS(AKTIVITAS!$B$2:$B$3052,B1894,AKTIVITAS!$E$2:$E$3052,H1894)&gt;0,1,0),0)</f>
        <v>0</v>
      </c>
      <c r="V1894" s="71">
        <f>IFERROR(IF(AND(H1894&gt;=INDEX(PEMAGANG!$J$3:$J$36,MATCH(B1894,PEMAGANG!$C$3:$C$36,0)),H1894&lt;=INDEX(PEMAGANG!$K$3:$K$36,MATCH(B1894,PEMAGANG!$C$3:$C$36,0))),1,0),0)</f>
        <v>0</v>
      </c>
      <c r="W1894" s="71">
        <f t="shared" si="269"/>
        <v>0</v>
      </c>
    </row>
    <row r="1895" spans="1:23" x14ac:dyDescent="0.2">
      <c r="A1895" s="71" t="s">
        <v>595</v>
      </c>
      <c r="B1895" s="71" t="s">
        <v>596</v>
      </c>
      <c r="C1895" s="71" t="s">
        <v>187</v>
      </c>
      <c r="D1895" s="71" t="s">
        <v>421</v>
      </c>
      <c r="E1895" s="71" t="s">
        <v>422</v>
      </c>
      <c r="F1895" s="71" t="s">
        <v>300</v>
      </c>
      <c r="G1895" s="88">
        <v>46258.771296296298</v>
      </c>
      <c r="H1895" s="89">
        <v>46258</v>
      </c>
      <c r="I1895" s="71" t="s">
        <v>360</v>
      </c>
      <c r="J1895" s="71">
        <v>0</v>
      </c>
      <c r="K1895" s="71" t="s">
        <v>302</v>
      </c>
      <c r="L1895" s="71">
        <f t="shared" si="261"/>
        <v>8</v>
      </c>
      <c r="M1895" s="71" t="str">
        <f>IFERROR(INDEX(KALENDER!$D$3:$D$132,MATCH(H1895,KALENDER!$A$3:$A$132,0)),"Di luar periode")</f>
        <v>Hari Kerja</v>
      </c>
      <c r="N1895" s="71">
        <f t="shared" si="262"/>
        <v>0</v>
      </c>
      <c r="O1895" s="71">
        <f t="shared" si="263"/>
        <v>1</v>
      </c>
      <c r="P1895" s="71">
        <f t="shared" si="264"/>
        <v>0</v>
      </c>
      <c r="Q1895" s="71">
        <f t="shared" si="265"/>
        <v>0</v>
      </c>
      <c r="R1895" s="71">
        <f t="shared" si="266"/>
        <v>0</v>
      </c>
      <c r="S1895" s="71">
        <f t="shared" si="267"/>
        <v>0</v>
      </c>
      <c r="T1895" s="71">
        <f t="shared" si="268"/>
        <v>0</v>
      </c>
      <c r="U1895" s="71">
        <f>IF(AND(N1895=1,V1895=1),IF(COUNTIFS(AKTIVITAS!$B$2:$B$3052,B1895,AKTIVITAS!$E$2:$E$3052,H1895)&gt;0,1,0),0)</f>
        <v>0</v>
      </c>
      <c r="V1895" s="71">
        <f>IFERROR(IF(AND(H1895&gt;=INDEX(PEMAGANG!$J$3:$J$36,MATCH(B1895,PEMAGANG!$C$3:$C$36,0)),H1895&lt;=INDEX(PEMAGANG!$K$3:$K$36,MATCH(B1895,PEMAGANG!$C$3:$C$36,0))),1,0),0)</f>
        <v>0</v>
      </c>
      <c r="W1895" s="71">
        <f t="shared" si="269"/>
        <v>0</v>
      </c>
    </row>
    <row r="1896" spans="1:23" x14ac:dyDescent="0.2">
      <c r="A1896" s="71" t="s">
        <v>595</v>
      </c>
      <c r="B1896" s="71" t="s">
        <v>596</v>
      </c>
      <c r="C1896" s="71" t="s">
        <v>187</v>
      </c>
      <c r="D1896" s="71" t="s">
        <v>421</v>
      </c>
      <c r="E1896" s="71" t="s">
        <v>422</v>
      </c>
      <c r="F1896" s="71" t="s">
        <v>298</v>
      </c>
      <c r="G1896" s="88">
        <v>46260.2758680556</v>
      </c>
      <c r="H1896" s="89">
        <v>46260</v>
      </c>
      <c r="I1896" s="71" t="s">
        <v>493</v>
      </c>
      <c r="J1896" s="71">
        <v>-82.999999999999901</v>
      </c>
      <c r="K1896" s="71" t="s">
        <v>302</v>
      </c>
      <c r="L1896" s="71">
        <f t="shared" si="261"/>
        <v>8</v>
      </c>
      <c r="M1896" s="71" t="str">
        <f>IFERROR(INDEX(KALENDER!$D$3:$D$132,MATCH(H1896,KALENDER!$A$3:$A$132,0)),"Di luar periode")</f>
        <v>Hari Kerja</v>
      </c>
      <c r="N1896" s="71">
        <f t="shared" si="262"/>
        <v>1</v>
      </c>
      <c r="O1896" s="71">
        <f t="shared" si="263"/>
        <v>1</v>
      </c>
      <c r="P1896" s="71">
        <f t="shared" si="264"/>
        <v>0</v>
      </c>
      <c r="Q1896" s="71">
        <f t="shared" si="265"/>
        <v>1</v>
      </c>
      <c r="R1896" s="71">
        <f t="shared" si="266"/>
        <v>0</v>
      </c>
      <c r="S1896" s="71">
        <f t="shared" si="267"/>
        <v>0</v>
      </c>
      <c r="T1896" s="71">
        <f t="shared" si="268"/>
        <v>0</v>
      </c>
      <c r="U1896" s="71">
        <f>IF(AND(N1896=1,V1896=1),IF(COUNTIFS(AKTIVITAS!$B$2:$B$3052,B1896,AKTIVITAS!$E$2:$E$3052,H1896)&gt;0,1,0),0)</f>
        <v>0</v>
      </c>
      <c r="V1896" s="71">
        <f>IFERROR(IF(AND(H1896&gt;=INDEX(PEMAGANG!$J$3:$J$36,MATCH(B1896,PEMAGANG!$C$3:$C$36,0)),H1896&lt;=INDEX(PEMAGANG!$K$3:$K$36,MATCH(B1896,PEMAGANG!$C$3:$C$36,0))),1,0),0)</f>
        <v>0</v>
      </c>
      <c r="W1896" s="71">
        <f t="shared" si="269"/>
        <v>0</v>
      </c>
    </row>
    <row r="1897" spans="1:23" x14ac:dyDescent="0.2">
      <c r="A1897" s="71" t="s">
        <v>595</v>
      </c>
      <c r="B1897" s="71" t="s">
        <v>596</v>
      </c>
      <c r="C1897" s="71" t="s">
        <v>187</v>
      </c>
      <c r="D1897" s="71" t="s">
        <v>421</v>
      </c>
      <c r="E1897" s="71" t="s">
        <v>422</v>
      </c>
      <c r="F1897" s="71" t="s">
        <v>300</v>
      </c>
      <c r="G1897" s="88">
        <v>46260.7589814815</v>
      </c>
      <c r="H1897" s="89">
        <v>46260</v>
      </c>
      <c r="I1897" s="71" t="s">
        <v>603</v>
      </c>
      <c r="J1897" s="71">
        <v>0</v>
      </c>
      <c r="K1897" s="71" t="s">
        <v>302</v>
      </c>
      <c r="L1897" s="71">
        <f t="shared" si="261"/>
        <v>8</v>
      </c>
      <c r="M1897" s="71" t="str">
        <f>IFERROR(INDEX(KALENDER!$D$3:$D$132,MATCH(H1897,KALENDER!$A$3:$A$132,0)),"Di luar periode")</f>
        <v>Hari Kerja</v>
      </c>
      <c r="N1897" s="71">
        <f t="shared" si="262"/>
        <v>0</v>
      </c>
      <c r="O1897" s="71">
        <f t="shared" si="263"/>
        <v>1</v>
      </c>
      <c r="P1897" s="71">
        <f t="shared" si="264"/>
        <v>0</v>
      </c>
      <c r="Q1897" s="71">
        <f t="shared" si="265"/>
        <v>0</v>
      </c>
      <c r="R1897" s="71">
        <f t="shared" si="266"/>
        <v>0</v>
      </c>
      <c r="S1897" s="71">
        <f t="shared" si="267"/>
        <v>0</v>
      </c>
      <c r="T1897" s="71">
        <f t="shared" si="268"/>
        <v>0</v>
      </c>
      <c r="U1897" s="71">
        <f>IF(AND(N1897=1,V1897=1),IF(COUNTIFS(AKTIVITAS!$B$2:$B$3052,B1897,AKTIVITAS!$E$2:$E$3052,H1897)&gt;0,1,0),0)</f>
        <v>0</v>
      </c>
      <c r="V1897" s="71">
        <f>IFERROR(IF(AND(H1897&gt;=INDEX(PEMAGANG!$J$3:$J$36,MATCH(B1897,PEMAGANG!$C$3:$C$36,0)),H1897&lt;=INDEX(PEMAGANG!$K$3:$K$36,MATCH(B1897,PEMAGANG!$C$3:$C$36,0))),1,0),0)</f>
        <v>0</v>
      </c>
      <c r="W1897" s="71">
        <f t="shared" si="269"/>
        <v>0</v>
      </c>
    </row>
    <row r="1898" spans="1:23" x14ac:dyDescent="0.2">
      <c r="A1898" s="71" t="s">
        <v>595</v>
      </c>
      <c r="B1898" s="71" t="s">
        <v>596</v>
      </c>
      <c r="C1898" s="71" t="s">
        <v>187</v>
      </c>
      <c r="D1898" s="71" t="s">
        <v>421</v>
      </c>
      <c r="E1898" s="71" t="s">
        <v>422</v>
      </c>
      <c r="F1898" s="71" t="s">
        <v>298</v>
      </c>
      <c r="G1898" s="88">
        <v>46261.269583333298</v>
      </c>
      <c r="H1898" s="89">
        <v>46261</v>
      </c>
      <c r="I1898" s="71" t="s">
        <v>604</v>
      </c>
      <c r="J1898" s="71">
        <v>-92</v>
      </c>
      <c r="K1898" s="71" t="s">
        <v>302</v>
      </c>
      <c r="L1898" s="71">
        <f t="shared" si="261"/>
        <v>8</v>
      </c>
      <c r="M1898" s="71" t="str">
        <f>IFERROR(INDEX(KALENDER!$D$3:$D$132,MATCH(H1898,KALENDER!$A$3:$A$132,0)),"Di luar periode")</f>
        <v>Hari Kerja</v>
      </c>
      <c r="N1898" s="71">
        <f t="shared" si="262"/>
        <v>1</v>
      </c>
      <c r="O1898" s="71">
        <f t="shared" si="263"/>
        <v>1</v>
      </c>
      <c r="P1898" s="71">
        <f t="shared" si="264"/>
        <v>0</v>
      </c>
      <c r="Q1898" s="71">
        <f t="shared" si="265"/>
        <v>1</v>
      </c>
      <c r="R1898" s="71">
        <f t="shared" si="266"/>
        <v>0</v>
      </c>
      <c r="S1898" s="71">
        <f t="shared" si="267"/>
        <v>0</v>
      </c>
      <c r="T1898" s="71">
        <f t="shared" si="268"/>
        <v>0</v>
      </c>
      <c r="U1898" s="71">
        <f>IF(AND(N1898=1,V1898=1),IF(COUNTIFS(AKTIVITAS!$B$2:$B$3052,B1898,AKTIVITAS!$E$2:$E$3052,H1898)&gt;0,1,0),0)</f>
        <v>0</v>
      </c>
      <c r="V1898" s="71">
        <f>IFERROR(IF(AND(H1898&gt;=INDEX(PEMAGANG!$J$3:$J$36,MATCH(B1898,PEMAGANG!$C$3:$C$36,0)),H1898&lt;=INDEX(PEMAGANG!$K$3:$K$36,MATCH(B1898,PEMAGANG!$C$3:$C$36,0))),1,0),0)</f>
        <v>0</v>
      </c>
      <c r="W1898" s="71">
        <f t="shared" si="269"/>
        <v>0</v>
      </c>
    </row>
    <row r="1899" spans="1:23" x14ac:dyDescent="0.2">
      <c r="A1899" s="71" t="s">
        <v>595</v>
      </c>
      <c r="B1899" s="71" t="s">
        <v>596</v>
      </c>
      <c r="C1899" s="71" t="s">
        <v>187</v>
      </c>
      <c r="D1899" s="71" t="s">
        <v>421</v>
      </c>
      <c r="E1899" s="71" t="s">
        <v>422</v>
      </c>
      <c r="F1899" s="71" t="s">
        <v>298</v>
      </c>
      <c r="G1899" s="88">
        <v>46262.280509259297</v>
      </c>
      <c r="H1899" s="89">
        <v>46262</v>
      </c>
      <c r="I1899" s="71" t="s">
        <v>499</v>
      </c>
      <c r="J1899" s="71">
        <v>-77</v>
      </c>
      <c r="K1899" s="71" t="s">
        <v>302</v>
      </c>
      <c r="L1899" s="71">
        <f t="shared" si="261"/>
        <v>8</v>
      </c>
      <c r="M1899" s="71" t="str">
        <f>IFERROR(INDEX(KALENDER!$D$3:$D$132,MATCH(H1899,KALENDER!$A$3:$A$132,0)),"Di luar periode")</f>
        <v>Hari Kerja</v>
      </c>
      <c r="N1899" s="71">
        <f t="shared" si="262"/>
        <v>1</v>
      </c>
      <c r="O1899" s="71">
        <f t="shared" si="263"/>
        <v>1</v>
      </c>
      <c r="P1899" s="71">
        <f t="shared" si="264"/>
        <v>0</v>
      </c>
      <c r="Q1899" s="71">
        <f t="shared" si="265"/>
        <v>1</v>
      </c>
      <c r="R1899" s="71">
        <f t="shared" si="266"/>
        <v>0</v>
      </c>
      <c r="S1899" s="71">
        <f t="shared" si="267"/>
        <v>0</v>
      </c>
      <c r="T1899" s="71">
        <f t="shared" si="268"/>
        <v>0</v>
      </c>
      <c r="U1899" s="71">
        <f>IF(AND(N1899=1,V1899=1),IF(COUNTIFS(AKTIVITAS!$B$2:$B$3052,B1899,AKTIVITAS!$E$2:$E$3052,H1899)&gt;0,1,0),0)</f>
        <v>0</v>
      </c>
      <c r="V1899" s="71">
        <f>IFERROR(IF(AND(H1899&gt;=INDEX(PEMAGANG!$J$3:$J$36,MATCH(B1899,PEMAGANG!$C$3:$C$36,0)),H1899&lt;=INDEX(PEMAGANG!$K$3:$K$36,MATCH(B1899,PEMAGANG!$C$3:$C$36,0))),1,0),0)</f>
        <v>0</v>
      </c>
      <c r="W1899" s="71">
        <f t="shared" si="269"/>
        <v>0</v>
      </c>
    </row>
    <row r="1900" spans="1:23" x14ac:dyDescent="0.2">
      <c r="A1900" s="71" t="s">
        <v>595</v>
      </c>
      <c r="B1900" s="71" t="s">
        <v>596</v>
      </c>
      <c r="C1900" s="71" t="s">
        <v>187</v>
      </c>
      <c r="D1900" s="71" t="s">
        <v>421</v>
      </c>
      <c r="E1900" s="71" t="s">
        <v>422</v>
      </c>
      <c r="F1900" s="71" t="s">
        <v>300</v>
      </c>
      <c r="G1900" s="88">
        <v>46262.761226851901</v>
      </c>
      <c r="H1900" s="89">
        <v>46262</v>
      </c>
      <c r="I1900" s="71" t="s">
        <v>417</v>
      </c>
      <c r="J1900" s="71">
        <v>0</v>
      </c>
      <c r="K1900" s="71" t="s">
        <v>302</v>
      </c>
      <c r="L1900" s="71">
        <f t="shared" si="261"/>
        <v>8</v>
      </c>
      <c r="M1900" s="71" t="str">
        <f>IFERROR(INDEX(KALENDER!$D$3:$D$132,MATCH(H1900,KALENDER!$A$3:$A$132,0)),"Di luar periode")</f>
        <v>Hari Kerja</v>
      </c>
      <c r="N1900" s="71">
        <f t="shared" si="262"/>
        <v>0</v>
      </c>
      <c r="O1900" s="71">
        <f t="shared" si="263"/>
        <v>1</v>
      </c>
      <c r="P1900" s="71">
        <f t="shared" si="264"/>
        <v>0</v>
      </c>
      <c r="Q1900" s="71">
        <f t="shared" si="265"/>
        <v>0</v>
      </c>
      <c r="R1900" s="71">
        <f t="shared" si="266"/>
        <v>0</v>
      </c>
      <c r="S1900" s="71">
        <f t="shared" si="267"/>
        <v>0</v>
      </c>
      <c r="T1900" s="71">
        <f t="shared" si="268"/>
        <v>0</v>
      </c>
      <c r="U1900" s="71">
        <f>IF(AND(N1900=1,V1900=1),IF(COUNTIFS(AKTIVITAS!$B$2:$B$3052,B1900,AKTIVITAS!$E$2:$E$3052,H1900)&gt;0,1,0),0)</f>
        <v>0</v>
      </c>
      <c r="V1900" s="71">
        <f>IFERROR(IF(AND(H1900&gt;=INDEX(PEMAGANG!$J$3:$J$36,MATCH(B1900,PEMAGANG!$C$3:$C$36,0)),H1900&lt;=INDEX(PEMAGANG!$K$3:$K$36,MATCH(B1900,PEMAGANG!$C$3:$C$36,0))),1,0),0)</f>
        <v>0</v>
      </c>
      <c r="W1900" s="71">
        <f t="shared" si="269"/>
        <v>0</v>
      </c>
    </row>
    <row r="1901" spans="1:23" x14ac:dyDescent="0.2">
      <c r="A1901" s="71" t="s">
        <v>595</v>
      </c>
      <c r="B1901" s="71" t="s">
        <v>596</v>
      </c>
      <c r="C1901" s="71" t="s">
        <v>187</v>
      </c>
      <c r="D1901" s="71" t="s">
        <v>421</v>
      </c>
      <c r="E1901" s="71" t="s">
        <v>422</v>
      </c>
      <c r="F1901" s="71" t="s">
        <v>298</v>
      </c>
      <c r="G1901" s="88">
        <v>46265.268796296303</v>
      </c>
      <c r="H1901" s="89">
        <v>46265</v>
      </c>
      <c r="I1901" s="71" t="s">
        <v>605</v>
      </c>
      <c r="J1901" s="71">
        <v>-93</v>
      </c>
      <c r="K1901" s="71" t="s">
        <v>302</v>
      </c>
      <c r="L1901" s="71">
        <f t="shared" si="261"/>
        <v>8</v>
      </c>
      <c r="M1901" s="71" t="str">
        <f>IFERROR(INDEX(KALENDER!$D$3:$D$132,MATCH(H1901,KALENDER!$A$3:$A$132,0)),"Di luar periode")</f>
        <v>Hari Kerja</v>
      </c>
      <c r="N1901" s="71">
        <f t="shared" si="262"/>
        <v>1</v>
      </c>
      <c r="O1901" s="71">
        <f t="shared" si="263"/>
        <v>1</v>
      </c>
      <c r="P1901" s="71">
        <f t="shared" si="264"/>
        <v>0</v>
      </c>
      <c r="Q1901" s="71">
        <f t="shared" si="265"/>
        <v>1</v>
      </c>
      <c r="R1901" s="71">
        <f t="shared" si="266"/>
        <v>0</v>
      </c>
      <c r="S1901" s="71">
        <f t="shared" si="267"/>
        <v>0</v>
      </c>
      <c r="T1901" s="71">
        <f t="shared" si="268"/>
        <v>0</v>
      </c>
      <c r="U1901" s="71">
        <f>IF(AND(N1901=1,V1901=1),IF(COUNTIFS(AKTIVITAS!$B$2:$B$3052,B1901,AKTIVITAS!$E$2:$E$3052,H1901)&gt;0,1,0),0)</f>
        <v>0</v>
      </c>
      <c r="V1901" s="71">
        <f>IFERROR(IF(AND(H1901&gt;=INDEX(PEMAGANG!$J$3:$J$36,MATCH(B1901,PEMAGANG!$C$3:$C$36,0)),H1901&lt;=INDEX(PEMAGANG!$K$3:$K$36,MATCH(B1901,PEMAGANG!$C$3:$C$36,0))),1,0),0)</f>
        <v>0</v>
      </c>
      <c r="W1901" s="71">
        <f t="shared" si="269"/>
        <v>0</v>
      </c>
    </row>
    <row r="1902" spans="1:23" x14ac:dyDescent="0.2">
      <c r="A1902" s="71" t="s">
        <v>595</v>
      </c>
      <c r="B1902" s="71" t="s">
        <v>596</v>
      </c>
      <c r="C1902" s="71" t="s">
        <v>187</v>
      </c>
      <c r="D1902" s="71" t="s">
        <v>421</v>
      </c>
      <c r="E1902" s="71" t="s">
        <v>422</v>
      </c>
      <c r="F1902" s="71" t="s">
        <v>300</v>
      </c>
      <c r="G1902" s="88">
        <v>46265.756412037001</v>
      </c>
      <c r="H1902" s="89">
        <v>46265</v>
      </c>
      <c r="I1902" s="71" t="s">
        <v>444</v>
      </c>
      <c r="J1902" s="71">
        <v>0</v>
      </c>
      <c r="K1902" s="71" t="s">
        <v>302</v>
      </c>
      <c r="L1902" s="71">
        <f t="shared" si="261"/>
        <v>8</v>
      </c>
      <c r="M1902" s="71" t="str">
        <f>IFERROR(INDEX(KALENDER!$D$3:$D$132,MATCH(H1902,KALENDER!$A$3:$A$132,0)),"Di luar periode")</f>
        <v>Hari Kerja</v>
      </c>
      <c r="N1902" s="71">
        <f t="shared" si="262"/>
        <v>0</v>
      </c>
      <c r="O1902" s="71">
        <f t="shared" si="263"/>
        <v>1</v>
      </c>
      <c r="P1902" s="71">
        <f t="shared" si="264"/>
        <v>0</v>
      </c>
      <c r="Q1902" s="71">
        <f t="shared" si="265"/>
        <v>0</v>
      </c>
      <c r="R1902" s="71">
        <f t="shared" si="266"/>
        <v>0</v>
      </c>
      <c r="S1902" s="71">
        <f t="shared" si="267"/>
        <v>0</v>
      </c>
      <c r="T1902" s="71">
        <f t="shared" si="268"/>
        <v>0</v>
      </c>
      <c r="U1902" s="71">
        <f>IF(AND(N1902=1,V1902=1),IF(COUNTIFS(AKTIVITAS!$B$2:$B$3052,B1902,AKTIVITAS!$E$2:$E$3052,H1902)&gt;0,1,0),0)</f>
        <v>0</v>
      </c>
      <c r="V1902" s="71">
        <f>IFERROR(IF(AND(H1902&gt;=INDEX(PEMAGANG!$J$3:$J$36,MATCH(B1902,PEMAGANG!$C$3:$C$36,0)),H1902&lt;=INDEX(PEMAGANG!$K$3:$K$36,MATCH(B1902,PEMAGANG!$C$3:$C$36,0))),1,0),0)</f>
        <v>0</v>
      </c>
      <c r="W1902" s="71">
        <f t="shared" si="269"/>
        <v>0</v>
      </c>
    </row>
    <row r="1903" spans="1:23" x14ac:dyDescent="0.2">
      <c r="A1903" s="71" t="s">
        <v>595</v>
      </c>
      <c r="B1903" s="71" t="s">
        <v>596</v>
      </c>
      <c r="C1903" s="71" t="s">
        <v>187</v>
      </c>
      <c r="D1903" s="71" t="s">
        <v>421</v>
      </c>
      <c r="E1903" s="71" t="s">
        <v>422</v>
      </c>
      <c r="F1903" s="71" t="s">
        <v>298</v>
      </c>
      <c r="G1903" s="88">
        <v>46266.275925925896</v>
      </c>
      <c r="H1903" s="89">
        <v>46266</v>
      </c>
      <c r="I1903" s="71" t="s">
        <v>493</v>
      </c>
      <c r="J1903" s="71">
        <v>-82.999999999999901</v>
      </c>
      <c r="K1903" s="71" t="s">
        <v>302</v>
      </c>
      <c r="L1903" s="71">
        <f t="shared" si="261"/>
        <v>9</v>
      </c>
      <c r="M1903" s="71" t="str">
        <f>IFERROR(INDEX(KALENDER!$D$3:$D$132,MATCH(H1903,KALENDER!$A$3:$A$132,0)),"Di luar periode")</f>
        <v>Hari Kerja</v>
      </c>
      <c r="N1903" s="71">
        <f t="shared" si="262"/>
        <v>1</v>
      </c>
      <c r="O1903" s="71">
        <f t="shared" si="263"/>
        <v>1</v>
      </c>
      <c r="P1903" s="71">
        <f t="shared" si="264"/>
        <v>0</v>
      </c>
      <c r="Q1903" s="71">
        <f t="shared" si="265"/>
        <v>1</v>
      </c>
      <c r="R1903" s="71">
        <f t="shared" si="266"/>
        <v>0</v>
      </c>
      <c r="S1903" s="71">
        <f t="shared" si="267"/>
        <v>0</v>
      </c>
      <c r="T1903" s="71">
        <f t="shared" si="268"/>
        <v>0</v>
      </c>
      <c r="U1903" s="71">
        <f>IF(AND(N1903=1,V1903=1),IF(COUNTIFS(AKTIVITAS!$B$2:$B$3052,B1903,AKTIVITAS!$E$2:$E$3052,H1903)&gt;0,1,0),0)</f>
        <v>0</v>
      </c>
      <c r="V1903" s="71">
        <f>IFERROR(IF(AND(H1903&gt;=INDEX(PEMAGANG!$J$3:$J$36,MATCH(B1903,PEMAGANG!$C$3:$C$36,0)),H1903&lt;=INDEX(PEMAGANG!$K$3:$K$36,MATCH(B1903,PEMAGANG!$C$3:$C$36,0))),1,0),0)</f>
        <v>0</v>
      </c>
      <c r="W1903" s="71">
        <f t="shared" si="269"/>
        <v>0</v>
      </c>
    </row>
    <row r="1904" spans="1:23" x14ac:dyDescent="0.2">
      <c r="A1904" s="71" t="s">
        <v>595</v>
      </c>
      <c r="B1904" s="71" t="s">
        <v>596</v>
      </c>
      <c r="C1904" s="71" t="s">
        <v>187</v>
      </c>
      <c r="D1904" s="71" t="s">
        <v>421</v>
      </c>
      <c r="E1904" s="71" t="s">
        <v>422</v>
      </c>
      <c r="F1904" s="71" t="s">
        <v>300</v>
      </c>
      <c r="G1904" s="88">
        <v>46266.7662962963</v>
      </c>
      <c r="H1904" s="89">
        <v>46266</v>
      </c>
      <c r="I1904" s="71" t="s">
        <v>427</v>
      </c>
      <c r="J1904" s="71">
        <v>0</v>
      </c>
      <c r="K1904" s="71" t="s">
        <v>302</v>
      </c>
      <c r="L1904" s="71">
        <f t="shared" si="261"/>
        <v>9</v>
      </c>
      <c r="M1904" s="71" t="str">
        <f>IFERROR(INDEX(KALENDER!$D$3:$D$132,MATCH(H1904,KALENDER!$A$3:$A$132,0)),"Di luar periode")</f>
        <v>Hari Kerja</v>
      </c>
      <c r="N1904" s="71">
        <f t="shared" si="262"/>
        <v>0</v>
      </c>
      <c r="O1904" s="71">
        <f t="shared" si="263"/>
        <v>1</v>
      </c>
      <c r="P1904" s="71">
        <f t="shared" si="264"/>
        <v>0</v>
      </c>
      <c r="Q1904" s="71">
        <f t="shared" si="265"/>
        <v>0</v>
      </c>
      <c r="R1904" s="71">
        <f t="shared" si="266"/>
        <v>0</v>
      </c>
      <c r="S1904" s="71">
        <f t="shared" si="267"/>
        <v>0</v>
      </c>
      <c r="T1904" s="71">
        <f t="shared" si="268"/>
        <v>0</v>
      </c>
      <c r="U1904" s="71">
        <f>IF(AND(N1904=1,V1904=1),IF(COUNTIFS(AKTIVITAS!$B$2:$B$3052,B1904,AKTIVITAS!$E$2:$E$3052,H1904)&gt;0,1,0),0)</f>
        <v>0</v>
      </c>
      <c r="V1904" s="71">
        <f>IFERROR(IF(AND(H1904&gt;=INDEX(PEMAGANG!$J$3:$J$36,MATCH(B1904,PEMAGANG!$C$3:$C$36,0)),H1904&lt;=INDEX(PEMAGANG!$K$3:$K$36,MATCH(B1904,PEMAGANG!$C$3:$C$36,0))),1,0),0)</f>
        <v>0</v>
      </c>
      <c r="W1904" s="71">
        <f t="shared" si="269"/>
        <v>0</v>
      </c>
    </row>
    <row r="1905" spans="1:23" x14ac:dyDescent="0.2">
      <c r="A1905" s="71" t="s">
        <v>595</v>
      </c>
      <c r="B1905" s="71" t="s">
        <v>596</v>
      </c>
      <c r="C1905" s="71" t="s">
        <v>187</v>
      </c>
      <c r="D1905" s="71" t="s">
        <v>421</v>
      </c>
      <c r="E1905" s="71" t="s">
        <v>422</v>
      </c>
      <c r="F1905" s="71" t="s">
        <v>298</v>
      </c>
      <c r="G1905" s="88">
        <v>46267.2753703704</v>
      </c>
      <c r="H1905" s="89">
        <v>46267</v>
      </c>
      <c r="I1905" s="71" t="s">
        <v>497</v>
      </c>
      <c r="J1905" s="71">
        <v>-84</v>
      </c>
      <c r="K1905" s="71" t="s">
        <v>302</v>
      </c>
      <c r="L1905" s="71">
        <f t="shared" si="261"/>
        <v>9</v>
      </c>
      <c r="M1905" s="71" t="str">
        <f>IFERROR(INDEX(KALENDER!$D$3:$D$132,MATCH(H1905,KALENDER!$A$3:$A$132,0)),"Di luar periode")</f>
        <v>Hari Kerja</v>
      </c>
      <c r="N1905" s="71">
        <f t="shared" si="262"/>
        <v>1</v>
      </c>
      <c r="O1905" s="71">
        <f t="shared" si="263"/>
        <v>1</v>
      </c>
      <c r="P1905" s="71">
        <f t="shared" si="264"/>
        <v>0</v>
      </c>
      <c r="Q1905" s="71">
        <f t="shared" si="265"/>
        <v>1</v>
      </c>
      <c r="R1905" s="71">
        <f t="shared" si="266"/>
        <v>0</v>
      </c>
      <c r="S1905" s="71">
        <f t="shared" si="267"/>
        <v>0</v>
      </c>
      <c r="T1905" s="71">
        <f t="shared" si="268"/>
        <v>0</v>
      </c>
      <c r="U1905" s="71">
        <f>IF(AND(N1905=1,V1905=1),IF(COUNTIFS(AKTIVITAS!$B$2:$B$3052,B1905,AKTIVITAS!$E$2:$E$3052,H1905)&gt;0,1,0),0)</f>
        <v>0</v>
      </c>
      <c r="V1905" s="71">
        <f>IFERROR(IF(AND(H1905&gt;=INDEX(PEMAGANG!$J$3:$J$36,MATCH(B1905,PEMAGANG!$C$3:$C$36,0)),H1905&lt;=INDEX(PEMAGANG!$K$3:$K$36,MATCH(B1905,PEMAGANG!$C$3:$C$36,0))),1,0),0)</f>
        <v>0</v>
      </c>
      <c r="W1905" s="71">
        <f t="shared" si="269"/>
        <v>0</v>
      </c>
    </row>
    <row r="1906" spans="1:23" x14ac:dyDescent="0.2">
      <c r="A1906" s="71" t="s">
        <v>595</v>
      </c>
      <c r="B1906" s="71" t="s">
        <v>596</v>
      </c>
      <c r="C1906" s="71" t="s">
        <v>187</v>
      </c>
      <c r="D1906" s="71" t="s">
        <v>421</v>
      </c>
      <c r="E1906" s="71" t="s">
        <v>422</v>
      </c>
      <c r="F1906" s="71" t="s">
        <v>300</v>
      </c>
      <c r="G1906" s="88">
        <v>46267.768530092602</v>
      </c>
      <c r="H1906" s="89">
        <v>46267</v>
      </c>
      <c r="I1906" s="71" t="s">
        <v>462</v>
      </c>
      <c r="J1906" s="71">
        <v>0</v>
      </c>
      <c r="K1906" s="71" t="s">
        <v>302</v>
      </c>
      <c r="L1906" s="71">
        <f t="shared" si="261"/>
        <v>9</v>
      </c>
      <c r="M1906" s="71" t="str">
        <f>IFERROR(INDEX(KALENDER!$D$3:$D$132,MATCH(H1906,KALENDER!$A$3:$A$132,0)),"Di luar periode")</f>
        <v>Hari Kerja</v>
      </c>
      <c r="N1906" s="71">
        <f t="shared" si="262"/>
        <v>0</v>
      </c>
      <c r="O1906" s="71">
        <f t="shared" si="263"/>
        <v>1</v>
      </c>
      <c r="P1906" s="71">
        <f t="shared" si="264"/>
        <v>0</v>
      </c>
      <c r="Q1906" s="71">
        <f t="shared" si="265"/>
        <v>0</v>
      </c>
      <c r="R1906" s="71">
        <f t="shared" si="266"/>
        <v>0</v>
      </c>
      <c r="S1906" s="71">
        <f t="shared" si="267"/>
        <v>0</v>
      </c>
      <c r="T1906" s="71">
        <f t="shared" si="268"/>
        <v>0</v>
      </c>
      <c r="U1906" s="71">
        <f>IF(AND(N1906=1,V1906=1),IF(COUNTIFS(AKTIVITAS!$B$2:$B$3052,B1906,AKTIVITAS!$E$2:$E$3052,H1906)&gt;0,1,0),0)</f>
        <v>0</v>
      </c>
      <c r="V1906" s="71">
        <f>IFERROR(IF(AND(H1906&gt;=INDEX(PEMAGANG!$J$3:$J$36,MATCH(B1906,PEMAGANG!$C$3:$C$36,0)),H1906&lt;=INDEX(PEMAGANG!$K$3:$K$36,MATCH(B1906,PEMAGANG!$C$3:$C$36,0))),1,0),0)</f>
        <v>0</v>
      </c>
      <c r="W1906" s="71">
        <f t="shared" si="269"/>
        <v>0</v>
      </c>
    </row>
    <row r="1907" spans="1:23" x14ac:dyDescent="0.2">
      <c r="A1907" s="71" t="s">
        <v>595</v>
      </c>
      <c r="B1907" s="71" t="s">
        <v>596</v>
      </c>
      <c r="C1907" s="71" t="s">
        <v>187</v>
      </c>
      <c r="D1907" s="71" t="s">
        <v>421</v>
      </c>
      <c r="E1907" s="71" t="s">
        <v>422</v>
      </c>
      <c r="F1907" s="71" t="s">
        <v>298</v>
      </c>
      <c r="G1907" s="88">
        <v>46268.275162037004</v>
      </c>
      <c r="H1907" s="89">
        <v>46268</v>
      </c>
      <c r="I1907" s="71" t="s">
        <v>497</v>
      </c>
      <c r="J1907" s="71">
        <v>-84</v>
      </c>
      <c r="K1907" s="71" t="s">
        <v>302</v>
      </c>
      <c r="L1907" s="71">
        <f t="shared" si="261"/>
        <v>9</v>
      </c>
      <c r="M1907" s="71" t="str">
        <f>IFERROR(INDEX(KALENDER!$D$3:$D$132,MATCH(H1907,KALENDER!$A$3:$A$132,0)),"Di luar periode")</f>
        <v>Hari Kerja</v>
      </c>
      <c r="N1907" s="71">
        <f t="shared" si="262"/>
        <v>1</v>
      </c>
      <c r="O1907" s="71">
        <f t="shared" si="263"/>
        <v>1</v>
      </c>
      <c r="P1907" s="71">
        <f t="shared" si="264"/>
        <v>0</v>
      </c>
      <c r="Q1907" s="71">
        <f t="shared" si="265"/>
        <v>1</v>
      </c>
      <c r="R1907" s="71">
        <f t="shared" si="266"/>
        <v>0</v>
      </c>
      <c r="S1907" s="71">
        <f t="shared" si="267"/>
        <v>0</v>
      </c>
      <c r="T1907" s="71">
        <f t="shared" si="268"/>
        <v>0</v>
      </c>
      <c r="U1907" s="71">
        <f>IF(AND(N1907=1,V1907=1),IF(COUNTIFS(AKTIVITAS!$B$2:$B$3052,B1907,AKTIVITAS!$E$2:$E$3052,H1907)&gt;0,1,0),0)</f>
        <v>0</v>
      </c>
      <c r="V1907" s="71">
        <f>IFERROR(IF(AND(H1907&gt;=INDEX(PEMAGANG!$J$3:$J$36,MATCH(B1907,PEMAGANG!$C$3:$C$36,0)),H1907&lt;=INDEX(PEMAGANG!$K$3:$K$36,MATCH(B1907,PEMAGANG!$C$3:$C$36,0))),1,0),0)</f>
        <v>0</v>
      </c>
      <c r="W1907" s="71">
        <f t="shared" si="269"/>
        <v>0</v>
      </c>
    </row>
    <row r="1908" spans="1:23" x14ac:dyDescent="0.2">
      <c r="A1908" s="71" t="s">
        <v>595</v>
      </c>
      <c r="B1908" s="71" t="s">
        <v>596</v>
      </c>
      <c r="C1908" s="71" t="s">
        <v>187</v>
      </c>
      <c r="D1908" s="71" t="s">
        <v>421</v>
      </c>
      <c r="E1908" s="71" t="s">
        <v>422</v>
      </c>
      <c r="F1908" s="71" t="s">
        <v>298</v>
      </c>
      <c r="G1908" s="88">
        <v>46269.239988425899</v>
      </c>
      <c r="H1908" s="89">
        <v>46269</v>
      </c>
      <c r="I1908" s="71" t="s">
        <v>606</v>
      </c>
      <c r="J1908" s="71">
        <v>-135</v>
      </c>
      <c r="K1908" s="71" t="s">
        <v>302</v>
      </c>
      <c r="L1908" s="71">
        <f t="shared" si="261"/>
        <v>9</v>
      </c>
      <c r="M1908" s="71" t="str">
        <f>IFERROR(INDEX(KALENDER!$D$3:$D$132,MATCH(H1908,KALENDER!$A$3:$A$132,0)),"Di luar periode")</f>
        <v>Hari Kerja</v>
      </c>
      <c r="N1908" s="71">
        <f t="shared" si="262"/>
        <v>1</v>
      </c>
      <c r="O1908" s="71">
        <f t="shared" si="263"/>
        <v>1</v>
      </c>
      <c r="P1908" s="71">
        <f t="shared" si="264"/>
        <v>0</v>
      </c>
      <c r="Q1908" s="71">
        <f t="shared" si="265"/>
        <v>1</v>
      </c>
      <c r="R1908" s="71">
        <f t="shared" si="266"/>
        <v>0</v>
      </c>
      <c r="S1908" s="71">
        <f t="shared" si="267"/>
        <v>0</v>
      </c>
      <c r="T1908" s="71">
        <f t="shared" si="268"/>
        <v>0</v>
      </c>
      <c r="U1908" s="71">
        <f>IF(AND(N1908=1,V1908=1),IF(COUNTIFS(AKTIVITAS!$B$2:$B$3052,B1908,AKTIVITAS!$E$2:$E$3052,H1908)&gt;0,1,0),0)</f>
        <v>0</v>
      </c>
      <c r="V1908" s="71">
        <f>IFERROR(IF(AND(H1908&gt;=INDEX(PEMAGANG!$J$3:$J$36,MATCH(B1908,PEMAGANG!$C$3:$C$36,0)),H1908&lt;=INDEX(PEMAGANG!$K$3:$K$36,MATCH(B1908,PEMAGANG!$C$3:$C$36,0))),1,0),0)</f>
        <v>0</v>
      </c>
      <c r="W1908" s="71">
        <f t="shared" si="269"/>
        <v>0</v>
      </c>
    </row>
    <row r="1909" spans="1:23" x14ac:dyDescent="0.2">
      <c r="A1909" s="71" t="s">
        <v>595</v>
      </c>
      <c r="B1909" s="71" t="s">
        <v>596</v>
      </c>
      <c r="C1909" s="71" t="s">
        <v>187</v>
      </c>
      <c r="D1909" s="71" t="s">
        <v>421</v>
      </c>
      <c r="E1909" s="71" t="s">
        <v>422</v>
      </c>
      <c r="F1909" s="71" t="s">
        <v>298</v>
      </c>
      <c r="G1909" s="88">
        <v>46272.270543981504</v>
      </c>
      <c r="H1909" s="89">
        <v>46272</v>
      </c>
      <c r="I1909" s="71" t="s">
        <v>496</v>
      </c>
      <c r="J1909" s="71">
        <v>-91</v>
      </c>
      <c r="K1909" s="71" t="s">
        <v>302</v>
      </c>
      <c r="L1909" s="71">
        <f t="shared" si="261"/>
        <v>9</v>
      </c>
      <c r="M1909" s="71" t="str">
        <f>IFERROR(INDEX(KALENDER!$D$3:$D$132,MATCH(H1909,KALENDER!$A$3:$A$132,0)),"Di luar periode")</f>
        <v>Hari Kerja</v>
      </c>
      <c r="N1909" s="71">
        <f t="shared" si="262"/>
        <v>1</v>
      </c>
      <c r="O1909" s="71">
        <f t="shared" si="263"/>
        <v>1</v>
      </c>
      <c r="P1909" s="71">
        <f t="shared" si="264"/>
        <v>0</v>
      </c>
      <c r="Q1909" s="71">
        <f t="shared" si="265"/>
        <v>1</v>
      </c>
      <c r="R1909" s="71">
        <f t="shared" si="266"/>
        <v>0</v>
      </c>
      <c r="S1909" s="71">
        <f t="shared" si="267"/>
        <v>0</v>
      </c>
      <c r="T1909" s="71">
        <f t="shared" si="268"/>
        <v>0</v>
      </c>
      <c r="U1909" s="71">
        <f>IF(AND(N1909=1,V1909=1),IF(COUNTIFS(AKTIVITAS!$B$2:$B$3052,B1909,AKTIVITAS!$E$2:$E$3052,H1909)&gt;0,1,0),0)</f>
        <v>0</v>
      </c>
      <c r="V1909" s="71">
        <f>IFERROR(IF(AND(H1909&gt;=INDEX(PEMAGANG!$J$3:$J$36,MATCH(B1909,PEMAGANG!$C$3:$C$36,0)),H1909&lt;=INDEX(PEMAGANG!$K$3:$K$36,MATCH(B1909,PEMAGANG!$C$3:$C$36,0))),1,0),0)</f>
        <v>0</v>
      </c>
      <c r="W1909" s="71">
        <f t="shared" si="269"/>
        <v>0</v>
      </c>
    </row>
    <row r="1910" spans="1:23" x14ac:dyDescent="0.2">
      <c r="A1910" s="71" t="s">
        <v>595</v>
      </c>
      <c r="B1910" s="71" t="s">
        <v>596</v>
      </c>
      <c r="C1910" s="71" t="s">
        <v>187</v>
      </c>
      <c r="D1910" s="71" t="s">
        <v>421</v>
      </c>
      <c r="E1910" s="71" t="s">
        <v>422</v>
      </c>
      <c r="F1910" s="71" t="s">
        <v>300</v>
      </c>
      <c r="G1910" s="88">
        <v>46272.754085648201</v>
      </c>
      <c r="H1910" s="89">
        <v>46272</v>
      </c>
      <c r="I1910" s="71" t="s">
        <v>354</v>
      </c>
      <c r="J1910" s="71">
        <v>0</v>
      </c>
      <c r="K1910" s="71" t="s">
        <v>302</v>
      </c>
      <c r="L1910" s="71">
        <f t="shared" si="261"/>
        <v>9</v>
      </c>
      <c r="M1910" s="71" t="str">
        <f>IFERROR(INDEX(KALENDER!$D$3:$D$132,MATCH(H1910,KALENDER!$A$3:$A$132,0)),"Di luar periode")</f>
        <v>Hari Kerja</v>
      </c>
      <c r="N1910" s="71">
        <f t="shared" si="262"/>
        <v>0</v>
      </c>
      <c r="O1910" s="71">
        <f t="shared" si="263"/>
        <v>1</v>
      </c>
      <c r="P1910" s="71">
        <f t="shared" si="264"/>
        <v>0</v>
      </c>
      <c r="Q1910" s="71">
        <f t="shared" si="265"/>
        <v>0</v>
      </c>
      <c r="R1910" s="71">
        <f t="shared" si="266"/>
        <v>0</v>
      </c>
      <c r="S1910" s="71">
        <f t="shared" si="267"/>
        <v>0</v>
      </c>
      <c r="T1910" s="71">
        <f t="shared" si="268"/>
        <v>0</v>
      </c>
      <c r="U1910" s="71">
        <f>IF(AND(N1910=1,V1910=1),IF(COUNTIFS(AKTIVITAS!$B$2:$B$3052,B1910,AKTIVITAS!$E$2:$E$3052,H1910)&gt;0,1,0),0)</f>
        <v>0</v>
      </c>
      <c r="V1910" s="71">
        <f>IFERROR(IF(AND(H1910&gt;=INDEX(PEMAGANG!$J$3:$J$36,MATCH(B1910,PEMAGANG!$C$3:$C$36,0)),H1910&lt;=INDEX(PEMAGANG!$K$3:$K$36,MATCH(B1910,PEMAGANG!$C$3:$C$36,0))),1,0),0)</f>
        <v>0</v>
      </c>
      <c r="W1910" s="71">
        <f t="shared" si="269"/>
        <v>0</v>
      </c>
    </row>
    <row r="1911" spans="1:23" x14ac:dyDescent="0.2">
      <c r="A1911" s="71" t="s">
        <v>595</v>
      </c>
      <c r="B1911" s="71" t="s">
        <v>596</v>
      </c>
      <c r="C1911" s="71" t="s">
        <v>187</v>
      </c>
      <c r="D1911" s="71" t="s">
        <v>421</v>
      </c>
      <c r="E1911" s="71" t="s">
        <v>422</v>
      </c>
      <c r="F1911" s="71" t="s">
        <v>298</v>
      </c>
      <c r="G1911" s="88">
        <v>46273.3078356482</v>
      </c>
      <c r="H1911" s="89">
        <v>46273</v>
      </c>
      <c r="I1911" s="71" t="s">
        <v>311</v>
      </c>
      <c r="J1911" s="71">
        <v>-37</v>
      </c>
      <c r="K1911" s="71" t="s">
        <v>302</v>
      </c>
      <c r="L1911" s="71">
        <f t="shared" si="261"/>
        <v>9</v>
      </c>
      <c r="M1911" s="71" t="str">
        <f>IFERROR(INDEX(KALENDER!$D$3:$D$132,MATCH(H1911,KALENDER!$A$3:$A$132,0)),"Di luar periode")</f>
        <v>Hari Kerja</v>
      </c>
      <c r="N1911" s="71">
        <f t="shared" si="262"/>
        <v>1</v>
      </c>
      <c r="O1911" s="71">
        <f t="shared" si="263"/>
        <v>1</v>
      </c>
      <c r="P1911" s="71">
        <f t="shared" si="264"/>
        <v>0</v>
      </c>
      <c r="Q1911" s="71">
        <f t="shared" si="265"/>
        <v>1</v>
      </c>
      <c r="R1911" s="71">
        <f t="shared" si="266"/>
        <v>0</v>
      </c>
      <c r="S1911" s="71">
        <f t="shared" si="267"/>
        <v>0</v>
      </c>
      <c r="T1911" s="71">
        <f t="shared" si="268"/>
        <v>0</v>
      </c>
      <c r="U1911" s="71">
        <f>IF(AND(N1911=1,V1911=1),IF(COUNTIFS(AKTIVITAS!$B$2:$B$3052,B1911,AKTIVITAS!$E$2:$E$3052,H1911)&gt;0,1,0),0)</f>
        <v>0</v>
      </c>
      <c r="V1911" s="71">
        <f>IFERROR(IF(AND(H1911&gt;=INDEX(PEMAGANG!$J$3:$J$36,MATCH(B1911,PEMAGANG!$C$3:$C$36,0)),H1911&lt;=INDEX(PEMAGANG!$K$3:$K$36,MATCH(B1911,PEMAGANG!$C$3:$C$36,0))),1,0),0)</f>
        <v>0</v>
      </c>
      <c r="W1911" s="71">
        <f t="shared" si="269"/>
        <v>0</v>
      </c>
    </row>
    <row r="1912" spans="1:23" x14ac:dyDescent="0.2">
      <c r="A1912" s="71" t="s">
        <v>595</v>
      </c>
      <c r="B1912" s="71" t="s">
        <v>596</v>
      </c>
      <c r="C1912" s="71" t="s">
        <v>187</v>
      </c>
      <c r="D1912" s="71" t="s">
        <v>421</v>
      </c>
      <c r="E1912" s="71" t="s">
        <v>422</v>
      </c>
      <c r="F1912" s="71" t="s">
        <v>300</v>
      </c>
      <c r="G1912" s="88">
        <v>46273.754062499997</v>
      </c>
      <c r="H1912" s="89">
        <v>46273</v>
      </c>
      <c r="I1912" s="71" t="s">
        <v>354</v>
      </c>
      <c r="J1912" s="71">
        <v>0</v>
      </c>
      <c r="K1912" s="71" t="s">
        <v>302</v>
      </c>
      <c r="L1912" s="71">
        <f t="shared" si="261"/>
        <v>9</v>
      </c>
      <c r="M1912" s="71" t="str">
        <f>IFERROR(INDEX(KALENDER!$D$3:$D$132,MATCH(H1912,KALENDER!$A$3:$A$132,0)),"Di luar periode")</f>
        <v>Hari Kerja</v>
      </c>
      <c r="N1912" s="71">
        <f t="shared" si="262"/>
        <v>0</v>
      </c>
      <c r="O1912" s="71">
        <f t="shared" si="263"/>
        <v>1</v>
      </c>
      <c r="P1912" s="71">
        <f t="shared" si="264"/>
        <v>0</v>
      </c>
      <c r="Q1912" s="71">
        <f t="shared" si="265"/>
        <v>0</v>
      </c>
      <c r="R1912" s="71">
        <f t="shared" si="266"/>
        <v>0</v>
      </c>
      <c r="S1912" s="71">
        <f t="shared" si="267"/>
        <v>0</v>
      </c>
      <c r="T1912" s="71">
        <f t="shared" si="268"/>
        <v>0</v>
      </c>
      <c r="U1912" s="71">
        <f>IF(AND(N1912=1,V1912=1),IF(COUNTIFS(AKTIVITAS!$B$2:$B$3052,B1912,AKTIVITAS!$E$2:$E$3052,H1912)&gt;0,1,0),0)</f>
        <v>0</v>
      </c>
      <c r="V1912" s="71">
        <f>IFERROR(IF(AND(H1912&gt;=INDEX(PEMAGANG!$J$3:$J$36,MATCH(B1912,PEMAGANG!$C$3:$C$36,0)),H1912&lt;=INDEX(PEMAGANG!$K$3:$K$36,MATCH(B1912,PEMAGANG!$C$3:$C$36,0))),1,0),0)</f>
        <v>0</v>
      </c>
      <c r="W1912" s="71">
        <f t="shared" si="269"/>
        <v>0</v>
      </c>
    </row>
    <row r="1913" spans="1:23" x14ac:dyDescent="0.2">
      <c r="A1913" s="71" t="s">
        <v>595</v>
      </c>
      <c r="B1913" s="71" t="s">
        <v>596</v>
      </c>
      <c r="C1913" s="71" t="s">
        <v>187</v>
      </c>
      <c r="D1913" s="71" t="s">
        <v>421</v>
      </c>
      <c r="E1913" s="71" t="s">
        <v>422</v>
      </c>
      <c r="F1913" s="71" t="s">
        <v>298</v>
      </c>
      <c r="G1913" s="88">
        <v>46274.271655092598</v>
      </c>
      <c r="H1913" s="89">
        <v>46274</v>
      </c>
      <c r="I1913" s="71" t="s">
        <v>332</v>
      </c>
      <c r="J1913" s="71">
        <v>-89</v>
      </c>
      <c r="K1913" s="71" t="s">
        <v>302</v>
      </c>
      <c r="L1913" s="71">
        <f t="shared" si="261"/>
        <v>9</v>
      </c>
      <c r="M1913" s="71" t="str">
        <f>IFERROR(INDEX(KALENDER!$D$3:$D$132,MATCH(H1913,KALENDER!$A$3:$A$132,0)),"Di luar periode")</f>
        <v>Hari Kerja</v>
      </c>
      <c r="N1913" s="71">
        <f t="shared" si="262"/>
        <v>1</v>
      </c>
      <c r="O1913" s="71">
        <f t="shared" si="263"/>
        <v>1</v>
      </c>
      <c r="P1913" s="71">
        <f t="shared" si="264"/>
        <v>0</v>
      </c>
      <c r="Q1913" s="71">
        <f t="shared" si="265"/>
        <v>1</v>
      </c>
      <c r="R1913" s="71">
        <f t="shared" si="266"/>
        <v>0</v>
      </c>
      <c r="S1913" s="71">
        <f t="shared" si="267"/>
        <v>0</v>
      </c>
      <c r="T1913" s="71">
        <f t="shared" si="268"/>
        <v>0</v>
      </c>
      <c r="U1913" s="71">
        <f>IF(AND(N1913=1,V1913=1),IF(COUNTIFS(AKTIVITAS!$B$2:$B$3052,B1913,AKTIVITAS!$E$2:$E$3052,H1913)&gt;0,1,0),0)</f>
        <v>0</v>
      </c>
      <c r="V1913" s="71">
        <f>IFERROR(IF(AND(H1913&gt;=INDEX(PEMAGANG!$J$3:$J$36,MATCH(B1913,PEMAGANG!$C$3:$C$36,0)),H1913&lt;=INDEX(PEMAGANG!$K$3:$K$36,MATCH(B1913,PEMAGANG!$C$3:$C$36,0))),1,0),0)</f>
        <v>0</v>
      </c>
      <c r="W1913" s="71">
        <f t="shared" si="269"/>
        <v>0</v>
      </c>
    </row>
    <row r="1914" spans="1:23" x14ac:dyDescent="0.2">
      <c r="A1914" s="71" t="s">
        <v>595</v>
      </c>
      <c r="B1914" s="71" t="s">
        <v>596</v>
      </c>
      <c r="C1914" s="71" t="s">
        <v>187</v>
      </c>
      <c r="D1914" s="71" t="s">
        <v>421</v>
      </c>
      <c r="E1914" s="71" t="s">
        <v>422</v>
      </c>
      <c r="F1914" s="71" t="s">
        <v>300</v>
      </c>
      <c r="G1914" s="88">
        <v>46274.753946759301</v>
      </c>
      <c r="H1914" s="89">
        <v>46274</v>
      </c>
      <c r="I1914" s="71" t="s">
        <v>354</v>
      </c>
      <c r="J1914" s="71">
        <v>0</v>
      </c>
      <c r="K1914" s="71" t="s">
        <v>302</v>
      </c>
      <c r="L1914" s="71">
        <f t="shared" si="261"/>
        <v>9</v>
      </c>
      <c r="M1914" s="71" t="str">
        <f>IFERROR(INDEX(KALENDER!$D$3:$D$132,MATCH(H1914,KALENDER!$A$3:$A$132,0)),"Di luar periode")</f>
        <v>Hari Kerja</v>
      </c>
      <c r="N1914" s="71">
        <f t="shared" si="262"/>
        <v>0</v>
      </c>
      <c r="O1914" s="71">
        <f t="shared" si="263"/>
        <v>1</v>
      </c>
      <c r="P1914" s="71">
        <f t="shared" si="264"/>
        <v>0</v>
      </c>
      <c r="Q1914" s="71">
        <f t="shared" si="265"/>
        <v>0</v>
      </c>
      <c r="R1914" s="71">
        <f t="shared" si="266"/>
        <v>0</v>
      </c>
      <c r="S1914" s="71">
        <f t="shared" si="267"/>
        <v>0</v>
      </c>
      <c r="T1914" s="71">
        <f t="shared" si="268"/>
        <v>0</v>
      </c>
      <c r="U1914" s="71">
        <f>IF(AND(N1914=1,V1914=1),IF(COUNTIFS(AKTIVITAS!$B$2:$B$3052,B1914,AKTIVITAS!$E$2:$E$3052,H1914)&gt;0,1,0),0)</f>
        <v>0</v>
      </c>
      <c r="V1914" s="71">
        <f>IFERROR(IF(AND(H1914&gt;=INDEX(PEMAGANG!$J$3:$J$36,MATCH(B1914,PEMAGANG!$C$3:$C$36,0)),H1914&lt;=INDEX(PEMAGANG!$K$3:$K$36,MATCH(B1914,PEMAGANG!$C$3:$C$36,0))),1,0),0)</f>
        <v>0</v>
      </c>
      <c r="W1914" s="71">
        <f t="shared" si="269"/>
        <v>0</v>
      </c>
    </row>
    <row r="1915" spans="1:23" x14ac:dyDescent="0.2">
      <c r="A1915" s="71" t="s">
        <v>595</v>
      </c>
      <c r="B1915" s="71" t="s">
        <v>596</v>
      </c>
      <c r="C1915" s="71" t="s">
        <v>187</v>
      </c>
      <c r="D1915" s="71" t="s">
        <v>421</v>
      </c>
      <c r="E1915" s="71" t="s">
        <v>422</v>
      </c>
      <c r="F1915" s="71" t="s">
        <v>298</v>
      </c>
      <c r="G1915" s="88">
        <v>46275.270914351902</v>
      </c>
      <c r="H1915" s="89">
        <v>46275</v>
      </c>
      <c r="I1915" s="71" t="s">
        <v>498</v>
      </c>
      <c r="J1915" s="71">
        <v>-90</v>
      </c>
      <c r="K1915" s="71" t="s">
        <v>302</v>
      </c>
      <c r="L1915" s="71">
        <f t="shared" si="261"/>
        <v>9</v>
      </c>
      <c r="M1915" s="71" t="str">
        <f>IFERROR(INDEX(KALENDER!$D$3:$D$132,MATCH(H1915,KALENDER!$A$3:$A$132,0)),"Di luar periode")</f>
        <v>Hari Kerja</v>
      </c>
      <c r="N1915" s="71">
        <f t="shared" si="262"/>
        <v>1</v>
      </c>
      <c r="O1915" s="71">
        <f t="shared" si="263"/>
        <v>1</v>
      </c>
      <c r="P1915" s="71">
        <f t="shared" si="264"/>
        <v>0</v>
      </c>
      <c r="Q1915" s="71">
        <f t="shared" si="265"/>
        <v>1</v>
      </c>
      <c r="R1915" s="71">
        <f t="shared" si="266"/>
        <v>0</v>
      </c>
      <c r="S1915" s="71">
        <f t="shared" si="267"/>
        <v>0</v>
      </c>
      <c r="T1915" s="71">
        <f t="shared" si="268"/>
        <v>0</v>
      </c>
      <c r="U1915" s="71">
        <f>IF(AND(N1915=1,V1915=1),IF(COUNTIFS(AKTIVITAS!$B$2:$B$3052,B1915,AKTIVITAS!$E$2:$E$3052,H1915)&gt;0,1,0),0)</f>
        <v>0</v>
      </c>
      <c r="V1915" s="71">
        <f>IFERROR(IF(AND(H1915&gt;=INDEX(PEMAGANG!$J$3:$J$36,MATCH(B1915,PEMAGANG!$C$3:$C$36,0)),H1915&lt;=INDEX(PEMAGANG!$K$3:$K$36,MATCH(B1915,PEMAGANG!$C$3:$C$36,0))),1,0),0)</f>
        <v>0</v>
      </c>
      <c r="W1915" s="71">
        <f t="shared" si="269"/>
        <v>0</v>
      </c>
    </row>
    <row r="1916" spans="1:23" x14ac:dyDescent="0.2">
      <c r="A1916" s="71" t="s">
        <v>595</v>
      </c>
      <c r="B1916" s="71" t="s">
        <v>596</v>
      </c>
      <c r="C1916" s="71" t="s">
        <v>187</v>
      </c>
      <c r="D1916" s="71" t="s">
        <v>421</v>
      </c>
      <c r="E1916" s="71" t="s">
        <v>422</v>
      </c>
      <c r="F1916" s="71" t="s">
        <v>298</v>
      </c>
      <c r="G1916" s="88">
        <v>46275.270914351902</v>
      </c>
      <c r="H1916" s="89">
        <v>46275</v>
      </c>
      <c r="I1916" s="71" t="s">
        <v>498</v>
      </c>
      <c r="J1916" s="71">
        <v>-60</v>
      </c>
      <c r="K1916" s="71" t="s">
        <v>302</v>
      </c>
      <c r="L1916" s="71">
        <f t="shared" si="261"/>
        <v>9</v>
      </c>
      <c r="M1916" s="71" t="str">
        <f>IFERROR(INDEX(KALENDER!$D$3:$D$132,MATCH(H1916,KALENDER!$A$3:$A$132,0)),"Di luar periode")</f>
        <v>Hari Kerja</v>
      </c>
      <c r="N1916" s="71">
        <f t="shared" si="262"/>
        <v>0</v>
      </c>
      <c r="O1916" s="71">
        <f t="shared" si="263"/>
        <v>2</v>
      </c>
      <c r="P1916" s="71">
        <f t="shared" si="264"/>
        <v>0</v>
      </c>
      <c r="Q1916" s="71">
        <f t="shared" si="265"/>
        <v>0</v>
      </c>
      <c r="R1916" s="71">
        <f t="shared" si="266"/>
        <v>0</v>
      </c>
      <c r="S1916" s="71">
        <f t="shared" si="267"/>
        <v>0</v>
      </c>
      <c r="T1916" s="71">
        <f t="shared" si="268"/>
        <v>0</v>
      </c>
      <c r="U1916" s="71">
        <f>IF(AND(N1916=1,V1916=1),IF(COUNTIFS(AKTIVITAS!$B$2:$B$3052,B1916,AKTIVITAS!$E$2:$E$3052,H1916)&gt;0,1,0),0)</f>
        <v>0</v>
      </c>
      <c r="V1916" s="71">
        <f>IFERROR(IF(AND(H1916&gt;=INDEX(PEMAGANG!$J$3:$J$36,MATCH(B1916,PEMAGANG!$C$3:$C$36,0)),H1916&lt;=INDEX(PEMAGANG!$K$3:$K$36,MATCH(B1916,PEMAGANG!$C$3:$C$36,0))),1,0),0)</f>
        <v>0</v>
      </c>
      <c r="W1916" s="71">
        <f t="shared" si="269"/>
        <v>0</v>
      </c>
    </row>
    <row r="1917" spans="1:23" x14ac:dyDescent="0.2">
      <c r="A1917" s="71" t="s">
        <v>595</v>
      </c>
      <c r="B1917" s="71" t="s">
        <v>596</v>
      </c>
      <c r="C1917" s="71" t="s">
        <v>187</v>
      </c>
      <c r="D1917" s="71" t="s">
        <v>421</v>
      </c>
      <c r="E1917" s="71" t="s">
        <v>422</v>
      </c>
      <c r="F1917" s="71" t="s">
        <v>300</v>
      </c>
      <c r="G1917" s="88">
        <v>46275.753611111097</v>
      </c>
      <c r="H1917" s="89">
        <v>46275</v>
      </c>
      <c r="I1917" s="71" t="s">
        <v>354</v>
      </c>
      <c r="J1917" s="71">
        <v>0</v>
      </c>
      <c r="K1917" s="71" t="s">
        <v>302</v>
      </c>
      <c r="L1917" s="71">
        <f t="shared" si="261"/>
        <v>9</v>
      </c>
      <c r="M1917" s="71" t="str">
        <f>IFERROR(INDEX(KALENDER!$D$3:$D$132,MATCH(H1917,KALENDER!$A$3:$A$132,0)),"Di luar periode")</f>
        <v>Hari Kerja</v>
      </c>
      <c r="N1917" s="71">
        <f t="shared" si="262"/>
        <v>0</v>
      </c>
      <c r="O1917" s="71">
        <f t="shared" si="263"/>
        <v>2</v>
      </c>
      <c r="P1917" s="71">
        <f t="shared" si="264"/>
        <v>0</v>
      </c>
      <c r="Q1917" s="71">
        <f t="shared" si="265"/>
        <v>0</v>
      </c>
      <c r="R1917" s="71">
        <f t="shared" si="266"/>
        <v>0</v>
      </c>
      <c r="S1917" s="71">
        <f t="shared" si="267"/>
        <v>0</v>
      </c>
      <c r="T1917" s="71">
        <f t="shared" si="268"/>
        <v>0</v>
      </c>
      <c r="U1917" s="71">
        <f>IF(AND(N1917=1,V1917=1),IF(COUNTIFS(AKTIVITAS!$B$2:$B$3052,B1917,AKTIVITAS!$E$2:$E$3052,H1917)&gt;0,1,0),0)</f>
        <v>0</v>
      </c>
      <c r="V1917" s="71">
        <f>IFERROR(IF(AND(H1917&gt;=INDEX(PEMAGANG!$J$3:$J$36,MATCH(B1917,PEMAGANG!$C$3:$C$36,0)),H1917&lt;=INDEX(PEMAGANG!$K$3:$K$36,MATCH(B1917,PEMAGANG!$C$3:$C$36,0))),1,0),0)</f>
        <v>0</v>
      </c>
      <c r="W1917" s="71">
        <f t="shared" si="269"/>
        <v>0</v>
      </c>
    </row>
    <row r="1918" spans="1:23" x14ac:dyDescent="0.2">
      <c r="A1918" s="71" t="s">
        <v>595</v>
      </c>
      <c r="B1918" s="71" t="s">
        <v>596</v>
      </c>
      <c r="C1918" s="71" t="s">
        <v>187</v>
      </c>
      <c r="D1918" s="71" t="s">
        <v>421</v>
      </c>
      <c r="E1918" s="71" t="s">
        <v>422</v>
      </c>
      <c r="F1918" s="71" t="s">
        <v>298</v>
      </c>
      <c r="G1918" s="88">
        <v>46276.268865740698</v>
      </c>
      <c r="H1918" s="89">
        <v>46276</v>
      </c>
      <c r="I1918" s="71" t="s">
        <v>605</v>
      </c>
      <c r="J1918" s="71">
        <v>-63</v>
      </c>
      <c r="K1918" s="71" t="s">
        <v>302</v>
      </c>
      <c r="L1918" s="71">
        <f t="shared" si="261"/>
        <v>9</v>
      </c>
      <c r="M1918" s="71" t="str">
        <f>IFERROR(INDEX(KALENDER!$D$3:$D$132,MATCH(H1918,KALENDER!$A$3:$A$132,0)),"Di luar periode")</f>
        <v>Hari Kerja</v>
      </c>
      <c r="N1918" s="71">
        <f t="shared" si="262"/>
        <v>1</v>
      </c>
      <c r="O1918" s="71">
        <f t="shared" si="263"/>
        <v>1</v>
      </c>
      <c r="P1918" s="71">
        <f t="shared" si="264"/>
        <v>0</v>
      </c>
      <c r="Q1918" s="71">
        <f t="shared" si="265"/>
        <v>1</v>
      </c>
      <c r="R1918" s="71">
        <f t="shared" si="266"/>
        <v>0</v>
      </c>
      <c r="S1918" s="71">
        <f t="shared" si="267"/>
        <v>0</v>
      </c>
      <c r="T1918" s="71">
        <f t="shared" si="268"/>
        <v>0</v>
      </c>
      <c r="U1918" s="71">
        <f>IF(AND(N1918=1,V1918=1),IF(COUNTIFS(AKTIVITAS!$B$2:$B$3052,B1918,AKTIVITAS!$E$2:$E$3052,H1918)&gt;0,1,0),0)</f>
        <v>0</v>
      </c>
      <c r="V1918" s="71">
        <f>IFERROR(IF(AND(H1918&gt;=INDEX(PEMAGANG!$J$3:$J$36,MATCH(B1918,PEMAGANG!$C$3:$C$36,0)),H1918&lt;=INDEX(PEMAGANG!$K$3:$K$36,MATCH(B1918,PEMAGANG!$C$3:$C$36,0))),1,0),0)</f>
        <v>0</v>
      </c>
      <c r="W1918" s="71">
        <f t="shared" si="269"/>
        <v>0</v>
      </c>
    </row>
    <row r="1919" spans="1:23" x14ac:dyDescent="0.2">
      <c r="A1919" s="71" t="s">
        <v>595</v>
      </c>
      <c r="B1919" s="71" t="s">
        <v>596</v>
      </c>
      <c r="C1919" s="71" t="s">
        <v>187</v>
      </c>
      <c r="D1919" s="71" t="s">
        <v>421</v>
      </c>
      <c r="E1919" s="71" t="s">
        <v>422</v>
      </c>
      <c r="F1919" s="71" t="s">
        <v>300</v>
      </c>
      <c r="G1919" s="88">
        <v>46276.753321759301</v>
      </c>
      <c r="H1919" s="89">
        <v>46276</v>
      </c>
      <c r="I1919" s="71" t="s">
        <v>468</v>
      </c>
      <c r="J1919" s="71">
        <v>0</v>
      </c>
      <c r="K1919" s="71" t="s">
        <v>302</v>
      </c>
      <c r="L1919" s="71">
        <f t="shared" si="261"/>
        <v>9</v>
      </c>
      <c r="M1919" s="71" t="str">
        <f>IFERROR(INDEX(KALENDER!$D$3:$D$132,MATCH(H1919,KALENDER!$A$3:$A$132,0)),"Di luar periode")</f>
        <v>Hari Kerja</v>
      </c>
      <c r="N1919" s="71">
        <f t="shared" si="262"/>
        <v>0</v>
      </c>
      <c r="O1919" s="71">
        <f t="shared" si="263"/>
        <v>1</v>
      </c>
      <c r="P1919" s="71">
        <f t="shared" si="264"/>
        <v>0</v>
      </c>
      <c r="Q1919" s="71">
        <f t="shared" si="265"/>
        <v>0</v>
      </c>
      <c r="R1919" s="71">
        <f t="shared" si="266"/>
        <v>0</v>
      </c>
      <c r="S1919" s="71">
        <f t="shared" si="267"/>
        <v>0</v>
      </c>
      <c r="T1919" s="71">
        <f t="shared" si="268"/>
        <v>0</v>
      </c>
      <c r="U1919" s="71">
        <f>IF(AND(N1919=1,V1919=1),IF(COUNTIFS(AKTIVITAS!$B$2:$B$3052,B1919,AKTIVITAS!$E$2:$E$3052,H1919)&gt;0,1,0),0)</f>
        <v>0</v>
      </c>
      <c r="V1919" s="71">
        <f>IFERROR(IF(AND(H1919&gt;=INDEX(PEMAGANG!$J$3:$J$36,MATCH(B1919,PEMAGANG!$C$3:$C$36,0)),H1919&lt;=INDEX(PEMAGANG!$K$3:$K$36,MATCH(B1919,PEMAGANG!$C$3:$C$36,0))),1,0),0)</f>
        <v>0</v>
      </c>
      <c r="W1919" s="71">
        <f t="shared" si="269"/>
        <v>0</v>
      </c>
    </row>
    <row r="1920" spans="1:23" x14ac:dyDescent="0.2">
      <c r="A1920" s="71" t="s">
        <v>595</v>
      </c>
      <c r="B1920" s="71" t="s">
        <v>596</v>
      </c>
      <c r="C1920" s="71" t="s">
        <v>187</v>
      </c>
      <c r="D1920" s="71" t="s">
        <v>421</v>
      </c>
      <c r="E1920" s="71" t="s">
        <v>422</v>
      </c>
      <c r="F1920" s="71" t="s">
        <v>298</v>
      </c>
      <c r="G1920" s="88">
        <v>46279.2651736111</v>
      </c>
      <c r="H1920" s="89">
        <v>46279</v>
      </c>
      <c r="I1920" s="71" t="s">
        <v>448</v>
      </c>
      <c r="J1920" s="71">
        <v>-69</v>
      </c>
      <c r="K1920" s="71" t="s">
        <v>302</v>
      </c>
      <c r="L1920" s="71">
        <f t="shared" si="261"/>
        <v>9</v>
      </c>
      <c r="M1920" s="71" t="str">
        <f>IFERROR(INDEX(KALENDER!$D$3:$D$132,MATCH(H1920,KALENDER!$A$3:$A$132,0)),"Di luar periode")</f>
        <v>Hari Kerja</v>
      </c>
      <c r="N1920" s="71">
        <f t="shared" si="262"/>
        <v>1</v>
      </c>
      <c r="O1920" s="71">
        <f t="shared" si="263"/>
        <v>1</v>
      </c>
      <c r="P1920" s="71">
        <f t="shared" si="264"/>
        <v>0</v>
      </c>
      <c r="Q1920" s="71">
        <f t="shared" si="265"/>
        <v>1</v>
      </c>
      <c r="R1920" s="71">
        <f t="shared" si="266"/>
        <v>0</v>
      </c>
      <c r="S1920" s="71">
        <f t="shared" si="267"/>
        <v>0</v>
      </c>
      <c r="T1920" s="71">
        <f t="shared" si="268"/>
        <v>0</v>
      </c>
      <c r="U1920" s="71">
        <f>IF(AND(N1920=1,V1920=1),IF(COUNTIFS(AKTIVITAS!$B$2:$B$3052,B1920,AKTIVITAS!$E$2:$E$3052,H1920)&gt;0,1,0),0)</f>
        <v>0</v>
      </c>
      <c r="V1920" s="71">
        <f>IFERROR(IF(AND(H1920&gt;=INDEX(PEMAGANG!$J$3:$J$36,MATCH(B1920,PEMAGANG!$C$3:$C$36,0)),H1920&lt;=INDEX(PEMAGANG!$K$3:$K$36,MATCH(B1920,PEMAGANG!$C$3:$C$36,0))),1,0),0)</f>
        <v>0</v>
      </c>
      <c r="W1920" s="71">
        <f t="shared" si="269"/>
        <v>0</v>
      </c>
    </row>
    <row r="1921" spans="1:23" x14ac:dyDescent="0.2">
      <c r="A1921" s="71" t="s">
        <v>595</v>
      </c>
      <c r="B1921" s="71" t="s">
        <v>596</v>
      </c>
      <c r="C1921" s="71" t="s">
        <v>187</v>
      </c>
      <c r="D1921" s="71" t="s">
        <v>421</v>
      </c>
      <c r="E1921" s="71" t="s">
        <v>422</v>
      </c>
      <c r="F1921" s="71" t="s">
        <v>300</v>
      </c>
      <c r="G1921" s="88">
        <v>46279.767465277801</v>
      </c>
      <c r="H1921" s="89">
        <v>46279</v>
      </c>
      <c r="I1921" s="71" t="s">
        <v>424</v>
      </c>
      <c r="J1921" s="71">
        <v>0</v>
      </c>
      <c r="K1921" s="71" t="s">
        <v>302</v>
      </c>
      <c r="L1921" s="71">
        <f t="shared" si="261"/>
        <v>9</v>
      </c>
      <c r="M1921" s="71" t="str">
        <f>IFERROR(INDEX(KALENDER!$D$3:$D$132,MATCH(H1921,KALENDER!$A$3:$A$132,0)),"Di luar periode")</f>
        <v>Hari Kerja</v>
      </c>
      <c r="N1921" s="71">
        <f t="shared" si="262"/>
        <v>0</v>
      </c>
      <c r="O1921" s="71">
        <f t="shared" si="263"/>
        <v>1</v>
      </c>
      <c r="P1921" s="71">
        <f t="shared" si="264"/>
        <v>0</v>
      </c>
      <c r="Q1921" s="71">
        <f t="shared" si="265"/>
        <v>0</v>
      </c>
      <c r="R1921" s="71">
        <f t="shared" si="266"/>
        <v>0</v>
      </c>
      <c r="S1921" s="71">
        <f t="shared" si="267"/>
        <v>0</v>
      </c>
      <c r="T1921" s="71">
        <f t="shared" si="268"/>
        <v>0</v>
      </c>
      <c r="U1921" s="71">
        <f>IF(AND(N1921=1,V1921=1),IF(COUNTIFS(AKTIVITAS!$B$2:$B$3052,B1921,AKTIVITAS!$E$2:$E$3052,H1921)&gt;0,1,0),0)</f>
        <v>0</v>
      </c>
      <c r="V1921" s="71">
        <f>IFERROR(IF(AND(H1921&gt;=INDEX(PEMAGANG!$J$3:$J$36,MATCH(B1921,PEMAGANG!$C$3:$C$36,0)),H1921&lt;=INDEX(PEMAGANG!$K$3:$K$36,MATCH(B1921,PEMAGANG!$C$3:$C$36,0))),1,0),0)</f>
        <v>0</v>
      </c>
      <c r="W1921" s="71">
        <f t="shared" si="269"/>
        <v>0</v>
      </c>
    </row>
    <row r="1922" spans="1:23" x14ac:dyDescent="0.2">
      <c r="A1922" s="71" t="s">
        <v>595</v>
      </c>
      <c r="B1922" s="71" t="s">
        <v>596</v>
      </c>
      <c r="C1922" s="71" t="s">
        <v>187</v>
      </c>
      <c r="D1922" s="71" t="s">
        <v>421</v>
      </c>
      <c r="E1922" s="71" t="s">
        <v>422</v>
      </c>
      <c r="F1922" s="71" t="s">
        <v>298</v>
      </c>
      <c r="G1922" s="88">
        <v>46280.269328703696</v>
      </c>
      <c r="H1922" s="89">
        <v>46280</v>
      </c>
      <c r="I1922" s="71" t="s">
        <v>605</v>
      </c>
      <c r="J1922" s="71">
        <v>-63</v>
      </c>
      <c r="K1922" s="71" t="s">
        <v>302</v>
      </c>
      <c r="L1922" s="71">
        <f t="shared" ref="L1922:L1985" si="270">MONTH(H1922)</f>
        <v>9</v>
      </c>
      <c r="M1922" s="71" t="str">
        <f>IFERROR(INDEX(KALENDER!$D$3:$D$132,MATCH(H1922,KALENDER!$A$3:$A$132,0)),"Di luar periode")</f>
        <v>Hari Kerja</v>
      </c>
      <c r="N1922" s="71">
        <f t="shared" ref="N1922:N1985" si="271">IF(AND(B1922=B1921,H1922=H1921),0,1)</f>
        <v>1</v>
      </c>
      <c r="O1922" s="71">
        <f t="shared" ref="O1922:O1985" si="272">IF(N1922=1,0,O1921)+IF(F1922="MASUK",1,0)</f>
        <v>1</v>
      </c>
      <c r="P1922" s="71">
        <f t="shared" ref="P1922:P1985" si="273">IF(AND(N1922=1,M1922="Hari Kerja",V1922=1),1,0)</f>
        <v>0</v>
      </c>
      <c r="Q1922" s="71">
        <f t="shared" ref="Q1922:Q1985" si="274">IF(AND(N1922=1,OR(M1922&lt;&gt;"Hari Kerja",V1922=0)),1,0)</f>
        <v>1</v>
      </c>
      <c r="R1922" s="71">
        <f t="shared" ref="R1922:R1985" si="275">IF(AND(F1922="MASUK",O1922=1,N(J1922)&gt;0,V1922=1),1,0)</f>
        <v>0</v>
      </c>
      <c r="S1922" s="71">
        <f t="shared" ref="S1922:S1985" si="276">R1922*N(J1922)</f>
        <v>0</v>
      </c>
      <c r="T1922" s="71">
        <f t="shared" ref="T1922:T1985" si="277">IF(AND(N1922=1,V1922=1),IF(AND(COUNTIFS($B$2:$B$4094,B1922,$H$2:$H$4094,H1922,$F$2:$F$4094,"MASUK")&gt;0,COUNTIFS($B$2:$B$4094,B1922,$H$2:$H$4094,H1922,$F$2:$F$4094,"PULANG")=0),1,0),0)</f>
        <v>0</v>
      </c>
      <c r="U1922" s="71">
        <f>IF(AND(N1922=1,V1922=1),IF(COUNTIFS(AKTIVITAS!$B$2:$B$3052,B1922,AKTIVITAS!$E$2:$E$3052,H1922)&gt;0,1,0),0)</f>
        <v>0</v>
      </c>
      <c r="V1922" s="71">
        <f>IFERROR(IF(AND(H1922&gt;=INDEX(PEMAGANG!$J$3:$J$36,MATCH(B1922,PEMAGANG!$C$3:$C$36,0)),H1922&lt;=INDEX(PEMAGANG!$K$3:$K$36,MATCH(B1922,PEMAGANG!$C$3:$C$36,0))),1,0),0)</f>
        <v>0</v>
      </c>
      <c r="W1922" s="71">
        <f t="shared" ref="W1922:W1985" si="278">N1922*V1922</f>
        <v>0</v>
      </c>
    </row>
    <row r="1923" spans="1:23" x14ac:dyDescent="0.2">
      <c r="A1923" s="71" t="s">
        <v>595</v>
      </c>
      <c r="B1923" s="71" t="s">
        <v>596</v>
      </c>
      <c r="C1923" s="71" t="s">
        <v>187</v>
      </c>
      <c r="D1923" s="71" t="s">
        <v>421</v>
      </c>
      <c r="E1923" s="71" t="s">
        <v>422</v>
      </c>
      <c r="F1923" s="71" t="s">
        <v>300</v>
      </c>
      <c r="G1923" s="88">
        <v>46280.760798611103</v>
      </c>
      <c r="H1923" s="89">
        <v>46280</v>
      </c>
      <c r="I1923" s="71" t="s">
        <v>597</v>
      </c>
      <c r="J1923" s="71">
        <v>0</v>
      </c>
      <c r="K1923" s="71" t="s">
        <v>302</v>
      </c>
      <c r="L1923" s="71">
        <f t="shared" si="270"/>
        <v>9</v>
      </c>
      <c r="M1923" s="71" t="str">
        <f>IFERROR(INDEX(KALENDER!$D$3:$D$132,MATCH(H1923,KALENDER!$A$3:$A$132,0)),"Di luar periode")</f>
        <v>Hari Kerja</v>
      </c>
      <c r="N1923" s="71">
        <f t="shared" si="271"/>
        <v>0</v>
      </c>
      <c r="O1923" s="71">
        <f t="shared" si="272"/>
        <v>1</v>
      </c>
      <c r="P1923" s="71">
        <f t="shared" si="273"/>
        <v>0</v>
      </c>
      <c r="Q1923" s="71">
        <f t="shared" si="274"/>
        <v>0</v>
      </c>
      <c r="R1923" s="71">
        <f t="shared" si="275"/>
        <v>0</v>
      </c>
      <c r="S1923" s="71">
        <f t="shared" si="276"/>
        <v>0</v>
      </c>
      <c r="T1923" s="71">
        <f t="shared" si="277"/>
        <v>0</v>
      </c>
      <c r="U1923" s="71">
        <f>IF(AND(N1923=1,V1923=1),IF(COUNTIFS(AKTIVITAS!$B$2:$B$3052,B1923,AKTIVITAS!$E$2:$E$3052,H1923)&gt;0,1,0),0)</f>
        <v>0</v>
      </c>
      <c r="V1923" s="71">
        <f>IFERROR(IF(AND(H1923&gt;=INDEX(PEMAGANG!$J$3:$J$36,MATCH(B1923,PEMAGANG!$C$3:$C$36,0)),H1923&lt;=INDEX(PEMAGANG!$K$3:$K$36,MATCH(B1923,PEMAGANG!$C$3:$C$36,0))),1,0),0)</f>
        <v>0</v>
      </c>
      <c r="W1923" s="71">
        <f t="shared" si="278"/>
        <v>0</v>
      </c>
    </row>
    <row r="1924" spans="1:23" x14ac:dyDescent="0.2">
      <c r="A1924" s="71" t="s">
        <v>595</v>
      </c>
      <c r="B1924" s="71" t="s">
        <v>596</v>
      </c>
      <c r="C1924" s="71" t="s">
        <v>187</v>
      </c>
      <c r="D1924" s="71" t="s">
        <v>421</v>
      </c>
      <c r="E1924" s="71" t="s">
        <v>422</v>
      </c>
      <c r="F1924" s="71" t="s">
        <v>298</v>
      </c>
      <c r="G1924" s="88">
        <v>46281.273067129601</v>
      </c>
      <c r="H1924" s="89">
        <v>46281</v>
      </c>
      <c r="I1924" s="71" t="s">
        <v>505</v>
      </c>
      <c r="J1924" s="71">
        <v>-57</v>
      </c>
      <c r="K1924" s="71" t="s">
        <v>302</v>
      </c>
      <c r="L1924" s="71">
        <f t="shared" si="270"/>
        <v>9</v>
      </c>
      <c r="M1924" s="71" t="str">
        <f>IFERROR(INDEX(KALENDER!$D$3:$D$132,MATCH(H1924,KALENDER!$A$3:$A$132,0)),"Di luar periode")</f>
        <v>Hari Kerja</v>
      </c>
      <c r="N1924" s="71">
        <f t="shared" si="271"/>
        <v>1</v>
      </c>
      <c r="O1924" s="71">
        <f t="shared" si="272"/>
        <v>1</v>
      </c>
      <c r="P1924" s="71">
        <f t="shared" si="273"/>
        <v>0</v>
      </c>
      <c r="Q1924" s="71">
        <f t="shared" si="274"/>
        <v>1</v>
      </c>
      <c r="R1924" s="71">
        <f t="shared" si="275"/>
        <v>0</v>
      </c>
      <c r="S1924" s="71">
        <f t="shared" si="276"/>
        <v>0</v>
      </c>
      <c r="T1924" s="71">
        <f t="shared" si="277"/>
        <v>0</v>
      </c>
      <c r="U1924" s="71">
        <f>IF(AND(N1924=1,V1924=1),IF(COUNTIFS(AKTIVITAS!$B$2:$B$3052,B1924,AKTIVITAS!$E$2:$E$3052,H1924)&gt;0,1,0),0)</f>
        <v>0</v>
      </c>
      <c r="V1924" s="71">
        <f>IFERROR(IF(AND(H1924&gt;=INDEX(PEMAGANG!$J$3:$J$36,MATCH(B1924,PEMAGANG!$C$3:$C$36,0)),H1924&lt;=INDEX(PEMAGANG!$K$3:$K$36,MATCH(B1924,PEMAGANG!$C$3:$C$36,0))),1,0),0)</f>
        <v>0</v>
      </c>
      <c r="W1924" s="71">
        <f t="shared" si="278"/>
        <v>0</v>
      </c>
    </row>
    <row r="1925" spans="1:23" x14ac:dyDescent="0.2">
      <c r="A1925" s="71" t="s">
        <v>595</v>
      </c>
      <c r="B1925" s="71" t="s">
        <v>596</v>
      </c>
      <c r="C1925" s="71" t="s">
        <v>187</v>
      </c>
      <c r="D1925" s="71" t="s">
        <v>421</v>
      </c>
      <c r="E1925" s="71" t="s">
        <v>422</v>
      </c>
      <c r="F1925" s="71" t="s">
        <v>300</v>
      </c>
      <c r="G1925" s="88">
        <v>46281.752800925897</v>
      </c>
      <c r="H1925" s="89">
        <v>46281</v>
      </c>
      <c r="I1925" s="71" t="s">
        <v>468</v>
      </c>
      <c r="J1925" s="71">
        <v>0</v>
      </c>
      <c r="K1925" s="71" t="s">
        <v>302</v>
      </c>
      <c r="L1925" s="71">
        <f t="shared" si="270"/>
        <v>9</v>
      </c>
      <c r="M1925" s="71" t="str">
        <f>IFERROR(INDEX(KALENDER!$D$3:$D$132,MATCH(H1925,KALENDER!$A$3:$A$132,0)),"Di luar periode")</f>
        <v>Hari Kerja</v>
      </c>
      <c r="N1925" s="71">
        <f t="shared" si="271"/>
        <v>0</v>
      </c>
      <c r="O1925" s="71">
        <f t="shared" si="272"/>
        <v>1</v>
      </c>
      <c r="P1925" s="71">
        <f t="shared" si="273"/>
        <v>0</v>
      </c>
      <c r="Q1925" s="71">
        <f t="shared" si="274"/>
        <v>0</v>
      </c>
      <c r="R1925" s="71">
        <f t="shared" si="275"/>
        <v>0</v>
      </c>
      <c r="S1925" s="71">
        <f t="shared" si="276"/>
        <v>0</v>
      </c>
      <c r="T1925" s="71">
        <f t="shared" si="277"/>
        <v>0</v>
      </c>
      <c r="U1925" s="71">
        <f>IF(AND(N1925=1,V1925=1),IF(COUNTIFS(AKTIVITAS!$B$2:$B$3052,B1925,AKTIVITAS!$E$2:$E$3052,H1925)&gt;0,1,0),0)</f>
        <v>0</v>
      </c>
      <c r="V1925" s="71">
        <f>IFERROR(IF(AND(H1925&gt;=INDEX(PEMAGANG!$J$3:$J$36,MATCH(B1925,PEMAGANG!$C$3:$C$36,0)),H1925&lt;=INDEX(PEMAGANG!$K$3:$K$36,MATCH(B1925,PEMAGANG!$C$3:$C$36,0))),1,0),0)</f>
        <v>0</v>
      </c>
      <c r="W1925" s="71">
        <f t="shared" si="278"/>
        <v>0</v>
      </c>
    </row>
    <row r="1926" spans="1:23" x14ac:dyDescent="0.2">
      <c r="A1926" s="71" t="s">
        <v>595</v>
      </c>
      <c r="B1926" s="71" t="s">
        <v>596</v>
      </c>
      <c r="C1926" s="71" t="s">
        <v>187</v>
      </c>
      <c r="D1926" s="71" t="s">
        <v>421</v>
      </c>
      <c r="E1926" s="71" t="s">
        <v>422</v>
      </c>
      <c r="F1926" s="71" t="s">
        <v>298</v>
      </c>
      <c r="G1926" s="88">
        <v>46282.312476851897</v>
      </c>
      <c r="H1926" s="89">
        <v>46282</v>
      </c>
      <c r="I1926" s="71" t="s">
        <v>365</v>
      </c>
      <c r="J1926" s="71">
        <v>-0.999999999999996</v>
      </c>
      <c r="K1926" s="71" t="s">
        <v>302</v>
      </c>
      <c r="L1926" s="71">
        <f t="shared" si="270"/>
        <v>9</v>
      </c>
      <c r="M1926" s="71" t="str">
        <f>IFERROR(INDEX(KALENDER!$D$3:$D$132,MATCH(H1926,KALENDER!$A$3:$A$132,0)),"Di luar periode")</f>
        <v>Hari Kerja</v>
      </c>
      <c r="N1926" s="71">
        <f t="shared" si="271"/>
        <v>1</v>
      </c>
      <c r="O1926" s="71">
        <f t="shared" si="272"/>
        <v>1</v>
      </c>
      <c r="P1926" s="71">
        <f t="shared" si="273"/>
        <v>0</v>
      </c>
      <c r="Q1926" s="71">
        <f t="shared" si="274"/>
        <v>1</v>
      </c>
      <c r="R1926" s="71">
        <f t="shared" si="275"/>
        <v>0</v>
      </c>
      <c r="S1926" s="71">
        <f t="shared" si="276"/>
        <v>0</v>
      </c>
      <c r="T1926" s="71">
        <f t="shared" si="277"/>
        <v>0</v>
      </c>
      <c r="U1926" s="71">
        <f>IF(AND(N1926=1,V1926=1),IF(COUNTIFS(AKTIVITAS!$B$2:$B$3052,B1926,AKTIVITAS!$E$2:$E$3052,H1926)&gt;0,1,0),0)</f>
        <v>0</v>
      </c>
      <c r="V1926" s="71">
        <f>IFERROR(IF(AND(H1926&gt;=INDEX(PEMAGANG!$J$3:$J$36,MATCH(B1926,PEMAGANG!$C$3:$C$36,0)),H1926&lt;=INDEX(PEMAGANG!$K$3:$K$36,MATCH(B1926,PEMAGANG!$C$3:$C$36,0))),1,0),0)</f>
        <v>0</v>
      </c>
      <c r="W1926" s="71">
        <f t="shared" si="278"/>
        <v>0</v>
      </c>
    </row>
    <row r="1927" spans="1:23" x14ac:dyDescent="0.2">
      <c r="A1927" s="71" t="s">
        <v>595</v>
      </c>
      <c r="B1927" s="71" t="s">
        <v>596</v>
      </c>
      <c r="C1927" s="71" t="s">
        <v>187</v>
      </c>
      <c r="D1927" s="71" t="s">
        <v>421</v>
      </c>
      <c r="E1927" s="71" t="s">
        <v>422</v>
      </c>
      <c r="F1927" s="71" t="s">
        <v>300</v>
      </c>
      <c r="G1927" s="88">
        <v>46282.750914351898</v>
      </c>
      <c r="H1927" s="89">
        <v>46282</v>
      </c>
      <c r="I1927" s="71" t="s">
        <v>393</v>
      </c>
      <c r="J1927" s="71">
        <v>0</v>
      </c>
      <c r="K1927" s="71" t="s">
        <v>302</v>
      </c>
      <c r="L1927" s="71">
        <f t="shared" si="270"/>
        <v>9</v>
      </c>
      <c r="M1927" s="71" t="str">
        <f>IFERROR(INDEX(KALENDER!$D$3:$D$132,MATCH(H1927,KALENDER!$A$3:$A$132,0)),"Di luar periode")</f>
        <v>Hari Kerja</v>
      </c>
      <c r="N1927" s="71">
        <f t="shared" si="271"/>
        <v>0</v>
      </c>
      <c r="O1927" s="71">
        <f t="shared" si="272"/>
        <v>1</v>
      </c>
      <c r="P1927" s="71">
        <f t="shared" si="273"/>
        <v>0</v>
      </c>
      <c r="Q1927" s="71">
        <f t="shared" si="274"/>
        <v>0</v>
      </c>
      <c r="R1927" s="71">
        <f t="shared" si="275"/>
        <v>0</v>
      </c>
      <c r="S1927" s="71">
        <f t="shared" si="276"/>
        <v>0</v>
      </c>
      <c r="T1927" s="71">
        <f t="shared" si="277"/>
        <v>0</v>
      </c>
      <c r="U1927" s="71">
        <f>IF(AND(N1927=1,V1927=1),IF(COUNTIFS(AKTIVITAS!$B$2:$B$3052,B1927,AKTIVITAS!$E$2:$E$3052,H1927)&gt;0,1,0),0)</f>
        <v>0</v>
      </c>
      <c r="V1927" s="71">
        <f>IFERROR(IF(AND(H1927&gt;=INDEX(PEMAGANG!$J$3:$J$36,MATCH(B1927,PEMAGANG!$C$3:$C$36,0)),H1927&lt;=INDEX(PEMAGANG!$K$3:$K$36,MATCH(B1927,PEMAGANG!$C$3:$C$36,0))),1,0),0)</f>
        <v>0</v>
      </c>
      <c r="W1927" s="71">
        <f t="shared" si="278"/>
        <v>0</v>
      </c>
    </row>
    <row r="1928" spans="1:23" x14ac:dyDescent="0.2">
      <c r="A1928" s="71" t="s">
        <v>595</v>
      </c>
      <c r="B1928" s="71" t="s">
        <v>596</v>
      </c>
      <c r="C1928" s="71" t="s">
        <v>187</v>
      </c>
      <c r="D1928" s="71" t="s">
        <v>421</v>
      </c>
      <c r="E1928" s="71" t="s">
        <v>422</v>
      </c>
      <c r="F1928" s="71" t="s">
        <v>298</v>
      </c>
      <c r="G1928" s="88">
        <v>46283.269629629598</v>
      </c>
      <c r="H1928" s="89">
        <v>46283</v>
      </c>
      <c r="I1928" s="71" t="s">
        <v>604</v>
      </c>
      <c r="J1928" s="71">
        <v>-62</v>
      </c>
      <c r="K1928" s="71" t="s">
        <v>302</v>
      </c>
      <c r="L1928" s="71">
        <f t="shared" si="270"/>
        <v>9</v>
      </c>
      <c r="M1928" s="71" t="str">
        <f>IFERROR(INDEX(KALENDER!$D$3:$D$132,MATCH(H1928,KALENDER!$A$3:$A$132,0)),"Di luar periode")</f>
        <v>Hari Kerja</v>
      </c>
      <c r="N1928" s="71">
        <f t="shared" si="271"/>
        <v>1</v>
      </c>
      <c r="O1928" s="71">
        <f t="shared" si="272"/>
        <v>1</v>
      </c>
      <c r="P1928" s="71">
        <f t="shared" si="273"/>
        <v>0</v>
      </c>
      <c r="Q1928" s="71">
        <f t="shared" si="274"/>
        <v>1</v>
      </c>
      <c r="R1928" s="71">
        <f t="shared" si="275"/>
        <v>0</v>
      </c>
      <c r="S1928" s="71">
        <f t="shared" si="276"/>
        <v>0</v>
      </c>
      <c r="T1928" s="71">
        <f t="shared" si="277"/>
        <v>0</v>
      </c>
      <c r="U1928" s="71">
        <f>IF(AND(N1928=1,V1928=1),IF(COUNTIFS(AKTIVITAS!$B$2:$B$3052,B1928,AKTIVITAS!$E$2:$E$3052,H1928)&gt;0,1,0),0)</f>
        <v>0</v>
      </c>
      <c r="V1928" s="71">
        <f>IFERROR(IF(AND(H1928&gt;=INDEX(PEMAGANG!$J$3:$J$36,MATCH(B1928,PEMAGANG!$C$3:$C$36,0)),H1928&lt;=INDEX(PEMAGANG!$K$3:$K$36,MATCH(B1928,PEMAGANG!$C$3:$C$36,0))),1,0),0)</f>
        <v>0</v>
      </c>
      <c r="W1928" s="71">
        <f t="shared" si="278"/>
        <v>0</v>
      </c>
    </row>
    <row r="1929" spans="1:23" x14ac:dyDescent="0.2">
      <c r="A1929" s="71" t="s">
        <v>595</v>
      </c>
      <c r="B1929" s="71" t="s">
        <v>596</v>
      </c>
      <c r="C1929" s="71" t="s">
        <v>187</v>
      </c>
      <c r="D1929" s="71" t="s">
        <v>421</v>
      </c>
      <c r="E1929" s="71" t="s">
        <v>422</v>
      </c>
      <c r="F1929" s="71" t="s">
        <v>300</v>
      </c>
      <c r="G1929" s="88">
        <v>46283.751909722203</v>
      </c>
      <c r="H1929" s="89">
        <v>46283</v>
      </c>
      <c r="I1929" s="71" t="s">
        <v>432</v>
      </c>
      <c r="J1929" s="71">
        <v>0</v>
      </c>
      <c r="K1929" s="71" t="s">
        <v>302</v>
      </c>
      <c r="L1929" s="71">
        <f t="shared" si="270"/>
        <v>9</v>
      </c>
      <c r="M1929" s="71" t="str">
        <f>IFERROR(INDEX(KALENDER!$D$3:$D$132,MATCH(H1929,KALENDER!$A$3:$A$132,0)),"Di luar periode")</f>
        <v>Hari Kerja</v>
      </c>
      <c r="N1929" s="71">
        <f t="shared" si="271"/>
        <v>0</v>
      </c>
      <c r="O1929" s="71">
        <f t="shared" si="272"/>
        <v>1</v>
      </c>
      <c r="P1929" s="71">
        <f t="shared" si="273"/>
        <v>0</v>
      </c>
      <c r="Q1929" s="71">
        <f t="shared" si="274"/>
        <v>0</v>
      </c>
      <c r="R1929" s="71">
        <f t="shared" si="275"/>
        <v>0</v>
      </c>
      <c r="S1929" s="71">
        <f t="shared" si="276"/>
        <v>0</v>
      </c>
      <c r="T1929" s="71">
        <f t="shared" si="277"/>
        <v>0</v>
      </c>
      <c r="U1929" s="71">
        <f>IF(AND(N1929=1,V1929=1),IF(COUNTIFS(AKTIVITAS!$B$2:$B$3052,B1929,AKTIVITAS!$E$2:$E$3052,H1929)&gt;0,1,0),0)</f>
        <v>0</v>
      </c>
      <c r="V1929" s="71">
        <f>IFERROR(IF(AND(H1929&gt;=INDEX(PEMAGANG!$J$3:$J$36,MATCH(B1929,PEMAGANG!$C$3:$C$36,0)),H1929&lt;=INDEX(PEMAGANG!$K$3:$K$36,MATCH(B1929,PEMAGANG!$C$3:$C$36,0))),1,0),0)</f>
        <v>0</v>
      </c>
      <c r="W1929" s="71">
        <f t="shared" si="278"/>
        <v>0</v>
      </c>
    </row>
    <row r="1930" spans="1:23" x14ac:dyDescent="0.2">
      <c r="A1930" s="71" t="s">
        <v>595</v>
      </c>
      <c r="B1930" s="71" t="s">
        <v>596</v>
      </c>
      <c r="C1930" s="71" t="s">
        <v>187</v>
      </c>
      <c r="D1930" s="71" t="s">
        <v>421</v>
      </c>
      <c r="E1930" s="71" t="s">
        <v>422</v>
      </c>
      <c r="F1930" s="71" t="s">
        <v>298</v>
      </c>
      <c r="G1930" s="88">
        <v>46286.265821759298</v>
      </c>
      <c r="H1930" s="89">
        <v>46286</v>
      </c>
      <c r="I1930" s="71" t="s">
        <v>607</v>
      </c>
      <c r="J1930" s="71">
        <v>-68</v>
      </c>
      <c r="K1930" s="71" t="s">
        <v>302</v>
      </c>
      <c r="L1930" s="71">
        <f t="shared" si="270"/>
        <v>9</v>
      </c>
      <c r="M1930" s="71" t="str">
        <f>IFERROR(INDEX(KALENDER!$D$3:$D$132,MATCH(H1930,KALENDER!$A$3:$A$132,0)),"Di luar periode")</f>
        <v>Hari Kerja</v>
      </c>
      <c r="N1930" s="71">
        <f t="shared" si="271"/>
        <v>1</v>
      </c>
      <c r="O1930" s="71">
        <f t="shared" si="272"/>
        <v>1</v>
      </c>
      <c r="P1930" s="71">
        <f t="shared" si="273"/>
        <v>0</v>
      </c>
      <c r="Q1930" s="71">
        <f t="shared" si="274"/>
        <v>1</v>
      </c>
      <c r="R1930" s="71">
        <f t="shared" si="275"/>
        <v>0</v>
      </c>
      <c r="S1930" s="71">
        <f t="shared" si="276"/>
        <v>0</v>
      </c>
      <c r="T1930" s="71">
        <f t="shared" si="277"/>
        <v>0</v>
      </c>
      <c r="U1930" s="71">
        <f>IF(AND(N1930=1,V1930=1),IF(COUNTIFS(AKTIVITAS!$B$2:$B$3052,B1930,AKTIVITAS!$E$2:$E$3052,H1930)&gt;0,1,0),0)</f>
        <v>0</v>
      </c>
      <c r="V1930" s="71">
        <f>IFERROR(IF(AND(H1930&gt;=INDEX(PEMAGANG!$J$3:$J$36,MATCH(B1930,PEMAGANG!$C$3:$C$36,0)),H1930&lt;=INDEX(PEMAGANG!$K$3:$K$36,MATCH(B1930,PEMAGANG!$C$3:$C$36,0))),1,0),0)</f>
        <v>0</v>
      </c>
      <c r="W1930" s="71">
        <f t="shared" si="278"/>
        <v>0</v>
      </c>
    </row>
    <row r="1931" spans="1:23" x14ac:dyDescent="0.2">
      <c r="A1931" s="71" t="s">
        <v>595</v>
      </c>
      <c r="B1931" s="71" t="s">
        <v>596</v>
      </c>
      <c r="C1931" s="71" t="s">
        <v>187</v>
      </c>
      <c r="D1931" s="71" t="s">
        <v>421</v>
      </c>
      <c r="E1931" s="71" t="s">
        <v>422</v>
      </c>
      <c r="F1931" s="71" t="s">
        <v>300</v>
      </c>
      <c r="G1931" s="88">
        <v>46286.772152777798</v>
      </c>
      <c r="H1931" s="89">
        <v>46286</v>
      </c>
      <c r="I1931" s="71" t="s">
        <v>361</v>
      </c>
      <c r="J1931" s="71">
        <v>0</v>
      </c>
      <c r="K1931" s="71" t="s">
        <v>302</v>
      </c>
      <c r="L1931" s="71">
        <f t="shared" si="270"/>
        <v>9</v>
      </c>
      <c r="M1931" s="71" t="str">
        <f>IFERROR(INDEX(KALENDER!$D$3:$D$132,MATCH(H1931,KALENDER!$A$3:$A$132,0)),"Di luar periode")</f>
        <v>Hari Kerja</v>
      </c>
      <c r="N1931" s="71">
        <f t="shared" si="271"/>
        <v>0</v>
      </c>
      <c r="O1931" s="71">
        <f t="shared" si="272"/>
        <v>1</v>
      </c>
      <c r="P1931" s="71">
        <f t="shared" si="273"/>
        <v>0</v>
      </c>
      <c r="Q1931" s="71">
        <f t="shared" si="274"/>
        <v>0</v>
      </c>
      <c r="R1931" s="71">
        <f t="shared" si="275"/>
        <v>0</v>
      </c>
      <c r="S1931" s="71">
        <f t="shared" si="276"/>
        <v>0</v>
      </c>
      <c r="T1931" s="71">
        <f t="shared" si="277"/>
        <v>0</v>
      </c>
      <c r="U1931" s="71">
        <f>IF(AND(N1931=1,V1931=1),IF(COUNTIFS(AKTIVITAS!$B$2:$B$3052,B1931,AKTIVITAS!$E$2:$E$3052,H1931)&gt;0,1,0),0)</f>
        <v>0</v>
      </c>
      <c r="V1931" s="71">
        <f>IFERROR(IF(AND(H1931&gt;=INDEX(PEMAGANG!$J$3:$J$36,MATCH(B1931,PEMAGANG!$C$3:$C$36,0)),H1931&lt;=INDEX(PEMAGANG!$K$3:$K$36,MATCH(B1931,PEMAGANG!$C$3:$C$36,0))),1,0),0)</f>
        <v>0</v>
      </c>
      <c r="W1931" s="71">
        <f t="shared" si="278"/>
        <v>0</v>
      </c>
    </row>
    <row r="1932" spans="1:23" x14ac:dyDescent="0.2">
      <c r="A1932" s="71" t="s">
        <v>595</v>
      </c>
      <c r="B1932" s="71" t="s">
        <v>596</v>
      </c>
      <c r="C1932" s="71" t="s">
        <v>187</v>
      </c>
      <c r="D1932" s="71" t="s">
        <v>421</v>
      </c>
      <c r="E1932" s="71" t="s">
        <v>422</v>
      </c>
      <c r="F1932" s="71" t="s">
        <v>298</v>
      </c>
      <c r="G1932" s="88">
        <v>46287.269317129598</v>
      </c>
      <c r="H1932" s="89">
        <v>46287</v>
      </c>
      <c r="I1932" s="71" t="s">
        <v>605</v>
      </c>
      <c r="J1932" s="71">
        <v>-63</v>
      </c>
      <c r="K1932" s="71" t="s">
        <v>302</v>
      </c>
      <c r="L1932" s="71">
        <f t="shared" si="270"/>
        <v>9</v>
      </c>
      <c r="M1932" s="71" t="str">
        <f>IFERROR(INDEX(KALENDER!$D$3:$D$132,MATCH(H1932,KALENDER!$A$3:$A$132,0)),"Di luar periode")</f>
        <v>Hari Kerja</v>
      </c>
      <c r="N1932" s="71">
        <f t="shared" si="271"/>
        <v>1</v>
      </c>
      <c r="O1932" s="71">
        <f t="shared" si="272"/>
        <v>1</v>
      </c>
      <c r="P1932" s="71">
        <f t="shared" si="273"/>
        <v>0</v>
      </c>
      <c r="Q1932" s="71">
        <f t="shared" si="274"/>
        <v>1</v>
      </c>
      <c r="R1932" s="71">
        <f t="shared" si="275"/>
        <v>0</v>
      </c>
      <c r="S1932" s="71">
        <f t="shared" si="276"/>
        <v>0</v>
      </c>
      <c r="T1932" s="71">
        <f t="shared" si="277"/>
        <v>0</v>
      </c>
      <c r="U1932" s="71">
        <f>IF(AND(N1932=1,V1932=1),IF(COUNTIFS(AKTIVITAS!$B$2:$B$3052,B1932,AKTIVITAS!$E$2:$E$3052,H1932)&gt;0,1,0),0)</f>
        <v>0</v>
      </c>
      <c r="V1932" s="71">
        <f>IFERROR(IF(AND(H1932&gt;=INDEX(PEMAGANG!$J$3:$J$36,MATCH(B1932,PEMAGANG!$C$3:$C$36,0)),H1932&lt;=INDEX(PEMAGANG!$K$3:$K$36,MATCH(B1932,PEMAGANG!$C$3:$C$36,0))),1,0),0)</f>
        <v>0</v>
      </c>
      <c r="W1932" s="71">
        <f t="shared" si="278"/>
        <v>0</v>
      </c>
    </row>
    <row r="1933" spans="1:23" x14ac:dyDescent="0.2">
      <c r="A1933" s="71" t="s">
        <v>595</v>
      </c>
      <c r="B1933" s="71" t="s">
        <v>596</v>
      </c>
      <c r="C1933" s="71" t="s">
        <v>187</v>
      </c>
      <c r="D1933" s="71" t="s">
        <v>421</v>
      </c>
      <c r="E1933" s="71" t="s">
        <v>422</v>
      </c>
      <c r="F1933" s="71" t="s">
        <v>300</v>
      </c>
      <c r="G1933" s="88">
        <v>46287.754849536999</v>
      </c>
      <c r="H1933" s="89">
        <v>46287</v>
      </c>
      <c r="I1933" s="71" t="s">
        <v>460</v>
      </c>
      <c r="J1933" s="71">
        <v>0</v>
      </c>
      <c r="K1933" s="71" t="s">
        <v>302</v>
      </c>
      <c r="L1933" s="71">
        <f t="shared" si="270"/>
        <v>9</v>
      </c>
      <c r="M1933" s="71" t="str">
        <f>IFERROR(INDEX(KALENDER!$D$3:$D$132,MATCH(H1933,KALENDER!$A$3:$A$132,0)),"Di luar periode")</f>
        <v>Hari Kerja</v>
      </c>
      <c r="N1933" s="71">
        <f t="shared" si="271"/>
        <v>0</v>
      </c>
      <c r="O1933" s="71">
        <f t="shared" si="272"/>
        <v>1</v>
      </c>
      <c r="P1933" s="71">
        <f t="shared" si="273"/>
        <v>0</v>
      </c>
      <c r="Q1933" s="71">
        <f t="shared" si="274"/>
        <v>0</v>
      </c>
      <c r="R1933" s="71">
        <f t="shared" si="275"/>
        <v>0</v>
      </c>
      <c r="S1933" s="71">
        <f t="shared" si="276"/>
        <v>0</v>
      </c>
      <c r="T1933" s="71">
        <f t="shared" si="277"/>
        <v>0</v>
      </c>
      <c r="U1933" s="71">
        <f>IF(AND(N1933=1,V1933=1),IF(COUNTIFS(AKTIVITAS!$B$2:$B$3052,B1933,AKTIVITAS!$E$2:$E$3052,H1933)&gt;0,1,0),0)</f>
        <v>0</v>
      </c>
      <c r="V1933" s="71">
        <f>IFERROR(IF(AND(H1933&gt;=INDEX(PEMAGANG!$J$3:$J$36,MATCH(B1933,PEMAGANG!$C$3:$C$36,0)),H1933&lt;=INDEX(PEMAGANG!$K$3:$K$36,MATCH(B1933,PEMAGANG!$C$3:$C$36,0))),1,0),0)</f>
        <v>0</v>
      </c>
      <c r="W1933" s="71">
        <f t="shared" si="278"/>
        <v>0</v>
      </c>
    </row>
    <row r="1934" spans="1:23" x14ac:dyDescent="0.2">
      <c r="A1934" s="71" t="s">
        <v>595</v>
      </c>
      <c r="B1934" s="71" t="s">
        <v>596</v>
      </c>
      <c r="C1934" s="71" t="s">
        <v>187</v>
      </c>
      <c r="D1934" s="71" t="s">
        <v>421</v>
      </c>
      <c r="E1934" s="71" t="s">
        <v>422</v>
      </c>
      <c r="F1934" s="71" t="s">
        <v>298</v>
      </c>
      <c r="G1934" s="88">
        <v>46288.268750000003</v>
      </c>
      <c r="H1934" s="89">
        <v>46288</v>
      </c>
      <c r="I1934" s="71" t="s">
        <v>605</v>
      </c>
      <c r="J1934" s="71">
        <v>-63</v>
      </c>
      <c r="K1934" s="71" t="s">
        <v>302</v>
      </c>
      <c r="L1934" s="71">
        <f t="shared" si="270"/>
        <v>9</v>
      </c>
      <c r="M1934" s="71" t="str">
        <f>IFERROR(INDEX(KALENDER!$D$3:$D$132,MATCH(H1934,KALENDER!$A$3:$A$132,0)),"Di luar periode")</f>
        <v>Hari Kerja</v>
      </c>
      <c r="N1934" s="71">
        <f t="shared" si="271"/>
        <v>1</v>
      </c>
      <c r="O1934" s="71">
        <f t="shared" si="272"/>
        <v>1</v>
      </c>
      <c r="P1934" s="71">
        <f t="shared" si="273"/>
        <v>0</v>
      </c>
      <c r="Q1934" s="71">
        <f t="shared" si="274"/>
        <v>1</v>
      </c>
      <c r="R1934" s="71">
        <f t="shared" si="275"/>
        <v>0</v>
      </c>
      <c r="S1934" s="71">
        <f t="shared" si="276"/>
        <v>0</v>
      </c>
      <c r="T1934" s="71">
        <f t="shared" si="277"/>
        <v>0</v>
      </c>
      <c r="U1934" s="71">
        <f>IF(AND(N1934=1,V1934=1),IF(COUNTIFS(AKTIVITAS!$B$2:$B$3052,B1934,AKTIVITAS!$E$2:$E$3052,H1934)&gt;0,1,0),0)</f>
        <v>0</v>
      </c>
      <c r="V1934" s="71">
        <f>IFERROR(IF(AND(H1934&gt;=INDEX(PEMAGANG!$J$3:$J$36,MATCH(B1934,PEMAGANG!$C$3:$C$36,0)),H1934&lt;=INDEX(PEMAGANG!$K$3:$K$36,MATCH(B1934,PEMAGANG!$C$3:$C$36,0))),1,0),0)</f>
        <v>0</v>
      </c>
      <c r="W1934" s="71">
        <f t="shared" si="278"/>
        <v>0</v>
      </c>
    </row>
    <row r="1935" spans="1:23" x14ac:dyDescent="0.2">
      <c r="A1935" s="71" t="s">
        <v>595</v>
      </c>
      <c r="B1935" s="71" t="s">
        <v>596</v>
      </c>
      <c r="C1935" s="71" t="s">
        <v>187</v>
      </c>
      <c r="D1935" s="71" t="s">
        <v>421</v>
      </c>
      <c r="E1935" s="71" t="s">
        <v>422</v>
      </c>
      <c r="F1935" s="71" t="s">
        <v>300</v>
      </c>
      <c r="G1935" s="88">
        <v>46288.756493055596</v>
      </c>
      <c r="H1935" s="89">
        <v>46288</v>
      </c>
      <c r="I1935" s="71" t="s">
        <v>444</v>
      </c>
      <c r="J1935" s="71">
        <v>0</v>
      </c>
      <c r="K1935" s="71" t="s">
        <v>302</v>
      </c>
      <c r="L1935" s="71">
        <f t="shared" si="270"/>
        <v>9</v>
      </c>
      <c r="M1935" s="71" t="str">
        <f>IFERROR(INDEX(KALENDER!$D$3:$D$132,MATCH(H1935,KALENDER!$A$3:$A$132,0)),"Di luar periode")</f>
        <v>Hari Kerja</v>
      </c>
      <c r="N1935" s="71">
        <f t="shared" si="271"/>
        <v>0</v>
      </c>
      <c r="O1935" s="71">
        <f t="shared" si="272"/>
        <v>1</v>
      </c>
      <c r="P1935" s="71">
        <f t="shared" si="273"/>
        <v>0</v>
      </c>
      <c r="Q1935" s="71">
        <f t="shared" si="274"/>
        <v>0</v>
      </c>
      <c r="R1935" s="71">
        <f t="shared" si="275"/>
        <v>0</v>
      </c>
      <c r="S1935" s="71">
        <f t="shared" si="276"/>
        <v>0</v>
      </c>
      <c r="T1935" s="71">
        <f t="shared" si="277"/>
        <v>0</v>
      </c>
      <c r="U1935" s="71">
        <f>IF(AND(N1935=1,V1935=1),IF(COUNTIFS(AKTIVITAS!$B$2:$B$3052,B1935,AKTIVITAS!$E$2:$E$3052,H1935)&gt;0,1,0),0)</f>
        <v>0</v>
      </c>
      <c r="V1935" s="71">
        <f>IFERROR(IF(AND(H1935&gt;=INDEX(PEMAGANG!$J$3:$J$36,MATCH(B1935,PEMAGANG!$C$3:$C$36,0)),H1935&lt;=INDEX(PEMAGANG!$K$3:$K$36,MATCH(B1935,PEMAGANG!$C$3:$C$36,0))),1,0),0)</f>
        <v>0</v>
      </c>
      <c r="W1935" s="71">
        <f t="shared" si="278"/>
        <v>0</v>
      </c>
    </row>
    <row r="1936" spans="1:23" x14ac:dyDescent="0.2">
      <c r="A1936" s="71" t="s">
        <v>595</v>
      </c>
      <c r="B1936" s="71" t="s">
        <v>596</v>
      </c>
      <c r="C1936" s="71" t="s">
        <v>187</v>
      </c>
      <c r="D1936" s="71" t="s">
        <v>421</v>
      </c>
      <c r="E1936" s="71" t="s">
        <v>422</v>
      </c>
      <c r="F1936" s="71" t="s">
        <v>298</v>
      </c>
      <c r="G1936" s="88">
        <v>46289.267395833303</v>
      </c>
      <c r="H1936" s="89">
        <v>46289</v>
      </c>
      <c r="I1936" s="71" t="s">
        <v>425</v>
      </c>
      <c r="J1936" s="71">
        <v>-65</v>
      </c>
      <c r="K1936" s="71" t="s">
        <v>302</v>
      </c>
      <c r="L1936" s="71">
        <f t="shared" si="270"/>
        <v>9</v>
      </c>
      <c r="M1936" s="71" t="str">
        <f>IFERROR(INDEX(KALENDER!$D$3:$D$132,MATCH(H1936,KALENDER!$A$3:$A$132,0)),"Di luar periode")</f>
        <v>Hari Kerja</v>
      </c>
      <c r="N1936" s="71">
        <f t="shared" si="271"/>
        <v>1</v>
      </c>
      <c r="O1936" s="71">
        <f t="shared" si="272"/>
        <v>1</v>
      </c>
      <c r="P1936" s="71">
        <f t="shared" si="273"/>
        <v>0</v>
      </c>
      <c r="Q1936" s="71">
        <f t="shared" si="274"/>
        <v>1</v>
      </c>
      <c r="R1936" s="71">
        <f t="shared" si="275"/>
        <v>0</v>
      </c>
      <c r="S1936" s="71">
        <f t="shared" si="276"/>
        <v>0</v>
      </c>
      <c r="T1936" s="71">
        <f t="shared" si="277"/>
        <v>0</v>
      </c>
      <c r="U1936" s="71">
        <f>IF(AND(N1936=1,V1936=1),IF(COUNTIFS(AKTIVITAS!$B$2:$B$3052,B1936,AKTIVITAS!$E$2:$E$3052,H1936)&gt;0,1,0),0)</f>
        <v>0</v>
      </c>
      <c r="V1936" s="71">
        <f>IFERROR(IF(AND(H1936&gt;=INDEX(PEMAGANG!$J$3:$J$36,MATCH(B1936,PEMAGANG!$C$3:$C$36,0)),H1936&lt;=INDEX(PEMAGANG!$K$3:$K$36,MATCH(B1936,PEMAGANG!$C$3:$C$36,0))),1,0),0)</f>
        <v>0</v>
      </c>
      <c r="W1936" s="71">
        <f t="shared" si="278"/>
        <v>0</v>
      </c>
    </row>
    <row r="1937" spans="1:23" x14ac:dyDescent="0.2">
      <c r="A1937" s="71" t="s">
        <v>595</v>
      </c>
      <c r="B1937" s="71" t="s">
        <v>596</v>
      </c>
      <c r="C1937" s="71" t="s">
        <v>187</v>
      </c>
      <c r="D1937" s="71" t="s">
        <v>421</v>
      </c>
      <c r="E1937" s="71" t="s">
        <v>422</v>
      </c>
      <c r="F1937" s="71" t="s">
        <v>300</v>
      </c>
      <c r="G1937" s="88">
        <v>46289.7566435185</v>
      </c>
      <c r="H1937" s="89">
        <v>46289</v>
      </c>
      <c r="I1937" s="71" t="s">
        <v>444</v>
      </c>
      <c r="J1937" s="71">
        <v>0</v>
      </c>
      <c r="K1937" s="71" t="s">
        <v>302</v>
      </c>
      <c r="L1937" s="71">
        <f t="shared" si="270"/>
        <v>9</v>
      </c>
      <c r="M1937" s="71" t="str">
        <f>IFERROR(INDEX(KALENDER!$D$3:$D$132,MATCH(H1937,KALENDER!$A$3:$A$132,0)),"Di luar periode")</f>
        <v>Hari Kerja</v>
      </c>
      <c r="N1937" s="71">
        <f t="shared" si="271"/>
        <v>0</v>
      </c>
      <c r="O1937" s="71">
        <f t="shared" si="272"/>
        <v>1</v>
      </c>
      <c r="P1937" s="71">
        <f t="shared" si="273"/>
        <v>0</v>
      </c>
      <c r="Q1937" s="71">
        <f t="shared" si="274"/>
        <v>0</v>
      </c>
      <c r="R1937" s="71">
        <f t="shared" si="275"/>
        <v>0</v>
      </c>
      <c r="S1937" s="71">
        <f t="shared" si="276"/>
        <v>0</v>
      </c>
      <c r="T1937" s="71">
        <f t="shared" si="277"/>
        <v>0</v>
      </c>
      <c r="U1937" s="71">
        <f>IF(AND(N1937=1,V1937=1),IF(COUNTIFS(AKTIVITAS!$B$2:$B$3052,B1937,AKTIVITAS!$E$2:$E$3052,H1937)&gt;0,1,0),0)</f>
        <v>0</v>
      </c>
      <c r="V1937" s="71">
        <f>IFERROR(IF(AND(H1937&gt;=INDEX(PEMAGANG!$J$3:$J$36,MATCH(B1937,PEMAGANG!$C$3:$C$36,0)),H1937&lt;=INDEX(PEMAGANG!$K$3:$K$36,MATCH(B1937,PEMAGANG!$C$3:$C$36,0))),1,0),0)</f>
        <v>0</v>
      </c>
      <c r="W1937" s="71">
        <f t="shared" si="278"/>
        <v>0</v>
      </c>
    </row>
    <row r="1938" spans="1:23" x14ac:dyDescent="0.2">
      <c r="A1938" s="71" t="s">
        <v>595</v>
      </c>
      <c r="B1938" s="71" t="s">
        <v>596</v>
      </c>
      <c r="C1938" s="71" t="s">
        <v>187</v>
      </c>
      <c r="D1938" s="71" t="s">
        <v>421</v>
      </c>
      <c r="E1938" s="71" t="s">
        <v>422</v>
      </c>
      <c r="F1938" s="71" t="s">
        <v>298</v>
      </c>
      <c r="G1938" s="88">
        <v>46290.270416666703</v>
      </c>
      <c r="H1938" s="89">
        <v>46290</v>
      </c>
      <c r="I1938" s="71" t="s">
        <v>496</v>
      </c>
      <c r="J1938" s="71">
        <v>-61</v>
      </c>
      <c r="K1938" s="71" t="s">
        <v>302</v>
      </c>
      <c r="L1938" s="71">
        <f t="shared" si="270"/>
        <v>9</v>
      </c>
      <c r="M1938" s="71" t="str">
        <f>IFERROR(INDEX(KALENDER!$D$3:$D$132,MATCH(H1938,KALENDER!$A$3:$A$132,0)),"Di luar periode")</f>
        <v>Hari Kerja</v>
      </c>
      <c r="N1938" s="71">
        <f t="shared" si="271"/>
        <v>1</v>
      </c>
      <c r="O1938" s="71">
        <f t="shared" si="272"/>
        <v>1</v>
      </c>
      <c r="P1938" s="71">
        <f t="shared" si="273"/>
        <v>0</v>
      </c>
      <c r="Q1938" s="71">
        <f t="shared" si="274"/>
        <v>1</v>
      </c>
      <c r="R1938" s="71">
        <f t="shared" si="275"/>
        <v>0</v>
      </c>
      <c r="S1938" s="71">
        <f t="shared" si="276"/>
        <v>0</v>
      </c>
      <c r="T1938" s="71">
        <f t="shared" si="277"/>
        <v>0</v>
      </c>
      <c r="U1938" s="71">
        <f>IF(AND(N1938=1,V1938=1),IF(COUNTIFS(AKTIVITAS!$B$2:$B$3052,B1938,AKTIVITAS!$E$2:$E$3052,H1938)&gt;0,1,0),0)</f>
        <v>0</v>
      </c>
      <c r="V1938" s="71">
        <f>IFERROR(IF(AND(H1938&gt;=INDEX(PEMAGANG!$J$3:$J$36,MATCH(B1938,PEMAGANG!$C$3:$C$36,0)),H1938&lt;=INDEX(PEMAGANG!$K$3:$K$36,MATCH(B1938,PEMAGANG!$C$3:$C$36,0))),1,0),0)</f>
        <v>0</v>
      </c>
      <c r="W1938" s="71">
        <f t="shared" si="278"/>
        <v>0</v>
      </c>
    </row>
    <row r="1939" spans="1:23" x14ac:dyDescent="0.2">
      <c r="A1939" s="71" t="s">
        <v>595</v>
      </c>
      <c r="B1939" s="71" t="s">
        <v>596</v>
      </c>
      <c r="C1939" s="71" t="s">
        <v>187</v>
      </c>
      <c r="D1939" s="71" t="s">
        <v>421</v>
      </c>
      <c r="E1939" s="71" t="s">
        <v>422</v>
      </c>
      <c r="F1939" s="71" t="s">
        <v>300</v>
      </c>
      <c r="G1939" s="88">
        <v>46290.751504629603</v>
      </c>
      <c r="H1939" s="89">
        <v>46290</v>
      </c>
      <c r="I1939" s="71" t="s">
        <v>432</v>
      </c>
      <c r="J1939" s="71">
        <v>0</v>
      </c>
      <c r="K1939" s="71" t="s">
        <v>302</v>
      </c>
      <c r="L1939" s="71">
        <f t="shared" si="270"/>
        <v>9</v>
      </c>
      <c r="M1939" s="71" t="str">
        <f>IFERROR(INDEX(KALENDER!$D$3:$D$132,MATCH(H1939,KALENDER!$A$3:$A$132,0)),"Di luar periode")</f>
        <v>Hari Kerja</v>
      </c>
      <c r="N1939" s="71">
        <f t="shared" si="271"/>
        <v>0</v>
      </c>
      <c r="O1939" s="71">
        <f t="shared" si="272"/>
        <v>1</v>
      </c>
      <c r="P1939" s="71">
        <f t="shared" si="273"/>
        <v>0</v>
      </c>
      <c r="Q1939" s="71">
        <f t="shared" si="274"/>
        <v>0</v>
      </c>
      <c r="R1939" s="71">
        <f t="shared" si="275"/>
        <v>0</v>
      </c>
      <c r="S1939" s="71">
        <f t="shared" si="276"/>
        <v>0</v>
      </c>
      <c r="T1939" s="71">
        <f t="shared" si="277"/>
        <v>0</v>
      </c>
      <c r="U1939" s="71">
        <f>IF(AND(N1939=1,V1939=1),IF(COUNTIFS(AKTIVITAS!$B$2:$B$3052,B1939,AKTIVITAS!$E$2:$E$3052,H1939)&gt;0,1,0),0)</f>
        <v>0</v>
      </c>
      <c r="V1939" s="71">
        <f>IFERROR(IF(AND(H1939&gt;=INDEX(PEMAGANG!$J$3:$J$36,MATCH(B1939,PEMAGANG!$C$3:$C$36,0)),H1939&lt;=INDEX(PEMAGANG!$K$3:$K$36,MATCH(B1939,PEMAGANG!$C$3:$C$36,0))),1,0),0)</f>
        <v>0</v>
      </c>
      <c r="W1939" s="71">
        <f t="shared" si="278"/>
        <v>0</v>
      </c>
    </row>
    <row r="1940" spans="1:23" x14ac:dyDescent="0.2">
      <c r="A1940" s="71" t="s">
        <v>595</v>
      </c>
      <c r="B1940" s="71" t="s">
        <v>596</v>
      </c>
      <c r="C1940" s="71" t="s">
        <v>187</v>
      </c>
      <c r="D1940" s="71" t="s">
        <v>421</v>
      </c>
      <c r="E1940" s="71" t="s">
        <v>422</v>
      </c>
      <c r="F1940" s="71" t="s">
        <v>298</v>
      </c>
      <c r="G1940" s="88">
        <v>46293.268090277801</v>
      </c>
      <c r="H1940" s="89">
        <v>46293</v>
      </c>
      <c r="I1940" s="71" t="s">
        <v>443</v>
      </c>
      <c r="J1940" s="71">
        <v>-64</v>
      </c>
      <c r="K1940" s="71" t="s">
        <v>302</v>
      </c>
      <c r="L1940" s="71">
        <f t="shared" si="270"/>
        <v>9</v>
      </c>
      <c r="M1940" s="71" t="str">
        <f>IFERROR(INDEX(KALENDER!$D$3:$D$132,MATCH(H1940,KALENDER!$A$3:$A$132,0)),"Di luar periode")</f>
        <v>Hari Kerja</v>
      </c>
      <c r="N1940" s="71">
        <f t="shared" si="271"/>
        <v>1</v>
      </c>
      <c r="O1940" s="71">
        <f t="shared" si="272"/>
        <v>1</v>
      </c>
      <c r="P1940" s="71">
        <f t="shared" si="273"/>
        <v>0</v>
      </c>
      <c r="Q1940" s="71">
        <f t="shared" si="274"/>
        <v>1</v>
      </c>
      <c r="R1940" s="71">
        <f t="shared" si="275"/>
        <v>0</v>
      </c>
      <c r="S1940" s="71">
        <f t="shared" si="276"/>
        <v>0</v>
      </c>
      <c r="T1940" s="71">
        <f t="shared" si="277"/>
        <v>0</v>
      </c>
      <c r="U1940" s="71">
        <f>IF(AND(N1940=1,V1940=1),IF(COUNTIFS(AKTIVITAS!$B$2:$B$3052,B1940,AKTIVITAS!$E$2:$E$3052,H1940)&gt;0,1,0),0)</f>
        <v>0</v>
      </c>
      <c r="V1940" s="71">
        <f>IFERROR(IF(AND(H1940&gt;=INDEX(PEMAGANG!$J$3:$J$36,MATCH(B1940,PEMAGANG!$C$3:$C$36,0)),H1940&lt;=INDEX(PEMAGANG!$K$3:$K$36,MATCH(B1940,PEMAGANG!$C$3:$C$36,0))),1,0),0)</f>
        <v>0</v>
      </c>
      <c r="W1940" s="71">
        <f t="shared" si="278"/>
        <v>0</v>
      </c>
    </row>
    <row r="1941" spans="1:23" x14ac:dyDescent="0.2">
      <c r="A1941" s="71" t="s">
        <v>595</v>
      </c>
      <c r="B1941" s="71" t="s">
        <v>596</v>
      </c>
      <c r="C1941" s="71" t="s">
        <v>187</v>
      </c>
      <c r="D1941" s="71" t="s">
        <v>421</v>
      </c>
      <c r="E1941" s="71" t="s">
        <v>422</v>
      </c>
      <c r="F1941" s="71" t="s">
        <v>300</v>
      </c>
      <c r="G1941" s="88">
        <v>46293.759953703702</v>
      </c>
      <c r="H1941" s="89">
        <v>46293</v>
      </c>
      <c r="I1941" s="71" t="s">
        <v>439</v>
      </c>
      <c r="J1941" s="71">
        <v>0</v>
      </c>
      <c r="K1941" s="71" t="s">
        <v>302</v>
      </c>
      <c r="L1941" s="71">
        <f t="shared" si="270"/>
        <v>9</v>
      </c>
      <c r="M1941" s="71" t="str">
        <f>IFERROR(INDEX(KALENDER!$D$3:$D$132,MATCH(H1941,KALENDER!$A$3:$A$132,0)),"Di luar periode")</f>
        <v>Hari Kerja</v>
      </c>
      <c r="N1941" s="71">
        <f t="shared" si="271"/>
        <v>0</v>
      </c>
      <c r="O1941" s="71">
        <f t="shared" si="272"/>
        <v>1</v>
      </c>
      <c r="P1941" s="71">
        <f t="shared" si="273"/>
        <v>0</v>
      </c>
      <c r="Q1941" s="71">
        <f t="shared" si="274"/>
        <v>0</v>
      </c>
      <c r="R1941" s="71">
        <f t="shared" si="275"/>
        <v>0</v>
      </c>
      <c r="S1941" s="71">
        <f t="shared" si="276"/>
        <v>0</v>
      </c>
      <c r="T1941" s="71">
        <f t="shared" si="277"/>
        <v>0</v>
      </c>
      <c r="U1941" s="71">
        <f>IF(AND(N1941=1,V1941=1),IF(COUNTIFS(AKTIVITAS!$B$2:$B$3052,B1941,AKTIVITAS!$E$2:$E$3052,H1941)&gt;0,1,0),0)</f>
        <v>0</v>
      </c>
      <c r="V1941" s="71">
        <f>IFERROR(IF(AND(H1941&gt;=INDEX(PEMAGANG!$J$3:$J$36,MATCH(B1941,PEMAGANG!$C$3:$C$36,0)),H1941&lt;=INDEX(PEMAGANG!$K$3:$K$36,MATCH(B1941,PEMAGANG!$C$3:$C$36,0))),1,0),0)</f>
        <v>0</v>
      </c>
      <c r="W1941" s="71">
        <f t="shared" si="278"/>
        <v>0</v>
      </c>
    </row>
    <row r="1942" spans="1:23" x14ac:dyDescent="0.2">
      <c r="A1942" s="71" t="s">
        <v>595</v>
      </c>
      <c r="B1942" s="71" t="s">
        <v>596</v>
      </c>
      <c r="C1942" s="71" t="s">
        <v>187</v>
      </c>
      <c r="D1942" s="71" t="s">
        <v>421</v>
      </c>
      <c r="E1942" s="71" t="s">
        <v>422</v>
      </c>
      <c r="F1942" s="71" t="s">
        <v>298</v>
      </c>
      <c r="G1942" s="88">
        <v>46294.268715277802</v>
      </c>
      <c r="H1942" s="89">
        <v>46294</v>
      </c>
      <c r="I1942" s="71" t="s">
        <v>443</v>
      </c>
      <c r="J1942" s="71">
        <v>-64</v>
      </c>
      <c r="K1942" s="71" t="s">
        <v>302</v>
      </c>
      <c r="L1942" s="71">
        <f t="shared" si="270"/>
        <v>9</v>
      </c>
      <c r="M1942" s="71" t="str">
        <f>IFERROR(INDEX(KALENDER!$D$3:$D$132,MATCH(H1942,KALENDER!$A$3:$A$132,0)),"Di luar periode")</f>
        <v>Hari Kerja</v>
      </c>
      <c r="N1942" s="71">
        <f t="shared" si="271"/>
        <v>1</v>
      </c>
      <c r="O1942" s="71">
        <f t="shared" si="272"/>
        <v>1</v>
      </c>
      <c r="P1942" s="71">
        <f t="shared" si="273"/>
        <v>0</v>
      </c>
      <c r="Q1942" s="71">
        <f t="shared" si="274"/>
        <v>1</v>
      </c>
      <c r="R1942" s="71">
        <f t="shared" si="275"/>
        <v>0</v>
      </c>
      <c r="S1942" s="71">
        <f t="shared" si="276"/>
        <v>0</v>
      </c>
      <c r="T1942" s="71">
        <f t="shared" si="277"/>
        <v>0</v>
      </c>
      <c r="U1942" s="71">
        <f>IF(AND(N1942=1,V1942=1),IF(COUNTIFS(AKTIVITAS!$B$2:$B$3052,B1942,AKTIVITAS!$E$2:$E$3052,H1942)&gt;0,1,0),0)</f>
        <v>0</v>
      </c>
      <c r="V1942" s="71">
        <f>IFERROR(IF(AND(H1942&gt;=INDEX(PEMAGANG!$J$3:$J$36,MATCH(B1942,PEMAGANG!$C$3:$C$36,0)),H1942&lt;=INDEX(PEMAGANG!$K$3:$K$36,MATCH(B1942,PEMAGANG!$C$3:$C$36,0))),1,0),0)</f>
        <v>0</v>
      </c>
      <c r="W1942" s="71">
        <f t="shared" si="278"/>
        <v>0</v>
      </c>
    </row>
    <row r="1943" spans="1:23" x14ac:dyDescent="0.2">
      <c r="A1943" s="71" t="s">
        <v>595</v>
      </c>
      <c r="B1943" s="71" t="s">
        <v>596</v>
      </c>
      <c r="C1943" s="71" t="s">
        <v>187</v>
      </c>
      <c r="D1943" s="71" t="s">
        <v>421</v>
      </c>
      <c r="E1943" s="71" t="s">
        <v>422</v>
      </c>
      <c r="F1943" s="71" t="s">
        <v>300</v>
      </c>
      <c r="G1943" s="88">
        <v>46294.758761574099</v>
      </c>
      <c r="H1943" s="89">
        <v>46294</v>
      </c>
      <c r="I1943" s="71" t="s">
        <v>603</v>
      </c>
      <c r="J1943" s="71">
        <v>0</v>
      </c>
      <c r="K1943" s="71" t="s">
        <v>302</v>
      </c>
      <c r="L1943" s="71">
        <f t="shared" si="270"/>
        <v>9</v>
      </c>
      <c r="M1943" s="71" t="str">
        <f>IFERROR(INDEX(KALENDER!$D$3:$D$132,MATCH(H1943,KALENDER!$A$3:$A$132,0)),"Di luar periode")</f>
        <v>Hari Kerja</v>
      </c>
      <c r="N1943" s="71">
        <f t="shared" si="271"/>
        <v>0</v>
      </c>
      <c r="O1943" s="71">
        <f t="shared" si="272"/>
        <v>1</v>
      </c>
      <c r="P1943" s="71">
        <f t="shared" si="273"/>
        <v>0</v>
      </c>
      <c r="Q1943" s="71">
        <f t="shared" si="274"/>
        <v>0</v>
      </c>
      <c r="R1943" s="71">
        <f t="shared" si="275"/>
        <v>0</v>
      </c>
      <c r="S1943" s="71">
        <f t="shared" si="276"/>
        <v>0</v>
      </c>
      <c r="T1943" s="71">
        <f t="shared" si="277"/>
        <v>0</v>
      </c>
      <c r="U1943" s="71">
        <f>IF(AND(N1943=1,V1943=1),IF(COUNTIFS(AKTIVITAS!$B$2:$B$3052,B1943,AKTIVITAS!$E$2:$E$3052,H1943)&gt;0,1,0),0)</f>
        <v>0</v>
      </c>
      <c r="V1943" s="71">
        <f>IFERROR(IF(AND(H1943&gt;=INDEX(PEMAGANG!$J$3:$J$36,MATCH(B1943,PEMAGANG!$C$3:$C$36,0)),H1943&lt;=INDEX(PEMAGANG!$K$3:$K$36,MATCH(B1943,PEMAGANG!$C$3:$C$36,0))),1,0),0)</f>
        <v>0</v>
      </c>
      <c r="W1943" s="71">
        <f t="shared" si="278"/>
        <v>0</v>
      </c>
    </row>
    <row r="1944" spans="1:23" x14ac:dyDescent="0.2">
      <c r="A1944" s="71" t="s">
        <v>595</v>
      </c>
      <c r="B1944" s="71" t="s">
        <v>596</v>
      </c>
      <c r="C1944" s="71" t="s">
        <v>187</v>
      </c>
      <c r="D1944" s="71" t="s">
        <v>421</v>
      </c>
      <c r="E1944" s="71" t="s">
        <v>422</v>
      </c>
      <c r="F1944" s="71" t="s">
        <v>298</v>
      </c>
      <c r="G1944" s="88">
        <v>46295.271562499998</v>
      </c>
      <c r="H1944" s="89">
        <v>46295</v>
      </c>
      <c r="I1944" s="71" t="s">
        <v>332</v>
      </c>
      <c r="J1944" s="71">
        <v>-59</v>
      </c>
      <c r="K1944" s="71" t="s">
        <v>302</v>
      </c>
      <c r="L1944" s="71">
        <f t="shared" si="270"/>
        <v>9</v>
      </c>
      <c r="M1944" s="71" t="str">
        <f>IFERROR(INDEX(KALENDER!$D$3:$D$132,MATCH(H1944,KALENDER!$A$3:$A$132,0)),"Di luar periode")</f>
        <v>Hari Kerja</v>
      </c>
      <c r="N1944" s="71">
        <f t="shared" si="271"/>
        <v>1</v>
      </c>
      <c r="O1944" s="71">
        <f t="shared" si="272"/>
        <v>1</v>
      </c>
      <c r="P1944" s="71">
        <f t="shared" si="273"/>
        <v>0</v>
      </c>
      <c r="Q1944" s="71">
        <f t="shared" si="274"/>
        <v>1</v>
      </c>
      <c r="R1944" s="71">
        <f t="shared" si="275"/>
        <v>0</v>
      </c>
      <c r="S1944" s="71">
        <f t="shared" si="276"/>
        <v>0</v>
      </c>
      <c r="T1944" s="71">
        <f t="shared" si="277"/>
        <v>0</v>
      </c>
      <c r="U1944" s="71">
        <f>IF(AND(N1944=1,V1944=1),IF(COUNTIFS(AKTIVITAS!$B$2:$B$3052,B1944,AKTIVITAS!$E$2:$E$3052,H1944)&gt;0,1,0),0)</f>
        <v>0</v>
      </c>
      <c r="V1944" s="71">
        <f>IFERROR(IF(AND(H1944&gt;=INDEX(PEMAGANG!$J$3:$J$36,MATCH(B1944,PEMAGANG!$C$3:$C$36,0)),H1944&lt;=INDEX(PEMAGANG!$K$3:$K$36,MATCH(B1944,PEMAGANG!$C$3:$C$36,0))),1,0),0)</f>
        <v>0</v>
      </c>
      <c r="W1944" s="71">
        <f t="shared" si="278"/>
        <v>0</v>
      </c>
    </row>
    <row r="1945" spans="1:23" x14ac:dyDescent="0.2">
      <c r="A1945" s="71" t="s">
        <v>595</v>
      </c>
      <c r="B1945" s="71" t="s">
        <v>596</v>
      </c>
      <c r="C1945" s="71" t="s">
        <v>187</v>
      </c>
      <c r="D1945" s="71" t="s">
        <v>421</v>
      </c>
      <c r="E1945" s="71" t="s">
        <v>422</v>
      </c>
      <c r="F1945" s="71" t="s">
        <v>300</v>
      </c>
      <c r="G1945" s="88">
        <v>46295.754895833299</v>
      </c>
      <c r="H1945" s="89">
        <v>46295</v>
      </c>
      <c r="I1945" s="71" t="s">
        <v>599</v>
      </c>
      <c r="J1945" s="71">
        <v>0</v>
      </c>
      <c r="K1945" s="71" t="s">
        <v>302</v>
      </c>
      <c r="L1945" s="71">
        <f t="shared" si="270"/>
        <v>9</v>
      </c>
      <c r="M1945" s="71" t="str">
        <f>IFERROR(INDEX(KALENDER!$D$3:$D$132,MATCH(H1945,KALENDER!$A$3:$A$132,0)),"Di luar periode")</f>
        <v>Hari Kerja</v>
      </c>
      <c r="N1945" s="71">
        <f t="shared" si="271"/>
        <v>0</v>
      </c>
      <c r="O1945" s="71">
        <f t="shared" si="272"/>
        <v>1</v>
      </c>
      <c r="P1945" s="71">
        <f t="shared" si="273"/>
        <v>0</v>
      </c>
      <c r="Q1945" s="71">
        <f t="shared" si="274"/>
        <v>0</v>
      </c>
      <c r="R1945" s="71">
        <f t="shared" si="275"/>
        <v>0</v>
      </c>
      <c r="S1945" s="71">
        <f t="shared" si="276"/>
        <v>0</v>
      </c>
      <c r="T1945" s="71">
        <f t="shared" si="277"/>
        <v>0</v>
      </c>
      <c r="U1945" s="71">
        <f>IF(AND(N1945=1,V1945=1),IF(COUNTIFS(AKTIVITAS!$B$2:$B$3052,B1945,AKTIVITAS!$E$2:$E$3052,H1945)&gt;0,1,0),0)</f>
        <v>0</v>
      </c>
      <c r="V1945" s="71">
        <f>IFERROR(IF(AND(H1945&gt;=INDEX(PEMAGANG!$J$3:$J$36,MATCH(B1945,PEMAGANG!$C$3:$C$36,0)),H1945&lt;=INDEX(PEMAGANG!$K$3:$K$36,MATCH(B1945,PEMAGANG!$C$3:$C$36,0))),1,0),0)</f>
        <v>0</v>
      </c>
      <c r="W1945" s="71">
        <f t="shared" si="278"/>
        <v>0</v>
      </c>
    </row>
    <row r="1946" spans="1:23" x14ac:dyDescent="0.2">
      <c r="A1946" s="71" t="s">
        <v>252</v>
      </c>
      <c r="B1946" s="71" t="s">
        <v>253</v>
      </c>
      <c r="C1946" s="71" t="s">
        <v>187</v>
      </c>
      <c r="D1946" s="71" t="s">
        <v>251</v>
      </c>
      <c r="E1946" s="71" t="s">
        <v>42</v>
      </c>
      <c r="F1946" s="71" t="s">
        <v>298</v>
      </c>
      <c r="G1946" s="88">
        <v>46205.337800925903</v>
      </c>
      <c r="H1946" s="89">
        <v>46205</v>
      </c>
      <c r="I1946" s="71" t="s">
        <v>608</v>
      </c>
      <c r="J1946" s="71">
        <v>36</v>
      </c>
      <c r="K1946" s="71" t="s">
        <v>293</v>
      </c>
      <c r="L1946" s="71">
        <f t="shared" si="270"/>
        <v>7</v>
      </c>
      <c r="M1946" s="71" t="str">
        <f>IFERROR(INDEX(KALENDER!$D$3:$D$132,MATCH(H1946,KALENDER!$A$3:$A$132,0)),"Di luar periode")</f>
        <v>Hari Kerja</v>
      </c>
      <c r="N1946" s="71">
        <f t="shared" si="271"/>
        <v>1</v>
      </c>
      <c r="O1946" s="71">
        <f t="shared" si="272"/>
        <v>1</v>
      </c>
      <c r="P1946" s="71">
        <f t="shared" si="273"/>
        <v>1</v>
      </c>
      <c r="Q1946" s="71">
        <f t="shared" si="274"/>
        <v>0</v>
      </c>
      <c r="R1946" s="71">
        <f t="shared" si="275"/>
        <v>1</v>
      </c>
      <c r="S1946" s="71">
        <f t="shared" si="276"/>
        <v>36</v>
      </c>
      <c r="T1946" s="71">
        <f t="shared" si="277"/>
        <v>0</v>
      </c>
      <c r="U1946" s="71">
        <f>IF(AND(N1946=1,V1946=1),IF(COUNTIFS(AKTIVITAS!$B$2:$B$3052,B1946,AKTIVITAS!$E$2:$E$3052,H1946)&gt;0,1,0),0)</f>
        <v>1</v>
      </c>
      <c r="V1946" s="71">
        <f>IFERROR(IF(AND(H1946&gt;=INDEX(PEMAGANG!$J$3:$J$36,MATCH(B1946,PEMAGANG!$C$3:$C$36,0)),H1946&lt;=INDEX(PEMAGANG!$K$3:$K$36,MATCH(B1946,PEMAGANG!$C$3:$C$36,0))),1,0),0)</f>
        <v>1</v>
      </c>
      <c r="W1946" s="71">
        <f t="shared" si="278"/>
        <v>1</v>
      </c>
    </row>
    <row r="1947" spans="1:23" x14ac:dyDescent="0.2">
      <c r="A1947" s="71" t="s">
        <v>252</v>
      </c>
      <c r="B1947" s="71" t="s">
        <v>253</v>
      </c>
      <c r="C1947" s="71" t="s">
        <v>187</v>
      </c>
      <c r="D1947" s="71" t="s">
        <v>251</v>
      </c>
      <c r="E1947" s="71" t="s">
        <v>42</v>
      </c>
      <c r="F1947" s="71" t="s">
        <v>300</v>
      </c>
      <c r="G1947" s="88">
        <v>46205.692106481503</v>
      </c>
      <c r="H1947" s="89">
        <v>46205</v>
      </c>
      <c r="I1947" s="71" t="s">
        <v>344</v>
      </c>
      <c r="J1947" s="71">
        <v>0</v>
      </c>
      <c r="K1947" s="71" t="s">
        <v>302</v>
      </c>
      <c r="L1947" s="71">
        <f t="shared" si="270"/>
        <v>7</v>
      </c>
      <c r="M1947" s="71" t="str">
        <f>IFERROR(INDEX(KALENDER!$D$3:$D$132,MATCH(H1947,KALENDER!$A$3:$A$132,0)),"Di luar periode")</f>
        <v>Hari Kerja</v>
      </c>
      <c r="N1947" s="71">
        <f t="shared" si="271"/>
        <v>0</v>
      </c>
      <c r="O1947" s="71">
        <f t="shared" si="272"/>
        <v>1</v>
      </c>
      <c r="P1947" s="71">
        <f t="shared" si="273"/>
        <v>0</v>
      </c>
      <c r="Q1947" s="71">
        <f t="shared" si="274"/>
        <v>0</v>
      </c>
      <c r="R1947" s="71">
        <f t="shared" si="275"/>
        <v>0</v>
      </c>
      <c r="S1947" s="71">
        <f t="shared" si="276"/>
        <v>0</v>
      </c>
      <c r="T1947" s="71">
        <f t="shared" si="277"/>
        <v>0</v>
      </c>
      <c r="U1947" s="71">
        <f>IF(AND(N1947=1,V1947=1),IF(COUNTIFS(AKTIVITAS!$B$2:$B$3052,B1947,AKTIVITAS!$E$2:$E$3052,H1947)&gt;0,1,0),0)</f>
        <v>0</v>
      </c>
      <c r="V1947" s="71">
        <f>IFERROR(IF(AND(H1947&gt;=INDEX(PEMAGANG!$J$3:$J$36,MATCH(B1947,PEMAGANG!$C$3:$C$36,0)),H1947&lt;=INDEX(PEMAGANG!$K$3:$K$36,MATCH(B1947,PEMAGANG!$C$3:$C$36,0))),1,0),0)</f>
        <v>1</v>
      </c>
      <c r="W1947" s="71">
        <f t="shared" si="278"/>
        <v>0</v>
      </c>
    </row>
    <row r="1948" spans="1:23" x14ac:dyDescent="0.2">
      <c r="A1948" s="71" t="s">
        <v>252</v>
      </c>
      <c r="B1948" s="71" t="s">
        <v>253</v>
      </c>
      <c r="C1948" s="71" t="s">
        <v>187</v>
      </c>
      <c r="D1948" s="71" t="s">
        <v>251</v>
      </c>
      <c r="E1948" s="71" t="s">
        <v>42</v>
      </c>
      <c r="F1948" s="71" t="s">
        <v>298</v>
      </c>
      <c r="G1948" s="88">
        <v>46206.311527777798</v>
      </c>
      <c r="H1948" s="89">
        <v>46206</v>
      </c>
      <c r="I1948" s="71" t="s">
        <v>377</v>
      </c>
      <c r="J1948" s="71">
        <v>-1.99999999999999</v>
      </c>
      <c r="K1948" s="71" t="s">
        <v>302</v>
      </c>
      <c r="L1948" s="71">
        <f t="shared" si="270"/>
        <v>7</v>
      </c>
      <c r="M1948" s="71" t="str">
        <f>IFERROR(INDEX(KALENDER!$D$3:$D$132,MATCH(H1948,KALENDER!$A$3:$A$132,0)),"Di luar periode")</f>
        <v>Hari Kerja</v>
      </c>
      <c r="N1948" s="71">
        <f t="shared" si="271"/>
        <v>1</v>
      </c>
      <c r="O1948" s="71">
        <f t="shared" si="272"/>
        <v>1</v>
      </c>
      <c r="P1948" s="71">
        <f t="shared" si="273"/>
        <v>1</v>
      </c>
      <c r="Q1948" s="71">
        <f t="shared" si="274"/>
        <v>0</v>
      </c>
      <c r="R1948" s="71">
        <f t="shared" si="275"/>
        <v>0</v>
      </c>
      <c r="S1948" s="71">
        <f t="shared" si="276"/>
        <v>0</v>
      </c>
      <c r="T1948" s="71">
        <f t="shared" si="277"/>
        <v>0</v>
      </c>
      <c r="U1948" s="71">
        <f>IF(AND(N1948=1,V1948=1),IF(COUNTIFS(AKTIVITAS!$B$2:$B$3052,B1948,AKTIVITAS!$E$2:$E$3052,H1948)&gt;0,1,0),0)</f>
        <v>1</v>
      </c>
      <c r="V1948" s="71">
        <f>IFERROR(IF(AND(H1948&gt;=INDEX(PEMAGANG!$J$3:$J$36,MATCH(B1948,PEMAGANG!$C$3:$C$36,0)),H1948&lt;=INDEX(PEMAGANG!$K$3:$K$36,MATCH(B1948,PEMAGANG!$C$3:$C$36,0))),1,0),0)</f>
        <v>1</v>
      </c>
      <c r="W1948" s="71">
        <f t="shared" si="278"/>
        <v>1</v>
      </c>
    </row>
    <row r="1949" spans="1:23" x14ac:dyDescent="0.2">
      <c r="A1949" s="71" t="s">
        <v>252</v>
      </c>
      <c r="B1949" s="71" t="s">
        <v>253</v>
      </c>
      <c r="C1949" s="71" t="s">
        <v>187</v>
      </c>
      <c r="D1949" s="71" t="s">
        <v>251</v>
      </c>
      <c r="E1949" s="71" t="s">
        <v>42</v>
      </c>
      <c r="F1949" s="71" t="s">
        <v>300</v>
      </c>
      <c r="G1949" s="88">
        <v>46206.698599536998</v>
      </c>
      <c r="H1949" s="89">
        <v>46206</v>
      </c>
      <c r="I1949" s="71" t="s">
        <v>318</v>
      </c>
      <c r="J1949" s="71">
        <v>0</v>
      </c>
      <c r="K1949" s="71" t="s">
        <v>302</v>
      </c>
      <c r="L1949" s="71">
        <f t="shared" si="270"/>
        <v>7</v>
      </c>
      <c r="M1949" s="71" t="str">
        <f>IFERROR(INDEX(KALENDER!$D$3:$D$132,MATCH(H1949,KALENDER!$A$3:$A$132,0)),"Di luar periode")</f>
        <v>Hari Kerja</v>
      </c>
      <c r="N1949" s="71">
        <f t="shared" si="271"/>
        <v>0</v>
      </c>
      <c r="O1949" s="71">
        <f t="shared" si="272"/>
        <v>1</v>
      </c>
      <c r="P1949" s="71">
        <f t="shared" si="273"/>
        <v>0</v>
      </c>
      <c r="Q1949" s="71">
        <f t="shared" si="274"/>
        <v>0</v>
      </c>
      <c r="R1949" s="71">
        <f t="shared" si="275"/>
        <v>0</v>
      </c>
      <c r="S1949" s="71">
        <f t="shared" si="276"/>
        <v>0</v>
      </c>
      <c r="T1949" s="71">
        <f t="shared" si="277"/>
        <v>0</v>
      </c>
      <c r="U1949" s="71">
        <f>IF(AND(N1949=1,V1949=1),IF(COUNTIFS(AKTIVITAS!$B$2:$B$3052,B1949,AKTIVITAS!$E$2:$E$3052,H1949)&gt;0,1,0),0)</f>
        <v>0</v>
      </c>
      <c r="V1949" s="71">
        <f>IFERROR(IF(AND(H1949&gt;=INDEX(PEMAGANG!$J$3:$J$36,MATCH(B1949,PEMAGANG!$C$3:$C$36,0)),H1949&lt;=INDEX(PEMAGANG!$K$3:$K$36,MATCH(B1949,PEMAGANG!$C$3:$C$36,0))),1,0),0)</f>
        <v>1</v>
      </c>
      <c r="W1949" s="71">
        <f t="shared" si="278"/>
        <v>0</v>
      </c>
    </row>
    <row r="1950" spans="1:23" x14ac:dyDescent="0.2">
      <c r="A1950" s="71" t="s">
        <v>252</v>
      </c>
      <c r="B1950" s="71" t="s">
        <v>253</v>
      </c>
      <c r="C1950" s="71" t="s">
        <v>187</v>
      </c>
      <c r="D1950" s="71" t="s">
        <v>251</v>
      </c>
      <c r="E1950" s="71" t="s">
        <v>42</v>
      </c>
      <c r="F1950" s="71" t="s">
        <v>298</v>
      </c>
      <c r="G1950" s="88">
        <v>46209.313692129603</v>
      </c>
      <c r="H1950" s="89">
        <v>46209</v>
      </c>
      <c r="I1950" s="71" t="s">
        <v>392</v>
      </c>
      <c r="J1950" s="71">
        <v>0.999999999999996</v>
      </c>
      <c r="K1950" s="71" t="s">
        <v>293</v>
      </c>
      <c r="L1950" s="71">
        <f t="shared" si="270"/>
        <v>7</v>
      </c>
      <c r="M1950" s="71" t="str">
        <f>IFERROR(INDEX(KALENDER!$D$3:$D$132,MATCH(H1950,KALENDER!$A$3:$A$132,0)),"Di luar periode")</f>
        <v>Hari Kerja</v>
      </c>
      <c r="N1950" s="71">
        <f t="shared" si="271"/>
        <v>1</v>
      </c>
      <c r="O1950" s="71">
        <f t="shared" si="272"/>
        <v>1</v>
      </c>
      <c r="P1950" s="71">
        <f t="shared" si="273"/>
        <v>1</v>
      </c>
      <c r="Q1950" s="71">
        <f t="shared" si="274"/>
        <v>0</v>
      </c>
      <c r="R1950" s="71">
        <f t="shared" si="275"/>
        <v>1</v>
      </c>
      <c r="S1950" s="71">
        <f t="shared" si="276"/>
        <v>0.999999999999996</v>
      </c>
      <c r="T1950" s="71">
        <f t="shared" si="277"/>
        <v>0</v>
      </c>
      <c r="U1950" s="71">
        <f>IF(AND(N1950=1,V1950=1),IF(COUNTIFS(AKTIVITAS!$B$2:$B$3052,B1950,AKTIVITAS!$E$2:$E$3052,H1950)&gt;0,1,0),0)</f>
        <v>1</v>
      </c>
      <c r="V1950" s="71">
        <f>IFERROR(IF(AND(H1950&gt;=INDEX(PEMAGANG!$J$3:$J$36,MATCH(B1950,PEMAGANG!$C$3:$C$36,0)),H1950&lt;=INDEX(PEMAGANG!$K$3:$K$36,MATCH(B1950,PEMAGANG!$C$3:$C$36,0))),1,0),0)</f>
        <v>1</v>
      </c>
      <c r="W1950" s="71">
        <f t="shared" si="278"/>
        <v>1</v>
      </c>
    </row>
    <row r="1951" spans="1:23" x14ac:dyDescent="0.2">
      <c r="A1951" s="71" t="s">
        <v>252</v>
      </c>
      <c r="B1951" s="71" t="s">
        <v>253</v>
      </c>
      <c r="C1951" s="71" t="s">
        <v>187</v>
      </c>
      <c r="D1951" s="71" t="s">
        <v>251</v>
      </c>
      <c r="E1951" s="71" t="s">
        <v>42</v>
      </c>
      <c r="F1951" s="71" t="s">
        <v>300</v>
      </c>
      <c r="G1951" s="88">
        <v>46209.688969907402</v>
      </c>
      <c r="H1951" s="89">
        <v>46209</v>
      </c>
      <c r="I1951" s="71" t="s">
        <v>306</v>
      </c>
      <c r="J1951" s="71">
        <v>0</v>
      </c>
      <c r="K1951" s="71" t="s">
        <v>302</v>
      </c>
      <c r="L1951" s="71">
        <f t="shared" si="270"/>
        <v>7</v>
      </c>
      <c r="M1951" s="71" t="str">
        <f>IFERROR(INDEX(KALENDER!$D$3:$D$132,MATCH(H1951,KALENDER!$A$3:$A$132,0)),"Di luar periode")</f>
        <v>Hari Kerja</v>
      </c>
      <c r="N1951" s="71">
        <f t="shared" si="271"/>
        <v>0</v>
      </c>
      <c r="O1951" s="71">
        <f t="shared" si="272"/>
        <v>1</v>
      </c>
      <c r="P1951" s="71">
        <f t="shared" si="273"/>
        <v>0</v>
      </c>
      <c r="Q1951" s="71">
        <f t="shared" si="274"/>
        <v>0</v>
      </c>
      <c r="R1951" s="71">
        <f t="shared" si="275"/>
        <v>0</v>
      </c>
      <c r="S1951" s="71">
        <f t="shared" si="276"/>
        <v>0</v>
      </c>
      <c r="T1951" s="71">
        <f t="shared" si="277"/>
        <v>0</v>
      </c>
      <c r="U1951" s="71">
        <f>IF(AND(N1951=1,V1951=1),IF(COUNTIFS(AKTIVITAS!$B$2:$B$3052,B1951,AKTIVITAS!$E$2:$E$3052,H1951)&gt;0,1,0),0)</f>
        <v>0</v>
      </c>
      <c r="V1951" s="71">
        <f>IFERROR(IF(AND(H1951&gt;=INDEX(PEMAGANG!$J$3:$J$36,MATCH(B1951,PEMAGANG!$C$3:$C$36,0)),H1951&lt;=INDEX(PEMAGANG!$K$3:$K$36,MATCH(B1951,PEMAGANG!$C$3:$C$36,0))),1,0),0)</f>
        <v>1</v>
      </c>
      <c r="W1951" s="71">
        <f t="shared" si="278"/>
        <v>0</v>
      </c>
    </row>
    <row r="1952" spans="1:23" x14ac:dyDescent="0.2">
      <c r="A1952" s="71" t="s">
        <v>252</v>
      </c>
      <c r="B1952" s="71" t="s">
        <v>253</v>
      </c>
      <c r="C1952" s="71" t="s">
        <v>187</v>
      </c>
      <c r="D1952" s="71" t="s">
        <v>251</v>
      </c>
      <c r="E1952" s="71" t="s">
        <v>42</v>
      </c>
      <c r="F1952" s="71" t="s">
        <v>298</v>
      </c>
      <c r="G1952" s="88">
        <v>46210.308888888903</v>
      </c>
      <c r="H1952" s="89">
        <v>46210</v>
      </c>
      <c r="I1952" s="71" t="s">
        <v>303</v>
      </c>
      <c r="J1952" s="71">
        <v>-5.9999999999999796</v>
      </c>
      <c r="K1952" s="71" t="s">
        <v>302</v>
      </c>
      <c r="L1952" s="71">
        <f t="shared" si="270"/>
        <v>7</v>
      </c>
      <c r="M1952" s="71" t="str">
        <f>IFERROR(INDEX(KALENDER!$D$3:$D$132,MATCH(H1952,KALENDER!$A$3:$A$132,0)),"Di luar periode")</f>
        <v>Hari Kerja</v>
      </c>
      <c r="N1952" s="71">
        <f t="shared" si="271"/>
        <v>1</v>
      </c>
      <c r="O1952" s="71">
        <f t="shared" si="272"/>
        <v>1</v>
      </c>
      <c r="P1952" s="71">
        <f t="shared" si="273"/>
        <v>1</v>
      </c>
      <c r="Q1952" s="71">
        <f t="shared" si="274"/>
        <v>0</v>
      </c>
      <c r="R1952" s="71">
        <f t="shared" si="275"/>
        <v>0</v>
      </c>
      <c r="S1952" s="71">
        <f t="shared" si="276"/>
        <v>0</v>
      </c>
      <c r="T1952" s="71">
        <f t="shared" si="277"/>
        <v>0</v>
      </c>
      <c r="U1952" s="71">
        <f>IF(AND(N1952=1,V1952=1),IF(COUNTIFS(AKTIVITAS!$B$2:$B$3052,B1952,AKTIVITAS!$E$2:$E$3052,H1952)&gt;0,1,0),0)</f>
        <v>1</v>
      </c>
      <c r="V1952" s="71">
        <f>IFERROR(IF(AND(H1952&gt;=INDEX(PEMAGANG!$J$3:$J$36,MATCH(B1952,PEMAGANG!$C$3:$C$36,0)),H1952&lt;=INDEX(PEMAGANG!$K$3:$K$36,MATCH(B1952,PEMAGANG!$C$3:$C$36,0))),1,0),0)</f>
        <v>1</v>
      </c>
      <c r="W1952" s="71">
        <f t="shared" si="278"/>
        <v>1</v>
      </c>
    </row>
    <row r="1953" spans="1:23" x14ac:dyDescent="0.2">
      <c r="A1953" s="71" t="s">
        <v>252</v>
      </c>
      <c r="B1953" s="71" t="s">
        <v>253</v>
      </c>
      <c r="C1953" s="71" t="s">
        <v>187</v>
      </c>
      <c r="D1953" s="71" t="s">
        <v>251</v>
      </c>
      <c r="E1953" s="71" t="s">
        <v>42</v>
      </c>
      <c r="F1953" s="71" t="s">
        <v>300</v>
      </c>
      <c r="G1953" s="88">
        <v>46210.688703703701</v>
      </c>
      <c r="H1953" s="89">
        <v>46210</v>
      </c>
      <c r="I1953" s="71" t="s">
        <v>336</v>
      </c>
      <c r="J1953" s="71">
        <v>0</v>
      </c>
      <c r="K1953" s="71" t="s">
        <v>302</v>
      </c>
      <c r="L1953" s="71">
        <f t="shared" si="270"/>
        <v>7</v>
      </c>
      <c r="M1953" s="71" t="str">
        <f>IFERROR(INDEX(KALENDER!$D$3:$D$132,MATCH(H1953,KALENDER!$A$3:$A$132,0)),"Di luar periode")</f>
        <v>Hari Kerja</v>
      </c>
      <c r="N1953" s="71">
        <f t="shared" si="271"/>
        <v>0</v>
      </c>
      <c r="O1953" s="71">
        <f t="shared" si="272"/>
        <v>1</v>
      </c>
      <c r="P1953" s="71">
        <f t="shared" si="273"/>
        <v>0</v>
      </c>
      <c r="Q1953" s="71">
        <f t="shared" si="274"/>
        <v>0</v>
      </c>
      <c r="R1953" s="71">
        <f t="shared" si="275"/>
        <v>0</v>
      </c>
      <c r="S1953" s="71">
        <f t="shared" si="276"/>
        <v>0</v>
      </c>
      <c r="T1953" s="71">
        <f t="shared" si="277"/>
        <v>0</v>
      </c>
      <c r="U1953" s="71">
        <f>IF(AND(N1953=1,V1953=1),IF(COUNTIFS(AKTIVITAS!$B$2:$B$3052,B1953,AKTIVITAS!$E$2:$E$3052,H1953)&gt;0,1,0),0)</f>
        <v>0</v>
      </c>
      <c r="V1953" s="71">
        <f>IFERROR(IF(AND(H1953&gt;=INDEX(PEMAGANG!$J$3:$J$36,MATCH(B1953,PEMAGANG!$C$3:$C$36,0)),H1953&lt;=INDEX(PEMAGANG!$K$3:$K$36,MATCH(B1953,PEMAGANG!$C$3:$C$36,0))),1,0),0)</f>
        <v>1</v>
      </c>
      <c r="W1953" s="71">
        <f t="shared" si="278"/>
        <v>0</v>
      </c>
    </row>
    <row r="1954" spans="1:23" x14ac:dyDescent="0.2">
      <c r="A1954" s="71" t="s">
        <v>252</v>
      </c>
      <c r="B1954" s="71" t="s">
        <v>253</v>
      </c>
      <c r="C1954" s="71" t="s">
        <v>187</v>
      </c>
      <c r="D1954" s="71" t="s">
        <v>251</v>
      </c>
      <c r="E1954" s="71" t="s">
        <v>42</v>
      </c>
      <c r="F1954" s="71" t="s">
        <v>298</v>
      </c>
      <c r="G1954" s="88">
        <v>46212.305659722202</v>
      </c>
      <c r="H1954" s="89">
        <v>46212</v>
      </c>
      <c r="I1954" s="71" t="s">
        <v>329</v>
      </c>
      <c r="J1954" s="71">
        <v>-10</v>
      </c>
      <c r="K1954" s="71" t="s">
        <v>302</v>
      </c>
      <c r="L1954" s="71">
        <f t="shared" si="270"/>
        <v>7</v>
      </c>
      <c r="M1954" s="71" t="str">
        <f>IFERROR(INDEX(KALENDER!$D$3:$D$132,MATCH(H1954,KALENDER!$A$3:$A$132,0)),"Di luar periode")</f>
        <v>Hari Kerja</v>
      </c>
      <c r="N1954" s="71">
        <f t="shared" si="271"/>
        <v>1</v>
      </c>
      <c r="O1954" s="71">
        <f t="shared" si="272"/>
        <v>1</v>
      </c>
      <c r="P1954" s="71">
        <f t="shared" si="273"/>
        <v>1</v>
      </c>
      <c r="Q1954" s="71">
        <f t="shared" si="274"/>
        <v>0</v>
      </c>
      <c r="R1954" s="71">
        <f t="shared" si="275"/>
        <v>0</v>
      </c>
      <c r="S1954" s="71">
        <f t="shared" si="276"/>
        <v>0</v>
      </c>
      <c r="T1954" s="71">
        <f t="shared" si="277"/>
        <v>0</v>
      </c>
      <c r="U1954" s="71">
        <f>IF(AND(N1954=1,V1954=1),IF(COUNTIFS(AKTIVITAS!$B$2:$B$3052,B1954,AKTIVITAS!$E$2:$E$3052,H1954)&gt;0,1,0),0)</f>
        <v>1</v>
      </c>
      <c r="V1954" s="71">
        <f>IFERROR(IF(AND(H1954&gt;=INDEX(PEMAGANG!$J$3:$J$36,MATCH(B1954,PEMAGANG!$C$3:$C$36,0)),H1954&lt;=INDEX(PEMAGANG!$K$3:$K$36,MATCH(B1954,PEMAGANG!$C$3:$C$36,0))),1,0),0)</f>
        <v>1</v>
      </c>
      <c r="W1954" s="71">
        <f t="shared" si="278"/>
        <v>1</v>
      </c>
    </row>
    <row r="1955" spans="1:23" x14ac:dyDescent="0.2">
      <c r="A1955" s="71" t="s">
        <v>252</v>
      </c>
      <c r="B1955" s="71" t="s">
        <v>253</v>
      </c>
      <c r="C1955" s="71" t="s">
        <v>187</v>
      </c>
      <c r="D1955" s="71" t="s">
        <v>251</v>
      </c>
      <c r="E1955" s="71" t="s">
        <v>42</v>
      </c>
      <c r="F1955" s="71" t="s">
        <v>300</v>
      </c>
      <c r="G1955" s="88">
        <v>46212.689513888901</v>
      </c>
      <c r="H1955" s="89">
        <v>46212</v>
      </c>
      <c r="I1955" s="71" t="s">
        <v>306</v>
      </c>
      <c r="J1955" s="71">
        <v>0</v>
      </c>
      <c r="K1955" s="71" t="s">
        <v>302</v>
      </c>
      <c r="L1955" s="71">
        <f t="shared" si="270"/>
        <v>7</v>
      </c>
      <c r="M1955" s="71" t="str">
        <f>IFERROR(INDEX(KALENDER!$D$3:$D$132,MATCH(H1955,KALENDER!$A$3:$A$132,0)),"Di luar periode")</f>
        <v>Hari Kerja</v>
      </c>
      <c r="N1955" s="71">
        <f t="shared" si="271"/>
        <v>0</v>
      </c>
      <c r="O1955" s="71">
        <f t="shared" si="272"/>
        <v>1</v>
      </c>
      <c r="P1955" s="71">
        <f t="shared" si="273"/>
        <v>0</v>
      </c>
      <c r="Q1955" s="71">
        <f t="shared" si="274"/>
        <v>0</v>
      </c>
      <c r="R1955" s="71">
        <f t="shared" si="275"/>
        <v>0</v>
      </c>
      <c r="S1955" s="71">
        <f t="shared" si="276"/>
        <v>0</v>
      </c>
      <c r="T1955" s="71">
        <f t="shared" si="277"/>
        <v>0</v>
      </c>
      <c r="U1955" s="71">
        <f>IF(AND(N1955=1,V1955=1),IF(COUNTIFS(AKTIVITAS!$B$2:$B$3052,B1955,AKTIVITAS!$E$2:$E$3052,H1955)&gt;0,1,0),0)</f>
        <v>0</v>
      </c>
      <c r="V1955" s="71">
        <f>IFERROR(IF(AND(H1955&gt;=INDEX(PEMAGANG!$J$3:$J$36,MATCH(B1955,PEMAGANG!$C$3:$C$36,0)),H1955&lt;=INDEX(PEMAGANG!$K$3:$K$36,MATCH(B1955,PEMAGANG!$C$3:$C$36,0))),1,0),0)</f>
        <v>1</v>
      </c>
      <c r="W1955" s="71">
        <f t="shared" si="278"/>
        <v>0</v>
      </c>
    </row>
    <row r="1956" spans="1:23" x14ac:dyDescent="0.2">
      <c r="A1956" s="71" t="s">
        <v>252</v>
      </c>
      <c r="B1956" s="71" t="s">
        <v>253</v>
      </c>
      <c r="C1956" s="71" t="s">
        <v>187</v>
      </c>
      <c r="D1956" s="71" t="s">
        <v>251</v>
      </c>
      <c r="E1956" s="71" t="s">
        <v>42</v>
      </c>
      <c r="F1956" s="71" t="s">
        <v>298</v>
      </c>
      <c r="G1956" s="88">
        <v>46213.309456018498</v>
      </c>
      <c r="H1956" s="89">
        <v>46213</v>
      </c>
      <c r="I1956" s="71" t="s">
        <v>307</v>
      </c>
      <c r="J1956" s="71">
        <v>-4.9999999999999796</v>
      </c>
      <c r="K1956" s="71" t="s">
        <v>302</v>
      </c>
      <c r="L1956" s="71">
        <f t="shared" si="270"/>
        <v>7</v>
      </c>
      <c r="M1956" s="71" t="str">
        <f>IFERROR(INDEX(KALENDER!$D$3:$D$132,MATCH(H1956,KALENDER!$A$3:$A$132,0)),"Di luar periode")</f>
        <v>Hari Kerja</v>
      </c>
      <c r="N1956" s="71">
        <f t="shared" si="271"/>
        <v>1</v>
      </c>
      <c r="O1956" s="71">
        <f t="shared" si="272"/>
        <v>1</v>
      </c>
      <c r="P1956" s="71">
        <f t="shared" si="273"/>
        <v>1</v>
      </c>
      <c r="Q1956" s="71">
        <f t="shared" si="274"/>
        <v>0</v>
      </c>
      <c r="R1956" s="71">
        <f t="shared" si="275"/>
        <v>0</v>
      </c>
      <c r="S1956" s="71">
        <f t="shared" si="276"/>
        <v>0</v>
      </c>
      <c r="T1956" s="71">
        <f t="shared" si="277"/>
        <v>0</v>
      </c>
      <c r="U1956" s="71">
        <f>IF(AND(N1956=1,V1956=1),IF(COUNTIFS(AKTIVITAS!$B$2:$B$3052,B1956,AKTIVITAS!$E$2:$E$3052,H1956)&gt;0,1,0),0)</f>
        <v>1</v>
      </c>
      <c r="V1956" s="71">
        <f>IFERROR(IF(AND(H1956&gt;=INDEX(PEMAGANG!$J$3:$J$36,MATCH(B1956,PEMAGANG!$C$3:$C$36,0)),H1956&lt;=INDEX(PEMAGANG!$K$3:$K$36,MATCH(B1956,PEMAGANG!$C$3:$C$36,0))),1,0),0)</f>
        <v>1</v>
      </c>
      <c r="W1956" s="71">
        <f t="shared" si="278"/>
        <v>1</v>
      </c>
    </row>
    <row r="1957" spans="1:23" x14ac:dyDescent="0.2">
      <c r="A1957" s="71" t="s">
        <v>252</v>
      </c>
      <c r="B1957" s="71" t="s">
        <v>253</v>
      </c>
      <c r="C1957" s="71" t="s">
        <v>187</v>
      </c>
      <c r="D1957" s="71" t="s">
        <v>251</v>
      </c>
      <c r="E1957" s="71" t="s">
        <v>42</v>
      </c>
      <c r="F1957" s="71" t="s">
        <v>300</v>
      </c>
      <c r="G1957" s="88">
        <v>46213.703831018502</v>
      </c>
      <c r="H1957" s="89">
        <v>46213</v>
      </c>
      <c r="I1957" s="71" t="s">
        <v>403</v>
      </c>
      <c r="J1957" s="71">
        <v>0</v>
      </c>
      <c r="K1957" s="71" t="s">
        <v>302</v>
      </c>
      <c r="L1957" s="71">
        <f t="shared" si="270"/>
        <v>7</v>
      </c>
      <c r="M1957" s="71" t="str">
        <f>IFERROR(INDEX(KALENDER!$D$3:$D$132,MATCH(H1957,KALENDER!$A$3:$A$132,0)),"Di luar periode")</f>
        <v>Hari Kerja</v>
      </c>
      <c r="N1957" s="71">
        <f t="shared" si="271"/>
        <v>0</v>
      </c>
      <c r="O1957" s="71">
        <f t="shared" si="272"/>
        <v>1</v>
      </c>
      <c r="P1957" s="71">
        <f t="shared" si="273"/>
        <v>0</v>
      </c>
      <c r="Q1957" s="71">
        <f t="shared" si="274"/>
        <v>0</v>
      </c>
      <c r="R1957" s="71">
        <f t="shared" si="275"/>
        <v>0</v>
      </c>
      <c r="S1957" s="71">
        <f t="shared" si="276"/>
        <v>0</v>
      </c>
      <c r="T1957" s="71">
        <f t="shared" si="277"/>
        <v>0</v>
      </c>
      <c r="U1957" s="71">
        <f>IF(AND(N1957=1,V1957=1),IF(COUNTIFS(AKTIVITAS!$B$2:$B$3052,B1957,AKTIVITAS!$E$2:$E$3052,H1957)&gt;0,1,0),0)</f>
        <v>0</v>
      </c>
      <c r="V1957" s="71">
        <f>IFERROR(IF(AND(H1957&gt;=INDEX(PEMAGANG!$J$3:$J$36,MATCH(B1957,PEMAGANG!$C$3:$C$36,0)),H1957&lt;=INDEX(PEMAGANG!$K$3:$K$36,MATCH(B1957,PEMAGANG!$C$3:$C$36,0))),1,0),0)</f>
        <v>1</v>
      </c>
      <c r="W1957" s="71">
        <f t="shared" si="278"/>
        <v>0</v>
      </c>
    </row>
    <row r="1958" spans="1:23" x14ac:dyDescent="0.2">
      <c r="A1958" s="71" t="s">
        <v>252</v>
      </c>
      <c r="B1958" s="71" t="s">
        <v>253</v>
      </c>
      <c r="C1958" s="71" t="s">
        <v>187</v>
      </c>
      <c r="D1958" s="71" t="s">
        <v>251</v>
      </c>
      <c r="E1958" s="71" t="s">
        <v>42</v>
      </c>
      <c r="F1958" s="71" t="s">
        <v>298</v>
      </c>
      <c r="G1958" s="88">
        <v>46216.307939814797</v>
      </c>
      <c r="H1958" s="89">
        <v>46216</v>
      </c>
      <c r="I1958" s="71" t="s">
        <v>311</v>
      </c>
      <c r="J1958" s="71">
        <v>-6.9999999999999796</v>
      </c>
      <c r="K1958" s="71" t="s">
        <v>302</v>
      </c>
      <c r="L1958" s="71">
        <f t="shared" si="270"/>
        <v>7</v>
      </c>
      <c r="M1958" s="71" t="str">
        <f>IFERROR(INDEX(KALENDER!$D$3:$D$132,MATCH(H1958,KALENDER!$A$3:$A$132,0)),"Di luar periode")</f>
        <v>Hari Kerja</v>
      </c>
      <c r="N1958" s="71">
        <f t="shared" si="271"/>
        <v>1</v>
      </c>
      <c r="O1958" s="71">
        <f t="shared" si="272"/>
        <v>1</v>
      </c>
      <c r="P1958" s="71">
        <f t="shared" si="273"/>
        <v>1</v>
      </c>
      <c r="Q1958" s="71">
        <f t="shared" si="274"/>
        <v>0</v>
      </c>
      <c r="R1958" s="71">
        <f t="shared" si="275"/>
        <v>0</v>
      </c>
      <c r="S1958" s="71">
        <f t="shared" si="276"/>
        <v>0</v>
      </c>
      <c r="T1958" s="71">
        <f t="shared" si="277"/>
        <v>0</v>
      </c>
      <c r="U1958" s="71">
        <f>IF(AND(N1958=1,V1958=1),IF(COUNTIFS(AKTIVITAS!$B$2:$B$3052,B1958,AKTIVITAS!$E$2:$E$3052,H1958)&gt;0,1,0),0)</f>
        <v>1</v>
      </c>
      <c r="V1958" s="71">
        <f>IFERROR(IF(AND(H1958&gt;=INDEX(PEMAGANG!$J$3:$J$36,MATCH(B1958,PEMAGANG!$C$3:$C$36,0)),H1958&lt;=INDEX(PEMAGANG!$K$3:$K$36,MATCH(B1958,PEMAGANG!$C$3:$C$36,0))),1,0),0)</f>
        <v>1</v>
      </c>
      <c r="W1958" s="71">
        <f t="shared" si="278"/>
        <v>1</v>
      </c>
    </row>
    <row r="1959" spans="1:23" x14ac:dyDescent="0.2">
      <c r="A1959" s="71" t="s">
        <v>252</v>
      </c>
      <c r="B1959" s="71" t="s">
        <v>253</v>
      </c>
      <c r="C1959" s="71" t="s">
        <v>187</v>
      </c>
      <c r="D1959" s="71" t="s">
        <v>251</v>
      </c>
      <c r="E1959" s="71" t="s">
        <v>42</v>
      </c>
      <c r="F1959" s="71" t="s">
        <v>300</v>
      </c>
      <c r="G1959" s="88">
        <v>46216.697928240697</v>
      </c>
      <c r="H1959" s="89">
        <v>46216</v>
      </c>
      <c r="I1959" s="71" t="s">
        <v>318</v>
      </c>
      <c r="J1959" s="71">
        <v>0</v>
      </c>
      <c r="K1959" s="71" t="s">
        <v>302</v>
      </c>
      <c r="L1959" s="71">
        <f t="shared" si="270"/>
        <v>7</v>
      </c>
      <c r="M1959" s="71" t="str">
        <f>IFERROR(INDEX(KALENDER!$D$3:$D$132,MATCH(H1959,KALENDER!$A$3:$A$132,0)),"Di luar periode")</f>
        <v>Hari Kerja</v>
      </c>
      <c r="N1959" s="71">
        <f t="shared" si="271"/>
        <v>0</v>
      </c>
      <c r="O1959" s="71">
        <f t="shared" si="272"/>
        <v>1</v>
      </c>
      <c r="P1959" s="71">
        <f t="shared" si="273"/>
        <v>0</v>
      </c>
      <c r="Q1959" s="71">
        <f t="shared" si="274"/>
        <v>0</v>
      </c>
      <c r="R1959" s="71">
        <f t="shared" si="275"/>
        <v>0</v>
      </c>
      <c r="S1959" s="71">
        <f t="shared" si="276"/>
        <v>0</v>
      </c>
      <c r="T1959" s="71">
        <f t="shared" si="277"/>
        <v>0</v>
      </c>
      <c r="U1959" s="71">
        <f>IF(AND(N1959=1,V1959=1),IF(COUNTIFS(AKTIVITAS!$B$2:$B$3052,B1959,AKTIVITAS!$E$2:$E$3052,H1959)&gt;0,1,0),0)</f>
        <v>0</v>
      </c>
      <c r="V1959" s="71">
        <f>IFERROR(IF(AND(H1959&gt;=INDEX(PEMAGANG!$J$3:$J$36,MATCH(B1959,PEMAGANG!$C$3:$C$36,0)),H1959&lt;=INDEX(PEMAGANG!$K$3:$K$36,MATCH(B1959,PEMAGANG!$C$3:$C$36,0))),1,0),0)</f>
        <v>1</v>
      </c>
      <c r="W1959" s="71">
        <f t="shared" si="278"/>
        <v>0</v>
      </c>
    </row>
    <row r="1960" spans="1:23" x14ac:dyDescent="0.2">
      <c r="A1960" s="71" t="s">
        <v>252</v>
      </c>
      <c r="B1960" s="71" t="s">
        <v>253</v>
      </c>
      <c r="C1960" s="71" t="s">
        <v>187</v>
      </c>
      <c r="D1960" s="71" t="s">
        <v>251</v>
      </c>
      <c r="E1960" s="71" t="s">
        <v>42</v>
      </c>
      <c r="F1960" s="71" t="s">
        <v>298</v>
      </c>
      <c r="G1960" s="88">
        <v>46217.316076388903</v>
      </c>
      <c r="H1960" s="89">
        <v>46217</v>
      </c>
      <c r="I1960" s="71" t="s">
        <v>339</v>
      </c>
      <c r="J1960" s="71">
        <v>4.9999999999999796</v>
      </c>
      <c r="K1960" s="71" t="s">
        <v>293</v>
      </c>
      <c r="L1960" s="71">
        <f t="shared" si="270"/>
        <v>7</v>
      </c>
      <c r="M1960" s="71" t="str">
        <f>IFERROR(INDEX(KALENDER!$D$3:$D$132,MATCH(H1960,KALENDER!$A$3:$A$132,0)),"Di luar periode")</f>
        <v>Hari Kerja</v>
      </c>
      <c r="N1960" s="71">
        <f t="shared" si="271"/>
        <v>1</v>
      </c>
      <c r="O1960" s="71">
        <f t="shared" si="272"/>
        <v>1</v>
      </c>
      <c r="P1960" s="71">
        <f t="shared" si="273"/>
        <v>1</v>
      </c>
      <c r="Q1960" s="71">
        <f t="shared" si="274"/>
        <v>0</v>
      </c>
      <c r="R1960" s="71">
        <f t="shared" si="275"/>
        <v>1</v>
      </c>
      <c r="S1960" s="71">
        <f t="shared" si="276"/>
        <v>4.9999999999999796</v>
      </c>
      <c r="T1960" s="71">
        <f t="shared" si="277"/>
        <v>0</v>
      </c>
      <c r="U1960" s="71">
        <f>IF(AND(N1960=1,V1960=1),IF(COUNTIFS(AKTIVITAS!$B$2:$B$3052,B1960,AKTIVITAS!$E$2:$E$3052,H1960)&gt;0,1,0),0)</f>
        <v>1</v>
      </c>
      <c r="V1960" s="71">
        <f>IFERROR(IF(AND(H1960&gt;=INDEX(PEMAGANG!$J$3:$J$36,MATCH(B1960,PEMAGANG!$C$3:$C$36,0)),H1960&lt;=INDEX(PEMAGANG!$K$3:$K$36,MATCH(B1960,PEMAGANG!$C$3:$C$36,0))),1,0),0)</f>
        <v>1</v>
      </c>
      <c r="W1960" s="71">
        <f t="shared" si="278"/>
        <v>1</v>
      </c>
    </row>
    <row r="1961" spans="1:23" x14ac:dyDescent="0.2">
      <c r="A1961" s="71" t="s">
        <v>252</v>
      </c>
      <c r="B1961" s="71" t="s">
        <v>253</v>
      </c>
      <c r="C1961" s="71" t="s">
        <v>187</v>
      </c>
      <c r="D1961" s="71" t="s">
        <v>251</v>
      </c>
      <c r="E1961" s="71" t="s">
        <v>42</v>
      </c>
      <c r="F1961" s="71" t="s">
        <v>300</v>
      </c>
      <c r="G1961" s="88">
        <v>46217.694293981498</v>
      </c>
      <c r="H1961" s="89">
        <v>46217</v>
      </c>
      <c r="I1961" s="71" t="s">
        <v>308</v>
      </c>
      <c r="J1961" s="71">
        <v>0</v>
      </c>
      <c r="K1961" s="71" t="s">
        <v>302</v>
      </c>
      <c r="L1961" s="71">
        <f t="shared" si="270"/>
        <v>7</v>
      </c>
      <c r="M1961" s="71" t="str">
        <f>IFERROR(INDEX(KALENDER!$D$3:$D$132,MATCH(H1961,KALENDER!$A$3:$A$132,0)),"Di luar periode")</f>
        <v>Hari Kerja</v>
      </c>
      <c r="N1961" s="71">
        <f t="shared" si="271"/>
        <v>0</v>
      </c>
      <c r="O1961" s="71">
        <f t="shared" si="272"/>
        <v>1</v>
      </c>
      <c r="P1961" s="71">
        <f t="shared" si="273"/>
        <v>0</v>
      </c>
      <c r="Q1961" s="71">
        <f t="shared" si="274"/>
        <v>0</v>
      </c>
      <c r="R1961" s="71">
        <f t="shared" si="275"/>
        <v>0</v>
      </c>
      <c r="S1961" s="71">
        <f t="shared" si="276"/>
        <v>0</v>
      </c>
      <c r="T1961" s="71">
        <f t="shared" si="277"/>
        <v>0</v>
      </c>
      <c r="U1961" s="71">
        <f>IF(AND(N1961=1,V1961=1),IF(COUNTIFS(AKTIVITAS!$B$2:$B$3052,B1961,AKTIVITAS!$E$2:$E$3052,H1961)&gt;0,1,0),0)</f>
        <v>0</v>
      </c>
      <c r="V1961" s="71">
        <f>IFERROR(IF(AND(H1961&gt;=INDEX(PEMAGANG!$J$3:$J$36,MATCH(B1961,PEMAGANG!$C$3:$C$36,0)),H1961&lt;=INDEX(PEMAGANG!$K$3:$K$36,MATCH(B1961,PEMAGANG!$C$3:$C$36,0))),1,0),0)</f>
        <v>1</v>
      </c>
      <c r="W1961" s="71">
        <f t="shared" si="278"/>
        <v>0</v>
      </c>
    </row>
    <row r="1962" spans="1:23" x14ac:dyDescent="0.2">
      <c r="A1962" s="71" t="s">
        <v>252</v>
      </c>
      <c r="B1962" s="71" t="s">
        <v>253</v>
      </c>
      <c r="C1962" s="71" t="s">
        <v>187</v>
      </c>
      <c r="D1962" s="71" t="s">
        <v>251</v>
      </c>
      <c r="E1962" s="71" t="s">
        <v>42</v>
      </c>
      <c r="F1962" s="71" t="s">
        <v>298</v>
      </c>
      <c r="G1962" s="88">
        <v>46219.3055439815</v>
      </c>
      <c r="H1962" s="89">
        <v>46219</v>
      </c>
      <c r="I1962" s="71" t="s">
        <v>321</v>
      </c>
      <c r="J1962" s="71">
        <v>-11</v>
      </c>
      <c r="K1962" s="71" t="s">
        <v>302</v>
      </c>
      <c r="L1962" s="71">
        <f t="shared" si="270"/>
        <v>7</v>
      </c>
      <c r="M1962" s="71" t="str">
        <f>IFERROR(INDEX(KALENDER!$D$3:$D$132,MATCH(H1962,KALENDER!$A$3:$A$132,0)),"Di luar periode")</f>
        <v>Hari Kerja</v>
      </c>
      <c r="N1962" s="71">
        <f t="shared" si="271"/>
        <v>1</v>
      </c>
      <c r="O1962" s="71">
        <f t="shared" si="272"/>
        <v>1</v>
      </c>
      <c r="P1962" s="71">
        <f t="shared" si="273"/>
        <v>1</v>
      </c>
      <c r="Q1962" s="71">
        <f t="shared" si="274"/>
        <v>0</v>
      </c>
      <c r="R1962" s="71">
        <f t="shared" si="275"/>
        <v>0</v>
      </c>
      <c r="S1962" s="71">
        <f t="shared" si="276"/>
        <v>0</v>
      </c>
      <c r="T1962" s="71">
        <f t="shared" si="277"/>
        <v>0</v>
      </c>
      <c r="U1962" s="71">
        <f>IF(AND(N1962=1,V1962=1),IF(COUNTIFS(AKTIVITAS!$B$2:$B$3052,B1962,AKTIVITAS!$E$2:$E$3052,H1962)&gt;0,1,0),0)</f>
        <v>1</v>
      </c>
      <c r="V1962" s="71">
        <f>IFERROR(IF(AND(H1962&gt;=INDEX(PEMAGANG!$J$3:$J$36,MATCH(B1962,PEMAGANG!$C$3:$C$36,0)),H1962&lt;=INDEX(PEMAGANG!$K$3:$K$36,MATCH(B1962,PEMAGANG!$C$3:$C$36,0))),1,0),0)</f>
        <v>1</v>
      </c>
      <c r="W1962" s="71">
        <f t="shared" si="278"/>
        <v>1</v>
      </c>
    </row>
    <row r="1963" spans="1:23" x14ac:dyDescent="0.2">
      <c r="A1963" s="71" t="s">
        <v>252</v>
      </c>
      <c r="B1963" s="71" t="s">
        <v>253</v>
      </c>
      <c r="C1963" s="71" t="s">
        <v>187</v>
      </c>
      <c r="D1963" s="71" t="s">
        <v>251</v>
      </c>
      <c r="E1963" s="71" t="s">
        <v>42</v>
      </c>
      <c r="F1963" s="71" t="s">
        <v>300</v>
      </c>
      <c r="G1963" s="88">
        <v>46219.689085648199</v>
      </c>
      <c r="H1963" s="89">
        <v>46219</v>
      </c>
      <c r="I1963" s="71" t="s">
        <v>306</v>
      </c>
      <c r="J1963" s="71">
        <v>0</v>
      </c>
      <c r="K1963" s="71" t="s">
        <v>302</v>
      </c>
      <c r="L1963" s="71">
        <f t="shared" si="270"/>
        <v>7</v>
      </c>
      <c r="M1963" s="71" t="str">
        <f>IFERROR(INDEX(KALENDER!$D$3:$D$132,MATCH(H1963,KALENDER!$A$3:$A$132,0)),"Di luar periode")</f>
        <v>Hari Kerja</v>
      </c>
      <c r="N1963" s="71">
        <f t="shared" si="271"/>
        <v>0</v>
      </c>
      <c r="O1963" s="71">
        <f t="shared" si="272"/>
        <v>1</v>
      </c>
      <c r="P1963" s="71">
        <f t="shared" si="273"/>
        <v>0</v>
      </c>
      <c r="Q1963" s="71">
        <f t="shared" si="274"/>
        <v>0</v>
      </c>
      <c r="R1963" s="71">
        <f t="shared" si="275"/>
        <v>0</v>
      </c>
      <c r="S1963" s="71">
        <f t="shared" si="276"/>
        <v>0</v>
      </c>
      <c r="T1963" s="71">
        <f t="shared" si="277"/>
        <v>0</v>
      </c>
      <c r="U1963" s="71">
        <f>IF(AND(N1963=1,V1963=1),IF(COUNTIFS(AKTIVITAS!$B$2:$B$3052,B1963,AKTIVITAS!$E$2:$E$3052,H1963)&gt;0,1,0),0)</f>
        <v>0</v>
      </c>
      <c r="V1963" s="71">
        <f>IFERROR(IF(AND(H1963&gt;=INDEX(PEMAGANG!$J$3:$J$36,MATCH(B1963,PEMAGANG!$C$3:$C$36,0)),H1963&lt;=INDEX(PEMAGANG!$K$3:$K$36,MATCH(B1963,PEMAGANG!$C$3:$C$36,0))),1,0),0)</f>
        <v>1</v>
      </c>
      <c r="W1963" s="71">
        <f t="shared" si="278"/>
        <v>0</v>
      </c>
    </row>
    <row r="1964" spans="1:23" x14ac:dyDescent="0.2">
      <c r="A1964" s="71" t="s">
        <v>252</v>
      </c>
      <c r="B1964" s="71" t="s">
        <v>253</v>
      </c>
      <c r="C1964" s="71" t="s">
        <v>187</v>
      </c>
      <c r="D1964" s="71" t="s">
        <v>251</v>
      </c>
      <c r="E1964" s="71" t="s">
        <v>42</v>
      </c>
      <c r="F1964" s="71" t="s">
        <v>298</v>
      </c>
      <c r="G1964" s="88">
        <v>46220.307453703703</v>
      </c>
      <c r="H1964" s="89">
        <v>46220</v>
      </c>
      <c r="I1964" s="71" t="s">
        <v>313</v>
      </c>
      <c r="J1964" s="71">
        <v>-8.0000000000000497</v>
      </c>
      <c r="K1964" s="71" t="s">
        <v>302</v>
      </c>
      <c r="L1964" s="71">
        <f t="shared" si="270"/>
        <v>7</v>
      </c>
      <c r="M1964" s="71" t="str">
        <f>IFERROR(INDEX(KALENDER!$D$3:$D$132,MATCH(H1964,KALENDER!$A$3:$A$132,0)),"Di luar periode")</f>
        <v>Hari Kerja</v>
      </c>
      <c r="N1964" s="71">
        <f t="shared" si="271"/>
        <v>1</v>
      </c>
      <c r="O1964" s="71">
        <f t="shared" si="272"/>
        <v>1</v>
      </c>
      <c r="P1964" s="71">
        <f t="shared" si="273"/>
        <v>1</v>
      </c>
      <c r="Q1964" s="71">
        <f t="shared" si="274"/>
        <v>0</v>
      </c>
      <c r="R1964" s="71">
        <f t="shared" si="275"/>
        <v>0</v>
      </c>
      <c r="S1964" s="71">
        <f t="shared" si="276"/>
        <v>0</v>
      </c>
      <c r="T1964" s="71">
        <f t="shared" si="277"/>
        <v>0</v>
      </c>
      <c r="U1964" s="71">
        <f>IF(AND(N1964=1,V1964=1),IF(COUNTIFS(AKTIVITAS!$B$2:$B$3052,B1964,AKTIVITAS!$E$2:$E$3052,H1964)&gt;0,1,0),0)</f>
        <v>1</v>
      </c>
      <c r="V1964" s="71">
        <f>IFERROR(IF(AND(H1964&gt;=INDEX(PEMAGANG!$J$3:$J$36,MATCH(B1964,PEMAGANG!$C$3:$C$36,0)),H1964&lt;=INDEX(PEMAGANG!$K$3:$K$36,MATCH(B1964,PEMAGANG!$C$3:$C$36,0))),1,0),0)</f>
        <v>1</v>
      </c>
      <c r="W1964" s="71">
        <f t="shared" si="278"/>
        <v>1</v>
      </c>
    </row>
    <row r="1965" spans="1:23" x14ac:dyDescent="0.2">
      <c r="A1965" s="71" t="s">
        <v>252</v>
      </c>
      <c r="B1965" s="71" t="s">
        <v>253</v>
      </c>
      <c r="C1965" s="71" t="s">
        <v>187</v>
      </c>
      <c r="D1965" s="71" t="s">
        <v>251</v>
      </c>
      <c r="E1965" s="71" t="s">
        <v>42</v>
      </c>
      <c r="F1965" s="71" t="s">
        <v>300</v>
      </c>
      <c r="G1965" s="88">
        <v>46220.692314814798</v>
      </c>
      <c r="H1965" s="89">
        <v>46220</v>
      </c>
      <c r="I1965" s="71" t="s">
        <v>344</v>
      </c>
      <c r="J1965" s="71">
        <v>0</v>
      </c>
      <c r="K1965" s="71" t="s">
        <v>302</v>
      </c>
      <c r="L1965" s="71">
        <f t="shared" si="270"/>
        <v>7</v>
      </c>
      <c r="M1965" s="71" t="str">
        <f>IFERROR(INDEX(KALENDER!$D$3:$D$132,MATCH(H1965,KALENDER!$A$3:$A$132,0)),"Di luar periode")</f>
        <v>Hari Kerja</v>
      </c>
      <c r="N1965" s="71">
        <f t="shared" si="271"/>
        <v>0</v>
      </c>
      <c r="O1965" s="71">
        <f t="shared" si="272"/>
        <v>1</v>
      </c>
      <c r="P1965" s="71">
        <f t="shared" si="273"/>
        <v>0</v>
      </c>
      <c r="Q1965" s="71">
        <f t="shared" si="274"/>
        <v>0</v>
      </c>
      <c r="R1965" s="71">
        <f t="shared" si="275"/>
        <v>0</v>
      </c>
      <c r="S1965" s="71">
        <f t="shared" si="276"/>
        <v>0</v>
      </c>
      <c r="T1965" s="71">
        <f t="shared" si="277"/>
        <v>0</v>
      </c>
      <c r="U1965" s="71">
        <f>IF(AND(N1965=1,V1965=1),IF(COUNTIFS(AKTIVITAS!$B$2:$B$3052,B1965,AKTIVITAS!$E$2:$E$3052,H1965)&gt;0,1,0),0)</f>
        <v>0</v>
      </c>
      <c r="V1965" s="71">
        <f>IFERROR(IF(AND(H1965&gt;=INDEX(PEMAGANG!$J$3:$J$36,MATCH(B1965,PEMAGANG!$C$3:$C$36,0)),H1965&lt;=INDEX(PEMAGANG!$K$3:$K$36,MATCH(B1965,PEMAGANG!$C$3:$C$36,0))),1,0),0)</f>
        <v>1</v>
      </c>
      <c r="W1965" s="71">
        <f t="shared" si="278"/>
        <v>0</v>
      </c>
    </row>
    <row r="1966" spans="1:23" x14ac:dyDescent="0.2">
      <c r="A1966" s="71" t="s">
        <v>252</v>
      </c>
      <c r="B1966" s="71" t="s">
        <v>253</v>
      </c>
      <c r="C1966" s="71" t="s">
        <v>187</v>
      </c>
      <c r="D1966" s="71" t="s">
        <v>251</v>
      </c>
      <c r="E1966" s="71" t="s">
        <v>42</v>
      </c>
      <c r="F1966" s="71" t="s">
        <v>298</v>
      </c>
      <c r="G1966" s="88">
        <v>46223.306898148199</v>
      </c>
      <c r="H1966" s="89">
        <v>46223</v>
      </c>
      <c r="I1966" s="71" t="s">
        <v>305</v>
      </c>
      <c r="J1966" s="71">
        <v>-9.0000000000000497</v>
      </c>
      <c r="K1966" s="71" t="s">
        <v>302</v>
      </c>
      <c r="L1966" s="71">
        <f t="shared" si="270"/>
        <v>7</v>
      </c>
      <c r="M1966" s="71" t="str">
        <f>IFERROR(INDEX(KALENDER!$D$3:$D$132,MATCH(H1966,KALENDER!$A$3:$A$132,0)),"Di luar periode")</f>
        <v>Hari Kerja</v>
      </c>
      <c r="N1966" s="71">
        <f t="shared" si="271"/>
        <v>1</v>
      </c>
      <c r="O1966" s="71">
        <f t="shared" si="272"/>
        <v>1</v>
      </c>
      <c r="P1966" s="71">
        <f t="shared" si="273"/>
        <v>1</v>
      </c>
      <c r="Q1966" s="71">
        <f t="shared" si="274"/>
        <v>0</v>
      </c>
      <c r="R1966" s="71">
        <f t="shared" si="275"/>
        <v>0</v>
      </c>
      <c r="S1966" s="71">
        <f t="shared" si="276"/>
        <v>0</v>
      </c>
      <c r="T1966" s="71">
        <f t="shared" si="277"/>
        <v>0</v>
      </c>
      <c r="U1966" s="71">
        <f>IF(AND(N1966=1,V1966=1),IF(COUNTIFS(AKTIVITAS!$B$2:$B$3052,B1966,AKTIVITAS!$E$2:$E$3052,H1966)&gt;0,1,0),0)</f>
        <v>1</v>
      </c>
      <c r="V1966" s="71">
        <f>IFERROR(IF(AND(H1966&gt;=INDEX(PEMAGANG!$J$3:$J$36,MATCH(B1966,PEMAGANG!$C$3:$C$36,0)),H1966&lt;=INDEX(PEMAGANG!$K$3:$K$36,MATCH(B1966,PEMAGANG!$C$3:$C$36,0))),1,0),0)</f>
        <v>1</v>
      </c>
      <c r="W1966" s="71">
        <f t="shared" si="278"/>
        <v>1</v>
      </c>
    </row>
    <row r="1967" spans="1:23" x14ac:dyDescent="0.2">
      <c r="A1967" s="71" t="s">
        <v>252</v>
      </c>
      <c r="B1967" s="71" t="s">
        <v>253</v>
      </c>
      <c r="C1967" s="71" t="s">
        <v>187</v>
      </c>
      <c r="D1967" s="71" t="s">
        <v>251</v>
      </c>
      <c r="E1967" s="71" t="s">
        <v>42</v>
      </c>
      <c r="F1967" s="71" t="s">
        <v>300</v>
      </c>
      <c r="G1967" s="88">
        <v>46223.693229166704</v>
      </c>
      <c r="H1967" s="89">
        <v>46223</v>
      </c>
      <c r="I1967" s="71" t="s">
        <v>317</v>
      </c>
      <c r="J1967" s="71">
        <v>0</v>
      </c>
      <c r="K1967" s="71" t="s">
        <v>302</v>
      </c>
      <c r="L1967" s="71">
        <f t="shared" si="270"/>
        <v>7</v>
      </c>
      <c r="M1967" s="71" t="str">
        <f>IFERROR(INDEX(KALENDER!$D$3:$D$132,MATCH(H1967,KALENDER!$A$3:$A$132,0)),"Di luar periode")</f>
        <v>Hari Kerja</v>
      </c>
      <c r="N1967" s="71">
        <f t="shared" si="271"/>
        <v>0</v>
      </c>
      <c r="O1967" s="71">
        <f t="shared" si="272"/>
        <v>1</v>
      </c>
      <c r="P1967" s="71">
        <f t="shared" si="273"/>
        <v>0</v>
      </c>
      <c r="Q1967" s="71">
        <f t="shared" si="274"/>
        <v>0</v>
      </c>
      <c r="R1967" s="71">
        <f t="shared" si="275"/>
        <v>0</v>
      </c>
      <c r="S1967" s="71">
        <f t="shared" si="276"/>
        <v>0</v>
      </c>
      <c r="T1967" s="71">
        <f t="shared" si="277"/>
        <v>0</v>
      </c>
      <c r="U1967" s="71">
        <f>IF(AND(N1967=1,V1967=1),IF(COUNTIFS(AKTIVITAS!$B$2:$B$3052,B1967,AKTIVITAS!$E$2:$E$3052,H1967)&gt;0,1,0),0)</f>
        <v>0</v>
      </c>
      <c r="V1967" s="71">
        <f>IFERROR(IF(AND(H1967&gt;=INDEX(PEMAGANG!$J$3:$J$36,MATCH(B1967,PEMAGANG!$C$3:$C$36,0)),H1967&lt;=INDEX(PEMAGANG!$K$3:$K$36,MATCH(B1967,PEMAGANG!$C$3:$C$36,0))),1,0),0)</f>
        <v>1</v>
      </c>
      <c r="W1967" s="71">
        <f t="shared" si="278"/>
        <v>0</v>
      </c>
    </row>
    <row r="1968" spans="1:23" x14ac:dyDescent="0.2">
      <c r="A1968" s="71" t="s">
        <v>252</v>
      </c>
      <c r="B1968" s="71" t="s">
        <v>253</v>
      </c>
      <c r="C1968" s="71" t="s">
        <v>187</v>
      </c>
      <c r="D1968" s="71" t="s">
        <v>251</v>
      </c>
      <c r="E1968" s="71" t="s">
        <v>42</v>
      </c>
      <c r="F1968" s="71" t="s">
        <v>298</v>
      </c>
      <c r="G1968" s="88">
        <v>46224.309293981503</v>
      </c>
      <c r="H1968" s="89">
        <v>46224</v>
      </c>
      <c r="I1968" s="71" t="s">
        <v>307</v>
      </c>
      <c r="J1968" s="71">
        <v>-4.9999999999999796</v>
      </c>
      <c r="K1968" s="71" t="s">
        <v>302</v>
      </c>
      <c r="L1968" s="71">
        <f t="shared" si="270"/>
        <v>7</v>
      </c>
      <c r="M1968" s="71" t="str">
        <f>IFERROR(INDEX(KALENDER!$D$3:$D$132,MATCH(H1968,KALENDER!$A$3:$A$132,0)),"Di luar periode")</f>
        <v>Hari Kerja</v>
      </c>
      <c r="N1968" s="71">
        <f t="shared" si="271"/>
        <v>1</v>
      </c>
      <c r="O1968" s="71">
        <f t="shared" si="272"/>
        <v>1</v>
      </c>
      <c r="P1968" s="71">
        <f t="shared" si="273"/>
        <v>1</v>
      </c>
      <c r="Q1968" s="71">
        <f t="shared" si="274"/>
        <v>0</v>
      </c>
      <c r="R1968" s="71">
        <f t="shared" si="275"/>
        <v>0</v>
      </c>
      <c r="S1968" s="71">
        <f t="shared" si="276"/>
        <v>0</v>
      </c>
      <c r="T1968" s="71">
        <f t="shared" si="277"/>
        <v>0</v>
      </c>
      <c r="U1968" s="71">
        <f>IF(AND(N1968=1,V1968=1),IF(COUNTIFS(AKTIVITAS!$B$2:$B$3052,B1968,AKTIVITAS!$E$2:$E$3052,H1968)&gt;0,1,0),0)</f>
        <v>1</v>
      </c>
      <c r="V1968" s="71">
        <f>IFERROR(IF(AND(H1968&gt;=INDEX(PEMAGANG!$J$3:$J$36,MATCH(B1968,PEMAGANG!$C$3:$C$36,0)),H1968&lt;=INDEX(PEMAGANG!$K$3:$K$36,MATCH(B1968,PEMAGANG!$C$3:$C$36,0))),1,0),0)</f>
        <v>1</v>
      </c>
      <c r="W1968" s="71">
        <f t="shared" si="278"/>
        <v>1</v>
      </c>
    </row>
    <row r="1969" spans="1:23" x14ac:dyDescent="0.2">
      <c r="A1969" s="71" t="s">
        <v>252</v>
      </c>
      <c r="B1969" s="71" t="s">
        <v>253</v>
      </c>
      <c r="C1969" s="71" t="s">
        <v>187</v>
      </c>
      <c r="D1969" s="71" t="s">
        <v>251</v>
      </c>
      <c r="E1969" s="71" t="s">
        <v>42</v>
      </c>
      <c r="F1969" s="71" t="s">
        <v>300</v>
      </c>
      <c r="G1969" s="88">
        <v>46224.689050925903</v>
      </c>
      <c r="H1969" s="89">
        <v>46224</v>
      </c>
      <c r="I1969" s="71" t="s">
        <v>306</v>
      </c>
      <c r="J1969" s="71">
        <v>0</v>
      </c>
      <c r="K1969" s="71" t="s">
        <v>302</v>
      </c>
      <c r="L1969" s="71">
        <f t="shared" si="270"/>
        <v>7</v>
      </c>
      <c r="M1969" s="71" t="str">
        <f>IFERROR(INDEX(KALENDER!$D$3:$D$132,MATCH(H1969,KALENDER!$A$3:$A$132,0)),"Di luar periode")</f>
        <v>Hari Kerja</v>
      </c>
      <c r="N1969" s="71">
        <f t="shared" si="271"/>
        <v>0</v>
      </c>
      <c r="O1969" s="71">
        <f t="shared" si="272"/>
        <v>1</v>
      </c>
      <c r="P1969" s="71">
        <f t="shared" si="273"/>
        <v>0</v>
      </c>
      <c r="Q1969" s="71">
        <f t="shared" si="274"/>
        <v>0</v>
      </c>
      <c r="R1969" s="71">
        <f t="shared" si="275"/>
        <v>0</v>
      </c>
      <c r="S1969" s="71">
        <f t="shared" si="276"/>
        <v>0</v>
      </c>
      <c r="T1969" s="71">
        <f t="shared" si="277"/>
        <v>0</v>
      </c>
      <c r="U1969" s="71">
        <f>IF(AND(N1969=1,V1969=1),IF(COUNTIFS(AKTIVITAS!$B$2:$B$3052,B1969,AKTIVITAS!$E$2:$E$3052,H1969)&gt;0,1,0),0)</f>
        <v>0</v>
      </c>
      <c r="V1969" s="71">
        <f>IFERROR(IF(AND(H1969&gt;=INDEX(PEMAGANG!$J$3:$J$36,MATCH(B1969,PEMAGANG!$C$3:$C$36,0)),H1969&lt;=INDEX(PEMAGANG!$K$3:$K$36,MATCH(B1969,PEMAGANG!$C$3:$C$36,0))),1,0),0)</f>
        <v>1</v>
      </c>
      <c r="W1969" s="71">
        <f t="shared" si="278"/>
        <v>0</v>
      </c>
    </row>
    <row r="1970" spans="1:23" x14ac:dyDescent="0.2">
      <c r="A1970" s="71" t="s">
        <v>252</v>
      </c>
      <c r="B1970" s="71" t="s">
        <v>253</v>
      </c>
      <c r="C1970" s="71" t="s">
        <v>187</v>
      </c>
      <c r="D1970" s="71" t="s">
        <v>251</v>
      </c>
      <c r="E1970" s="71" t="s">
        <v>42</v>
      </c>
      <c r="F1970" s="71" t="s">
        <v>298</v>
      </c>
      <c r="G1970" s="88">
        <v>46226.310752314799</v>
      </c>
      <c r="H1970" s="89">
        <v>46226</v>
      </c>
      <c r="I1970" s="71" t="s">
        <v>309</v>
      </c>
      <c r="J1970" s="71">
        <v>-2.9999999999999898</v>
      </c>
      <c r="K1970" s="71" t="s">
        <v>302</v>
      </c>
      <c r="L1970" s="71">
        <f t="shared" si="270"/>
        <v>7</v>
      </c>
      <c r="M1970" s="71" t="str">
        <f>IFERROR(INDEX(KALENDER!$D$3:$D$132,MATCH(H1970,KALENDER!$A$3:$A$132,0)),"Di luar periode")</f>
        <v>Hari Kerja</v>
      </c>
      <c r="N1970" s="71">
        <f t="shared" si="271"/>
        <v>1</v>
      </c>
      <c r="O1970" s="71">
        <f t="shared" si="272"/>
        <v>1</v>
      </c>
      <c r="P1970" s="71">
        <f t="shared" si="273"/>
        <v>1</v>
      </c>
      <c r="Q1970" s="71">
        <f t="shared" si="274"/>
        <v>0</v>
      </c>
      <c r="R1970" s="71">
        <f t="shared" si="275"/>
        <v>0</v>
      </c>
      <c r="S1970" s="71">
        <f t="shared" si="276"/>
        <v>0</v>
      </c>
      <c r="T1970" s="71">
        <f t="shared" si="277"/>
        <v>0</v>
      </c>
      <c r="U1970" s="71">
        <f>IF(AND(N1970=1,V1970=1),IF(COUNTIFS(AKTIVITAS!$B$2:$B$3052,B1970,AKTIVITAS!$E$2:$E$3052,H1970)&gt;0,1,0),0)</f>
        <v>1</v>
      </c>
      <c r="V1970" s="71">
        <f>IFERROR(IF(AND(H1970&gt;=INDEX(PEMAGANG!$J$3:$J$36,MATCH(B1970,PEMAGANG!$C$3:$C$36,0)),H1970&lt;=INDEX(PEMAGANG!$K$3:$K$36,MATCH(B1970,PEMAGANG!$C$3:$C$36,0))),1,0),0)</f>
        <v>1</v>
      </c>
      <c r="W1970" s="71">
        <f t="shared" si="278"/>
        <v>1</v>
      </c>
    </row>
    <row r="1971" spans="1:23" x14ac:dyDescent="0.2">
      <c r="A1971" s="71" t="s">
        <v>252</v>
      </c>
      <c r="B1971" s="71" t="s">
        <v>253</v>
      </c>
      <c r="C1971" s="71" t="s">
        <v>187</v>
      </c>
      <c r="D1971" s="71" t="s">
        <v>251</v>
      </c>
      <c r="E1971" s="71" t="s">
        <v>42</v>
      </c>
      <c r="F1971" s="71" t="s">
        <v>300</v>
      </c>
      <c r="G1971" s="88">
        <v>46226.690729166701</v>
      </c>
      <c r="H1971" s="89">
        <v>46226</v>
      </c>
      <c r="I1971" s="71" t="s">
        <v>314</v>
      </c>
      <c r="J1971" s="71">
        <v>0</v>
      </c>
      <c r="K1971" s="71" t="s">
        <v>302</v>
      </c>
      <c r="L1971" s="71">
        <f t="shared" si="270"/>
        <v>7</v>
      </c>
      <c r="M1971" s="71" t="str">
        <f>IFERROR(INDEX(KALENDER!$D$3:$D$132,MATCH(H1971,KALENDER!$A$3:$A$132,0)),"Di luar periode")</f>
        <v>Hari Kerja</v>
      </c>
      <c r="N1971" s="71">
        <f t="shared" si="271"/>
        <v>0</v>
      </c>
      <c r="O1971" s="71">
        <f t="shared" si="272"/>
        <v>1</v>
      </c>
      <c r="P1971" s="71">
        <f t="shared" si="273"/>
        <v>0</v>
      </c>
      <c r="Q1971" s="71">
        <f t="shared" si="274"/>
        <v>0</v>
      </c>
      <c r="R1971" s="71">
        <f t="shared" si="275"/>
        <v>0</v>
      </c>
      <c r="S1971" s="71">
        <f t="shared" si="276"/>
        <v>0</v>
      </c>
      <c r="T1971" s="71">
        <f t="shared" si="277"/>
        <v>0</v>
      </c>
      <c r="U1971" s="71">
        <f>IF(AND(N1971=1,V1971=1),IF(COUNTIFS(AKTIVITAS!$B$2:$B$3052,B1971,AKTIVITAS!$E$2:$E$3052,H1971)&gt;0,1,0),0)</f>
        <v>0</v>
      </c>
      <c r="V1971" s="71">
        <f>IFERROR(IF(AND(H1971&gt;=INDEX(PEMAGANG!$J$3:$J$36,MATCH(B1971,PEMAGANG!$C$3:$C$36,0)),H1971&lt;=INDEX(PEMAGANG!$K$3:$K$36,MATCH(B1971,PEMAGANG!$C$3:$C$36,0))),1,0),0)</f>
        <v>1</v>
      </c>
      <c r="W1971" s="71">
        <f t="shared" si="278"/>
        <v>0</v>
      </c>
    </row>
    <row r="1972" spans="1:23" x14ac:dyDescent="0.2">
      <c r="A1972" s="71" t="s">
        <v>252</v>
      </c>
      <c r="B1972" s="71" t="s">
        <v>253</v>
      </c>
      <c r="C1972" s="71" t="s">
        <v>187</v>
      </c>
      <c r="D1972" s="71" t="s">
        <v>251</v>
      </c>
      <c r="E1972" s="71" t="s">
        <v>42</v>
      </c>
      <c r="F1972" s="71" t="s">
        <v>298</v>
      </c>
      <c r="G1972" s="88">
        <v>46227.307997685202</v>
      </c>
      <c r="H1972" s="89">
        <v>46227</v>
      </c>
      <c r="I1972" s="71" t="s">
        <v>311</v>
      </c>
      <c r="J1972" s="71">
        <v>-6.9999999999999796</v>
      </c>
      <c r="K1972" s="71" t="s">
        <v>302</v>
      </c>
      <c r="L1972" s="71">
        <f t="shared" si="270"/>
        <v>7</v>
      </c>
      <c r="M1972" s="71" t="str">
        <f>IFERROR(INDEX(KALENDER!$D$3:$D$132,MATCH(H1972,KALENDER!$A$3:$A$132,0)),"Di luar periode")</f>
        <v>Hari Kerja</v>
      </c>
      <c r="N1972" s="71">
        <f t="shared" si="271"/>
        <v>1</v>
      </c>
      <c r="O1972" s="71">
        <f t="shared" si="272"/>
        <v>1</v>
      </c>
      <c r="P1972" s="71">
        <f t="shared" si="273"/>
        <v>1</v>
      </c>
      <c r="Q1972" s="71">
        <f t="shared" si="274"/>
        <v>0</v>
      </c>
      <c r="R1972" s="71">
        <f t="shared" si="275"/>
        <v>0</v>
      </c>
      <c r="S1972" s="71">
        <f t="shared" si="276"/>
        <v>0</v>
      </c>
      <c r="T1972" s="71">
        <f t="shared" si="277"/>
        <v>0</v>
      </c>
      <c r="U1972" s="71">
        <f>IF(AND(N1972=1,V1972=1),IF(COUNTIFS(AKTIVITAS!$B$2:$B$3052,B1972,AKTIVITAS!$E$2:$E$3052,H1972)&gt;0,1,0),0)</f>
        <v>1</v>
      </c>
      <c r="V1972" s="71">
        <f>IFERROR(IF(AND(H1972&gt;=INDEX(PEMAGANG!$J$3:$J$36,MATCH(B1972,PEMAGANG!$C$3:$C$36,0)),H1972&lt;=INDEX(PEMAGANG!$K$3:$K$36,MATCH(B1972,PEMAGANG!$C$3:$C$36,0))),1,0),0)</f>
        <v>1</v>
      </c>
      <c r="W1972" s="71">
        <f t="shared" si="278"/>
        <v>1</v>
      </c>
    </row>
    <row r="1973" spans="1:23" x14ac:dyDescent="0.2">
      <c r="A1973" s="71" t="s">
        <v>252</v>
      </c>
      <c r="B1973" s="71" t="s">
        <v>253</v>
      </c>
      <c r="C1973" s="71" t="s">
        <v>187</v>
      </c>
      <c r="D1973" s="71" t="s">
        <v>251</v>
      </c>
      <c r="E1973" s="71" t="s">
        <v>42</v>
      </c>
      <c r="F1973" s="71" t="s">
        <v>300</v>
      </c>
      <c r="G1973" s="88">
        <v>46227.690729166701</v>
      </c>
      <c r="H1973" s="89">
        <v>46227</v>
      </c>
      <c r="I1973" s="71" t="s">
        <v>314</v>
      </c>
      <c r="J1973" s="71">
        <v>0</v>
      </c>
      <c r="K1973" s="71" t="s">
        <v>302</v>
      </c>
      <c r="L1973" s="71">
        <f t="shared" si="270"/>
        <v>7</v>
      </c>
      <c r="M1973" s="71" t="str">
        <f>IFERROR(INDEX(KALENDER!$D$3:$D$132,MATCH(H1973,KALENDER!$A$3:$A$132,0)),"Di luar periode")</f>
        <v>Hari Kerja</v>
      </c>
      <c r="N1973" s="71">
        <f t="shared" si="271"/>
        <v>0</v>
      </c>
      <c r="O1973" s="71">
        <f t="shared" si="272"/>
        <v>1</v>
      </c>
      <c r="P1973" s="71">
        <f t="shared" si="273"/>
        <v>0</v>
      </c>
      <c r="Q1973" s="71">
        <f t="shared" si="274"/>
        <v>0</v>
      </c>
      <c r="R1973" s="71">
        <f t="shared" si="275"/>
        <v>0</v>
      </c>
      <c r="S1973" s="71">
        <f t="shared" si="276"/>
        <v>0</v>
      </c>
      <c r="T1973" s="71">
        <f t="shared" si="277"/>
        <v>0</v>
      </c>
      <c r="U1973" s="71">
        <f>IF(AND(N1973=1,V1973=1),IF(COUNTIFS(AKTIVITAS!$B$2:$B$3052,B1973,AKTIVITAS!$E$2:$E$3052,H1973)&gt;0,1,0),0)</f>
        <v>0</v>
      </c>
      <c r="V1973" s="71">
        <f>IFERROR(IF(AND(H1973&gt;=INDEX(PEMAGANG!$J$3:$J$36,MATCH(B1973,PEMAGANG!$C$3:$C$36,0)),H1973&lt;=INDEX(PEMAGANG!$K$3:$K$36,MATCH(B1973,PEMAGANG!$C$3:$C$36,0))),1,0),0)</f>
        <v>1</v>
      </c>
      <c r="W1973" s="71">
        <f t="shared" si="278"/>
        <v>0</v>
      </c>
    </row>
    <row r="1974" spans="1:23" x14ac:dyDescent="0.2">
      <c r="A1974" s="71" t="s">
        <v>252</v>
      </c>
      <c r="B1974" s="71" t="s">
        <v>253</v>
      </c>
      <c r="C1974" s="71" t="s">
        <v>187</v>
      </c>
      <c r="D1974" s="71" t="s">
        <v>251</v>
      </c>
      <c r="E1974" s="71" t="s">
        <v>42</v>
      </c>
      <c r="F1974" s="71" t="s">
        <v>298</v>
      </c>
      <c r="G1974" s="88">
        <v>46230.309317129599</v>
      </c>
      <c r="H1974" s="89">
        <v>46230</v>
      </c>
      <c r="I1974" s="71" t="s">
        <v>307</v>
      </c>
      <c r="J1974" s="71">
        <v>-4.9999999999999796</v>
      </c>
      <c r="K1974" s="71" t="s">
        <v>302</v>
      </c>
      <c r="L1974" s="71">
        <f t="shared" si="270"/>
        <v>7</v>
      </c>
      <c r="M1974" s="71" t="str">
        <f>IFERROR(INDEX(KALENDER!$D$3:$D$132,MATCH(H1974,KALENDER!$A$3:$A$132,0)),"Di luar periode")</f>
        <v>Hari Kerja</v>
      </c>
      <c r="N1974" s="71">
        <f t="shared" si="271"/>
        <v>1</v>
      </c>
      <c r="O1974" s="71">
        <f t="shared" si="272"/>
        <v>1</v>
      </c>
      <c r="P1974" s="71">
        <f t="shared" si="273"/>
        <v>1</v>
      </c>
      <c r="Q1974" s="71">
        <f t="shared" si="274"/>
        <v>0</v>
      </c>
      <c r="R1974" s="71">
        <f t="shared" si="275"/>
        <v>0</v>
      </c>
      <c r="S1974" s="71">
        <f t="shared" si="276"/>
        <v>0</v>
      </c>
      <c r="T1974" s="71">
        <f t="shared" si="277"/>
        <v>0</v>
      </c>
      <c r="U1974" s="71">
        <f>IF(AND(N1974=1,V1974=1),IF(COUNTIFS(AKTIVITAS!$B$2:$B$3052,B1974,AKTIVITAS!$E$2:$E$3052,H1974)&gt;0,1,0),0)</f>
        <v>1</v>
      </c>
      <c r="V1974" s="71">
        <f>IFERROR(IF(AND(H1974&gt;=INDEX(PEMAGANG!$J$3:$J$36,MATCH(B1974,PEMAGANG!$C$3:$C$36,0)),H1974&lt;=INDEX(PEMAGANG!$K$3:$K$36,MATCH(B1974,PEMAGANG!$C$3:$C$36,0))),1,0),0)</f>
        <v>1</v>
      </c>
      <c r="W1974" s="71">
        <f t="shared" si="278"/>
        <v>1</v>
      </c>
    </row>
    <row r="1975" spans="1:23" x14ac:dyDescent="0.2">
      <c r="A1975" s="71" t="s">
        <v>252</v>
      </c>
      <c r="B1975" s="71" t="s">
        <v>253</v>
      </c>
      <c r="C1975" s="71" t="s">
        <v>187</v>
      </c>
      <c r="D1975" s="71" t="s">
        <v>251</v>
      </c>
      <c r="E1975" s="71" t="s">
        <v>42</v>
      </c>
      <c r="F1975" s="71" t="s">
        <v>300</v>
      </c>
      <c r="G1975" s="88">
        <v>46230.689872685201</v>
      </c>
      <c r="H1975" s="89">
        <v>46230</v>
      </c>
      <c r="I1975" s="71" t="s">
        <v>316</v>
      </c>
      <c r="J1975" s="71">
        <v>0</v>
      </c>
      <c r="K1975" s="71" t="s">
        <v>302</v>
      </c>
      <c r="L1975" s="71">
        <f t="shared" si="270"/>
        <v>7</v>
      </c>
      <c r="M1975" s="71" t="str">
        <f>IFERROR(INDEX(KALENDER!$D$3:$D$132,MATCH(H1975,KALENDER!$A$3:$A$132,0)),"Di luar periode")</f>
        <v>Hari Kerja</v>
      </c>
      <c r="N1975" s="71">
        <f t="shared" si="271"/>
        <v>0</v>
      </c>
      <c r="O1975" s="71">
        <f t="shared" si="272"/>
        <v>1</v>
      </c>
      <c r="P1975" s="71">
        <f t="shared" si="273"/>
        <v>0</v>
      </c>
      <c r="Q1975" s="71">
        <f t="shared" si="274"/>
        <v>0</v>
      </c>
      <c r="R1975" s="71">
        <f t="shared" si="275"/>
        <v>0</v>
      </c>
      <c r="S1975" s="71">
        <f t="shared" si="276"/>
        <v>0</v>
      </c>
      <c r="T1975" s="71">
        <f t="shared" si="277"/>
        <v>0</v>
      </c>
      <c r="U1975" s="71">
        <f>IF(AND(N1975=1,V1975=1),IF(COUNTIFS(AKTIVITAS!$B$2:$B$3052,B1975,AKTIVITAS!$E$2:$E$3052,H1975)&gt;0,1,0),0)</f>
        <v>0</v>
      </c>
      <c r="V1975" s="71">
        <f>IFERROR(IF(AND(H1975&gt;=INDEX(PEMAGANG!$J$3:$J$36,MATCH(B1975,PEMAGANG!$C$3:$C$36,0)),H1975&lt;=INDEX(PEMAGANG!$K$3:$K$36,MATCH(B1975,PEMAGANG!$C$3:$C$36,0))),1,0),0)</f>
        <v>1</v>
      </c>
      <c r="W1975" s="71">
        <f t="shared" si="278"/>
        <v>0</v>
      </c>
    </row>
    <row r="1976" spans="1:23" x14ac:dyDescent="0.2">
      <c r="A1976" s="71" t="s">
        <v>252</v>
      </c>
      <c r="B1976" s="71" t="s">
        <v>253</v>
      </c>
      <c r="C1976" s="71" t="s">
        <v>187</v>
      </c>
      <c r="D1976" s="71" t="s">
        <v>251</v>
      </c>
      <c r="E1976" s="71" t="s">
        <v>42</v>
      </c>
      <c r="F1976" s="71" t="s">
        <v>298</v>
      </c>
      <c r="G1976" s="88">
        <v>46231.310335648202</v>
      </c>
      <c r="H1976" s="89">
        <v>46231</v>
      </c>
      <c r="I1976" s="71" t="s">
        <v>315</v>
      </c>
      <c r="J1976" s="71">
        <v>-3.9999999999999898</v>
      </c>
      <c r="K1976" s="71" t="s">
        <v>302</v>
      </c>
      <c r="L1976" s="71">
        <f t="shared" si="270"/>
        <v>7</v>
      </c>
      <c r="M1976" s="71" t="str">
        <f>IFERROR(INDEX(KALENDER!$D$3:$D$132,MATCH(H1976,KALENDER!$A$3:$A$132,0)),"Di luar periode")</f>
        <v>Hari Kerja</v>
      </c>
      <c r="N1976" s="71">
        <f t="shared" si="271"/>
        <v>1</v>
      </c>
      <c r="O1976" s="71">
        <f t="shared" si="272"/>
        <v>1</v>
      </c>
      <c r="P1976" s="71">
        <f t="shared" si="273"/>
        <v>1</v>
      </c>
      <c r="Q1976" s="71">
        <f t="shared" si="274"/>
        <v>0</v>
      </c>
      <c r="R1976" s="71">
        <f t="shared" si="275"/>
        <v>0</v>
      </c>
      <c r="S1976" s="71">
        <f t="shared" si="276"/>
        <v>0</v>
      </c>
      <c r="T1976" s="71">
        <f t="shared" si="277"/>
        <v>0</v>
      </c>
      <c r="U1976" s="71">
        <f>IF(AND(N1976=1,V1976=1),IF(COUNTIFS(AKTIVITAS!$B$2:$B$3052,B1976,AKTIVITAS!$E$2:$E$3052,H1976)&gt;0,1,0),0)</f>
        <v>1</v>
      </c>
      <c r="V1976" s="71">
        <f>IFERROR(IF(AND(H1976&gt;=INDEX(PEMAGANG!$J$3:$J$36,MATCH(B1976,PEMAGANG!$C$3:$C$36,0)),H1976&lt;=INDEX(PEMAGANG!$K$3:$K$36,MATCH(B1976,PEMAGANG!$C$3:$C$36,0))),1,0),0)</f>
        <v>1</v>
      </c>
      <c r="W1976" s="71">
        <f t="shared" si="278"/>
        <v>1</v>
      </c>
    </row>
    <row r="1977" spans="1:23" x14ac:dyDescent="0.2">
      <c r="A1977" s="71" t="s">
        <v>252</v>
      </c>
      <c r="B1977" s="71" t="s">
        <v>253</v>
      </c>
      <c r="C1977" s="71" t="s">
        <v>187</v>
      </c>
      <c r="D1977" s="71" t="s">
        <v>251</v>
      </c>
      <c r="E1977" s="71" t="s">
        <v>42</v>
      </c>
      <c r="F1977" s="71" t="s">
        <v>300</v>
      </c>
      <c r="G1977" s="88">
        <v>46231.689548611103</v>
      </c>
      <c r="H1977" s="89">
        <v>46231</v>
      </c>
      <c r="I1977" s="71" t="s">
        <v>306</v>
      </c>
      <c r="J1977" s="71">
        <v>0</v>
      </c>
      <c r="K1977" s="71" t="s">
        <v>302</v>
      </c>
      <c r="L1977" s="71">
        <f t="shared" si="270"/>
        <v>7</v>
      </c>
      <c r="M1977" s="71" t="str">
        <f>IFERROR(INDEX(KALENDER!$D$3:$D$132,MATCH(H1977,KALENDER!$A$3:$A$132,0)),"Di luar periode")</f>
        <v>Hari Kerja</v>
      </c>
      <c r="N1977" s="71">
        <f t="shared" si="271"/>
        <v>0</v>
      </c>
      <c r="O1977" s="71">
        <f t="shared" si="272"/>
        <v>1</v>
      </c>
      <c r="P1977" s="71">
        <f t="shared" si="273"/>
        <v>0</v>
      </c>
      <c r="Q1977" s="71">
        <f t="shared" si="274"/>
        <v>0</v>
      </c>
      <c r="R1977" s="71">
        <f t="shared" si="275"/>
        <v>0</v>
      </c>
      <c r="S1977" s="71">
        <f t="shared" si="276"/>
        <v>0</v>
      </c>
      <c r="T1977" s="71">
        <f t="shared" si="277"/>
        <v>0</v>
      </c>
      <c r="U1977" s="71">
        <f>IF(AND(N1977=1,V1977=1),IF(COUNTIFS(AKTIVITAS!$B$2:$B$3052,B1977,AKTIVITAS!$E$2:$E$3052,H1977)&gt;0,1,0),0)</f>
        <v>0</v>
      </c>
      <c r="V1977" s="71">
        <f>IFERROR(IF(AND(H1977&gt;=INDEX(PEMAGANG!$J$3:$J$36,MATCH(B1977,PEMAGANG!$C$3:$C$36,0)),H1977&lt;=INDEX(PEMAGANG!$K$3:$K$36,MATCH(B1977,PEMAGANG!$C$3:$C$36,0))),1,0),0)</f>
        <v>1</v>
      </c>
      <c r="W1977" s="71">
        <f t="shared" si="278"/>
        <v>0</v>
      </c>
    </row>
    <row r="1978" spans="1:23" x14ac:dyDescent="0.2">
      <c r="A1978" s="71" t="s">
        <v>252</v>
      </c>
      <c r="B1978" s="71" t="s">
        <v>253</v>
      </c>
      <c r="C1978" s="71" t="s">
        <v>187</v>
      </c>
      <c r="D1978" s="71" t="s">
        <v>251</v>
      </c>
      <c r="E1978" s="71" t="s">
        <v>42</v>
      </c>
      <c r="F1978" s="71" t="s">
        <v>298</v>
      </c>
      <c r="G1978" s="88">
        <v>46233.310636574097</v>
      </c>
      <c r="H1978" s="89">
        <v>46233</v>
      </c>
      <c r="I1978" s="71" t="s">
        <v>309</v>
      </c>
      <c r="J1978" s="71">
        <v>-2.9999999999999898</v>
      </c>
      <c r="K1978" s="71" t="s">
        <v>302</v>
      </c>
      <c r="L1978" s="71">
        <f t="shared" si="270"/>
        <v>7</v>
      </c>
      <c r="M1978" s="71" t="str">
        <f>IFERROR(INDEX(KALENDER!$D$3:$D$132,MATCH(H1978,KALENDER!$A$3:$A$132,0)),"Di luar periode")</f>
        <v>Hari Kerja</v>
      </c>
      <c r="N1978" s="71">
        <f t="shared" si="271"/>
        <v>1</v>
      </c>
      <c r="O1978" s="71">
        <f t="shared" si="272"/>
        <v>1</v>
      </c>
      <c r="P1978" s="71">
        <f t="shared" si="273"/>
        <v>1</v>
      </c>
      <c r="Q1978" s="71">
        <f t="shared" si="274"/>
        <v>0</v>
      </c>
      <c r="R1978" s="71">
        <f t="shared" si="275"/>
        <v>0</v>
      </c>
      <c r="S1978" s="71">
        <f t="shared" si="276"/>
        <v>0</v>
      </c>
      <c r="T1978" s="71">
        <f t="shared" si="277"/>
        <v>0</v>
      </c>
      <c r="U1978" s="71">
        <f>IF(AND(N1978=1,V1978=1),IF(COUNTIFS(AKTIVITAS!$B$2:$B$3052,B1978,AKTIVITAS!$E$2:$E$3052,H1978)&gt;0,1,0),0)</f>
        <v>1</v>
      </c>
      <c r="V1978" s="71">
        <f>IFERROR(IF(AND(H1978&gt;=INDEX(PEMAGANG!$J$3:$J$36,MATCH(B1978,PEMAGANG!$C$3:$C$36,0)),H1978&lt;=INDEX(PEMAGANG!$K$3:$K$36,MATCH(B1978,PEMAGANG!$C$3:$C$36,0))),1,0),0)</f>
        <v>1</v>
      </c>
      <c r="W1978" s="71">
        <f t="shared" si="278"/>
        <v>1</v>
      </c>
    </row>
    <row r="1979" spans="1:23" x14ac:dyDescent="0.2">
      <c r="A1979" s="71" t="s">
        <v>252</v>
      </c>
      <c r="B1979" s="71" t="s">
        <v>253</v>
      </c>
      <c r="C1979" s="71" t="s">
        <v>187</v>
      </c>
      <c r="D1979" s="71" t="s">
        <v>251</v>
      </c>
      <c r="E1979" s="71" t="s">
        <v>42</v>
      </c>
      <c r="F1979" s="71" t="s">
        <v>300</v>
      </c>
      <c r="G1979" s="88">
        <v>46233.691435185203</v>
      </c>
      <c r="H1979" s="89">
        <v>46233</v>
      </c>
      <c r="I1979" s="71" t="s">
        <v>310</v>
      </c>
      <c r="J1979" s="71">
        <v>0</v>
      </c>
      <c r="K1979" s="71" t="s">
        <v>302</v>
      </c>
      <c r="L1979" s="71">
        <f t="shared" si="270"/>
        <v>7</v>
      </c>
      <c r="M1979" s="71" t="str">
        <f>IFERROR(INDEX(KALENDER!$D$3:$D$132,MATCH(H1979,KALENDER!$A$3:$A$132,0)),"Di luar periode")</f>
        <v>Hari Kerja</v>
      </c>
      <c r="N1979" s="71">
        <f t="shared" si="271"/>
        <v>0</v>
      </c>
      <c r="O1979" s="71">
        <f t="shared" si="272"/>
        <v>1</v>
      </c>
      <c r="P1979" s="71">
        <f t="shared" si="273"/>
        <v>0</v>
      </c>
      <c r="Q1979" s="71">
        <f t="shared" si="274"/>
        <v>0</v>
      </c>
      <c r="R1979" s="71">
        <f t="shared" si="275"/>
        <v>0</v>
      </c>
      <c r="S1979" s="71">
        <f t="shared" si="276"/>
        <v>0</v>
      </c>
      <c r="T1979" s="71">
        <f t="shared" si="277"/>
        <v>0</v>
      </c>
      <c r="U1979" s="71">
        <f>IF(AND(N1979=1,V1979=1),IF(COUNTIFS(AKTIVITAS!$B$2:$B$3052,B1979,AKTIVITAS!$E$2:$E$3052,H1979)&gt;0,1,0),0)</f>
        <v>0</v>
      </c>
      <c r="V1979" s="71">
        <f>IFERROR(IF(AND(H1979&gt;=INDEX(PEMAGANG!$J$3:$J$36,MATCH(B1979,PEMAGANG!$C$3:$C$36,0)),H1979&lt;=INDEX(PEMAGANG!$K$3:$K$36,MATCH(B1979,PEMAGANG!$C$3:$C$36,0))),1,0),0)</f>
        <v>1</v>
      </c>
      <c r="W1979" s="71">
        <f t="shared" si="278"/>
        <v>0</v>
      </c>
    </row>
    <row r="1980" spans="1:23" x14ac:dyDescent="0.2">
      <c r="A1980" s="71" t="s">
        <v>252</v>
      </c>
      <c r="B1980" s="71" t="s">
        <v>253</v>
      </c>
      <c r="C1980" s="71" t="s">
        <v>187</v>
      </c>
      <c r="D1980" s="71" t="s">
        <v>251</v>
      </c>
      <c r="E1980" s="71" t="s">
        <v>42</v>
      </c>
      <c r="F1980" s="71" t="s">
        <v>298</v>
      </c>
      <c r="G1980" s="88">
        <v>46234.308726851901</v>
      </c>
      <c r="H1980" s="89">
        <v>46234</v>
      </c>
      <c r="I1980" s="71" t="s">
        <v>303</v>
      </c>
      <c r="J1980" s="71">
        <v>-5.9999999999999796</v>
      </c>
      <c r="K1980" s="71" t="s">
        <v>302</v>
      </c>
      <c r="L1980" s="71">
        <f t="shared" si="270"/>
        <v>7</v>
      </c>
      <c r="M1980" s="71" t="str">
        <f>IFERROR(INDEX(KALENDER!$D$3:$D$132,MATCH(H1980,KALENDER!$A$3:$A$132,0)),"Di luar periode")</f>
        <v>Hari Kerja</v>
      </c>
      <c r="N1980" s="71">
        <f t="shared" si="271"/>
        <v>1</v>
      </c>
      <c r="O1980" s="71">
        <f t="shared" si="272"/>
        <v>1</v>
      </c>
      <c r="P1980" s="71">
        <f t="shared" si="273"/>
        <v>1</v>
      </c>
      <c r="Q1980" s="71">
        <f t="shared" si="274"/>
        <v>0</v>
      </c>
      <c r="R1980" s="71">
        <f t="shared" si="275"/>
        <v>0</v>
      </c>
      <c r="S1980" s="71">
        <f t="shared" si="276"/>
        <v>0</v>
      </c>
      <c r="T1980" s="71">
        <f t="shared" si="277"/>
        <v>0</v>
      </c>
      <c r="U1980" s="71">
        <f>IF(AND(N1980=1,V1980=1),IF(COUNTIFS(AKTIVITAS!$B$2:$B$3052,B1980,AKTIVITAS!$E$2:$E$3052,H1980)&gt;0,1,0),0)</f>
        <v>1</v>
      </c>
      <c r="V1980" s="71">
        <f>IFERROR(IF(AND(H1980&gt;=INDEX(PEMAGANG!$J$3:$J$36,MATCH(B1980,PEMAGANG!$C$3:$C$36,0)),H1980&lt;=INDEX(PEMAGANG!$K$3:$K$36,MATCH(B1980,PEMAGANG!$C$3:$C$36,0))),1,0),0)</f>
        <v>1</v>
      </c>
      <c r="W1980" s="71">
        <f t="shared" si="278"/>
        <v>1</v>
      </c>
    </row>
    <row r="1981" spans="1:23" x14ac:dyDescent="0.2">
      <c r="A1981" s="71" t="s">
        <v>252</v>
      </c>
      <c r="B1981" s="71" t="s">
        <v>253</v>
      </c>
      <c r="C1981" s="71" t="s">
        <v>187</v>
      </c>
      <c r="D1981" s="71" t="s">
        <v>251</v>
      </c>
      <c r="E1981" s="71" t="s">
        <v>42</v>
      </c>
      <c r="F1981" s="71" t="s">
        <v>300</v>
      </c>
      <c r="G1981" s="88">
        <v>46234.691168981502</v>
      </c>
      <c r="H1981" s="89">
        <v>46234</v>
      </c>
      <c r="I1981" s="71" t="s">
        <v>310</v>
      </c>
      <c r="J1981" s="71">
        <v>0</v>
      </c>
      <c r="K1981" s="71" t="s">
        <v>302</v>
      </c>
      <c r="L1981" s="71">
        <f t="shared" si="270"/>
        <v>7</v>
      </c>
      <c r="M1981" s="71" t="str">
        <f>IFERROR(INDEX(KALENDER!$D$3:$D$132,MATCH(H1981,KALENDER!$A$3:$A$132,0)),"Di luar periode")</f>
        <v>Hari Kerja</v>
      </c>
      <c r="N1981" s="71">
        <f t="shared" si="271"/>
        <v>0</v>
      </c>
      <c r="O1981" s="71">
        <f t="shared" si="272"/>
        <v>1</v>
      </c>
      <c r="P1981" s="71">
        <f t="shared" si="273"/>
        <v>0</v>
      </c>
      <c r="Q1981" s="71">
        <f t="shared" si="274"/>
        <v>0</v>
      </c>
      <c r="R1981" s="71">
        <f t="shared" si="275"/>
        <v>0</v>
      </c>
      <c r="S1981" s="71">
        <f t="shared" si="276"/>
        <v>0</v>
      </c>
      <c r="T1981" s="71">
        <f t="shared" si="277"/>
        <v>0</v>
      </c>
      <c r="U1981" s="71">
        <f>IF(AND(N1981=1,V1981=1),IF(COUNTIFS(AKTIVITAS!$B$2:$B$3052,B1981,AKTIVITAS!$E$2:$E$3052,H1981)&gt;0,1,0),0)</f>
        <v>0</v>
      </c>
      <c r="V1981" s="71">
        <f>IFERROR(IF(AND(H1981&gt;=INDEX(PEMAGANG!$J$3:$J$36,MATCH(B1981,PEMAGANG!$C$3:$C$36,0)),H1981&lt;=INDEX(PEMAGANG!$K$3:$K$36,MATCH(B1981,PEMAGANG!$C$3:$C$36,0))),1,0),0)</f>
        <v>1</v>
      </c>
      <c r="W1981" s="71">
        <f t="shared" si="278"/>
        <v>0</v>
      </c>
    </row>
    <row r="1982" spans="1:23" x14ac:dyDescent="0.2">
      <c r="A1982" s="71" t="s">
        <v>252</v>
      </c>
      <c r="B1982" s="71" t="s">
        <v>253</v>
      </c>
      <c r="C1982" s="71" t="s">
        <v>187</v>
      </c>
      <c r="D1982" s="71" t="s">
        <v>251</v>
      </c>
      <c r="E1982" s="71" t="s">
        <v>42</v>
      </c>
      <c r="F1982" s="71" t="s">
        <v>298</v>
      </c>
      <c r="G1982" s="88">
        <v>46237.312962962998</v>
      </c>
      <c r="H1982" s="89">
        <v>46237</v>
      </c>
      <c r="I1982" s="71" t="s">
        <v>335</v>
      </c>
      <c r="J1982" s="71">
        <v>0</v>
      </c>
      <c r="K1982" s="71" t="s">
        <v>302</v>
      </c>
      <c r="L1982" s="71">
        <f t="shared" si="270"/>
        <v>8</v>
      </c>
      <c r="M1982" s="71" t="str">
        <f>IFERROR(INDEX(KALENDER!$D$3:$D$132,MATCH(H1982,KALENDER!$A$3:$A$132,0)),"Di luar periode")</f>
        <v>Hari Kerja</v>
      </c>
      <c r="N1982" s="71">
        <f t="shared" si="271"/>
        <v>1</v>
      </c>
      <c r="O1982" s="71">
        <f t="shared" si="272"/>
        <v>1</v>
      </c>
      <c r="P1982" s="71">
        <f t="shared" si="273"/>
        <v>1</v>
      </c>
      <c r="Q1982" s="71">
        <f t="shared" si="274"/>
        <v>0</v>
      </c>
      <c r="R1982" s="71">
        <f t="shared" si="275"/>
        <v>0</v>
      </c>
      <c r="S1982" s="71">
        <f t="shared" si="276"/>
        <v>0</v>
      </c>
      <c r="T1982" s="71">
        <f t="shared" si="277"/>
        <v>0</v>
      </c>
      <c r="U1982" s="71">
        <f>IF(AND(N1982=1,V1982=1),IF(COUNTIFS(AKTIVITAS!$B$2:$B$3052,B1982,AKTIVITAS!$E$2:$E$3052,H1982)&gt;0,1,0),0)</f>
        <v>1</v>
      </c>
      <c r="V1982" s="71">
        <f>IFERROR(IF(AND(H1982&gt;=INDEX(PEMAGANG!$J$3:$J$36,MATCH(B1982,PEMAGANG!$C$3:$C$36,0)),H1982&lt;=INDEX(PEMAGANG!$K$3:$K$36,MATCH(B1982,PEMAGANG!$C$3:$C$36,0))),1,0),0)</f>
        <v>1</v>
      </c>
      <c r="W1982" s="71">
        <f t="shared" si="278"/>
        <v>1</v>
      </c>
    </row>
    <row r="1983" spans="1:23" x14ac:dyDescent="0.2">
      <c r="A1983" s="71" t="s">
        <v>252</v>
      </c>
      <c r="B1983" s="71" t="s">
        <v>253</v>
      </c>
      <c r="C1983" s="71" t="s">
        <v>187</v>
      </c>
      <c r="D1983" s="71" t="s">
        <v>251</v>
      </c>
      <c r="E1983" s="71" t="s">
        <v>42</v>
      </c>
      <c r="F1983" s="71" t="s">
        <v>300</v>
      </c>
      <c r="G1983" s="88">
        <v>46237.688530092601</v>
      </c>
      <c r="H1983" s="89">
        <v>46237</v>
      </c>
      <c r="I1983" s="71" t="s">
        <v>336</v>
      </c>
      <c r="J1983" s="71">
        <v>0</v>
      </c>
      <c r="K1983" s="71" t="s">
        <v>302</v>
      </c>
      <c r="L1983" s="71">
        <f t="shared" si="270"/>
        <v>8</v>
      </c>
      <c r="M1983" s="71" t="str">
        <f>IFERROR(INDEX(KALENDER!$D$3:$D$132,MATCH(H1983,KALENDER!$A$3:$A$132,0)),"Di luar periode")</f>
        <v>Hari Kerja</v>
      </c>
      <c r="N1983" s="71">
        <f t="shared" si="271"/>
        <v>0</v>
      </c>
      <c r="O1983" s="71">
        <f t="shared" si="272"/>
        <v>1</v>
      </c>
      <c r="P1983" s="71">
        <f t="shared" si="273"/>
        <v>0</v>
      </c>
      <c r="Q1983" s="71">
        <f t="shared" si="274"/>
        <v>0</v>
      </c>
      <c r="R1983" s="71">
        <f t="shared" si="275"/>
        <v>0</v>
      </c>
      <c r="S1983" s="71">
        <f t="shared" si="276"/>
        <v>0</v>
      </c>
      <c r="T1983" s="71">
        <f t="shared" si="277"/>
        <v>0</v>
      </c>
      <c r="U1983" s="71">
        <f>IF(AND(N1983=1,V1983=1),IF(COUNTIFS(AKTIVITAS!$B$2:$B$3052,B1983,AKTIVITAS!$E$2:$E$3052,H1983)&gt;0,1,0),0)</f>
        <v>0</v>
      </c>
      <c r="V1983" s="71">
        <f>IFERROR(IF(AND(H1983&gt;=INDEX(PEMAGANG!$J$3:$J$36,MATCH(B1983,PEMAGANG!$C$3:$C$36,0)),H1983&lt;=INDEX(PEMAGANG!$K$3:$K$36,MATCH(B1983,PEMAGANG!$C$3:$C$36,0))),1,0),0)</f>
        <v>1</v>
      </c>
      <c r="W1983" s="71">
        <f t="shared" si="278"/>
        <v>0</v>
      </c>
    </row>
    <row r="1984" spans="1:23" x14ac:dyDescent="0.2">
      <c r="A1984" s="71" t="s">
        <v>252</v>
      </c>
      <c r="B1984" s="71" t="s">
        <v>253</v>
      </c>
      <c r="C1984" s="71" t="s">
        <v>187</v>
      </c>
      <c r="D1984" s="71" t="s">
        <v>251</v>
      </c>
      <c r="E1984" s="71" t="s">
        <v>42</v>
      </c>
      <c r="F1984" s="71" t="s">
        <v>298</v>
      </c>
      <c r="G1984" s="88">
        <v>46238.311793981498</v>
      </c>
      <c r="H1984" s="89">
        <v>46238</v>
      </c>
      <c r="I1984" s="71" t="s">
        <v>377</v>
      </c>
      <c r="J1984" s="71">
        <v>-1.99999999999999</v>
      </c>
      <c r="K1984" s="71" t="s">
        <v>302</v>
      </c>
      <c r="L1984" s="71">
        <f t="shared" si="270"/>
        <v>8</v>
      </c>
      <c r="M1984" s="71" t="str">
        <f>IFERROR(INDEX(KALENDER!$D$3:$D$132,MATCH(H1984,KALENDER!$A$3:$A$132,0)),"Di luar periode")</f>
        <v>Hari Kerja</v>
      </c>
      <c r="N1984" s="71">
        <f t="shared" si="271"/>
        <v>1</v>
      </c>
      <c r="O1984" s="71">
        <f t="shared" si="272"/>
        <v>1</v>
      </c>
      <c r="P1984" s="71">
        <f t="shared" si="273"/>
        <v>1</v>
      </c>
      <c r="Q1984" s="71">
        <f t="shared" si="274"/>
        <v>0</v>
      </c>
      <c r="R1984" s="71">
        <f t="shared" si="275"/>
        <v>0</v>
      </c>
      <c r="S1984" s="71">
        <f t="shared" si="276"/>
        <v>0</v>
      </c>
      <c r="T1984" s="71">
        <f t="shared" si="277"/>
        <v>0</v>
      </c>
      <c r="U1984" s="71">
        <f>IF(AND(N1984=1,V1984=1),IF(COUNTIFS(AKTIVITAS!$B$2:$B$3052,B1984,AKTIVITAS!$E$2:$E$3052,H1984)&gt;0,1,0),0)</f>
        <v>1</v>
      </c>
      <c r="V1984" s="71">
        <f>IFERROR(IF(AND(H1984&gt;=INDEX(PEMAGANG!$J$3:$J$36,MATCH(B1984,PEMAGANG!$C$3:$C$36,0)),H1984&lt;=INDEX(PEMAGANG!$K$3:$K$36,MATCH(B1984,PEMAGANG!$C$3:$C$36,0))),1,0),0)</f>
        <v>1</v>
      </c>
      <c r="W1984" s="71">
        <f t="shared" si="278"/>
        <v>1</v>
      </c>
    </row>
    <row r="1985" spans="1:23" x14ac:dyDescent="0.2">
      <c r="A1985" s="71" t="s">
        <v>252</v>
      </c>
      <c r="B1985" s="71" t="s">
        <v>253</v>
      </c>
      <c r="C1985" s="71" t="s">
        <v>187</v>
      </c>
      <c r="D1985" s="71" t="s">
        <v>251</v>
      </c>
      <c r="E1985" s="71" t="s">
        <v>42</v>
      </c>
      <c r="F1985" s="71" t="s">
        <v>300</v>
      </c>
      <c r="G1985" s="88">
        <v>46238.691087963001</v>
      </c>
      <c r="H1985" s="89">
        <v>46238</v>
      </c>
      <c r="I1985" s="71" t="s">
        <v>310</v>
      </c>
      <c r="J1985" s="71">
        <v>0</v>
      </c>
      <c r="K1985" s="71" t="s">
        <v>302</v>
      </c>
      <c r="L1985" s="71">
        <f t="shared" si="270"/>
        <v>8</v>
      </c>
      <c r="M1985" s="71" t="str">
        <f>IFERROR(INDEX(KALENDER!$D$3:$D$132,MATCH(H1985,KALENDER!$A$3:$A$132,0)),"Di luar periode")</f>
        <v>Hari Kerja</v>
      </c>
      <c r="N1985" s="71">
        <f t="shared" si="271"/>
        <v>0</v>
      </c>
      <c r="O1985" s="71">
        <f t="shared" si="272"/>
        <v>1</v>
      </c>
      <c r="P1985" s="71">
        <f t="shared" si="273"/>
        <v>0</v>
      </c>
      <c r="Q1985" s="71">
        <f t="shared" si="274"/>
        <v>0</v>
      </c>
      <c r="R1985" s="71">
        <f t="shared" si="275"/>
        <v>0</v>
      </c>
      <c r="S1985" s="71">
        <f t="shared" si="276"/>
        <v>0</v>
      </c>
      <c r="T1985" s="71">
        <f t="shared" si="277"/>
        <v>0</v>
      </c>
      <c r="U1985" s="71">
        <f>IF(AND(N1985=1,V1985=1),IF(COUNTIFS(AKTIVITAS!$B$2:$B$3052,B1985,AKTIVITAS!$E$2:$E$3052,H1985)&gt;0,1,0),0)</f>
        <v>0</v>
      </c>
      <c r="V1985" s="71">
        <f>IFERROR(IF(AND(H1985&gt;=INDEX(PEMAGANG!$J$3:$J$36,MATCH(B1985,PEMAGANG!$C$3:$C$36,0)),H1985&lt;=INDEX(PEMAGANG!$K$3:$K$36,MATCH(B1985,PEMAGANG!$C$3:$C$36,0))),1,0),0)</f>
        <v>1</v>
      </c>
      <c r="W1985" s="71">
        <f t="shared" si="278"/>
        <v>0</v>
      </c>
    </row>
    <row r="1986" spans="1:23" x14ac:dyDescent="0.2">
      <c r="A1986" s="71" t="s">
        <v>252</v>
      </c>
      <c r="B1986" s="71" t="s">
        <v>253</v>
      </c>
      <c r="C1986" s="71" t="s">
        <v>187</v>
      </c>
      <c r="D1986" s="71" t="s">
        <v>251</v>
      </c>
      <c r="E1986" s="71" t="s">
        <v>42</v>
      </c>
      <c r="F1986" s="71" t="s">
        <v>298</v>
      </c>
      <c r="G1986" s="88">
        <v>46239.3112384259</v>
      </c>
      <c r="H1986" s="89">
        <v>46239</v>
      </c>
      <c r="I1986" s="71" t="s">
        <v>377</v>
      </c>
      <c r="J1986" s="71">
        <v>-1.99999999999999</v>
      </c>
      <c r="K1986" s="71" t="s">
        <v>302</v>
      </c>
      <c r="L1986" s="71">
        <f t="shared" ref="L1986:L2049" si="279">MONTH(H1986)</f>
        <v>8</v>
      </c>
      <c r="M1986" s="71" t="str">
        <f>IFERROR(INDEX(KALENDER!$D$3:$D$132,MATCH(H1986,KALENDER!$A$3:$A$132,0)),"Di luar periode")</f>
        <v>Hari Kerja</v>
      </c>
      <c r="N1986" s="71">
        <f t="shared" ref="N1986:N2049" si="280">IF(AND(B1986=B1985,H1986=H1985),0,1)</f>
        <v>1</v>
      </c>
      <c r="O1986" s="71">
        <f t="shared" ref="O1986:O2049" si="281">IF(N1986=1,0,O1985)+IF(F1986="MASUK",1,0)</f>
        <v>1</v>
      </c>
      <c r="P1986" s="71">
        <f t="shared" ref="P1986:P2049" si="282">IF(AND(N1986=1,M1986="Hari Kerja",V1986=1),1,0)</f>
        <v>1</v>
      </c>
      <c r="Q1986" s="71">
        <f t="shared" ref="Q1986:Q2049" si="283">IF(AND(N1986=1,OR(M1986&lt;&gt;"Hari Kerja",V1986=0)),1,0)</f>
        <v>0</v>
      </c>
      <c r="R1986" s="71">
        <f t="shared" ref="R1986:R2049" si="284">IF(AND(F1986="MASUK",O1986=1,N(J1986)&gt;0,V1986=1),1,0)</f>
        <v>0</v>
      </c>
      <c r="S1986" s="71">
        <f t="shared" ref="S1986:S2049" si="285">R1986*N(J1986)</f>
        <v>0</v>
      </c>
      <c r="T1986" s="71">
        <f t="shared" ref="T1986:T2049" si="286">IF(AND(N1986=1,V1986=1),IF(AND(COUNTIFS($B$2:$B$4094,B1986,$H$2:$H$4094,H1986,$F$2:$F$4094,"MASUK")&gt;0,COUNTIFS($B$2:$B$4094,B1986,$H$2:$H$4094,H1986,$F$2:$F$4094,"PULANG")=0),1,0),0)</f>
        <v>0</v>
      </c>
      <c r="U1986" s="71">
        <f>IF(AND(N1986=1,V1986=1),IF(COUNTIFS(AKTIVITAS!$B$2:$B$3052,B1986,AKTIVITAS!$E$2:$E$3052,H1986)&gt;0,1,0),0)</f>
        <v>1</v>
      </c>
      <c r="V1986" s="71">
        <f>IFERROR(IF(AND(H1986&gt;=INDEX(PEMAGANG!$J$3:$J$36,MATCH(B1986,PEMAGANG!$C$3:$C$36,0)),H1986&lt;=INDEX(PEMAGANG!$K$3:$K$36,MATCH(B1986,PEMAGANG!$C$3:$C$36,0))),1,0),0)</f>
        <v>1</v>
      </c>
      <c r="W1986" s="71">
        <f t="shared" ref="W1986:W2049" si="287">N1986*V1986</f>
        <v>1</v>
      </c>
    </row>
    <row r="1987" spans="1:23" x14ac:dyDescent="0.2">
      <c r="A1987" s="71" t="s">
        <v>252</v>
      </c>
      <c r="B1987" s="71" t="s">
        <v>253</v>
      </c>
      <c r="C1987" s="71" t="s">
        <v>187</v>
      </c>
      <c r="D1987" s="71" t="s">
        <v>251</v>
      </c>
      <c r="E1987" s="71" t="s">
        <v>42</v>
      </c>
      <c r="F1987" s="71" t="s">
        <v>300</v>
      </c>
      <c r="G1987" s="88">
        <v>46239.6898842593</v>
      </c>
      <c r="H1987" s="89">
        <v>46239</v>
      </c>
      <c r="I1987" s="71" t="s">
        <v>316</v>
      </c>
      <c r="J1987" s="71">
        <v>0</v>
      </c>
      <c r="K1987" s="71" t="s">
        <v>302</v>
      </c>
      <c r="L1987" s="71">
        <f t="shared" si="279"/>
        <v>8</v>
      </c>
      <c r="M1987" s="71" t="str">
        <f>IFERROR(INDEX(KALENDER!$D$3:$D$132,MATCH(H1987,KALENDER!$A$3:$A$132,0)),"Di luar periode")</f>
        <v>Hari Kerja</v>
      </c>
      <c r="N1987" s="71">
        <f t="shared" si="280"/>
        <v>0</v>
      </c>
      <c r="O1987" s="71">
        <f t="shared" si="281"/>
        <v>1</v>
      </c>
      <c r="P1987" s="71">
        <f t="shared" si="282"/>
        <v>0</v>
      </c>
      <c r="Q1987" s="71">
        <f t="shared" si="283"/>
        <v>0</v>
      </c>
      <c r="R1987" s="71">
        <f t="shared" si="284"/>
        <v>0</v>
      </c>
      <c r="S1987" s="71">
        <f t="shared" si="285"/>
        <v>0</v>
      </c>
      <c r="T1987" s="71">
        <f t="shared" si="286"/>
        <v>0</v>
      </c>
      <c r="U1987" s="71">
        <f>IF(AND(N1987=1,V1987=1),IF(COUNTIFS(AKTIVITAS!$B$2:$B$3052,B1987,AKTIVITAS!$E$2:$E$3052,H1987)&gt;0,1,0),0)</f>
        <v>0</v>
      </c>
      <c r="V1987" s="71">
        <f>IFERROR(IF(AND(H1987&gt;=INDEX(PEMAGANG!$J$3:$J$36,MATCH(B1987,PEMAGANG!$C$3:$C$36,0)),H1987&lt;=INDEX(PEMAGANG!$K$3:$K$36,MATCH(B1987,PEMAGANG!$C$3:$C$36,0))),1,0),0)</f>
        <v>1</v>
      </c>
      <c r="W1987" s="71">
        <f t="shared" si="287"/>
        <v>0</v>
      </c>
    </row>
    <row r="1988" spans="1:23" x14ac:dyDescent="0.2">
      <c r="A1988" s="71" t="s">
        <v>252</v>
      </c>
      <c r="B1988" s="71" t="s">
        <v>253</v>
      </c>
      <c r="C1988" s="71" t="s">
        <v>187</v>
      </c>
      <c r="D1988" s="71" t="s">
        <v>251</v>
      </c>
      <c r="E1988" s="71" t="s">
        <v>42</v>
      </c>
      <c r="F1988" s="71" t="s">
        <v>298</v>
      </c>
      <c r="G1988" s="88">
        <v>46240.310937499999</v>
      </c>
      <c r="H1988" s="89">
        <v>46240</v>
      </c>
      <c r="I1988" s="71" t="s">
        <v>309</v>
      </c>
      <c r="J1988" s="71">
        <v>-2.9999999999999898</v>
      </c>
      <c r="K1988" s="71" t="s">
        <v>302</v>
      </c>
      <c r="L1988" s="71">
        <f t="shared" si="279"/>
        <v>8</v>
      </c>
      <c r="M1988" s="71" t="str">
        <f>IFERROR(INDEX(KALENDER!$D$3:$D$132,MATCH(H1988,KALENDER!$A$3:$A$132,0)),"Di luar periode")</f>
        <v>Hari Kerja</v>
      </c>
      <c r="N1988" s="71">
        <f t="shared" si="280"/>
        <v>1</v>
      </c>
      <c r="O1988" s="71">
        <f t="shared" si="281"/>
        <v>1</v>
      </c>
      <c r="P1988" s="71">
        <f t="shared" si="282"/>
        <v>1</v>
      </c>
      <c r="Q1988" s="71">
        <f t="shared" si="283"/>
        <v>0</v>
      </c>
      <c r="R1988" s="71">
        <f t="shared" si="284"/>
        <v>0</v>
      </c>
      <c r="S1988" s="71">
        <f t="shared" si="285"/>
        <v>0</v>
      </c>
      <c r="T1988" s="71">
        <f t="shared" si="286"/>
        <v>0</v>
      </c>
      <c r="U1988" s="71">
        <f>IF(AND(N1988=1,V1988=1),IF(COUNTIFS(AKTIVITAS!$B$2:$B$3052,B1988,AKTIVITAS!$E$2:$E$3052,H1988)&gt;0,1,0),0)</f>
        <v>1</v>
      </c>
      <c r="V1988" s="71">
        <f>IFERROR(IF(AND(H1988&gt;=INDEX(PEMAGANG!$J$3:$J$36,MATCH(B1988,PEMAGANG!$C$3:$C$36,0)),H1988&lt;=INDEX(PEMAGANG!$K$3:$K$36,MATCH(B1988,PEMAGANG!$C$3:$C$36,0))),1,0),0)</f>
        <v>1</v>
      </c>
      <c r="W1988" s="71">
        <f t="shared" si="287"/>
        <v>1</v>
      </c>
    </row>
    <row r="1989" spans="1:23" x14ac:dyDescent="0.2">
      <c r="A1989" s="71" t="s">
        <v>252</v>
      </c>
      <c r="B1989" s="71" t="s">
        <v>253</v>
      </c>
      <c r="C1989" s="71" t="s">
        <v>187</v>
      </c>
      <c r="D1989" s="71" t="s">
        <v>251</v>
      </c>
      <c r="E1989" s="71" t="s">
        <v>42</v>
      </c>
      <c r="F1989" s="71" t="s">
        <v>300</v>
      </c>
      <c r="G1989" s="88">
        <v>46240.6887615741</v>
      </c>
      <c r="H1989" s="89">
        <v>46240</v>
      </c>
      <c r="I1989" s="71" t="s">
        <v>336</v>
      </c>
      <c r="J1989" s="71">
        <v>0</v>
      </c>
      <c r="K1989" s="71" t="s">
        <v>302</v>
      </c>
      <c r="L1989" s="71">
        <f t="shared" si="279"/>
        <v>8</v>
      </c>
      <c r="M1989" s="71" t="str">
        <f>IFERROR(INDEX(KALENDER!$D$3:$D$132,MATCH(H1989,KALENDER!$A$3:$A$132,0)),"Di luar periode")</f>
        <v>Hari Kerja</v>
      </c>
      <c r="N1989" s="71">
        <f t="shared" si="280"/>
        <v>0</v>
      </c>
      <c r="O1989" s="71">
        <f t="shared" si="281"/>
        <v>1</v>
      </c>
      <c r="P1989" s="71">
        <f t="shared" si="282"/>
        <v>0</v>
      </c>
      <c r="Q1989" s="71">
        <f t="shared" si="283"/>
        <v>0</v>
      </c>
      <c r="R1989" s="71">
        <f t="shared" si="284"/>
        <v>0</v>
      </c>
      <c r="S1989" s="71">
        <f t="shared" si="285"/>
        <v>0</v>
      </c>
      <c r="T1989" s="71">
        <f t="shared" si="286"/>
        <v>0</v>
      </c>
      <c r="U1989" s="71">
        <f>IF(AND(N1989=1,V1989=1),IF(COUNTIFS(AKTIVITAS!$B$2:$B$3052,B1989,AKTIVITAS!$E$2:$E$3052,H1989)&gt;0,1,0),0)</f>
        <v>0</v>
      </c>
      <c r="V1989" s="71">
        <f>IFERROR(IF(AND(H1989&gt;=INDEX(PEMAGANG!$J$3:$J$36,MATCH(B1989,PEMAGANG!$C$3:$C$36,0)),H1989&lt;=INDEX(PEMAGANG!$K$3:$K$36,MATCH(B1989,PEMAGANG!$C$3:$C$36,0))),1,0),0)</f>
        <v>1</v>
      </c>
      <c r="W1989" s="71">
        <f t="shared" si="287"/>
        <v>0</v>
      </c>
    </row>
    <row r="1990" spans="1:23" x14ac:dyDescent="0.2">
      <c r="A1990" s="71" t="s">
        <v>252</v>
      </c>
      <c r="B1990" s="71" t="s">
        <v>253</v>
      </c>
      <c r="C1990" s="71" t="s">
        <v>187</v>
      </c>
      <c r="D1990" s="71" t="s">
        <v>251</v>
      </c>
      <c r="E1990" s="71" t="s">
        <v>42</v>
      </c>
      <c r="F1990" s="71" t="s">
        <v>298</v>
      </c>
      <c r="G1990" s="88">
        <v>46241.309583333299</v>
      </c>
      <c r="H1990" s="89">
        <v>46241</v>
      </c>
      <c r="I1990" s="71" t="s">
        <v>307</v>
      </c>
      <c r="J1990" s="71">
        <v>-4.9999999999999796</v>
      </c>
      <c r="K1990" s="71" t="s">
        <v>302</v>
      </c>
      <c r="L1990" s="71">
        <f t="shared" si="279"/>
        <v>8</v>
      </c>
      <c r="M1990" s="71" t="str">
        <f>IFERROR(INDEX(KALENDER!$D$3:$D$132,MATCH(H1990,KALENDER!$A$3:$A$132,0)),"Di luar periode")</f>
        <v>Hari Kerja</v>
      </c>
      <c r="N1990" s="71">
        <f t="shared" si="280"/>
        <v>1</v>
      </c>
      <c r="O1990" s="71">
        <f t="shared" si="281"/>
        <v>1</v>
      </c>
      <c r="P1990" s="71">
        <f t="shared" si="282"/>
        <v>1</v>
      </c>
      <c r="Q1990" s="71">
        <f t="shared" si="283"/>
        <v>0</v>
      </c>
      <c r="R1990" s="71">
        <f t="shared" si="284"/>
        <v>0</v>
      </c>
      <c r="S1990" s="71">
        <f t="shared" si="285"/>
        <v>0</v>
      </c>
      <c r="T1990" s="71">
        <f t="shared" si="286"/>
        <v>0</v>
      </c>
      <c r="U1990" s="71">
        <f>IF(AND(N1990=1,V1990=1),IF(COUNTIFS(AKTIVITAS!$B$2:$B$3052,B1990,AKTIVITAS!$E$2:$E$3052,H1990)&gt;0,1,0),0)</f>
        <v>1</v>
      </c>
      <c r="V1990" s="71">
        <f>IFERROR(IF(AND(H1990&gt;=INDEX(PEMAGANG!$J$3:$J$36,MATCH(B1990,PEMAGANG!$C$3:$C$36,0)),H1990&lt;=INDEX(PEMAGANG!$K$3:$K$36,MATCH(B1990,PEMAGANG!$C$3:$C$36,0))),1,0),0)</f>
        <v>1</v>
      </c>
      <c r="W1990" s="71">
        <f t="shared" si="287"/>
        <v>1</v>
      </c>
    </row>
    <row r="1991" spans="1:23" x14ac:dyDescent="0.2">
      <c r="A1991" s="71" t="s">
        <v>252</v>
      </c>
      <c r="B1991" s="71" t="s">
        <v>253</v>
      </c>
      <c r="C1991" s="71" t="s">
        <v>187</v>
      </c>
      <c r="D1991" s="71" t="s">
        <v>251</v>
      </c>
      <c r="E1991" s="71" t="s">
        <v>42</v>
      </c>
      <c r="F1991" s="71" t="s">
        <v>300</v>
      </c>
      <c r="G1991" s="88">
        <v>46241.688888888901</v>
      </c>
      <c r="H1991" s="89">
        <v>46241</v>
      </c>
      <c r="I1991" s="71" t="s">
        <v>306</v>
      </c>
      <c r="J1991" s="71">
        <v>0</v>
      </c>
      <c r="K1991" s="71" t="s">
        <v>302</v>
      </c>
      <c r="L1991" s="71">
        <f t="shared" si="279"/>
        <v>8</v>
      </c>
      <c r="M1991" s="71" t="str">
        <f>IFERROR(INDEX(KALENDER!$D$3:$D$132,MATCH(H1991,KALENDER!$A$3:$A$132,0)),"Di luar periode")</f>
        <v>Hari Kerja</v>
      </c>
      <c r="N1991" s="71">
        <f t="shared" si="280"/>
        <v>0</v>
      </c>
      <c r="O1991" s="71">
        <f t="shared" si="281"/>
        <v>1</v>
      </c>
      <c r="P1991" s="71">
        <f t="shared" si="282"/>
        <v>0</v>
      </c>
      <c r="Q1991" s="71">
        <f t="shared" si="283"/>
        <v>0</v>
      </c>
      <c r="R1991" s="71">
        <f t="shared" si="284"/>
        <v>0</v>
      </c>
      <c r="S1991" s="71">
        <f t="shared" si="285"/>
        <v>0</v>
      </c>
      <c r="T1991" s="71">
        <f t="shared" si="286"/>
        <v>0</v>
      </c>
      <c r="U1991" s="71">
        <f>IF(AND(N1991=1,V1991=1),IF(COUNTIFS(AKTIVITAS!$B$2:$B$3052,B1991,AKTIVITAS!$E$2:$E$3052,H1991)&gt;0,1,0),0)</f>
        <v>0</v>
      </c>
      <c r="V1991" s="71">
        <f>IFERROR(IF(AND(H1991&gt;=INDEX(PEMAGANG!$J$3:$J$36,MATCH(B1991,PEMAGANG!$C$3:$C$36,0)),H1991&lt;=INDEX(PEMAGANG!$K$3:$K$36,MATCH(B1991,PEMAGANG!$C$3:$C$36,0))),1,0),0)</f>
        <v>1</v>
      </c>
      <c r="W1991" s="71">
        <f t="shared" si="287"/>
        <v>0</v>
      </c>
    </row>
    <row r="1992" spans="1:23" x14ac:dyDescent="0.2">
      <c r="A1992" s="71" t="s">
        <v>252</v>
      </c>
      <c r="B1992" s="71" t="s">
        <v>253</v>
      </c>
      <c r="C1992" s="71" t="s">
        <v>187</v>
      </c>
      <c r="D1992" s="71" t="s">
        <v>251</v>
      </c>
      <c r="E1992" s="71" t="s">
        <v>42</v>
      </c>
      <c r="F1992" s="71" t="s">
        <v>298</v>
      </c>
      <c r="G1992" s="88">
        <v>46244.310046296298</v>
      </c>
      <c r="H1992" s="89">
        <v>46244</v>
      </c>
      <c r="I1992" s="71" t="s">
        <v>315</v>
      </c>
      <c r="J1992" s="71">
        <v>-3.9999999999999898</v>
      </c>
      <c r="K1992" s="71" t="s">
        <v>302</v>
      </c>
      <c r="L1992" s="71">
        <f t="shared" si="279"/>
        <v>8</v>
      </c>
      <c r="M1992" s="71" t="str">
        <f>IFERROR(INDEX(KALENDER!$D$3:$D$132,MATCH(H1992,KALENDER!$A$3:$A$132,0)),"Di luar periode")</f>
        <v>Hari Kerja</v>
      </c>
      <c r="N1992" s="71">
        <f t="shared" si="280"/>
        <v>1</v>
      </c>
      <c r="O1992" s="71">
        <f t="shared" si="281"/>
        <v>1</v>
      </c>
      <c r="P1992" s="71">
        <f t="shared" si="282"/>
        <v>1</v>
      </c>
      <c r="Q1992" s="71">
        <f t="shared" si="283"/>
        <v>0</v>
      </c>
      <c r="R1992" s="71">
        <f t="shared" si="284"/>
        <v>0</v>
      </c>
      <c r="S1992" s="71">
        <f t="shared" si="285"/>
        <v>0</v>
      </c>
      <c r="T1992" s="71">
        <f t="shared" si="286"/>
        <v>0</v>
      </c>
      <c r="U1992" s="71">
        <f>IF(AND(N1992=1,V1992=1),IF(COUNTIFS(AKTIVITAS!$B$2:$B$3052,B1992,AKTIVITAS!$E$2:$E$3052,H1992)&gt;0,1,0),0)</f>
        <v>1</v>
      </c>
      <c r="V1992" s="71">
        <f>IFERROR(IF(AND(H1992&gt;=INDEX(PEMAGANG!$J$3:$J$36,MATCH(B1992,PEMAGANG!$C$3:$C$36,0)),H1992&lt;=INDEX(PEMAGANG!$K$3:$K$36,MATCH(B1992,PEMAGANG!$C$3:$C$36,0))),1,0),0)</f>
        <v>1</v>
      </c>
      <c r="W1992" s="71">
        <f t="shared" si="287"/>
        <v>1</v>
      </c>
    </row>
    <row r="1993" spans="1:23" x14ac:dyDescent="0.2">
      <c r="A1993" s="71" t="s">
        <v>252</v>
      </c>
      <c r="B1993" s="71" t="s">
        <v>253</v>
      </c>
      <c r="C1993" s="71" t="s">
        <v>187</v>
      </c>
      <c r="D1993" s="71" t="s">
        <v>251</v>
      </c>
      <c r="E1993" s="71" t="s">
        <v>42</v>
      </c>
      <c r="F1993" s="71" t="s">
        <v>300</v>
      </c>
      <c r="G1993" s="88">
        <v>46244.6890277778</v>
      </c>
      <c r="H1993" s="89">
        <v>46244</v>
      </c>
      <c r="I1993" s="71" t="s">
        <v>306</v>
      </c>
      <c r="J1993" s="71">
        <v>0</v>
      </c>
      <c r="K1993" s="71" t="s">
        <v>302</v>
      </c>
      <c r="L1993" s="71">
        <f t="shared" si="279"/>
        <v>8</v>
      </c>
      <c r="M1993" s="71" t="str">
        <f>IFERROR(INDEX(KALENDER!$D$3:$D$132,MATCH(H1993,KALENDER!$A$3:$A$132,0)),"Di luar periode")</f>
        <v>Hari Kerja</v>
      </c>
      <c r="N1993" s="71">
        <f t="shared" si="280"/>
        <v>0</v>
      </c>
      <c r="O1993" s="71">
        <f t="shared" si="281"/>
        <v>1</v>
      </c>
      <c r="P1993" s="71">
        <f t="shared" si="282"/>
        <v>0</v>
      </c>
      <c r="Q1993" s="71">
        <f t="shared" si="283"/>
        <v>0</v>
      </c>
      <c r="R1993" s="71">
        <f t="shared" si="284"/>
        <v>0</v>
      </c>
      <c r="S1993" s="71">
        <f t="shared" si="285"/>
        <v>0</v>
      </c>
      <c r="T1993" s="71">
        <f t="shared" si="286"/>
        <v>0</v>
      </c>
      <c r="U1993" s="71">
        <f>IF(AND(N1993=1,V1993=1),IF(COUNTIFS(AKTIVITAS!$B$2:$B$3052,B1993,AKTIVITAS!$E$2:$E$3052,H1993)&gt;0,1,0),0)</f>
        <v>0</v>
      </c>
      <c r="V1993" s="71">
        <f>IFERROR(IF(AND(H1993&gt;=INDEX(PEMAGANG!$J$3:$J$36,MATCH(B1993,PEMAGANG!$C$3:$C$36,0)),H1993&lt;=INDEX(PEMAGANG!$K$3:$K$36,MATCH(B1993,PEMAGANG!$C$3:$C$36,0))),1,0),0)</f>
        <v>1</v>
      </c>
      <c r="W1993" s="71">
        <f t="shared" si="287"/>
        <v>0</v>
      </c>
    </row>
    <row r="1994" spans="1:23" x14ac:dyDescent="0.2">
      <c r="A1994" s="71" t="s">
        <v>252</v>
      </c>
      <c r="B1994" s="71" t="s">
        <v>253</v>
      </c>
      <c r="C1994" s="71" t="s">
        <v>187</v>
      </c>
      <c r="D1994" s="71" t="s">
        <v>251</v>
      </c>
      <c r="E1994" s="71" t="s">
        <v>42</v>
      </c>
      <c r="F1994" s="71" t="s">
        <v>298</v>
      </c>
      <c r="G1994" s="88">
        <v>46245.308333333298</v>
      </c>
      <c r="H1994" s="89">
        <v>46245</v>
      </c>
      <c r="I1994" s="71" t="s">
        <v>303</v>
      </c>
      <c r="J1994" s="71">
        <v>-5.9999999999999796</v>
      </c>
      <c r="K1994" s="71" t="s">
        <v>302</v>
      </c>
      <c r="L1994" s="71">
        <f t="shared" si="279"/>
        <v>8</v>
      </c>
      <c r="M1994" s="71" t="str">
        <f>IFERROR(INDEX(KALENDER!$D$3:$D$132,MATCH(H1994,KALENDER!$A$3:$A$132,0)),"Di luar periode")</f>
        <v>Hari Kerja</v>
      </c>
      <c r="N1994" s="71">
        <f t="shared" si="280"/>
        <v>1</v>
      </c>
      <c r="O1994" s="71">
        <f t="shared" si="281"/>
        <v>1</v>
      </c>
      <c r="P1994" s="71">
        <f t="shared" si="282"/>
        <v>1</v>
      </c>
      <c r="Q1994" s="71">
        <f t="shared" si="283"/>
        <v>0</v>
      </c>
      <c r="R1994" s="71">
        <f t="shared" si="284"/>
        <v>0</v>
      </c>
      <c r="S1994" s="71">
        <f t="shared" si="285"/>
        <v>0</v>
      </c>
      <c r="T1994" s="71">
        <f t="shared" si="286"/>
        <v>0</v>
      </c>
      <c r="U1994" s="71">
        <f>IF(AND(N1994=1,V1994=1),IF(COUNTIFS(AKTIVITAS!$B$2:$B$3052,B1994,AKTIVITAS!$E$2:$E$3052,H1994)&gt;0,1,0),0)</f>
        <v>1</v>
      </c>
      <c r="V1994" s="71">
        <f>IFERROR(IF(AND(H1994&gt;=INDEX(PEMAGANG!$J$3:$J$36,MATCH(B1994,PEMAGANG!$C$3:$C$36,0)),H1994&lt;=INDEX(PEMAGANG!$K$3:$K$36,MATCH(B1994,PEMAGANG!$C$3:$C$36,0))),1,0),0)</f>
        <v>1</v>
      </c>
      <c r="W1994" s="71">
        <f t="shared" si="287"/>
        <v>1</v>
      </c>
    </row>
    <row r="1995" spans="1:23" x14ac:dyDescent="0.2">
      <c r="A1995" s="71" t="s">
        <v>252</v>
      </c>
      <c r="B1995" s="71" t="s">
        <v>253</v>
      </c>
      <c r="C1995" s="71" t="s">
        <v>187</v>
      </c>
      <c r="D1995" s="71" t="s">
        <v>251</v>
      </c>
      <c r="E1995" s="71" t="s">
        <v>42</v>
      </c>
      <c r="F1995" s="71" t="s">
        <v>300</v>
      </c>
      <c r="G1995" s="88">
        <v>46245.6884027778</v>
      </c>
      <c r="H1995" s="89">
        <v>46245</v>
      </c>
      <c r="I1995" s="71" t="s">
        <v>336</v>
      </c>
      <c r="J1995" s="71">
        <v>0</v>
      </c>
      <c r="K1995" s="71" t="s">
        <v>302</v>
      </c>
      <c r="L1995" s="71">
        <f t="shared" si="279"/>
        <v>8</v>
      </c>
      <c r="M1995" s="71" t="str">
        <f>IFERROR(INDEX(KALENDER!$D$3:$D$132,MATCH(H1995,KALENDER!$A$3:$A$132,0)),"Di luar periode")</f>
        <v>Hari Kerja</v>
      </c>
      <c r="N1995" s="71">
        <f t="shared" si="280"/>
        <v>0</v>
      </c>
      <c r="O1995" s="71">
        <f t="shared" si="281"/>
        <v>1</v>
      </c>
      <c r="P1995" s="71">
        <f t="shared" si="282"/>
        <v>0</v>
      </c>
      <c r="Q1995" s="71">
        <f t="shared" si="283"/>
        <v>0</v>
      </c>
      <c r="R1995" s="71">
        <f t="shared" si="284"/>
        <v>0</v>
      </c>
      <c r="S1995" s="71">
        <f t="shared" si="285"/>
        <v>0</v>
      </c>
      <c r="T1995" s="71">
        <f t="shared" si="286"/>
        <v>0</v>
      </c>
      <c r="U1995" s="71">
        <f>IF(AND(N1995=1,V1995=1),IF(COUNTIFS(AKTIVITAS!$B$2:$B$3052,B1995,AKTIVITAS!$E$2:$E$3052,H1995)&gt;0,1,0),0)</f>
        <v>0</v>
      </c>
      <c r="V1995" s="71">
        <f>IFERROR(IF(AND(H1995&gt;=INDEX(PEMAGANG!$J$3:$J$36,MATCH(B1995,PEMAGANG!$C$3:$C$36,0)),H1995&lt;=INDEX(PEMAGANG!$K$3:$K$36,MATCH(B1995,PEMAGANG!$C$3:$C$36,0))),1,0),0)</f>
        <v>1</v>
      </c>
      <c r="W1995" s="71">
        <f t="shared" si="287"/>
        <v>0</v>
      </c>
    </row>
    <row r="1996" spans="1:23" x14ac:dyDescent="0.2">
      <c r="A1996" s="71" t="s">
        <v>252</v>
      </c>
      <c r="B1996" s="71" t="s">
        <v>253</v>
      </c>
      <c r="C1996" s="71" t="s">
        <v>187</v>
      </c>
      <c r="D1996" s="71" t="s">
        <v>251</v>
      </c>
      <c r="E1996" s="71" t="s">
        <v>42</v>
      </c>
      <c r="F1996" s="71" t="s">
        <v>298</v>
      </c>
      <c r="G1996" s="88">
        <v>46246.298368055599</v>
      </c>
      <c r="H1996" s="89">
        <v>46246</v>
      </c>
      <c r="I1996" s="71" t="s">
        <v>479</v>
      </c>
      <c r="J1996" s="71">
        <v>-21</v>
      </c>
      <c r="K1996" s="71" t="s">
        <v>302</v>
      </c>
      <c r="L1996" s="71">
        <f t="shared" si="279"/>
        <v>8</v>
      </c>
      <c r="M1996" s="71" t="str">
        <f>IFERROR(INDEX(KALENDER!$D$3:$D$132,MATCH(H1996,KALENDER!$A$3:$A$132,0)),"Di luar periode")</f>
        <v>Hari Kerja</v>
      </c>
      <c r="N1996" s="71">
        <f t="shared" si="280"/>
        <v>1</v>
      </c>
      <c r="O1996" s="71">
        <f t="shared" si="281"/>
        <v>1</v>
      </c>
      <c r="P1996" s="71">
        <f t="shared" si="282"/>
        <v>1</v>
      </c>
      <c r="Q1996" s="71">
        <f t="shared" si="283"/>
        <v>0</v>
      </c>
      <c r="R1996" s="71">
        <f t="shared" si="284"/>
        <v>0</v>
      </c>
      <c r="S1996" s="71">
        <f t="shared" si="285"/>
        <v>0</v>
      </c>
      <c r="T1996" s="71">
        <f t="shared" si="286"/>
        <v>0</v>
      </c>
      <c r="U1996" s="71">
        <f>IF(AND(N1996=1,V1996=1),IF(COUNTIFS(AKTIVITAS!$B$2:$B$3052,B1996,AKTIVITAS!$E$2:$E$3052,H1996)&gt;0,1,0),0)</f>
        <v>1</v>
      </c>
      <c r="V1996" s="71">
        <f>IFERROR(IF(AND(H1996&gt;=INDEX(PEMAGANG!$J$3:$J$36,MATCH(B1996,PEMAGANG!$C$3:$C$36,0)),H1996&lt;=INDEX(PEMAGANG!$K$3:$K$36,MATCH(B1996,PEMAGANG!$C$3:$C$36,0))),1,0),0)</f>
        <v>1</v>
      </c>
      <c r="W1996" s="71">
        <f t="shared" si="287"/>
        <v>1</v>
      </c>
    </row>
    <row r="1997" spans="1:23" x14ac:dyDescent="0.2">
      <c r="A1997" s="71" t="s">
        <v>252</v>
      </c>
      <c r="B1997" s="71" t="s">
        <v>253</v>
      </c>
      <c r="C1997" s="71" t="s">
        <v>187</v>
      </c>
      <c r="D1997" s="71" t="s">
        <v>251</v>
      </c>
      <c r="E1997" s="71" t="s">
        <v>42</v>
      </c>
      <c r="F1997" s="71" t="s">
        <v>300</v>
      </c>
      <c r="G1997" s="88">
        <v>46246.690706018497</v>
      </c>
      <c r="H1997" s="89">
        <v>46246</v>
      </c>
      <c r="I1997" s="71" t="s">
        <v>314</v>
      </c>
      <c r="J1997" s="71">
        <v>0</v>
      </c>
      <c r="K1997" s="71" t="s">
        <v>302</v>
      </c>
      <c r="L1997" s="71">
        <f t="shared" si="279"/>
        <v>8</v>
      </c>
      <c r="M1997" s="71" t="str">
        <f>IFERROR(INDEX(KALENDER!$D$3:$D$132,MATCH(H1997,KALENDER!$A$3:$A$132,0)),"Di luar periode")</f>
        <v>Hari Kerja</v>
      </c>
      <c r="N1997" s="71">
        <f t="shared" si="280"/>
        <v>0</v>
      </c>
      <c r="O1997" s="71">
        <f t="shared" si="281"/>
        <v>1</v>
      </c>
      <c r="P1997" s="71">
        <f t="shared" si="282"/>
        <v>0</v>
      </c>
      <c r="Q1997" s="71">
        <f t="shared" si="283"/>
        <v>0</v>
      </c>
      <c r="R1997" s="71">
        <f t="shared" si="284"/>
        <v>0</v>
      </c>
      <c r="S1997" s="71">
        <f t="shared" si="285"/>
        <v>0</v>
      </c>
      <c r="T1997" s="71">
        <f t="shared" si="286"/>
        <v>0</v>
      </c>
      <c r="U1997" s="71">
        <f>IF(AND(N1997=1,V1997=1),IF(COUNTIFS(AKTIVITAS!$B$2:$B$3052,B1997,AKTIVITAS!$E$2:$E$3052,H1997)&gt;0,1,0),0)</f>
        <v>0</v>
      </c>
      <c r="V1997" s="71">
        <f>IFERROR(IF(AND(H1997&gt;=INDEX(PEMAGANG!$J$3:$J$36,MATCH(B1997,PEMAGANG!$C$3:$C$36,0)),H1997&lt;=INDEX(PEMAGANG!$K$3:$K$36,MATCH(B1997,PEMAGANG!$C$3:$C$36,0))),1,0),0)</f>
        <v>1</v>
      </c>
      <c r="W1997" s="71">
        <f t="shared" si="287"/>
        <v>0</v>
      </c>
    </row>
    <row r="1998" spans="1:23" x14ac:dyDescent="0.2">
      <c r="A1998" s="71" t="s">
        <v>252</v>
      </c>
      <c r="B1998" s="71" t="s">
        <v>253</v>
      </c>
      <c r="C1998" s="71" t="s">
        <v>187</v>
      </c>
      <c r="D1998" s="71" t="s">
        <v>251</v>
      </c>
      <c r="E1998" s="71" t="s">
        <v>42</v>
      </c>
      <c r="F1998" s="71" t="s">
        <v>298</v>
      </c>
      <c r="G1998" s="88">
        <v>46247.308194444398</v>
      </c>
      <c r="H1998" s="89">
        <v>46247</v>
      </c>
      <c r="I1998" s="71" t="s">
        <v>311</v>
      </c>
      <c r="J1998" s="71">
        <v>-6.9999999999999796</v>
      </c>
      <c r="K1998" s="71" t="s">
        <v>302</v>
      </c>
      <c r="L1998" s="71">
        <f t="shared" si="279"/>
        <v>8</v>
      </c>
      <c r="M1998" s="71" t="str">
        <f>IFERROR(INDEX(KALENDER!$D$3:$D$132,MATCH(H1998,KALENDER!$A$3:$A$132,0)),"Di luar periode")</f>
        <v>Hari Kerja</v>
      </c>
      <c r="N1998" s="71">
        <f t="shared" si="280"/>
        <v>1</v>
      </c>
      <c r="O1998" s="71">
        <f t="shared" si="281"/>
        <v>1</v>
      </c>
      <c r="P1998" s="71">
        <f t="shared" si="282"/>
        <v>1</v>
      </c>
      <c r="Q1998" s="71">
        <f t="shared" si="283"/>
        <v>0</v>
      </c>
      <c r="R1998" s="71">
        <f t="shared" si="284"/>
        <v>0</v>
      </c>
      <c r="S1998" s="71">
        <f t="shared" si="285"/>
        <v>0</v>
      </c>
      <c r="T1998" s="71">
        <f t="shared" si="286"/>
        <v>0</v>
      </c>
      <c r="U1998" s="71">
        <f>IF(AND(N1998=1,V1998=1),IF(COUNTIFS(AKTIVITAS!$B$2:$B$3052,B1998,AKTIVITAS!$E$2:$E$3052,H1998)&gt;0,1,0),0)</f>
        <v>1</v>
      </c>
      <c r="V1998" s="71">
        <f>IFERROR(IF(AND(H1998&gt;=INDEX(PEMAGANG!$J$3:$J$36,MATCH(B1998,PEMAGANG!$C$3:$C$36,0)),H1998&lt;=INDEX(PEMAGANG!$K$3:$K$36,MATCH(B1998,PEMAGANG!$C$3:$C$36,0))),1,0),0)</f>
        <v>1</v>
      </c>
      <c r="W1998" s="71">
        <f t="shared" si="287"/>
        <v>1</v>
      </c>
    </row>
    <row r="1999" spans="1:23" x14ac:dyDescent="0.2">
      <c r="A1999" s="71" t="s">
        <v>252</v>
      </c>
      <c r="B1999" s="71" t="s">
        <v>253</v>
      </c>
      <c r="C1999" s="71" t="s">
        <v>187</v>
      </c>
      <c r="D1999" s="71" t="s">
        <v>251</v>
      </c>
      <c r="E1999" s="71" t="s">
        <v>42</v>
      </c>
      <c r="F1999" s="71" t="s">
        <v>300</v>
      </c>
      <c r="G1999" s="88">
        <v>46247.6900231482</v>
      </c>
      <c r="H1999" s="89">
        <v>46247</v>
      </c>
      <c r="I1999" s="71" t="s">
        <v>316</v>
      </c>
      <c r="J1999" s="71">
        <v>0</v>
      </c>
      <c r="K1999" s="71" t="s">
        <v>302</v>
      </c>
      <c r="L1999" s="71">
        <f t="shared" si="279"/>
        <v>8</v>
      </c>
      <c r="M1999" s="71" t="str">
        <f>IFERROR(INDEX(KALENDER!$D$3:$D$132,MATCH(H1999,KALENDER!$A$3:$A$132,0)),"Di luar periode")</f>
        <v>Hari Kerja</v>
      </c>
      <c r="N1999" s="71">
        <f t="shared" si="280"/>
        <v>0</v>
      </c>
      <c r="O1999" s="71">
        <f t="shared" si="281"/>
        <v>1</v>
      </c>
      <c r="P1999" s="71">
        <f t="shared" si="282"/>
        <v>0</v>
      </c>
      <c r="Q1999" s="71">
        <f t="shared" si="283"/>
        <v>0</v>
      </c>
      <c r="R1999" s="71">
        <f t="shared" si="284"/>
        <v>0</v>
      </c>
      <c r="S1999" s="71">
        <f t="shared" si="285"/>
        <v>0</v>
      </c>
      <c r="T1999" s="71">
        <f t="shared" si="286"/>
        <v>0</v>
      </c>
      <c r="U1999" s="71">
        <f>IF(AND(N1999=1,V1999=1),IF(COUNTIFS(AKTIVITAS!$B$2:$B$3052,B1999,AKTIVITAS!$E$2:$E$3052,H1999)&gt;0,1,0),0)</f>
        <v>0</v>
      </c>
      <c r="V1999" s="71">
        <f>IFERROR(IF(AND(H1999&gt;=INDEX(PEMAGANG!$J$3:$J$36,MATCH(B1999,PEMAGANG!$C$3:$C$36,0)),H1999&lt;=INDEX(PEMAGANG!$K$3:$K$36,MATCH(B1999,PEMAGANG!$C$3:$C$36,0))),1,0),0)</f>
        <v>1</v>
      </c>
      <c r="W1999" s="71">
        <f t="shared" si="287"/>
        <v>0</v>
      </c>
    </row>
    <row r="2000" spans="1:23" x14ac:dyDescent="0.2">
      <c r="A2000" s="71" t="s">
        <v>252</v>
      </c>
      <c r="B2000" s="71" t="s">
        <v>253</v>
      </c>
      <c r="C2000" s="71" t="s">
        <v>187</v>
      </c>
      <c r="D2000" s="71" t="s">
        <v>251</v>
      </c>
      <c r="E2000" s="71" t="s">
        <v>42</v>
      </c>
      <c r="F2000" s="71" t="s">
        <v>298</v>
      </c>
      <c r="G2000" s="88">
        <v>46252.301365740699</v>
      </c>
      <c r="H2000" s="89">
        <v>46252</v>
      </c>
      <c r="I2000" s="71" t="s">
        <v>475</v>
      </c>
      <c r="J2000" s="71">
        <v>-17</v>
      </c>
      <c r="K2000" s="71" t="s">
        <v>302</v>
      </c>
      <c r="L2000" s="71">
        <f t="shared" si="279"/>
        <v>8</v>
      </c>
      <c r="M2000" s="71" t="str">
        <f>IFERROR(INDEX(KALENDER!$D$3:$D$132,MATCH(H2000,KALENDER!$A$3:$A$132,0)),"Di luar periode")</f>
        <v>Hari Kerja</v>
      </c>
      <c r="N2000" s="71">
        <f t="shared" si="280"/>
        <v>1</v>
      </c>
      <c r="O2000" s="71">
        <f t="shared" si="281"/>
        <v>1</v>
      </c>
      <c r="P2000" s="71">
        <f t="shared" si="282"/>
        <v>1</v>
      </c>
      <c r="Q2000" s="71">
        <f t="shared" si="283"/>
        <v>0</v>
      </c>
      <c r="R2000" s="71">
        <f t="shared" si="284"/>
        <v>0</v>
      </c>
      <c r="S2000" s="71">
        <f t="shared" si="285"/>
        <v>0</v>
      </c>
      <c r="T2000" s="71">
        <f t="shared" si="286"/>
        <v>0</v>
      </c>
      <c r="U2000" s="71">
        <f>IF(AND(N2000=1,V2000=1),IF(COUNTIFS(AKTIVITAS!$B$2:$B$3052,B2000,AKTIVITAS!$E$2:$E$3052,H2000)&gt;0,1,0),0)</f>
        <v>1</v>
      </c>
      <c r="V2000" s="71">
        <f>IFERROR(IF(AND(H2000&gt;=INDEX(PEMAGANG!$J$3:$J$36,MATCH(B2000,PEMAGANG!$C$3:$C$36,0)),H2000&lt;=INDEX(PEMAGANG!$K$3:$K$36,MATCH(B2000,PEMAGANG!$C$3:$C$36,0))),1,0),0)</f>
        <v>1</v>
      </c>
      <c r="W2000" s="71">
        <f t="shared" si="287"/>
        <v>1</v>
      </c>
    </row>
    <row r="2001" spans="1:23" x14ac:dyDescent="0.2">
      <c r="A2001" s="71" t="s">
        <v>252</v>
      </c>
      <c r="B2001" s="71" t="s">
        <v>253</v>
      </c>
      <c r="C2001" s="71" t="s">
        <v>187</v>
      </c>
      <c r="D2001" s="71" t="s">
        <v>251</v>
      </c>
      <c r="E2001" s="71" t="s">
        <v>42</v>
      </c>
      <c r="F2001" s="71" t="s">
        <v>300</v>
      </c>
      <c r="G2001" s="88">
        <v>46252.691793981503</v>
      </c>
      <c r="H2001" s="89">
        <v>46252</v>
      </c>
      <c r="I2001" s="71" t="s">
        <v>344</v>
      </c>
      <c r="J2001" s="71">
        <v>0</v>
      </c>
      <c r="K2001" s="71" t="s">
        <v>302</v>
      </c>
      <c r="L2001" s="71">
        <f t="shared" si="279"/>
        <v>8</v>
      </c>
      <c r="M2001" s="71" t="str">
        <f>IFERROR(INDEX(KALENDER!$D$3:$D$132,MATCH(H2001,KALENDER!$A$3:$A$132,0)),"Di luar periode")</f>
        <v>Hari Kerja</v>
      </c>
      <c r="N2001" s="71">
        <f t="shared" si="280"/>
        <v>0</v>
      </c>
      <c r="O2001" s="71">
        <f t="shared" si="281"/>
        <v>1</v>
      </c>
      <c r="P2001" s="71">
        <f t="shared" si="282"/>
        <v>0</v>
      </c>
      <c r="Q2001" s="71">
        <f t="shared" si="283"/>
        <v>0</v>
      </c>
      <c r="R2001" s="71">
        <f t="shared" si="284"/>
        <v>0</v>
      </c>
      <c r="S2001" s="71">
        <f t="shared" si="285"/>
        <v>0</v>
      </c>
      <c r="T2001" s="71">
        <f t="shared" si="286"/>
        <v>0</v>
      </c>
      <c r="U2001" s="71">
        <f>IF(AND(N2001=1,V2001=1),IF(COUNTIFS(AKTIVITAS!$B$2:$B$3052,B2001,AKTIVITAS!$E$2:$E$3052,H2001)&gt;0,1,0),0)</f>
        <v>0</v>
      </c>
      <c r="V2001" s="71">
        <f>IFERROR(IF(AND(H2001&gt;=INDEX(PEMAGANG!$J$3:$J$36,MATCH(B2001,PEMAGANG!$C$3:$C$36,0)),H2001&lt;=INDEX(PEMAGANG!$K$3:$K$36,MATCH(B2001,PEMAGANG!$C$3:$C$36,0))),1,0),0)</f>
        <v>1</v>
      </c>
      <c r="W2001" s="71">
        <f t="shared" si="287"/>
        <v>0</v>
      </c>
    </row>
    <row r="2002" spans="1:23" x14ac:dyDescent="0.2">
      <c r="A2002" s="71" t="s">
        <v>252</v>
      </c>
      <c r="B2002" s="71" t="s">
        <v>253</v>
      </c>
      <c r="C2002" s="71" t="s">
        <v>187</v>
      </c>
      <c r="D2002" s="71" t="s">
        <v>251</v>
      </c>
      <c r="E2002" s="71" t="s">
        <v>42</v>
      </c>
      <c r="F2002" s="71" t="s">
        <v>298</v>
      </c>
      <c r="G2002" s="88">
        <v>46254.296666666698</v>
      </c>
      <c r="H2002" s="89">
        <v>46254</v>
      </c>
      <c r="I2002" s="71" t="s">
        <v>487</v>
      </c>
      <c r="J2002" s="71">
        <v>-23</v>
      </c>
      <c r="K2002" s="71" t="s">
        <v>302</v>
      </c>
      <c r="L2002" s="71">
        <f t="shared" si="279"/>
        <v>8</v>
      </c>
      <c r="M2002" s="71" t="str">
        <f>IFERROR(INDEX(KALENDER!$D$3:$D$132,MATCH(H2002,KALENDER!$A$3:$A$132,0)),"Di luar periode")</f>
        <v>Hari Kerja</v>
      </c>
      <c r="N2002" s="71">
        <f t="shared" si="280"/>
        <v>1</v>
      </c>
      <c r="O2002" s="71">
        <f t="shared" si="281"/>
        <v>1</v>
      </c>
      <c r="P2002" s="71">
        <f t="shared" si="282"/>
        <v>1</v>
      </c>
      <c r="Q2002" s="71">
        <f t="shared" si="283"/>
        <v>0</v>
      </c>
      <c r="R2002" s="71">
        <f t="shared" si="284"/>
        <v>0</v>
      </c>
      <c r="S2002" s="71">
        <f t="shared" si="285"/>
        <v>0</v>
      </c>
      <c r="T2002" s="71">
        <f t="shared" si="286"/>
        <v>0</v>
      </c>
      <c r="U2002" s="71">
        <f>IF(AND(N2002=1,V2002=1),IF(COUNTIFS(AKTIVITAS!$B$2:$B$3052,B2002,AKTIVITAS!$E$2:$E$3052,H2002)&gt;0,1,0),0)</f>
        <v>1</v>
      </c>
      <c r="V2002" s="71">
        <f>IFERROR(IF(AND(H2002&gt;=INDEX(PEMAGANG!$J$3:$J$36,MATCH(B2002,PEMAGANG!$C$3:$C$36,0)),H2002&lt;=INDEX(PEMAGANG!$K$3:$K$36,MATCH(B2002,PEMAGANG!$C$3:$C$36,0))),1,0),0)</f>
        <v>1</v>
      </c>
      <c r="W2002" s="71">
        <f t="shared" si="287"/>
        <v>1</v>
      </c>
    </row>
    <row r="2003" spans="1:23" x14ac:dyDescent="0.2">
      <c r="A2003" s="71" t="s">
        <v>252</v>
      </c>
      <c r="B2003" s="71" t="s">
        <v>253</v>
      </c>
      <c r="C2003" s="71" t="s">
        <v>187</v>
      </c>
      <c r="D2003" s="71" t="s">
        <v>251</v>
      </c>
      <c r="E2003" s="71" t="s">
        <v>42</v>
      </c>
      <c r="F2003" s="71" t="s">
        <v>300</v>
      </c>
      <c r="G2003" s="88">
        <v>46254.688101851898</v>
      </c>
      <c r="H2003" s="89">
        <v>46254</v>
      </c>
      <c r="I2003" s="71" t="s">
        <v>330</v>
      </c>
      <c r="J2003" s="71">
        <v>0</v>
      </c>
      <c r="K2003" s="71" t="s">
        <v>302</v>
      </c>
      <c r="L2003" s="71">
        <f t="shared" si="279"/>
        <v>8</v>
      </c>
      <c r="M2003" s="71" t="str">
        <f>IFERROR(INDEX(KALENDER!$D$3:$D$132,MATCH(H2003,KALENDER!$A$3:$A$132,0)),"Di luar periode")</f>
        <v>Hari Kerja</v>
      </c>
      <c r="N2003" s="71">
        <f t="shared" si="280"/>
        <v>0</v>
      </c>
      <c r="O2003" s="71">
        <f t="shared" si="281"/>
        <v>1</v>
      </c>
      <c r="P2003" s="71">
        <f t="shared" si="282"/>
        <v>0</v>
      </c>
      <c r="Q2003" s="71">
        <f t="shared" si="283"/>
        <v>0</v>
      </c>
      <c r="R2003" s="71">
        <f t="shared" si="284"/>
        <v>0</v>
      </c>
      <c r="S2003" s="71">
        <f t="shared" si="285"/>
        <v>0</v>
      </c>
      <c r="T2003" s="71">
        <f t="shared" si="286"/>
        <v>0</v>
      </c>
      <c r="U2003" s="71">
        <f>IF(AND(N2003=1,V2003=1),IF(COUNTIFS(AKTIVITAS!$B$2:$B$3052,B2003,AKTIVITAS!$E$2:$E$3052,H2003)&gt;0,1,0),0)</f>
        <v>0</v>
      </c>
      <c r="V2003" s="71">
        <f>IFERROR(IF(AND(H2003&gt;=INDEX(PEMAGANG!$J$3:$J$36,MATCH(B2003,PEMAGANG!$C$3:$C$36,0)),H2003&lt;=INDEX(PEMAGANG!$K$3:$K$36,MATCH(B2003,PEMAGANG!$C$3:$C$36,0))),1,0),0)</f>
        <v>1</v>
      </c>
      <c r="W2003" s="71">
        <f t="shared" si="287"/>
        <v>0</v>
      </c>
    </row>
    <row r="2004" spans="1:23" x14ac:dyDescent="0.2">
      <c r="A2004" s="71" t="s">
        <v>252</v>
      </c>
      <c r="B2004" s="71" t="s">
        <v>253</v>
      </c>
      <c r="C2004" s="71" t="s">
        <v>187</v>
      </c>
      <c r="D2004" s="71" t="s">
        <v>251</v>
      </c>
      <c r="E2004" s="71" t="s">
        <v>42</v>
      </c>
      <c r="F2004" s="71" t="s">
        <v>298</v>
      </c>
      <c r="G2004" s="88">
        <v>46255.309791666703</v>
      </c>
      <c r="H2004" s="89">
        <v>46255</v>
      </c>
      <c r="I2004" s="71" t="s">
        <v>315</v>
      </c>
      <c r="J2004" s="71">
        <v>-34</v>
      </c>
      <c r="K2004" s="71" t="s">
        <v>302</v>
      </c>
      <c r="L2004" s="71">
        <f t="shared" si="279"/>
        <v>8</v>
      </c>
      <c r="M2004" s="71" t="str">
        <f>IFERROR(INDEX(KALENDER!$D$3:$D$132,MATCH(H2004,KALENDER!$A$3:$A$132,0)),"Di luar periode")</f>
        <v>Hari Kerja</v>
      </c>
      <c r="N2004" s="71">
        <f t="shared" si="280"/>
        <v>1</v>
      </c>
      <c r="O2004" s="71">
        <f t="shared" si="281"/>
        <v>1</v>
      </c>
      <c r="P2004" s="71">
        <f t="shared" si="282"/>
        <v>1</v>
      </c>
      <c r="Q2004" s="71">
        <f t="shared" si="283"/>
        <v>0</v>
      </c>
      <c r="R2004" s="71">
        <f t="shared" si="284"/>
        <v>0</v>
      </c>
      <c r="S2004" s="71">
        <f t="shared" si="285"/>
        <v>0</v>
      </c>
      <c r="T2004" s="71">
        <f t="shared" si="286"/>
        <v>0</v>
      </c>
      <c r="U2004" s="71">
        <f>IF(AND(N2004=1,V2004=1),IF(COUNTIFS(AKTIVITAS!$B$2:$B$3052,B2004,AKTIVITAS!$E$2:$E$3052,H2004)&gt;0,1,0),0)</f>
        <v>1</v>
      </c>
      <c r="V2004" s="71">
        <f>IFERROR(IF(AND(H2004&gt;=INDEX(PEMAGANG!$J$3:$J$36,MATCH(B2004,PEMAGANG!$C$3:$C$36,0)),H2004&lt;=INDEX(PEMAGANG!$K$3:$K$36,MATCH(B2004,PEMAGANG!$C$3:$C$36,0))),1,0),0)</f>
        <v>1</v>
      </c>
      <c r="W2004" s="71">
        <f t="shared" si="287"/>
        <v>1</v>
      </c>
    </row>
    <row r="2005" spans="1:23" x14ac:dyDescent="0.2">
      <c r="A2005" s="71" t="s">
        <v>252</v>
      </c>
      <c r="B2005" s="71" t="s">
        <v>253</v>
      </c>
      <c r="C2005" s="71" t="s">
        <v>187</v>
      </c>
      <c r="D2005" s="71" t="s">
        <v>251</v>
      </c>
      <c r="E2005" s="71" t="s">
        <v>42</v>
      </c>
      <c r="F2005" s="71" t="s">
        <v>300</v>
      </c>
      <c r="G2005" s="88">
        <v>46255.688182870399</v>
      </c>
      <c r="H2005" s="89">
        <v>46255</v>
      </c>
      <c r="I2005" s="71" t="s">
        <v>330</v>
      </c>
      <c r="J2005" s="71">
        <v>0</v>
      </c>
      <c r="K2005" s="71" t="s">
        <v>302</v>
      </c>
      <c r="L2005" s="71">
        <f t="shared" si="279"/>
        <v>8</v>
      </c>
      <c r="M2005" s="71" t="str">
        <f>IFERROR(INDEX(KALENDER!$D$3:$D$132,MATCH(H2005,KALENDER!$A$3:$A$132,0)),"Di luar periode")</f>
        <v>Hari Kerja</v>
      </c>
      <c r="N2005" s="71">
        <f t="shared" si="280"/>
        <v>0</v>
      </c>
      <c r="O2005" s="71">
        <f t="shared" si="281"/>
        <v>1</v>
      </c>
      <c r="P2005" s="71">
        <f t="shared" si="282"/>
        <v>0</v>
      </c>
      <c r="Q2005" s="71">
        <f t="shared" si="283"/>
        <v>0</v>
      </c>
      <c r="R2005" s="71">
        <f t="shared" si="284"/>
        <v>0</v>
      </c>
      <c r="S2005" s="71">
        <f t="shared" si="285"/>
        <v>0</v>
      </c>
      <c r="T2005" s="71">
        <f t="shared" si="286"/>
        <v>0</v>
      </c>
      <c r="U2005" s="71">
        <f>IF(AND(N2005=1,V2005=1),IF(COUNTIFS(AKTIVITAS!$B$2:$B$3052,B2005,AKTIVITAS!$E$2:$E$3052,H2005)&gt;0,1,0),0)</f>
        <v>0</v>
      </c>
      <c r="V2005" s="71">
        <f>IFERROR(IF(AND(H2005&gt;=INDEX(PEMAGANG!$J$3:$J$36,MATCH(B2005,PEMAGANG!$C$3:$C$36,0)),H2005&lt;=INDEX(PEMAGANG!$K$3:$K$36,MATCH(B2005,PEMAGANG!$C$3:$C$36,0))),1,0),0)</f>
        <v>1</v>
      </c>
      <c r="W2005" s="71">
        <f t="shared" si="287"/>
        <v>0</v>
      </c>
    </row>
    <row r="2006" spans="1:23" x14ac:dyDescent="0.2">
      <c r="A2006" s="71" t="s">
        <v>252</v>
      </c>
      <c r="B2006" s="71" t="s">
        <v>253</v>
      </c>
      <c r="C2006" s="71" t="s">
        <v>187</v>
      </c>
      <c r="D2006" s="71" t="s">
        <v>251</v>
      </c>
      <c r="E2006" s="71" t="s">
        <v>42</v>
      </c>
      <c r="F2006" s="71" t="s">
        <v>298</v>
      </c>
      <c r="G2006" s="88">
        <v>46258.309479166703</v>
      </c>
      <c r="H2006" s="89">
        <v>46258</v>
      </c>
      <c r="I2006" s="71" t="s">
        <v>307</v>
      </c>
      <c r="J2006" s="71">
        <v>-35</v>
      </c>
      <c r="K2006" s="71" t="s">
        <v>302</v>
      </c>
      <c r="L2006" s="71">
        <f t="shared" si="279"/>
        <v>8</v>
      </c>
      <c r="M2006" s="71" t="str">
        <f>IFERROR(INDEX(KALENDER!$D$3:$D$132,MATCH(H2006,KALENDER!$A$3:$A$132,0)),"Di luar periode")</f>
        <v>Hari Kerja</v>
      </c>
      <c r="N2006" s="71">
        <f t="shared" si="280"/>
        <v>1</v>
      </c>
      <c r="O2006" s="71">
        <f t="shared" si="281"/>
        <v>1</v>
      </c>
      <c r="P2006" s="71">
        <f t="shared" si="282"/>
        <v>1</v>
      </c>
      <c r="Q2006" s="71">
        <f t="shared" si="283"/>
        <v>0</v>
      </c>
      <c r="R2006" s="71">
        <f t="shared" si="284"/>
        <v>0</v>
      </c>
      <c r="S2006" s="71">
        <f t="shared" si="285"/>
        <v>0</v>
      </c>
      <c r="T2006" s="71">
        <f t="shared" si="286"/>
        <v>0</v>
      </c>
      <c r="U2006" s="71">
        <f>IF(AND(N2006=1,V2006=1),IF(COUNTIFS(AKTIVITAS!$B$2:$B$3052,B2006,AKTIVITAS!$E$2:$E$3052,H2006)&gt;0,1,0),0)</f>
        <v>1</v>
      </c>
      <c r="V2006" s="71">
        <f>IFERROR(IF(AND(H2006&gt;=INDEX(PEMAGANG!$J$3:$J$36,MATCH(B2006,PEMAGANG!$C$3:$C$36,0)),H2006&lt;=INDEX(PEMAGANG!$K$3:$K$36,MATCH(B2006,PEMAGANG!$C$3:$C$36,0))),1,0),0)</f>
        <v>1</v>
      </c>
      <c r="W2006" s="71">
        <f t="shared" si="287"/>
        <v>1</v>
      </c>
    </row>
    <row r="2007" spans="1:23" x14ac:dyDescent="0.2">
      <c r="A2007" s="71" t="s">
        <v>252</v>
      </c>
      <c r="B2007" s="71" t="s">
        <v>253</v>
      </c>
      <c r="C2007" s="71" t="s">
        <v>187</v>
      </c>
      <c r="D2007" s="71" t="s">
        <v>251</v>
      </c>
      <c r="E2007" s="71" t="s">
        <v>42</v>
      </c>
      <c r="F2007" s="71" t="s">
        <v>300</v>
      </c>
      <c r="G2007" s="88">
        <v>46258.688750000001</v>
      </c>
      <c r="H2007" s="89">
        <v>46258</v>
      </c>
      <c r="I2007" s="71" t="s">
        <v>336</v>
      </c>
      <c r="J2007" s="71">
        <v>0</v>
      </c>
      <c r="K2007" s="71" t="s">
        <v>302</v>
      </c>
      <c r="L2007" s="71">
        <f t="shared" si="279"/>
        <v>8</v>
      </c>
      <c r="M2007" s="71" t="str">
        <f>IFERROR(INDEX(KALENDER!$D$3:$D$132,MATCH(H2007,KALENDER!$A$3:$A$132,0)),"Di luar periode")</f>
        <v>Hari Kerja</v>
      </c>
      <c r="N2007" s="71">
        <f t="shared" si="280"/>
        <v>0</v>
      </c>
      <c r="O2007" s="71">
        <f t="shared" si="281"/>
        <v>1</v>
      </c>
      <c r="P2007" s="71">
        <f t="shared" si="282"/>
        <v>0</v>
      </c>
      <c r="Q2007" s="71">
        <f t="shared" si="283"/>
        <v>0</v>
      </c>
      <c r="R2007" s="71">
        <f t="shared" si="284"/>
        <v>0</v>
      </c>
      <c r="S2007" s="71">
        <f t="shared" si="285"/>
        <v>0</v>
      </c>
      <c r="T2007" s="71">
        <f t="shared" si="286"/>
        <v>0</v>
      </c>
      <c r="U2007" s="71">
        <f>IF(AND(N2007=1,V2007=1),IF(COUNTIFS(AKTIVITAS!$B$2:$B$3052,B2007,AKTIVITAS!$E$2:$E$3052,H2007)&gt;0,1,0),0)</f>
        <v>0</v>
      </c>
      <c r="V2007" s="71">
        <f>IFERROR(IF(AND(H2007&gt;=INDEX(PEMAGANG!$J$3:$J$36,MATCH(B2007,PEMAGANG!$C$3:$C$36,0)),H2007&lt;=INDEX(PEMAGANG!$K$3:$K$36,MATCH(B2007,PEMAGANG!$C$3:$C$36,0))),1,0),0)</f>
        <v>1</v>
      </c>
      <c r="W2007" s="71">
        <f t="shared" si="287"/>
        <v>0</v>
      </c>
    </row>
    <row r="2008" spans="1:23" x14ac:dyDescent="0.2">
      <c r="A2008" s="71" t="s">
        <v>252</v>
      </c>
      <c r="B2008" s="71" t="s">
        <v>253</v>
      </c>
      <c r="C2008" s="71" t="s">
        <v>187</v>
      </c>
      <c r="D2008" s="71" t="s">
        <v>251</v>
      </c>
      <c r="E2008" s="71" t="s">
        <v>42</v>
      </c>
      <c r="F2008" s="71" t="s">
        <v>298</v>
      </c>
      <c r="G2008" s="88">
        <v>46260.3105671296</v>
      </c>
      <c r="H2008" s="89">
        <v>46260</v>
      </c>
      <c r="I2008" s="71" t="s">
        <v>309</v>
      </c>
      <c r="J2008" s="71">
        <v>-33</v>
      </c>
      <c r="K2008" s="71" t="s">
        <v>302</v>
      </c>
      <c r="L2008" s="71">
        <f t="shared" si="279"/>
        <v>8</v>
      </c>
      <c r="M2008" s="71" t="str">
        <f>IFERROR(INDEX(KALENDER!$D$3:$D$132,MATCH(H2008,KALENDER!$A$3:$A$132,0)),"Di luar periode")</f>
        <v>Hari Kerja</v>
      </c>
      <c r="N2008" s="71">
        <f t="shared" si="280"/>
        <v>1</v>
      </c>
      <c r="O2008" s="71">
        <f t="shared" si="281"/>
        <v>1</v>
      </c>
      <c r="P2008" s="71">
        <f t="shared" si="282"/>
        <v>1</v>
      </c>
      <c r="Q2008" s="71">
        <f t="shared" si="283"/>
        <v>0</v>
      </c>
      <c r="R2008" s="71">
        <f t="shared" si="284"/>
        <v>0</v>
      </c>
      <c r="S2008" s="71">
        <f t="shared" si="285"/>
        <v>0</v>
      </c>
      <c r="T2008" s="71">
        <f t="shared" si="286"/>
        <v>0</v>
      </c>
      <c r="U2008" s="71">
        <f>IF(AND(N2008=1,V2008=1),IF(COUNTIFS(AKTIVITAS!$B$2:$B$3052,B2008,AKTIVITAS!$E$2:$E$3052,H2008)&gt;0,1,0),0)</f>
        <v>1</v>
      </c>
      <c r="V2008" s="71">
        <f>IFERROR(IF(AND(H2008&gt;=INDEX(PEMAGANG!$J$3:$J$36,MATCH(B2008,PEMAGANG!$C$3:$C$36,0)),H2008&lt;=INDEX(PEMAGANG!$K$3:$K$36,MATCH(B2008,PEMAGANG!$C$3:$C$36,0))),1,0),0)</f>
        <v>1</v>
      </c>
      <c r="W2008" s="71">
        <f t="shared" si="287"/>
        <v>1</v>
      </c>
    </row>
    <row r="2009" spans="1:23" x14ac:dyDescent="0.2">
      <c r="A2009" s="71" t="s">
        <v>252</v>
      </c>
      <c r="B2009" s="71" t="s">
        <v>253</v>
      </c>
      <c r="C2009" s="71" t="s">
        <v>187</v>
      </c>
      <c r="D2009" s="71" t="s">
        <v>251</v>
      </c>
      <c r="E2009" s="71" t="s">
        <v>42</v>
      </c>
      <c r="F2009" s="71" t="s">
        <v>300</v>
      </c>
      <c r="G2009" s="88">
        <v>46260.688020833302</v>
      </c>
      <c r="H2009" s="89">
        <v>46260</v>
      </c>
      <c r="I2009" s="71" t="s">
        <v>330</v>
      </c>
      <c r="J2009" s="71">
        <v>0</v>
      </c>
      <c r="K2009" s="71" t="s">
        <v>302</v>
      </c>
      <c r="L2009" s="71">
        <f t="shared" si="279"/>
        <v>8</v>
      </c>
      <c r="M2009" s="71" t="str">
        <f>IFERROR(INDEX(KALENDER!$D$3:$D$132,MATCH(H2009,KALENDER!$A$3:$A$132,0)),"Di luar periode")</f>
        <v>Hari Kerja</v>
      </c>
      <c r="N2009" s="71">
        <f t="shared" si="280"/>
        <v>0</v>
      </c>
      <c r="O2009" s="71">
        <f t="shared" si="281"/>
        <v>1</v>
      </c>
      <c r="P2009" s="71">
        <f t="shared" si="282"/>
        <v>0</v>
      </c>
      <c r="Q2009" s="71">
        <f t="shared" si="283"/>
        <v>0</v>
      </c>
      <c r="R2009" s="71">
        <f t="shared" si="284"/>
        <v>0</v>
      </c>
      <c r="S2009" s="71">
        <f t="shared" si="285"/>
        <v>0</v>
      </c>
      <c r="T2009" s="71">
        <f t="shared" si="286"/>
        <v>0</v>
      </c>
      <c r="U2009" s="71">
        <f>IF(AND(N2009=1,V2009=1),IF(COUNTIFS(AKTIVITAS!$B$2:$B$3052,B2009,AKTIVITAS!$E$2:$E$3052,H2009)&gt;0,1,0),0)</f>
        <v>0</v>
      </c>
      <c r="V2009" s="71">
        <f>IFERROR(IF(AND(H2009&gt;=INDEX(PEMAGANG!$J$3:$J$36,MATCH(B2009,PEMAGANG!$C$3:$C$36,0)),H2009&lt;=INDEX(PEMAGANG!$K$3:$K$36,MATCH(B2009,PEMAGANG!$C$3:$C$36,0))),1,0),0)</f>
        <v>1</v>
      </c>
      <c r="W2009" s="71">
        <f t="shared" si="287"/>
        <v>0</v>
      </c>
    </row>
    <row r="2010" spans="1:23" x14ac:dyDescent="0.2">
      <c r="A2010" s="71" t="s">
        <v>252</v>
      </c>
      <c r="B2010" s="71" t="s">
        <v>253</v>
      </c>
      <c r="C2010" s="71" t="s">
        <v>187</v>
      </c>
      <c r="D2010" s="71" t="s">
        <v>251</v>
      </c>
      <c r="E2010" s="71" t="s">
        <v>42</v>
      </c>
      <c r="F2010" s="71" t="s">
        <v>298</v>
      </c>
      <c r="G2010" s="88">
        <v>46262.302546296298</v>
      </c>
      <c r="H2010" s="89">
        <v>46262</v>
      </c>
      <c r="I2010" s="71" t="s">
        <v>370</v>
      </c>
      <c r="J2010" s="71">
        <v>-45</v>
      </c>
      <c r="K2010" s="71" t="s">
        <v>302</v>
      </c>
      <c r="L2010" s="71">
        <f t="shared" si="279"/>
        <v>8</v>
      </c>
      <c r="M2010" s="71" t="str">
        <f>IFERROR(INDEX(KALENDER!$D$3:$D$132,MATCH(H2010,KALENDER!$A$3:$A$132,0)),"Di luar periode")</f>
        <v>Hari Kerja</v>
      </c>
      <c r="N2010" s="71">
        <f t="shared" si="280"/>
        <v>1</v>
      </c>
      <c r="O2010" s="71">
        <f t="shared" si="281"/>
        <v>1</v>
      </c>
      <c r="P2010" s="71">
        <f t="shared" si="282"/>
        <v>1</v>
      </c>
      <c r="Q2010" s="71">
        <f t="shared" si="283"/>
        <v>0</v>
      </c>
      <c r="R2010" s="71">
        <f t="shared" si="284"/>
        <v>0</v>
      </c>
      <c r="S2010" s="71">
        <f t="shared" si="285"/>
        <v>0</v>
      </c>
      <c r="T2010" s="71">
        <f t="shared" si="286"/>
        <v>0</v>
      </c>
      <c r="U2010" s="71">
        <f>IF(AND(N2010=1,V2010=1),IF(COUNTIFS(AKTIVITAS!$B$2:$B$3052,B2010,AKTIVITAS!$E$2:$E$3052,H2010)&gt;0,1,0),0)</f>
        <v>1</v>
      </c>
      <c r="V2010" s="71">
        <f>IFERROR(IF(AND(H2010&gt;=INDEX(PEMAGANG!$J$3:$J$36,MATCH(B2010,PEMAGANG!$C$3:$C$36,0)),H2010&lt;=INDEX(PEMAGANG!$K$3:$K$36,MATCH(B2010,PEMAGANG!$C$3:$C$36,0))),1,0),0)</f>
        <v>1</v>
      </c>
      <c r="W2010" s="71">
        <f t="shared" si="287"/>
        <v>1</v>
      </c>
    </row>
    <row r="2011" spans="1:23" x14ac:dyDescent="0.2">
      <c r="A2011" s="71" t="s">
        <v>252</v>
      </c>
      <c r="B2011" s="71" t="s">
        <v>253</v>
      </c>
      <c r="C2011" s="71" t="s">
        <v>187</v>
      </c>
      <c r="D2011" s="71" t="s">
        <v>251</v>
      </c>
      <c r="E2011" s="71" t="s">
        <v>42</v>
      </c>
      <c r="F2011" s="71" t="s">
        <v>300</v>
      </c>
      <c r="G2011" s="88">
        <v>46262.693657407399</v>
      </c>
      <c r="H2011" s="89">
        <v>46262</v>
      </c>
      <c r="I2011" s="71" t="s">
        <v>317</v>
      </c>
      <c r="J2011" s="71">
        <v>0</v>
      </c>
      <c r="K2011" s="71" t="s">
        <v>302</v>
      </c>
      <c r="L2011" s="71">
        <f t="shared" si="279"/>
        <v>8</v>
      </c>
      <c r="M2011" s="71" t="str">
        <f>IFERROR(INDEX(KALENDER!$D$3:$D$132,MATCH(H2011,KALENDER!$A$3:$A$132,0)),"Di luar periode")</f>
        <v>Hari Kerja</v>
      </c>
      <c r="N2011" s="71">
        <f t="shared" si="280"/>
        <v>0</v>
      </c>
      <c r="O2011" s="71">
        <f t="shared" si="281"/>
        <v>1</v>
      </c>
      <c r="P2011" s="71">
        <f t="shared" si="282"/>
        <v>0</v>
      </c>
      <c r="Q2011" s="71">
        <f t="shared" si="283"/>
        <v>0</v>
      </c>
      <c r="R2011" s="71">
        <f t="shared" si="284"/>
        <v>0</v>
      </c>
      <c r="S2011" s="71">
        <f t="shared" si="285"/>
        <v>0</v>
      </c>
      <c r="T2011" s="71">
        <f t="shared" si="286"/>
        <v>0</v>
      </c>
      <c r="U2011" s="71">
        <f>IF(AND(N2011=1,V2011=1),IF(COUNTIFS(AKTIVITAS!$B$2:$B$3052,B2011,AKTIVITAS!$E$2:$E$3052,H2011)&gt;0,1,0),0)</f>
        <v>0</v>
      </c>
      <c r="V2011" s="71">
        <f>IFERROR(IF(AND(H2011&gt;=INDEX(PEMAGANG!$J$3:$J$36,MATCH(B2011,PEMAGANG!$C$3:$C$36,0)),H2011&lt;=INDEX(PEMAGANG!$K$3:$K$36,MATCH(B2011,PEMAGANG!$C$3:$C$36,0))),1,0),0)</f>
        <v>1</v>
      </c>
      <c r="W2011" s="71">
        <f t="shared" si="287"/>
        <v>0</v>
      </c>
    </row>
    <row r="2012" spans="1:23" x14ac:dyDescent="0.2">
      <c r="A2012" s="71" t="s">
        <v>252</v>
      </c>
      <c r="B2012" s="71" t="s">
        <v>253</v>
      </c>
      <c r="C2012" s="71" t="s">
        <v>187</v>
      </c>
      <c r="D2012" s="71" t="s">
        <v>251</v>
      </c>
      <c r="E2012" s="71" t="s">
        <v>42</v>
      </c>
      <c r="F2012" s="71" t="s">
        <v>298</v>
      </c>
      <c r="G2012" s="88">
        <v>46265.309479166703</v>
      </c>
      <c r="H2012" s="89">
        <v>46265</v>
      </c>
      <c r="I2012" s="71" t="s">
        <v>307</v>
      </c>
      <c r="J2012" s="71">
        <v>-35</v>
      </c>
      <c r="K2012" s="71" t="s">
        <v>302</v>
      </c>
      <c r="L2012" s="71">
        <f t="shared" si="279"/>
        <v>8</v>
      </c>
      <c r="M2012" s="71" t="str">
        <f>IFERROR(INDEX(KALENDER!$D$3:$D$132,MATCH(H2012,KALENDER!$A$3:$A$132,0)),"Di luar periode")</f>
        <v>Hari Kerja</v>
      </c>
      <c r="N2012" s="71">
        <f t="shared" si="280"/>
        <v>1</v>
      </c>
      <c r="O2012" s="71">
        <f t="shared" si="281"/>
        <v>1</v>
      </c>
      <c r="P2012" s="71">
        <f t="shared" si="282"/>
        <v>1</v>
      </c>
      <c r="Q2012" s="71">
        <f t="shared" si="283"/>
        <v>0</v>
      </c>
      <c r="R2012" s="71">
        <f t="shared" si="284"/>
        <v>0</v>
      </c>
      <c r="S2012" s="71">
        <f t="shared" si="285"/>
        <v>0</v>
      </c>
      <c r="T2012" s="71">
        <f t="shared" si="286"/>
        <v>0</v>
      </c>
      <c r="U2012" s="71">
        <f>IF(AND(N2012=1,V2012=1),IF(COUNTIFS(AKTIVITAS!$B$2:$B$3052,B2012,AKTIVITAS!$E$2:$E$3052,H2012)&gt;0,1,0),0)</f>
        <v>1</v>
      </c>
      <c r="V2012" s="71">
        <f>IFERROR(IF(AND(H2012&gt;=INDEX(PEMAGANG!$J$3:$J$36,MATCH(B2012,PEMAGANG!$C$3:$C$36,0)),H2012&lt;=INDEX(PEMAGANG!$K$3:$K$36,MATCH(B2012,PEMAGANG!$C$3:$C$36,0))),1,0),0)</f>
        <v>1</v>
      </c>
      <c r="W2012" s="71">
        <f t="shared" si="287"/>
        <v>1</v>
      </c>
    </row>
    <row r="2013" spans="1:23" x14ac:dyDescent="0.2">
      <c r="A2013" s="71" t="s">
        <v>252</v>
      </c>
      <c r="B2013" s="71" t="s">
        <v>253</v>
      </c>
      <c r="C2013" s="71" t="s">
        <v>187</v>
      </c>
      <c r="D2013" s="71" t="s">
        <v>251</v>
      </c>
      <c r="E2013" s="71" t="s">
        <v>42</v>
      </c>
      <c r="F2013" s="71" t="s">
        <v>300</v>
      </c>
      <c r="G2013" s="88">
        <v>46265.691828703697</v>
      </c>
      <c r="H2013" s="89">
        <v>46265</v>
      </c>
      <c r="I2013" s="71" t="s">
        <v>344</v>
      </c>
      <c r="J2013" s="71">
        <v>0</v>
      </c>
      <c r="K2013" s="71" t="s">
        <v>302</v>
      </c>
      <c r="L2013" s="71">
        <f t="shared" si="279"/>
        <v>8</v>
      </c>
      <c r="M2013" s="71" t="str">
        <f>IFERROR(INDEX(KALENDER!$D$3:$D$132,MATCH(H2013,KALENDER!$A$3:$A$132,0)),"Di luar periode")</f>
        <v>Hari Kerja</v>
      </c>
      <c r="N2013" s="71">
        <f t="shared" si="280"/>
        <v>0</v>
      </c>
      <c r="O2013" s="71">
        <f t="shared" si="281"/>
        <v>1</v>
      </c>
      <c r="P2013" s="71">
        <f t="shared" si="282"/>
        <v>0</v>
      </c>
      <c r="Q2013" s="71">
        <f t="shared" si="283"/>
        <v>0</v>
      </c>
      <c r="R2013" s="71">
        <f t="shared" si="284"/>
        <v>0</v>
      </c>
      <c r="S2013" s="71">
        <f t="shared" si="285"/>
        <v>0</v>
      </c>
      <c r="T2013" s="71">
        <f t="shared" si="286"/>
        <v>0</v>
      </c>
      <c r="U2013" s="71">
        <f>IF(AND(N2013=1,V2013=1),IF(COUNTIFS(AKTIVITAS!$B$2:$B$3052,B2013,AKTIVITAS!$E$2:$E$3052,H2013)&gt;0,1,0),0)</f>
        <v>0</v>
      </c>
      <c r="V2013" s="71">
        <f>IFERROR(IF(AND(H2013&gt;=INDEX(PEMAGANG!$J$3:$J$36,MATCH(B2013,PEMAGANG!$C$3:$C$36,0)),H2013&lt;=INDEX(PEMAGANG!$K$3:$K$36,MATCH(B2013,PEMAGANG!$C$3:$C$36,0))),1,0),0)</f>
        <v>1</v>
      </c>
      <c r="W2013" s="71">
        <f t="shared" si="287"/>
        <v>0</v>
      </c>
    </row>
    <row r="2014" spans="1:23" x14ac:dyDescent="0.2">
      <c r="A2014" s="71" t="s">
        <v>252</v>
      </c>
      <c r="B2014" s="71" t="s">
        <v>253</v>
      </c>
      <c r="C2014" s="71" t="s">
        <v>187</v>
      </c>
      <c r="D2014" s="71" t="s">
        <v>251</v>
      </c>
      <c r="E2014" s="71" t="s">
        <v>42</v>
      </c>
      <c r="F2014" s="71" t="s">
        <v>298</v>
      </c>
      <c r="G2014" s="88">
        <v>46266.310034722199</v>
      </c>
      <c r="H2014" s="89">
        <v>46266</v>
      </c>
      <c r="I2014" s="71" t="s">
        <v>315</v>
      </c>
      <c r="J2014" s="71">
        <v>-34</v>
      </c>
      <c r="K2014" s="71" t="s">
        <v>302</v>
      </c>
      <c r="L2014" s="71">
        <f t="shared" si="279"/>
        <v>9</v>
      </c>
      <c r="M2014" s="71" t="str">
        <f>IFERROR(INDEX(KALENDER!$D$3:$D$132,MATCH(H2014,KALENDER!$A$3:$A$132,0)),"Di luar periode")</f>
        <v>Hari Kerja</v>
      </c>
      <c r="N2014" s="71">
        <f t="shared" si="280"/>
        <v>1</v>
      </c>
      <c r="O2014" s="71">
        <f t="shared" si="281"/>
        <v>1</v>
      </c>
      <c r="P2014" s="71">
        <f t="shared" si="282"/>
        <v>1</v>
      </c>
      <c r="Q2014" s="71">
        <f t="shared" si="283"/>
        <v>0</v>
      </c>
      <c r="R2014" s="71">
        <f t="shared" si="284"/>
        <v>0</v>
      </c>
      <c r="S2014" s="71">
        <f t="shared" si="285"/>
        <v>0</v>
      </c>
      <c r="T2014" s="71">
        <f t="shared" si="286"/>
        <v>0</v>
      </c>
      <c r="U2014" s="71">
        <f>IF(AND(N2014=1,V2014=1),IF(COUNTIFS(AKTIVITAS!$B$2:$B$3052,B2014,AKTIVITAS!$E$2:$E$3052,H2014)&gt;0,1,0),0)</f>
        <v>1</v>
      </c>
      <c r="V2014" s="71">
        <f>IFERROR(IF(AND(H2014&gt;=INDEX(PEMAGANG!$J$3:$J$36,MATCH(B2014,PEMAGANG!$C$3:$C$36,0)),H2014&lt;=INDEX(PEMAGANG!$K$3:$K$36,MATCH(B2014,PEMAGANG!$C$3:$C$36,0))),1,0),0)</f>
        <v>1</v>
      </c>
      <c r="W2014" s="71">
        <f t="shared" si="287"/>
        <v>1</v>
      </c>
    </row>
    <row r="2015" spans="1:23" x14ac:dyDescent="0.2">
      <c r="A2015" s="71" t="s">
        <v>252</v>
      </c>
      <c r="B2015" s="71" t="s">
        <v>253</v>
      </c>
      <c r="C2015" s="71" t="s">
        <v>187</v>
      </c>
      <c r="D2015" s="71" t="s">
        <v>251</v>
      </c>
      <c r="E2015" s="71" t="s">
        <v>42</v>
      </c>
      <c r="F2015" s="71" t="s">
        <v>300</v>
      </c>
      <c r="G2015" s="88">
        <v>46266.691203703696</v>
      </c>
      <c r="H2015" s="89">
        <v>46266</v>
      </c>
      <c r="I2015" s="71" t="s">
        <v>310</v>
      </c>
      <c r="J2015" s="71">
        <v>0</v>
      </c>
      <c r="K2015" s="71" t="s">
        <v>302</v>
      </c>
      <c r="L2015" s="71">
        <f t="shared" si="279"/>
        <v>9</v>
      </c>
      <c r="M2015" s="71" t="str">
        <f>IFERROR(INDEX(KALENDER!$D$3:$D$132,MATCH(H2015,KALENDER!$A$3:$A$132,0)),"Di luar periode")</f>
        <v>Hari Kerja</v>
      </c>
      <c r="N2015" s="71">
        <f t="shared" si="280"/>
        <v>0</v>
      </c>
      <c r="O2015" s="71">
        <f t="shared" si="281"/>
        <v>1</v>
      </c>
      <c r="P2015" s="71">
        <f t="shared" si="282"/>
        <v>0</v>
      </c>
      <c r="Q2015" s="71">
        <f t="shared" si="283"/>
        <v>0</v>
      </c>
      <c r="R2015" s="71">
        <f t="shared" si="284"/>
        <v>0</v>
      </c>
      <c r="S2015" s="71">
        <f t="shared" si="285"/>
        <v>0</v>
      </c>
      <c r="T2015" s="71">
        <f t="shared" si="286"/>
        <v>0</v>
      </c>
      <c r="U2015" s="71">
        <f>IF(AND(N2015=1,V2015=1),IF(COUNTIFS(AKTIVITAS!$B$2:$B$3052,B2015,AKTIVITAS!$E$2:$E$3052,H2015)&gt;0,1,0),0)</f>
        <v>0</v>
      </c>
      <c r="V2015" s="71">
        <f>IFERROR(IF(AND(H2015&gt;=INDEX(PEMAGANG!$J$3:$J$36,MATCH(B2015,PEMAGANG!$C$3:$C$36,0)),H2015&lt;=INDEX(PEMAGANG!$K$3:$K$36,MATCH(B2015,PEMAGANG!$C$3:$C$36,0))),1,0),0)</f>
        <v>1</v>
      </c>
      <c r="W2015" s="71">
        <f t="shared" si="287"/>
        <v>0</v>
      </c>
    </row>
    <row r="2016" spans="1:23" x14ac:dyDescent="0.2">
      <c r="A2016" s="71" t="s">
        <v>252</v>
      </c>
      <c r="B2016" s="71" t="s">
        <v>253</v>
      </c>
      <c r="C2016" s="71" t="s">
        <v>187</v>
      </c>
      <c r="D2016" s="71" t="s">
        <v>251</v>
      </c>
      <c r="E2016" s="71" t="s">
        <v>42</v>
      </c>
      <c r="F2016" s="71" t="s">
        <v>298</v>
      </c>
      <c r="G2016" s="88">
        <v>46267.310486111099</v>
      </c>
      <c r="H2016" s="89">
        <v>46267</v>
      </c>
      <c r="I2016" s="71" t="s">
        <v>309</v>
      </c>
      <c r="J2016" s="71">
        <v>-33</v>
      </c>
      <c r="K2016" s="71" t="s">
        <v>302</v>
      </c>
      <c r="L2016" s="71">
        <f t="shared" si="279"/>
        <v>9</v>
      </c>
      <c r="M2016" s="71" t="str">
        <f>IFERROR(INDEX(KALENDER!$D$3:$D$132,MATCH(H2016,KALENDER!$A$3:$A$132,0)),"Di luar periode")</f>
        <v>Hari Kerja</v>
      </c>
      <c r="N2016" s="71">
        <f t="shared" si="280"/>
        <v>1</v>
      </c>
      <c r="O2016" s="71">
        <f t="shared" si="281"/>
        <v>1</v>
      </c>
      <c r="P2016" s="71">
        <f t="shared" si="282"/>
        <v>1</v>
      </c>
      <c r="Q2016" s="71">
        <f t="shared" si="283"/>
        <v>0</v>
      </c>
      <c r="R2016" s="71">
        <f t="shared" si="284"/>
        <v>0</v>
      </c>
      <c r="S2016" s="71">
        <f t="shared" si="285"/>
        <v>0</v>
      </c>
      <c r="T2016" s="71">
        <f t="shared" si="286"/>
        <v>0</v>
      </c>
      <c r="U2016" s="71">
        <f>IF(AND(N2016=1,V2016=1),IF(COUNTIFS(AKTIVITAS!$B$2:$B$3052,B2016,AKTIVITAS!$E$2:$E$3052,H2016)&gt;0,1,0),0)</f>
        <v>1</v>
      </c>
      <c r="V2016" s="71">
        <f>IFERROR(IF(AND(H2016&gt;=INDEX(PEMAGANG!$J$3:$J$36,MATCH(B2016,PEMAGANG!$C$3:$C$36,0)),H2016&lt;=INDEX(PEMAGANG!$K$3:$K$36,MATCH(B2016,PEMAGANG!$C$3:$C$36,0))),1,0),0)</f>
        <v>1</v>
      </c>
      <c r="W2016" s="71">
        <f t="shared" si="287"/>
        <v>1</v>
      </c>
    </row>
    <row r="2017" spans="1:23" x14ac:dyDescent="0.2">
      <c r="A2017" s="71" t="s">
        <v>252</v>
      </c>
      <c r="B2017" s="71" t="s">
        <v>253</v>
      </c>
      <c r="C2017" s="71" t="s">
        <v>187</v>
      </c>
      <c r="D2017" s="71" t="s">
        <v>251</v>
      </c>
      <c r="E2017" s="71" t="s">
        <v>42</v>
      </c>
      <c r="F2017" s="71" t="s">
        <v>300</v>
      </c>
      <c r="G2017" s="88">
        <v>46267.6933796296</v>
      </c>
      <c r="H2017" s="89">
        <v>46267</v>
      </c>
      <c r="I2017" s="71" t="s">
        <v>317</v>
      </c>
      <c r="J2017" s="71">
        <v>0</v>
      </c>
      <c r="K2017" s="71" t="s">
        <v>302</v>
      </c>
      <c r="L2017" s="71">
        <f t="shared" si="279"/>
        <v>9</v>
      </c>
      <c r="M2017" s="71" t="str">
        <f>IFERROR(INDEX(KALENDER!$D$3:$D$132,MATCH(H2017,KALENDER!$A$3:$A$132,0)),"Di luar periode")</f>
        <v>Hari Kerja</v>
      </c>
      <c r="N2017" s="71">
        <f t="shared" si="280"/>
        <v>0</v>
      </c>
      <c r="O2017" s="71">
        <f t="shared" si="281"/>
        <v>1</v>
      </c>
      <c r="P2017" s="71">
        <f t="shared" si="282"/>
        <v>0</v>
      </c>
      <c r="Q2017" s="71">
        <f t="shared" si="283"/>
        <v>0</v>
      </c>
      <c r="R2017" s="71">
        <f t="shared" si="284"/>
        <v>0</v>
      </c>
      <c r="S2017" s="71">
        <f t="shared" si="285"/>
        <v>0</v>
      </c>
      <c r="T2017" s="71">
        <f t="shared" si="286"/>
        <v>0</v>
      </c>
      <c r="U2017" s="71">
        <f>IF(AND(N2017=1,V2017=1),IF(COUNTIFS(AKTIVITAS!$B$2:$B$3052,B2017,AKTIVITAS!$E$2:$E$3052,H2017)&gt;0,1,0),0)</f>
        <v>0</v>
      </c>
      <c r="V2017" s="71">
        <f>IFERROR(IF(AND(H2017&gt;=INDEX(PEMAGANG!$J$3:$J$36,MATCH(B2017,PEMAGANG!$C$3:$C$36,0)),H2017&lt;=INDEX(PEMAGANG!$K$3:$K$36,MATCH(B2017,PEMAGANG!$C$3:$C$36,0))),1,0),0)</f>
        <v>1</v>
      </c>
      <c r="W2017" s="71">
        <f t="shared" si="287"/>
        <v>0</v>
      </c>
    </row>
    <row r="2018" spans="1:23" x14ac:dyDescent="0.2">
      <c r="A2018" s="71" t="s">
        <v>252</v>
      </c>
      <c r="B2018" s="71" t="s">
        <v>253</v>
      </c>
      <c r="C2018" s="71" t="s">
        <v>187</v>
      </c>
      <c r="D2018" s="71" t="s">
        <v>251</v>
      </c>
      <c r="E2018" s="71" t="s">
        <v>42</v>
      </c>
      <c r="F2018" s="71" t="s">
        <v>298</v>
      </c>
      <c r="G2018" s="88">
        <v>46268.3054050926</v>
      </c>
      <c r="H2018" s="89">
        <v>46268</v>
      </c>
      <c r="I2018" s="71" t="s">
        <v>321</v>
      </c>
      <c r="J2018" s="71">
        <v>-41</v>
      </c>
      <c r="K2018" s="71" t="s">
        <v>302</v>
      </c>
      <c r="L2018" s="71">
        <f t="shared" si="279"/>
        <v>9</v>
      </c>
      <c r="M2018" s="71" t="str">
        <f>IFERROR(INDEX(KALENDER!$D$3:$D$132,MATCH(H2018,KALENDER!$A$3:$A$132,0)),"Di luar periode")</f>
        <v>Hari Kerja</v>
      </c>
      <c r="N2018" s="71">
        <f t="shared" si="280"/>
        <v>1</v>
      </c>
      <c r="O2018" s="71">
        <f t="shared" si="281"/>
        <v>1</v>
      </c>
      <c r="P2018" s="71">
        <f t="shared" si="282"/>
        <v>1</v>
      </c>
      <c r="Q2018" s="71">
        <f t="shared" si="283"/>
        <v>0</v>
      </c>
      <c r="R2018" s="71">
        <f t="shared" si="284"/>
        <v>0</v>
      </c>
      <c r="S2018" s="71">
        <f t="shared" si="285"/>
        <v>0</v>
      </c>
      <c r="T2018" s="71">
        <f t="shared" si="286"/>
        <v>0</v>
      </c>
      <c r="U2018" s="71">
        <f>IF(AND(N2018=1,V2018=1),IF(COUNTIFS(AKTIVITAS!$B$2:$B$3052,B2018,AKTIVITAS!$E$2:$E$3052,H2018)&gt;0,1,0),0)</f>
        <v>1</v>
      </c>
      <c r="V2018" s="71">
        <f>IFERROR(IF(AND(H2018&gt;=INDEX(PEMAGANG!$J$3:$J$36,MATCH(B2018,PEMAGANG!$C$3:$C$36,0)),H2018&lt;=INDEX(PEMAGANG!$K$3:$K$36,MATCH(B2018,PEMAGANG!$C$3:$C$36,0))),1,0),0)</f>
        <v>1</v>
      </c>
      <c r="W2018" s="71">
        <f t="shared" si="287"/>
        <v>1</v>
      </c>
    </row>
    <row r="2019" spans="1:23" x14ac:dyDescent="0.2">
      <c r="A2019" s="71" t="s">
        <v>252</v>
      </c>
      <c r="B2019" s="71" t="s">
        <v>253</v>
      </c>
      <c r="C2019" s="71" t="s">
        <v>187</v>
      </c>
      <c r="D2019" s="71" t="s">
        <v>251</v>
      </c>
      <c r="E2019" s="71" t="s">
        <v>42</v>
      </c>
      <c r="F2019" s="71" t="s">
        <v>300</v>
      </c>
      <c r="G2019" s="88">
        <v>46268.691180555601</v>
      </c>
      <c r="H2019" s="89">
        <v>46268</v>
      </c>
      <c r="I2019" s="71" t="s">
        <v>310</v>
      </c>
      <c r="J2019" s="71">
        <v>0</v>
      </c>
      <c r="K2019" s="71" t="s">
        <v>302</v>
      </c>
      <c r="L2019" s="71">
        <f t="shared" si="279"/>
        <v>9</v>
      </c>
      <c r="M2019" s="71" t="str">
        <f>IFERROR(INDEX(KALENDER!$D$3:$D$132,MATCH(H2019,KALENDER!$A$3:$A$132,0)),"Di luar periode")</f>
        <v>Hari Kerja</v>
      </c>
      <c r="N2019" s="71">
        <f t="shared" si="280"/>
        <v>0</v>
      </c>
      <c r="O2019" s="71">
        <f t="shared" si="281"/>
        <v>1</v>
      </c>
      <c r="P2019" s="71">
        <f t="shared" si="282"/>
        <v>0</v>
      </c>
      <c r="Q2019" s="71">
        <f t="shared" si="283"/>
        <v>0</v>
      </c>
      <c r="R2019" s="71">
        <f t="shared" si="284"/>
        <v>0</v>
      </c>
      <c r="S2019" s="71">
        <f t="shared" si="285"/>
        <v>0</v>
      </c>
      <c r="T2019" s="71">
        <f t="shared" si="286"/>
        <v>0</v>
      </c>
      <c r="U2019" s="71">
        <f>IF(AND(N2019=1,V2019=1),IF(COUNTIFS(AKTIVITAS!$B$2:$B$3052,B2019,AKTIVITAS!$E$2:$E$3052,H2019)&gt;0,1,0),0)</f>
        <v>0</v>
      </c>
      <c r="V2019" s="71">
        <f>IFERROR(IF(AND(H2019&gt;=INDEX(PEMAGANG!$J$3:$J$36,MATCH(B2019,PEMAGANG!$C$3:$C$36,0)),H2019&lt;=INDEX(PEMAGANG!$K$3:$K$36,MATCH(B2019,PEMAGANG!$C$3:$C$36,0))),1,0),0)</f>
        <v>1</v>
      </c>
      <c r="W2019" s="71">
        <f t="shared" si="287"/>
        <v>0</v>
      </c>
    </row>
    <row r="2020" spans="1:23" x14ac:dyDescent="0.2">
      <c r="A2020" s="71" t="s">
        <v>252</v>
      </c>
      <c r="B2020" s="71" t="s">
        <v>253</v>
      </c>
      <c r="C2020" s="71" t="s">
        <v>187</v>
      </c>
      <c r="D2020" s="71" t="s">
        <v>251</v>
      </c>
      <c r="E2020" s="71" t="s">
        <v>42</v>
      </c>
      <c r="F2020" s="71" t="s">
        <v>300</v>
      </c>
      <c r="G2020" s="88">
        <v>46269.6879976852</v>
      </c>
      <c r="H2020" s="89">
        <v>46269</v>
      </c>
      <c r="I2020" s="71" t="s">
        <v>330</v>
      </c>
      <c r="J2020" s="71">
        <v>0</v>
      </c>
      <c r="K2020" s="71" t="s">
        <v>302</v>
      </c>
      <c r="L2020" s="71">
        <f t="shared" si="279"/>
        <v>9</v>
      </c>
      <c r="M2020" s="71" t="str">
        <f>IFERROR(INDEX(KALENDER!$D$3:$D$132,MATCH(H2020,KALENDER!$A$3:$A$132,0)),"Di luar periode")</f>
        <v>Hari Kerja</v>
      </c>
      <c r="N2020" s="71">
        <f t="shared" si="280"/>
        <v>1</v>
      </c>
      <c r="O2020" s="71">
        <f t="shared" si="281"/>
        <v>0</v>
      </c>
      <c r="P2020" s="71">
        <f t="shared" si="282"/>
        <v>1</v>
      </c>
      <c r="Q2020" s="71">
        <f t="shared" si="283"/>
        <v>0</v>
      </c>
      <c r="R2020" s="71">
        <f t="shared" si="284"/>
        <v>0</v>
      </c>
      <c r="S2020" s="71">
        <f t="shared" si="285"/>
        <v>0</v>
      </c>
      <c r="T2020" s="71">
        <f t="shared" si="286"/>
        <v>0</v>
      </c>
      <c r="U2020" s="71">
        <f>IF(AND(N2020=1,V2020=1),IF(COUNTIFS(AKTIVITAS!$B$2:$B$3052,B2020,AKTIVITAS!$E$2:$E$3052,H2020)&gt;0,1,0),0)</f>
        <v>1</v>
      </c>
      <c r="V2020" s="71">
        <f>IFERROR(IF(AND(H2020&gt;=INDEX(PEMAGANG!$J$3:$J$36,MATCH(B2020,PEMAGANG!$C$3:$C$36,0)),H2020&lt;=INDEX(PEMAGANG!$K$3:$K$36,MATCH(B2020,PEMAGANG!$C$3:$C$36,0))),1,0),0)</f>
        <v>1</v>
      </c>
      <c r="W2020" s="71">
        <f t="shared" si="287"/>
        <v>1</v>
      </c>
    </row>
    <row r="2021" spans="1:23" x14ac:dyDescent="0.2">
      <c r="A2021" s="71" t="s">
        <v>252</v>
      </c>
      <c r="B2021" s="71" t="s">
        <v>253</v>
      </c>
      <c r="C2021" s="71" t="s">
        <v>187</v>
      </c>
      <c r="D2021" s="71" t="s">
        <v>251</v>
      </c>
      <c r="E2021" s="71" t="s">
        <v>42</v>
      </c>
      <c r="F2021" s="71" t="s">
        <v>298</v>
      </c>
      <c r="G2021" s="88">
        <v>46273.311516203699</v>
      </c>
      <c r="H2021" s="89">
        <v>46273</v>
      </c>
      <c r="I2021" s="71" t="s">
        <v>377</v>
      </c>
      <c r="J2021" s="71">
        <v>-32</v>
      </c>
      <c r="K2021" s="71" t="s">
        <v>302</v>
      </c>
      <c r="L2021" s="71">
        <f t="shared" si="279"/>
        <v>9</v>
      </c>
      <c r="M2021" s="71" t="str">
        <f>IFERROR(INDEX(KALENDER!$D$3:$D$132,MATCH(H2021,KALENDER!$A$3:$A$132,0)),"Di luar periode")</f>
        <v>Hari Kerja</v>
      </c>
      <c r="N2021" s="71">
        <f t="shared" si="280"/>
        <v>1</v>
      </c>
      <c r="O2021" s="71">
        <f t="shared" si="281"/>
        <v>1</v>
      </c>
      <c r="P2021" s="71">
        <f t="shared" si="282"/>
        <v>1</v>
      </c>
      <c r="Q2021" s="71">
        <f t="shared" si="283"/>
        <v>0</v>
      </c>
      <c r="R2021" s="71">
        <f t="shared" si="284"/>
        <v>0</v>
      </c>
      <c r="S2021" s="71">
        <f t="shared" si="285"/>
        <v>0</v>
      </c>
      <c r="T2021" s="71">
        <f t="shared" si="286"/>
        <v>0</v>
      </c>
      <c r="U2021" s="71">
        <f>IF(AND(N2021=1,V2021=1),IF(COUNTIFS(AKTIVITAS!$B$2:$B$3052,B2021,AKTIVITAS!$E$2:$E$3052,H2021)&gt;0,1,0),0)</f>
        <v>1</v>
      </c>
      <c r="V2021" s="71">
        <f>IFERROR(IF(AND(H2021&gt;=INDEX(PEMAGANG!$J$3:$J$36,MATCH(B2021,PEMAGANG!$C$3:$C$36,0)),H2021&lt;=INDEX(PEMAGANG!$K$3:$K$36,MATCH(B2021,PEMAGANG!$C$3:$C$36,0))),1,0),0)</f>
        <v>1</v>
      </c>
      <c r="W2021" s="71">
        <f t="shared" si="287"/>
        <v>1</v>
      </c>
    </row>
    <row r="2022" spans="1:23" x14ac:dyDescent="0.2">
      <c r="A2022" s="71" t="s">
        <v>252</v>
      </c>
      <c r="B2022" s="71" t="s">
        <v>253</v>
      </c>
      <c r="C2022" s="71" t="s">
        <v>187</v>
      </c>
      <c r="D2022" s="71" t="s">
        <v>251</v>
      </c>
      <c r="E2022" s="71" t="s">
        <v>42</v>
      </c>
      <c r="F2022" s="71" t="s">
        <v>300</v>
      </c>
      <c r="G2022" s="88">
        <v>46273.6893865741</v>
      </c>
      <c r="H2022" s="89">
        <v>46273</v>
      </c>
      <c r="I2022" s="71" t="s">
        <v>306</v>
      </c>
      <c r="J2022" s="71">
        <v>0</v>
      </c>
      <c r="K2022" s="71" t="s">
        <v>302</v>
      </c>
      <c r="L2022" s="71">
        <f t="shared" si="279"/>
        <v>9</v>
      </c>
      <c r="M2022" s="71" t="str">
        <f>IFERROR(INDEX(KALENDER!$D$3:$D$132,MATCH(H2022,KALENDER!$A$3:$A$132,0)),"Di luar periode")</f>
        <v>Hari Kerja</v>
      </c>
      <c r="N2022" s="71">
        <f t="shared" si="280"/>
        <v>0</v>
      </c>
      <c r="O2022" s="71">
        <f t="shared" si="281"/>
        <v>1</v>
      </c>
      <c r="P2022" s="71">
        <f t="shared" si="282"/>
        <v>0</v>
      </c>
      <c r="Q2022" s="71">
        <f t="shared" si="283"/>
        <v>0</v>
      </c>
      <c r="R2022" s="71">
        <f t="shared" si="284"/>
        <v>0</v>
      </c>
      <c r="S2022" s="71">
        <f t="shared" si="285"/>
        <v>0</v>
      </c>
      <c r="T2022" s="71">
        <f t="shared" si="286"/>
        <v>0</v>
      </c>
      <c r="U2022" s="71">
        <f>IF(AND(N2022=1,V2022=1),IF(COUNTIFS(AKTIVITAS!$B$2:$B$3052,B2022,AKTIVITAS!$E$2:$E$3052,H2022)&gt;0,1,0),0)</f>
        <v>0</v>
      </c>
      <c r="V2022" s="71">
        <f>IFERROR(IF(AND(H2022&gt;=INDEX(PEMAGANG!$J$3:$J$36,MATCH(B2022,PEMAGANG!$C$3:$C$36,0)),H2022&lt;=INDEX(PEMAGANG!$K$3:$K$36,MATCH(B2022,PEMAGANG!$C$3:$C$36,0))),1,0),0)</f>
        <v>1</v>
      </c>
      <c r="W2022" s="71">
        <f t="shared" si="287"/>
        <v>0</v>
      </c>
    </row>
    <row r="2023" spans="1:23" x14ac:dyDescent="0.2">
      <c r="A2023" s="71" t="s">
        <v>252</v>
      </c>
      <c r="B2023" s="71" t="s">
        <v>253</v>
      </c>
      <c r="C2023" s="71" t="s">
        <v>187</v>
      </c>
      <c r="D2023" s="71" t="s">
        <v>251</v>
      </c>
      <c r="E2023" s="71" t="s">
        <v>42</v>
      </c>
      <c r="F2023" s="71" t="s">
        <v>298</v>
      </c>
      <c r="G2023" s="88">
        <v>46274.309108796297</v>
      </c>
      <c r="H2023" s="89">
        <v>46274</v>
      </c>
      <c r="I2023" s="71" t="s">
        <v>307</v>
      </c>
      <c r="J2023" s="71">
        <v>-35</v>
      </c>
      <c r="K2023" s="71" t="s">
        <v>302</v>
      </c>
      <c r="L2023" s="71">
        <f t="shared" si="279"/>
        <v>9</v>
      </c>
      <c r="M2023" s="71" t="str">
        <f>IFERROR(INDEX(KALENDER!$D$3:$D$132,MATCH(H2023,KALENDER!$A$3:$A$132,0)),"Di luar periode")</f>
        <v>Hari Kerja</v>
      </c>
      <c r="N2023" s="71">
        <f t="shared" si="280"/>
        <v>1</v>
      </c>
      <c r="O2023" s="71">
        <f t="shared" si="281"/>
        <v>1</v>
      </c>
      <c r="P2023" s="71">
        <f t="shared" si="282"/>
        <v>1</v>
      </c>
      <c r="Q2023" s="71">
        <f t="shared" si="283"/>
        <v>0</v>
      </c>
      <c r="R2023" s="71">
        <f t="shared" si="284"/>
        <v>0</v>
      </c>
      <c r="S2023" s="71">
        <f t="shared" si="285"/>
        <v>0</v>
      </c>
      <c r="T2023" s="71">
        <f t="shared" si="286"/>
        <v>0</v>
      </c>
      <c r="U2023" s="71">
        <f>IF(AND(N2023=1,V2023=1),IF(COUNTIFS(AKTIVITAS!$B$2:$B$3052,B2023,AKTIVITAS!$E$2:$E$3052,H2023)&gt;0,1,0),0)</f>
        <v>1</v>
      </c>
      <c r="V2023" s="71">
        <f>IFERROR(IF(AND(H2023&gt;=INDEX(PEMAGANG!$J$3:$J$36,MATCH(B2023,PEMAGANG!$C$3:$C$36,0)),H2023&lt;=INDEX(PEMAGANG!$K$3:$K$36,MATCH(B2023,PEMAGANG!$C$3:$C$36,0))),1,0),0)</f>
        <v>1</v>
      </c>
      <c r="W2023" s="71">
        <f t="shared" si="287"/>
        <v>1</v>
      </c>
    </row>
    <row r="2024" spans="1:23" x14ac:dyDescent="0.2">
      <c r="A2024" s="71" t="s">
        <v>252</v>
      </c>
      <c r="B2024" s="71" t="s">
        <v>253</v>
      </c>
      <c r="C2024" s="71" t="s">
        <v>187</v>
      </c>
      <c r="D2024" s="71" t="s">
        <v>251</v>
      </c>
      <c r="E2024" s="71" t="s">
        <v>42</v>
      </c>
      <c r="F2024" s="71" t="s">
        <v>298</v>
      </c>
      <c r="G2024" s="88">
        <v>46274.309108796297</v>
      </c>
      <c r="H2024" s="89">
        <v>46274</v>
      </c>
      <c r="I2024" s="71" t="s">
        <v>307</v>
      </c>
      <c r="J2024" s="71">
        <v>-4.9999999999999796</v>
      </c>
      <c r="K2024" s="71" t="s">
        <v>302</v>
      </c>
      <c r="L2024" s="71">
        <f t="shared" si="279"/>
        <v>9</v>
      </c>
      <c r="M2024" s="71" t="str">
        <f>IFERROR(INDEX(KALENDER!$D$3:$D$132,MATCH(H2024,KALENDER!$A$3:$A$132,0)),"Di luar periode")</f>
        <v>Hari Kerja</v>
      </c>
      <c r="N2024" s="71">
        <f t="shared" si="280"/>
        <v>0</v>
      </c>
      <c r="O2024" s="71">
        <f t="shared" si="281"/>
        <v>2</v>
      </c>
      <c r="P2024" s="71">
        <f t="shared" si="282"/>
        <v>0</v>
      </c>
      <c r="Q2024" s="71">
        <f t="shared" si="283"/>
        <v>0</v>
      </c>
      <c r="R2024" s="71">
        <f t="shared" si="284"/>
        <v>0</v>
      </c>
      <c r="S2024" s="71">
        <f t="shared" si="285"/>
        <v>0</v>
      </c>
      <c r="T2024" s="71">
        <f t="shared" si="286"/>
        <v>0</v>
      </c>
      <c r="U2024" s="71">
        <f>IF(AND(N2024=1,V2024=1),IF(COUNTIFS(AKTIVITAS!$B$2:$B$3052,B2024,AKTIVITAS!$E$2:$E$3052,H2024)&gt;0,1,0),0)</f>
        <v>0</v>
      </c>
      <c r="V2024" s="71">
        <f>IFERROR(IF(AND(H2024&gt;=INDEX(PEMAGANG!$J$3:$J$36,MATCH(B2024,PEMAGANG!$C$3:$C$36,0)),H2024&lt;=INDEX(PEMAGANG!$K$3:$K$36,MATCH(B2024,PEMAGANG!$C$3:$C$36,0))),1,0),0)</f>
        <v>1</v>
      </c>
      <c r="W2024" s="71">
        <f t="shared" si="287"/>
        <v>0</v>
      </c>
    </row>
    <row r="2025" spans="1:23" x14ac:dyDescent="0.2">
      <c r="A2025" s="71" t="s">
        <v>252</v>
      </c>
      <c r="B2025" s="71" t="s">
        <v>253</v>
      </c>
      <c r="C2025" s="71" t="s">
        <v>187</v>
      </c>
      <c r="D2025" s="71" t="s">
        <v>251</v>
      </c>
      <c r="E2025" s="71" t="s">
        <v>42</v>
      </c>
      <c r="F2025" s="71" t="s">
        <v>300</v>
      </c>
      <c r="G2025" s="88">
        <v>46274.691469907397</v>
      </c>
      <c r="H2025" s="89">
        <v>46274</v>
      </c>
      <c r="I2025" s="71" t="s">
        <v>310</v>
      </c>
      <c r="J2025" s="71">
        <v>0</v>
      </c>
      <c r="K2025" s="71" t="s">
        <v>302</v>
      </c>
      <c r="L2025" s="71">
        <f t="shared" si="279"/>
        <v>9</v>
      </c>
      <c r="M2025" s="71" t="str">
        <f>IFERROR(INDEX(KALENDER!$D$3:$D$132,MATCH(H2025,KALENDER!$A$3:$A$132,0)),"Di luar periode")</f>
        <v>Hari Kerja</v>
      </c>
      <c r="N2025" s="71">
        <f t="shared" si="280"/>
        <v>0</v>
      </c>
      <c r="O2025" s="71">
        <f t="shared" si="281"/>
        <v>2</v>
      </c>
      <c r="P2025" s="71">
        <f t="shared" si="282"/>
        <v>0</v>
      </c>
      <c r="Q2025" s="71">
        <f t="shared" si="283"/>
        <v>0</v>
      </c>
      <c r="R2025" s="71">
        <f t="shared" si="284"/>
        <v>0</v>
      </c>
      <c r="S2025" s="71">
        <f t="shared" si="285"/>
        <v>0</v>
      </c>
      <c r="T2025" s="71">
        <f t="shared" si="286"/>
        <v>0</v>
      </c>
      <c r="U2025" s="71">
        <f>IF(AND(N2025=1,V2025=1),IF(COUNTIFS(AKTIVITAS!$B$2:$B$3052,B2025,AKTIVITAS!$E$2:$E$3052,H2025)&gt;0,1,0),0)</f>
        <v>0</v>
      </c>
      <c r="V2025" s="71">
        <f>IFERROR(IF(AND(H2025&gt;=INDEX(PEMAGANG!$J$3:$J$36,MATCH(B2025,PEMAGANG!$C$3:$C$36,0)),H2025&lt;=INDEX(PEMAGANG!$K$3:$K$36,MATCH(B2025,PEMAGANG!$C$3:$C$36,0))),1,0),0)</f>
        <v>1</v>
      </c>
      <c r="W2025" s="71">
        <f t="shared" si="287"/>
        <v>0</v>
      </c>
    </row>
    <row r="2026" spans="1:23" x14ac:dyDescent="0.2">
      <c r="A2026" s="71" t="s">
        <v>252</v>
      </c>
      <c r="B2026" s="71" t="s">
        <v>253</v>
      </c>
      <c r="C2026" s="71" t="s">
        <v>187</v>
      </c>
      <c r="D2026" s="71" t="s">
        <v>251</v>
      </c>
      <c r="E2026" s="71" t="s">
        <v>42</v>
      </c>
      <c r="F2026" s="71" t="s">
        <v>298</v>
      </c>
      <c r="G2026" s="88">
        <v>46275.310023148202</v>
      </c>
      <c r="H2026" s="89">
        <v>46275</v>
      </c>
      <c r="I2026" s="71" t="s">
        <v>315</v>
      </c>
      <c r="J2026" s="71">
        <v>-34</v>
      </c>
      <c r="K2026" s="71" t="s">
        <v>302</v>
      </c>
      <c r="L2026" s="71">
        <f t="shared" si="279"/>
        <v>9</v>
      </c>
      <c r="M2026" s="71" t="str">
        <f>IFERROR(INDEX(KALENDER!$D$3:$D$132,MATCH(H2026,KALENDER!$A$3:$A$132,0)),"Di luar periode")</f>
        <v>Hari Kerja</v>
      </c>
      <c r="N2026" s="71">
        <f t="shared" si="280"/>
        <v>1</v>
      </c>
      <c r="O2026" s="71">
        <f t="shared" si="281"/>
        <v>1</v>
      </c>
      <c r="P2026" s="71">
        <f t="shared" si="282"/>
        <v>1</v>
      </c>
      <c r="Q2026" s="71">
        <f t="shared" si="283"/>
        <v>0</v>
      </c>
      <c r="R2026" s="71">
        <f t="shared" si="284"/>
        <v>0</v>
      </c>
      <c r="S2026" s="71">
        <f t="shared" si="285"/>
        <v>0</v>
      </c>
      <c r="T2026" s="71">
        <f t="shared" si="286"/>
        <v>0</v>
      </c>
      <c r="U2026" s="71">
        <f>IF(AND(N2026=1,V2026=1),IF(COUNTIFS(AKTIVITAS!$B$2:$B$3052,B2026,AKTIVITAS!$E$2:$E$3052,H2026)&gt;0,1,0),0)</f>
        <v>1</v>
      </c>
      <c r="V2026" s="71">
        <f>IFERROR(IF(AND(H2026&gt;=INDEX(PEMAGANG!$J$3:$J$36,MATCH(B2026,PEMAGANG!$C$3:$C$36,0)),H2026&lt;=INDEX(PEMAGANG!$K$3:$K$36,MATCH(B2026,PEMAGANG!$C$3:$C$36,0))),1,0),0)</f>
        <v>1</v>
      </c>
      <c r="W2026" s="71">
        <f t="shared" si="287"/>
        <v>1</v>
      </c>
    </row>
    <row r="2027" spans="1:23" x14ac:dyDescent="0.2">
      <c r="A2027" s="71" t="s">
        <v>252</v>
      </c>
      <c r="B2027" s="71" t="s">
        <v>253</v>
      </c>
      <c r="C2027" s="71" t="s">
        <v>187</v>
      </c>
      <c r="D2027" s="71" t="s">
        <v>251</v>
      </c>
      <c r="E2027" s="71" t="s">
        <v>42</v>
      </c>
      <c r="F2027" s="71" t="s">
        <v>298</v>
      </c>
      <c r="G2027" s="88">
        <v>46275.310023148202</v>
      </c>
      <c r="H2027" s="89">
        <v>46275</v>
      </c>
      <c r="I2027" s="71" t="s">
        <v>315</v>
      </c>
      <c r="J2027" s="71">
        <v>-3.9999999999999898</v>
      </c>
      <c r="K2027" s="71" t="s">
        <v>302</v>
      </c>
      <c r="L2027" s="71">
        <f t="shared" si="279"/>
        <v>9</v>
      </c>
      <c r="M2027" s="71" t="str">
        <f>IFERROR(INDEX(KALENDER!$D$3:$D$132,MATCH(H2027,KALENDER!$A$3:$A$132,0)),"Di luar periode")</f>
        <v>Hari Kerja</v>
      </c>
      <c r="N2027" s="71">
        <f t="shared" si="280"/>
        <v>0</v>
      </c>
      <c r="O2027" s="71">
        <f t="shared" si="281"/>
        <v>2</v>
      </c>
      <c r="P2027" s="71">
        <f t="shared" si="282"/>
        <v>0</v>
      </c>
      <c r="Q2027" s="71">
        <f t="shared" si="283"/>
        <v>0</v>
      </c>
      <c r="R2027" s="71">
        <f t="shared" si="284"/>
        <v>0</v>
      </c>
      <c r="S2027" s="71">
        <f t="shared" si="285"/>
        <v>0</v>
      </c>
      <c r="T2027" s="71">
        <f t="shared" si="286"/>
        <v>0</v>
      </c>
      <c r="U2027" s="71">
        <f>IF(AND(N2027=1,V2027=1),IF(COUNTIFS(AKTIVITAS!$B$2:$B$3052,B2027,AKTIVITAS!$E$2:$E$3052,H2027)&gt;0,1,0),0)</f>
        <v>0</v>
      </c>
      <c r="V2027" s="71">
        <f>IFERROR(IF(AND(H2027&gt;=INDEX(PEMAGANG!$J$3:$J$36,MATCH(B2027,PEMAGANG!$C$3:$C$36,0)),H2027&lt;=INDEX(PEMAGANG!$K$3:$K$36,MATCH(B2027,PEMAGANG!$C$3:$C$36,0))),1,0),0)</f>
        <v>1</v>
      </c>
      <c r="W2027" s="71">
        <f t="shared" si="287"/>
        <v>0</v>
      </c>
    </row>
    <row r="2028" spans="1:23" x14ac:dyDescent="0.2">
      <c r="A2028" s="71" t="s">
        <v>252</v>
      </c>
      <c r="B2028" s="71" t="s">
        <v>253</v>
      </c>
      <c r="C2028" s="71" t="s">
        <v>187</v>
      </c>
      <c r="D2028" s="71" t="s">
        <v>251</v>
      </c>
      <c r="E2028" s="71" t="s">
        <v>42</v>
      </c>
      <c r="F2028" s="71" t="s">
        <v>300</v>
      </c>
      <c r="G2028" s="88">
        <v>46275.691585648201</v>
      </c>
      <c r="H2028" s="89">
        <v>46275</v>
      </c>
      <c r="I2028" s="71" t="s">
        <v>310</v>
      </c>
      <c r="J2028" s="71">
        <v>0</v>
      </c>
      <c r="K2028" s="71" t="s">
        <v>302</v>
      </c>
      <c r="L2028" s="71">
        <f t="shared" si="279"/>
        <v>9</v>
      </c>
      <c r="M2028" s="71" t="str">
        <f>IFERROR(INDEX(KALENDER!$D$3:$D$132,MATCH(H2028,KALENDER!$A$3:$A$132,0)),"Di luar periode")</f>
        <v>Hari Kerja</v>
      </c>
      <c r="N2028" s="71">
        <f t="shared" si="280"/>
        <v>0</v>
      </c>
      <c r="O2028" s="71">
        <f t="shared" si="281"/>
        <v>2</v>
      </c>
      <c r="P2028" s="71">
        <f t="shared" si="282"/>
        <v>0</v>
      </c>
      <c r="Q2028" s="71">
        <f t="shared" si="283"/>
        <v>0</v>
      </c>
      <c r="R2028" s="71">
        <f t="shared" si="284"/>
        <v>0</v>
      </c>
      <c r="S2028" s="71">
        <f t="shared" si="285"/>
        <v>0</v>
      </c>
      <c r="T2028" s="71">
        <f t="shared" si="286"/>
        <v>0</v>
      </c>
      <c r="U2028" s="71">
        <f>IF(AND(N2028=1,V2028=1),IF(COUNTIFS(AKTIVITAS!$B$2:$B$3052,B2028,AKTIVITAS!$E$2:$E$3052,H2028)&gt;0,1,0),0)</f>
        <v>0</v>
      </c>
      <c r="V2028" s="71">
        <f>IFERROR(IF(AND(H2028&gt;=INDEX(PEMAGANG!$J$3:$J$36,MATCH(B2028,PEMAGANG!$C$3:$C$36,0)),H2028&lt;=INDEX(PEMAGANG!$K$3:$K$36,MATCH(B2028,PEMAGANG!$C$3:$C$36,0))),1,0),0)</f>
        <v>1</v>
      </c>
      <c r="W2028" s="71">
        <f t="shared" si="287"/>
        <v>0</v>
      </c>
    </row>
    <row r="2029" spans="1:23" x14ac:dyDescent="0.2">
      <c r="A2029" s="71" t="s">
        <v>252</v>
      </c>
      <c r="B2029" s="71" t="s">
        <v>253</v>
      </c>
      <c r="C2029" s="71" t="s">
        <v>187</v>
      </c>
      <c r="D2029" s="71" t="s">
        <v>251</v>
      </c>
      <c r="E2029" s="71" t="s">
        <v>42</v>
      </c>
      <c r="F2029" s="71" t="s">
        <v>298</v>
      </c>
      <c r="G2029" s="88">
        <v>46276.310497685197</v>
      </c>
      <c r="H2029" s="89">
        <v>46276</v>
      </c>
      <c r="I2029" s="71" t="s">
        <v>309</v>
      </c>
      <c r="J2029" s="71">
        <v>-2.9999999999999898</v>
      </c>
      <c r="K2029" s="71" t="s">
        <v>302</v>
      </c>
      <c r="L2029" s="71">
        <f t="shared" si="279"/>
        <v>9</v>
      </c>
      <c r="M2029" s="71" t="str">
        <f>IFERROR(INDEX(KALENDER!$D$3:$D$132,MATCH(H2029,KALENDER!$A$3:$A$132,0)),"Di luar periode")</f>
        <v>Hari Kerja</v>
      </c>
      <c r="N2029" s="71">
        <f t="shared" si="280"/>
        <v>1</v>
      </c>
      <c r="O2029" s="71">
        <f t="shared" si="281"/>
        <v>1</v>
      </c>
      <c r="P2029" s="71">
        <f t="shared" si="282"/>
        <v>1</v>
      </c>
      <c r="Q2029" s="71">
        <f t="shared" si="283"/>
        <v>0</v>
      </c>
      <c r="R2029" s="71">
        <f t="shared" si="284"/>
        <v>0</v>
      </c>
      <c r="S2029" s="71">
        <f t="shared" si="285"/>
        <v>0</v>
      </c>
      <c r="T2029" s="71">
        <f t="shared" si="286"/>
        <v>1</v>
      </c>
      <c r="U2029" s="71">
        <f>IF(AND(N2029=1,V2029=1),IF(COUNTIFS(AKTIVITAS!$B$2:$B$3052,B2029,AKTIVITAS!$E$2:$E$3052,H2029)&gt;0,1,0),0)</f>
        <v>1</v>
      </c>
      <c r="V2029" s="71">
        <f>IFERROR(IF(AND(H2029&gt;=INDEX(PEMAGANG!$J$3:$J$36,MATCH(B2029,PEMAGANG!$C$3:$C$36,0)),H2029&lt;=INDEX(PEMAGANG!$K$3:$K$36,MATCH(B2029,PEMAGANG!$C$3:$C$36,0))),1,0),0)</f>
        <v>1</v>
      </c>
      <c r="W2029" s="71">
        <f t="shared" si="287"/>
        <v>1</v>
      </c>
    </row>
    <row r="2030" spans="1:23" x14ac:dyDescent="0.2">
      <c r="A2030" s="71" t="s">
        <v>252</v>
      </c>
      <c r="B2030" s="71" t="s">
        <v>253</v>
      </c>
      <c r="C2030" s="71" t="s">
        <v>187</v>
      </c>
      <c r="D2030" s="71" t="s">
        <v>251</v>
      </c>
      <c r="E2030" s="71" t="s">
        <v>42</v>
      </c>
      <c r="F2030" s="71" t="s">
        <v>298</v>
      </c>
      <c r="G2030" s="88">
        <v>46279.308275463001</v>
      </c>
      <c r="H2030" s="89">
        <v>46279</v>
      </c>
      <c r="I2030" s="71" t="s">
        <v>311</v>
      </c>
      <c r="J2030" s="71">
        <v>-6.9999999999999796</v>
      </c>
      <c r="K2030" s="71" t="s">
        <v>302</v>
      </c>
      <c r="L2030" s="71">
        <f t="shared" si="279"/>
        <v>9</v>
      </c>
      <c r="M2030" s="71" t="str">
        <f>IFERROR(INDEX(KALENDER!$D$3:$D$132,MATCH(H2030,KALENDER!$A$3:$A$132,0)),"Di luar periode")</f>
        <v>Hari Kerja</v>
      </c>
      <c r="N2030" s="71">
        <f t="shared" si="280"/>
        <v>1</v>
      </c>
      <c r="O2030" s="71">
        <f t="shared" si="281"/>
        <v>1</v>
      </c>
      <c r="P2030" s="71">
        <f t="shared" si="282"/>
        <v>1</v>
      </c>
      <c r="Q2030" s="71">
        <f t="shared" si="283"/>
        <v>0</v>
      </c>
      <c r="R2030" s="71">
        <f t="shared" si="284"/>
        <v>0</v>
      </c>
      <c r="S2030" s="71">
        <f t="shared" si="285"/>
        <v>0</v>
      </c>
      <c r="T2030" s="71">
        <f t="shared" si="286"/>
        <v>0</v>
      </c>
      <c r="U2030" s="71">
        <f>IF(AND(N2030=1,V2030=1),IF(COUNTIFS(AKTIVITAS!$B$2:$B$3052,B2030,AKTIVITAS!$E$2:$E$3052,H2030)&gt;0,1,0),0)</f>
        <v>1</v>
      </c>
      <c r="V2030" s="71">
        <f>IFERROR(IF(AND(H2030&gt;=INDEX(PEMAGANG!$J$3:$J$36,MATCH(B2030,PEMAGANG!$C$3:$C$36,0)),H2030&lt;=INDEX(PEMAGANG!$K$3:$K$36,MATCH(B2030,PEMAGANG!$C$3:$C$36,0))),1,0),0)</f>
        <v>1</v>
      </c>
      <c r="W2030" s="71">
        <f t="shared" si="287"/>
        <v>1</v>
      </c>
    </row>
    <row r="2031" spans="1:23" x14ac:dyDescent="0.2">
      <c r="A2031" s="71" t="s">
        <v>252</v>
      </c>
      <c r="B2031" s="71" t="s">
        <v>253</v>
      </c>
      <c r="C2031" s="71" t="s">
        <v>187</v>
      </c>
      <c r="D2031" s="71" t="s">
        <v>251</v>
      </c>
      <c r="E2031" s="71" t="s">
        <v>42</v>
      </c>
      <c r="F2031" s="71" t="s">
        <v>298</v>
      </c>
      <c r="G2031" s="88">
        <v>46279.450659722199</v>
      </c>
      <c r="H2031" s="89">
        <v>46279</v>
      </c>
      <c r="I2031" s="71" t="s">
        <v>480</v>
      </c>
      <c r="J2031" s="71">
        <v>198</v>
      </c>
      <c r="K2031" s="71" t="s">
        <v>293</v>
      </c>
      <c r="L2031" s="71">
        <f t="shared" si="279"/>
        <v>9</v>
      </c>
      <c r="M2031" s="71" t="str">
        <f>IFERROR(INDEX(KALENDER!$D$3:$D$132,MATCH(H2031,KALENDER!$A$3:$A$132,0)),"Di luar periode")</f>
        <v>Hari Kerja</v>
      </c>
      <c r="N2031" s="71">
        <f t="shared" si="280"/>
        <v>0</v>
      </c>
      <c r="O2031" s="71">
        <f t="shared" si="281"/>
        <v>2</v>
      </c>
      <c r="P2031" s="71">
        <f t="shared" si="282"/>
        <v>0</v>
      </c>
      <c r="Q2031" s="71">
        <f t="shared" si="283"/>
        <v>0</v>
      </c>
      <c r="R2031" s="71">
        <f t="shared" si="284"/>
        <v>0</v>
      </c>
      <c r="S2031" s="71">
        <f t="shared" si="285"/>
        <v>0</v>
      </c>
      <c r="T2031" s="71">
        <f t="shared" si="286"/>
        <v>0</v>
      </c>
      <c r="U2031" s="71">
        <f>IF(AND(N2031=1,V2031=1),IF(COUNTIFS(AKTIVITAS!$B$2:$B$3052,B2031,AKTIVITAS!$E$2:$E$3052,H2031)&gt;0,1,0),0)</f>
        <v>0</v>
      </c>
      <c r="V2031" s="71">
        <f>IFERROR(IF(AND(H2031&gt;=INDEX(PEMAGANG!$J$3:$J$36,MATCH(B2031,PEMAGANG!$C$3:$C$36,0)),H2031&lt;=INDEX(PEMAGANG!$K$3:$K$36,MATCH(B2031,PEMAGANG!$C$3:$C$36,0))),1,0),0)</f>
        <v>1</v>
      </c>
      <c r="W2031" s="71">
        <f t="shared" si="287"/>
        <v>0</v>
      </c>
    </row>
    <row r="2032" spans="1:23" x14ac:dyDescent="0.2">
      <c r="A2032" s="71" t="s">
        <v>252</v>
      </c>
      <c r="B2032" s="71" t="s">
        <v>253</v>
      </c>
      <c r="C2032" s="71" t="s">
        <v>187</v>
      </c>
      <c r="D2032" s="71" t="s">
        <v>251</v>
      </c>
      <c r="E2032" s="71" t="s">
        <v>42</v>
      </c>
      <c r="F2032" s="71" t="s">
        <v>300</v>
      </c>
      <c r="G2032" s="88">
        <v>46279.692187499997</v>
      </c>
      <c r="H2032" s="89">
        <v>46279</v>
      </c>
      <c r="I2032" s="71" t="s">
        <v>344</v>
      </c>
      <c r="J2032" s="71">
        <v>0</v>
      </c>
      <c r="K2032" s="71" t="s">
        <v>302</v>
      </c>
      <c r="L2032" s="71">
        <f t="shared" si="279"/>
        <v>9</v>
      </c>
      <c r="M2032" s="71" t="str">
        <f>IFERROR(INDEX(KALENDER!$D$3:$D$132,MATCH(H2032,KALENDER!$A$3:$A$132,0)),"Di luar periode")</f>
        <v>Hari Kerja</v>
      </c>
      <c r="N2032" s="71">
        <f t="shared" si="280"/>
        <v>0</v>
      </c>
      <c r="O2032" s="71">
        <f t="shared" si="281"/>
        <v>2</v>
      </c>
      <c r="P2032" s="71">
        <f t="shared" si="282"/>
        <v>0</v>
      </c>
      <c r="Q2032" s="71">
        <f t="shared" si="283"/>
        <v>0</v>
      </c>
      <c r="R2032" s="71">
        <f t="shared" si="284"/>
        <v>0</v>
      </c>
      <c r="S2032" s="71">
        <f t="shared" si="285"/>
        <v>0</v>
      </c>
      <c r="T2032" s="71">
        <f t="shared" si="286"/>
        <v>0</v>
      </c>
      <c r="U2032" s="71">
        <f>IF(AND(N2032=1,V2032=1),IF(COUNTIFS(AKTIVITAS!$B$2:$B$3052,B2032,AKTIVITAS!$E$2:$E$3052,H2032)&gt;0,1,0),0)</f>
        <v>0</v>
      </c>
      <c r="V2032" s="71">
        <f>IFERROR(IF(AND(H2032&gt;=INDEX(PEMAGANG!$J$3:$J$36,MATCH(B2032,PEMAGANG!$C$3:$C$36,0)),H2032&lt;=INDEX(PEMAGANG!$K$3:$K$36,MATCH(B2032,PEMAGANG!$C$3:$C$36,0))),1,0),0)</f>
        <v>1</v>
      </c>
      <c r="W2032" s="71">
        <f t="shared" si="287"/>
        <v>0</v>
      </c>
    </row>
    <row r="2033" spans="1:23" x14ac:dyDescent="0.2">
      <c r="A2033" s="71" t="s">
        <v>252</v>
      </c>
      <c r="B2033" s="71" t="s">
        <v>253</v>
      </c>
      <c r="C2033" s="71" t="s">
        <v>187</v>
      </c>
      <c r="D2033" s="71" t="s">
        <v>251</v>
      </c>
      <c r="E2033" s="71" t="s">
        <v>42</v>
      </c>
      <c r="F2033" s="71" t="s">
        <v>298</v>
      </c>
      <c r="G2033" s="88">
        <v>46280.309432870403</v>
      </c>
      <c r="H2033" s="89">
        <v>46280</v>
      </c>
      <c r="I2033" s="71" t="s">
        <v>307</v>
      </c>
      <c r="J2033" s="71">
        <v>-4.9999999999999796</v>
      </c>
      <c r="K2033" s="71" t="s">
        <v>302</v>
      </c>
      <c r="L2033" s="71">
        <f t="shared" si="279"/>
        <v>9</v>
      </c>
      <c r="M2033" s="71" t="str">
        <f>IFERROR(INDEX(KALENDER!$D$3:$D$132,MATCH(H2033,KALENDER!$A$3:$A$132,0)),"Di luar periode")</f>
        <v>Hari Kerja</v>
      </c>
      <c r="N2033" s="71">
        <f t="shared" si="280"/>
        <v>1</v>
      </c>
      <c r="O2033" s="71">
        <f t="shared" si="281"/>
        <v>1</v>
      </c>
      <c r="P2033" s="71">
        <f t="shared" si="282"/>
        <v>1</v>
      </c>
      <c r="Q2033" s="71">
        <f t="shared" si="283"/>
        <v>0</v>
      </c>
      <c r="R2033" s="71">
        <f t="shared" si="284"/>
        <v>0</v>
      </c>
      <c r="S2033" s="71">
        <f t="shared" si="285"/>
        <v>0</v>
      </c>
      <c r="T2033" s="71">
        <f t="shared" si="286"/>
        <v>0</v>
      </c>
      <c r="U2033" s="71">
        <f>IF(AND(N2033=1,V2033=1),IF(COUNTIFS(AKTIVITAS!$B$2:$B$3052,B2033,AKTIVITAS!$E$2:$E$3052,H2033)&gt;0,1,0),0)</f>
        <v>1</v>
      </c>
      <c r="V2033" s="71">
        <f>IFERROR(IF(AND(H2033&gt;=INDEX(PEMAGANG!$J$3:$J$36,MATCH(B2033,PEMAGANG!$C$3:$C$36,0)),H2033&lt;=INDEX(PEMAGANG!$K$3:$K$36,MATCH(B2033,PEMAGANG!$C$3:$C$36,0))),1,0),0)</f>
        <v>1</v>
      </c>
      <c r="W2033" s="71">
        <f t="shared" si="287"/>
        <v>1</v>
      </c>
    </row>
    <row r="2034" spans="1:23" x14ac:dyDescent="0.2">
      <c r="A2034" s="71" t="s">
        <v>252</v>
      </c>
      <c r="B2034" s="71" t="s">
        <v>253</v>
      </c>
      <c r="C2034" s="71" t="s">
        <v>187</v>
      </c>
      <c r="D2034" s="71" t="s">
        <v>251</v>
      </c>
      <c r="E2034" s="71" t="s">
        <v>42</v>
      </c>
      <c r="F2034" s="71" t="s">
        <v>300</v>
      </c>
      <c r="G2034" s="88">
        <v>46280.691747685203</v>
      </c>
      <c r="H2034" s="89">
        <v>46280</v>
      </c>
      <c r="I2034" s="71" t="s">
        <v>344</v>
      </c>
      <c r="J2034" s="71">
        <v>0</v>
      </c>
      <c r="K2034" s="71" t="s">
        <v>302</v>
      </c>
      <c r="L2034" s="71">
        <f t="shared" si="279"/>
        <v>9</v>
      </c>
      <c r="M2034" s="71" t="str">
        <f>IFERROR(INDEX(KALENDER!$D$3:$D$132,MATCH(H2034,KALENDER!$A$3:$A$132,0)),"Di luar periode")</f>
        <v>Hari Kerja</v>
      </c>
      <c r="N2034" s="71">
        <f t="shared" si="280"/>
        <v>0</v>
      </c>
      <c r="O2034" s="71">
        <f t="shared" si="281"/>
        <v>1</v>
      </c>
      <c r="P2034" s="71">
        <f t="shared" si="282"/>
        <v>0</v>
      </c>
      <c r="Q2034" s="71">
        <f t="shared" si="283"/>
        <v>0</v>
      </c>
      <c r="R2034" s="71">
        <f t="shared" si="284"/>
        <v>0</v>
      </c>
      <c r="S2034" s="71">
        <f t="shared" si="285"/>
        <v>0</v>
      </c>
      <c r="T2034" s="71">
        <f t="shared" si="286"/>
        <v>0</v>
      </c>
      <c r="U2034" s="71">
        <f>IF(AND(N2034=1,V2034=1),IF(COUNTIFS(AKTIVITAS!$B$2:$B$3052,B2034,AKTIVITAS!$E$2:$E$3052,H2034)&gt;0,1,0),0)</f>
        <v>0</v>
      </c>
      <c r="V2034" s="71">
        <f>IFERROR(IF(AND(H2034&gt;=INDEX(PEMAGANG!$J$3:$J$36,MATCH(B2034,PEMAGANG!$C$3:$C$36,0)),H2034&lt;=INDEX(PEMAGANG!$K$3:$K$36,MATCH(B2034,PEMAGANG!$C$3:$C$36,0))),1,0),0)</f>
        <v>1</v>
      </c>
      <c r="W2034" s="71">
        <f t="shared" si="287"/>
        <v>0</v>
      </c>
    </row>
    <row r="2035" spans="1:23" x14ac:dyDescent="0.2">
      <c r="A2035" s="71" t="s">
        <v>252</v>
      </c>
      <c r="B2035" s="71" t="s">
        <v>253</v>
      </c>
      <c r="C2035" s="71" t="s">
        <v>187</v>
      </c>
      <c r="D2035" s="71" t="s">
        <v>251</v>
      </c>
      <c r="E2035" s="71" t="s">
        <v>42</v>
      </c>
      <c r="F2035" s="71" t="s">
        <v>298</v>
      </c>
      <c r="G2035" s="88">
        <v>46281.307418981502</v>
      </c>
      <c r="H2035" s="89">
        <v>46281</v>
      </c>
      <c r="I2035" s="71" t="s">
        <v>313</v>
      </c>
      <c r="J2035" s="71">
        <v>-8.0000000000000497</v>
      </c>
      <c r="K2035" s="71" t="s">
        <v>302</v>
      </c>
      <c r="L2035" s="71">
        <f t="shared" si="279"/>
        <v>9</v>
      </c>
      <c r="M2035" s="71" t="str">
        <f>IFERROR(INDEX(KALENDER!$D$3:$D$132,MATCH(H2035,KALENDER!$A$3:$A$132,0)),"Di luar periode")</f>
        <v>Hari Kerja</v>
      </c>
      <c r="N2035" s="71">
        <f t="shared" si="280"/>
        <v>1</v>
      </c>
      <c r="O2035" s="71">
        <f t="shared" si="281"/>
        <v>1</v>
      </c>
      <c r="P2035" s="71">
        <f t="shared" si="282"/>
        <v>1</v>
      </c>
      <c r="Q2035" s="71">
        <f t="shared" si="283"/>
        <v>0</v>
      </c>
      <c r="R2035" s="71">
        <f t="shared" si="284"/>
        <v>0</v>
      </c>
      <c r="S2035" s="71">
        <f t="shared" si="285"/>
        <v>0</v>
      </c>
      <c r="T2035" s="71">
        <f t="shared" si="286"/>
        <v>0</v>
      </c>
      <c r="U2035" s="71">
        <f>IF(AND(N2035=1,V2035=1),IF(COUNTIFS(AKTIVITAS!$B$2:$B$3052,B2035,AKTIVITAS!$E$2:$E$3052,H2035)&gt;0,1,0),0)</f>
        <v>1</v>
      </c>
      <c r="V2035" s="71">
        <f>IFERROR(IF(AND(H2035&gt;=INDEX(PEMAGANG!$J$3:$J$36,MATCH(B2035,PEMAGANG!$C$3:$C$36,0)),H2035&lt;=INDEX(PEMAGANG!$K$3:$K$36,MATCH(B2035,PEMAGANG!$C$3:$C$36,0))),1,0),0)</f>
        <v>1</v>
      </c>
      <c r="W2035" s="71">
        <f t="shared" si="287"/>
        <v>1</v>
      </c>
    </row>
    <row r="2036" spans="1:23" x14ac:dyDescent="0.2">
      <c r="A2036" s="71" t="s">
        <v>252</v>
      </c>
      <c r="B2036" s="71" t="s">
        <v>253</v>
      </c>
      <c r="C2036" s="71" t="s">
        <v>187</v>
      </c>
      <c r="D2036" s="71" t="s">
        <v>251</v>
      </c>
      <c r="E2036" s="71" t="s">
        <v>42</v>
      </c>
      <c r="F2036" s="71" t="s">
        <v>298</v>
      </c>
      <c r="G2036" s="88">
        <v>46281.689305555599</v>
      </c>
      <c r="H2036" s="89">
        <v>46281</v>
      </c>
      <c r="I2036" s="71" t="s">
        <v>306</v>
      </c>
      <c r="J2036" s="71">
        <v>542</v>
      </c>
      <c r="K2036" s="71" t="s">
        <v>293</v>
      </c>
      <c r="L2036" s="71">
        <f t="shared" si="279"/>
        <v>9</v>
      </c>
      <c r="M2036" s="71" t="str">
        <f>IFERROR(INDEX(KALENDER!$D$3:$D$132,MATCH(H2036,KALENDER!$A$3:$A$132,0)),"Di luar periode")</f>
        <v>Hari Kerja</v>
      </c>
      <c r="N2036" s="71">
        <f t="shared" si="280"/>
        <v>0</v>
      </c>
      <c r="O2036" s="71">
        <f t="shared" si="281"/>
        <v>2</v>
      </c>
      <c r="P2036" s="71">
        <f t="shared" si="282"/>
        <v>0</v>
      </c>
      <c r="Q2036" s="71">
        <f t="shared" si="283"/>
        <v>0</v>
      </c>
      <c r="R2036" s="71">
        <f t="shared" si="284"/>
        <v>0</v>
      </c>
      <c r="S2036" s="71">
        <f t="shared" si="285"/>
        <v>0</v>
      </c>
      <c r="T2036" s="71">
        <f t="shared" si="286"/>
        <v>0</v>
      </c>
      <c r="U2036" s="71">
        <f>IF(AND(N2036=1,V2036=1),IF(COUNTIFS(AKTIVITAS!$B$2:$B$3052,B2036,AKTIVITAS!$E$2:$E$3052,H2036)&gt;0,1,0),0)</f>
        <v>0</v>
      </c>
      <c r="V2036" s="71">
        <f>IFERROR(IF(AND(H2036&gt;=INDEX(PEMAGANG!$J$3:$J$36,MATCH(B2036,PEMAGANG!$C$3:$C$36,0)),H2036&lt;=INDEX(PEMAGANG!$K$3:$K$36,MATCH(B2036,PEMAGANG!$C$3:$C$36,0))),1,0),0)</f>
        <v>1</v>
      </c>
      <c r="W2036" s="71">
        <f t="shared" si="287"/>
        <v>0</v>
      </c>
    </row>
    <row r="2037" spans="1:23" x14ac:dyDescent="0.2">
      <c r="A2037" s="71" t="s">
        <v>252</v>
      </c>
      <c r="B2037" s="71" t="s">
        <v>253</v>
      </c>
      <c r="C2037" s="71" t="s">
        <v>187</v>
      </c>
      <c r="D2037" s="71" t="s">
        <v>251</v>
      </c>
      <c r="E2037" s="71" t="s">
        <v>42</v>
      </c>
      <c r="F2037" s="71" t="s">
        <v>300</v>
      </c>
      <c r="G2037" s="88">
        <v>46281.689537036997</v>
      </c>
      <c r="H2037" s="89">
        <v>46281</v>
      </c>
      <c r="I2037" s="71" t="s">
        <v>306</v>
      </c>
      <c r="J2037" s="71">
        <v>0</v>
      </c>
      <c r="K2037" s="71" t="s">
        <v>302</v>
      </c>
      <c r="L2037" s="71">
        <f t="shared" si="279"/>
        <v>9</v>
      </c>
      <c r="M2037" s="71" t="str">
        <f>IFERROR(INDEX(KALENDER!$D$3:$D$132,MATCH(H2037,KALENDER!$A$3:$A$132,0)),"Di luar periode")</f>
        <v>Hari Kerja</v>
      </c>
      <c r="N2037" s="71">
        <f t="shared" si="280"/>
        <v>0</v>
      </c>
      <c r="O2037" s="71">
        <f t="shared" si="281"/>
        <v>2</v>
      </c>
      <c r="P2037" s="71">
        <f t="shared" si="282"/>
        <v>0</v>
      </c>
      <c r="Q2037" s="71">
        <f t="shared" si="283"/>
        <v>0</v>
      </c>
      <c r="R2037" s="71">
        <f t="shared" si="284"/>
        <v>0</v>
      </c>
      <c r="S2037" s="71">
        <f t="shared" si="285"/>
        <v>0</v>
      </c>
      <c r="T2037" s="71">
        <f t="shared" si="286"/>
        <v>0</v>
      </c>
      <c r="U2037" s="71">
        <f>IF(AND(N2037=1,V2037=1),IF(COUNTIFS(AKTIVITAS!$B$2:$B$3052,B2037,AKTIVITAS!$E$2:$E$3052,H2037)&gt;0,1,0),0)</f>
        <v>0</v>
      </c>
      <c r="V2037" s="71">
        <f>IFERROR(IF(AND(H2037&gt;=INDEX(PEMAGANG!$J$3:$J$36,MATCH(B2037,PEMAGANG!$C$3:$C$36,0)),H2037&lt;=INDEX(PEMAGANG!$K$3:$K$36,MATCH(B2037,PEMAGANG!$C$3:$C$36,0))),1,0),0)</f>
        <v>1</v>
      </c>
      <c r="W2037" s="71">
        <f t="shared" si="287"/>
        <v>0</v>
      </c>
    </row>
    <row r="2038" spans="1:23" x14ac:dyDescent="0.2">
      <c r="A2038" s="71" t="s">
        <v>252</v>
      </c>
      <c r="B2038" s="71" t="s">
        <v>253</v>
      </c>
      <c r="C2038" s="71" t="s">
        <v>187</v>
      </c>
      <c r="D2038" s="71" t="s">
        <v>251</v>
      </c>
      <c r="E2038" s="71" t="s">
        <v>42</v>
      </c>
      <c r="F2038" s="71" t="s">
        <v>298</v>
      </c>
      <c r="G2038" s="88">
        <v>46282.308842592603</v>
      </c>
      <c r="H2038" s="89">
        <v>46282</v>
      </c>
      <c r="I2038" s="71" t="s">
        <v>303</v>
      </c>
      <c r="J2038" s="71">
        <v>-5.9999999999999796</v>
      </c>
      <c r="K2038" s="71" t="s">
        <v>302</v>
      </c>
      <c r="L2038" s="71">
        <f t="shared" si="279"/>
        <v>9</v>
      </c>
      <c r="M2038" s="71" t="str">
        <f>IFERROR(INDEX(KALENDER!$D$3:$D$132,MATCH(H2038,KALENDER!$A$3:$A$132,0)),"Di luar periode")</f>
        <v>Hari Kerja</v>
      </c>
      <c r="N2038" s="71">
        <f t="shared" si="280"/>
        <v>1</v>
      </c>
      <c r="O2038" s="71">
        <f t="shared" si="281"/>
        <v>1</v>
      </c>
      <c r="P2038" s="71">
        <f t="shared" si="282"/>
        <v>1</v>
      </c>
      <c r="Q2038" s="71">
        <f t="shared" si="283"/>
        <v>0</v>
      </c>
      <c r="R2038" s="71">
        <f t="shared" si="284"/>
        <v>0</v>
      </c>
      <c r="S2038" s="71">
        <f t="shared" si="285"/>
        <v>0</v>
      </c>
      <c r="T2038" s="71">
        <f t="shared" si="286"/>
        <v>0</v>
      </c>
      <c r="U2038" s="71">
        <f>IF(AND(N2038=1,V2038=1),IF(COUNTIFS(AKTIVITAS!$B$2:$B$3052,B2038,AKTIVITAS!$E$2:$E$3052,H2038)&gt;0,1,0),0)</f>
        <v>1</v>
      </c>
      <c r="V2038" s="71">
        <f>IFERROR(IF(AND(H2038&gt;=INDEX(PEMAGANG!$J$3:$J$36,MATCH(B2038,PEMAGANG!$C$3:$C$36,0)),H2038&lt;=INDEX(PEMAGANG!$K$3:$K$36,MATCH(B2038,PEMAGANG!$C$3:$C$36,0))),1,0),0)</f>
        <v>1</v>
      </c>
      <c r="W2038" s="71">
        <f t="shared" si="287"/>
        <v>1</v>
      </c>
    </row>
    <row r="2039" spans="1:23" x14ac:dyDescent="0.2">
      <c r="A2039" s="71" t="s">
        <v>252</v>
      </c>
      <c r="B2039" s="71" t="s">
        <v>253</v>
      </c>
      <c r="C2039" s="71" t="s">
        <v>187</v>
      </c>
      <c r="D2039" s="71" t="s">
        <v>251</v>
      </c>
      <c r="E2039" s="71" t="s">
        <v>42</v>
      </c>
      <c r="F2039" s="71" t="s">
        <v>300</v>
      </c>
      <c r="G2039" s="88">
        <v>46282.689525463</v>
      </c>
      <c r="H2039" s="89">
        <v>46282</v>
      </c>
      <c r="I2039" s="71" t="s">
        <v>306</v>
      </c>
      <c r="J2039" s="71">
        <v>0</v>
      </c>
      <c r="K2039" s="71" t="s">
        <v>302</v>
      </c>
      <c r="L2039" s="71">
        <f t="shared" si="279"/>
        <v>9</v>
      </c>
      <c r="M2039" s="71" t="str">
        <f>IFERROR(INDEX(KALENDER!$D$3:$D$132,MATCH(H2039,KALENDER!$A$3:$A$132,0)),"Di luar periode")</f>
        <v>Hari Kerja</v>
      </c>
      <c r="N2039" s="71">
        <f t="shared" si="280"/>
        <v>0</v>
      </c>
      <c r="O2039" s="71">
        <f t="shared" si="281"/>
        <v>1</v>
      </c>
      <c r="P2039" s="71">
        <f t="shared" si="282"/>
        <v>0</v>
      </c>
      <c r="Q2039" s="71">
        <f t="shared" si="283"/>
        <v>0</v>
      </c>
      <c r="R2039" s="71">
        <f t="shared" si="284"/>
        <v>0</v>
      </c>
      <c r="S2039" s="71">
        <f t="shared" si="285"/>
        <v>0</v>
      </c>
      <c r="T2039" s="71">
        <f t="shared" si="286"/>
        <v>0</v>
      </c>
      <c r="U2039" s="71">
        <f>IF(AND(N2039=1,V2039=1),IF(COUNTIFS(AKTIVITAS!$B$2:$B$3052,B2039,AKTIVITAS!$E$2:$E$3052,H2039)&gt;0,1,0),0)</f>
        <v>0</v>
      </c>
      <c r="V2039" s="71">
        <f>IFERROR(IF(AND(H2039&gt;=INDEX(PEMAGANG!$J$3:$J$36,MATCH(B2039,PEMAGANG!$C$3:$C$36,0)),H2039&lt;=INDEX(PEMAGANG!$K$3:$K$36,MATCH(B2039,PEMAGANG!$C$3:$C$36,0))),1,0),0)</f>
        <v>1</v>
      </c>
      <c r="W2039" s="71">
        <f t="shared" si="287"/>
        <v>0</v>
      </c>
    </row>
    <row r="2040" spans="1:23" x14ac:dyDescent="0.2">
      <c r="A2040" s="71" t="s">
        <v>252</v>
      </c>
      <c r="B2040" s="71" t="s">
        <v>253</v>
      </c>
      <c r="C2040" s="71" t="s">
        <v>187</v>
      </c>
      <c r="D2040" s="71" t="s">
        <v>251</v>
      </c>
      <c r="E2040" s="71" t="s">
        <v>42</v>
      </c>
      <c r="F2040" s="71" t="s">
        <v>298</v>
      </c>
      <c r="G2040" s="88">
        <v>46283.310462963003</v>
      </c>
      <c r="H2040" s="89">
        <v>46283</v>
      </c>
      <c r="I2040" s="71" t="s">
        <v>309</v>
      </c>
      <c r="J2040" s="71">
        <v>-2.9999999999999898</v>
      </c>
      <c r="K2040" s="71" t="s">
        <v>302</v>
      </c>
      <c r="L2040" s="71">
        <f t="shared" si="279"/>
        <v>9</v>
      </c>
      <c r="M2040" s="71" t="str">
        <f>IFERROR(INDEX(KALENDER!$D$3:$D$132,MATCH(H2040,KALENDER!$A$3:$A$132,0)),"Di luar periode")</f>
        <v>Hari Kerja</v>
      </c>
      <c r="N2040" s="71">
        <f t="shared" si="280"/>
        <v>1</v>
      </c>
      <c r="O2040" s="71">
        <f t="shared" si="281"/>
        <v>1</v>
      </c>
      <c r="P2040" s="71">
        <f t="shared" si="282"/>
        <v>1</v>
      </c>
      <c r="Q2040" s="71">
        <f t="shared" si="283"/>
        <v>0</v>
      </c>
      <c r="R2040" s="71">
        <f t="shared" si="284"/>
        <v>0</v>
      </c>
      <c r="S2040" s="71">
        <f t="shared" si="285"/>
        <v>0</v>
      </c>
      <c r="T2040" s="71">
        <f t="shared" si="286"/>
        <v>1</v>
      </c>
      <c r="U2040" s="71">
        <f>IF(AND(N2040=1,V2040=1),IF(COUNTIFS(AKTIVITAS!$B$2:$B$3052,B2040,AKTIVITAS!$E$2:$E$3052,H2040)&gt;0,1,0),0)</f>
        <v>1</v>
      </c>
      <c r="V2040" s="71">
        <f>IFERROR(IF(AND(H2040&gt;=INDEX(PEMAGANG!$J$3:$J$36,MATCH(B2040,PEMAGANG!$C$3:$C$36,0)),H2040&lt;=INDEX(PEMAGANG!$K$3:$K$36,MATCH(B2040,PEMAGANG!$C$3:$C$36,0))),1,0),0)</f>
        <v>1</v>
      </c>
      <c r="W2040" s="71">
        <f t="shared" si="287"/>
        <v>1</v>
      </c>
    </row>
    <row r="2041" spans="1:23" x14ac:dyDescent="0.2">
      <c r="A2041" s="71" t="s">
        <v>252</v>
      </c>
      <c r="B2041" s="71" t="s">
        <v>253</v>
      </c>
      <c r="C2041" s="71" t="s">
        <v>187</v>
      </c>
      <c r="D2041" s="71" t="s">
        <v>251</v>
      </c>
      <c r="E2041" s="71" t="s">
        <v>42</v>
      </c>
      <c r="F2041" s="71" t="s">
        <v>298</v>
      </c>
      <c r="G2041" s="88">
        <v>46286.307256944398</v>
      </c>
      <c r="H2041" s="89">
        <v>46286</v>
      </c>
      <c r="I2041" s="71" t="s">
        <v>313</v>
      </c>
      <c r="J2041" s="71">
        <v>-8.0000000000000497</v>
      </c>
      <c r="K2041" s="71" t="s">
        <v>302</v>
      </c>
      <c r="L2041" s="71">
        <f t="shared" si="279"/>
        <v>9</v>
      </c>
      <c r="M2041" s="71" t="str">
        <f>IFERROR(INDEX(KALENDER!$D$3:$D$132,MATCH(H2041,KALENDER!$A$3:$A$132,0)),"Di luar periode")</f>
        <v>Hari Kerja</v>
      </c>
      <c r="N2041" s="71">
        <f t="shared" si="280"/>
        <v>1</v>
      </c>
      <c r="O2041" s="71">
        <f t="shared" si="281"/>
        <v>1</v>
      </c>
      <c r="P2041" s="71">
        <f t="shared" si="282"/>
        <v>1</v>
      </c>
      <c r="Q2041" s="71">
        <f t="shared" si="283"/>
        <v>0</v>
      </c>
      <c r="R2041" s="71">
        <f t="shared" si="284"/>
        <v>0</v>
      </c>
      <c r="S2041" s="71">
        <f t="shared" si="285"/>
        <v>0</v>
      </c>
      <c r="T2041" s="71">
        <f t="shared" si="286"/>
        <v>0</v>
      </c>
      <c r="U2041" s="71">
        <f>IF(AND(N2041=1,V2041=1),IF(COUNTIFS(AKTIVITAS!$B$2:$B$3052,B2041,AKTIVITAS!$E$2:$E$3052,H2041)&gt;0,1,0),0)</f>
        <v>1</v>
      </c>
      <c r="V2041" s="71">
        <f>IFERROR(IF(AND(H2041&gt;=INDEX(PEMAGANG!$J$3:$J$36,MATCH(B2041,PEMAGANG!$C$3:$C$36,0)),H2041&lt;=INDEX(PEMAGANG!$K$3:$K$36,MATCH(B2041,PEMAGANG!$C$3:$C$36,0))),1,0),0)</f>
        <v>1</v>
      </c>
      <c r="W2041" s="71">
        <f t="shared" si="287"/>
        <v>1</v>
      </c>
    </row>
    <row r="2042" spans="1:23" x14ac:dyDescent="0.2">
      <c r="A2042" s="71" t="s">
        <v>252</v>
      </c>
      <c r="B2042" s="71" t="s">
        <v>253</v>
      </c>
      <c r="C2042" s="71" t="s">
        <v>187</v>
      </c>
      <c r="D2042" s="71" t="s">
        <v>251</v>
      </c>
      <c r="E2042" s="71" t="s">
        <v>42</v>
      </c>
      <c r="F2042" s="71" t="s">
        <v>300</v>
      </c>
      <c r="G2042" s="88">
        <v>46286.688506944498</v>
      </c>
      <c r="H2042" s="89">
        <v>46286</v>
      </c>
      <c r="I2042" s="71" t="s">
        <v>336</v>
      </c>
      <c r="J2042" s="71">
        <v>0</v>
      </c>
      <c r="K2042" s="71" t="s">
        <v>302</v>
      </c>
      <c r="L2042" s="71">
        <f t="shared" si="279"/>
        <v>9</v>
      </c>
      <c r="M2042" s="71" t="str">
        <f>IFERROR(INDEX(KALENDER!$D$3:$D$132,MATCH(H2042,KALENDER!$A$3:$A$132,0)),"Di luar periode")</f>
        <v>Hari Kerja</v>
      </c>
      <c r="N2042" s="71">
        <f t="shared" si="280"/>
        <v>0</v>
      </c>
      <c r="O2042" s="71">
        <f t="shared" si="281"/>
        <v>1</v>
      </c>
      <c r="P2042" s="71">
        <f t="shared" si="282"/>
        <v>0</v>
      </c>
      <c r="Q2042" s="71">
        <f t="shared" si="283"/>
        <v>0</v>
      </c>
      <c r="R2042" s="71">
        <f t="shared" si="284"/>
        <v>0</v>
      </c>
      <c r="S2042" s="71">
        <f t="shared" si="285"/>
        <v>0</v>
      </c>
      <c r="T2042" s="71">
        <f t="shared" si="286"/>
        <v>0</v>
      </c>
      <c r="U2042" s="71">
        <f>IF(AND(N2042=1,V2042=1),IF(COUNTIFS(AKTIVITAS!$B$2:$B$3052,B2042,AKTIVITAS!$E$2:$E$3052,H2042)&gt;0,1,0),0)</f>
        <v>0</v>
      </c>
      <c r="V2042" s="71">
        <f>IFERROR(IF(AND(H2042&gt;=INDEX(PEMAGANG!$J$3:$J$36,MATCH(B2042,PEMAGANG!$C$3:$C$36,0)),H2042&lt;=INDEX(PEMAGANG!$K$3:$K$36,MATCH(B2042,PEMAGANG!$C$3:$C$36,0))),1,0),0)</f>
        <v>1</v>
      </c>
      <c r="W2042" s="71">
        <f t="shared" si="287"/>
        <v>0</v>
      </c>
    </row>
    <row r="2043" spans="1:23" x14ac:dyDescent="0.2">
      <c r="A2043" s="71" t="s">
        <v>252</v>
      </c>
      <c r="B2043" s="71" t="s">
        <v>253</v>
      </c>
      <c r="C2043" s="71" t="s">
        <v>187</v>
      </c>
      <c r="D2043" s="71" t="s">
        <v>251</v>
      </c>
      <c r="E2043" s="71" t="s">
        <v>42</v>
      </c>
      <c r="F2043" s="71" t="s">
        <v>298</v>
      </c>
      <c r="G2043" s="88">
        <v>46287.310763888898</v>
      </c>
      <c r="H2043" s="89">
        <v>46287</v>
      </c>
      <c r="I2043" s="71" t="s">
        <v>309</v>
      </c>
      <c r="J2043" s="71">
        <v>-2.9999999999999898</v>
      </c>
      <c r="K2043" s="71" t="s">
        <v>302</v>
      </c>
      <c r="L2043" s="71">
        <f t="shared" si="279"/>
        <v>9</v>
      </c>
      <c r="M2043" s="71" t="str">
        <f>IFERROR(INDEX(KALENDER!$D$3:$D$132,MATCH(H2043,KALENDER!$A$3:$A$132,0)),"Di luar periode")</f>
        <v>Hari Kerja</v>
      </c>
      <c r="N2043" s="71">
        <f t="shared" si="280"/>
        <v>1</v>
      </c>
      <c r="O2043" s="71">
        <f t="shared" si="281"/>
        <v>1</v>
      </c>
      <c r="P2043" s="71">
        <f t="shared" si="282"/>
        <v>1</v>
      </c>
      <c r="Q2043" s="71">
        <f t="shared" si="283"/>
        <v>0</v>
      </c>
      <c r="R2043" s="71">
        <f t="shared" si="284"/>
        <v>0</v>
      </c>
      <c r="S2043" s="71">
        <f t="shared" si="285"/>
        <v>0</v>
      </c>
      <c r="T2043" s="71">
        <f t="shared" si="286"/>
        <v>0</v>
      </c>
      <c r="U2043" s="71">
        <f>IF(AND(N2043=1,V2043=1),IF(COUNTIFS(AKTIVITAS!$B$2:$B$3052,B2043,AKTIVITAS!$E$2:$E$3052,H2043)&gt;0,1,0),0)</f>
        <v>1</v>
      </c>
      <c r="V2043" s="71">
        <f>IFERROR(IF(AND(H2043&gt;=INDEX(PEMAGANG!$J$3:$J$36,MATCH(B2043,PEMAGANG!$C$3:$C$36,0)),H2043&lt;=INDEX(PEMAGANG!$K$3:$K$36,MATCH(B2043,PEMAGANG!$C$3:$C$36,0))),1,0),0)</f>
        <v>1</v>
      </c>
      <c r="W2043" s="71">
        <f t="shared" si="287"/>
        <v>1</v>
      </c>
    </row>
    <row r="2044" spans="1:23" x14ac:dyDescent="0.2">
      <c r="A2044" s="71" t="s">
        <v>252</v>
      </c>
      <c r="B2044" s="71" t="s">
        <v>253</v>
      </c>
      <c r="C2044" s="71" t="s">
        <v>187</v>
      </c>
      <c r="D2044" s="71" t="s">
        <v>251</v>
      </c>
      <c r="E2044" s="71" t="s">
        <v>42</v>
      </c>
      <c r="F2044" s="71" t="s">
        <v>300</v>
      </c>
      <c r="G2044" s="88">
        <v>46287.691932870403</v>
      </c>
      <c r="H2044" s="89">
        <v>46287</v>
      </c>
      <c r="I2044" s="71" t="s">
        <v>344</v>
      </c>
      <c r="J2044" s="71">
        <v>0</v>
      </c>
      <c r="K2044" s="71" t="s">
        <v>302</v>
      </c>
      <c r="L2044" s="71">
        <f t="shared" si="279"/>
        <v>9</v>
      </c>
      <c r="M2044" s="71" t="str">
        <f>IFERROR(INDEX(KALENDER!$D$3:$D$132,MATCH(H2044,KALENDER!$A$3:$A$132,0)),"Di luar periode")</f>
        <v>Hari Kerja</v>
      </c>
      <c r="N2044" s="71">
        <f t="shared" si="280"/>
        <v>0</v>
      </c>
      <c r="O2044" s="71">
        <f t="shared" si="281"/>
        <v>1</v>
      </c>
      <c r="P2044" s="71">
        <f t="shared" si="282"/>
        <v>0</v>
      </c>
      <c r="Q2044" s="71">
        <f t="shared" si="283"/>
        <v>0</v>
      </c>
      <c r="R2044" s="71">
        <f t="shared" si="284"/>
        <v>0</v>
      </c>
      <c r="S2044" s="71">
        <f t="shared" si="285"/>
        <v>0</v>
      </c>
      <c r="T2044" s="71">
        <f t="shared" si="286"/>
        <v>0</v>
      </c>
      <c r="U2044" s="71">
        <f>IF(AND(N2044=1,V2044=1),IF(COUNTIFS(AKTIVITAS!$B$2:$B$3052,B2044,AKTIVITAS!$E$2:$E$3052,H2044)&gt;0,1,0),0)</f>
        <v>0</v>
      </c>
      <c r="V2044" s="71">
        <f>IFERROR(IF(AND(H2044&gt;=INDEX(PEMAGANG!$J$3:$J$36,MATCH(B2044,PEMAGANG!$C$3:$C$36,0)),H2044&lt;=INDEX(PEMAGANG!$K$3:$K$36,MATCH(B2044,PEMAGANG!$C$3:$C$36,0))),1,0),0)</f>
        <v>1</v>
      </c>
      <c r="W2044" s="71">
        <f t="shared" si="287"/>
        <v>0</v>
      </c>
    </row>
    <row r="2045" spans="1:23" x14ac:dyDescent="0.2">
      <c r="A2045" s="71" t="s">
        <v>252</v>
      </c>
      <c r="B2045" s="71" t="s">
        <v>253</v>
      </c>
      <c r="C2045" s="71" t="s">
        <v>187</v>
      </c>
      <c r="D2045" s="71" t="s">
        <v>251</v>
      </c>
      <c r="E2045" s="71" t="s">
        <v>42</v>
      </c>
      <c r="F2045" s="71" t="s">
        <v>298</v>
      </c>
      <c r="G2045" s="88">
        <v>46288.308055555601</v>
      </c>
      <c r="H2045" s="89">
        <v>46288</v>
      </c>
      <c r="I2045" s="71" t="s">
        <v>311</v>
      </c>
      <c r="J2045" s="71">
        <v>-6.9999999999999796</v>
      </c>
      <c r="K2045" s="71" t="s">
        <v>302</v>
      </c>
      <c r="L2045" s="71">
        <f t="shared" si="279"/>
        <v>9</v>
      </c>
      <c r="M2045" s="71" t="str">
        <f>IFERROR(INDEX(KALENDER!$D$3:$D$132,MATCH(H2045,KALENDER!$A$3:$A$132,0)),"Di luar periode")</f>
        <v>Hari Kerja</v>
      </c>
      <c r="N2045" s="71">
        <f t="shared" si="280"/>
        <v>1</v>
      </c>
      <c r="O2045" s="71">
        <f t="shared" si="281"/>
        <v>1</v>
      </c>
      <c r="P2045" s="71">
        <f t="shared" si="282"/>
        <v>1</v>
      </c>
      <c r="Q2045" s="71">
        <f t="shared" si="283"/>
        <v>0</v>
      </c>
      <c r="R2045" s="71">
        <f t="shared" si="284"/>
        <v>0</v>
      </c>
      <c r="S2045" s="71">
        <f t="shared" si="285"/>
        <v>0</v>
      </c>
      <c r="T2045" s="71">
        <f t="shared" si="286"/>
        <v>0</v>
      </c>
      <c r="U2045" s="71">
        <f>IF(AND(N2045=1,V2045=1),IF(COUNTIFS(AKTIVITAS!$B$2:$B$3052,B2045,AKTIVITAS!$E$2:$E$3052,H2045)&gt;0,1,0),0)</f>
        <v>1</v>
      </c>
      <c r="V2045" s="71">
        <f>IFERROR(IF(AND(H2045&gt;=INDEX(PEMAGANG!$J$3:$J$36,MATCH(B2045,PEMAGANG!$C$3:$C$36,0)),H2045&lt;=INDEX(PEMAGANG!$K$3:$K$36,MATCH(B2045,PEMAGANG!$C$3:$C$36,0))),1,0),0)</f>
        <v>1</v>
      </c>
      <c r="W2045" s="71">
        <f t="shared" si="287"/>
        <v>1</v>
      </c>
    </row>
    <row r="2046" spans="1:23" x14ac:dyDescent="0.2">
      <c r="A2046" s="71" t="s">
        <v>252</v>
      </c>
      <c r="B2046" s="71" t="s">
        <v>253</v>
      </c>
      <c r="C2046" s="71" t="s">
        <v>187</v>
      </c>
      <c r="D2046" s="71" t="s">
        <v>251</v>
      </c>
      <c r="E2046" s="71" t="s">
        <v>42</v>
      </c>
      <c r="F2046" s="71" t="s">
        <v>298</v>
      </c>
      <c r="G2046" s="88">
        <v>46288.308113425897</v>
      </c>
      <c r="H2046" s="89">
        <v>46288</v>
      </c>
      <c r="I2046" s="71" t="s">
        <v>311</v>
      </c>
      <c r="J2046" s="71">
        <v>-6.9999999999999796</v>
      </c>
      <c r="K2046" s="71" t="s">
        <v>302</v>
      </c>
      <c r="L2046" s="71">
        <f t="shared" si="279"/>
        <v>9</v>
      </c>
      <c r="M2046" s="71" t="str">
        <f>IFERROR(INDEX(KALENDER!$D$3:$D$132,MATCH(H2046,KALENDER!$A$3:$A$132,0)),"Di luar periode")</f>
        <v>Hari Kerja</v>
      </c>
      <c r="N2046" s="71">
        <f t="shared" si="280"/>
        <v>0</v>
      </c>
      <c r="O2046" s="71">
        <f t="shared" si="281"/>
        <v>2</v>
      </c>
      <c r="P2046" s="71">
        <f t="shared" si="282"/>
        <v>0</v>
      </c>
      <c r="Q2046" s="71">
        <f t="shared" si="283"/>
        <v>0</v>
      </c>
      <c r="R2046" s="71">
        <f t="shared" si="284"/>
        <v>0</v>
      </c>
      <c r="S2046" s="71">
        <f t="shared" si="285"/>
        <v>0</v>
      </c>
      <c r="T2046" s="71">
        <f t="shared" si="286"/>
        <v>0</v>
      </c>
      <c r="U2046" s="71">
        <f>IF(AND(N2046=1,V2046=1),IF(COUNTIFS(AKTIVITAS!$B$2:$B$3052,B2046,AKTIVITAS!$E$2:$E$3052,H2046)&gt;0,1,0),0)</f>
        <v>0</v>
      </c>
      <c r="V2046" s="71">
        <f>IFERROR(IF(AND(H2046&gt;=INDEX(PEMAGANG!$J$3:$J$36,MATCH(B2046,PEMAGANG!$C$3:$C$36,0)),H2046&lt;=INDEX(PEMAGANG!$K$3:$K$36,MATCH(B2046,PEMAGANG!$C$3:$C$36,0))),1,0),0)</f>
        <v>1</v>
      </c>
      <c r="W2046" s="71">
        <f t="shared" si="287"/>
        <v>0</v>
      </c>
    </row>
    <row r="2047" spans="1:23" x14ac:dyDescent="0.2">
      <c r="A2047" s="71" t="s">
        <v>252</v>
      </c>
      <c r="B2047" s="71" t="s">
        <v>253</v>
      </c>
      <c r="C2047" s="71" t="s">
        <v>187</v>
      </c>
      <c r="D2047" s="71" t="s">
        <v>251</v>
      </c>
      <c r="E2047" s="71" t="s">
        <v>42</v>
      </c>
      <c r="F2047" s="71" t="s">
        <v>300</v>
      </c>
      <c r="G2047" s="88">
        <v>46288.689189814802</v>
      </c>
      <c r="H2047" s="89">
        <v>46288</v>
      </c>
      <c r="I2047" s="71" t="s">
        <v>306</v>
      </c>
      <c r="J2047" s="71">
        <v>0</v>
      </c>
      <c r="K2047" s="71" t="s">
        <v>302</v>
      </c>
      <c r="L2047" s="71">
        <f t="shared" si="279"/>
        <v>9</v>
      </c>
      <c r="M2047" s="71" t="str">
        <f>IFERROR(INDEX(KALENDER!$D$3:$D$132,MATCH(H2047,KALENDER!$A$3:$A$132,0)),"Di luar periode")</f>
        <v>Hari Kerja</v>
      </c>
      <c r="N2047" s="71">
        <f t="shared" si="280"/>
        <v>0</v>
      </c>
      <c r="O2047" s="71">
        <f t="shared" si="281"/>
        <v>2</v>
      </c>
      <c r="P2047" s="71">
        <f t="shared" si="282"/>
        <v>0</v>
      </c>
      <c r="Q2047" s="71">
        <f t="shared" si="283"/>
        <v>0</v>
      </c>
      <c r="R2047" s="71">
        <f t="shared" si="284"/>
        <v>0</v>
      </c>
      <c r="S2047" s="71">
        <f t="shared" si="285"/>
        <v>0</v>
      </c>
      <c r="T2047" s="71">
        <f t="shared" si="286"/>
        <v>0</v>
      </c>
      <c r="U2047" s="71">
        <f>IF(AND(N2047=1,V2047=1),IF(COUNTIFS(AKTIVITAS!$B$2:$B$3052,B2047,AKTIVITAS!$E$2:$E$3052,H2047)&gt;0,1,0),0)</f>
        <v>0</v>
      </c>
      <c r="V2047" s="71">
        <f>IFERROR(IF(AND(H2047&gt;=INDEX(PEMAGANG!$J$3:$J$36,MATCH(B2047,PEMAGANG!$C$3:$C$36,0)),H2047&lt;=INDEX(PEMAGANG!$K$3:$K$36,MATCH(B2047,PEMAGANG!$C$3:$C$36,0))),1,0),0)</f>
        <v>1</v>
      </c>
      <c r="W2047" s="71">
        <f t="shared" si="287"/>
        <v>0</v>
      </c>
    </row>
    <row r="2048" spans="1:23" x14ac:dyDescent="0.2">
      <c r="A2048" s="71" t="s">
        <v>252</v>
      </c>
      <c r="B2048" s="71" t="s">
        <v>253</v>
      </c>
      <c r="C2048" s="71" t="s">
        <v>187</v>
      </c>
      <c r="D2048" s="71" t="s">
        <v>251</v>
      </c>
      <c r="E2048" s="71" t="s">
        <v>42</v>
      </c>
      <c r="F2048" s="71" t="s">
        <v>298</v>
      </c>
      <c r="G2048" s="88">
        <v>46289.307754629597</v>
      </c>
      <c r="H2048" s="89">
        <v>46289</v>
      </c>
      <c r="I2048" s="71" t="s">
        <v>311</v>
      </c>
      <c r="J2048" s="71">
        <v>-6.9999999999999796</v>
      </c>
      <c r="K2048" s="71" t="s">
        <v>302</v>
      </c>
      <c r="L2048" s="71">
        <f t="shared" si="279"/>
        <v>9</v>
      </c>
      <c r="M2048" s="71" t="str">
        <f>IFERROR(INDEX(KALENDER!$D$3:$D$132,MATCH(H2048,KALENDER!$A$3:$A$132,0)),"Di luar periode")</f>
        <v>Hari Kerja</v>
      </c>
      <c r="N2048" s="71">
        <f t="shared" si="280"/>
        <v>1</v>
      </c>
      <c r="O2048" s="71">
        <f t="shared" si="281"/>
        <v>1</v>
      </c>
      <c r="P2048" s="71">
        <f t="shared" si="282"/>
        <v>1</v>
      </c>
      <c r="Q2048" s="71">
        <f t="shared" si="283"/>
        <v>0</v>
      </c>
      <c r="R2048" s="71">
        <f t="shared" si="284"/>
        <v>0</v>
      </c>
      <c r="S2048" s="71">
        <f t="shared" si="285"/>
        <v>0</v>
      </c>
      <c r="T2048" s="71">
        <f t="shared" si="286"/>
        <v>0</v>
      </c>
      <c r="U2048" s="71">
        <f>IF(AND(N2048=1,V2048=1),IF(COUNTIFS(AKTIVITAS!$B$2:$B$3052,B2048,AKTIVITAS!$E$2:$E$3052,H2048)&gt;0,1,0),0)</f>
        <v>1</v>
      </c>
      <c r="V2048" s="71">
        <f>IFERROR(IF(AND(H2048&gt;=INDEX(PEMAGANG!$J$3:$J$36,MATCH(B2048,PEMAGANG!$C$3:$C$36,0)),H2048&lt;=INDEX(PEMAGANG!$K$3:$K$36,MATCH(B2048,PEMAGANG!$C$3:$C$36,0))),1,0),0)</f>
        <v>1</v>
      </c>
      <c r="W2048" s="71">
        <f t="shared" si="287"/>
        <v>1</v>
      </c>
    </row>
    <row r="2049" spans="1:23" x14ac:dyDescent="0.2">
      <c r="A2049" s="71" t="s">
        <v>252</v>
      </c>
      <c r="B2049" s="71" t="s">
        <v>253</v>
      </c>
      <c r="C2049" s="71" t="s">
        <v>187</v>
      </c>
      <c r="D2049" s="71" t="s">
        <v>251</v>
      </c>
      <c r="E2049" s="71" t="s">
        <v>42</v>
      </c>
      <c r="F2049" s="71" t="s">
        <v>300</v>
      </c>
      <c r="G2049" s="88">
        <v>46289.689803240697</v>
      </c>
      <c r="H2049" s="89">
        <v>46289</v>
      </c>
      <c r="I2049" s="71" t="s">
        <v>316</v>
      </c>
      <c r="J2049" s="71">
        <v>0</v>
      </c>
      <c r="K2049" s="71" t="s">
        <v>302</v>
      </c>
      <c r="L2049" s="71">
        <f t="shared" si="279"/>
        <v>9</v>
      </c>
      <c r="M2049" s="71" t="str">
        <f>IFERROR(INDEX(KALENDER!$D$3:$D$132,MATCH(H2049,KALENDER!$A$3:$A$132,0)),"Di luar periode")</f>
        <v>Hari Kerja</v>
      </c>
      <c r="N2049" s="71">
        <f t="shared" si="280"/>
        <v>0</v>
      </c>
      <c r="O2049" s="71">
        <f t="shared" si="281"/>
        <v>1</v>
      </c>
      <c r="P2049" s="71">
        <f t="shared" si="282"/>
        <v>0</v>
      </c>
      <c r="Q2049" s="71">
        <f t="shared" si="283"/>
        <v>0</v>
      </c>
      <c r="R2049" s="71">
        <f t="shared" si="284"/>
        <v>0</v>
      </c>
      <c r="S2049" s="71">
        <f t="shared" si="285"/>
        <v>0</v>
      </c>
      <c r="T2049" s="71">
        <f t="shared" si="286"/>
        <v>0</v>
      </c>
      <c r="U2049" s="71">
        <f>IF(AND(N2049=1,V2049=1),IF(COUNTIFS(AKTIVITAS!$B$2:$B$3052,B2049,AKTIVITAS!$E$2:$E$3052,H2049)&gt;0,1,0),0)</f>
        <v>0</v>
      </c>
      <c r="V2049" s="71">
        <f>IFERROR(IF(AND(H2049&gt;=INDEX(PEMAGANG!$J$3:$J$36,MATCH(B2049,PEMAGANG!$C$3:$C$36,0)),H2049&lt;=INDEX(PEMAGANG!$K$3:$K$36,MATCH(B2049,PEMAGANG!$C$3:$C$36,0))),1,0),0)</f>
        <v>1</v>
      </c>
      <c r="W2049" s="71">
        <f t="shared" si="287"/>
        <v>0</v>
      </c>
    </row>
    <row r="2050" spans="1:23" x14ac:dyDescent="0.2">
      <c r="A2050" s="71" t="s">
        <v>252</v>
      </c>
      <c r="B2050" s="71" t="s">
        <v>253</v>
      </c>
      <c r="C2050" s="71" t="s">
        <v>187</v>
      </c>
      <c r="D2050" s="71" t="s">
        <v>251</v>
      </c>
      <c r="E2050" s="71" t="s">
        <v>42</v>
      </c>
      <c r="F2050" s="71" t="s">
        <v>298</v>
      </c>
      <c r="G2050" s="88">
        <v>46290.310150463003</v>
      </c>
      <c r="H2050" s="89">
        <v>46290</v>
      </c>
      <c r="I2050" s="71" t="s">
        <v>315</v>
      </c>
      <c r="J2050" s="71">
        <v>-3.9999999999999898</v>
      </c>
      <c r="K2050" s="71" t="s">
        <v>302</v>
      </c>
      <c r="L2050" s="71">
        <f t="shared" ref="L2050:L2113" si="288">MONTH(H2050)</f>
        <v>9</v>
      </c>
      <c r="M2050" s="71" t="str">
        <f>IFERROR(INDEX(KALENDER!$D$3:$D$132,MATCH(H2050,KALENDER!$A$3:$A$132,0)),"Di luar periode")</f>
        <v>Hari Kerja</v>
      </c>
      <c r="N2050" s="71">
        <f t="shared" ref="N2050:N2113" si="289">IF(AND(B2050=B2049,H2050=H2049),0,1)</f>
        <v>1</v>
      </c>
      <c r="O2050" s="71">
        <f t="shared" ref="O2050:O2113" si="290">IF(N2050=1,0,O2049)+IF(F2050="MASUK",1,0)</f>
        <v>1</v>
      </c>
      <c r="P2050" s="71">
        <f t="shared" ref="P2050:P2113" si="291">IF(AND(N2050=1,M2050="Hari Kerja",V2050=1),1,0)</f>
        <v>1</v>
      </c>
      <c r="Q2050" s="71">
        <f t="shared" ref="Q2050:Q2113" si="292">IF(AND(N2050=1,OR(M2050&lt;&gt;"Hari Kerja",V2050=0)),1,0)</f>
        <v>0</v>
      </c>
      <c r="R2050" s="71">
        <f t="shared" ref="R2050:R2113" si="293">IF(AND(F2050="MASUK",O2050=1,N(J2050)&gt;0,V2050=1),1,0)</f>
        <v>0</v>
      </c>
      <c r="S2050" s="71">
        <f t="shared" ref="S2050:S2113" si="294">R2050*N(J2050)</f>
        <v>0</v>
      </c>
      <c r="T2050" s="71">
        <f t="shared" ref="T2050:T2113" si="295">IF(AND(N2050=1,V2050=1),IF(AND(COUNTIFS($B$2:$B$4094,B2050,$H$2:$H$4094,H2050,$F$2:$F$4094,"MASUK")&gt;0,COUNTIFS($B$2:$B$4094,B2050,$H$2:$H$4094,H2050,$F$2:$F$4094,"PULANG")=0),1,0),0)</f>
        <v>0</v>
      </c>
      <c r="U2050" s="71">
        <f>IF(AND(N2050=1,V2050=1),IF(COUNTIFS(AKTIVITAS!$B$2:$B$3052,B2050,AKTIVITAS!$E$2:$E$3052,H2050)&gt;0,1,0),0)</f>
        <v>1</v>
      </c>
      <c r="V2050" s="71">
        <f>IFERROR(IF(AND(H2050&gt;=INDEX(PEMAGANG!$J$3:$J$36,MATCH(B2050,PEMAGANG!$C$3:$C$36,0)),H2050&lt;=INDEX(PEMAGANG!$K$3:$K$36,MATCH(B2050,PEMAGANG!$C$3:$C$36,0))),1,0),0)</f>
        <v>1</v>
      </c>
      <c r="W2050" s="71">
        <f t="shared" ref="W2050:W2113" si="296">N2050*V2050</f>
        <v>1</v>
      </c>
    </row>
    <row r="2051" spans="1:23" x14ac:dyDescent="0.2">
      <c r="A2051" s="71" t="s">
        <v>252</v>
      </c>
      <c r="B2051" s="71" t="s">
        <v>253</v>
      </c>
      <c r="C2051" s="71" t="s">
        <v>187</v>
      </c>
      <c r="D2051" s="71" t="s">
        <v>251</v>
      </c>
      <c r="E2051" s="71" t="s">
        <v>42</v>
      </c>
      <c r="F2051" s="71" t="s">
        <v>300</v>
      </c>
      <c r="G2051" s="88">
        <v>46290.688900462999</v>
      </c>
      <c r="H2051" s="89">
        <v>46290</v>
      </c>
      <c r="I2051" s="71" t="s">
        <v>306</v>
      </c>
      <c r="J2051" s="71">
        <v>0</v>
      </c>
      <c r="K2051" s="71" t="s">
        <v>302</v>
      </c>
      <c r="L2051" s="71">
        <f t="shared" si="288"/>
        <v>9</v>
      </c>
      <c r="M2051" s="71" t="str">
        <f>IFERROR(INDEX(KALENDER!$D$3:$D$132,MATCH(H2051,KALENDER!$A$3:$A$132,0)),"Di luar periode")</f>
        <v>Hari Kerja</v>
      </c>
      <c r="N2051" s="71">
        <f t="shared" si="289"/>
        <v>0</v>
      </c>
      <c r="O2051" s="71">
        <f t="shared" si="290"/>
        <v>1</v>
      </c>
      <c r="P2051" s="71">
        <f t="shared" si="291"/>
        <v>0</v>
      </c>
      <c r="Q2051" s="71">
        <f t="shared" si="292"/>
        <v>0</v>
      </c>
      <c r="R2051" s="71">
        <f t="shared" si="293"/>
        <v>0</v>
      </c>
      <c r="S2051" s="71">
        <f t="shared" si="294"/>
        <v>0</v>
      </c>
      <c r="T2051" s="71">
        <f t="shared" si="295"/>
        <v>0</v>
      </c>
      <c r="U2051" s="71">
        <f>IF(AND(N2051=1,V2051=1),IF(COUNTIFS(AKTIVITAS!$B$2:$B$3052,B2051,AKTIVITAS!$E$2:$E$3052,H2051)&gt;0,1,0),0)</f>
        <v>0</v>
      </c>
      <c r="V2051" s="71">
        <f>IFERROR(IF(AND(H2051&gt;=INDEX(PEMAGANG!$J$3:$J$36,MATCH(B2051,PEMAGANG!$C$3:$C$36,0)),H2051&lt;=INDEX(PEMAGANG!$K$3:$K$36,MATCH(B2051,PEMAGANG!$C$3:$C$36,0))),1,0),0)</f>
        <v>1</v>
      </c>
      <c r="W2051" s="71">
        <f t="shared" si="296"/>
        <v>0</v>
      </c>
    </row>
    <row r="2052" spans="1:23" x14ac:dyDescent="0.2">
      <c r="A2052" s="71" t="s">
        <v>252</v>
      </c>
      <c r="B2052" s="71" t="s">
        <v>253</v>
      </c>
      <c r="C2052" s="71" t="s">
        <v>187</v>
      </c>
      <c r="D2052" s="71" t="s">
        <v>251</v>
      </c>
      <c r="E2052" s="71" t="s">
        <v>42</v>
      </c>
      <c r="F2052" s="71" t="s">
        <v>298</v>
      </c>
      <c r="G2052" s="88">
        <v>46293.262314814798</v>
      </c>
      <c r="H2052" s="89">
        <v>46293</v>
      </c>
      <c r="I2052" s="71" t="s">
        <v>440</v>
      </c>
      <c r="J2052" s="71">
        <v>-73</v>
      </c>
      <c r="K2052" s="71" t="s">
        <v>302</v>
      </c>
      <c r="L2052" s="71">
        <f t="shared" si="288"/>
        <v>9</v>
      </c>
      <c r="M2052" s="71" t="str">
        <f>IFERROR(INDEX(KALENDER!$D$3:$D$132,MATCH(H2052,KALENDER!$A$3:$A$132,0)),"Di luar periode")</f>
        <v>Hari Kerja</v>
      </c>
      <c r="N2052" s="71">
        <f t="shared" si="289"/>
        <v>1</v>
      </c>
      <c r="O2052" s="71">
        <f t="shared" si="290"/>
        <v>1</v>
      </c>
      <c r="P2052" s="71">
        <f t="shared" si="291"/>
        <v>1</v>
      </c>
      <c r="Q2052" s="71">
        <f t="shared" si="292"/>
        <v>0</v>
      </c>
      <c r="R2052" s="71">
        <f t="shared" si="293"/>
        <v>0</v>
      </c>
      <c r="S2052" s="71">
        <f t="shared" si="294"/>
        <v>0</v>
      </c>
      <c r="T2052" s="71">
        <f t="shared" si="295"/>
        <v>0</v>
      </c>
      <c r="U2052" s="71">
        <f>IF(AND(N2052=1,V2052=1),IF(COUNTIFS(AKTIVITAS!$B$2:$B$3052,B2052,AKTIVITAS!$E$2:$E$3052,H2052)&gt;0,1,0),0)</f>
        <v>1</v>
      </c>
      <c r="V2052" s="71">
        <f>IFERROR(IF(AND(H2052&gt;=INDEX(PEMAGANG!$J$3:$J$36,MATCH(B2052,PEMAGANG!$C$3:$C$36,0)),H2052&lt;=INDEX(PEMAGANG!$K$3:$K$36,MATCH(B2052,PEMAGANG!$C$3:$C$36,0))),1,0),0)</f>
        <v>1</v>
      </c>
      <c r="W2052" s="71">
        <f t="shared" si="296"/>
        <v>1</v>
      </c>
    </row>
    <row r="2053" spans="1:23" x14ac:dyDescent="0.2">
      <c r="A2053" s="71" t="s">
        <v>252</v>
      </c>
      <c r="B2053" s="71" t="s">
        <v>253</v>
      </c>
      <c r="C2053" s="71" t="s">
        <v>187</v>
      </c>
      <c r="D2053" s="71" t="s">
        <v>251</v>
      </c>
      <c r="E2053" s="71" t="s">
        <v>42</v>
      </c>
      <c r="F2053" s="71" t="s">
        <v>300</v>
      </c>
      <c r="G2053" s="88">
        <v>46293.689016203702</v>
      </c>
      <c r="H2053" s="89">
        <v>46293</v>
      </c>
      <c r="I2053" s="71" t="s">
        <v>306</v>
      </c>
      <c r="J2053" s="71">
        <v>0</v>
      </c>
      <c r="K2053" s="71" t="s">
        <v>302</v>
      </c>
      <c r="L2053" s="71">
        <f t="shared" si="288"/>
        <v>9</v>
      </c>
      <c r="M2053" s="71" t="str">
        <f>IFERROR(INDEX(KALENDER!$D$3:$D$132,MATCH(H2053,KALENDER!$A$3:$A$132,0)),"Di luar periode")</f>
        <v>Hari Kerja</v>
      </c>
      <c r="N2053" s="71">
        <f t="shared" si="289"/>
        <v>0</v>
      </c>
      <c r="O2053" s="71">
        <f t="shared" si="290"/>
        <v>1</v>
      </c>
      <c r="P2053" s="71">
        <f t="shared" si="291"/>
        <v>0</v>
      </c>
      <c r="Q2053" s="71">
        <f t="shared" si="292"/>
        <v>0</v>
      </c>
      <c r="R2053" s="71">
        <f t="shared" si="293"/>
        <v>0</v>
      </c>
      <c r="S2053" s="71">
        <f t="shared" si="294"/>
        <v>0</v>
      </c>
      <c r="T2053" s="71">
        <f t="shared" si="295"/>
        <v>0</v>
      </c>
      <c r="U2053" s="71">
        <f>IF(AND(N2053=1,V2053=1),IF(COUNTIFS(AKTIVITAS!$B$2:$B$3052,B2053,AKTIVITAS!$E$2:$E$3052,H2053)&gt;0,1,0),0)</f>
        <v>0</v>
      </c>
      <c r="V2053" s="71">
        <f>IFERROR(IF(AND(H2053&gt;=INDEX(PEMAGANG!$J$3:$J$36,MATCH(B2053,PEMAGANG!$C$3:$C$36,0)),H2053&lt;=INDEX(PEMAGANG!$K$3:$K$36,MATCH(B2053,PEMAGANG!$C$3:$C$36,0))),1,0),0)</f>
        <v>1</v>
      </c>
      <c r="W2053" s="71">
        <f t="shared" si="296"/>
        <v>0</v>
      </c>
    </row>
    <row r="2054" spans="1:23" x14ac:dyDescent="0.2">
      <c r="A2054" s="71" t="s">
        <v>252</v>
      </c>
      <c r="B2054" s="71" t="s">
        <v>253</v>
      </c>
      <c r="C2054" s="71" t="s">
        <v>187</v>
      </c>
      <c r="D2054" s="71" t="s">
        <v>251</v>
      </c>
      <c r="E2054" s="71" t="s">
        <v>42</v>
      </c>
      <c r="F2054" s="71" t="s">
        <v>298</v>
      </c>
      <c r="G2054" s="88">
        <v>46294.3109259259</v>
      </c>
      <c r="H2054" s="89">
        <v>46294</v>
      </c>
      <c r="I2054" s="71" t="s">
        <v>309</v>
      </c>
      <c r="J2054" s="71">
        <v>-2.9999999999999898</v>
      </c>
      <c r="K2054" s="71" t="s">
        <v>302</v>
      </c>
      <c r="L2054" s="71">
        <f t="shared" si="288"/>
        <v>9</v>
      </c>
      <c r="M2054" s="71" t="str">
        <f>IFERROR(INDEX(KALENDER!$D$3:$D$132,MATCH(H2054,KALENDER!$A$3:$A$132,0)),"Di luar periode")</f>
        <v>Hari Kerja</v>
      </c>
      <c r="N2054" s="71">
        <f t="shared" si="289"/>
        <v>1</v>
      </c>
      <c r="O2054" s="71">
        <f t="shared" si="290"/>
        <v>1</v>
      </c>
      <c r="P2054" s="71">
        <f t="shared" si="291"/>
        <v>1</v>
      </c>
      <c r="Q2054" s="71">
        <f t="shared" si="292"/>
        <v>0</v>
      </c>
      <c r="R2054" s="71">
        <f t="shared" si="293"/>
        <v>0</v>
      </c>
      <c r="S2054" s="71">
        <f t="shared" si="294"/>
        <v>0</v>
      </c>
      <c r="T2054" s="71">
        <f t="shared" si="295"/>
        <v>0</v>
      </c>
      <c r="U2054" s="71">
        <f>IF(AND(N2054=1,V2054=1),IF(COUNTIFS(AKTIVITAS!$B$2:$B$3052,B2054,AKTIVITAS!$E$2:$E$3052,H2054)&gt;0,1,0),0)</f>
        <v>1</v>
      </c>
      <c r="V2054" s="71">
        <f>IFERROR(IF(AND(H2054&gt;=INDEX(PEMAGANG!$J$3:$J$36,MATCH(B2054,PEMAGANG!$C$3:$C$36,0)),H2054&lt;=INDEX(PEMAGANG!$K$3:$K$36,MATCH(B2054,PEMAGANG!$C$3:$C$36,0))),1,0),0)</f>
        <v>1</v>
      </c>
      <c r="W2054" s="71">
        <f t="shared" si="296"/>
        <v>1</v>
      </c>
    </row>
    <row r="2055" spans="1:23" x14ac:dyDescent="0.2">
      <c r="A2055" s="71" t="s">
        <v>252</v>
      </c>
      <c r="B2055" s="71" t="s">
        <v>253</v>
      </c>
      <c r="C2055" s="71" t="s">
        <v>187</v>
      </c>
      <c r="D2055" s="71" t="s">
        <v>251</v>
      </c>
      <c r="E2055" s="71" t="s">
        <v>42</v>
      </c>
      <c r="F2055" s="71" t="s">
        <v>298</v>
      </c>
      <c r="G2055" s="88">
        <v>46294.311053240701</v>
      </c>
      <c r="H2055" s="89">
        <v>46294</v>
      </c>
      <c r="I2055" s="71" t="s">
        <v>309</v>
      </c>
      <c r="J2055" s="71">
        <v>-2.9999999999999898</v>
      </c>
      <c r="K2055" s="71" t="s">
        <v>302</v>
      </c>
      <c r="L2055" s="71">
        <f t="shared" si="288"/>
        <v>9</v>
      </c>
      <c r="M2055" s="71" t="str">
        <f>IFERROR(INDEX(KALENDER!$D$3:$D$132,MATCH(H2055,KALENDER!$A$3:$A$132,0)),"Di luar periode")</f>
        <v>Hari Kerja</v>
      </c>
      <c r="N2055" s="71">
        <f t="shared" si="289"/>
        <v>0</v>
      </c>
      <c r="O2055" s="71">
        <f t="shared" si="290"/>
        <v>2</v>
      </c>
      <c r="P2055" s="71">
        <f t="shared" si="291"/>
        <v>0</v>
      </c>
      <c r="Q2055" s="71">
        <f t="shared" si="292"/>
        <v>0</v>
      </c>
      <c r="R2055" s="71">
        <f t="shared" si="293"/>
        <v>0</v>
      </c>
      <c r="S2055" s="71">
        <f t="shared" si="294"/>
        <v>0</v>
      </c>
      <c r="T2055" s="71">
        <f t="shared" si="295"/>
        <v>0</v>
      </c>
      <c r="U2055" s="71">
        <f>IF(AND(N2055=1,V2055=1),IF(COUNTIFS(AKTIVITAS!$B$2:$B$3052,B2055,AKTIVITAS!$E$2:$E$3052,H2055)&gt;0,1,0),0)</f>
        <v>0</v>
      </c>
      <c r="V2055" s="71">
        <f>IFERROR(IF(AND(H2055&gt;=INDEX(PEMAGANG!$J$3:$J$36,MATCH(B2055,PEMAGANG!$C$3:$C$36,0)),H2055&lt;=INDEX(PEMAGANG!$K$3:$K$36,MATCH(B2055,PEMAGANG!$C$3:$C$36,0))),1,0),0)</f>
        <v>1</v>
      </c>
      <c r="W2055" s="71">
        <f t="shared" si="296"/>
        <v>0</v>
      </c>
    </row>
    <row r="2056" spans="1:23" x14ac:dyDescent="0.2">
      <c r="A2056" s="71" t="s">
        <v>252</v>
      </c>
      <c r="B2056" s="71" t="s">
        <v>253</v>
      </c>
      <c r="C2056" s="71" t="s">
        <v>187</v>
      </c>
      <c r="D2056" s="71" t="s">
        <v>251</v>
      </c>
      <c r="E2056" s="71" t="s">
        <v>42</v>
      </c>
      <c r="F2056" s="71" t="s">
        <v>300</v>
      </c>
      <c r="G2056" s="88">
        <v>46294.6902893519</v>
      </c>
      <c r="H2056" s="89">
        <v>46294</v>
      </c>
      <c r="I2056" s="71" t="s">
        <v>314</v>
      </c>
      <c r="J2056" s="71">
        <v>0</v>
      </c>
      <c r="K2056" s="71" t="s">
        <v>302</v>
      </c>
      <c r="L2056" s="71">
        <f t="shared" si="288"/>
        <v>9</v>
      </c>
      <c r="M2056" s="71" t="str">
        <f>IFERROR(INDEX(KALENDER!$D$3:$D$132,MATCH(H2056,KALENDER!$A$3:$A$132,0)),"Di luar periode")</f>
        <v>Hari Kerja</v>
      </c>
      <c r="N2056" s="71">
        <f t="shared" si="289"/>
        <v>0</v>
      </c>
      <c r="O2056" s="71">
        <f t="shared" si="290"/>
        <v>2</v>
      </c>
      <c r="P2056" s="71">
        <f t="shared" si="291"/>
        <v>0</v>
      </c>
      <c r="Q2056" s="71">
        <f t="shared" si="292"/>
        <v>0</v>
      </c>
      <c r="R2056" s="71">
        <f t="shared" si="293"/>
        <v>0</v>
      </c>
      <c r="S2056" s="71">
        <f t="shared" si="294"/>
        <v>0</v>
      </c>
      <c r="T2056" s="71">
        <f t="shared" si="295"/>
        <v>0</v>
      </c>
      <c r="U2056" s="71">
        <f>IF(AND(N2056=1,V2056=1),IF(COUNTIFS(AKTIVITAS!$B$2:$B$3052,B2056,AKTIVITAS!$E$2:$E$3052,H2056)&gt;0,1,0),0)</f>
        <v>0</v>
      </c>
      <c r="V2056" s="71">
        <f>IFERROR(IF(AND(H2056&gt;=INDEX(PEMAGANG!$J$3:$J$36,MATCH(B2056,PEMAGANG!$C$3:$C$36,0)),H2056&lt;=INDEX(PEMAGANG!$K$3:$K$36,MATCH(B2056,PEMAGANG!$C$3:$C$36,0))),1,0),0)</f>
        <v>1</v>
      </c>
      <c r="W2056" s="71">
        <f t="shared" si="296"/>
        <v>0</v>
      </c>
    </row>
    <row r="2057" spans="1:23" x14ac:dyDescent="0.2">
      <c r="A2057" s="71" t="s">
        <v>252</v>
      </c>
      <c r="B2057" s="71" t="s">
        <v>253</v>
      </c>
      <c r="C2057" s="71" t="s">
        <v>187</v>
      </c>
      <c r="D2057" s="71" t="s">
        <v>251</v>
      </c>
      <c r="E2057" s="71" t="s">
        <v>42</v>
      </c>
      <c r="F2057" s="71" t="s">
        <v>298</v>
      </c>
      <c r="G2057" s="88">
        <v>46295.302662037</v>
      </c>
      <c r="H2057" s="89">
        <v>46295</v>
      </c>
      <c r="I2057" s="71" t="s">
        <v>370</v>
      </c>
      <c r="J2057" s="71">
        <v>-15</v>
      </c>
      <c r="K2057" s="71" t="s">
        <v>302</v>
      </c>
      <c r="L2057" s="71">
        <f t="shared" si="288"/>
        <v>9</v>
      </c>
      <c r="M2057" s="71" t="str">
        <f>IFERROR(INDEX(KALENDER!$D$3:$D$132,MATCH(H2057,KALENDER!$A$3:$A$132,0)),"Di luar periode")</f>
        <v>Hari Kerja</v>
      </c>
      <c r="N2057" s="71">
        <f t="shared" si="289"/>
        <v>1</v>
      </c>
      <c r="O2057" s="71">
        <f t="shared" si="290"/>
        <v>1</v>
      </c>
      <c r="P2057" s="71">
        <f t="shared" si="291"/>
        <v>1</v>
      </c>
      <c r="Q2057" s="71">
        <f t="shared" si="292"/>
        <v>0</v>
      </c>
      <c r="R2057" s="71">
        <f t="shared" si="293"/>
        <v>0</v>
      </c>
      <c r="S2057" s="71">
        <f t="shared" si="294"/>
        <v>0</v>
      </c>
      <c r="T2057" s="71">
        <f t="shared" si="295"/>
        <v>0</v>
      </c>
      <c r="U2057" s="71">
        <f>IF(AND(N2057=1,V2057=1),IF(COUNTIFS(AKTIVITAS!$B$2:$B$3052,B2057,AKTIVITAS!$E$2:$E$3052,H2057)&gt;0,1,0),0)</f>
        <v>1</v>
      </c>
      <c r="V2057" s="71">
        <f>IFERROR(IF(AND(H2057&gt;=INDEX(PEMAGANG!$J$3:$J$36,MATCH(B2057,PEMAGANG!$C$3:$C$36,0)),H2057&lt;=INDEX(PEMAGANG!$K$3:$K$36,MATCH(B2057,PEMAGANG!$C$3:$C$36,0))),1,0),0)</f>
        <v>1</v>
      </c>
      <c r="W2057" s="71">
        <f t="shared" si="296"/>
        <v>1</v>
      </c>
    </row>
    <row r="2058" spans="1:23" x14ac:dyDescent="0.2">
      <c r="A2058" s="71" t="s">
        <v>252</v>
      </c>
      <c r="B2058" s="71" t="s">
        <v>253</v>
      </c>
      <c r="C2058" s="71" t="s">
        <v>187</v>
      </c>
      <c r="D2058" s="71" t="s">
        <v>251</v>
      </c>
      <c r="E2058" s="71" t="s">
        <v>42</v>
      </c>
      <c r="F2058" s="71" t="s">
        <v>300</v>
      </c>
      <c r="G2058" s="88">
        <v>46295.870601851901</v>
      </c>
      <c r="H2058" s="89">
        <v>46295</v>
      </c>
      <c r="I2058" s="71" t="s">
        <v>609</v>
      </c>
      <c r="J2058" s="71">
        <v>0</v>
      </c>
      <c r="K2058" s="71" t="s">
        <v>302</v>
      </c>
      <c r="L2058" s="71">
        <f t="shared" si="288"/>
        <v>9</v>
      </c>
      <c r="M2058" s="71" t="str">
        <f>IFERROR(INDEX(KALENDER!$D$3:$D$132,MATCH(H2058,KALENDER!$A$3:$A$132,0)),"Di luar periode")</f>
        <v>Hari Kerja</v>
      </c>
      <c r="N2058" s="71">
        <f t="shared" si="289"/>
        <v>0</v>
      </c>
      <c r="O2058" s="71">
        <f t="shared" si="290"/>
        <v>1</v>
      </c>
      <c r="P2058" s="71">
        <f t="shared" si="291"/>
        <v>0</v>
      </c>
      <c r="Q2058" s="71">
        <f t="shared" si="292"/>
        <v>0</v>
      </c>
      <c r="R2058" s="71">
        <f t="shared" si="293"/>
        <v>0</v>
      </c>
      <c r="S2058" s="71">
        <f t="shared" si="294"/>
        <v>0</v>
      </c>
      <c r="T2058" s="71">
        <f t="shared" si="295"/>
        <v>0</v>
      </c>
      <c r="U2058" s="71">
        <f>IF(AND(N2058=1,V2058=1),IF(COUNTIFS(AKTIVITAS!$B$2:$B$3052,B2058,AKTIVITAS!$E$2:$E$3052,H2058)&gt;0,1,0),0)</f>
        <v>0</v>
      </c>
      <c r="V2058" s="71">
        <f>IFERROR(IF(AND(H2058&gt;=INDEX(PEMAGANG!$J$3:$J$36,MATCH(B2058,PEMAGANG!$C$3:$C$36,0)),H2058&lt;=INDEX(PEMAGANG!$K$3:$K$36,MATCH(B2058,PEMAGANG!$C$3:$C$36,0))),1,0),0)</f>
        <v>1</v>
      </c>
      <c r="W2058" s="71">
        <f t="shared" si="296"/>
        <v>0</v>
      </c>
    </row>
    <row r="2059" spans="1:23" x14ac:dyDescent="0.2">
      <c r="A2059" s="71" t="s">
        <v>275</v>
      </c>
      <c r="B2059" s="71" t="s">
        <v>276</v>
      </c>
      <c r="C2059" s="71" t="s">
        <v>187</v>
      </c>
      <c r="D2059" s="71" t="s">
        <v>277</v>
      </c>
      <c r="E2059" s="71" t="s">
        <v>41</v>
      </c>
      <c r="F2059" s="71" t="s">
        <v>298</v>
      </c>
      <c r="G2059" s="88">
        <v>46244.494537036997</v>
      </c>
      <c r="H2059" s="89">
        <v>46244</v>
      </c>
      <c r="I2059" s="71" t="s">
        <v>299</v>
      </c>
      <c r="J2059" s="71">
        <v>262</v>
      </c>
      <c r="K2059" s="71" t="s">
        <v>293</v>
      </c>
      <c r="L2059" s="71">
        <f t="shared" si="288"/>
        <v>8</v>
      </c>
      <c r="M2059" s="71" t="str">
        <f>IFERROR(INDEX(KALENDER!$D$3:$D$132,MATCH(H2059,KALENDER!$A$3:$A$132,0)),"Di luar periode")</f>
        <v>Hari Kerja</v>
      </c>
      <c r="N2059" s="71">
        <f t="shared" si="289"/>
        <v>1</v>
      </c>
      <c r="O2059" s="71">
        <f t="shared" si="290"/>
        <v>1</v>
      </c>
      <c r="P2059" s="71">
        <f t="shared" si="291"/>
        <v>1</v>
      </c>
      <c r="Q2059" s="71">
        <f t="shared" si="292"/>
        <v>0</v>
      </c>
      <c r="R2059" s="71">
        <f t="shared" si="293"/>
        <v>1</v>
      </c>
      <c r="S2059" s="71">
        <f t="shared" si="294"/>
        <v>262</v>
      </c>
      <c r="T2059" s="71">
        <f t="shared" si="295"/>
        <v>0</v>
      </c>
      <c r="U2059" s="71">
        <f>IF(AND(N2059=1,V2059=1),IF(COUNTIFS(AKTIVITAS!$B$2:$B$3052,B2059,AKTIVITAS!$E$2:$E$3052,H2059)&gt;0,1,0),0)</f>
        <v>0</v>
      </c>
      <c r="V2059" s="71">
        <f>IFERROR(IF(AND(H2059&gt;=INDEX(PEMAGANG!$J$3:$J$36,MATCH(B2059,PEMAGANG!$C$3:$C$36,0)),H2059&lt;=INDEX(PEMAGANG!$K$3:$K$36,MATCH(B2059,PEMAGANG!$C$3:$C$36,0))),1,0),0)</f>
        <v>1</v>
      </c>
      <c r="W2059" s="71">
        <f t="shared" si="296"/>
        <v>1</v>
      </c>
    </row>
    <row r="2060" spans="1:23" x14ac:dyDescent="0.2">
      <c r="A2060" s="71" t="s">
        <v>275</v>
      </c>
      <c r="B2060" s="71" t="s">
        <v>276</v>
      </c>
      <c r="C2060" s="71" t="s">
        <v>187</v>
      </c>
      <c r="D2060" s="71" t="s">
        <v>277</v>
      </c>
      <c r="E2060" s="71" t="s">
        <v>41</v>
      </c>
      <c r="F2060" s="71" t="s">
        <v>300</v>
      </c>
      <c r="G2060" s="88">
        <v>46244.713842592602</v>
      </c>
      <c r="H2060" s="89">
        <v>46244</v>
      </c>
      <c r="I2060" s="71" t="s">
        <v>324</v>
      </c>
      <c r="J2060" s="71">
        <v>0</v>
      </c>
      <c r="K2060" s="71" t="s">
        <v>302</v>
      </c>
      <c r="L2060" s="71">
        <f t="shared" si="288"/>
        <v>8</v>
      </c>
      <c r="M2060" s="71" t="str">
        <f>IFERROR(INDEX(KALENDER!$D$3:$D$132,MATCH(H2060,KALENDER!$A$3:$A$132,0)),"Di luar periode")</f>
        <v>Hari Kerja</v>
      </c>
      <c r="N2060" s="71">
        <f t="shared" si="289"/>
        <v>0</v>
      </c>
      <c r="O2060" s="71">
        <f t="shared" si="290"/>
        <v>1</v>
      </c>
      <c r="P2060" s="71">
        <f t="shared" si="291"/>
        <v>0</v>
      </c>
      <c r="Q2060" s="71">
        <f t="shared" si="292"/>
        <v>0</v>
      </c>
      <c r="R2060" s="71">
        <f t="shared" si="293"/>
        <v>0</v>
      </c>
      <c r="S2060" s="71">
        <f t="shared" si="294"/>
        <v>0</v>
      </c>
      <c r="T2060" s="71">
        <f t="shared" si="295"/>
        <v>0</v>
      </c>
      <c r="U2060" s="71">
        <f>IF(AND(N2060=1,V2060=1),IF(COUNTIFS(AKTIVITAS!$B$2:$B$3052,B2060,AKTIVITAS!$E$2:$E$3052,H2060)&gt;0,1,0),0)</f>
        <v>0</v>
      </c>
      <c r="V2060" s="71">
        <f>IFERROR(IF(AND(H2060&gt;=INDEX(PEMAGANG!$J$3:$J$36,MATCH(B2060,PEMAGANG!$C$3:$C$36,0)),H2060&lt;=INDEX(PEMAGANG!$K$3:$K$36,MATCH(B2060,PEMAGANG!$C$3:$C$36,0))),1,0),0)</f>
        <v>1</v>
      </c>
      <c r="W2060" s="71">
        <f t="shared" si="296"/>
        <v>0</v>
      </c>
    </row>
    <row r="2061" spans="1:23" x14ac:dyDescent="0.2">
      <c r="A2061" s="71" t="s">
        <v>275</v>
      </c>
      <c r="B2061" s="71" t="s">
        <v>276</v>
      </c>
      <c r="C2061" s="71" t="s">
        <v>187</v>
      </c>
      <c r="D2061" s="71" t="s">
        <v>277</v>
      </c>
      <c r="E2061" s="71" t="s">
        <v>41</v>
      </c>
      <c r="F2061" s="71" t="s">
        <v>298</v>
      </c>
      <c r="G2061" s="88">
        <v>46245.310821759304</v>
      </c>
      <c r="H2061" s="89">
        <v>46245</v>
      </c>
      <c r="I2061" s="71" t="s">
        <v>309</v>
      </c>
      <c r="J2061" s="71">
        <v>-2.9999999999999898</v>
      </c>
      <c r="K2061" s="71" t="s">
        <v>302</v>
      </c>
      <c r="L2061" s="71">
        <f t="shared" si="288"/>
        <v>8</v>
      </c>
      <c r="M2061" s="71" t="str">
        <f>IFERROR(INDEX(KALENDER!$D$3:$D$132,MATCH(H2061,KALENDER!$A$3:$A$132,0)),"Di luar periode")</f>
        <v>Hari Kerja</v>
      </c>
      <c r="N2061" s="71">
        <f t="shared" si="289"/>
        <v>1</v>
      </c>
      <c r="O2061" s="71">
        <f t="shared" si="290"/>
        <v>1</v>
      </c>
      <c r="P2061" s="71">
        <f t="shared" si="291"/>
        <v>1</v>
      </c>
      <c r="Q2061" s="71">
        <f t="shared" si="292"/>
        <v>0</v>
      </c>
      <c r="R2061" s="71">
        <f t="shared" si="293"/>
        <v>0</v>
      </c>
      <c r="S2061" s="71">
        <f t="shared" si="294"/>
        <v>0</v>
      </c>
      <c r="T2061" s="71">
        <f t="shared" si="295"/>
        <v>0</v>
      </c>
      <c r="U2061" s="71">
        <f>IF(AND(N2061=1,V2061=1),IF(COUNTIFS(AKTIVITAS!$B$2:$B$3052,B2061,AKTIVITAS!$E$2:$E$3052,H2061)&gt;0,1,0),0)</f>
        <v>1</v>
      </c>
      <c r="V2061" s="71">
        <f>IFERROR(IF(AND(H2061&gt;=INDEX(PEMAGANG!$J$3:$J$36,MATCH(B2061,PEMAGANG!$C$3:$C$36,0)),H2061&lt;=INDEX(PEMAGANG!$K$3:$K$36,MATCH(B2061,PEMAGANG!$C$3:$C$36,0))),1,0),0)</f>
        <v>1</v>
      </c>
      <c r="W2061" s="71">
        <f t="shared" si="296"/>
        <v>1</v>
      </c>
    </row>
    <row r="2062" spans="1:23" x14ac:dyDescent="0.2">
      <c r="A2062" s="71" t="s">
        <v>275</v>
      </c>
      <c r="B2062" s="71" t="s">
        <v>276</v>
      </c>
      <c r="C2062" s="71" t="s">
        <v>187</v>
      </c>
      <c r="D2062" s="71" t="s">
        <v>277</v>
      </c>
      <c r="E2062" s="71" t="s">
        <v>41</v>
      </c>
      <c r="F2062" s="71" t="s">
        <v>300</v>
      </c>
      <c r="G2062" s="88">
        <v>46245.6958564815</v>
      </c>
      <c r="H2062" s="89">
        <v>46245</v>
      </c>
      <c r="I2062" s="71" t="s">
        <v>320</v>
      </c>
      <c r="J2062" s="71">
        <v>0</v>
      </c>
      <c r="K2062" s="71" t="s">
        <v>302</v>
      </c>
      <c r="L2062" s="71">
        <f t="shared" si="288"/>
        <v>8</v>
      </c>
      <c r="M2062" s="71" t="str">
        <f>IFERROR(INDEX(KALENDER!$D$3:$D$132,MATCH(H2062,KALENDER!$A$3:$A$132,0)),"Di luar periode")</f>
        <v>Hari Kerja</v>
      </c>
      <c r="N2062" s="71">
        <f t="shared" si="289"/>
        <v>0</v>
      </c>
      <c r="O2062" s="71">
        <f t="shared" si="290"/>
        <v>1</v>
      </c>
      <c r="P2062" s="71">
        <f t="shared" si="291"/>
        <v>0</v>
      </c>
      <c r="Q2062" s="71">
        <f t="shared" si="292"/>
        <v>0</v>
      </c>
      <c r="R2062" s="71">
        <f t="shared" si="293"/>
        <v>0</v>
      </c>
      <c r="S2062" s="71">
        <f t="shared" si="294"/>
        <v>0</v>
      </c>
      <c r="T2062" s="71">
        <f t="shared" si="295"/>
        <v>0</v>
      </c>
      <c r="U2062" s="71">
        <f>IF(AND(N2062=1,V2062=1),IF(COUNTIFS(AKTIVITAS!$B$2:$B$3052,B2062,AKTIVITAS!$E$2:$E$3052,H2062)&gt;0,1,0),0)</f>
        <v>0</v>
      </c>
      <c r="V2062" s="71">
        <f>IFERROR(IF(AND(H2062&gt;=INDEX(PEMAGANG!$J$3:$J$36,MATCH(B2062,PEMAGANG!$C$3:$C$36,0)),H2062&lt;=INDEX(PEMAGANG!$K$3:$K$36,MATCH(B2062,PEMAGANG!$C$3:$C$36,0))),1,0),0)</f>
        <v>1</v>
      </c>
      <c r="W2062" s="71">
        <f t="shared" si="296"/>
        <v>0</v>
      </c>
    </row>
    <row r="2063" spans="1:23" x14ac:dyDescent="0.2">
      <c r="A2063" s="71" t="s">
        <v>275</v>
      </c>
      <c r="B2063" s="71" t="s">
        <v>276</v>
      </c>
      <c r="C2063" s="71" t="s">
        <v>187</v>
      </c>
      <c r="D2063" s="71" t="s">
        <v>277</v>
      </c>
      <c r="E2063" s="71" t="s">
        <v>41</v>
      </c>
      <c r="F2063" s="71" t="s">
        <v>298</v>
      </c>
      <c r="G2063" s="88">
        <v>46246.311620370398</v>
      </c>
      <c r="H2063" s="89">
        <v>46246</v>
      </c>
      <c r="I2063" s="71" t="s">
        <v>377</v>
      </c>
      <c r="J2063" s="71">
        <v>-1.99999999999999</v>
      </c>
      <c r="K2063" s="71" t="s">
        <v>302</v>
      </c>
      <c r="L2063" s="71">
        <f t="shared" si="288"/>
        <v>8</v>
      </c>
      <c r="M2063" s="71" t="str">
        <f>IFERROR(INDEX(KALENDER!$D$3:$D$132,MATCH(H2063,KALENDER!$A$3:$A$132,0)),"Di luar periode")</f>
        <v>Hari Kerja</v>
      </c>
      <c r="N2063" s="71">
        <f t="shared" si="289"/>
        <v>1</v>
      </c>
      <c r="O2063" s="71">
        <f t="shared" si="290"/>
        <v>1</v>
      </c>
      <c r="P2063" s="71">
        <f t="shared" si="291"/>
        <v>1</v>
      </c>
      <c r="Q2063" s="71">
        <f t="shared" si="292"/>
        <v>0</v>
      </c>
      <c r="R2063" s="71">
        <f t="shared" si="293"/>
        <v>0</v>
      </c>
      <c r="S2063" s="71">
        <f t="shared" si="294"/>
        <v>0</v>
      </c>
      <c r="T2063" s="71">
        <f t="shared" si="295"/>
        <v>0</v>
      </c>
      <c r="U2063" s="71">
        <f>IF(AND(N2063=1,V2063=1),IF(COUNTIFS(AKTIVITAS!$B$2:$B$3052,B2063,AKTIVITAS!$E$2:$E$3052,H2063)&gt;0,1,0),0)</f>
        <v>0</v>
      </c>
      <c r="V2063" s="71">
        <f>IFERROR(IF(AND(H2063&gt;=INDEX(PEMAGANG!$J$3:$J$36,MATCH(B2063,PEMAGANG!$C$3:$C$36,0)),H2063&lt;=INDEX(PEMAGANG!$K$3:$K$36,MATCH(B2063,PEMAGANG!$C$3:$C$36,0))),1,0),0)</f>
        <v>1</v>
      </c>
      <c r="W2063" s="71">
        <f t="shared" si="296"/>
        <v>1</v>
      </c>
    </row>
    <row r="2064" spans="1:23" x14ac:dyDescent="0.2">
      <c r="A2064" s="71" t="s">
        <v>275</v>
      </c>
      <c r="B2064" s="71" t="s">
        <v>276</v>
      </c>
      <c r="C2064" s="71" t="s">
        <v>187</v>
      </c>
      <c r="D2064" s="71" t="s">
        <v>277</v>
      </c>
      <c r="E2064" s="71" t="s">
        <v>41</v>
      </c>
      <c r="F2064" s="71" t="s">
        <v>300</v>
      </c>
      <c r="G2064" s="88">
        <v>46246.7235069444</v>
      </c>
      <c r="H2064" s="89">
        <v>46246</v>
      </c>
      <c r="I2064" s="71" t="s">
        <v>322</v>
      </c>
      <c r="J2064" s="71">
        <v>0</v>
      </c>
      <c r="K2064" s="71" t="s">
        <v>302</v>
      </c>
      <c r="L2064" s="71">
        <f t="shared" si="288"/>
        <v>8</v>
      </c>
      <c r="M2064" s="71" t="str">
        <f>IFERROR(INDEX(KALENDER!$D$3:$D$132,MATCH(H2064,KALENDER!$A$3:$A$132,0)),"Di luar periode")</f>
        <v>Hari Kerja</v>
      </c>
      <c r="N2064" s="71">
        <f t="shared" si="289"/>
        <v>0</v>
      </c>
      <c r="O2064" s="71">
        <f t="shared" si="290"/>
        <v>1</v>
      </c>
      <c r="P2064" s="71">
        <f t="shared" si="291"/>
        <v>0</v>
      </c>
      <c r="Q2064" s="71">
        <f t="shared" si="292"/>
        <v>0</v>
      </c>
      <c r="R2064" s="71">
        <f t="shared" si="293"/>
        <v>0</v>
      </c>
      <c r="S2064" s="71">
        <f t="shared" si="294"/>
        <v>0</v>
      </c>
      <c r="T2064" s="71">
        <f t="shared" si="295"/>
        <v>0</v>
      </c>
      <c r="U2064" s="71">
        <f>IF(AND(N2064=1,V2064=1),IF(COUNTIFS(AKTIVITAS!$B$2:$B$3052,B2064,AKTIVITAS!$E$2:$E$3052,H2064)&gt;0,1,0),0)</f>
        <v>0</v>
      </c>
      <c r="V2064" s="71">
        <f>IFERROR(IF(AND(H2064&gt;=INDEX(PEMAGANG!$J$3:$J$36,MATCH(B2064,PEMAGANG!$C$3:$C$36,0)),H2064&lt;=INDEX(PEMAGANG!$K$3:$K$36,MATCH(B2064,PEMAGANG!$C$3:$C$36,0))),1,0),0)</f>
        <v>1</v>
      </c>
      <c r="W2064" s="71">
        <f t="shared" si="296"/>
        <v>0</v>
      </c>
    </row>
    <row r="2065" spans="1:23" x14ac:dyDescent="0.2">
      <c r="A2065" s="71" t="s">
        <v>275</v>
      </c>
      <c r="B2065" s="71" t="s">
        <v>276</v>
      </c>
      <c r="C2065" s="71" t="s">
        <v>187</v>
      </c>
      <c r="D2065" s="71" t="s">
        <v>277</v>
      </c>
      <c r="E2065" s="71" t="s">
        <v>41</v>
      </c>
      <c r="F2065" s="71" t="s">
        <v>298</v>
      </c>
      <c r="G2065" s="88">
        <v>46247.303773148204</v>
      </c>
      <c r="H2065" s="89">
        <v>46247</v>
      </c>
      <c r="I2065" s="71" t="s">
        <v>331</v>
      </c>
      <c r="J2065" s="71">
        <v>-13</v>
      </c>
      <c r="K2065" s="71" t="s">
        <v>302</v>
      </c>
      <c r="L2065" s="71">
        <f t="shared" si="288"/>
        <v>8</v>
      </c>
      <c r="M2065" s="71" t="str">
        <f>IFERROR(INDEX(KALENDER!$D$3:$D$132,MATCH(H2065,KALENDER!$A$3:$A$132,0)),"Di luar periode")</f>
        <v>Hari Kerja</v>
      </c>
      <c r="N2065" s="71">
        <f t="shared" si="289"/>
        <v>1</v>
      </c>
      <c r="O2065" s="71">
        <f t="shared" si="290"/>
        <v>1</v>
      </c>
      <c r="P2065" s="71">
        <f t="shared" si="291"/>
        <v>1</v>
      </c>
      <c r="Q2065" s="71">
        <f t="shared" si="292"/>
        <v>0</v>
      </c>
      <c r="R2065" s="71">
        <f t="shared" si="293"/>
        <v>0</v>
      </c>
      <c r="S2065" s="71">
        <f t="shared" si="294"/>
        <v>0</v>
      </c>
      <c r="T2065" s="71">
        <f t="shared" si="295"/>
        <v>0</v>
      </c>
      <c r="U2065" s="71">
        <f>IF(AND(N2065=1,V2065=1),IF(COUNTIFS(AKTIVITAS!$B$2:$B$3052,B2065,AKTIVITAS!$E$2:$E$3052,H2065)&gt;0,1,0),0)</f>
        <v>0</v>
      </c>
      <c r="V2065" s="71">
        <f>IFERROR(IF(AND(H2065&gt;=INDEX(PEMAGANG!$J$3:$J$36,MATCH(B2065,PEMAGANG!$C$3:$C$36,0)),H2065&lt;=INDEX(PEMAGANG!$K$3:$K$36,MATCH(B2065,PEMAGANG!$C$3:$C$36,0))),1,0),0)</f>
        <v>1</v>
      </c>
      <c r="W2065" s="71">
        <f t="shared" si="296"/>
        <v>1</v>
      </c>
    </row>
    <row r="2066" spans="1:23" x14ac:dyDescent="0.2">
      <c r="A2066" s="71" t="s">
        <v>275</v>
      </c>
      <c r="B2066" s="71" t="s">
        <v>276</v>
      </c>
      <c r="C2066" s="71" t="s">
        <v>187</v>
      </c>
      <c r="D2066" s="71" t="s">
        <v>277</v>
      </c>
      <c r="E2066" s="71" t="s">
        <v>41</v>
      </c>
      <c r="F2066" s="71" t="s">
        <v>300</v>
      </c>
      <c r="G2066" s="88">
        <v>46247.692233796297</v>
      </c>
      <c r="H2066" s="89">
        <v>46247</v>
      </c>
      <c r="I2066" s="71" t="s">
        <v>344</v>
      </c>
      <c r="J2066" s="71">
        <v>0</v>
      </c>
      <c r="K2066" s="71" t="s">
        <v>302</v>
      </c>
      <c r="L2066" s="71">
        <f t="shared" si="288"/>
        <v>8</v>
      </c>
      <c r="M2066" s="71" t="str">
        <f>IFERROR(INDEX(KALENDER!$D$3:$D$132,MATCH(H2066,KALENDER!$A$3:$A$132,0)),"Di luar periode")</f>
        <v>Hari Kerja</v>
      </c>
      <c r="N2066" s="71">
        <f t="shared" si="289"/>
        <v>0</v>
      </c>
      <c r="O2066" s="71">
        <f t="shared" si="290"/>
        <v>1</v>
      </c>
      <c r="P2066" s="71">
        <f t="shared" si="291"/>
        <v>0</v>
      </c>
      <c r="Q2066" s="71">
        <f t="shared" si="292"/>
        <v>0</v>
      </c>
      <c r="R2066" s="71">
        <f t="shared" si="293"/>
        <v>0</v>
      </c>
      <c r="S2066" s="71">
        <f t="shared" si="294"/>
        <v>0</v>
      </c>
      <c r="T2066" s="71">
        <f t="shared" si="295"/>
        <v>0</v>
      </c>
      <c r="U2066" s="71">
        <f>IF(AND(N2066=1,V2066=1),IF(COUNTIFS(AKTIVITAS!$B$2:$B$3052,B2066,AKTIVITAS!$E$2:$E$3052,H2066)&gt;0,1,0),0)</f>
        <v>0</v>
      </c>
      <c r="V2066" s="71">
        <f>IFERROR(IF(AND(H2066&gt;=INDEX(PEMAGANG!$J$3:$J$36,MATCH(B2066,PEMAGANG!$C$3:$C$36,0)),H2066&lt;=INDEX(PEMAGANG!$K$3:$K$36,MATCH(B2066,PEMAGANG!$C$3:$C$36,0))),1,0),0)</f>
        <v>1</v>
      </c>
      <c r="W2066" s="71">
        <f t="shared" si="296"/>
        <v>0</v>
      </c>
    </row>
    <row r="2067" spans="1:23" x14ac:dyDescent="0.2">
      <c r="A2067" s="71" t="s">
        <v>275</v>
      </c>
      <c r="B2067" s="71" t="s">
        <v>276</v>
      </c>
      <c r="C2067" s="71" t="s">
        <v>187</v>
      </c>
      <c r="D2067" s="71" t="s">
        <v>277</v>
      </c>
      <c r="E2067" s="71" t="s">
        <v>41</v>
      </c>
      <c r="F2067" s="71" t="s">
        <v>298</v>
      </c>
      <c r="G2067" s="88">
        <v>46248.313472222202</v>
      </c>
      <c r="H2067" s="89">
        <v>46248</v>
      </c>
      <c r="I2067" s="71" t="s">
        <v>392</v>
      </c>
      <c r="J2067" s="71">
        <v>0.999999999999996</v>
      </c>
      <c r="K2067" s="71" t="s">
        <v>293</v>
      </c>
      <c r="L2067" s="71">
        <f t="shared" si="288"/>
        <v>8</v>
      </c>
      <c r="M2067" s="71" t="str">
        <f>IFERROR(INDEX(KALENDER!$D$3:$D$132,MATCH(H2067,KALENDER!$A$3:$A$132,0)),"Di luar periode")</f>
        <v>Hari Kerja</v>
      </c>
      <c r="N2067" s="71">
        <f t="shared" si="289"/>
        <v>1</v>
      </c>
      <c r="O2067" s="71">
        <f t="shared" si="290"/>
        <v>1</v>
      </c>
      <c r="P2067" s="71">
        <f t="shared" si="291"/>
        <v>1</v>
      </c>
      <c r="Q2067" s="71">
        <f t="shared" si="292"/>
        <v>0</v>
      </c>
      <c r="R2067" s="71">
        <f t="shared" si="293"/>
        <v>1</v>
      </c>
      <c r="S2067" s="71">
        <f t="shared" si="294"/>
        <v>0.999999999999996</v>
      </c>
      <c r="T2067" s="71">
        <f t="shared" si="295"/>
        <v>0</v>
      </c>
      <c r="U2067" s="71">
        <f>IF(AND(N2067=1,V2067=1),IF(COUNTIFS(AKTIVITAS!$B$2:$B$3052,B2067,AKTIVITAS!$E$2:$E$3052,H2067)&gt;0,1,0),0)</f>
        <v>1</v>
      </c>
      <c r="V2067" s="71">
        <f>IFERROR(IF(AND(H2067&gt;=INDEX(PEMAGANG!$J$3:$J$36,MATCH(B2067,PEMAGANG!$C$3:$C$36,0)),H2067&lt;=INDEX(PEMAGANG!$K$3:$K$36,MATCH(B2067,PEMAGANG!$C$3:$C$36,0))),1,0),0)</f>
        <v>1</v>
      </c>
      <c r="W2067" s="71">
        <f t="shared" si="296"/>
        <v>1</v>
      </c>
    </row>
    <row r="2068" spans="1:23" x14ac:dyDescent="0.2">
      <c r="A2068" s="71" t="s">
        <v>275</v>
      </c>
      <c r="B2068" s="71" t="s">
        <v>276</v>
      </c>
      <c r="C2068" s="71" t="s">
        <v>187</v>
      </c>
      <c r="D2068" s="71" t="s">
        <v>277</v>
      </c>
      <c r="E2068" s="71" t="s">
        <v>41</v>
      </c>
      <c r="F2068" s="71" t="s">
        <v>300</v>
      </c>
      <c r="G2068" s="88">
        <v>46248.814895833297</v>
      </c>
      <c r="H2068" s="89">
        <v>46248</v>
      </c>
      <c r="I2068" s="71" t="s">
        <v>610</v>
      </c>
      <c r="J2068" s="71">
        <v>0</v>
      </c>
      <c r="K2068" s="71" t="s">
        <v>302</v>
      </c>
      <c r="L2068" s="71">
        <f t="shared" si="288"/>
        <v>8</v>
      </c>
      <c r="M2068" s="71" t="str">
        <f>IFERROR(INDEX(KALENDER!$D$3:$D$132,MATCH(H2068,KALENDER!$A$3:$A$132,0)),"Di luar periode")</f>
        <v>Hari Kerja</v>
      </c>
      <c r="N2068" s="71">
        <f t="shared" si="289"/>
        <v>0</v>
      </c>
      <c r="O2068" s="71">
        <f t="shared" si="290"/>
        <v>1</v>
      </c>
      <c r="P2068" s="71">
        <f t="shared" si="291"/>
        <v>0</v>
      </c>
      <c r="Q2068" s="71">
        <f t="shared" si="292"/>
        <v>0</v>
      </c>
      <c r="R2068" s="71">
        <f t="shared" si="293"/>
        <v>0</v>
      </c>
      <c r="S2068" s="71">
        <f t="shared" si="294"/>
        <v>0</v>
      </c>
      <c r="T2068" s="71">
        <f t="shared" si="295"/>
        <v>0</v>
      </c>
      <c r="U2068" s="71">
        <f>IF(AND(N2068=1,V2068=1),IF(COUNTIFS(AKTIVITAS!$B$2:$B$3052,B2068,AKTIVITAS!$E$2:$E$3052,H2068)&gt;0,1,0),0)</f>
        <v>0</v>
      </c>
      <c r="V2068" s="71">
        <f>IFERROR(IF(AND(H2068&gt;=INDEX(PEMAGANG!$J$3:$J$36,MATCH(B2068,PEMAGANG!$C$3:$C$36,0)),H2068&lt;=INDEX(PEMAGANG!$K$3:$K$36,MATCH(B2068,PEMAGANG!$C$3:$C$36,0))),1,0),0)</f>
        <v>1</v>
      </c>
      <c r="W2068" s="71">
        <f t="shared" si="296"/>
        <v>0</v>
      </c>
    </row>
    <row r="2069" spans="1:23" x14ac:dyDescent="0.2">
      <c r="A2069" s="71" t="s">
        <v>275</v>
      </c>
      <c r="B2069" s="71" t="s">
        <v>276</v>
      </c>
      <c r="C2069" s="71" t="s">
        <v>187</v>
      </c>
      <c r="D2069" s="71" t="s">
        <v>277</v>
      </c>
      <c r="E2069" s="71" t="s">
        <v>41</v>
      </c>
      <c r="F2069" s="71" t="s">
        <v>298</v>
      </c>
      <c r="G2069" s="88">
        <v>46252.3194560185</v>
      </c>
      <c r="H2069" s="89">
        <v>46252</v>
      </c>
      <c r="I2069" s="71" t="s">
        <v>381</v>
      </c>
      <c r="J2069" s="71">
        <v>10</v>
      </c>
      <c r="K2069" s="71" t="s">
        <v>293</v>
      </c>
      <c r="L2069" s="71">
        <f t="shared" si="288"/>
        <v>8</v>
      </c>
      <c r="M2069" s="71" t="str">
        <f>IFERROR(INDEX(KALENDER!$D$3:$D$132,MATCH(H2069,KALENDER!$A$3:$A$132,0)),"Di luar periode")</f>
        <v>Hari Kerja</v>
      </c>
      <c r="N2069" s="71">
        <f t="shared" si="289"/>
        <v>1</v>
      </c>
      <c r="O2069" s="71">
        <f t="shared" si="290"/>
        <v>1</v>
      </c>
      <c r="P2069" s="71">
        <f t="shared" si="291"/>
        <v>1</v>
      </c>
      <c r="Q2069" s="71">
        <f t="shared" si="292"/>
        <v>0</v>
      </c>
      <c r="R2069" s="71">
        <f t="shared" si="293"/>
        <v>1</v>
      </c>
      <c r="S2069" s="71">
        <f t="shared" si="294"/>
        <v>10</v>
      </c>
      <c r="T2069" s="71">
        <f t="shared" si="295"/>
        <v>0</v>
      </c>
      <c r="U2069" s="71">
        <f>IF(AND(N2069=1,V2069=1),IF(COUNTIFS(AKTIVITAS!$B$2:$B$3052,B2069,AKTIVITAS!$E$2:$E$3052,H2069)&gt;0,1,0),0)</f>
        <v>1</v>
      </c>
      <c r="V2069" s="71">
        <f>IFERROR(IF(AND(H2069&gt;=INDEX(PEMAGANG!$J$3:$J$36,MATCH(B2069,PEMAGANG!$C$3:$C$36,0)),H2069&lt;=INDEX(PEMAGANG!$K$3:$K$36,MATCH(B2069,PEMAGANG!$C$3:$C$36,0))),1,0),0)</f>
        <v>1</v>
      </c>
      <c r="W2069" s="71">
        <f t="shared" si="296"/>
        <v>1</v>
      </c>
    </row>
    <row r="2070" spans="1:23" x14ac:dyDescent="0.2">
      <c r="A2070" s="71" t="s">
        <v>275</v>
      </c>
      <c r="B2070" s="71" t="s">
        <v>276</v>
      </c>
      <c r="C2070" s="71" t="s">
        <v>187</v>
      </c>
      <c r="D2070" s="71" t="s">
        <v>277</v>
      </c>
      <c r="E2070" s="71" t="s">
        <v>41</v>
      </c>
      <c r="F2070" s="71" t="s">
        <v>300</v>
      </c>
      <c r="G2070" s="88">
        <v>46252.692013888904</v>
      </c>
      <c r="H2070" s="89">
        <v>46252</v>
      </c>
      <c r="I2070" s="71" t="s">
        <v>344</v>
      </c>
      <c r="J2070" s="71">
        <v>0</v>
      </c>
      <c r="K2070" s="71" t="s">
        <v>302</v>
      </c>
      <c r="L2070" s="71">
        <f t="shared" si="288"/>
        <v>8</v>
      </c>
      <c r="M2070" s="71" t="str">
        <f>IFERROR(INDEX(KALENDER!$D$3:$D$132,MATCH(H2070,KALENDER!$A$3:$A$132,0)),"Di luar periode")</f>
        <v>Hari Kerja</v>
      </c>
      <c r="N2070" s="71">
        <f t="shared" si="289"/>
        <v>0</v>
      </c>
      <c r="O2070" s="71">
        <f t="shared" si="290"/>
        <v>1</v>
      </c>
      <c r="P2070" s="71">
        <f t="shared" si="291"/>
        <v>0</v>
      </c>
      <c r="Q2070" s="71">
        <f t="shared" si="292"/>
        <v>0</v>
      </c>
      <c r="R2070" s="71">
        <f t="shared" si="293"/>
        <v>0</v>
      </c>
      <c r="S2070" s="71">
        <f t="shared" si="294"/>
        <v>0</v>
      </c>
      <c r="T2070" s="71">
        <f t="shared" si="295"/>
        <v>0</v>
      </c>
      <c r="U2070" s="71">
        <f>IF(AND(N2070=1,V2070=1),IF(COUNTIFS(AKTIVITAS!$B$2:$B$3052,B2070,AKTIVITAS!$E$2:$E$3052,H2070)&gt;0,1,0),0)</f>
        <v>0</v>
      </c>
      <c r="V2070" s="71">
        <f>IFERROR(IF(AND(H2070&gt;=INDEX(PEMAGANG!$J$3:$J$36,MATCH(B2070,PEMAGANG!$C$3:$C$36,0)),H2070&lt;=INDEX(PEMAGANG!$K$3:$K$36,MATCH(B2070,PEMAGANG!$C$3:$C$36,0))),1,0),0)</f>
        <v>1</v>
      </c>
      <c r="W2070" s="71">
        <f t="shared" si="296"/>
        <v>0</v>
      </c>
    </row>
    <row r="2071" spans="1:23" x14ac:dyDescent="0.2">
      <c r="A2071" s="71" t="s">
        <v>275</v>
      </c>
      <c r="B2071" s="71" t="s">
        <v>276</v>
      </c>
      <c r="C2071" s="71" t="s">
        <v>187</v>
      </c>
      <c r="D2071" s="71" t="s">
        <v>277</v>
      </c>
      <c r="E2071" s="71" t="s">
        <v>41</v>
      </c>
      <c r="F2071" s="71" t="s">
        <v>298</v>
      </c>
      <c r="G2071" s="88">
        <v>46253.310335648202</v>
      </c>
      <c r="H2071" s="89">
        <v>46253</v>
      </c>
      <c r="I2071" s="71" t="s">
        <v>315</v>
      </c>
      <c r="J2071" s="71">
        <v>-3.9999999999999898</v>
      </c>
      <c r="K2071" s="71" t="s">
        <v>302</v>
      </c>
      <c r="L2071" s="71">
        <f t="shared" si="288"/>
        <v>8</v>
      </c>
      <c r="M2071" s="71" t="str">
        <f>IFERROR(INDEX(KALENDER!$D$3:$D$132,MATCH(H2071,KALENDER!$A$3:$A$132,0)),"Di luar periode")</f>
        <v>Hari Kerja</v>
      </c>
      <c r="N2071" s="71">
        <f t="shared" si="289"/>
        <v>1</v>
      </c>
      <c r="O2071" s="71">
        <f t="shared" si="290"/>
        <v>1</v>
      </c>
      <c r="P2071" s="71">
        <f t="shared" si="291"/>
        <v>1</v>
      </c>
      <c r="Q2071" s="71">
        <f t="shared" si="292"/>
        <v>0</v>
      </c>
      <c r="R2071" s="71">
        <f t="shared" si="293"/>
        <v>0</v>
      </c>
      <c r="S2071" s="71">
        <f t="shared" si="294"/>
        <v>0</v>
      </c>
      <c r="T2071" s="71">
        <f t="shared" si="295"/>
        <v>0</v>
      </c>
      <c r="U2071" s="71">
        <f>IF(AND(N2071=1,V2071=1),IF(COUNTIFS(AKTIVITAS!$B$2:$B$3052,B2071,AKTIVITAS!$E$2:$E$3052,H2071)&gt;0,1,0),0)</f>
        <v>1</v>
      </c>
      <c r="V2071" s="71">
        <f>IFERROR(IF(AND(H2071&gt;=INDEX(PEMAGANG!$J$3:$J$36,MATCH(B2071,PEMAGANG!$C$3:$C$36,0)),H2071&lt;=INDEX(PEMAGANG!$K$3:$K$36,MATCH(B2071,PEMAGANG!$C$3:$C$36,0))),1,0),0)</f>
        <v>1</v>
      </c>
      <c r="W2071" s="71">
        <f t="shared" si="296"/>
        <v>1</v>
      </c>
    </row>
    <row r="2072" spans="1:23" x14ac:dyDescent="0.2">
      <c r="A2072" s="71" t="s">
        <v>275</v>
      </c>
      <c r="B2072" s="71" t="s">
        <v>276</v>
      </c>
      <c r="C2072" s="71" t="s">
        <v>187</v>
      </c>
      <c r="D2072" s="71" t="s">
        <v>277</v>
      </c>
      <c r="E2072" s="71" t="s">
        <v>41</v>
      </c>
      <c r="F2072" s="71" t="s">
        <v>300</v>
      </c>
      <c r="G2072" s="88">
        <v>46253.687824074099</v>
      </c>
      <c r="H2072" s="89">
        <v>46253</v>
      </c>
      <c r="I2072" s="71" t="s">
        <v>330</v>
      </c>
      <c r="J2072" s="71">
        <v>0</v>
      </c>
      <c r="K2072" s="71" t="s">
        <v>302</v>
      </c>
      <c r="L2072" s="71">
        <f t="shared" si="288"/>
        <v>8</v>
      </c>
      <c r="M2072" s="71" t="str">
        <f>IFERROR(INDEX(KALENDER!$D$3:$D$132,MATCH(H2072,KALENDER!$A$3:$A$132,0)),"Di luar periode")</f>
        <v>Hari Kerja</v>
      </c>
      <c r="N2072" s="71">
        <f t="shared" si="289"/>
        <v>0</v>
      </c>
      <c r="O2072" s="71">
        <f t="shared" si="290"/>
        <v>1</v>
      </c>
      <c r="P2072" s="71">
        <f t="shared" si="291"/>
        <v>0</v>
      </c>
      <c r="Q2072" s="71">
        <f t="shared" si="292"/>
        <v>0</v>
      </c>
      <c r="R2072" s="71">
        <f t="shared" si="293"/>
        <v>0</v>
      </c>
      <c r="S2072" s="71">
        <f t="shared" si="294"/>
        <v>0</v>
      </c>
      <c r="T2072" s="71">
        <f t="shared" si="295"/>
        <v>0</v>
      </c>
      <c r="U2072" s="71">
        <f>IF(AND(N2072=1,V2072=1),IF(COUNTIFS(AKTIVITAS!$B$2:$B$3052,B2072,AKTIVITAS!$E$2:$E$3052,H2072)&gt;0,1,0),0)</f>
        <v>0</v>
      </c>
      <c r="V2072" s="71">
        <f>IFERROR(IF(AND(H2072&gt;=INDEX(PEMAGANG!$J$3:$J$36,MATCH(B2072,PEMAGANG!$C$3:$C$36,0)),H2072&lt;=INDEX(PEMAGANG!$K$3:$K$36,MATCH(B2072,PEMAGANG!$C$3:$C$36,0))),1,0),0)</f>
        <v>1</v>
      </c>
      <c r="W2072" s="71">
        <f t="shared" si="296"/>
        <v>0</v>
      </c>
    </row>
    <row r="2073" spans="1:23" x14ac:dyDescent="0.2">
      <c r="A2073" s="71" t="s">
        <v>275</v>
      </c>
      <c r="B2073" s="71" t="s">
        <v>276</v>
      </c>
      <c r="C2073" s="71" t="s">
        <v>187</v>
      </c>
      <c r="D2073" s="71" t="s">
        <v>277</v>
      </c>
      <c r="E2073" s="71" t="s">
        <v>41</v>
      </c>
      <c r="F2073" s="71" t="s">
        <v>298</v>
      </c>
      <c r="G2073" s="88">
        <v>46255.306631944499</v>
      </c>
      <c r="H2073" s="89">
        <v>46255</v>
      </c>
      <c r="I2073" s="71" t="s">
        <v>305</v>
      </c>
      <c r="J2073" s="71">
        <v>-39</v>
      </c>
      <c r="K2073" s="71" t="s">
        <v>302</v>
      </c>
      <c r="L2073" s="71">
        <f t="shared" si="288"/>
        <v>8</v>
      </c>
      <c r="M2073" s="71" t="str">
        <f>IFERROR(INDEX(KALENDER!$D$3:$D$132,MATCH(H2073,KALENDER!$A$3:$A$132,0)),"Di luar periode")</f>
        <v>Hari Kerja</v>
      </c>
      <c r="N2073" s="71">
        <f t="shared" si="289"/>
        <v>1</v>
      </c>
      <c r="O2073" s="71">
        <f t="shared" si="290"/>
        <v>1</v>
      </c>
      <c r="P2073" s="71">
        <f t="shared" si="291"/>
        <v>1</v>
      </c>
      <c r="Q2073" s="71">
        <f t="shared" si="292"/>
        <v>0</v>
      </c>
      <c r="R2073" s="71">
        <f t="shared" si="293"/>
        <v>0</v>
      </c>
      <c r="S2073" s="71">
        <f t="shared" si="294"/>
        <v>0</v>
      </c>
      <c r="T2073" s="71">
        <f t="shared" si="295"/>
        <v>0</v>
      </c>
      <c r="U2073" s="71">
        <f>IF(AND(N2073=1,V2073=1),IF(COUNTIFS(AKTIVITAS!$B$2:$B$3052,B2073,AKTIVITAS!$E$2:$E$3052,H2073)&gt;0,1,0),0)</f>
        <v>1</v>
      </c>
      <c r="V2073" s="71">
        <f>IFERROR(IF(AND(H2073&gt;=INDEX(PEMAGANG!$J$3:$J$36,MATCH(B2073,PEMAGANG!$C$3:$C$36,0)),H2073&lt;=INDEX(PEMAGANG!$K$3:$K$36,MATCH(B2073,PEMAGANG!$C$3:$C$36,0))),1,0),0)</f>
        <v>1</v>
      </c>
      <c r="W2073" s="71">
        <f t="shared" si="296"/>
        <v>1</v>
      </c>
    </row>
    <row r="2074" spans="1:23" x14ac:dyDescent="0.2">
      <c r="A2074" s="71" t="s">
        <v>275</v>
      </c>
      <c r="B2074" s="71" t="s">
        <v>276</v>
      </c>
      <c r="C2074" s="71" t="s">
        <v>187</v>
      </c>
      <c r="D2074" s="71" t="s">
        <v>277</v>
      </c>
      <c r="E2074" s="71" t="s">
        <v>41</v>
      </c>
      <c r="F2074" s="71" t="s">
        <v>300</v>
      </c>
      <c r="G2074" s="88">
        <v>46255.6898842593</v>
      </c>
      <c r="H2074" s="89">
        <v>46255</v>
      </c>
      <c r="I2074" s="71" t="s">
        <v>316</v>
      </c>
      <c r="J2074" s="71">
        <v>0</v>
      </c>
      <c r="K2074" s="71" t="s">
        <v>302</v>
      </c>
      <c r="L2074" s="71">
        <f t="shared" si="288"/>
        <v>8</v>
      </c>
      <c r="M2074" s="71" t="str">
        <f>IFERROR(INDEX(KALENDER!$D$3:$D$132,MATCH(H2074,KALENDER!$A$3:$A$132,0)),"Di luar periode")</f>
        <v>Hari Kerja</v>
      </c>
      <c r="N2074" s="71">
        <f t="shared" si="289"/>
        <v>0</v>
      </c>
      <c r="O2074" s="71">
        <f t="shared" si="290"/>
        <v>1</v>
      </c>
      <c r="P2074" s="71">
        <f t="shared" si="291"/>
        <v>0</v>
      </c>
      <c r="Q2074" s="71">
        <f t="shared" si="292"/>
        <v>0</v>
      </c>
      <c r="R2074" s="71">
        <f t="shared" si="293"/>
        <v>0</v>
      </c>
      <c r="S2074" s="71">
        <f t="shared" si="294"/>
        <v>0</v>
      </c>
      <c r="T2074" s="71">
        <f t="shared" si="295"/>
        <v>0</v>
      </c>
      <c r="U2074" s="71">
        <f>IF(AND(N2074=1,V2074=1),IF(COUNTIFS(AKTIVITAS!$B$2:$B$3052,B2074,AKTIVITAS!$E$2:$E$3052,H2074)&gt;0,1,0),0)</f>
        <v>0</v>
      </c>
      <c r="V2074" s="71">
        <f>IFERROR(IF(AND(H2074&gt;=INDEX(PEMAGANG!$J$3:$J$36,MATCH(B2074,PEMAGANG!$C$3:$C$36,0)),H2074&lt;=INDEX(PEMAGANG!$K$3:$K$36,MATCH(B2074,PEMAGANG!$C$3:$C$36,0))),1,0),0)</f>
        <v>1</v>
      </c>
      <c r="W2074" s="71">
        <f t="shared" si="296"/>
        <v>0</v>
      </c>
    </row>
    <row r="2075" spans="1:23" x14ac:dyDescent="0.2">
      <c r="A2075" s="71" t="s">
        <v>275</v>
      </c>
      <c r="B2075" s="71" t="s">
        <v>276</v>
      </c>
      <c r="C2075" s="71" t="s">
        <v>187</v>
      </c>
      <c r="D2075" s="71" t="s">
        <v>277</v>
      </c>
      <c r="E2075" s="71" t="s">
        <v>41</v>
      </c>
      <c r="F2075" s="71" t="s">
        <v>298</v>
      </c>
      <c r="G2075" s="88">
        <v>46258.308125000003</v>
      </c>
      <c r="H2075" s="89">
        <v>46258</v>
      </c>
      <c r="I2075" s="71" t="s">
        <v>311</v>
      </c>
      <c r="J2075" s="71">
        <v>-37</v>
      </c>
      <c r="K2075" s="71" t="s">
        <v>302</v>
      </c>
      <c r="L2075" s="71">
        <f t="shared" si="288"/>
        <v>8</v>
      </c>
      <c r="M2075" s="71" t="str">
        <f>IFERROR(INDEX(KALENDER!$D$3:$D$132,MATCH(H2075,KALENDER!$A$3:$A$132,0)),"Di luar periode")</f>
        <v>Hari Kerja</v>
      </c>
      <c r="N2075" s="71">
        <f t="shared" si="289"/>
        <v>1</v>
      </c>
      <c r="O2075" s="71">
        <f t="shared" si="290"/>
        <v>1</v>
      </c>
      <c r="P2075" s="71">
        <f t="shared" si="291"/>
        <v>1</v>
      </c>
      <c r="Q2075" s="71">
        <f t="shared" si="292"/>
        <v>0</v>
      </c>
      <c r="R2075" s="71">
        <f t="shared" si="293"/>
        <v>0</v>
      </c>
      <c r="S2075" s="71">
        <f t="shared" si="294"/>
        <v>0</v>
      </c>
      <c r="T2075" s="71">
        <f t="shared" si="295"/>
        <v>0</v>
      </c>
      <c r="U2075" s="71">
        <f>IF(AND(N2075=1,V2075=1),IF(COUNTIFS(AKTIVITAS!$B$2:$B$3052,B2075,AKTIVITAS!$E$2:$E$3052,H2075)&gt;0,1,0),0)</f>
        <v>1</v>
      </c>
      <c r="V2075" s="71">
        <f>IFERROR(IF(AND(H2075&gt;=INDEX(PEMAGANG!$J$3:$J$36,MATCH(B2075,PEMAGANG!$C$3:$C$36,0)),H2075&lt;=INDEX(PEMAGANG!$K$3:$K$36,MATCH(B2075,PEMAGANG!$C$3:$C$36,0))),1,0),0)</f>
        <v>1</v>
      </c>
      <c r="W2075" s="71">
        <f t="shared" si="296"/>
        <v>1</v>
      </c>
    </row>
    <row r="2076" spans="1:23" x14ac:dyDescent="0.2">
      <c r="A2076" s="71" t="s">
        <v>275</v>
      </c>
      <c r="B2076" s="71" t="s">
        <v>276</v>
      </c>
      <c r="C2076" s="71" t="s">
        <v>187</v>
      </c>
      <c r="D2076" s="71" t="s">
        <v>277</v>
      </c>
      <c r="E2076" s="71" t="s">
        <v>41</v>
      </c>
      <c r="F2076" s="71" t="s">
        <v>300</v>
      </c>
      <c r="G2076" s="88">
        <v>46258.689895833297</v>
      </c>
      <c r="H2076" s="89">
        <v>46258</v>
      </c>
      <c r="I2076" s="71" t="s">
        <v>316</v>
      </c>
      <c r="J2076" s="71">
        <v>0</v>
      </c>
      <c r="K2076" s="71" t="s">
        <v>302</v>
      </c>
      <c r="L2076" s="71">
        <f t="shared" si="288"/>
        <v>8</v>
      </c>
      <c r="M2076" s="71" t="str">
        <f>IFERROR(INDEX(KALENDER!$D$3:$D$132,MATCH(H2076,KALENDER!$A$3:$A$132,0)),"Di luar periode")</f>
        <v>Hari Kerja</v>
      </c>
      <c r="N2076" s="71">
        <f t="shared" si="289"/>
        <v>0</v>
      </c>
      <c r="O2076" s="71">
        <f t="shared" si="290"/>
        <v>1</v>
      </c>
      <c r="P2076" s="71">
        <f t="shared" si="291"/>
        <v>0</v>
      </c>
      <c r="Q2076" s="71">
        <f t="shared" si="292"/>
        <v>0</v>
      </c>
      <c r="R2076" s="71">
        <f t="shared" si="293"/>
        <v>0</v>
      </c>
      <c r="S2076" s="71">
        <f t="shared" si="294"/>
        <v>0</v>
      </c>
      <c r="T2076" s="71">
        <f t="shared" si="295"/>
        <v>0</v>
      </c>
      <c r="U2076" s="71">
        <f>IF(AND(N2076=1,V2076=1),IF(COUNTIFS(AKTIVITAS!$B$2:$B$3052,B2076,AKTIVITAS!$E$2:$E$3052,H2076)&gt;0,1,0),0)</f>
        <v>0</v>
      </c>
      <c r="V2076" s="71">
        <f>IFERROR(IF(AND(H2076&gt;=INDEX(PEMAGANG!$J$3:$J$36,MATCH(B2076,PEMAGANG!$C$3:$C$36,0)),H2076&lt;=INDEX(PEMAGANG!$K$3:$K$36,MATCH(B2076,PEMAGANG!$C$3:$C$36,0))),1,0),0)</f>
        <v>1</v>
      </c>
      <c r="W2076" s="71">
        <f t="shared" si="296"/>
        <v>0</v>
      </c>
    </row>
    <row r="2077" spans="1:23" x14ac:dyDescent="0.2">
      <c r="A2077" s="71" t="s">
        <v>275</v>
      </c>
      <c r="B2077" s="71" t="s">
        <v>276</v>
      </c>
      <c r="C2077" s="71" t="s">
        <v>187</v>
      </c>
      <c r="D2077" s="71" t="s">
        <v>277</v>
      </c>
      <c r="E2077" s="71" t="s">
        <v>41</v>
      </c>
      <c r="F2077" s="71" t="s">
        <v>298</v>
      </c>
      <c r="G2077" s="88">
        <v>46260.3073842593</v>
      </c>
      <c r="H2077" s="89">
        <v>46260</v>
      </c>
      <c r="I2077" s="71" t="s">
        <v>313</v>
      </c>
      <c r="J2077" s="71">
        <v>-38</v>
      </c>
      <c r="K2077" s="71" t="s">
        <v>302</v>
      </c>
      <c r="L2077" s="71">
        <f t="shared" si="288"/>
        <v>8</v>
      </c>
      <c r="M2077" s="71" t="str">
        <f>IFERROR(INDEX(KALENDER!$D$3:$D$132,MATCH(H2077,KALENDER!$A$3:$A$132,0)),"Di luar periode")</f>
        <v>Hari Kerja</v>
      </c>
      <c r="N2077" s="71">
        <f t="shared" si="289"/>
        <v>1</v>
      </c>
      <c r="O2077" s="71">
        <f t="shared" si="290"/>
        <v>1</v>
      </c>
      <c r="P2077" s="71">
        <f t="shared" si="291"/>
        <v>1</v>
      </c>
      <c r="Q2077" s="71">
        <f t="shared" si="292"/>
        <v>0</v>
      </c>
      <c r="R2077" s="71">
        <f t="shared" si="293"/>
        <v>0</v>
      </c>
      <c r="S2077" s="71">
        <f t="shared" si="294"/>
        <v>0</v>
      </c>
      <c r="T2077" s="71">
        <f t="shared" si="295"/>
        <v>0</v>
      </c>
      <c r="U2077" s="71">
        <f>IF(AND(N2077=1,V2077=1),IF(COUNTIFS(AKTIVITAS!$B$2:$B$3052,B2077,AKTIVITAS!$E$2:$E$3052,H2077)&gt;0,1,0),0)</f>
        <v>1</v>
      </c>
      <c r="V2077" s="71">
        <f>IFERROR(IF(AND(H2077&gt;=INDEX(PEMAGANG!$J$3:$J$36,MATCH(B2077,PEMAGANG!$C$3:$C$36,0)),H2077&lt;=INDEX(PEMAGANG!$K$3:$K$36,MATCH(B2077,PEMAGANG!$C$3:$C$36,0))),1,0),0)</f>
        <v>1</v>
      </c>
      <c r="W2077" s="71">
        <f t="shared" si="296"/>
        <v>1</v>
      </c>
    </row>
    <row r="2078" spans="1:23" x14ac:dyDescent="0.2">
      <c r="A2078" s="71" t="s">
        <v>275</v>
      </c>
      <c r="B2078" s="71" t="s">
        <v>276</v>
      </c>
      <c r="C2078" s="71" t="s">
        <v>187</v>
      </c>
      <c r="D2078" s="71" t="s">
        <v>277</v>
      </c>
      <c r="E2078" s="71" t="s">
        <v>41</v>
      </c>
      <c r="F2078" s="71" t="s">
        <v>300</v>
      </c>
      <c r="G2078" s="88">
        <v>46260.694120370397</v>
      </c>
      <c r="H2078" s="89">
        <v>46260</v>
      </c>
      <c r="I2078" s="71" t="s">
        <v>308</v>
      </c>
      <c r="J2078" s="71">
        <v>0</v>
      </c>
      <c r="K2078" s="71" t="s">
        <v>302</v>
      </c>
      <c r="L2078" s="71">
        <f t="shared" si="288"/>
        <v>8</v>
      </c>
      <c r="M2078" s="71" t="str">
        <f>IFERROR(INDEX(KALENDER!$D$3:$D$132,MATCH(H2078,KALENDER!$A$3:$A$132,0)),"Di luar periode")</f>
        <v>Hari Kerja</v>
      </c>
      <c r="N2078" s="71">
        <f t="shared" si="289"/>
        <v>0</v>
      </c>
      <c r="O2078" s="71">
        <f t="shared" si="290"/>
        <v>1</v>
      </c>
      <c r="P2078" s="71">
        <f t="shared" si="291"/>
        <v>0</v>
      </c>
      <c r="Q2078" s="71">
        <f t="shared" si="292"/>
        <v>0</v>
      </c>
      <c r="R2078" s="71">
        <f t="shared" si="293"/>
        <v>0</v>
      </c>
      <c r="S2078" s="71">
        <f t="shared" si="294"/>
        <v>0</v>
      </c>
      <c r="T2078" s="71">
        <f t="shared" si="295"/>
        <v>0</v>
      </c>
      <c r="U2078" s="71">
        <f>IF(AND(N2078=1,V2078=1),IF(COUNTIFS(AKTIVITAS!$B$2:$B$3052,B2078,AKTIVITAS!$E$2:$E$3052,H2078)&gt;0,1,0),0)</f>
        <v>0</v>
      </c>
      <c r="V2078" s="71">
        <f>IFERROR(IF(AND(H2078&gt;=INDEX(PEMAGANG!$J$3:$J$36,MATCH(B2078,PEMAGANG!$C$3:$C$36,0)),H2078&lt;=INDEX(PEMAGANG!$K$3:$K$36,MATCH(B2078,PEMAGANG!$C$3:$C$36,0))),1,0),0)</f>
        <v>1</v>
      </c>
      <c r="W2078" s="71">
        <f t="shared" si="296"/>
        <v>0</v>
      </c>
    </row>
    <row r="2079" spans="1:23" x14ac:dyDescent="0.2">
      <c r="A2079" s="71" t="s">
        <v>275</v>
      </c>
      <c r="B2079" s="71" t="s">
        <v>276</v>
      </c>
      <c r="C2079" s="71" t="s">
        <v>187</v>
      </c>
      <c r="D2079" s="71" t="s">
        <v>277</v>
      </c>
      <c r="E2079" s="71" t="s">
        <v>41</v>
      </c>
      <c r="F2079" s="71" t="s">
        <v>298</v>
      </c>
      <c r="G2079" s="88">
        <v>46261.310173611098</v>
      </c>
      <c r="H2079" s="89">
        <v>46261</v>
      </c>
      <c r="I2079" s="71" t="s">
        <v>315</v>
      </c>
      <c r="J2079" s="71">
        <v>-34</v>
      </c>
      <c r="K2079" s="71" t="s">
        <v>302</v>
      </c>
      <c r="L2079" s="71">
        <f t="shared" si="288"/>
        <v>8</v>
      </c>
      <c r="M2079" s="71" t="str">
        <f>IFERROR(INDEX(KALENDER!$D$3:$D$132,MATCH(H2079,KALENDER!$A$3:$A$132,0)),"Di luar periode")</f>
        <v>Hari Kerja</v>
      </c>
      <c r="N2079" s="71">
        <f t="shared" si="289"/>
        <v>1</v>
      </c>
      <c r="O2079" s="71">
        <f t="shared" si="290"/>
        <v>1</v>
      </c>
      <c r="P2079" s="71">
        <f t="shared" si="291"/>
        <v>1</v>
      </c>
      <c r="Q2079" s="71">
        <f t="shared" si="292"/>
        <v>0</v>
      </c>
      <c r="R2079" s="71">
        <f t="shared" si="293"/>
        <v>0</v>
      </c>
      <c r="S2079" s="71">
        <f t="shared" si="294"/>
        <v>0</v>
      </c>
      <c r="T2079" s="71">
        <f t="shared" si="295"/>
        <v>0</v>
      </c>
      <c r="U2079" s="71">
        <f>IF(AND(N2079=1,V2079=1),IF(COUNTIFS(AKTIVITAS!$B$2:$B$3052,B2079,AKTIVITAS!$E$2:$E$3052,H2079)&gt;0,1,0),0)</f>
        <v>1</v>
      </c>
      <c r="V2079" s="71">
        <f>IFERROR(IF(AND(H2079&gt;=INDEX(PEMAGANG!$J$3:$J$36,MATCH(B2079,PEMAGANG!$C$3:$C$36,0)),H2079&lt;=INDEX(PEMAGANG!$K$3:$K$36,MATCH(B2079,PEMAGANG!$C$3:$C$36,0))),1,0),0)</f>
        <v>1</v>
      </c>
      <c r="W2079" s="71">
        <f t="shared" si="296"/>
        <v>1</v>
      </c>
    </row>
    <row r="2080" spans="1:23" x14ac:dyDescent="0.2">
      <c r="A2080" s="71" t="s">
        <v>275</v>
      </c>
      <c r="B2080" s="71" t="s">
        <v>276</v>
      </c>
      <c r="C2080" s="71" t="s">
        <v>187</v>
      </c>
      <c r="D2080" s="71" t="s">
        <v>277</v>
      </c>
      <c r="E2080" s="71" t="s">
        <v>41</v>
      </c>
      <c r="F2080" s="71" t="s">
        <v>300</v>
      </c>
      <c r="G2080" s="88">
        <v>46261.716203703698</v>
      </c>
      <c r="H2080" s="89">
        <v>46261</v>
      </c>
      <c r="I2080" s="71" t="s">
        <v>611</v>
      </c>
      <c r="J2080" s="71">
        <v>0</v>
      </c>
      <c r="K2080" s="71" t="s">
        <v>302</v>
      </c>
      <c r="L2080" s="71">
        <f t="shared" si="288"/>
        <v>8</v>
      </c>
      <c r="M2080" s="71" t="str">
        <f>IFERROR(INDEX(KALENDER!$D$3:$D$132,MATCH(H2080,KALENDER!$A$3:$A$132,0)),"Di luar periode")</f>
        <v>Hari Kerja</v>
      </c>
      <c r="N2080" s="71">
        <f t="shared" si="289"/>
        <v>0</v>
      </c>
      <c r="O2080" s="71">
        <f t="shared" si="290"/>
        <v>1</v>
      </c>
      <c r="P2080" s="71">
        <f t="shared" si="291"/>
        <v>0</v>
      </c>
      <c r="Q2080" s="71">
        <f t="shared" si="292"/>
        <v>0</v>
      </c>
      <c r="R2080" s="71">
        <f t="shared" si="293"/>
        <v>0</v>
      </c>
      <c r="S2080" s="71">
        <f t="shared" si="294"/>
        <v>0</v>
      </c>
      <c r="T2080" s="71">
        <f t="shared" si="295"/>
        <v>0</v>
      </c>
      <c r="U2080" s="71">
        <f>IF(AND(N2080=1,V2080=1),IF(COUNTIFS(AKTIVITAS!$B$2:$B$3052,B2080,AKTIVITAS!$E$2:$E$3052,H2080)&gt;0,1,0),0)</f>
        <v>0</v>
      </c>
      <c r="V2080" s="71">
        <f>IFERROR(IF(AND(H2080&gt;=INDEX(PEMAGANG!$J$3:$J$36,MATCH(B2080,PEMAGANG!$C$3:$C$36,0)),H2080&lt;=INDEX(PEMAGANG!$K$3:$K$36,MATCH(B2080,PEMAGANG!$C$3:$C$36,0))),1,0),0)</f>
        <v>1</v>
      </c>
      <c r="W2080" s="71">
        <f t="shared" si="296"/>
        <v>0</v>
      </c>
    </row>
    <row r="2081" spans="1:23" x14ac:dyDescent="0.2">
      <c r="A2081" s="71" t="s">
        <v>275</v>
      </c>
      <c r="B2081" s="71" t="s">
        <v>276</v>
      </c>
      <c r="C2081" s="71" t="s">
        <v>187</v>
      </c>
      <c r="D2081" s="71" t="s">
        <v>277</v>
      </c>
      <c r="E2081" s="71" t="s">
        <v>41</v>
      </c>
      <c r="F2081" s="71" t="s">
        <v>298</v>
      </c>
      <c r="G2081" s="88">
        <v>46262.309791666703</v>
      </c>
      <c r="H2081" s="89">
        <v>46262</v>
      </c>
      <c r="I2081" s="71" t="s">
        <v>315</v>
      </c>
      <c r="J2081" s="71">
        <v>-34</v>
      </c>
      <c r="K2081" s="71" t="s">
        <v>302</v>
      </c>
      <c r="L2081" s="71">
        <f t="shared" si="288"/>
        <v>8</v>
      </c>
      <c r="M2081" s="71" t="str">
        <f>IFERROR(INDEX(KALENDER!$D$3:$D$132,MATCH(H2081,KALENDER!$A$3:$A$132,0)),"Di luar periode")</f>
        <v>Hari Kerja</v>
      </c>
      <c r="N2081" s="71">
        <f t="shared" si="289"/>
        <v>1</v>
      </c>
      <c r="O2081" s="71">
        <f t="shared" si="290"/>
        <v>1</v>
      </c>
      <c r="P2081" s="71">
        <f t="shared" si="291"/>
        <v>1</v>
      </c>
      <c r="Q2081" s="71">
        <f t="shared" si="292"/>
        <v>0</v>
      </c>
      <c r="R2081" s="71">
        <f t="shared" si="293"/>
        <v>0</v>
      </c>
      <c r="S2081" s="71">
        <f t="shared" si="294"/>
        <v>0</v>
      </c>
      <c r="T2081" s="71">
        <f t="shared" si="295"/>
        <v>0</v>
      </c>
      <c r="U2081" s="71">
        <f>IF(AND(N2081=1,V2081=1),IF(COUNTIFS(AKTIVITAS!$B$2:$B$3052,B2081,AKTIVITAS!$E$2:$E$3052,H2081)&gt;0,1,0),0)</f>
        <v>1</v>
      </c>
      <c r="V2081" s="71">
        <f>IFERROR(IF(AND(H2081&gt;=INDEX(PEMAGANG!$J$3:$J$36,MATCH(B2081,PEMAGANG!$C$3:$C$36,0)),H2081&lt;=INDEX(PEMAGANG!$K$3:$K$36,MATCH(B2081,PEMAGANG!$C$3:$C$36,0))),1,0),0)</f>
        <v>1</v>
      </c>
      <c r="W2081" s="71">
        <f t="shared" si="296"/>
        <v>1</v>
      </c>
    </row>
    <row r="2082" spans="1:23" x14ac:dyDescent="0.2">
      <c r="A2082" s="71" t="s">
        <v>275</v>
      </c>
      <c r="B2082" s="71" t="s">
        <v>276</v>
      </c>
      <c r="C2082" s="71" t="s">
        <v>187</v>
      </c>
      <c r="D2082" s="71" t="s">
        <v>277</v>
      </c>
      <c r="E2082" s="71" t="s">
        <v>41</v>
      </c>
      <c r="F2082" s="71" t="s">
        <v>300</v>
      </c>
      <c r="G2082" s="88">
        <v>46262.6897916667</v>
      </c>
      <c r="H2082" s="89">
        <v>46262</v>
      </c>
      <c r="I2082" s="71" t="s">
        <v>316</v>
      </c>
      <c r="J2082" s="71">
        <v>0</v>
      </c>
      <c r="K2082" s="71" t="s">
        <v>302</v>
      </c>
      <c r="L2082" s="71">
        <f t="shared" si="288"/>
        <v>8</v>
      </c>
      <c r="M2082" s="71" t="str">
        <f>IFERROR(INDEX(KALENDER!$D$3:$D$132,MATCH(H2082,KALENDER!$A$3:$A$132,0)),"Di luar periode")</f>
        <v>Hari Kerja</v>
      </c>
      <c r="N2082" s="71">
        <f t="shared" si="289"/>
        <v>0</v>
      </c>
      <c r="O2082" s="71">
        <f t="shared" si="290"/>
        <v>1</v>
      </c>
      <c r="P2082" s="71">
        <f t="shared" si="291"/>
        <v>0</v>
      </c>
      <c r="Q2082" s="71">
        <f t="shared" si="292"/>
        <v>0</v>
      </c>
      <c r="R2082" s="71">
        <f t="shared" si="293"/>
        <v>0</v>
      </c>
      <c r="S2082" s="71">
        <f t="shared" si="294"/>
        <v>0</v>
      </c>
      <c r="T2082" s="71">
        <f t="shared" si="295"/>
        <v>0</v>
      </c>
      <c r="U2082" s="71">
        <f>IF(AND(N2082=1,V2082=1),IF(COUNTIFS(AKTIVITAS!$B$2:$B$3052,B2082,AKTIVITAS!$E$2:$E$3052,H2082)&gt;0,1,0),0)</f>
        <v>0</v>
      </c>
      <c r="V2082" s="71">
        <f>IFERROR(IF(AND(H2082&gt;=INDEX(PEMAGANG!$J$3:$J$36,MATCH(B2082,PEMAGANG!$C$3:$C$36,0)),H2082&lt;=INDEX(PEMAGANG!$K$3:$K$36,MATCH(B2082,PEMAGANG!$C$3:$C$36,0))),1,0),0)</f>
        <v>1</v>
      </c>
      <c r="W2082" s="71">
        <f t="shared" si="296"/>
        <v>0</v>
      </c>
    </row>
    <row r="2083" spans="1:23" x14ac:dyDescent="0.2">
      <c r="A2083" s="71" t="s">
        <v>275</v>
      </c>
      <c r="B2083" s="71" t="s">
        <v>276</v>
      </c>
      <c r="C2083" s="71" t="s">
        <v>187</v>
      </c>
      <c r="D2083" s="71" t="s">
        <v>277</v>
      </c>
      <c r="E2083" s="71" t="s">
        <v>41</v>
      </c>
      <c r="F2083" s="71" t="s">
        <v>298</v>
      </c>
      <c r="G2083" s="88">
        <v>46265.312430555598</v>
      </c>
      <c r="H2083" s="89">
        <v>46265</v>
      </c>
      <c r="I2083" s="71" t="s">
        <v>365</v>
      </c>
      <c r="J2083" s="71">
        <v>-31</v>
      </c>
      <c r="K2083" s="71" t="s">
        <v>302</v>
      </c>
      <c r="L2083" s="71">
        <f t="shared" si="288"/>
        <v>8</v>
      </c>
      <c r="M2083" s="71" t="str">
        <f>IFERROR(INDEX(KALENDER!$D$3:$D$132,MATCH(H2083,KALENDER!$A$3:$A$132,0)),"Di luar periode")</f>
        <v>Hari Kerja</v>
      </c>
      <c r="N2083" s="71">
        <f t="shared" si="289"/>
        <v>1</v>
      </c>
      <c r="O2083" s="71">
        <f t="shared" si="290"/>
        <v>1</v>
      </c>
      <c r="P2083" s="71">
        <f t="shared" si="291"/>
        <v>1</v>
      </c>
      <c r="Q2083" s="71">
        <f t="shared" si="292"/>
        <v>0</v>
      </c>
      <c r="R2083" s="71">
        <f t="shared" si="293"/>
        <v>0</v>
      </c>
      <c r="S2083" s="71">
        <f t="shared" si="294"/>
        <v>0</v>
      </c>
      <c r="T2083" s="71">
        <f t="shared" si="295"/>
        <v>0</v>
      </c>
      <c r="U2083" s="71">
        <f>IF(AND(N2083=1,V2083=1),IF(COUNTIFS(AKTIVITAS!$B$2:$B$3052,B2083,AKTIVITAS!$E$2:$E$3052,H2083)&gt;0,1,0),0)</f>
        <v>1</v>
      </c>
      <c r="V2083" s="71">
        <f>IFERROR(IF(AND(H2083&gt;=INDEX(PEMAGANG!$J$3:$J$36,MATCH(B2083,PEMAGANG!$C$3:$C$36,0)),H2083&lt;=INDEX(PEMAGANG!$K$3:$K$36,MATCH(B2083,PEMAGANG!$C$3:$C$36,0))),1,0),0)</f>
        <v>1</v>
      </c>
      <c r="W2083" s="71">
        <f t="shared" si="296"/>
        <v>1</v>
      </c>
    </row>
    <row r="2084" spans="1:23" x14ac:dyDescent="0.2">
      <c r="A2084" s="71" t="s">
        <v>275</v>
      </c>
      <c r="B2084" s="71" t="s">
        <v>276</v>
      </c>
      <c r="C2084" s="71" t="s">
        <v>187</v>
      </c>
      <c r="D2084" s="71" t="s">
        <v>277</v>
      </c>
      <c r="E2084" s="71" t="s">
        <v>41</v>
      </c>
      <c r="F2084" s="71" t="s">
        <v>300</v>
      </c>
      <c r="G2084" s="88">
        <v>46265.687557870398</v>
      </c>
      <c r="H2084" s="89">
        <v>46265</v>
      </c>
      <c r="I2084" s="71" t="s">
        <v>330</v>
      </c>
      <c r="J2084" s="71">
        <v>0</v>
      </c>
      <c r="K2084" s="71" t="s">
        <v>302</v>
      </c>
      <c r="L2084" s="71">
        <f t="shared" si="288"/>
        <v>8</v>
      </c>
      <c r="M2084" s="71" t="str">
        <f>IFERROR(INDEX(KALENDER!$D$3:$D$132,MATCH(H2084,KALENDER!$A$3:$A$132,0)),"Di luar periode")</f>
        <v>Hari Kerja</v>
      </c>
      <c r="N2084" s="71">
        <f t="shared" si="289"/>
        <v>0</v>
      </c>
      <c r="O2084" s="71">
        <f t="shared" si="290"/>
        <v>1</v>
      </c>
      <c r="P2084" s="71">
        <f t="shared" si="291"/>
        <v>0</v>
      </c>
      <c r="Q2084" s="71">
        <f t="shared" si="292"/>
        <v>0</v>
      </c>
      <c r="R2084" s="71">
        <f t="shared" si="293"/>
        <v>0</v>
      </c>
      <c r="S2084" s="71">
        <f t="shared" si="294"/>
        <v>0</v>
      </c>
      <c r="T2084" s="71">
        <f t="shared" si="295"/>
        <v>0</v>
      </c>
      <c r="U2084" s="71">
        <f>IF(AND(N2084=1,V2084=1),IF(COUNTIFS(AKTIVITAS!$B$2:$B$3052,B2084,AKTIVITAS!$E$2:$E$3052,H2084)&gt;0,1,0),0)</f>
        <v>0</v>
      </c>
      <c r="V2084" s="71">
        <f>IFERROR(IF(AND(H2084&gt;=INDEX(PEMAGANG!$J$3:$J$36,MATCH(B2084,PEMAGANG!$C$3:$C$36,0)),H2084&lt;=INDEX(PEMAGANG!$K$3:$K$36,MATCH(B2084,PEMAGANG!$C$3:$C$36,0))),1,0),0)</f>
        <v>1</v>
      </c>
      <c r="W2084" s="71">
        <f t="shared" si="296"/>
        <v>0</v>
      </c>
    </row>
    <row r="2085" spans="1:23" x14ac:dyDescent="0.2">
      <c r="A2085" s="71" t="s">
        <v>275</v>
      </c>
      <c r="B2085" s="71" t="s">
        <v>276</v>
      </c>
      <c r="C2085" s="71" t="s">
        <v>187</v>
      </c>
      <c r="D2085" s="71" t="s">
        <v>277</v>
      </c>
      <c r="E2085" s="71" t="s">
        <v>41</v>
      </c>
      <c r="F2085" s="71" t="s">
        <v>298</v>
      </c>
      <c r="G2085" s="88">
        <v>46266.309953703698</v>
      </c>
      <c r="H2085" s="89">
        <v>46266</v>
      </c>
      <c r="I2085" s="71" t="s">
        <v>315</v>
      </c>
      <c r="J2085" s="71">
        <v>-34</v>
      </c>
      <c r="K2085" s="71" t="s">
        <v>302</v>
      </c>
      <c r="L2085" s="71">
        <f t="shared" si="288"/>
        <v>9</v>
      </c>
      <c r="M2085" s="71" t="str">
        <f>IFERROR(INDEX(KALENDER!$D$3:$D$132,MATCH(H2085,KALENDER!$A$3:$A$132,0)),"Di luar periode")</f>
        <v>Hari Kerja</v>
      </c>
      <c r="N2085" s="71">
        <f t="shared" si="289"/>
        <v>1</v>
      </c>
      <c r="O2085" s="71">
        <f t="shared" si="290"/>
        <v>1</v>
      </c>
      <c r="P2085" s="71">
        <f t="shared" si="291"/>
        <v>1</v>
      </c>
      <c r="Q2085" s="71">
        <f t="shared" si="292"/>
        <v>0</v>
      </c>
      <c r="R2085" s="71">
        <f t="shared" si="293"/>
        <v>0</v>
      </c>
      <c r="S2085" s="71">
        <f t="shared" si="294"/>
        <v>0</v>
      </c>
      <c r="T2085" s="71">
        <f t="shared" si="295"/>
        <v>0</v>
      </c>
      <c r="U2085" s="71">
        <f>IF(AND(N2085=1,V2085=1),IF(COUNTIFS(AKTIVITAS!$B$2:$B$3052,B2085,AKTIVITAS!$E$2:$E$3052,H2085)&gt;0,1,0),0)</f>
        <v>1</v>
      </c>
      <c r="V2085" s="71">
        <f>IFERROR(IF(AND(H2085&gt;=INDEX(PEMAGANG!$J$3:$J$36,MATCH(B2085,PEMAGANG!$C$3:$C$36,0)),H2085&lt;=INDEX(PEMAGANG!$K$3:$K$36,MATCH(B2085,PEMAGANG!$C$3:$C$36,0))),1,0),0)</f>
        <v>1</v>
      </c>
      <c r="W2085" s="71">
        <f t="shared" si="296"/>
        <v>1</v>
      </c>
    </row>
    <row r="2086" spans="1:23" x14ac:dyDescent="0.2">
      <c r="A2086" s="71" t="s">
        <v>275</v>
      </c>
      <c r="B2086" s="71" t="s">
        <v>276</v>
      </c>
      <c r="C2086" s="71" t="s">
        <v>187</v>
      </c>
      <c r="D2086" s="71" t="s">
        <v>277</v>
      </c>
      <c r="E2086" s="71" t="s">
        <v>41</v>
      </c>
      <c r="F2086" s="71" t="s">
        <v>300</v>
      </c>
      <c r="G2086" s="88">
        <v>46266.689675925903</v>
      </c>
      <c r="H2086" s="89">
        <v>46266</v>
      </c>
      <c r="I2086" s="71" t="s">
        <v>316</v>
      </c>
      <c r="J2086" s="71">
        <v>0</v>
      </c>
      <c r="K2086" s="71" t="s">
        <v>302</v>
      </c>
      <c r="L2086" s="71">
        <f t="shared" si="288"/>
        <v>9</v>
      </c>
      <c r="M2086" s="71" t="str">
        <f>IFERROR(INDEX(KALENDER!$D$3:$D$132,MATCH(H2086,KALENDER!$A$3:$A$132,0)),"Di luar periode")</f>
        <v>Hari Kerja</v>
      </c>
      <c r="N2086" s="71">
        <f t="shared" si="289"/>
        <v>0</v>
      </c>
      <c r="O2086" s="71">
        <f t="shared" si="290"/>
        <v>1</v>
      </c>
      <c r="P2086" s="71">
        <f t="shared" si="291"/>
        <v>0</v>
      </c>
      <c r="Q2086" s="71">
        <f t="shared" si="292"/>
        <v>0</v>
      </c>
      <c r="R2086" s="71">
        <f t="shared" si="293"/>
        <v>0</v>
      </c>
      <c r="S2086" s="71">
        <f t="shared" si="294"/>
        <v>0</v>
      </c>
      <c r="T2086" s="71">
        <f t="shared" si="295"/>
        <v>0</v>
      </c>
      <c r="U2086" s="71">
        <f>IF(AND(N2086=1,V2086=1),IF(COUNTIFS(AKTIVITAS!$B$2:$B$3052,B2086,AKTIVITAS!$E$2:$E$3052,H2086)&gt;0,1,0),0)</f>
        <v>0</v>
      </c>
      <c r="V2086" s="71">
        <f>IFERROR(IF(AND(H2086&gt;=INDEX(PEMAGANG!$J$3:$J$36,MATCH(B2086,PEMAGANG!$C$3:$C$36,0)),H2086&lt;=INDEX(PEMAGANG!$K$3:$K$36,MATCH(B2086,PEMAGANG!$C$3:$C$36,0))),1,0),0)</f>
        <v>1</v>
      </c>
      <c r="W2086" s="71">
        <f t="shared" si="296"/>
        <v>0</v>
      </c>
    </row>
    <row r="2087" spans="1:23" x14ac:dyDescent="0.2">
      <c r="A2087" s="71" t="s">
        <v>275</v>
      </c>
      <c r="B2087" s="71" t="s">
        <v>276</v>
      </c>
      <c r="C2087" s="71" t="s">
        <v>187</v>
      </c>
      <c r="D2087" s="71" t="s">
        <v>277</v>
      </c>
      <c r="E2087" s="71" t="s">
        <v>41</v>
      </c>
      <c r="F2087" s="71" t="s">
        <v>298</v>
      </c>
      <c r="G2087" s="88">
        <v>46267.305</v>
      </c>
      <c r="H2087" s="89">
        <v>46267</v>
      </c>
      <c r="I2087" s="71" t="s">
        <v>321</v>
      </c>
      <c r="J2087" s="71">
        <v>-41</v>
      </c>
      <c r="K2087" s="71" t="s">
        <v>302</v>
      </c>
      <c r="L2087" s="71">
        <f t="shared" si="288"/>
        <v>9</v>
      </c>
      <c r="M2087" s="71" t="str">
        <f>IFERROR(INDEX(KALENDER!$D$3:$D$132,MATCH(H2087,KALENDER!$A$3:$A$132,0)),"Di luar periode")</f>
        <v>Hari Kerja</v>
      </c>
      <c r="N2087" s="71">
        <f t="shared" si="289"/>
        <v>1</v>
      </c>
      <c r="O2087" s="71">
        <f t="shared" si="290"/>
        <v>1</v>
      </c>
      <c r="P2087" s="71">
        <f t="shared" si="291"/>
        <v>1</v>
      </c>
      <c r="Q2087" s="71">
        <f t="shared" si="292"/>
        <v>0</v>
      </c>
      <c r="R2087" s="71">
        <f t="shared" si="293"/>
        <v>0</v>
      </c>
      <c r="S2087" s="71">
        <f t="shared" si="294"/>
        <v>0</v>
      </c>
      <c r="T2087" s="71">
        <f t="shared" si="295"/>
        <v>0</v>
      </c>
      <c r="U2087" s="71">
        <f>IF(AND(N2087=1,V2087=1),IF(COUNTIFS(AKTIVITAS!$B$2:$B$3052,B2087,AKTIVITAS!$E$2:$E$3052,H2087)&gt;0,1,0),0)</f>
        <v>1</v>
      </c>
      <c r="V2087" s="71">
        <f>IFERROR(IF(AND(H2087&gt;=INDEX(PEMAGANG!$J$3:$J$36,MATCH(B2087,PEMAGANG!$C$3:$C$36,0)),H2087&lt;=INDEX(PEMAGANG!$K$3:$K$36,MATCH(B2087,PEMAGANG!$C$3:$C$36,0))),1,0),0)</f>
        <v>1</v>
      </c>
      <c r="W2087" s="71">
        <f t="shared" si="296"/>
        <v>1</v>
      </c>
    </row>
    <row r="2088" spans="1:23" x14ac:dyDescent="0.2">
      <c r="A2088" s="71" t="s">
        <v>275</v>
      </c>
      <c r="B2088" s="71" t="s">
        <v>276</v>
      </c>
      <c r="C2088" s="71" t="s">
        <v>187</v>
      </c>
      <c r="D2088" s="71" t="s">
        <v>277</v>
      </c>
      <c r="E2088" s="71" t="s">
        <v>41</v>
      </c>
      <c r="F2088" s="71" t="s">
        <v>300</v>
      </c>
      <c r="G2088" s="88">
        <v>46267.688796296301</v>
      </c>
      <c r="H2088" s="89">
        <v>46267</v>
      </c>
      <c r="I2088" s="71" t="s">
        <v>336</v>
      </c>
      <c r="J2088" s="71">
        <v>0</v>
      </c>
      <c r="K2088" s="71" t="s">
        <v>302</v>
      </c>
      <c r="L2088" s="71">
        <f t="shared" si="288"/>
        <v>9</v>
      </c>
      <c r="M2088" s="71" t="str">
        <f>IFERROR(INDEX(KALENDER!$D$3:$D$132,MATCH(H2088,KALENDER!$A$3:$A$132,0)),"Di luar periode")</f>
        <v>Hari Kerja</v>
      </c>
      <c r="N2088" s="71">
        <f t="shared" si="289"/>
        <v>0</v>
      </c>
      <c r="O2088" s="71">
        <f t="shared" si="290"/>
        <v>1</v>
      </c>
      <c r="P2088" s="71">
        <f t="shared" si="291"/>
        <v>0</v>
      </c>
      <c r="Q2088" s="71">
        <f t="shared" si="292"/>
        <v>0</v>
      </c>
      <c r="R2088" s="71">
        <f t="shared" si="293"/>
        <v>0</v>
      </c>
      <c r="S2088" s="71">
        <f t="shared" si="294"/>
        <v>0</v>
      </c>
      <c r="T2088" s="71">
        <f t="shared" si="295"/>
        <v>0</v>
      </c>
      <c r="U2088" s="71">
        <f>IF(AND(N2088=1,V2088=1),IF(COUNTIFS(AKTIVITAS!$B$2:$B$3052,B2088,AKTIVITAS!$E$2:$E$3052,H2088)&gt;0,1,0),0)</f>
        <v>0</v>
      </c>
      <c r="V2088" s="71">
        <f>IFERROR(IF(AND(H2088&gt;=INDEX(PEMAGANG!$J$3:$J$36,MATCH(B2088,PEMAGANG!$C$3:$C$36,0)),H2088&lt;=INDEX(PEMAGANG!$K$3:$K$36,MATCH(B2088,PEMAGANG!$C$3:$C$36,0))),1,0),0)</f>
        <v>1</v>
      </c>
      <c r="W2088" s="71">
        <f t="shared" si="296"/>
        <v>0</v>
      </c>
    </row>
    <row r="2089" spans="1:23" x14ac:dyDescent="0.2">
      <c r="A2089" s="71" t="s">
        <v>275</v>
      </c>
      <c r="B2089" s="71" t="s">
        <v>276</v>
      </c>
      <c r="C2089" s="71" t="s">
        <v>187</v>
      </c>
      <c r="D2089" s="71" t="s">
        <v>277</v>
      </c>
      <c r="E2089" s="71" t="s">
        <v>41</v>
      </c>
      <c r="F2089" s="71" t="s">
        <v>298</v>
      </c>
      <c r="G2089" s="88">
        <v>46268.309641203698</v>
      </c>
      <c r="H2089" s="89">
        <v>46268</v>
      </c>
      <c r="I2089" s="71" t="s">
        <v>307</v>
      </c>
      <c r="J2089" s="71">
        <v>-35</v>
      </c>
      <c r="K2089" s="71" t="s">
        <v>302</v>
      </c>
      <c r="L2089" s="71">
        <f t="shared" si="288"/>
        <v>9</v>
      </c>
      <c r="M2089" s="71" t="str">
        <f>IFERROR(INDEX(KALENDER!$D$3:$D$132,MATCH(H2089,KALENDER!$A$3:$A$132,0)),"Di luar periode")</f>
        <v>Hari Kerja</v>
      </c>
      <c r="N2089" s="71">
        <f t="shared" si="289"/>
        <v>1</v>
      </c>
      <c r="O2089" s="71">
        <f t="shared" si="290"/>
        <v>1</v>
      </c>
      <c r="P2089" s="71">
        <f t="shared" si="291"/>
        <v>1</v>
      </c>
      <c r="Q2089" s="71">
        <f t="shared" si="292"/>
        <v>0</v>
      </c>
      <c r="R2089" s="71">
        <f t="shared" si="293"/>
        <v>0</v>
      </c>
      <c r="S2089" s="71">
        <f t="shared" si="294"/>
        <v>0</v>
      </c>
      <c r="T2089" s="71">
        <f t="shared" si="295"/>
        <v>0</v>
      </c>
      <c r="U2089" s="71">
        <f>IF(AND(N2089=1,V2089=1),IF(COUNTIFS(AKTIVITAS!$B$2:$B$3052,B2089,AKTIVITAS!$E$2:$E$3052,H2089)&gt;0,1,0),0)</f>
        <v>1</v>
      </c>
      <c r="V2089" s="71">
        <f>IFERROR(IF(AND(H2089&gt;=INDEX(PEMAGANG!$J$3:$J$36,MATCH(B2089,PEMAGANG!$C$3:$C$36,0)),H2089&lt;=INDEX(PEMAGANG!$K$3:$K$36,MATCH(B2089,PEMAGANG!$C$3:$C$36,0))),1,0),0)</f>
        <v>1</v>
      </c>
      <c r="W2089" s="71">
        <f t="shared" si="296"/>
        <v>1</v>
      </c>
    </row>
    <row r="2090" spans="1:23" x14ac:dyDescent="0.2">
      <c r="A2090" s="71" t="s">
        <v>275</v>
      </c>
      <c r="B2090" s="71" t="s">
        <v>276</v>
      </c>
      <c r="C2090" s="71" t="s">
        <v>187</v>
      </c>
      <c r="D2090" s="71" t="s">
        <v>277</v>
      </c>
      <c r="E2090" s="71" t="s">
        <v>41</v>
      </c>
      <c r="F2090" s="71" t="s">
        <v>300</v>
      </c>
      <c r="G2090" s="88">
        <v>46268.690706018497</v>
      </c>
      <c r="H2090" s="89">
        <v>46268</v>
      </c>
      <c r="I2090" s="71" t="s">
        <v>314</v>
      </c>
      <c r="J2090" s="71">
        <v>0</v>
      </c>
      <c r="K2090" s="71" t="s">
        <v>302</v>
      </c>
      <c r="L2090" s="71">
        <f t="shared" si="288"/>
        <v>9</v>
      </c>
      <c r="M2090" s="71" t="str">
        <f>IFERROR(INDEX(KALENDER!$D$3:$D$132,MATCH(H2090,KALENDER!$A$3:$A$132,0)),"Di luar periode")</f>
        <v>Hari Kerja</v>
      </c>
      <c r="N2090" s="71">
        <f t="shared" si="289"/>
        <v>0</v>
      </c>
      <c r="O2090" s="71">
        <f t="shared" si="290"/>
        <v>1</v>
      </c>
      <c r="P2090" s="71">
        <f t="shared" si="291"/>
        <v>0</v>
      </c>
      <c r="Q2090" s="71">
        <f t="shared" si="292"/>
        <v>0</v>
      </c>
      <c r="R2090" s="71">
        <f t="shared" si="293"/>
        <v>0</v>
      </c>
      <c r="S2090" s="71">
        <f t="shared" si="294"/>
        <v>0</v>
      </c>
      <c r="T2090" s="71">
        <f t="shared" si="295"/>
        <v>0</v>
      </c>
      <c r="U2090" s="71">
        <f>IF(AND(N2090=1,V2090=1),IF(COUNTIFS(AKTIVITAS!$B$2:$B$3052,B2090,AKTIVITAS!$E$2:$E$3052,H2090)&gt;0,1,0),0)</f>
        <v>0</v>
      </c>
      <c r="V2090" s="71">
        <f>IFERROR(IF(AND(H2090&gt;=INDEX(PEMAGANG!$J$3:$J$36,MATCH(B2090,PEMAGANG!$C$3:$C$36,0)),H2090&lt;=INDEX(PEMAGANG!$K$3:$K$36,MATCH(B2090,PEMAGANG!$C$3:$C$36,0))),1,0),0)</f>
        <v>1</v>
      </c>
      <c r="W2090" s="71">
        <f t="shared" si="296"/>
        <v>0</v>
      </c>
    </row>
    <row r="2091" spans="1:23" x14ac:dyDescent="0.2">
      <c r="A2091" s="71" t="s">
        <v>275</v>
      </c>
      <c r="B2091" s="71" t="s">
        <v>276</v>
      </c>
      <c r="C2091" s="71" t="s">
        <v>187</v>
      </c>
      <c r="D2091" s="71" t="s">
        <v>277</v>
      </c>
      <c r="E2091" s="71" t="s">
        <v>41</v>
      </c>
      <c r="F2091" s="71" t="s">
        <v>298</v>
      </c>
      <c r="G2091" s="88">
        <v>46272.308125000003</v>
      </c>
      <c r="H2091" s="89">
        <v>46272</v>
      </c>
      <c r="I2091" s="71" t="s">
        <v>311</v>
      </c>
      <c r="J2091" s="71">
        <v>-37</v>
      </c>
      <c r="K2091" s="71" t="s">
        <v>302</v>
      </c>
      <c r="L2091" s="71">
        <f t="shared" si="288"/>
        <v>9</v>
      </c>
      <c r="M2091" s="71" t="str">
        <f>IFERROR(INDEX(KALENDER!$D$3:$D$132,MATCH(H2091,KALENDER!$A$3:$A$132,0)),"Di luar periode")</f>
        <v>Hari Kerja</v>
      </c>
      <c r="N2091" s="71">
        <f t="shared" si="289"/>
        <v>1</v>
      </c>
      <c r="O2091" s="71">
        <f t="shared" si="290"/>
        <v>1</v>
      </c>
      <c r="P2091" s="71">
        <f t="shared" si="291"/>
        <v>1</v>
      </c>
      <c r="Q2091" s="71">
        <f t="shared" si="292"/>
        <v>0</v>
      </c>
      <c r="R2091" s="71">
        <f t="shared" si="293"/>
        <v>0</v>
      </c>
      <c r="S2091" s="71">
        <f t="shared" si="294"/>
        <v>0</v>
      </c>
      <c r="T2091" s="71">
        <f t="shared" si="295"/>
        <v>0</v>
      </c>
      <c r="U2091" s="71">
        <f>IF(AND(N2091=1,V2091=1),IF(COUNTIFS(AKTIVITAS!$B$2:$B$3052,B2091,AKTIVITAS!$E$2:$E$3052,H2091)&gt;0,1,0),0)</f>
        <v>1</v>
      </c>
      <c r="V2091" s="71">
        <f>IFERROR(IF(AND(H2091&gt;=INDEX(PEMAGANG!$J$3:$J$36,MATCH(B2091,PEMAGANG!$C$3:$C$36,0)),H2091&lt;=INDEX(PEMAGANG!$K$3:$K$36,MATCH(B2091,PEMAGANG!$C$3:$C$36,0))),1,0),0)</f>
        <v>1</v>
      </c>
      <c r="W2091" s="71">
        <f t="shared" si="296"/>
        <v>1</v>
      </c>
    </row>
    <row r="2092" spans="1:23" x14ac:dyDescent="0.2">
      <c r="A2092" s="71" t="s">
        <v>275</v>
      </c>
      <c r="B2092" s="71" t="s">
        <v>276</v>
      </c>
      <c r="C2092" s="71" t="s">
        <v>187</v>
      </c>
      <c r="D2092" s="71" t="s">
        <v>277</v>
      </c>
      <c r="E2092" s="71" t="s">
        <v>41</v>
      </c>
      <c r="F2092" s="71" t="s">
        <v>300</v>
      </c>
      <c r="G2092" s="88">
        <v>46272.690185185202</v>
      </c>
      <c r="H2092" s="89">
        <v>46272</v>
      </c>
      <c r="I2092" s="71" t="s">
        <v>316</v>
      </c>
      <c r="J2092" s="71">
        <v>0</v>
      </c>
      <c r="K2092" s="71" t="s">
        <v>302</v>
      </c>
      <c r="L2092" s="71">
        <f t="shared" si="288"/>
        <v>9</v>
      </c>
      <c r="M2092" s="71" t="str">
        <f>IFERROR(INDEX(KALENDER!$D$3:$D$132,MATCH(H2092,KALENDER!$A$3:$A$132,0)),"Di luar periode")</f>
        <v>Hari Kerja</v>
      </c>
      <c r="N2092" s="71">
        <f t="shared" si="289"/>
        <v>0</v>
      </c>
      <c r="O2092" s="71">
        <f t="shared" si="290"/>
        <v>1</v>
      </c>
      <c r="P2092" s="71">
        <f t="shared" si="291"/>
        <v>0</v>
      </c>
      <c r="Q2092" s="71">
        <f t="shared" si="292"/>
        <v>0</v>
      </c>
      <c r="R2092" s="71">
        <f t="shared" si="293"/>
        <v>0</v>
      </c>
      <c r="S2092" s="71">
        <f t="shared" si="294"/>
        <v>0</v>
      </c>
      <c r="T2092" s="71">
        <f t="shared" si="295"/>
        <v>0</v>
      </c>
      <c r="U2092" s="71">
        <f>IF(AND(N2092=1,V2092=1),IF(COUNTIFS(AKTIVITAS!$B$2:$B$3052,B2092,AKTIVITAS!$E$2:$E$3052,H2092)&gt;0,1,0),0)</f>
        <v>0</v>
      </c>
      <c r="V2092" s="71">
        <f>IFERROR(IF(AND(H2092&gt;=INDEX(PEMAGANG!$J$3:$J$36,MATCH(B2092,PEMAGANG!$C$3:$C$36,0)),H2092&lt;=INDEX(PEMAGANG!$K$3:$K$36,MATCH(B2092,PEMAGANG!$C$3:$C$36,0))),1,0),0)</f>
        <v>1</v>
      </c>
      <c r="W2092" s="71">
        <f t="shared" si="296"/>
        <v>0</v>
      </c>
    </row>
    <row r="2093" spans="1:23" x14ac:dyDescent="0.2">
      <c r="A2093" s="71" t="s">
        <v>275</v>
      </c>
      <c r="B2093" s="71" t="s">
        <v>276</v>
      </c>
      <c r="C2093" s="71" t="s">
        <v>187</v>
      </c>
      <c r="D2093" s="71" t="s">
        <v>277</v>
      </c>
      <c r="E2093" s="71" t="s">
        <v>41</v>
      </c>
      <c r="F2093" s="71" t="s">
        <v>298</v>
      </c>
      <c r="G2093" s="88">
        <v>46274.309467592597</v>
      </c>
      <c r="H2093" s="89">
        <v>46274</v>
      </c>
      <c r="I2093" s="71" t="s">
        <v>307</v>
      </c>
      <c r="J2093" s="71">
        <v>-35</v>
      </c>
      <c r="K2093" s="71" t="s">
        <v>302</v>
      </c>
      <c r="L2093" s="71">
        <f t="shared" si="288"/>
        <v>9</v>
      </c>
      <c r="M2093" s="71" t="str">
        <f>IFERROR(INDEX(KALENDER!$D$3:$D$132,MATCH(H2093,KALENDER!$A$3:$A$132,0)),"Di luar periode")</f>
        <v>Hari Kerja</v>
      </c>
      <c r="N2093" s="71">
        <f t="shared" si="289"/>
        <v>1</v>
      </c>
      <c r="O2093" s="71">
        <f t="shared" si="290"/>
        <v>1</v>
      </c>
      <c r="P2093" s="71">
        <f t="shared" si="291"/>
        <v>1</v>
      </c>
      <c r="Q2093" s="71">
        <f t="shared" si="292"/>
        <v>0</v>
      </c>
      <c r="R2093" s="71">
        <f t="shared" si="293"/>
        <v>0</v>
      </c>
      <c r="S2093" s="71">
        <f t="shared" si="294"/>
        <v>0</v>
      </c>
      <c r="T2093" s="71">
        <f t="shared" si="295"/>
        <v>0</v>
      </c>
      <c r="U2093" s="71">
        <f>IF(AND(N2093=1,V2093=1),IF(COUNTIFS(AKTIVITAS!$B$2:$B$3052,B2093,AKTIVITAS!$E$2:$E$3052,H2093)&gt;0,1,0),0)</f>
        <v>1</v>
      </c>
      <c r="V2093" s="71">
        <f>IFERROR(IF(AND(H2093&gt;=INDEX(PEMAGANG!$J$3:$J$36,MATCH(B2093,PEMAGANG!$C$3:$C$36,0)),H2093&lt;=INDEX(PEMAGANG!$K$3:$K$36,MATCH(B2093,PEMAGANG!$C$3:$C$36,0))),1,0),0)</f>
        <v>1</v>
      </c>
      <c r="W2093" s="71">
        <f t="shared" si="296"/>
        <v>1</v>
      </c>
    </row>
    <row r="2094" spans="1:23" x14ac:dyDescent="0.2">
      <c r="A2094" s="71" t="s">
        <v>275</v>
      </c>
      <c r="B2094" s="71" t="s">
        <v>276</v>
      </c>
      <c r="C2094" s="71" t="s">
        <v>187</v>
      </c>
      <c r="D2094" s="71" t="s">
        <v>277</v>
      </c>
      <c r="E2094" s="71" t="s">
        <v>41</v>
      </c>
      <c r="F2094" s="71" t="s">
        <v>298</v>
      </c>
      <c r="G2094" s="88">
        <v>46274.309467592597</v>
      </c>
      <c r="H2094" s="89">
        <v>46274</v>
      </c>
      <c r="I2094" s="71" t="s">
        <v>307</v>
      </c>
      <c r="J2094" s="71">
        <v>-4.9999999999999796</v>
      </c>
      <c r="K2094" s="71" t="s">
        <v>302</v>
      </c>
      <c r="L2094" s="71">
        <f t="shared" si="288"/>
        <v>9</v>
      </c>
      <c r="M2094" s="71" t="str">
        <f>IFERROR(INDEX(KALENDER!$D$3:$D$132,MATCH(H2094,KALENDER!$A$3:$A$132,0)),"Di luar periode")</f>
        <v>Hari Kerja</v>
      </c>
      <c r="N2094" s="71">
        <f t="shared" si="289"/>
        <v>0</v>
      </c>
      <c r="O2094" s="71">
        <f t="shared" si="290"/>
        <v>2</v>
      </c>
      <c r="P2094" s="71">
        <f t="shared" si="291"/>
        <v>0</v>
      </c>
      <c r="Q2094" s="71">
        <f t="shared" si="292"/>
        <v>0</v>
      </c>
      <c r="R2094" s="71">
        <f t="shared" si="293"/>
        <v>0</v>
      </c>
      <c r="S2094" s="71">
        <f t="shared" si="294"/>
        <v>0</v>
      </c>
      <c r="T2094" s="71">
        <f t="shared" si="295"/>
        <v>0</v>
      </c>
      <c r="U2094" s="71">
        <f>IF(AND(N2094=1,V2094=1),IF(COUNTIFS(AKTIVITAS!$B$2:$B$3052,B2094,AKTIVITAS!$E$2:$E$3052,H2094)&gt;0,1,0),0)</f>
        <v>0</v>
      </c>
      <c r="V2094" s="71">
        <f>IFERROR(IF(AND(H2094&gt;=INDEX(PEMAGANG!$J$3:$J$36,MATCH(B2094,PEMAGANG!$C$3:$C$36,0)),H2094&lt;=INDEX(PEMAGANG!$K$3:$K$36,MATCH(B2094,PEMAGANG!$C$3:$C$36,0))),1,0),0)</f>
        <v>1</v>
      </c>
      <c r="W2094" s="71">
        <f t="shared" si="296"/>
        <v>0</v>
      </c>
    </row>
    <row r="2095" spans="1:23" x14ac:dyDescent="0.2">
      <c r="A2095" s="71" t="s">
        <v>275</v>
      </c>
      <c r="B2095" s="71" t="s">
        <v>276</v>
      </c>
      <c r="C2095" s="71" t="s">
        <v>187</v>
      </c>
      <c r="D2095" s="71" t="s">
        <v>277</v>
      </c>
      <c r="E2095" s="71" t="s">
        <v>41</v>
      </c>
      <c r="F2095" s="71" t="s">
        <v>300</v>
      </c>
      <c r="G2095" s="88">
        <v>46274.713842592602</v>
      </c>
      <c r="H2095" s="89">
        <v>46274</v>
      </c>
      <c r="I2095" s="71" t="s">
        <v>324</v>
      </c>
      <c r="J2095" s="71">
        <v>0</v>
      </c>
      <c r="K2095" s="71" t="s">
        <v>302</v>
      </c>
      <c r="L2095" s="71">
        <f t="shared" si="288"/>
        <v>9</v>
      </c>
      <c r="M2095" s="71" t="str">
        <f>IFERROR(INDEX(KALENDER!$D$3:$D$132,MATCH(H2095,KALENDER!$A$3:$A$132,0)),"Di luar periode")</f>
        <v>Hari Kerja</v>
      </c>
      <c r="N2095" s="71">
        <f t="shared" si="289"/>
        <v>0</v>
      </c>
      <c r="O2095" s="71">
        <f t="shared" si="290"/>
        <v>2</v>
      </c>
      <c r="P2095" s="71">
        <f t="shared" si="291"/>
        <v>0</v>
      </c>
      <c r="Q2095" s="71">
        <f t="shared" si="292"/>
        <v>0</v>
      </c>
      <c r="R2095" s="71">
        <f t="shared" si="293"/>
        <v>0</v>
      </c>
      <c r="S2095" s="71">
        <f t="shared" si="294"/>
        <v>0</v>
      </c>
      <c r="T2095" s="71">
        <f t="shared" si="295"/>
        <v>0</v>
      </c>
      <c r="U2095" s="71">
        <f>IF(AND(N2095=1,V2095=1),IF(COUNTIFS(AKTIVITAS!$B$2:$B$3052,B2095,AKTIVITAS!$E$2:$E$3052,H2095)&gt;0,1,0),0)</f>
        <v>0</v>
      </c>
      <c r="V2095" s="71">
        <f>IFERROR(IF(AND(H2095&gt;=INDEX(PEMAGANG!$J$3:$J$36,MATCH(B2095,PEMAGANG!$C$3:$C$36,0)),H2095&lt;=INDEX(PEMAGANG!$K$3:$K$36,MATCH(B2095,PEMAGANG!$C$3:$C$36,0))),1,0),0)</f>
        <v>1</v>
      </c>
      <c r="W2095" s="71">
        <f t="shared" si="296"/>
        <v>0</v>
      </c>
    </row>
    <row r="2096" spans="1:23" x14ac:dyDescent="0.2">
      <c r="A2096" s="71" t="s">
        <v>275</v>
      </c>
      <c r="B2096" s="71" t="s">
        <v>276</v>
      </c>
      <c r="C2096" s="71" t="s">
        <v>187</v>
      </c>
      <c r="D2096" s="71" t="s">
        <v>277</v>
      </c>
      <c r="E2096" s="71" t="s">
        <v>41</v>
      </c>
      <c r="F2096" s="71" t="s">
        <v>298</v>
      </c>
      <c r="G2096" s="88">
        <v>46275.302858796298</v>
      </c>
      <c r="H2096" s="89">
        <v>46275</v>
      </c>
      <c r="I2096" s="71" t="s">
        <v>327</v>
      </c>
      <c r="J2096" s="71">
        <v>-44</v>
      </c>
      <c r="K2096" s="71" t="s">
        <v>302</v>
      </c>
      <c r="L2096" s="71">
        <f t="shared" si="288"/>
        <v>9</v>
      </c>
      <c r="M2096" s="71" t="str">
        <f>IFERROR(INDEX(KALENDER!$D$3:$D$132,MATCH(H2096,KALENDER!$A$3:$A$132,0)),"Di luar periode")</f>
        <v>Hari Kerja</v>
      </c>
      <c r="N2096" s="71">
        <f t="shared" si="289"/>
        <v>1</v>
      </c>
      <c r="O2096" s="71">
        <f t="shared" si="290"/>
        <v>1</v>
      </c>
      <c r="P2096" s="71">
        <f t="shared" si="291"/>
        <v>1</v>
      </c>
      <c r="Q2096" s="71">
        <f t="shared" si="292"/>
        <v>0</v>
      </c>
      <c r="R2096" s="71">
        <f t="shared" si="293"/>
        <v>0</v>
      </c>
      <c r="S2096" s="71">
        <f t="shared" si="294"/>
        <v>0</v>
      </c>
      <c r="T2096" s="71">
        <f t="shared" si="295"/>
        <v>0</v>
      </c>
      <c r="U2096" s="71">
        <f>IF(AND(N2096=1,V2096=1),IF(COUNTIFS(AKTIVITAS!$B$2:$B$3052,B2096,AKTIVITAS!$E$2:$E$3052,H2096)&gt;0,1,0),0)</f>
        <v>1</v>
      </c>
      <c r="V2096" s="71">
        <f>IFERROR(IF(AND(H2096&gt;=INDEX(PEMAGANG!$J$3:$J$36,MATCH(B2096,PEMAGANG!$C$3:$C$36,0)),H2096&lt;=INDEX(PEMAGANG!$K$3:$K$36,MATCH(B2096,PEMAGANG!$C$3:$C$36,0))),1,0),0)</f>
        <v>1</v>
      </c>
      <c r="W2096" s="71">
        <f t="shared" si="296"/>
        <v>1</v>
      </c>
    </row>
    <row r="2097" spans="1:23" x14ac:dyDescent="0.2">
      <c r="A2097" s="71" t="s">
        <v>275</v>
      </c>
      <c r="B2097" s="71" t="s">
        <v>276</v>
      </c>
      <c r="C2097" s="71" t="s">
        <v>187</v>
      </c>
      <c r="D2097" s="71" t="s">
        <v>277</v>
      </c>
      <c r="E2097" s="71" t="s">
        <v>41</v>
      </c>
      <c r="F2097" s="71" t="s">
        <v>298</v>
      </c>
      <c r="G2097" s="88">
        <v>46275.302858796298</v>
      </c>
      <c r="H2097" s="89">
        <v>46275</v>
      </c>
      <c r="I2097" s="71" t="s">
        <v>327</v>
      </c>
      <c r="J2097" s="71">
        <v>-14</v>
      </c>
      <c r="K2097" s="71" t="s">
        <v>302</v>
      </c>
      <c r="L2097" s="71">
        <f t="shared" si="288"/>
        <v>9</v>
      </c>
      <c r="M2097" s="71" t="str">
        <f>IFERROR(INDEX(KALENDER!$D$3:$D$132,MATCH(H2097,KALENDER!$A$3:$A$132,0)),"Di luar periode")</f>
        <v>Hari Kerja</v>
      </c>
      <c r="N2097" s="71">
        <f t="shared" si="289"/>
        <v>0</v>
      </c>
      <c r="O2097" s="71">
        <f t="shared" si="290"/>
        <v>2</v>
      </c>
      <c r="P2097" s="71">
        <f t="shared" si="291"/>
        <v>0</v>
      </c>
      <c r="Q2097" s="71">
        <f t="shared" si="292"/>
        <v>0</v>
      </c>
      <c r="R2097" s="71">
        <f t="shared" si="293"/>
        <v>0</v>
      </c>
      <c r="S2097" s="71">
        <f t="shared" si="294"/>
        <v>0</v>
      </c>
      <c r="T2097" s="71">
        <f t="shared" si="295"/>
        <v>0</v>
      </c>
      <c r="U2097" s="71">
        <f>IF(AND(N2097=1,V2097=1),IF(COUNTIFS(AKTIVITAS!$B$2:$B$3052,B2097,AKTIVITAS!$E$2:$E$3052,H2097)&gt;0,1,0),0)</f>
        <v>0</v>
      </c>
      <c r="V2097" s="71">
        <f>IFERROR(IF(AND(H2097&gt;=INDEX(PEMAGANG!$J$3:$J$36,MATCH(B2097,PEMAGANG!$C$3:$C$36,0)),H2097&lt;=INDEX(PEMAGANG!$K$3:$K$36,MATCH(B2097,PEMAGANG!$C$3:$C$36,0))),1,0),0)</f>
        <v>1</v>
      </c>
      <c r="W2097" s="71">
        <f t="shared" si="296"/>
        <v>0</v>
      </c>
    </row>
    <row r="2098" spans="1:23" x14ac:dyDescent="0.2">
      <c r="A2098" s="71" t="s">
        <v>275</v>
      </c>
      <c r="B2098" s="71" t="s">
        <v>276</v>
      </c>
      <c r="C2098" s="71" t="s">
        <v>187</v>
      </c>
      <c r="D2098" s="71" t="s">
        <v>277</v>
      </c>
      <c r="E2098" s="71" t="s">
        <v>41</v>
      </c>
      <c r="F2098" s="71" t="s">
        <v>300</v>
      </c>
      <c r="G2098" s="88">
        <v>46275.689259259299</v>
      </c>
      <c r="H2098" s="89">
        <v>46275</v>
      </c>
      <c r="I2098" s="71" t="s">
        <v>306</v>
      </c>
      <c r="J2098" s="71">
        <v>0</v>
      </c>
      <c r="K2098" s="71" t="s">
        <v>302</v>
      </c>
      <c r="L2098" s="71">
        <f t="shared" si="288"/>
        <v>9</v>
      </c>
      <c r="M2098" s="71" t="str">
        <f>IFERROR(INDEX(KALENDER!$D$3:$D$132,MATCH(H2098,KALENDER!$A$3:$A$132,0)),"Di luar periode")</f>
        <v>Hari Kerja</v>
      </c>
      <c r="N2098" s="71">
        <f t="shared" si="289"/>
        <v>0</v>
      </c>
      <c r="O2098" s="71">
        <f t="shared" si="290"/>
        <v>2</v>
      </c>
      <c r="P2098" s="71">
        <f t="shared" si="291"/>
        <v>0</v>
      </c>
      <c r="Q2098" s="71">
        <f t="shared" si="292"/>
        <v>0</v>
      </c>
      <c r="R2098" s="71">
        <f t="shared" si="293"/>
        <v>0</v>
      </c>
      <c r="S2098" s="71">
        <f t="shared" si="294"/>
        <v>0</v>
      </c>
      <c r="T2098" s="71">
        <f t="shared" si="295"/>
        <v>0</v>
      </c>
      <c r="U2098" s="71">
        <f>IF(AND(N2098=1,V2098=1),IF(COUNTIFS(AKTIVITAS!$B$2:$B$3052,B2098,AKTIVITAS!$E$2:$E$3052,H2098)&gt;0,1,0),0)</f>
        <v>0</v>
      </c>
      <c r="V2098" s="71">
        <f>IFERROR(IF(AND(H2098&gt;=INDEX(PEMAGANG!$J$3:$J$36,MATCH(B2098,PEMAGANG!$C$3:$C$36,0)),H2098&lt;=INDEX(PEMAGANG!$K$3:$K$36,MATCH(B2098,PEMAGANG!$C$3:$C$36,0))),1,0),0)</f>
        <v>1</v>
      </c>
      <c r="W2098" s="71">
        <f t="shared" si="296"/>
        <v>0</v>
      </c>
    </row>
    <row r="2099" spans="1:23" x14ac:dyDescent="0.2">
      <c r="A2099" s="71" t="s">
        <v>275</v>
      </c>
      <c r="B2099" s="71" t="s">
        <v>276</v>
      </c>
      <c r="C2099" s="71" t="s">
        <v>187</v>
      </c>
      <c r="D2099" s="71" t="s">
        <v>277</v>
      </c>
      <c r="E2099" s="71" t="s">
        <v>41</v>
      </c>
      <c r="F2099" s="71" t="s">
        <v>298</v>
      </c>
      <c r="G2099" s="88">
        <v>46276.303865740701</v>
      </c>
      <c r="H2099" s="89">
        <v>46276</v>
      </c>
      <c r="I2099" s="71" t="s">
        <v>331</v>
      </c>
      <c r="J2099" s="71">
        <v>-13</v>
      </c>
      <c r="K2099" s="71" t="s">
        <v>302</v>
      </c>
      <c r="L2099" s="71">
        <f t="shared" si="288"/>
        <v>9</v>
      </c>
      <c r="M2099" s="71" t="str">
        <f>IFERROR(INDEX(KALENDER!$D$3:$D$132,MATCH(H2099,KALENDER!$A$3:$A$132,0)),"Di luar periode")</f>
        <v>Hari Kerja</v>
      </c>
      <c r="N2099" s="71">
        <f t="shared" si="289"/>
        <v>1</v>
      </c>
      <c r="O2099" s="71">
        <f t="shared" si="290"/>
        <v>1</v>
      </c>
      <c r="P2099" s="71">
        <f t="shared" si="291"/>
        <v>1</v>
      </c>
      <c r="Q2099" s="71">
        <f t="shared" si="292"/>
        <v>0</v>
      </c>
      <c r="R2099" s="71">
        <f t="shared" si="293"/>
        <v>0</v>
      </c>
      <c r="S2099" s="71">
        <f t="shared" si="294"/>
        <v>0</v>
      </c>
      <c r="T2099" s="71">
        <f t="shared" si="295"/>
        <v>1</v>
      </c>
      <c r="U2099" s="71">
        <f>IF(AND(N2099=1,V2099=1),IF(COUNTIFS(AKTIVITAS!$B$2:$B$3052,B2099,AKTIVITAS!$E$2:$E$3052,H2099)&gt;0,1,0),0)</f>
        <v>1</v>
      </c>
      <c r="V2099" s="71">
        <f>IFERROR(IF(AND(H2099&gt;=INDEX(PEMAGANG!$J$3:$J$36,MATCH(B2099,PEMAGANG!$C$3:$C$36,0)),H2099&lt;=INDEX(PEMAGANG!$K$3:$K$36,MATCH(B2099,PEMAGANG!$C$3:$C$36,0))),1,0),0)</f>
        <v>1</v>
      </c>
      <c r="W2099" s="71">
        <f t="shared" si="296"/>
        <v>1</v>
      </c>
    </row>
    <row r="2100" spans="1:23" x14ac:dyDescent="0.2">
      <c r="A2100" s="71" t="s">
        <v>275</v>
      </c>
      <c r="B2100" s="71" t="s">
        <v>276</v>
      </c>
      <c r="C2100" s="71" t="s">
        <v>187</v>
      </c>
      <c r="D2100" s="71" t="s">
        <v>277</v>
      </c>
      <c r="E2100" s="71" t="s">
        <v>41</v>
      </c>
      <c r="F2100" s="71" t="s">
        <v>298</v>
      </c>
      <c r="G2100" s="88">
        <v>46279.297743055598</v>
      </c>
      <c r="H2100" s="89">
        <v>46279</v>
      </c>
      <c r="I2100" s="71" t="s">
        <v>486</v>
      </c>
      <c r="J2100" s="71">
        <v>-22</v>
      </c>
      <c r="K2100" s="71" t="s">
        <v>302</v>
      </c>
      <c r="L2100" s="71">
        <f t="shared" si="288"/>
        <v>9</v>
      </c>
      <c r="M2100" s="71" t="str">
        <f>IFERROR(INDEX(KALENDER!$D$3:$D$132,MATCH(H2100,KALENDER!$A$3:$A$132,0)),"Di luar periode")</f>
        <v>Hari Kerja</v>
      </c>
      <c r="N2100" s="71">
        <f t="shared" si="289"/>
        <v>1</v>
      </c>
      <c r="O2100" s="71">
        <f t="shared" si="290"/>
        <v>1</v>
      </c>
      <c r="P2100" s="71">
        <f t="shared" si="291"/>
        <v>1</v>
      </c>
      <c r="Q2100" s="71">
        <f t="shared" si="292"/>
        <v>0</v>
      </c>
      <c r="R2100" s="71">
        <f t="shared" si="293"/>
        <v>0</v>
      </c>
      <c r="S2100" s="71">
        <f t="shared" si="294"/>
        <v>0</v>
      </c>
      <c r="T2100" s="71">
        <f t="shared" si="295"/>
        <v>0</v>
      </c>
      <c r="U2100" s="71">
        <f>IF(AND(N2100=1,V2100=1),IF(COUNTIFS(AKTIVITAS!$B$2:$B$3052,B2100,AKTIVITAS!$E$2:$E$3052,H2100)&gt;0,1,0),0)</f>
        <v>1</v>
      </c>
      <c r="V2100" s="71">
        <f>IFERROR(IF(AND(H2100&gt;=INDEX(PEMAGANG!$J$3:$J$36,MATCH(B2100,PEMAGANG!$C$3:$C$36,0)),H2100&lt;=INDEX(PEMAGANG!$K$3:$K$36,MATCH(B2100,PEMAGANG!$C$3:$C$36,0))),1,0),0)</f>
        <v>1</v>
      </c>
      <c r="W2100" s="71">
        <f t="shared" si="296"/>
        <v>1</v>
      </c>
    </row>
    <row r="2101" spans="1:23" x14ac:dyDescent="0.2">
      <c r="A2101" s="71" t="s">
        <v>275</v>
      </c>
      <c r="B2101" s="71" t="s">
        <v>276</v>
      </c>
      <c r="C2101" s="71" t="s">
        <v>187</v>
      </c>
      <c r="D2101" s="71" t="s">
        <v>277</v>
      </c>
      <c r="E2101" s="71" t="s">
        <v>41</v>
      </c>
      <c r="F2101" s="71" t="s">
        <v>300</v>
      </c>
      <c r="G2101" s="88">
        <v>46279.689097222203</v>
      </c>
      <c r="H2101" s="89">
        <v>46279</v>
      </c>
      <c r="I2101" s="71" t="s">
        <v>306</v>
      </c>
      <c r="J2101" s="71">
        <v>0</v>
      </c>
      <c r="K2101" s="71" t="s">
        <v>302</v>
      </c>
      <c r="L2101" s="71">
        <f t="shared" si="288"/>
        <v>9</v>
      </c>
      <c r="M2101" s="71" t="str">
        <f>IFERROR(INDEX(KALENDER!$D$3:$D$132,MATCH(H2101,KALENDER!$A$3:$A$132,0)),"Di luar periode")</f>
        <v>Hari Kerja</v>
      </c>
      <c r="N2101" s="71">
        <f t="shared" si="289"/>
        <v>0</v>
      </c>
      <c r="O2101" s="71">
        <f t="shared" si="290"/>
        <v>1</v>
      </c>
      <c r="P2101" s="71">
        <f t="shared" si="291"/>
        <v>0</v>
      </c>
      <c r="Q2101" s="71">
        <f t="shared" si="292"/>
        <v>0</v>
      </c>
      <c r="R2101" s="71">
        <f t="shared" si="293"/>
        <v>0</v>
      </c>
      <c r="S2101" s="71">
        <f t="shared" si="294"/>
        <v>0</v>
      </c>
      <c r="T2101" s="71">
        <f t="shared" si="295"/>
        <v>0</v>
      </c>
      <c r="U2101" s="71">
        <f>IF(AND(N2101=1,V2101=1),IF(COUNTIFS(AKTIVITAS!$B$2:$B$3052,B2101,AKTIVITAS!$E$2:$E$3052,H2101)&gt;0,1,0),0)</f>
        <v>0</v>
      </c>
      <c r="V2101" s="71">
        <f>IFERROR(IF(AND(H2101&gt;=INDEX(PEMAGANG!$J$3:$J$36,MATCH(B2101,PEMAGANG!$C$3:$C$36,0)),H2101&lt;=INDEX(PEMAGANG!$K$3:$K$36,MATCH(B2101,PEMAGANG!$C$3:$C$36,0))),1,0),0)</f>
        <v>1</v>
      </c>
      <c r="W2101" s="71">
        <f t="shared" si="296"/>
        <v>0</v>
      </c>
    </row>
    <row r="2102" spans="1:23" x14ac:dyDescent="0.2">
      <c r="A2102" s="71" t="s">
        <v>275</v>
      </c>
      <c r="B2102" s="71" t="s">
        <v>276</v>
      </c>
      <c r="C2102" s="71" t="s">
        <v>187</v>
      </c>
      <c r="D2102" s="71" t="s">
        <v>277</v>
      </c>
      <c r="E2102" s="71" t="s">
        <v>41</v>
      </c>
      <c r="F2102" s="71" t="s">
        <v>298</v>
      </c>
      <c r="G2102" s="88">
        <v>46280.312106481499</v>
      </c>
      <c r="H2102" s="89">
        <v>46280</v>
      </c>
      <c r="I2102" s="71" t="s">
        <v>365</v>
      </c>
      <c r="J2102" s="71">
        <v>-0.999999999999996</v>
      </c>
      <c r="K2102" s="71" t="s">
        <v>302</v>
      </c>
      <c r="L2102" s="71">
        <f t="shared" si="288"/>
        <v>9</v>
      </c>
      <c r="M2102" s="71" t="str">
        <f>IFERROR(INDEX(KALENDER!$D$3:$D$132,MATCH(H2102,KALENDER!$A$3:$A$132,0)),"Di luar periode")</f>
        <v>Hari Kerja</v>
      </c>
      <c r="N2102" s="71">
        <f t="shared" si="289"/>
        <v>1</v>
      </c>
      <c r="O2102" s="71">
        <f t="shared" si="290"/>
        <v>1</v>
      </c>
      <c r="P2102" s="71">
        <f t="shared" si="291"/>
        <v>1</v>
      </c>
      <c r="Q2102" s="71">
        <f t="shared" si="292"/>
        <v>0</v>
      </c>
      <c r="R2102" s="71">
        <f t="shared" si="293"/>
        <v>0</v>
      </c>
      <c r="S2102" s="71">
        <f t="shared" si="294"/>
        <v>0</v>
      </c>
      <c r="T2102" s="71">
        <f t="shared" si="295"/>
        <v>0</v>
      </c>
      <c r="U2102" s="71">
        <f>IF(AND(N2102=1,V2102=1),IF(COUNTIFS(AKTIVITAS!$B$2:$B$3052,B2102,AKTIVITAS!$E$2:$E$3052,H2102)&gt;0,1,0),0)</f>
        <v>1</v>
      </c>
      <c r="V2102" s="71">
        <f>IFERROR(IF(AND(H2102&gt;=INDEX(PEMAGANG!$J$3:$J$36,MATCH(B2102,PEMAGANG!$C$3:$C$36,0)),H2102&lt;=INDEX(PEMAGANG!$K$3:$K$36,MATCH(B2102,PEMAGANG!$C$3:$C$36,0))),1,0),0)</f>
        <v>1</v>
      </c>
      <c r="W2102" s="71">
        <f t="shared" si="296"/>
        <v>1</v>
      </c>
    </row>
    <row r="2103" spans="1:23" x14ac:dyDescent="0.2">
      <c r="A2103" s="71" t="s">
        <v>275</v>
      </c>
      <c r="B2103" s="71" t="s">
        <v>276</v>
      </c>
      <c r="C2103" s="71" t="s">
        <v>187</v>
      </c>
      <c r="D2103" s="71" t="s">
        <v>277</v>
      </c>
      <c r="E2103" s="71" t="s">
        <v>41</v>
      </c>
      <c r="F2103" s="71" t="s">
        <v>300</v>
      </c>
      <c r="G2103" s="88">
        <v>46280.689050925903</v>
      </c>
      <c r="H2103" s="89">
        <v>46280</v>
      </c>
      <c r="I2103" s="71" t="s">
        <v>306</v>
      </c>
      <c r="J2103" s="71">
        <v>0</v>
      </c>
      <c r="K2103" s="71" t="s">
        <v>302</v>
      </c>
      <c r="L2103" s="71">
        <f t="shared" si="288"/>
        <v>9</v>
      </c>
      <c r="M2103" s="71" t="str">
        <f>IFERROR(INDEX(KALENDER!$D$3:$D$132,MATCH(H2103,KALENDER!$A$3:$A$132,0)),"Di luar periode")</f>
        <v>Hari Kerja</v>
      </c>
      <c r="N2103" s="71">
        <f t="shared" si="289"/>
        <v>0</v>
      </c>
      <c r="O2103" s="71">
        <f t="shared" si="290"/>
        <v>1</v>
      </c>
      <c r="P2103" s="71">
        <f t="shared" si="291"/>
        <v>0</v>
      </c>
      <c r="Q2103" s="71">
        <f t="shared" si="292"/>
        <v>0</v>
      </c>
      <c r="R2103" s="71">
        <f t="shared" si="293"/>
        <v>0</v>
      </c>
      <c r="S2103" s="71">
        <f t="shared" si="294"/>
        <v>0</v>
      </c>
      <c r="T2103" s="71">
        <f t="shared" si="295"/>
        <v>0</v>
      </c>
      <c r="U2103" s="71">
        <f>IF(AND(N2103=1,V2103=1),IF(COUNTIFS(AKTIVITAS!$B$2:$B$3052,B2103,AKTIVITAS!$E$2:$E$3052,H2103)&gt;0,1,0),0)</f>
        <v>0</v>
      </c>
      <c r="V2103" s="71">
        <f>IFERROR(IF(AND(H2103&gt;=INDEX(PEMAGANG!$J$3:$J$36,MATCH(B2103,PEMAGANG!$C$3:$C$36,0)),H2103&lt;=INDEX(PEMAGANG!$K$3:$K$36,MATCH(B2103,PEMAGANG!$C$3:$C$36,0))),1,0),0)</f>
        <v>1</v>
      </c>
      <c r="W2103" s="71">
        <f t="shared" si="296"/>
        <v>0</v>
      </c>
    </row>
    <row r="2104" spans="1:23" x14ac:dyDescent="0.2">
      <c r="A2104" s="71" t="s">
        <v>275</v>
      </c>
      <c r="B2104" s="71" t="s">
        <v>276</v>
      </c>
      <c r="C2104" s="71" t="s">
        <v>187</v>
      </c>
      <c r="D2104" s="71" t="s">
        <v>277</v>
      </c>
      <c r="E2104" s="71" t="s">
        <v>41</v>
      </c>
      <c r="F2104" s="71" t="s">
        <v>298</v>
      </c>
      <c r="G2104" s="88">
        <v>46281.311874999999</v>
      </c>
      <c r="H2104" s="89">
        <v>46281</v>
      </c>
      <c r="I2104" s="71" t="s">
        <v>365</v>
      </c>
      <c r="J2104" s="71">
        <v>-0.999999999999996</v>
      </c>
      <c r="K2104" s="71" t="s">
        <v>302</v>
      </c>
      <c r="L2104" s="71">
        <f t="shared" si="288"/>
        <v>9</v>
      </c>
      <c r="M2104" s="71" t="str">
        <f>IFERROR(INDEX(KALENDER!$D$3:$D$132,MATCH(H2104,KALENDER!$A$3:$A$132,0)),"Di luar periode")</f>
        <v>Hari Kerja</v>
      </c>
      <c r="N2104" s="71">
        <f t="shared" si="289"/>
        <v>1</v>
      </c>
      <c r="O2104" s="71">
        <f t="shared" si="290"/>
        <v>1</v>
      </c>
      <c r="P2104" s="71">
        <f t="shared" si="291"/>
        <v>1</v>
      </c>
      <c r="Q2104" s="71">
        <f t="shared" si="292"/>
        <v>0</v>
      </c>
      <c r="R2104" s="71">
        <f t="shared" si="293"/>
        <v>0</v>
      </c>
      <c r="S2104" s="71">
        <f t="shared" si="294"/>
        <v>0</v>
      </c>
      <c r="T2104" s="71">
        <f t="shared" si="295"/>
        <v>0</v>
      </c>
      <c r="U2104" s="71">
        <f>IF(AND(N2104=1,V2104=1),IF(COUNTIFS(AKTIVITAS!$B$2:$B$3052,B2104,AKTIVITAS!$E$2:$E$3052,H2104)&gt;0,1,0),0)</f>
        <v>1</v>
      </c>
      <c r="V2104" s="71">
        <f>IFERROR(IF(AND(H2104&gt;=INDEX(PEMAGANG!$J$3:$J$36,MATCH(B2104,PEMAGANG!$C$3:$C$36,0)),H2104&lt;=INDEX(PEMAGANG!$K$3:$K$36,MATCH(B2104,PEMAGANG!$C$3:$C$36,0))),1,0),0)</f>
        <v>1</v>
      </c>
      <c r="W2104" s="71">
        <f t="shared" si="296"/>
        <v>1</v>
      </c>
    </row>
    <row r="2105" spans="1:23" x14ac:dyDescent="0.2">
      <c r="A2105" s="71" t="s">
        <v>275</v>
      </c>
      <c r="B2105" s="71" t="s">
        <v>276</v>
      </c>
      <c r="C2105" s="71" t="s">
        <v>187</v>
      </c>
      <c r="D2105" s="71" t="s">
        <v>277</v>
      </c>
      <c r="E2105" s="71" t="s">
        <v>41</v>
      </c>
      <c r="F2105" s="71" t="s">
        <v>300</v>
      </c>
      <c r="G2105" s="88">
        <v>46281.693275463003</v>
      </c>
      <c r="H2105" s="89">
        <v>46281</v>
      </c>
      <c r="I2105" s="71" t="s">
        <v>317</v>
      </c>
      <c r="J2105" s="71">
        <v>0</v>
      </c>
      <c r="K2105" s="71" t="s">
        <v>302</v>
      </c>
      <c r="L2105" s="71">
        <f t="shared" si="288"/>
        <v>9</v>
      </c>
      <c r="M2105" s="71" t="str">
        <f>IFERROR(INDEX(KALENDER!$D$3:$D$132,MATCH(H2105,KALENDER!$A$3:$A$132,0)),"Di luar periode")</f>
        <v>Hari Kerja</v>
      </c>
      <c r="N2105" s="71">
        <f t="shared" si="289"/>
        <v>0</v>
      </c>
      <c r="O2105" s="71">
        <f t="shared" si="290"/>
        <v>1</v>
      </c>
      <c r="P2105" s="71">
        <f t="shared" si="291"/>
        <v>0</v>
      </c>
      <c r="Q2105" s="71">
        <f t="shared" si="292"/>
        <v>0</v>
      </c>
      <c r="R2105" s="71">
        <f t="shared" si="293"/>
        <v>0</v>
      </c>
      <c r="S2105" s="71">
        <f t="shared" si="294"/>
        <v>0</v>
      </c>
      <c r="T2105" s="71">
        <f t="shared" si="295"/>
        <v>0</v>
      </c>
      <c r="U2105" s="71">
        <f>IF(AND(N2105=1,V2105=1),IF(COUNTIFS(AKTIVITAS!$B$2:$B$3052,B2105,AKTIVITAS!$E$2:$E$3052,H2105)&gt;0,1,0),0)</f>
        <v>0</v>
      </c>
      <c r="V2105" s="71">
        <f>IFERROR(IF(AND(H2105&gt;=INDEX(PEMAGANG!$J$3:$J$36,MATCH(B2105,PEMAGANG!$C$3:$C$36,0)),H2105&lt;=INDEX(PEMAGANG!$K$3:$K$36,MATCH(B2105,PEMAGANG!$C$3:$C$36,0))),1,0),0)</f>
        <v>1</v>
      </c>
      <c r="W2105" s="71">
        <f t="shared" si="296"/>
        <v>0</v>
      </c>
    </row>
    <row r="2106" spans="1:23" x14ac:dyDescent="0.2">
      <c r="A2106" s="71" t="s">
        <v>275</v>
      </c>
      <c r="B2106" s="71" t="s">
        <v>276</v>
      </c>
      <c r="C2106" s="71" t="s">
        <v>187</v>
      </c>
      <c r="D2106" s="71" t="s">
        <v>277</v>
      </c>
      <c r="E2106" s="71" t="s">
        <v>41</v>
      </c>
      <c r="F2106" s="71" t="s">
        <v>298</v>
      </c>
      <c r="G2106" s="88">
        <v>46282.309907407398</v>
      </c>
      <c r="H2106" s="89">
        <v>46282</v>
      </c>
      <c r="I2106" s="71" t="s">
        <v>315</v>
      </c>
      <c r="J2106" s="71">
        <v>-3.9999999999999898</v>
      </c>
      <c r="K2106" s="71" t="s">
        <v>302</v>
      </c>
      <c r="L2106" s="71">
        <f t="shared" si="288"/>
        <v>9</v>
      </c>
      <c r="M2106" s="71" t="str">
        <f>IFERROR(INDEX(KALENDER!$D$3:$D$132,MATCH(H2106,KALENDER!$A$3:$A$132,0)),"Di luar periode")</f>
        <v>Hari Kerja</v>
      </c>
      <c r="N2106" s="71">
        <f t="shared" si="289"/>
        <v>1</v>
      </c>
      <c r="O2106" s="71">
        <f t="shared" si="290"/>
        <v>1</v>
      </c>
      <c r="P2106" s="71">
        <f t="shared" si="291"/>
        <v>1</v>
      </c>
      <c r="Q2106" s="71">
        <f t="shared" si="292"/>
        <v>0</v>
      </c>
      <c r="R2106" s="71">
        <f t="shared" si="293"/>
        <v>0</v>
      </c>
      <c r="S2106" s="71">
        <f t="shared" si="294"/>
        <v>0</v>
      </c>
      <c r="T2106" s="71">
        <f t="shared" si="295"/>
        <v>0</v>
      </c>
      <c r="U2106" s="71">
        <f>IF(AND(N2106=1,V2106=1),IF(COUNTIFS(AKTIVITAS!$B$2:$B$3052,B2106,AKTIVITAS!$E$2:$E$3052,H2106)&gt;0,1,0),0)</f>
        <v>1</v>
      </c>
      <c r="V2106" s="71">
        <f>IFERROR(IF(AND(H2106&gt;=INDEX(PEMAGANG!$J$3:$J$36,MATCH(B2106,PEMAGANG!$C$3:$C$36,0)),H2106&lt;=INDEX(PEMAGANG!$K$3:$K$36,MATCH(B2106,PEMAGANG!$C$3:$C$36,0))),1,0),0)</f>
        <v>1</v>
      </c>
      <c r="W2106" s="71">
        <f t="shared" si="296"/>
        <v>1</v>
      </c>
    </row>
    <row r="2107" spans="1:23" x14ac:dyDescent="0.2">
      <c r="A2107" s="71" t="s">
        <v>275</v>
      </c>
      <c r="B2107" s="71" t="s">
        <v>276</v>
      </c>
      <c r="C2107" s="71" t="s">
        <v>187</v>
      </c>
      <c r="D2107" s="71" t="s">
        <v>277</v>
      </c>
      <c r="E2107" s="71" t="s">
        <v>41</v>
      </c>
      <c r="F2107" s="71" t="s">
        <v>300</v>
      </c>
      <c r="G2107" s="88">
        <v>46282.6889814815</v>
      </c>
      <c r="H2107" s="89">
        <v>46282</v>
      </c>
      <c r="I2107" s="71" t="s">
        <v>306</v>
      </c>
      <c r="J2107" s="71">
        <v>0</v>
      </c>
      <c r="K2107" s="71" t="s">
        <v>302</v>
      </c>
      <c r="L2107" s="71">
        <f t="shared" si="288"/>
        <v>9</v>
      </c>
      <c r="M2107" s="71" t="str">
        <f>IFERROR(INDEX(KALENDER!$D$3:$D$132,MATCH(H2107,KALENDER!$A$3:$A$132,0)),"Di luar periode")</f>
        <v>Hari Kerja</v>
      </c>
      <c r="N2107" s="71">
        <f t="shared" si="289"/>
        <v>0</v>
      </c>
      <c r="O2107" s="71">
        <f t="shared" si="290"/>
        <v>1</v>
      </c>
      <c r="P2107" s="71">
        <f t="shared" si="291"/>
        <v>0</v>
      </c>
      <c r="Q2107" s="71">
        <f t="shared" si="292"/>
        <v>0</v>
      </c>
      <c r="R2107" s="71">
        <f t="shared" si="293"/>
        <v>0</v>
      </c>
      <c r="S2107" s="71">
        <f t="shared" si="294"/>
        <v>0</v>
      </c>
      <c r="T2107" s="71">
        <f t="shared" si="295"/>
        <v>0</v>
      </c>
      <c r="U2107" s="71">
        <f>IF(AND(N2107=1,V2107=1),IF(COUNTIFS(AKTIVITAS!$B$2:$B$3052,B2107,AKTIVITAS!$E$2:$E$3052,H2107)&gt;0,1,0),0)</f>
        <v>0</v>
      </c>
      <c r="V2107" s="71">
        <f>IFERROR(IF(AND(H2107&gt;=INDEX(PEMAGANG!$J$3:$J$36,MATCH(B2107,PEMAGANG!$C$3:$C$36,0)),H2107&lt;=INDEX(PEMAGANG!$K$3:$K$36,MATCH(B2107,PEMAGANG!$C$3:$C$36,0))),1,0),0)</f>
        <v>1</v>
      </c>
      <c r="W2107" s="71">
        <f t="shared" si="296"/>
        <v>0</v>
      </c>
    </row>
    <row r="2108" spans="1:23" x14ac:dyDescent="0.2">
      <c r="A2108" s="71" t="s">
        <v>275</v>
      </c>
      <c r="B2108" s="71" t="s">
        <v>276</v>
      </c>
      <c r="C2108" s="71" t="s">
        <v>187</v>
      </c>
      <c r="D2108" s="71" t="s">
        <v>277</v>
      </c>
      <c r="E2108" s="71" t="s">
        <v>41</v>
      </c>
      <c r="F2108" s="71" t="s">
        <v>298</v>
      </c>
      <c r="G2108" s="88">
        <v>46283.307152777801</v>
      </c>
      <c r="H2108" s="89">
        <v>46283</v>
      </c>
      <c r="I2108" s="71" t="s">
        <v>313</v>
      </c>
      <c r="J2108" s="71">
        <v>-8.0000000000000497</v>
      </c>
      <c r="K2108" s="71" t="s">
        <v>302</v>
      </c>
      <c r="L2108" s="71">
        <f t="shared" si="288"/>
        <v>9</v>
      </c>
      <c r="M2108" s="71" t="str">
        <f>IFERROR(INDEX(KALENDER!$D$3:$D$132,MATCH(H2108,KALENDER!$A$3:$A$132,0)),"Di luar periode")</f>
        <v>Hari Kerja</v>
      </c>
      <c r="N2108" s="71">
        <f t="shared" si="289"/>
        <v>1</v>
      </c>
      <c r="O2108" s="71">
        <f t="shared" si="290"/>
        <v>1</v>
      </c>
      <c r="P2108" s="71">
        <f t="shared" si="291"/>
        <v>1</v>
      </c>
      <c r="Q2108" s="71">
        <f t="shared" si="292"/>
        <v>0</v>
      </c>
      <c r="R2108" s="71">
        <f t="shared" si="293"/>
        <v>0</v>
      </c>
      <c r="S2108" s="71">
        <f t="shared" si="294"/>
        <v>0</v>
      </c>
      <c r="T2108" s="71">
        <f t="shared" si="295"/>
        <v>0</v>
      </c>
      <c r="U2108" s="71">
        <f>IF(AND(N2108=1,V2108=1),IF(COUNTIFS(AKTIVITAS!$B$2:$B$3052,B2108,AKTIVITAS!$E$2:$E$3052,H2108)&gt;0,1,0),0)</f>
        <v>1</v>
      </c>
      <c r="V2108" s="71">
        <f>IFERROR(IF(AND(H2108&gt;=INDEX(PEMAGANG!$J$3:$J$36,MATCH(B2108,PEMAGANG!$C$3:$C$36,0)),H2108&lt;=INDEX(PEMAGANG!$K$3:$K$36,MATCH(B2108,PEMAGANG!$C$3:$C$36,0))),1,0),0)</f>
        <v>1</v>
      </c>
      <c r="W2108" s="71">
        <f t="shared" si="296"/>
        <v>1</v>
      </c>
    </row>
    <row r="2109" spans="1:23" x14ac:dyDescent="0.2">
      <c r="A2109" s="71" t="s">
        <v>275</v>
      </c>
      <c r="B2109" s="71" t="s">
        <v>276</v>
      </c>
      <c r="C2109" s="71" t="s">
        <v>187</v>
      </c>
      <c r="D2109" s="71" t="s">
        <v>277</v>
      </c>
      <c r="E2109" s="71" t="s">
        <v>41</v>
      </c>
      <c r="F2109" s="71" t="s">
        <v>300</v>
      </c>
      <c r="G2109" s="88">
        <v>46283.726030092599</v>
      </c>
      <c r="H2109" s="89">
        <v>46283</v>
      </c>
      <c r="I2109" s="71" t="s">
        <v>612</v>
      </c>
      <c r="J2109" s="71">
        <v>0</v>
      </c>
      <c r="K2109" s="71" t="s">
        <v>302</v>
      </c>
      <c r="L2109" s="71">
        <f t="shared" si="288"/>
        <v>9</v>
      </c>
      <c r="M2109" s="71" t="str">
        <f>IFERROR(INDEX(KALENDER!$D$3:$D$132,MATCH(H2109,KALENDER!$A$3:$A$132,0)),"Di luar periode")</f>
        <v>Hari Kerja</v>
      </c>
      <c r="N2109" s="71">
        <f t="shared" si="289"/>
        <v>0</v>
      </c>
      <c r="O2109" s="71">
        <f t="shared" si="290"/>
        <v>1</v>
      </c>
      <c r="P2109" s="71">
        <f t="shared" si="291"/>
        <v>0</v>
      </c>
      <c r="Q2109" s="71">
        <f t="shared" si="292"/>
        <v>0</v>
      </c>
      <c r="R2109" s="71">
        <f t="shared" si="293"/>
        <v>0</v>
      </c>
      <c r="S2109" s="71">
        <f t="shared" si="294"/>
        <v>0</v>
      </c>
      <c r="T2109" s="71">
        <f t="shared" si="295"/>
        <v>0</v>
      </c>
      <c r="U2109" s="71">
        <f>IF(AND(N2109=1,V2109=1),IF(COUNTIFS(AKTIVITAS!$B$2:$B$3052,B2109,AKTIVITAS!$E$2:$E$3052,H2109)&gt;0,1,0),0)</f>
        <v>0</v>
      </c>
      <c r="V2109" s="71">
        <f>IFERROR(IF(AND(H2109&gt;=INDEX(PEMAGANG!$J$3:$J$36,MATCH(B2109,PEMAGANG!$C$3:$C$36,0)),H2109&lt;=INDEX(PEMAGANG!$K$3:$K$36,MATCH(B2109,PEMAGANG!$C$3:$C$36,0))),1,0),0)</f>
        <v>1</v>
      </c>
      <c r="W2109" s="71">
        <f t="shared" si="296"/>
        <v>0</v>
      </c>
    </row>
    <row r="2110" spans="1:23" x14ac:dyDescent="0.2">
      <c r="A2110" s="71" t="s">
        <v>275</v>
      </c>
      <c r="B2110" s="71" t="s">
        <v>276</v>
      </c>
      <c r="C2110" s="71" t="s">
        <v>187</v>
      </c>
      <c r="D2110" s="71" t="s">
        <v>277</v>
      </c>
      <c r="E2110" s="71" t="s">
        <v>41</v>
      </c>
      <c r="F2110" s="71" t="s">
        <v>298</v>
      </c>
      <c r="G2110" s="88">
        <v>46286.3042824074</v>
      </c>
      <c r="H2110" s="89">
        <v>46286</v>
      </c>
      <c r="I2110" s="71" t="s">
        <v>326</v>
      </c>
      <c r="J2110" s="71">
        <v>-12</v>
      </c>
      <c r="K2110" s="71" t="s">
        <v>302</v>
      </c>
      <c r="L2110" s="71">
        <f t="shared" si="288"/>
        <v>9</v>
      </c>
      <c r="M2110" s="71" t="str">
        <f>IFERROR(INDEX(KALENDER!$D$3:$D$132,MATCH(H2110,KALENDER!$A$3:$A$132,0)),"Di luar periode")</f>
        <v>Hari Kerja</v>
      </c>
      <c r="N2110" s="71">
        <f t="shared" si="289"/>
        <v>1</v>
      </c>
      <c r="O2110" s="71">
        <f t="shared" si="290"/>
        <v>1</v>
      </c>
      <c r="P2110" s="71">
        <f t="shared" si="291"/>
        <v>1</v>
      </c>
      <c r="Q2110" s="71">
        <f t="shared" si="292"/>
        <v>0</v>
      </c>
      <c r="R2110" s="71">
        <f t="shared" si="293"/>
        <v>0</v>
      </c>
      <c r="S2110" s="71">
        <f t="shared" si="294"/>
        <v>0</v>
      </c>
      <c r="T2110" s="71">
        <f t="shared" si="295"/>
        <v>0</v>
      </c>
      <c r="U2110" s="71">
        <f>IF(AND(N2110=1,V2110=1),IF(COUNTIFS(AKTIVITAS!$B$2:$B$3052,B2110,AKTIVITAS!$E$2:$E$3052,H2110)&gt;0,1,0),0)</f>
        <v>1</v>
      </c>
      <c r="V2110" s="71">
        <f>IFERROR(IF(AND(H2110&gt;=INDEX(PEMAGANG!$J$3:$J$36,MATCH(B2110,PEMAGANG!$C$3:$C$36,0)),H2110&lt;=INDEX(PEMAGANG!$K$3:$K$36,MATCH(B2110,PEMAGANG!$C$3:$C$36,0))),1,0),0)</f>
        <v>1</v>
      </c>
      <c r="W2110" s="71">
        <f t="shared" si="296"/>
        <v>1</v>
      </c>
    </row>
    <row r="2111" spans="1:23" x14ac:dyDescent="0.2">
      <c r="A2111" s="71" t="s">
        <v>275</v>
      </c>
      <c r="B2111" s="71" t="s">
        <v>276</v>
      </c>
      <c r="C2111" s="71" t="s">
        <v>187</v>
      </c>
      <c r="D2111" s="71" t="s">
        <v>277</v>
      </c>
      <c r="E2111" s="71" t="s">
        <v>41</v>
      </c>
      <c r="F2111" s="71" t="s">
        <v>300</v>
      </c>
      <c r="G2111" s="88">
        <v>46286.690300925897</v>
      </c>
      <c r="H2111" s="89">
        <v>46286</v>
      </c>
      <c r="I2111" s="71" t="s">
        <v>314</v>
      </c>
      <c r="J2111" s="71">
        <v>0</v>
      </c>
      <c r="K2111" s="71" t="s">
        <v>302</v>
      </c>
      <c r="L2111" s="71">
        <f t="shared" si="288"/>
        <v>9</v>
      </c>
      <c r="M2111" s="71" t="str">
        <f>IFERROR(INDEX(KALENDER!$D$3:$D$132,MATCH(H2111,KALENDER!$A$3:$A$132,0)),"Di luar periode")</f>
        <v>Hari Kerja</v>
      </c>
      <c r="N2111" s="71">
        <f t="shared" si="289"/>
        <v>0</v>
      </c>
      <c r="O2111" s="71">
        <f t="shared" si="290"/>
        <v>1</v>
      </c>
      <c r="P2111" s="71">
        <f t="shared" si="291"/>
        <v>0</v>
      </c>
      <c r="Q2111" s="71">
        <f t="shared" si="292"/>
        <v>0</v>
      </c>
      <c r="R2111" s="71">
        <f t="shared" si="293"/>
        <v>0</v>
      </c>
      <c r="S2111" s="71">
        <f t="shared" si="294"/>
        <v>0</v>
      </c>
      <c r="T2111" s="71">
        <f t="shared" si="295"/>
        <v>0</v>
      </c>
      <c r="U2111" s="71">
        <f>IF(AND(N2111=1,V2111=1),IF(COUNTIFS(AKTIVITAS!$B$2:$B$3052,B2111,AKTIVITAS!$E$2:$E$3052,H2111)&gt;0,1,0),0)</f>
        <v>0</v>
      </c>
      <c r="V2111" s="71">
        <f>IFERROR(IF(AND(H2111&gt;=INDEX(PEMAGANG!$J$3:$J$36,MATCH(B2111,PEMAGANG!$C$3:$C$36,0)),H2111&lt;=INDEX(PEMAGANG!$K$3:$K$36,MATCH(B2111,PEMAGANG!$C$3:$C$36,0))),1,0),0)</f>
        <v>1</v>
      </c>
      <c r="W2111" s="71">
        <f t="shared" si="296"/>
        <v>0</v>
      </c>
    </row>
    <row r="2112" spans="1:23" x14ac:dyDescent="0.2">
      <c r="A2112" s="71" t="s">
        <v>275</v>
      </c>
      <c r="B2112" s="71" t="s">
        <v>276</v>
      </c>
      <c r="C2112" s="71" t="s">
        <v>187</v>
      </c>
      <c r="D2112" s="71" t="s">
        <v>277</v>
      </c>
      <c r="E2112" s="71" t="s">
        <v>41</v>
      </c>
      <c r="F2112" s="71" t="s">
        <v>298</v>
      </c>
      <c r="G2112" s="88">
        <v>46287.3070717593</v>
      </c>
      <c r="H2112" s="89">
        <v>46287</v>
      </c>
      <c r="I2112" s="71" t="s">
        <v>313</v>
      </c>
      <c r="J2112" s="71">
        <v>-8.0000000000000497</v>
      </c>
      <c r="K2112" s="71" t="s">
        <v>302</v>
      </c>
      <c r="L2112" s="71">
        <f t="shared" si="288"/>
        <v>9</v>
      </c>
      <c r="M2112" s="71" t="str">
        <f>IFERROR(INDEX(KALENDER!$D$3:$D$132,MATCH(H2112,KALENDER!$A$3:$A$132,0)),"Di luar periode")</f>
        <v>Hari Kerja</v>
      </c>
      <c r="N2112" s="71">
        <f t="shared" si="289"/>
        <v>1</v>
      </c>
      <c r="O2112" s="71">
        <f t="shared" si="290"/>
        <v>1</v>
      </c>
      <c r="P2112" s="71">
        <f t="shared" si="291"/>
        <v>1</v>
      </c>
      <c r="Q2112" s="71">
        <f t="shared" si="292"/>
        <v>0</v>
      </c>
      <c r="R2112" s="71">
        <f t="shared" si="293"/>
        <v>0</v>
      </c>
      <c r="S2112" s="71">
        <f t="shared" si="294"/>
        <v>0</v>
      </c>
      <c r="T2112" s="71">
        <f t="shared" si="295"/>
        <v>0</v>
      </c>
      <c r="U2112" s="71">
        <f>IF(AND(N2112=1,V2112=1),IF(COUNTIFS(AKTIVITAS!$B$2:$B$3052,B2112,AKTIVITAS!$E$2:$E$3052,H2112)&gt;0,1,0),0)</f>
        <v>1</v>
      </c>
      <c r="V2112" s="71">
        <f>IFERROR(IF(AND(H2112&gt;=INDEX(PEMAGANG!$J$3:$J$36,MATCH(B2112,PEMAGANG!$C$3:$C$36,0)),H2112&lt;=INDEX(PEMAGANG!$K$3:$K$36,MATCH(B2112,PEMAGANG!$C$3:$C$36,0))),1,0),0)</f>
        <v>1</v>
      </c>
      <c r="W2112" s="71">
        <f t="shared" si="296"/>
        <v>1</v>
      </c>
    </row>
    <row r="2113" spans="1:23" x14ac:dyDescent="0.2">
      <c r="A2113" s="71" t="s">
        <v>275</v>
      </c>
      <c r="B2113" s="71" t="s">
        <v>276</v>
      </c>
      <c r="C2113" s="71" t="s">
        <v>187</v>
      </c>
      <c r="D2113" s="71" t="s">
        <v>277</v>
      </c>
      <c r="E2113" s="71" t="s">
        <v>41</v>
      </c>
      <c r="F2113" s="71" t="s">
        <v>300</v>
      </c>
      <c r="G2113" s="88">
        <v>46287.691562499997</v>
      </c>
      <c r="H2113" s="89">
        <v>46287</v>
      </c>
      <c r="I2113" s="71" t="s">
        <v>310</v>
      </c>
      <c r="J2113" s="71">
        <v>0</v>
      </c>
      <c r="K2113" s="71" t="s">
        <v>302</v>
      </c>
      <c r="L2113" s="71">
        <f t="shared" si="288"/>
        <v>9</v>
      </c>
      <c r="M2113" s="71" t="str">
        <f>IFERROR(INDEX(KALENDER!$D$3:$D$132,MATCH(H2113,KALENDER!$A$3:$A$132,0)),"Di luar periode")</f>
        <v>Hari Kerja</v>
      </c>
      <c r="N2113" s="71">
        <f t="shared" si="289"/>
        <v>0</v>
      </c>
      <c r="O2113" s="71">
        <f t="shared" si="290"/>
        <v>1</v>
      </c>
      <c r="P2113" s="71">
        <f t="shared" si="291"/>
        <v>0</v>
      </c>
      <c r="Q2113" s="71">
        <f t="shared" si="292"/>
        <v>0</v>
      </c>
      <c r="R2113" s="71">
        <f t="shared" si="293"/>
        <v>0</v>
      </c>
      <c r="S2113" s="71">
        <f t="shared" si="294"/>
        <v>0</v>
      </c>
      <c r="T2113" s="71">
        <f t="shared" si="295"/>
        <v>0</v>
      </c>
      <c r="U2113" s="71">
        <f>IF(AND(N2113=1,V2113=1),IF(COUNTIFS(AKTIVITAS!$B$2:$B$3052,B2113,AKTIVITAS!$E$2:$E$3052,H2113)&gt;0,1,0),0)</f>
        <v>0</v>
      </c>
      <c r="V2113" s="71">
        <f>IFERROR(IF(AND(H2113&gt;=INDEX(PEMAGANG!$J$3:$J$36,MATCH(B2113,PEMAGANG!$C$3:$C$36,0)),H2113&lt;=INDEX(PEMAGANG!$K$3:$K$36,MATCH(B2113,PEMAGANG!$C$3:$C$36,0))),1,0),0)</f>
        <v>1</v>
      </c>
      <c r="W2113" s="71">
        <f t="shared" si="296"/>
        <v>0</v>
      </c>
    </row>
    <row r="2114" spans="1:23" x14ac:dyDescent="0.2">
      <c r="A2114" s="71" t="s">
        <v>275</v>
      </c>
      <c r="B2114" s="71" t="s">
        <v>276</v>
      </c>
      <c r="C2114" s="71" t="s">
        <v>187</v>
      </c>
      <c r="D2114" s="71" t="s">
        <v>277</v>
      </c>
      <c r="E2114" s="71" t="s">
        <v>41</v>
      </c>
      <c r="F2114" s="71" t="s">
        <v>298</v>
      </c>
      <c r="G2114" s="88">
        <v>46288.304340277798</v>
      </c>
      <c r="H2114" s="89">
        <v>46288</v>
      </c>
      <c r="I2114" s="71" t="s">
        <v>326</v>
      </c>
      <c r="J2114" s="71">
        <v>-12</v>
      </c>
      <c r="K2114" s="71" t="s">
        <v>302</v>
      </c>
      <c r="L2114" s="71">
        <f t="shared" ref="L2114:L2177" si="297">MONTH(H2114)</f>
        <v>9</v>
      </c>
      <c r="M2114" s="71" t="str">
        <f>IFERROR(INDEX(KALENDER!$D$3:$D$132,MATCH(H2114,KALENDER!$A$3:$A$132,0)),"Di luar periode")</f>
        <v>Hari Kerja</v>
      </c>
      <c r="N2114" s="71">
        <f t="shared" ref="N2114:N2177" si="298">IF(AND(B2114=B2113,H2114=H2113),0,1)</f>
        <v>1</v>
      </c>
      <c r="O2114" s="71">
        <f t="shared" ref="O2114:O2177" si="299">IF(N2114=1,0,O2113)+IF(F2114="MASUK",1,0)</f>
        <v>1</v>
      </c>
      <c r="P2114" s="71">
        <f t="shared" ref="P2114:P2177" si="300">IF(AND(N2114=1,M2114="Hari Kerja",V2114=1),1,0)</f>
        <v>1</v>
      </c>
      <c r="Q2114" s="71">
        <f t="shared" ref="Q2114:Q2177" si="301">IF(AND(N2114=1,OR(M2114&lt;&gt;"Hari Kerja",V2114=0)),1,0)</f>
        <v>0</v>
      </c>
      <c r="R2114" s="71">
        <f t="shared" ref="R2114:R2177" si="302">IF(AND(F2114="MASUK",O2114=1,N(J2114)&gt;0,V2114=1),1,0)</f>
        <v>0</v>
      </c>
      <c r="S2114" s="71">
        <f t="shared" ref="S2114:S2177" si="303">R2114*N(J2114)</f>
        <v>0</v>
      </c>
      <c r="T2114" s="71">
        <f t="shared" ref="T2114:T2177" si="304">IF(AND(N2114=1,V2114=1),IF(AND(COUNTIFS($B$2:$B$4094,B2114,$H$2:$H$4094,H2114,$F$2:$F$4094,"MASUK")&gt;0,COUNTIFS($B$2:$B$4094,B2114,$H$2:$H$4094,H2114,$F$2:$F$4094,"PULANG")=0),1,0),0)</f>
        <v>0</v>
      </c>
      <c r="U2114" s="71">
        <f>IF(AND(N2114=1,V2114=1),IF(COUNTIFS(AKTIVITAS!$B$2:$B$3052,B2114,AKTIVITAS!$E$2:$E$3052,H2114)&gt;0,1,0),0)</f>
        <v>1</v>
      </c>
      <c r="V2114" s="71">
        <f>IFERROR(IF(AND(H2114&gt;=INDEX(PEMAGANG!$J$3:$J$36,MATCH(B2114,PEMAGANG!$C$3:$C$36,0)),H2114&lt;=INDEX(PEMAGANG!$K$3:$K$36,MATCH(B2114,PEMAGANG!$C$3:$C$36,0))),1,0),0)</f>
        <v>1</v>
      </c>
      <c r="W2114" s="71">
        <f t="shared" ref="W2114:W2177" si="305">N2114*V2114</f>
        <v>1</v>
      </c>
    </row>
    <row r="2115" spans="1:23" x14ac:dyDescent="0.2">
      <c r="A2115" s="71" t="s">
        <v>275</v>
      </c>
      <c r="B2115" s="71" t="s">
        <v>276</v>
      </c>
      <c r="C2115" s="71" t="s">
        <v>187</v>
      </c>
      <c r="D2115" s="71" t="s">
        <v>277</v>
      </c>
      <c r="E2115" s="71" t="s">
        <v>41</v>
      </c>
      <c r="F2115" s="71" t="s">
        <v>300</v>
      </c>
      <c r="G2115" s="88">
        <v>46288.6887152778</v>
      </c>
      <c r="H2115" s="89">
        <v>46288</v>
      </c>
      <c r="I2115" s="71" t="s">
        <v>336</v>
      </c>
      <c r="J2115" s="71">
        <v>0</v>
      </c>
      <c r="K2115" s="71" t="s">
        <v>302</v>
      </c>
      <c r="L2115" s="71">
        <f t="shared" si="297"/>
        <v>9</v>
      </c>
      <c r="M2115" s="71" t="str">
        <f>IFERROR(INDEX(KALENDER!$D$3:$D$132,MATCH(H2115,KALENDER!$A$3:$A$132,0)),"Di luar periode")</f>
        <v>Hari Kerja</v>
      </c>
      <c r="N2115" s="71">
        <f t="shared" si="298"/>
        <v>0</v>
      </c>
      <c r="O2115" s="71">
        <f t="shared" si="299"/>
        <v>1</v>
      </c>
      <c r="P2115" s="71">
        <f t="shared" si="300"/>
        <v>0</v>
      </c>
      <c r="Q2115" s="71">
        <f t="shared" si="301"/>
        <v>0</v>
      </c>
      <c r="R2115" s="71">
        <f t="shared" si="302"/>
        <v>0</v>
      </c>
      <c r="S2115" s="71">
        <f t="shared" si="303"/>
        <v>0</v>
      </c>
      <c r="T2115" s="71">
        <f t="shared" si="304"/>
        <v>0</v>
      </c>
      <c r="U2115" s="71">
        <f>IF(AND(N2115=1,V2115=1),IF(COUNTIFS(AKTIVITAS!$B$2:$B$3052,B2115,AKTIVITAS!$E$2:$E$3052,H2115)&gt;0,1,0),0)</f>
        <v>0</v>
      </c>
      <c r="V2115" s="71">
        <f>IFERROR(IF(AND(H2115&gt;=INDEX(PEMAGANG!$J$3:$J$36,MATCH(B2115,PEMAGANG!$C$3:$C$36,0)),H2115&lt;=INDEX(PEMAGANG!$K$3:$K$36,MATCH(B2115,PEMAGANG!$C$3:$C$36,0))),1,0),0)</f>
        <v>1</v>
      </c>
      <c r="W2115" s="71">
        <f t="shared" si="305"/>
        <v>0</v>
      </c>
    </row>
    <row r="2116" spans="1:23" x14ac:dyDescent="0.2">
      <c r="A2116" s="71" t="s">
        <v>275</v>
      </c>
      <c r="B2116" s="71" t="s">
        <v>276</v>
      </c>
      <c r="C2116" s="71" t="s">
        <v>187</v>
      </c>
      <c r="D2116" s="71" t="s">
        <v>277</v>
      </c>
      <c r="E2116" s="71" t="s">
        <v>41</v>
      </c>
      <c r="F2116" s="71" t="s">
        <v>298</v>
      </c>
      <c r="G2116" s="88">
        <v>46289.3071180556</v>
      </c>
      <c r="H2116" s="89">
        <v>46289</v>
      </c>
      <c r="I2116" s="71" t="s">
        <v>313</v>
      </c>
      <c r="J2116" s="71">
        <v>-8.0000000000000497</v>
      </c>
      <c r="K2116" s="71" t="s">
        <v>302</v>
      </c>
      <c r="L2116" s="71">
        <f t="shared" si="297"/>
        <v>9</v>
      </c>
      <c r="M2116" s="71" t="str">
        <f>IFERROR(INDEX(KALENDER!$D$3:$D$132,MATCH(H2116,KALENDER!$A$3:$A$132,0)),"Di luar periode")</f>
        <v>Hari Kerja</v>
      </c>
      <c r="N2116" s="71">
        <f t="shared" si="298"/>
        <v>1</v>
      </c>
      <c r="O2116" s="71">
        <f t="shared" si="299"/>
        <v>1</v>
      </c>
      <c r="P2116" s="71">
        <f t="shared" si="300"/>
        <v>1</v>
      </c>
      <c r="Q2116" s="71">
        <f t="shared" si="301"/>
        <v>0</v>
      </c>
      <c r="R2116" s="71">
        <f t="shared" si="302"/>
        <v>0</v>
      </c>
      <c r="S2116" s="71">
        <f t="shared" si="303"/>
        <v>0</v>
      </c>
      <c r="T2116" s="71">
        <f t="shared" si="304"/>
        <v>0</v>
      </c>
      <c r="U2116" s="71">
        <f>IF(AND(N2116=1,V2116=1),IF(COUNTIFS(AKTIVITAS!$B$2:$B$3052,B2116,AKTIVITAS!$E$2:$E$3052,H2116)&gt;0,1,0),0)</f>
        <v>1</v>
      </c>
      <c r="V2116" s="71">
        <f>IFERROR(IF(AND(H2116&gt;=INDEX(PEMAGANG!$J$3:$J$36,MATCH(B2116,PEMAGANG!$C$3:$C$36,0)),H2116&lt;=INDEX(PEMAGANG!$K$3:$K$36,MATCH(B2116,PEMAGANG!$C$3:$C$36,0))),1,0),0)</f>
        <v>1</v>
      </c>
      <c r="W2116" s="71">
        <f t="shared" si="305"/>
        <v>1</v>
      </c>
    </row>
    <row r="2117" spans="1:23" x14ac:dyDescent="0.2">
      <c r="A2117" s="71" t="s">
        <v>275</v>
      </c>
      <c r="B2117" s="71" t="s">
        <v>276</v>
      </c>
      <c r="C2117" s="71" t="s">
        <v>187</v>
      </c>
      <c r="D2117" s="71" t="s">
        <v>277</v>
      </c>
      <c r="E2117" s="71" t="s">
        <v>41</v>
      </c>
      <c r="F2117" s="71" t="s">
        <v>300</v>
      </c>
      <c r="G2117" s="88">
        <v>46289.688414351898</v>
      </c>
      <c r="H2117" s="89">
        <v>46289</v>
      </c>
      <c r="I2117" s="71" t="s">
        <v>336</v>
      </c>
      <c r="J2117" s="71">
        <v>0</v>
      </c>
      <c r="K2117" s="71" t="s">
        <v>302</v>
      </c>
      <c r="L2117" s="71">
        <f t="shared" si="297"/>
        <v>9</v>
      </c>
      <c r="M2117" s="71" t="str">
        <f>IFERROR(INDEX(KALENDER!$D$3:$D$132,MATCH(H2117,KALENDER!$A$3:$A$132,0)),"Di luar periode")</f>
        <v>Hari Kerja</v>
      </c>
      <c r="N2117" s="71">
        <f t="shared" si="298"/>
        <v>0</v>
      </c>
      <c r="O2117" s="71">
        <f t="shared" si="299"/>
        <v>1</v>
      </c>
      <c r="P2117" s="71">
        <f t="shared" si="300"/>
        <v>0</v>
      </c>
      <c r="Q2117" s="71">
        <f t="shared" si="301"/>
        <v>0</v>
      </c>
      <c r="R2117" s="71">
        <f t="shared" si="302"/>
        <v>0</v>
      </c>
      <c r="S2117" s="71">
        <f t="shared" si="303"/>
        <v>0</v>
      </c>
      <c r="T2117" s="71">
        <f t="shared" si="304"/>
        <v>0</v>
      </c>
      <c r="U2117" s="71">
        <f>IF(AND(N2117=1,V2117=1),IF(COUNTIFS(AKTIVITAS!$B$2:$B$3052,B2117,AKTIVITAS!$E$2:$E$3052,H2117)&gt;0,1,0),0)</f>
        <v>0</v>
      </c>
      <c r="V2117" s="71">
        <f>IFERROR(IF(AND(H2117&gt;=INDEX(PEMAGANG!$J$3:$J$36,MATCH(B2117,PEMAGANG!$C$3:$C$36,0)),H2117&lt;=INDEX(PEMAGANG!$K$3:$K$36,MATCH(B2117,PEMAGANG!$C$3:$C$36,0))),1,0),0)</f>
        <v>1</v>
      </c>
      <c r="W2117" s="71">
        <f t="shared" si="305"/>
        <v>0</v>
      </c>
    </row>
    <row r="2118" spans="1:23" x14ac:dyDescent="0.2">
      <c r="A2118" s="71" t="s">
        <v>275</v>
      </c>
      <c r="B2118" s="71" t="s">
        <v>276</v>
      </c>
      <c r="C2118" s="71" t="s">
        <v>187</v>
      </c>
      <c r="D2118" s="71" t="s">
        <v>277</v>
      </c>
      <c r="E2118" s="71" t="s">
        <v>41</v>
      </c>
      <c r="F2118" s="71" t="s">
        <v>298</v>
      </c>
      <c r="G2118" s="88">
        <v>46290.3044212963</v>
      </c>
      <c r="H2118" s="89">
        <v>46290</v>
      </c>
      <c r="I2118" s="71" t="s">
        <v>326</v>
      </c>
      <c r="J2118" s="71">
        <v>-12</v>
      </c>
      <c r="K2118" s="71" t="s">
        <v>302</v>
      </c>
      <c r="L2118" s="71">
        <f t="shared" si="297"/>
        <v>9</v>
      </c>
      <c r="M2118" s="71" t="str">
        <f>IFERROR(INDEX(KALENDER!$D$3:$D$132,MATCH(H2118,KALENDER!$A$3:$A$132,0)),"Di luar periode")</f>
        <v>Hari Kerja</v>
      </c>
      <c r="N2118" s="71">
        <f t="shared" si="298"/>
        <v>1</v>
      </c>
      <c r="O2118" s="71">
        <f t="shared" si="299"/>
        <v>1</v>
      </c>
      <c r="P2118" s="71">
        <f t="shared" si="300"/>
        <v>1</v>
      </c>
      <c r="Q2118" s="71">
        <f t="shared" si="301"/>
        <v>0</v>
      </c>
      <c r="R2118" s="71">
        <f t="shared" si="302"/>
        <v>0</v>
      </c>
      <c r="S2118" s="71">
        <f t="shared" si="303"/>
        <v>0</v>
      </c>
      <c r="T2118" s="71">
        <f t="shared" si="304"/>
        <v>0</v>
      </c>
      <c r="U2118" s="71">
        <f>IF(AND(N2118=1,V2118=1),IF(COUNTIFS(AKTIVITAS!$B$2:$B$3052,B2118,AKTIVITAS!$E$2:$E$3052,H2118)&gt;0,1,0),0)</f>
        <v>1</v>
      </c>
      <c r="V2118" s="71">
        <f>IFERROR(IF(AND(H2118&gt;=INDEX(PEMAGANG!$J$3:$J$36,MATCH(B2118,PEMAGANG!$C$3:$C$36,0)),H2118&lt;=INDEX(PEMAGANG!$K$3:$K$36,MATCH(B2118,PEMAGANG!$C$3:$C$36,0))),1,0),0)</f>
        <v>1</v>
      </c>
      <c r="W2118" s="71">
        <f t="shared" si="305"/>
        <v>1</v>
      </c>
    </row>
    <row r="2119" spans="1:23" x14ac:dyDescent="0.2">
      <c r="A2119" s="71" t="s">
        <v>275</v>
      </c>
      <c r="B2119" s="71" t="s">
        <v>276</v>
      </c>
      <c r="C2119" s="71" t="s">
        <v>187</v>
      </c>
      <c r="D2119" s="71" t="s">
        <v>277</v>
      </c>
      <c r="E2119" s="71" t="s">
        <v>41</v>
      </c>
      <c r="F2119" s="71" t="s">
        <v>300</v>
      </c>
      <c r="G2119" s="88">
        <v>46290.688541666699</v>
      </c>
      <c r="H2119" s="89">
        <v>46290</v>
      </c>
      <c r="I2119" s="71" t="s">
        <v>336</v>
      </c>
      <c r="J2119" s="71">
        <v>0</v>
      </c>
      <c r="K2119" s="71" t="s">
        <v>302</v>
      </c>
      <c r="L2119" s="71">
        <f t="shared" si="297"/>
        <v>9</v>
      </c>
      <c r="M2119" s="71" t="str">
        <f>IFERROR(INDEX(KALENDER!$D$3:$D$132,MATCH(H2119,KALENDER!$A$3:$A$132,0)),"Di luar periode")</f>
        <v>Hari Kerja</v>
      </c>
      <c r="N2119" s="71">
        <f t="shared" si="298"/>
        <v>0</v>
      </c>
      <c r="O2119" s="71">
        <f t="shared" si="299"/>
        <v>1</v>
      </c>
      <c r="P2119" s="71">
        <f t="shared" si="300"/>
        <v>0</v>
      </c>
      <c r="Q2119" s="71">
        <f t="shared" si="301"/>
        <v>0</v>
      </c>
      <c r="R2119" s="71">
        <f t="shared" si="302"/>
        <v>0</v>
      </c>
      <c r="S2119" s="71">
        <f t="shared" si="303"/>
        <v>0</v>
      </c>
      <c r="T2119" s="71">
        <f t="shared" si="304"/>
        <v>0</v>
      </c>
      <c r="U2119" s="71">
        <f>IF(AND(N2119=1,V2119=1),IF(COUNTIFS(AKTIVITAS!$B$2:$B$3052,B2119,AKTIVITAS!$E$2:$E$3052,H2119)&gt;0,1,0),0)</f>
        <v>0</v>
      </c>
      <c r="V2119" s="71">
        <f>IFERROR(IF(AND(H2119&gt;=INDEX(PEMAGANG!$J$3:$J$36,MATCH(B2119,PEMAGANG!$C$3:$C$36,0)),H2119&lt;=INDEX(PEMAGANG!$K$3:$K$36,MATCH(B2119,PEMAGANG!$C$3:$C$36,0))),1,0),0)</f>
        <v>1</v>
      </c>
      <c r="W2119" s="71">
        <f t="shared" si="305"/>
        <v>0</v>
      </c>
    </row>
    <row r="2120" spans="1:23" x14ac:dyDescent="0.2">
      <c r="A2120" s="71" t="s">
        <v>275</v>
      </c>
      <c r="B2120" s="71" t="s">
        <v>276</v>
      </c>
      <c r="C2120" s="71" t="s">
        <v>187</v>
      </c>
      <c r="D2120" s="71" t="s">
        <v>277</v>
      </c>
      <c r="E2120" s="71" t="s">
        <v>41</v>
      </c>
      <c r="F2120" s="71" t="s">
        <v>298</v>
      </c>
      <c r="G2120" s="88">
        <v>46293.301562499997</v>
      </c>
      <c r="H2120" s="89">
        <v>46293</v>
      </c>
      <c r="I2120" s="71" t="s">
        <v>416</v>
      </c>
      <c r="J2120" s="71">
        <v>-16</v>
      </c>
      <c r="K2120" s="71" t="s">
        <v>302</v>
      </c>
      <c r="L2120" s="71">
        <f t="shared" si="297"/>
        <v>9</v>
      </c>
      <c r="M2120" s="71" t="str">
        <f>IFERROR(INDEX(KALENDER!$D$3:$D$132,MATCH(H2120,KALENDER!$A$3:$A$132,0)),"Di luar periode")</f>
        <v>Hari Kerja</v>
      </c>
      <c r="N2120" s="71">
        <f t="shared" si="298"/>
        <v>1</v>
      </c>
      <c r="O2120" s="71">
        <f t="shared" si="299"/>
        <v>1</v>
      </c>
      <c r="P2120" s="71">
        <f t="shared" si="300"/>
        <v>1</v>
      </c>
      <c r="Q2120" s="71">
        <f t="shared" si="301"/>
        <v>0</v>
      </c>
      <c r="R2120" s="71">
        <f t="shared" si="302"/>
        <v>0</v>
      </c>
      <c r="S2120" s="71">
        <f t="shared" si="303"/>
        <v>0</v>
      </c>
      <c r="T2120" s="71">
        <f t="shared" si="304"/>
        <v>0</v>
      </c>
      <c r="U2120" s="71">
        <f>IF(AND(N2120=1,V2120=1),IF(COUNTIFS(AKTIVITAS!$B$2:$B$3052,B2120,AKTIVITAS!$E$2:$E$3052,H2120)&gt;0,1,0),0)</f>
        <v>1</v>
      </c>
      <c r="V2120" s="71">
        <f>IFERROR(IF(AND(H2120&gt;=INDEX(PEMAGANG!$J$3:$J$36,MATCH(B2120,PEMAGANG!$C$3:$C$36,0)),H2120&lt;=INDEX(PEMAGANG!$K$3:$K$36,MATCH(B2120,PEMAGANG!$C$3:$C$36,0))),1,0),0)</f>
        <v>1</v>
      </c>
      <c r="W2120" s="71">
        <f t="shared" si="305"/>
        <v>1</v>
      </c>
    </row>
    <row r="2121" spans="1:23" x14ac:dyDescent="0.2">
      <c r="A2121" s="71" t="s">
        <v>275</v>
      </c>
      <c r="B2121" s="71" t="s">
        <v>276</v>
      </c>
      <c r="C2121" s="71" t="s">
        <v>187</v>
      </c>
      <c r="D2121" s="71" t="s">
        <v>277</v>
      </c>
      <c r="E2121" s="71" t="s">
        <v>41</v>
      </c>
      <c r="F2121" s="71" t="s">
        <v>300</v>
      </c>
      <c r="G2121" s="88">
        <v>46293.702280092599</v>
      </c>
      <c r="H2121" s="89">
        <v>46293</v>
      </c>
      <c r="I2121" s="71" t="s">
        <v>323</v>
      </c>
      <c r="J2121" s="71">
        <v>0</v>
      </c>
      <c r="K2121" s="71" t="s">
        <v>302</v>
      </c>
      <c r="L2121" s="71">
        <f t="shared" si="297"/>
        <v>9</v>
      </c>
      <c r="M2121" s="71" t="str">
        <f>IFERROR(INDEX(KALENDER!$D$3:$D$132,MATCH(H2121,KALENDER!$A$3:$A$132,0)),"Di luar periode")</f>
        <v>Hari Kerja</v>
      </c>
      <c r="N2121" s="71">
        <f t="shared" si="298"/>
        <v>0</v>
      </c>
      <c r="O2121" s="71">
        <f t="shared" si="299"/>
        <v>1</v>
      </c>
      <c r="P2121" s="71">
        <f t="shared" si="300"/>
        <v>0</v>
      </c>
      <c r="Q2121" s="71">
        <f t="shared" si="301"/>
        <v>0</v>
      </c>
      <c r="R2121" s="71">
        <f t="shared" si="302"/>
        <v>0</v>
      </c>
      <c r="S2121" s="71">
        <f t="shared" si="303"/>
        <v>0</v>
      </c>
      <c r="T2121" s="71">
        <f t="shared" si="304"/>
        <v>0</v>
      </c>
      <c r="U2121" s="71">
        <f>IF(AND(N2121=1,V2121=1),IF(COUNTIFS(AKTIVITAS!$B$2:$B$3052,B2121,AKTIVITAS!$E$2:$E$3052,H2121)&gt;0,1,0),0)</f>
        <v>0</v>
      </c>
      <c r="V2121" s="71">
        <f>IFERROR(IF(AND(H2121&gt;=INDEX(PEMAGANG!$J$3:$J$36,MATCH(B2121,PEMAGANG!$C$3:$C$36,0)),H2121&lt;=INDEX(PEMAGANG!$K$3:$K$36,MATCH(B2121,PEMAGANG!$C$3:$C$36,0))),1,0),0)</f>
        <v>1</v>
      </c>
      <c r="W2121" s="71">
        <f t="shared" si="305"/>
        <v>0</v>
      </c>
    </row>
    <row r="2122" spans="1:23" x14ac:dyDescent="0.2">
      <c r="A2122" s="71" t="s">
        <v>275</v>
      </c>
      <c r="B2122" s="71" t="s">
        <v>276</v>
      </c>
      <c r="C2122" s="71" t="s">
        <v>187</v>
      </c>
      <c r="D2122" s="71" t="s">
        <v>277</v>
      </c>
      <c r="E2122" s="71" t="s">
        <v>41</v>
      </c>
      <c r="F2122" s="71" t="s">
        <v>298</v>
      </c>
      <c r="G2122" s="88">
        <v>46294.302511574097</v>
      </c>
      <c r="H2122" s="89">
        <v>46294</v>
      </c>
      <c r="I2122" s="71" t="s">
        <v>370</v>
      </c>
      <c r="J2122" s="71">
        <v>-15</v>
      </c>
      <c r="K2122" s="71" t="s">
        <v>302</v>
      </c>
      <c r="L2122" s="71">
        <f t="shared" si="297"/>
        <v>9</v>
      </c>
      <c r="M2122" s="71" t="str">
        <f>IFERROR(INDEX(KALENDER!$D$3:$D$132,MATCH(H2122,KALENDER!$A$3:$A$132,0)),"Di luar periode")</f>
        <v>Hari Kerja</v>
      </c>
      <c r="N2122" s="71">
        <f t="shared" si="298"/>
        <v>1</v>
      </c>
      <c r="O2122" s="71">
        <f t="shared" si="299"/>
        <v>1</v>
      </c>
      <c r="P2122" s="71">
        <f t="shared" si="300"/>
        <v>1</v>
      </c>
      <c r="Q2122" s="71">
        <f t="shared" si="301"/>
        <v>0</v>
      </c>
      <c r="R2122" s="71">
        <f t="shared" si="302"/>
        <v>0</v>
      </c>
      <c r="S2122" s="71">
        <f t="shared" si="303"/>
        <v>0</v>
      </c>
      <c r="T2122" s="71">
        <f t="shared" si="304"/>
        <v>0</v>
      </c>
      <c r="U2122" s="71">
        <f>IF(AND(N2122=1,V2122=1),IF(COUNTIFS(AKTIVITAS!$B$2:$B$3052,B2122,AKTIVITAS!$E$2:$E$3052,H2122)&gt;0,1,0),0)</f>
        <v>1</v>
      </c>
      <c r="V2122" s="71">
        <f>IFERROR(IF(AND(H2122&gt;=INDEX(PEMAGANG!$J$3:$J$36,MATCH(B2122,PEMAGANG!$C$3:$C$36,0)),H2122&lt;=INDEX(PEMAGANG!$K$3:$K$36,MATCH(B2122,PEMAGANG!$C$3:$C$36,0))),1,0),0)</f>
        <v>1</v>
      </c>
      <c r="W2122" s="71">
        <f t="shared" si="305"/>
        <v>1</v>
      </c>
    </row>
    <row r="2123" spans="1:23" x14ac:dyDescent="0.2">
      <c r="A2123" s="71" t="s">
        <v>275</v>
      </c>
      <c r="B2123" s="71" t="s">
        <v>276</v>
      </c>
      <c r="C2123" s="71" t="s">
        <v>187</v>
      </c>
      <c r="D2123" s="71" t="s">
        <v>277</v>
      </c>
      <c r="E2123" s="71" t="s">
        <v>41</v>
      </c>
      <c r="F2123" s="71" t="s">
        <v>300</v>
      </c>
      <c r="G2123" s="88">
        <v>46294.688703703701</v>
      </c>
      <c r="H2123" s="89">
        <v>46294</v>
      </c>
      <c r="I2123" s="71" t="s">
        <v>336</v>
      </c>
      <c r="J2123" s="71">
        <v>0</v>
      </c>
      <c r="K2123" s="71" t="s">
        <v>302</v>
      </c>
      <c r="L2123" s="71">
        <f t="shared" si="297"/>
        <v>9</v>
      </c>
      <c r="M2123" s="71" t="str">
        <f>IFERROR(INDEX(KALENDER!$D$3:$D$132,MATCH(H2123,KALENDER!$A$3:$A$132,0)),"Di luar periode")</f>
        <v>Hari Kerja</v>
      </c>
      <c r="N2123" s="71">
        <f t="shared" si="298"/>
        <v>0</v>
      </c>
      <c r="O2123" s="71">
        <f t="shared" si="299"/>
        <v>1</v>
      </c>
      <c r="P2123" s="71">
        <f t="shared" si="300"/>
        <v>0</v>
      </c>
      <c r="Q2123" s="71">
        <f t="shared" si="301"/>
        <v>0</v>
      </c>
      <c r="R2123" s="71">
        <f t="shared" si="302"/>
        <v>0</v>
      </c>
      <c r="S2123" s="71">
        <f t="shared" si="303"/>
        <v>0</v>
      </c>
      <c r="T2123" s="71">
        <f t="shared" si="304"/>
        <v>0</v>
      </c>
      <c r="U2123" s="71">
        <f>IF(AND(N2123=1,V2123=1),IF(COUNTIFS(AKTIVITAS!$B$2:$B$3052,B2123,AKTIVITAS!$E$2:$E$3052,H2123)&gt;0,1,0),0)</f>
        <v>0</v>
      </c>
      <c r="V2123" s="71">
        <f>IFERROR(IF(AND(H2123&gt;=INDEX(PEMAGANG!$J$3:$J$36,MATCH(B2123,PEMAGANG!$C$3:$C$36,0)),H2123&lt;=INDEX(PEMAGANG!$K$3:$K$36,MATCH(B2123,PEMAGANG!$C$3:$C$36,0))),1,0),0)</f>
        <v>1</v>
      </c>
      <c r="W2123" s="71">
        <f t="shared" si="305"/>
        <v>0</v>
      </c>
    </row>
    <row r="2124" spans="1:23" x14ac:dyDescent="0.2">
      <c r="A2124" s="71" t="s">
        <v>275</v>
      </c>
      <c r="B2124" s="71" t="s">
        <v>276</v>
      </c>
      <c r="C2124" s="71" t="s">
        <v>187</v>
      </c>
      <c r="D2124" s="71" t="s">
        <v>277</v>
      </c>
      <c r="E2124" s="71" t="s">
        <v>41</v>
      </c>
      <c r="F2124" s="71" t="s">
        <v>298</v>
      </c>
      <c r="G2124" s="88">
        <v>46295.304571759298</v>
      </c>
      <c r="H2124" s="89">
        <v>46295</v>
      </c>
      <c r="I2124" s="71" t="s">
        <v>326</v>
      </c>
      <c r="J2124" s="71">
        <v>-12</v>
      </c>
      <c r="K2124" s="71" t="s">
        <v>302</v>
      </c>
      <c r="L2124" s="71">
        <f t="shared" si="297"/>
        <v>9</v>
      </c>
      <c r="M2124" s="71" t="str">
        <f>IFERROR(INDEX(KALENDER!$D$3:$D$132,MATCH(H2124,KALENDER!$A$3:$A$132,0)),"Di luar periode")</f>
        <v>Hari Kerja</v>
      </c>
      <c r="N2124" s="71">
        <f t="shared" si="298"/>
        <v>1</v>
      </c>
      <c r="O2124" s="71">
        <f t="shared" si="299"/>
        <v>1</v>
      </c>
      <c r="P2124" s="71">
        <f t="shared" si="300"/>
        <v>1</v>
      </c>
      <c r="Q2124" s="71">
        <f t="shared" si="301"/>
        <v>0</v>
      </c>
      <c r="R2124" s="71">
        <f t="shared" si="302"/>
        <v>0</v>
      </c>
      <c r="S2124" s="71">
        <f t="shared" si="303"/>
        <v>0</v>
      </c>
      <c r="T2124" s="71">
        <f t="shared" si="304"/>
        <v>0</v>
      </c>
      <c r="U2124" s="71">
        <f>IF(AND(N2124=1,V2124=1),IF(COUNTIFS(AKTIVITAS!$B$2:$B$3052,B2124,AKTIVITAS!$E$2:$E$3052,H2124)&gt;0,1,0),0)</f>
        <v>1</v>
      </c>
      <c r="V2124" s="71">
        <f>IFERROR(IF(AND(H2124&gt;=INDEX(PEMAGANG!$J$3:$J$36,MATCH(B2124,PEMAGANG!$C$3:$C$36,0)),H2124&lt;=INDEX(PEMAGANG!$K$3:$K$36,MATCH(B2124,PEMAGANG!$C$3:$C$36,0))),1,0),0)</f>
        <v>1</v>
      </c>
      <c r="W2124" s="71">
        <f t="shared" si="305"/>
        <v>1</v>
      </c>
    </row>
    <row r="2125" spans="1:23" x14ac:dyDescent="0.2">
      <c r="A2125" s="71" t="s">
        <v>275</v>
      </c>
      <c r="B2125" s="71" t="s">
        <v>276</v>
      </c>
      <c r="C2125" s="71" t="s">
        <v>187</v>
      </c>
      <c r="D2125" s="71" t="s">
        <v>277</v>
      </c>
      <c r="E2125" s="71" t="s">
        <v>41</v>
      </c>
      <c r="F2125" s="71" t="s">
        <v>300</v>
      </c>
      <c r="G2125" s="88">
        <v>46295.707106481503</v>
      </c>
      <c r="H2125" s="89">
        <v>46295</v>
      </c>
      <c r="I2125" s="71" t="s">
        <v>579</v>
      </c>
      <c r="J2125" s="71">
        <v>0</v>
      </c>
      <c r="K2125" s="71" t="s">
        <v>302</v>
      </c>
      <c r="L2125" s="71">
        <f t="shared" si="297"/>
        <v>9</v>
      </c>
      <c r="M2125" s="71" t="str">
        <f>IFERROR(INDEX(KALENDER!$D$3:$D$132,MATCH(H2125,KALENDER!$A$3:$A$132,0)),"Di luar periode")</f>
        <v>Hari Kerja</v>
      </c>
      <c r="N2125" s="71">
        <f t="shared" si="298"/>
        <v>0</v>
      </c>
      <c r="O2125" s="71">
        <f t="shared" si="299"/>
        <v>1</v>
      </c>
      <c r="P2125" s="71">
        <f t="shared" si="300"/>
        <v>0</v>
      </c>
      <c r="Q2125" s="71">
        <f t="shared" si="301"/>
        <v>0</v>
      </c>
      <c r="R2125" s="71">
        <f t="shared" si="302"/>
        <v>0</v>
      </c>
      <c r="S2125" s="71">
        <f t="shared" si="303"/>
        <v>0</v>
      </c>
      <c r="T2125" s="71">
        <f t="shared" si="304"/>
        <v>0</v>
      </c>
      <c r="U2125" s="71">
        <f>IF(AND(N2125=1,V2125=1),IF(COUNTIFS(AKTIVITAS!$B$2:$B$3052,B2125,AKTIVITAS!$E$2:$E$3052,H2125)&gt;0,1,0),0)</f>
        <v>0</v>
      </c>
      <c r="V2125" s="71">
        <f>IFERROR(IF(AND(H2125&gt;=INDEX(PEMAGANG!$J$3:$J$36,MATCH(B2125,PEMAGANG!$C$3:$C$36,0)),H2125&lt;=INDEX(PEMAGANG!$K$3:$K$36,MATCH(B2125,PEMAGANG!$C$3:$C$36,0))),1,0),0)</f>
        <v>1</v>
      </c>
      <c r="W2125" s="71">
        <f t="shared" si="305"/>
        <v>0</v>
      </c>
    </row>
    <row r="2126" spans="1:23" x14ac:dyDescent="0.2">
      <c r="A2126" s="71" t="s">
        <v>613</v>
      </c>
      <c r="B2126" s="71" t="s">
        <v>614</v>
      </c>
      <c r="C2126" s="71" t="s">
        <v>187</v>
      </c>
      <c r="D2126" s="71" t="s">
        <v>421</v>
      </c>
      <c r="E2126" s="71" t="s">
        <v>422</v>
      </c>
      <c r="F2126" s="71" t="s">
        <v>300</v>
      </c>
      <c r="G2126" s="88">
        <v>46230.291956018496</v>
      </c>
      <c r="H2126" s="89">
        <v>46230</v>
      </c>
      <c r="I2126" s="71" t="s">
        <v>615</v>
      </c>
      <c r="J2126" s="71">
        <v>0</v>
      </c>
      <c r="K2126" s="71" t="s">
        <v>302</v>
      </c>
      <c r="L2126" s="71">
        <f t="shared" si="297"/>
        <v>7</v>
      </c>
      <c r="M2126" s="71" t="str">
        <f>IFERROR(INDEX(KALENDER!$D$3:$D$132,MATCH(H2126,KALENDER!$A$3:$A$132,0)),"Di luar periode")</f>
        <v>Hari Kerja</v>
      </c>
      <c r="N2126" s="71">
        <f t="shared" si="298"/>
        <v>1</v>
      </c>
      <c r="O2126" s="71">
        <f t="shared" si="299"/>
        <v>0</v>
      </c>
      <c r="P2126" s="71">
        <f t="shared" si="300"/>
        <v>0</v>
      </c>
      <c r="Q2126" s="71">
        <f t="shared" si="301"/>
        <v>1</v>
      </c>
      <c r="R2126" s="71">
        <f t="shared" si="302"/>
        <v>0</v>
      </c>
      <c r="S2126" s="71">
        <f t="shared" si="303"/>
        <v>0</v>
      </c>
      <c r="T2126" s="71">
        <f t="shared" si="304"/>
        <v>0</v>
      </c>
      <c r="U2126" s="71">
        <f>IF(AND(N2126=1,V2126=1),IF(COUNTIFS(AKTIVITAS!$B$2:$B$3052,B2126,AKTIVITAS!$E$2:$E$3052,H2126)&gt;0,1,0),0)</f>
        <v>0</v>
      </c>
      <c r="V2126" s="71">
        <f>IFERROR(IF(AND(H2126&gt;=INDEX(PEMAGANG!$J$3:$J$36,MATCH(B2126,PEMAGANG!$C$3:$C$36,0)),H2126&lt;=INDEX(PEMAGANG!$K$3:$K$36,MATCH(B2126,PEMAGANG!$C$3:$C$36,0))),1,0),0)</f>
        <v>0</v>
      </c>
      <c r="W2126" s="71">
        <f t="shared" si="305"/>
        <v>0</v>
      </c>
    </row>
    <row r="2127" spans="1:23" x14ac:dyDescent="0.2">
      <c r="A2127" s="71" t="s">
        <v>613</v>
      </c>
      <c r="B2127" s="71" t="s">
        <v>614</v>
      </c>
      <c r="C2127" s="71" t="s">
        <v>187</v>
      </c>
      <c r="D2127" s="71" t="s">
        <v>421</v>
      </c>
      <c r="E2127" s="71" t="s">
        <v>422</v>
      </c>
      <c r="F2127" s="71" t="s">
        <v>298</v>
      </c>
      <c r="G2127" s="88">
        <v>46230.789490740703</v>
      </c>
      <c r="H2127" s="89">
        <v>46230</v>
      </c>
      <c r="I2127" s="71" t="s">
        <v>616</v>
      </c>
      <c r="J2127" s="71">
        <v>656</v>
      </c>
      <c r="K2127" s="71" t="s">
        <v>293</v>
      </c>
      <c r="L2127" s="71">
        <f t="shared" si="297"/>
        <v>7</v>
      </c>
      <c r="M2127" s="71" t="str">
        <f>IFERROR(INDEX(KALENDER!$D$3:$D$132,MATCH(H2127,KALENDER!$A$3:$A$132,0)),"Di luar periode")</f>
        <v>Hari Kerja</v>
      </c>
      <c r="N2127" s="71">
        <f t="shared" si="298"/>
        <v>0</v>
      </c>
      <c r="O2127" s="71">
        <f t="shared" si="299"/>
        <v>1</v>
      </c>
      <c r="P2127" s="71">
        <f t="shared" si="300"/>
        <v>0</v>
      </c>
      <c r="Q2127" s="71">
        <f t="shared" si="301"/>
        <v>0</v>
      </c>
      <c r="R2127" s="71">
        <f t="shared" si="302"/>
        <v>0</v>
      </c>
      <c r="S2127" s="71">
        <f t="shared" si="303"/>
        <v>0</v>
      </c>
      <c r="T2127" s="71">
        <f t="shared" si="304"/>
        <v>0</v>
      </c>
      <c r="U2127" s="71">
        <f>IF(AND(N2127=1,V2127=1),IF(COUNTIFS(AKTIVITAS!$B$2:$B$3052,B2127,AKTIVITAS!$E$2:$E$3052,H2127)&gt;0,1,0),0)</f>
        <v>0</v>
      </c>
      <c r="V2127" s="71">
        <f>IFERROR(IF(AND(H2127&gt;=INDEX(PEMAGANG!$J$3:$J$36,MATCH(B2127,PEMAGANG!$C$3:$C$36,0)),H2127&lt;=INDEX(PEMAGANG!$K$3:$K$36,MATCH(B2127,PEMAGANG!$C$3:$C$36,0))),1,0),0)</f>
        <v>0</v>
      </c>
      <c r="W2127" s="71">
        <f t="shared" si="305"/>
        <v>0</v>
      </c>
    </row>
    <row r="2128" spans="1:23" x14ac:dyDescent="0.2">
      <c r="A2128" s="71" t="s">
        <v>613</v>
      </c>
      <c r="B2128" s="71" t="s">
        <v>614</v>
      </c>
      <c r="C2128" s="71" t="s">
        <v>187</v>
      </c>
      <c r="D2128" s="71" t="s">
        <v>421</v>
      </c>
      <c r="E2128" s="71" t="s">
        <v>422</v>
      </c>
      <c r="F2128" s="71" t="s">
        <v>300</v>
      </c>
      <c r="G2128" s="88">
        <v>46231.28875</v>
      </c>
      <c r="H2128" s="89">
        <v>46231</v>
      </c>
      <c r="I2128" s="71" t="s">
        <v>353</v>
      </c>
      <c r="J2128" s="71">
        <v>0</v>
      </c>
      <c r="K2128" s="71" t="s">
        <v>302</v>
      </c>
      <c r="L2128" s="71">
        <f t="shared" si="297"/>
        <v>7</v>
      </c>
      <c r="M2128" s="71" t="str">
        <f>IFERROR(INDEX(KALENDER!$D$3:$D$132,MATCH(H2128,KALENDER!$A$3:$A$132,0)),"Di luar periode")</f>
        <v>Hari Kerja</v>
      </c>
      <c r="N2128" s="71">
        <f t="shared" si="298"/>
        <v>1</v>
      </c>
      <c r="O2128" s="71">
        <f t="shared" si="299"/>
        <v>0</v>
      </c>
      <c r="P2128" s="71">
        <f t="shared" si="300"/>
        <v>0</v>
      </c>
      <c r="Q2128" s="71">
        <f t="shared" si="301"/>
        <v>1</v>
      </c>
      <c r="R2128" s="71">
        <f t="shared" si="302"/>
        <v>0</v>
      </c>
      <c r="S2128" s="71">
        <f t="shared" si="303"/>
        <v>0</v>
      </c>
      <c r="T2128" s="71">
        <f t="shared" si="304"/>
        <v>0</v>
      </c>
      <c r="U2128" s="71">
        <f>IF(AND(N2128=1,V2128=1),IF(COUNTIFS(AKTIVITAS!$B$2:$B$3052,B2128,AKTIVITAS!$E$2:$E$3052,H2128)&gt;0,1,0),0)</f>
        <v>0</v>
      </c>
      <c r="V2128" s="71">
        <f>IFERROR(IF(AND(H2128&gt;=INDEX(PEMAGANG!$J$3:$J$36,MATCH(B2128,PEMAGANG!$C$3:$C$36,0)),H2128&lt;=INDEX(PEMAGANG!$K$3:$K$36,MATCH(B2128,PEMAGANG!$C$3:$C$36,0))),1,0),0)</f>
        <v>0</v>
      </c>
      <c r="W2128" s="71">
        <f t="shared" si="305"/>
        <v>0</v>
      </c>
    </row>
    <row r="2129" spans="1:23" x14ac:dyDescent="0.2">
      <c r="A2129" s="71" t="s">
        <v>613</v>
      </c>
      <c r="B2129" s="71" t="s">
        <v>614</v>
      </c>
      <c r="C2129" s="71" t="s">
        <v>187</v>
      </c>
      <c r="D2129" s="71" t="s">
        <v>421</v>
      </c>
      <c r="E2129" s="71" t="s">
        <v>422</v>
      </c>
      <c r="F2129" s="71" t="s">
        <v>298</v>
      </c>
      <c r="G2129" s="88">
        <v>46232.620173611103</v>
      </c>
      <c r="H2129" s="89">
        <v>46232</v>
      </c>
      <c r="I2129" s="71" t="s">
        <v>617</v>
      </c>
      <c r="J2129" s="71">
        <v>413</v>
      </c>
      <c r="K2129" s="71" t="s">
        <v>293</v>
      </c>
      <c r="L2129" s="71">
        <f t="shared" si="297"/>
        <v>7</v>
      </c>
      <c r="M2129" s="71" t="str">
        <f>IFERROR(INDEX(KALENDER!$D$3:$D$132,MATCH(H2129,KALENDER!$A$3:$A$132,0)),"Di luar periode")</f>
        <v>WFH</v>
      </c>
      <c r="N2129" s="71">
        <f t="shared" si="298"/>
        <v>1</v>
      </c>
      <c r="O2129" s="71">
        <f t="shared" si="299"/>
        <v>1</v>
      </c>
      <c r="P2129" s="71">
        <f t="shared" si="300"/>
        <v>0</v>
      </c>
      <c r="Q2129" s="71">
        <f t="shared" si="301"/>
        <v>1</v>
      </c>
      <c r="R2129" s="71">
        <f t="shared" si="302"/>
        <v>0</v>
      </c>
      <c r="S2129" s="71">
        <f t="shared" si="303"/>
        <v>0</v>
      </c>
      <c r="T2129" s="71">
        <f t="shared" si="304"/>
        <v>0</v>
      </c>
      <c r="U2129" s="71">
        <f>IF(AND(N2129=1,V2129=1),IF(COUNTIFS(AKTIVITAS!$B$2:$B$3052,B2129,AKTIVITAS!$E$2:$E$3052,H2129)&gt;0,1,0),0)</f>
        <v>0</v>
      </c>
      <c r="V2129" s="71">
        <f>IFERROR(IF(AND(H2129&gt;=INDEX(PEMAGANG!$J$3:$J$36,MATCH(B2129,PEMAGANG!$C$3:$C$36,0)),H2129&lt;=INDEX(PEMAGANG!$K$3:$K$36,MATCH(B2129,PEMAGANG!$C$3:$C$36,0))),1,0),0)</f>
        <v>0</v>
      </c>
      <c r="W2129" s="71">
        <f t="shared" si="305"/>
        <v>0</v>
      </c>
    </row>
    <row r="2130" spans="1:23" x14ac:dyDescent="0.2">
      <c r="A2130" s="71" t="s">
        <v>613</v>
      </c>
      <c r="B2130" s="71" t="s">
        <v>614</v>
      </c>
      <c r="C2130" s="71" t="s">
        <v>187</v>
      </c>
      <c r="D2130" s="71" t="s">
        <v>421</v>
      </c>
      <c r="E2130" s="71" t="s">
        <v>422</v>
      </c>
      <c r="F2130" s="71" t="s">
        <v>300</v>
      </c>
      <c r="G2130" s="88">
        <v>46232.956666666701</v>
      </c>
      <c r="H2130" s="89">
        <v>46232</v>
      </c>
      <c r="I2130" s="71" t="s">
        <v>618</v>
      </c>
      <c r="J2130" s="71">
        <v>0</v>
      </c>
      <c r="K2130" s="71" t="s">
        <v>302</v>
      </c>
      <c r="L2130" s="71">
        <f t="shared" si="297"/>
        <v>7</v>
      </c>
      <c r="M2130" s="71" t="str">
        <f>IFERROR(INDEX(KALENDER!$D$3:$D$132,MATCH(H2130,KALENDER!$A$3:$A$132,0)),"Di luar periode")</f>
        <v>WFH</v>
      </c>
      <c r="N2130" s="71">
        <f t="shared" si="298"/>
        <v>0</v>
      </c>
      <c r="O2130" s="71">
        <f t="shared" si="299"/>
        <v>1</v>
      </c>
      <c r="P2130" s="71">
        <f t="shared" si="300"/>
        <v>0</v>
      </c>
      <c r="Q2130" s="71">
        <f t="shared" si="301"/>
        <v>0</v>
      </c>
      <c r="R2130" s="71">
        <f t="shared" si="302"/>
        <v>0</v>
      </c>
      <c r="S2130" s="71">
        <f t="shared" si="303"/>
        <v>0</v>
      </c>
      <c r="T2130" s="71">
        <f t="shared" si="304"/>
        <v>0</v>
      </c>
      <c r="U2130" s="71">
        <f>IF(AND(N2130=1,V2130=1),IF(COUNTIFS(AKTIVITAS!$B$2:$B$3052,B2130,AKTIVITAS!$E$2:$E$3052,H2130)&gt;0,1,0),0)</f>
        <v>0</v>
      </c>
      <c r="V2130" s="71">
        <f>IFERROR(IF(AND(H2130&gt;=INDEX(PEMAGANG!$J$3:$J$36,MATCH(B2130,PEMAGANG!$C$3:$C$36,0)),H2130&lt;=INDEX(PEMAGANG!$K$3:$K$36,MATCH(B2130,PEMAGANG!$C$3:$C$36,0))),1,0),0)</f>
        <v>0</v>
      </c>
      <c r="W2130" s="71">
        <f t="shared" si="305"/>
        <v>0</v>
      </c>
    </row>
    <row r="2131" spans="1:23" x14ac:dyDescent="0.2">
      <c r="A2131" s="71" t="s">
        <v>613</v>
      </c>
      <c r="B2131" s="71" t="s">
        <v>614</v>
      </c>
      <c r="C2131" s="71" t="s">
        <v>187</v>
      </c>
      <c r="D2131" s="71" t="s">
        <v>421</v>
      </c>
      <c r="E2131" s="71" t="s">
        <v>422</v>
      </c>
      <c r="F2131" s="71" t="s">
        <v>298</v>
      </c>
      <c r="G2131" s="88">
        <v>46233.622546296298</v>
      </c>
      <c r="H2131" s="89">
        <v>46233</v>
      </c>
      <c r="I2131" s="71" t="s">
        <v>619</v>
      </c>
      <c r="J2131" s="71">
        <v>416</v>
      </c>
      <c r="K2131" s="71" t="s">
        <v>293</v>
      </c>
      <c r="L2131" s="71">
        <f t="shared" si="297"/>
        <v>7</v>
      </c>
      <c r="M2131" s="71" t="str">
        <f>IFERROR(INDEX(KALENDER!$D$3:$D$132,MATCH(H2131,KALENDER!$A$3:$A$132,0)),"Di luar periode")</f>
        <v>Hari Kerja</v>
      </c>
      <c r="N2131" s="71">
        <f t="shared" si="298"/>
        <v>1</v>
      </c>
      <c r="O2131" s="71">
        <f t="shared" si="299"/>
        <v>1</v>
      </c>
      <c r="P2131" s="71">
        <f t="shared" si="300"/>
        <v>0</v>
      </c>
      <c r="Q2131" s="71">
        <f t="shared" si="301"/>
        <v>1</v>
      </c>
      <c r="R2131" s="71">
        <f t="shared" si="302"/>
        <v>0</v>
      </c>
      <c r="S2131" s="71">
        <f t="shared" si="303"/>
        <v>0</v>
      </c>
      <c r="T2131" s="71">
        <f t="shared" si="304"/>
        <v>0</v>
      </c>
      <c r="U2131" s="71">
        <f>IF(AND(N2131=1,V2131=1),IF(COUNTIFS(AKTIVITAS!$B$2:$B$3052,B2131,AKTIVITAS!$E$2:$E$3052,H2131)&gt;0,1,0),0)</f>
        <v>0</v>
      </c>
      <c r="V2131" s="71">
        <f>IFERROR(IF(AND(H2131&gt;=INDEX(PEMAGANG!$J$3:$J$36,MATCH(B2131,PEMAGANG!$C$3:$C$36,0)),H2131&lt;=INDEX(PEMAGANG!$K$3:$K$36,MATCH(B2131,PEMAGANG!$C$3:$C$36,0))),1,0),0)</f>
        <v>0</v>
      </c>
      <c r="W2131" s="71">
        <f t="shared" si="305"/>
        <v>0</v>
      </c>
    </row>
    <row r="2132" spans="1:23" x14ac:dyDescent="0.2">
      <c r="A2132" s="71" t="s">
        <v>613</v>
      </c>
      <c r="B2132" s="71" t="s">
        <v>614</v>
      </c>
      <c r="C2132" s="71" t="s">
        <v>187</v>
      </c>
      <c r="D2132" s="71" t="s">
        <v>421</v>
      </c>
      <c r="E2132" s="71" t="s">
        <v>422</v>
      </c>
      <c r="F2132" s="71" t="s">
        <v>300</v>
      </c>
      <c r="G2132" s="88">
        <v>46233.9582407407</v>
      </c>
      <c r="H2132" s="89">
        <v>46233</v>
      </c>
      <c r="I2132" s="71" t="s">
        <v>620</v>
      </c>
      <c r="J2132" s="71">
        <v>0</v>
      </c>
      <c r="K2132" s="71" t="s">
        <v>302</v>
      </c>
      <c r="L2132" s="71">
        <f t="shared" si="297"/>
        <v>7</v>
      </c>
      <c r="M2132" s="71" t="str">
        <f>IFERROR(INDEX(KALENDER!$D$3:$D$132,MATCH(H2132,KALENDER!$A$3:$A$132,0)),"Di luar periode")</f>
        <v>Hari Kerja</v>
      </c>
      <c r="N2132" s="71">
        <f t="shared" si="298"/>
        <v>0</v>
      </c>
      <c r="O2132" s="71">
        <f t="shared" si="299"/>
        <v>1</v>
      </c>
      <c r="P2132" s="71">
        <f t="shared" si="300"/>
        <v>0</v>
      </c>
      <c r="Q2132" s="71">
        <f t="shared" si="301"/>
        <v>0</v>
      </c>
      <c r="R2132" s="71">
        <f t="shared" si="302"/>
        <v>0</v>
      </c>
      <c r="S2132" s="71">
        <f t="shared" si="303"/>
        <v>0</v>
      </c>
      <c r="T2132" s="71">
        <f t="shared" si="304"/>
        <v>0</v>
      </c>
      <c r="U2132" s="71">
        <f>IF(AND(N2132=1,V2132=1),IF(COUNTIFS(AKTIVITAS!$B$2:$B$3052,B2132,AKTIVITAS!$E$2:$E$3052,H2132)&gt;0,1,0),0)</f>
        <v>0</v>
      </c>
      <c r="V2132" s="71">
        <f>IFERROR(IF(AND(H2132&gt;=INDEX(PEMAGANG!$J$3:$J$36,MATCH(B2132,PEMAGANG!$C$3:$C$36,0)),H2132&lt;=INDEX(PEMAGANG!$K$3:$K$36,MATCH(B2132,PEMAGANG!$C$3:$C$36,0))),1,0),0)</f>
        <v>0</v>
      </c>
      <c r="W2132" s="71">
        <f t="shared" si="305"/>
        <v>0</v>
      </c>
    </row>
    <row r="2133" spans="1:23" x14ac:dyDescent="0.2">
      <c r="A2133" s="71" t="s">
        <v>613</v>
      </c>
      <c r="B2133" s="71" t="s">
        <v>614</v>
      </c>
      <c r="C2133" s="71" t="s">
        <v>187</v>
      </c>
      <c r="D2133" s="71" t="s">
        <v>421</v>
      </c>
      <c r="E2133" s="71" t="s">
        <v>422</v>
      </c>
      <c r="F2133" s="71" t="s">
        <v>298</v>
      </c>
      <c r="G2133" s="88">
        <v>46234.625972222202</v>
      </c>
      <c r="H2133" s="89">
        <v>46234</v>
      </c>
      <c r="I2133" s="71" t="s">
        <v>621</v>
      </c>
      <c r="J2133" s="71">
        <v>421</v>
      </c>
      <c r="K2133" s="71" t="s">
        <v>293</v>
      </c>
      <c r="L2133" s="71">
        <f t="shared" si="297"/>
        <v>7</v>
      </c>
      <c r="M2133" s="71" t="str">
        <f>IFERROR(INDEX(KALENDER!$D$3:$D$132,MATCH(H2133,KALENDER!$A$3:$A$132,0)),"Di luar periode")</f>
        <v>Hari Kerja</v>
      </c>
      <c r="N2133" s="71">
        <f t="shared" si="298"/>
        <v>1</v>
      </c>
      <c r="O2133" s="71">
        <f t="shared" si="299"/>
        <v>1</v>
      </c>
      <c r="P2133" s="71">
        <f t="shared" si="300"/>
        <v>0</v>
      </c>
      <c r="Q2133" s="71">
        <f t="shared" si="301"/>
        <v>1</v>
      </c>
      <c r="R2133" s="71">
        <f t="shared" si="302"/>
        <v>0</v>
      </c>
      <c r="S2133" s="71">
        <f t="shared" si="303"/>
        <v>0</v>
      </c>
      <c r="T2133" s="71">
        <f t="shared" si="304"/>
        <v>0</v>
      </c>
      <c r="U2133" s="71">
        <f>IF(AND(N2133=1,V2133=1),IF(COUNTIFS(AKTIVITAS!$B$2:$B$3052,B2133,AKTIVITAS!$E$2:$E$3052,H2133)&gt;0,1,0),0)</f>
        <v>0</v>
      </c>
      <c r="V2133" s="71">
        <f>IFERROR(IF(AND(H2133&gt;=INDEX(PEMAGANG!$J$3:$J$36,MATCH(B2133,PEMAGANG!$C$3:$C$36,0)),H2133&lt;=INDEX(PEMAGANG!$K$3:$K$36,MATCH(B2133,PEMAGANG!$C$3:$C$36,0))),1,0),0)</f>
        <v>0</v>
      </c>
      <c r="W2133" s="71">
        <f t="shared" si="305"/>
        <v>0</v>
      </c>
    </row>
    <row r="2134" spans="1:23" x14ac:dyDescent="0.2">
      <c r="A2134" s="71" t="s">
        <v>613</v>
      </c>
      <c r="B2134" s="71" t="s">
        <v>614</v>
      </c>
      <c r="C2134" s="71" t="s">
        <v>187</v>
      </c>
      <c r="D2134" s="71" t="s">
        <v>421</v>
      </c>
      <c r="E2134" s="71" t="s">
        <v>422</v>
      </c>
      <c r="F2134" s="71" t="s">
        <v>300</v>
      </c>
      <c r="G2134" s="88">
        <v>46234.953946759299</v>
      </c>
      <c r="H2134" s="89">
        <v>46234</v>
      </c>
      <c r="I2134" s="71" t="s">
        <v>622</v>
      </c>
      <c r="J2134" s="71">
        <v>0</v>
      </c>
      <c r="K2134" s="71" t="s">
        <v>302</v>
      </c>
      <c r="L2134" s="71">
        <f t="shared" si="297"/>
        <v>7</v>
      </c>
      <c r="M2134" s="71" t="str">
        <f>IFERROR(INDEX(KALENDER!$D$3:$D$132,MATCH(H2134,KALENDER!$A$3:$A$132,0)),"Di luar periode")</f>
        <v>Hari Kerja</v>
      </c>
      <c r="N2134" s="71">
        <f t="shared" si="298"/>
        <v>0</v>
      </c>
      <c r="O2134" s="71">
        <f t="shared" si="299"/>
        <v>1</v>
      </c>
      <c r="P2134" s="71">
        <f t="shared" si="300"/>
        <v>0</v>
      </c>
      <c r="Q2134" s="71">
        <f t="shared" si="301"/>
        <v>0</v>
      </c>
      <c r="R2134" s="71">
        <f t="shared" si="302"/>
        <v>0</v>
      </c>
      <c r="S2134" s="71">
        <f t="shared" si="303"/>
        <v>0</v>
      </c>
      <c r="T2134" s="71">
        <f t="shared" si="304"/>
        <v>0</v>
      </c>
      <c r="U2134" s="71">
        <f>IF(AND(N2134=1,V2134=1),IF(COUNTIFS(AKTIVITAS!$B$2:$B$3052,B2134,AKTIVITAS!$E$2:$E$3052,H2134)&gt;0,1,0),0)</f>
        <v>0</v>
      </c>
      <c r="V2134" s="71">
        <f>IFERROR(IF(AND(H2134&gt;=INDEX(PEMAGANG!$J$3:$J$36,MATCH(B2134,PEMAGANG!$C$3:$C$36,0)),H2134&lt;=INDEX(PEMAGANG!$K$3:$K$36,MATCH(B2134,PEMAGANG!$C$3:$C$36,0))),1,0),0)</f>
        <v>0</v>
      </c>
      <c r="W2134" s="71">
        <f t="shared" si="305"/>
        <v>0</v>
      </c>
    </row>
    <row r="2135" spans="1:23" x14ac:dyDescent="0.2">
      <c r="A2135" s="71" t="s">
        <v>613</v>
      </c>
      <c r="B2135" s="71" t="s">
        <v>614</v>
      </c>
      <c r="C2135" s="71" t="s">
        <v>187</v>
      </c>
      <c r="D2135" s="71" t="s">
        <v>421</v>
      </c>
      <c r="E2135" s="71" t="s">
        <v>422</v>
      </c>
      <c r="F2135" s="71" t="s">
        <v>298</v>
      </c>
      <c r="G2135" s="88">
        <v>46236.784016203703</v>
      </c>
      <c r="H2135" s="89">
        <v>46236</v>
      </c>
      <c r="I2135" s="71" t="s">
        <v>623</v>
      </c>
      <c r="J2135" s="71">
        <v>648</v>
      </c>
      <c r="K2135" s="71" t="s">
        <v>293</v>
      </c>
      <c r="L2135" s="71">
        <f t="shared" si="297"/>
        <v>8</v>
      </c>
      <c r="M2135" s="71" t="str">
        <f>IFERROR(INDEX(KALENDER!$D$3:$D$132,MATCH(H2135,KALENDER!$A$3:$A$132,0)),"Di luar periode")</f>
        <v>Libur (Sabtu/Minggu)</v>
      </c>
      <c r="N2135" s="71">
        <f t="shared" si="298"/>
        <v>1</v>
      </c>
      <c r="O2135" s="71">
        <f t="shared" si="299"/>
        <v>1</v>
      </c>
      <c r="P2135" s="71">
        <f t="shared" si="300"/>
        <v>0</v>
      </c>
      <c r="Q2135" s="71">
        <f t="shared" si="301"/>
        <v>1</v>
      </c>
      <c r="R2135" s="71">
        <f t="shared" si="302"/>
        <v>0</v>
      </c>
      <c r="S2135" s="71">
        <f t="shared" si="303"/>
        <v>0</v>
      </c>
      <c r="T2135" s="71">
        <f t="shared" si="304"/>
        <v>0</v>
      </c>
      <c r="U2135" s="71">
        <f>IF(AND(N2135=1,V2135=1),IF(COUNTIFS(AKTIVITAS!$B$2:$B$3052,B2135,AKTIVITAS!$E$2:$E$3052,H2135)&gt;0,1,0),0)</f>
        <v>0</v>
      </c>
      <c r="V2135" s="71">
        <f>IFERROR(IF(AND(H2135&gt;=INDEX(PEMAGANG!$J$3:$J$36,MATCH(B2135,PEMAGANG!$C$3:$C$36,0)),H2135&lt;=INDEX(PEMAGANG!$K$3:$K$36,MATCH(B2135,PEMAGANG!$C$3:$C$36,0))),1,0),0)</f>
        <v>0</v>
      </c>
      <c r="W2135" s="71">
        <f t="shared" si="305"/>
        <v>0</v>
      </c>
    </row>
    <row r="2136" spans="1:23" x14ac:dyDescent="0.2">
      <c r="A2136" s="71" t="s">
        <v>613</v>
      </c>
      <c r="B2136" s="71" t="s">
        <v>614</v>
      </c>
      <c r="C2136" s="71" t="s">
        <v>187</v>
      </c>
      <c r="D2136" s="71" t="s">
        <v>421</v>
      </c>
      <c r="E2136" s="71" t="s">
        <v>422</v>
      </c>
      <c r="F2136" s="71" t="s">
        <v>300</v>
      </c>
      <c r="G2136" s="88">
        <v>46237.289259259298</v>
      </c>
      <c r="H2136" s="89">
        <v>46237</v>
      </c>
      <c r="I2136" s="71" t="s">
        <v>504</v>
      </c>
      <c r="J2136" s="71">
        <v>0</v>
      </c>
      <c r="K2136" s="71" t="s">
        <v>302</v>
      </c>
      <c r="L2136" s="71">
        <f t="shared" si="297"/>
        <v>8</v>
      </c>
      <c r="M2136" s="71" t="str">
        <f>IFERROR(INDEX(KALENDER!$D$3:$D$132,MATCH(H2136,KALENDER!$A$3:$A$132,0)),"Di luar periode")</f>
        <v>Hari Kerja</v>
      </c>
      <c r="N2136" s="71">
        <f t="shared" si="298"/>
        <v>1</v>
      </c>
      <c r="O2136" s="71">
        <f t="shared" si="299"/>
        <v>0</v>
      </c>
      <c r="P2136" s="71">
        <f t="shared" si="300"/>
        <v>0</v>
      </c>
      <c r="Q2136" s="71">
        <f t="shared" si="301"/>
        <v>1</v>
      </c>
      <c r="R2136" s="71">
        <f t="shared" si="302"/>
        <v>0</v>
      </c>
      <c r="S2136" s="71">
        <f t="shared" si="303"/>
        <v>0</v>
      </c>
      <c r="T2136" s="71">
        <f t="shared" si="304"/>
        <v>0</v>
      </c>
      <c r="U2136" s="71">
        <f>IF(AND(N2136=1,V2136=1),IF(COUNTIFS(AKTIVITAS!$B$2:$B$3052,B2136,AKTIVITAS!$E$2:$E$3052,H2136)&gt;0,1,0),0)</f>
        <v>0</v>
      </c>
      <c r="V2136" s="71">
        <f>IFERROR(IF(AND(H2136&gt;=INDEX(PEMAGANG!$J$3:$J$36,MATCH(B2136,PEMAGANG!$C$3:$C$36,0)),H2136&lt;=INDEX(PEMAGANG!$K$3:$K$36,MATCH(B2136,PEMAGANG!$C$3:$C$36,0))),1,0),0)</f>
        <v>0</v>
      </c>
      <c r="W2136" s="71">
        <f t="shared" si="305"/>
        <v>0</v>
      </c>
    </row>
    <row r="2137" spans="1:23" x14ac:dyDescent="0.2">
      <c r="A2137" s="71" t="s">
        <v>613</v>
      </c>
      <c r="B2137" s="71" t="s">
        <v>614</v>
      </c>
      <c r="C2137" s="71" t="s">
        <v>187</v>
      </c>
      <c r="D2137" s="71" t="s">
        <v>421</v>
      </c>
      <c r="E2137" s="71" t="s">
        <v>422</v>
      </c>
      <c r="F2137" s="71" t="s">
        <v>298</v>
      </c>
      <c r="G2137" s="88">
        <v>46237.782812500001</v>
      </c>
      <c r="H2137" s="89">
        <v>46237</v>
      </c>
      <c r="I2137" s="71" t="s">
        <v>624</v>
      </c>
      <c r="J2137" s="71">
        <v>647</v>
      </c>
      <c r="K2137" s="71" t="s">
        <v>293</v>
      </c>
      <c r="L2137" s="71">
        <f t="shared" si="297"/>
        <v>8</v>
      </c>
      <c r="M2137" s="71" t="str">
        <f>IFERROR(INDEX(KALENDER!$D$3:$D$132,MATCH(H2137,KALENDER!$A$3:$A$132,0)),"Di luar periode")</f>
        <v>Hari Kerja</v>
      </c>
      <c r="N2137" s="71">
        <f t="shared" si="298"/>
        <v>0</v>
      </c>
      <c r="O2137" s="71">
        <f t="shared" si="299"/>
        <v>1</v>
      </c>
      <c r="P2137" s="71">
        <f t="shared" si="300"/>
        <v>0</v>
      </c>
      <c r="Q2137" s="71">
        <f t="shared" si="301"/>
        <v>0</v>
      </c>
      <c r="R2137" s="71">
        <f t="shared" si="302"/>
        <v>0</v>
      </c>
      <c r="S2137" s="71">
        <f t="shared" si="303"/>
        <v>0</v>
      </c>
      <c r="T2137" s="71">
        <f t="shared" si="304"/>
        <v>0</v>
      </c>
      <c r="U2137" s="71">
        <f>IF(AND(N2137=1,V2137=1),IF(COUNTIFS(AKTIVITAS!$B$2:$B$3052,B2137,AKTIVITAS!$E$2:$E$3052,H2137)&gt;0,1,0),0)</f>
        <v>0</v>
      </c>
      <c r="V2137" s="71">
        <f>IFERROR(IF(AND(H2137&gt;=INDEX(PEMAGANG!$J$3:$J$36,MATCH(B2137,PEMAGANG!$C$3:$C$36,0)),H2137&lt;=INDEX(PEMAGANG!$K$3:$K$36,MATCH(B2137,PEMAGANG!$C$3:$C$36,0))),1,0),0)</f>
        <v>0</v>
      </c>
      <c r="W2137" s="71">
        <f t="shared" si="305"/>
        <v>0</v>
      </c>
    </row>
    <row r="2138" spans="1:23" x14ac:dyDescent="0.2">
      <c r="A2138" s="71" t="s">
        <v>613</v>
      </c>
      <c r="B2138" s="71" t="s">
        <v>614</v>
      </c>
      <c r="C2138" s="71" t="s">
        <v>187</v>
      </c>
      <c r="D2138" s="71" t="s">
        <v>421</v>
      </c>
      <c r="E2138" s="71" t="s">
        <v>422</v>
      </c>
      <c r="F2138" s="71" t="s">
        <v>298</v>
      </c>
      <c r="G2138" s="88">
        <v>46238.6375694444</v>
      </c>
      <c r="H2138" s="89">
        <v>46238</v>
      </c>
      <c r="I2138" s="71" t="s">
        <v>625</v>
      </c>
      <c r="J2138" s="71">
        <v>438</v>
      </c>
      <c r="K2138" s="71" t="s">
        <v>293</v>
      </c>
      <c r="L2138" s="71">
        <f t="shared" si="297"/>
        <v>8</v>
      </c>
      <c r="M2138" s="71" t="str">
        <f>IFERROR(INDEX(KALENDER!$D$3:$D$132,MATCH(H2138,KALENDER!$A$3:$A$132,0)),"Di luar periode")</f>
        <v>Hari Kerja</v>
      </c>
      <c r="N2138" s="71">
        <f t="shared" si="298"/>
        <v>1</v>
      </c>
      <c r="O2138" s="71">
        <f t="shared" si="299"/>
        <v>1</v>
      </c>
      <c r="P2138" s="71">
        <f t="shared" si="300"/>
        <v>0</v>
      </c>
      <c r="Q2138" s="71">
        <f t="shared" si="301"/>
        <v>1</v>
      </c>
      <c r="R2138" s="71">
        <f t="shared" si="302"/>
        <v>0</v>
      </c>
      <c r="S2138" s="71">
        <f t="shared" si="303"/>
        <v>0</v>
      </c>
      <c r="T2138" s="71">
        <f t="shared" si="304"/>
        <v>0</v>
      </c>
      <c r="U2138" s="71">
        <f>IF(AND(N2138=1,V2138=1),IF(COUNTIFS(AKTIVITAS!$B$2:$B$3052,B2138,AKTIVITAS!$E$2:$E$3052,H2138)&gt;0,1,0),0)</f>
        <v>0</v>
      </c>
      <c r="V2138" s="71">
        <f>IFERROR(IF(AND(H2138&gt;=INDEX(PEMAGANG!$J$3:$J$36,MATCH(B2138,PEMAGANG!$C$3:$C$36,0)),H2138&lt;=INDEX(PEMAGANG!$K$3:$K$36,MATCH(B2138,PEMAGANG!$C$3:$C$36,0))),1,0),0)</f>
        <v>0</v>
      </c>
      <c r="W2138" s="71">
        <f t="shared" si="305"/>
        <v>0</v>
      </c>
    </row>
    <row r="2139" spans="1:23" x14ac:dyDescent="0.2">
      <c r="A2139" s="71" t="s">
        <v>613</v>
      </c>
      <c r="B2139" s="71" t="s">
        <v>614</v>
      </c>
      <c r="C2139" s="71" t="s">
        <v>187</v>
      </c>
      <c r="D2139" s="71" t="s">
        <v>421</v>
      </c>
      <c r="E2139" s="71" t="s">
        <v>422</v>
      </c>
      <c r="F2139" s="71" t="s">
        <v>300</v>
      </c>
      <c r="G2139" s="88">
        <v>46238.9578819444</v>
      </c>
      <c r="H2139" s="89">
        <v>46238</v>
      </c>
      <c r="I2139" s="71" t="s">
        <v>620</v>
      </c>
      <c r="J2139" s="71">
        <v>0</v>
      </c>
      <c r="K2139" s="71" t="s">
        <v>302</v>
      </c>
      <c r="L2139" s="71">
        <f t="shared" si="297"/>
        <v>8</v>
      </c>
      <c r="M2139" s="71" t="str">
        <f>IFERROR(INDEX(KALENDER!$D$3:$D$132,MATCH(H2139,KALENDER!$A$3:$A$132,0)),"Di luar periode")</f>
        <v>Hari Kerja</v>
      </c>
      <c r="N2139" s="71">
        <f t="shared" si="298"/>
        <v>0</v>
      </c>
      <c r="O2139" s="71">
        <f t="shared" si="299"/>
        <v>1</v>
      </c>
      <c r="P2139" s="71">
        <f t="shared" si="300"/>
        <v>0</v>
      </c>
      <c r="Q2139" s="71">
        <f t="shared" si="301"/>
        <v>0</v>
      </c>
      <c r="R2139" s="71">
        <f t="shared" si="302"/>
        <v>0</v>
      </c>
      <c r="S2139" s="71">
        <f t="shared" si="303"/>
        <v>0</v>
      </c>
      <c r="T2139" s="71">
        <f t="shared" si="304"/>
        <v>0</v>
      </c>
      <c r="U2139" s="71">
        <f>IF(AND(N2139=1,V2139=1),IF(COUNTIFS(AKTIVITAS!$B$2:$B$3052,B2139,AKTIVITAS!$E$2:$E$3052,H2139)&gt;0,1,0),0)</f>
        <v>0</v>
      </c>
      <c r="V2139" s="71">
        <f>IFERROR(IF(AND(H2139&gt;=INDEX(PEMAGANG!$J$3:$J$36,MATCH(B2139,PEMAGANG!$C$3:$C$36,0)),H2139&lt;=INDEX(PEMAGANG!$K$3:$K$36,MATCH(B2139,PEMAGANG!$C$3:$C$36,0))),1,0),0)</f>
        <v>0</v>
      </c>
      <c r="W2139" s="71">
        <f t="shared" si="305"/>
        <v>0</v>
      </c>
    </row>
    <row r="2140" spans="1:23" x14ac:dyDescent="0.2">
      <c r="A2140" s="71" t="s">
        <v>613</v>
      </c>
      <c r="B2140" s="71" t="s">
        <v>614</v>
      </c>
      <c r="C2140" s="71" t="s">
        <v>187</v>
      </c>
      <c r="D2140" s="71" t="s">
        <v>421</v>
      </c>
      <c r="E2140" s="71" t="s">
        <v>422</v>
      </c>
      <c r="F2140" s="71" t="s">
        <v>298</v>
      </c>
      <c r="G2140" s="88">
        <v>46239.620810185203</v>
      </c>
      <c r="H2140" s="89">
        <v>46239</v>
      </c>
      <c r="I2140" s="71" t="s">
        <v>617</v>
      </c>
      <c r="J2140" s="71">
        <v>413</v>
      </c>
      <c r="K2140" s="71" t="s">
        <v>293</v>
      </c>
      <c r="L2140" s="71">
        <f t="shared" si="297"/>
        <v>8</v>
      </c>
      <c r="M2140" s="71" t="str">
        <f>IFERROR(INDEX(KALENDER!$D$3:$D$132,MATCH(H2140,KALENDER!$A$3:$A$132,0)),"Di luar periode")</f>
        <v>Hari Kerja</v>
      </c>
      <c r="N2140" s="71">
        <f t="shared" si="298"/>
        <v>1</v>
      </c>
      <c r="O2140" s="71">
        <f t="shared" si="299"/>
        <v>1</v>
      </c>
      <c r="P2140" s="71">
        <f t="shared" si="300"/>
        <v>0</v>
      </c>
      <c r="Q2140" s="71">
        <f t="shared" si="301"/>
        <v>1</v>
      </c>
      <c r="R2140" s="71">
        <f t="shared" si="302"/>
        <v>0</v>
      </c>
      <c r="S2140" s="71">
        <f t="shared" si="303"/>
        <v>0</v>
      </c>
      <c r="T2140" s="71">
        <f t="shared" si="304"/>
        <v>0</v>
      </c>
      <c r="U2140" s="71">
        <f>IF(AND(N2140=1,V2140=1),IF(COUNTIFS(AKTIVITAS!$B$2:$B$3052,B2140,AKTIVITAS!$E$2:$E$3052,H2140)&gt;0,1,0),0)</f>
        <v>0</v>
      </c>
      <c r="V2140" s="71">
        <f>IFERROR(IF(AND(H2140&gt;=INDEX(PEMAGANG!$J$3:$J$36,MATCH(B2140,PEMAGANG!$C$3:$C$36,0)),H2140&lt;=INDEX(PEMAGANG!$K$3:$K$36,MATCH(B2140,PEMAGANG!$C$3:$C$36,0))),1,0),0)</f>
        <v>0</v>
      </c>
      <c r="W2140" s="71">
        <f t="shared" si="305"/>
        <v>0</v>
      </c>
    </row>
    <row r="2141" spans="1:23" x14ac:dyDescent="0.2">
      <c r="A2141" s="71" t="s">
        <v>613</v>
      </c>
      <c r="B2141" s="71" t="s">
        <v>614</v>
      </c>
      <c r="C2141" s="71" t="s">
        <v>187</v>
      </c>
      <c r="D2141" s="71" t="s">
        <v>421</v>
      </c>
      <c r="E2141" s="71" t="s">
        <v>422</v>
      </c>
      <c r="F2141" s="71" t="s">
        <v>300</v>
      </c>
      <c r="G2141" s="88">
        <v>46239.956840277802</v>
      </c>
      <c r="H2141" s="89">
        <v>46239</v>
      </c>
      <c r="I2141" s="71" t="s">
        <v>618</v>
      </c>
      <c r="J2141" s="71">
        <v>0</v>
      </c>
      <c r="K2141" s="71" t="s">
        <v>302</v>
      </c>
      <c r="L2141" s="71">
        <f t="shared" si="297"/>
        <v>8</v>
      </c>
      <c r="M2141" s="71" t="str">
        <f>IFERROR(INDEX(KALENDER!$D$3:$D$132,MATCH(H2141,KALENDER!$A$3:$A$132,0)),"Di luar periode")</f>
        <v>Hari Kerja</v>
      </c>
      <c r="N2141" s="71">
        <f t="shared" si="298"/>
        <v>0</v>
      </c>
      <c r="O2141" s="71">
        <f t="shared" si="299"/>
        <v>1</v>
      </c>
      <c r="P2141" s="71">
        <f t="shared" si="300"/>
        <v>0</v>
      </c>
      <c r="Q2141" s="71">
        <f t="shared" si="301"/>
        <v>0</v>
      </c>
      <c r="R2141" s="71">
        <f t="shared" si="302"/>
        <v>0</v>
      </c>
      <c r="S2141" s="71">
        <f t="shared" si="303"/>
        <v>0</v>
      </c>
      <c r="T2141" s="71">
        <f t="shared" si="304"/>
        <v>0</v>
      </c>
      <c r="U2141" s="71">
        <f>IF(AND(N2141=1,V2141=1),IF(COUNTIFS(AKTIVITAS!$B$2:$B$3052,B2141,AKTIVITAS!$E$2:$E$3052,H2141)&gt;0,1,0),0)</f>
        <v>0</v>
      </c>
      <c r="V2141" s="71">
        <f>IFERROR(IF(AND(H2141&gt;=INDEX(PEMAGANG!$J$3:$J$36,MATCH(B2141,PEMAGANG!$C$3:$C$36,0)),H2141&lt;=INDEX(PEMAGANG!$K$3:$K$36,MATCH(B2141,PEMAGANG!$C$3:$C$36,0))),1,0),0)</f>
        <v>0</v>
      </c>
      <c r="W2141" s="71">
        <f t="shared" si="305"/>
        <v>0</v>
      </c>
    </row>
    <row r="2142" spans="1:23" x14ac:dyDescent="0.2">
      <c r="A2142" s="71" t="s">
        <v>613</v>
      </c>
      <c r="B2142" s="71" t="s">
        <v>614</v>
      </c>
      <c r="C2142" s="71" t="s">
        <v>187</v>
      </c>
      <c r="D2142" s="71" t="s">
        <v>421</v>
      </c>
      <c r="E2142" s="71" t="s">
        <v>422</v>
      </c>
      <c r="F2142" s="71" t="s">
        <v>298</v>
      </c>
      <c r="G2142" s="88">
        <v>46240.678009259304</v>
      </c>
      <c r="H2142" s="89">
        <v>46240</v>
      </c>
      <c r="I2142" s="71" t="s">
        <v>626</v>
      </c>
      <c r="J2142" s="71">
        <v>496</v>
      </c>
      <c r="K2142" s="71" t="s">
        <v>293</v>
      </c>
      <c r="L2142" s="71">
        <f t="shared" si="297"/>
        <v>8</v>
      </c>
      <c r="M2142" s="71" t="str">
        <f>IFERROR(INDEX(KALENDER!$D$3:$D$132,MATCH(H2142,KALENDER!$A$3:$A$132,0)),"Di luar periode")</f>
        <v>Hari Kerja</v>
      </c>
      <c r="N2142" s="71">
        <f t="shared" si="298"/>
        <v>1</v>
      </c>
      <c r="O2142" s="71">
        <f t="shared" si="299"/>
        <v>1</v>
      </c>
      <c r="P2142" s="71">
        <f t="shared" si="300"/>
        <v>0</v>
      </c>
      <c r="Q2142" s="71">
        <f t="shared" si="301"/>
        <v>1</v>
      </c>
      <c r="R2142" s="71">
        <f t="shared" si="302"/>
        <v>0</v>
      </c>
      <c r="S2142" s="71">
        <f t="shared" si="303"/>
        <v>0</v>
      </c>
      <c r="T2142" s="71">
        <f t="shared" si="304"/>
        <v>0</v>
      </c>
      <c r="U2142" s="71">
        <f>IF(AND(N2142=1,V2142=1),IF(COUNTIFS(AKTIVITAS!$B$2:$B$3052,B2142,AKTIVITAS!$E$2:$E$3052,H2142)&gt;0,1,0),0)</f>
        <v>0</v>
      </c>
      <c r="V2142" s="71">
        <f>IFERROR(IF(AND(H2142&gt;=INDEX(PEMAGANG!$J$3:$J$36,MATCH(B2142,PEMAGANG!$C$3:$C$36,0)),H2142&lt;=INDEX(PEMAGANG!$K$3:$K$36,MATCH(B2142,PEMAGANG!$C$3:$C$36,0))),1,0),0)</f>
        <v>0</v>
      </c>
      <c r="W2142" s="71">
        <f t="shared" si="305"/>
        <v>0</v>
      </c>
    </row>
    <row r="2143" spans="1:23" x14ac:dyDescent="0.2">
      <c r="A2143" s="71" t="s">
        <v>613</v>
      </c>
      <c r="B2143" s="71" t="s">
        <v>614</v>
      </c>
      <c r="C2143" s="71" t="s">
        <v>187</v>
      </c>
      <c r="D2143" s="71" t="s">
        <v>421</v>
      </c>
      <c r="E2143" s="71" t="s">
        <v>422</v>
      </c>
      <c r="F2143" s="71" t="s">
        <v>300</v>
      </c>
      <c r="G2143" s="88">
        <v>46240.957962963003</v>
      </c>
      <c r="H2143" s="89">
        <v>46240</v>
      </c>
      <c r="I2143" s="71" t="s">
        <v>620</v>
      </c>
      <c r="J2143" s="71">
        <v>0</v>
      </c>
      <c r="K2143" s="71" t="s">
        <v>302</v>
      </c>
      <c r="L2143" s="71">
        <f t="shared" si="297"/>
        <v>8</v>
      </c>
      <c r="M2143" s="71" t="str">
        <f>IFERROR(INDEX(KALENDER!$D$3:$D$132,MATCH(H2143,KALENDER!$A$3:$A$132,0)),"Di luar periode")</f>
        <v>Hari Kerja</v>
      </c>
      <c r="N2143" s="71">
        <f t="shared" si="298"/>
        <v>0</v>
      </c>
      <c r="O2143" s="71">
        <f t="shared" si="299"/>
        <v>1</v>
      </c>
      <c r="P2143" s="71">
        <f t="shared" si="300"/>
        <v>0</v>
      </c>
      <c r="Q2143" s="71">
        <f t="shared" si="301"/>
        <v>0</v>
      </c>
      <c r="R2143" s="71">
        <f t="shared" si="302"/>
        <v>0</v>
      </c>
      <c r="S2143" s="71">
        <f t="shared" si="303"/>
        <v>0</v>
      </c>
      <c r="T2143" s="71">
        <f t="shared" si="304"/>
        <v>0</v>
      </c>
      <c r="U2143" s="71">
        <f>IF(AND(N2143=1,V2143=1),IF(COUNTIFS(AKTIVITAS!$B$2:$B$3052,B2143,AKTIVITAS!$E$2:$E$3052,H2143)&gt;0,1,0),0)</f>
        <v>0</v>
      </c>
      <c r="V2143" s="71">
        <f>IFERROR(IF(AND(H2143&gt;=INDEX(PEMAGANG!$J$3:$J$36,MATCH(B2143,PEMAGANG!$C$3:$C$36,0)),H2143&lt;=INDEX(PEMAGANG!$K$3:$K$36,MATCH(B2143,PEMAGANG!$C$3:$C$36,0))),1,0),0)</f>
        <v>0</v>
      </c>
      <c r="W2143" s="71">
        <f t="shared" si="305"/>
        <v>0</v>
      </c>
    </row>
    <row r="2144" spans="1:23" x14ac:dyDescent="0.2">
      <c r="A2144" s="71" t="s">
        <v>613</v>
      </c>
      <c r="B2144" s="71" t="s">
        <v>614</v>
      </c>
      <c r="C2144" s="71" t="s">
        <v>187</v>
      </c>
      <c r="D2144" s="71" t="s">
        <v>421</v>
      </c>
      <c r="E2144" s="71" t="s">
        <v>422</v>
      </c>
      <c r="F2144" s="71" t="s">
        <v>298</v>
      </c>
      <c r="G2144" s="88">
        <v>46241.625150462998</v>
      </c>
      <c r="H2144" s="89">
        <v>46241</v>
      </c>
      <c r="I2144" s="71" t="s">
        <v>627</v>
      </c>
      <c r="J2144" s="71">
        <v>420</v>
      </c>
      <c r="K2144" s="71" t="s">
        <v>293</v>
      </c>
      <c r="L2144" s="71">
        <f t="shared" si="297"/>
        <v>8</v>
      </c>
      <c r="M2144" s="71" t="str">
        <f>IFERROR(INDEX(KALENDER!$D$3:$D$132,MATCH(H2144,KALENDER!$A$3:$A$132,0)),"Di luar periode")</f>
        <v>Hari Kerja</v>
      </c>
      <c r="N2144" s="71">
        <f t="shared" si="298"/>
        <v>1</v>
      </c>
      <c r="O2144" s="71">
        <f t="shared" si="299"/>
        <v>1</v>
      </c>
      <c r="P2144" s="71">
        <f t="shared" si="300"/>
        <v>0</v>
      </c>
      <c r="Q2144" s="71">
        <f t="shared" si="301"/>
        <v>1</v>
      </c>
      <c r="R2144" s="71">
        <f t="shared" si="302"/>
        <v>0</v>
      </c>
      <c r="S2144" s="71">
        <f t="shared" si="303"/>
        <v>0</v>
      </c>
      <c r="T2144" s="71">
        <f t="shared" si="304"/>
        <v>0</v>
      </c>
      <c r="U2144" s="71">
        <f>IF(AND(N2144=1,V2144=1),IF(COUNTIFS(AKTIVITAS!$B$2:$B$3052,B2144,AKTIVITAS!$E$2:$E$3052,H2144)&gt;0,1,0),0)</f>
        <v>0</v>
      </c>
      <c r="V2144" s="71">
        <f>IFERROR(IF(AND(H2144&gt;=INDEX(PEMAGANG!$J$3:$J$36,MATCH(B2144,PEMAGANG!$C$3:$C$36,0)),H2144&lt;=INDEX(PEMAGANG!$K$3:$K$36,MATCH(B2144,PEMAGANG!$C$3:$C$36,0))),1,0),0)</f>
        <v>0</v>
      </c>
      <c r="W2144" s="71">
        <f t="shared" si="305"/>
        <v>0</v>
      </c>
    </row>
    <row r="2145" spans="1:23" x14ac:dyDescent="0.2">
      <c r="A2145" s="71" t="s">
        <v>613</v>
      </c>
      <c r="B2145" s="71" t="s">
        <v>614</v>
      </c>
      <c r="C2145" s="71" t="s">
        <v>187</v>
      </c>
      <c r="D2145" s="71" t="s">
        <v>421</v>
      </c>
      <c r="E2145" s="71" t="s">
        <v>422</v>
      </c>
      <c r="F2145" s="71" t="s">
        <v>300</v>
      </c>
      <c r="G2145" s="88">
        <v>46241.957962963003</v>
      </c>
      <c r="H2145" s="89">
        <v>46241</v>
      </c>
      <c r="I2145" s="71" t="s">
        <v>620</v>
      </c>
      <c r="J2145" s="71">
        <v>0</v>
      </c>
      <c r="K2145" s="71" t="s">
        <v>302</v>
      </c>
      <c r="L2145" s="71">
        <f t="shared" si="297"/>
        <v>8</v>
      </c>
      <c r="M2145" s="71" t="str">
        <f>IFERROR(INDEX(KALENDER!$D$3:$D$132,MATCH(H2145,KALENDER!$A$3:$A$132,0)),"Di luar periode")</f>
        <v>Hari Kerja</v>
      </c>
      <c r="N2145" s="71">
        <f t="shared" si="298"/>
        <v>0</v>
      </c>
      <c r="O2145" s="71">
        <f t="shared" si="299"/>
        <v>1</v>
      </c>
      <c r="P2145" s="71">
        <f t="shared" si="300"/>
        <v>0</v>
      </c>
      <c r="Q2145" s="71">
        <f t="shared" si="301"/>
        <v>0</v>
      </c>
      <c r="R2145" s="71">
        <f t="shared" si="302"/>
        <v>0</v>
      </c>
      <c r="S2145" s="71">
        <f t="shared" si="303"/>
        <v>0</v>
      </c>
      <c r="T2145" s="71">
        <f t="shared" si="304"/>
        <v>0</v>
      </c>
      <c r="U2145" s="71">
        <f>IF(AND(N2145=1,V2145=1),IF(COUNTIFS(AKTIVITAS!$B$2:$B$3052,B2145,AKTIVITAS!$E$2:$E$3052,H2145)&gt;0,1,0),0)</f>
        <v>0</v>
      </c>
      <c r="V2145" s="71">
        <f>IFERROR(IF(AND(H2145&gt;=INDEX(PEMAGANG!$J$3:$J$36,MATCH(B2145,PEMAGANG!$C$3:$C$36,0)),H2145&lt;=INDEX(PEMAGANG!$K$3:$K$36,MATCH(B2145,PEMAGANG!$C$3:$C$36,0))),1,0),0)</f>
        <v>0</v>
      </c>
      <c r="W2145" s="71">
        <f t="shared" si="305"/>
        <v>0</v>
      </c>
    </row>
    <row r="2146" spans="1:23" x14ac:dyDescent="0.2">
      <c r="A2146" s="71" t="s">
        <v>613</v>
      </c>
      <c r="B2146" s="71" t="s">
        <v>614</v>
      </c>
      <c r="C2146" s="71" t="s">
        <v>187</v>
      </c>
      <c r="D2146" s="71" t="s">
        <v>421</v>
      </c>
      <c r="E2146" s="71" t="s">
        <v>422</v>
      </c>
      <c r="F2146" s="71" t="s">
        <v>298</v>
      </c>
      <c r="G2146" s="88">
        <v>46243.783923611103</v>
      </c>
      <c r="H2146" s="89">
        <v>46243</v>
      </c>
      <c r="I2146" s="71" t="s">
        <v>623</v>
      </c>
      <c r="J2146" s="71">
        <v>648</v>
      </c>
      <c r="K2146" s="71" t="s">
        <v>293</v>
      </c>
      <c r="L2146" s="71">
        <f t="shared" si="297"/>
        <v>8</v>
      </c>
      <c r="M2146" s="71" t="str">
        <f>IFERROR(INDEX(KALENDER!$D$3:$D$132,MATCH(H2146,KALENDER!$A$3:$A$132,0)),"Di luar periode")</f>
        <v>Libur (Sabtu/Minggu)</v>
      </c>
      <c r="N2146" s="71">
        <f t="shared" si="298"/>
        <v>1</v>
      </c>
      <c r="O2146" s="71">
        <f t="shared" si="299"/>
        <v>1</v>
      </c>
      <c r="P2146" s="71">
        <f t="shared" si="300"/>
        <v>0</v>
      </c>
      <c r="Q2146" s="71">
        <f t="shared" si="301"/>
        <v>1</v>
      </c>
      <c r="R2146" s="71">
        <f t="shared" si="302"/>
        <v>0</v>
      </c>
      <c r="S2146" s="71">
        <f t="shared" si="303"/>
        <v>0</v>
      </c>
      <c r="T2146" s="71">
        <f t="shared" si="304"/>
        <v>0</v>
      </c>
      <c r="U2146" s="71">
        <f>IF(AND(N2146=1,V2146=1),IF(COUNTIFS(AKTIVITAS!$B$2:$B$3052,B2146,AKTIVITAS!$E$2:$E$3052,H2146)&gt;0,1,0),0)</f>
        <v>0</v>
      </c>
      <c r="V2146" s="71">
        <f>IFERROR(IF(AND(H2146&gt;=INDEX(PEMAGANG!$J$3:$J$36,MATCH(B2146,PEMAGANG!$C$3:$C$36,0)),H2146&lt;=INDEX(PEMAGANG!$K$3:$K$36,MATCH(B2146,PEMAGANG!$C$3:$C$36,0))),1,0),0)</f>
        <v>0</v>
      </c>
      <c r="W2146" s="71">
        <f t="shared" si="305"/>
        <v>0</v>
      </c>
    </row>
    <row r="2147" spans="1:23" x14ac:dyDescent="0.2">
      <c r="A2147" s="71" t="s">
        <v>613</v>
      </c>
      <c r="B2147" s="71" t="s">
        <v>614</v>
      </c>
      <c r="C2147" s="71" t="s">
        <v>187</v>
      </c>
      <c r="D2147" s="71" t="s">
        <v>421</v>
      </c>
      <c r="E2147" s="71" t="s">
        <v>422</v>
      </c>
      <c r="F2147" s="71" t="s">
        <v>300</v>
      </c>
      <c r="G2147" s="88">
        <v>46244.293240740699</v>
      </c>
      <c r="H2147" s="89">
        <v>46244</v>
      </c>
      <c r="I2147" s="71" t="s">
        <v>492</v>
      </c>
      <c r="J2147" s="71">
        <v>0</v>
      </c>
      <c r="K2147" s="71" t="s">
        <v>302</v>
      </c>
      <c r="L2147" s="71">
        <f t="shared" si="297"/>
        <v>8</v>
      </c>
      <c r="M2147" s="71" t="str">
        <f>IFERROR(INDEX(KALENDER!$D$3:$D$132,MATCH(H2147,KALENDER!$A$3:$A$132,0)),"Di luar periode")</f>
        <v>Hari Kerja</v>
      </c>
      <c r="N2147" s="71">
        <f t="shared" si="298"/>
        <v>1</v>
      </c>
      <c r="O2147" s="71">
        <f t="shared" si="299"/>
        <v>0</v>
      </c>
      <c r="P2147" s="71">
        <f t="shared" si="300"/>
        <v>0</v>
      </c>
      <c r="Q2147" s="71">
        <f t="shared" si="301"/>
        <v>1</v>
      </c>
      <c r="R2147" s="71">
        <f t="shared" si="302"/>
        <v>0</v>
      </c>
      <c r="S2147" s="71">
        <f t="shared" si="303"/>
        <v>0</v>
      </c>
      <c r="T2147" s="71">
        <f t="shared" si="304"/>
        <v>0</v>
      </c>
      <c r="U2147" s="71">
        <f>IF(AND(N2147=1,V2147=1),IF(COUNTIFS(AKTIVITAS!$B$2:$B$3052,B2147,AKTIVITAS!$E$2:$E$3052,H2147)&gt;0,1,0),0)</f>
        <v>0</v>
      </c>
      <c r="V2147" s="71">
        <f>IFERROR(IF(AND(H2147&gt;=INDEX(PEMAGANG!$J$3:$J$36,MATCH(B2147,PEMAGANG!$C$3:$C$36,0)),H2147&lt;=INDEX(PEMAGANG!$K$3:$K$36,MATCH(B2147,PEMAGANG!$C$3:$C$36,0))),1,0),0)</f>
        <v>0</v>
      </c>
      <c r="W2147" s="71">
        <f t="shared" si="305"/>
        <v>0</v>
      </c>
    </row>
    <row r="2148" spans="1:23" x14ac:dyDescent="0.2">
      <c r="A2148" s="71" t="s">
        <v>613</v>
      </c>
      <c r="B2148" s="71" t="s">
        <v>614</v>
      </c>
      <c r="C2148" s="71" t="s">
        <v>187</v>
      </c>
      <c r="D2148" s="71" t="s">
        <v>421</v>
      </c>
      <c r="E2148" s="71" t="s">
        <v>422</v>
      </c>
      <c r="F2148" s="71" t="s">
        <v>298</v>
      </c>
      <c r="G2148" s="88">
        <v>46244.792881944399</v>
      </c>
      <c r="H2148" s="89">
        <v>46244</v>
      </c>
      <c r="I2148" s="71" t="s">
        <v>628</v>
      </c>
      <c r="J2148" s="71">
        <v>661</v>
      </c>
      <c r="K2148" s="71" t="s">
        <v>293</v>
      </c>
      <c r="L2148" s="71">
        <f t="shared" si="297"/>
        <v>8</v>
      </c>
      <c r="M2148" s="71" t="str">
        <f>IFERROR(INDEX(KALENDER!$D$3:$D$132,MATCH(H2148,KALENDER!$A$3:$A$132,0)),"Di luar periode")</f>
        <v>Hari Kerja</v>
      </c>
      <c r="N2148" s="71">
        <f t="shared" si="298"/>
        <v>0</v>
      </c>
      <c r="O2148" s="71">
        <f t="shared" si="299"/>
        <v>1</v>
      </c>
      <c r="P2148" s="71">
        <f t="shared" si="300"/>
        <v>0</v>
      </c>
      <c r="Q2148" s="71">
        <f t="shared" si="301"/>
        <v>0</v>
      </c>
      <c r="R2148" s="71">
        <f t="shared" si="302"/>
        <v>0</v>
      </c>
      <c r="S2148" s="71">
        <f t="shared" si="303"/>
        <v>0</v>
      </c>
      <c r="T2148" s="71">
        <f t="shared" si="304"/>
        <v>0</v>
      </c>
      <c r="U2148" s="71">
        <f>IF(AND(N2148=1,V2148=1),IF(COUNTIFS(AKTIVITAS!$B$2:$B$3052,B2148,AKTIVITAS!$E$2:$E$3052,H2148)&gt;0,1,0),0)</f>
        <v>0</v>
      </c>
      <c r="V2148" s="71">
        <f>IFERROR(IF(AND(H2148&gt;=INDEX(PEMAGANG!$J$3:$J$36,MATCH(B2148,PEMAGANG!$C$3:$C$36,0)),H2148&lt;=INDEX(PEMAGANG!$K$3:$K$36,MATCH(B2148,PEMAGANG!$C$3:$C$36,0))),1,0),0)</f>
        <v>0</v>
      </c>
      <c r="W2148" s="71">
        <f t="shared" si="305"/>
        <v>0</v>
      </c>
    </row>
    <row r="2149" spans="1:23" x14ac:dyDescent="0.2">
      <c r="A2149" s="71" t="s">
        <v>613</v>
      </c>
      <c r="B2149" s="71" t="s">
        <v>614</v>
      </c>
      <c r="C2149" s="71" t="s">
        <v>187</v>
      </c>
      <c r="D2149" s="71" t="s">
        <v>421</v>
      </c>
      <c r="E2149" s="71" t="s">
        <v>422</v>
      </c>
      <c r="F2149" s="71" t="s">
        <v>298</v>
      </c>
      <c r="G2149" s="88">
        <v>46245.619270833296</v>
      </c>
      <c r="H2149" s="89">
        <v>46245</v>
      </c>
      <c r="I2149" s="71" t="s">
        <v>629</v>
      </c>
      <c r="J2149" s="71">
        <v>411</v>
      </c>
      <c r="K2149" s="71" t="s">
        <v>293</v>
      </c>
      <c r="L2149" s="71">
        <f t="shared" si="297"/>
        <v>8</v>
      </c>
      <c r="M2149" s="71" t="str">
        <f>IFERROR(INDEX(KALENDER!$D$3:$D$132,MATCH(H2149,KALENDER!$A$3:$A$132,0)),"Di luar periode")</f>
        <v>Hari Kerja</v>
      </c>
      <c r="N2149" s="71">
        <f t="shared" si="298"/>
        <v>1</v>
      </c>
      <c r="O2149" s="71">
        <f t="shared" si="299"/>
        <v>1</v>
      </c>
      <c r="P2149" s="71">
        <f t="shared" si="300"/>
        <v>0</v>
      </c>
      <c r="Q2149" s="71">
        <f t="shared" si="301"/>
        <v>1</v>
      </c>
      <c r="R2149" s="71">
        <f t="shared" si="302"/>
        <v>0</v>
      </c>
      <c r="S2149" s="71">
        <f t="shared" si="303"/>
        <v>0</v>
      </c>
      <c r="T2149" s="71">
        <f t="shared" si="304"/>
        <v>0</v>
      </c>
      <c r="U2149" s="71">
        <f>IF(AND(N2149=1,V2149=1),IF(COUNTIFS(AKTIVITAS!$B$2:$B$3052,B2149,AKTIVITAS!$E$2:$E$3052,H2149)&gt;0,1,0),0)</f>
        <v>0</v>
      </c>
      <c r="V2149" s="71">
        <f>IFERROR(IF(AND(H2149&gt;=INDEX(PEMAGANG!$J$3:$J$36,MATCH(B2149,PEMAGANG!$C$3:$C$36,0)),H2149&lt;=INDEX(PEMAGANG!$K$3:$K$36,MATCH(B2149,PEMAGANG!$C$3:$C$36,0))),1,0),0)</f>
        <v>0</v>
      </c>
      <c r="W2149" s="71">
        <f t="shared" si="305"/>
        <v>0</v>
      </c>
    </row>
    <row r="2150" spans="1:23" x14ac:dyDescent="0.2">
      <c r="A2150" s="71" t="s">
        <v>613</v>
      </c>
      <c r="B2150" s="71" t="s">
        <v>614</v>
      </c>
      <c r="C2150" s="71" t="s">
        <v>187</v>
      </c>
      <c r="D2150" s="71" t="s">
        <v>421</v>
      </c>
      <c r="E2150" s="71" t="s">
        <v>422</v>
      </c>
      <c r="F2150" s="71" t="s">
        <v>300</v>
      </c>
      <c r="G2150" s="88">
        <v>46245.957060185203</v>
      </c>
      <c r="H2150" s="89">
        <v>46245</v>
      </c>
      <c r="I2150" s="71" t="s">
        <v>630</v>
      </c>
      <c r="J2150" s="71">
        <v>0</v>
      </c>
      <c r="K2150" s="71" t="s">
        <v>302</v>
      </c>
      <c r="L2150" s="71">
        <f t="shared" si="297"/>
        <v>8</v>
      </c>
      <c r="M2150" s="71" t="str">
        <f>IFERROR(INDEX(KALENDER!$D$3:$D$132,MATCH(H2150,KALENDER!$A$3:$A$132,0)),"Di luar periode")</f>
        <v>Hari Kerja</v>
      </c>
      <c r="N2150" s="71">
        <f t="shared" si="298"/>
        <v>0</v>
      </c>
      <c r="O2150" s="71">
        <f t="shared" si="299"/>
        <v>1</v>
      </c>
      <c r="P2150" s="71">
        <f t="shared" si="300"/>
        <v>0</v>
      </c>
      <c r="Q2150" s="71">
        <f t="shared" si="301"/>
        <v>0</v>
      </c>
      <c r="R2150" s="71">
        <f t="shared" si="302"/>
        <v>0</v>
      </c>
      <c r="S2150" s="71">
        <f t="shared" si="303"/>
        <v>0</v>
      </c>
      <c r="T2150" s="71">
        <f t="shared" si="304"/>
        <v>0</v>
      </c>
      <c r="U2150" s="71">
        <f>IF(AND(N2150=1,V2150=1),IF(COUNTIFS(AKTIVITAS!$B$2:$B$3052,B2150,AKTIVITAS!$E$2:$E$3052,H2150)&gt;0,1,0),0)</f>
        <v>0</v>
      </c>
      <c r="V2150" s="71">
        <f>IFERROR(IF(AND(H2150&gt;=INDEX(PEMAGANG!$J$3:$J$36,MATCH(B2150,PEMAGANG!$C$3:$C$36,0)),H2150&lt;=INDEX(PEMAGANG!$K$3:$K$36,MATCH(B2150,PEMAGANG!$C$3:$C$36,0))),1,0),0)</f>
        <v>0</v>
      </c>
      <c r="W2150" s="71">
        <f t="shared" si="305"/>
        <v>0</v>
      </c>
    </row>
    <row r="2151" spans="1:23" x14ac:dyDescent="0.2">
      <c r="A2151" s="71" t="s">
        <v>613</v>
      </c>
      <c r="B2151" s="71" t="s">
        <v>614</v>
      </c>
      <c r="C2151" s="71" t="s">
        <v>187</v>
      </c>
      <c r="D2151" s="71" t="s">
        <v>421</v>
      </c>
      <c r="E2151" s="71" t="s">
        <v>422</v>
      </c>
      <c r="F2151" s="71" t="s">
        <v>298</v>
      </c>
      <c r="G2151" s="88">
        <v>46246.6175</v>
      </c>
      <c r="H2151" s="89">
        <v>46246</v>
      </c>
      <c r="I2151" s="71" t="s">
        <v>631</v>
      </c>
      <c r="J2151" s="71">
        <v>409</v>
      </c>
      <c r="K2151" s="71" t="s">
        <v>293</v>
      </c>
      <c r="L2151" s="71">
        <f t="shared" si="297"/>
        <v>8</v>
      </c>
      <c r="M2151" s="71" t="str">
        <f>IFERROR(INDEX(KALENDER!$D$3:$D$132,MATCH(H2151,KALENDER!$A$3:$A$132,0)),"Di luar periode")</f>
        <v>Hari Kerja</v>
      </c>
      <c r="N2151" s="71">
        <f t="shared" si="298"/>
        <v>1</v>
      </c>
      <c r="O2151" s="71">
        <f t="shared" si="299"/>
        <v>1</v>
      </c>
      <c r="P2151" s="71">
        <f t="shared" si="300"/>
        <v>0</v>
      </c>
      <c r="Q2151" s="71">
        <f t="shared" si="301"/>
        <v>1</v>
      </c>
      <c r="R2151" s="71">
        <f t="shared" si="302"/>
        <v>0</v>
      </c>
      <c r="S2151" s="71">
        <f t="shared" si="303"/>
        <v>0</v>
      </c>
      <c r="T2151" s="71">
        <f t="shared" si="304"/>
        <v>0</v>
      </c>
      <c r="U2151" s="71">
        <f>IF(AND(N2151=1,V2151=1),IF(COUNTIFS(AKTIVITAS!$B$2:$B$3052,B2151,AKTIVITAS!$E$2:$E$3052,H2151)&gt;0,1,0),0)</f>
        <v>0</v>
      </c>
      <c r="V2151" s="71">
        <f>IFERROR(IF(AND(H2151&gt;=INDEX(PEMAGANG!$J$3:$J$36,MATCH(B2151,PEMAGANG!$C$3:$C$36,0)),H2151&lt;=INDEX(PEMAGANG!$K$3:$K$36,MATCH(B2151,PEMAGANG!$C$3:$C$36,0))),1,0),0)</f>
        <v>0</v>
      </c>
      <c r="W2151" s="71">
        <f t="shared" si="305"/>
        <v>0</v>
      </c>
    </row>
    <row r="2152" spans="1:23" x14ac:dyDescent="0.2">
      <c r="A2152" s="71" t="s">
        <v>613</v>
      </c>
      <c r="B2152" s="71" t="s">
        <v>614</v>
      </c>
      <c r="C2152" s="71" t="s">
        <v>187</v>
      </c>
      <c r="D2152" s="71" t="s">
        <v>421</v>
      </c>
      <c r="E2152" s="71" t="s">
        <v>422</v>
      </c>
      <c r="F2152" s="71" t="s">
        <v>300</v>
      </c>
      <c r="G2152" s="88">
        <v>46246.957847222198</v>
      </c>
      <c r="H2152" s="89">
        <v>46246</v>
      </c>
      <c r="I2152" s="71" t="s">
        <v>620</v>
      </c>
      <c r="J2152" s="71">
        <v>0</v>
      </c>
      <c r="K2152" s="71" t="s">
        <v>302</v>
      </c>
      <c r="L2152" s="71">
        <f t="shared" si="297"/>
        <v>8</v>
      </c>
      <c r="M2152" s="71" t="str">
        <f>IFERROR(INDEX(KALENDER!$D$3:$D$132,MATCH(H2152,KALENDER!$A$3:$A$132,0)),"Di luar periode")</f>
        <v>Hari Kerja</v>
      </c>
      <c r="N2152" s="71">
        <f t="shared" si="298"/>
        <v>0</v>
      </c>
      <c r="O2152" s="71">
        <f t="shared" si="299"/>
        <v>1</v>
      </c>
      <c r="P2152" s="71">
        <f t="shared" si="300"/>
        <v>0</v>
      </c>
      <c r="Q2152" s="71">
        <f t="shared" si="301"/>
        <v>0</v>
      </c>
      <c r="R2152" s="71">
        <f t="shared" si="302"/>
        <v>0</v>
      </c>
      <c r="S2152" s="71">
        <f t="shared" si="303"/>
        <v>0</v>
      </c>
      <c r="T2152" s="71">
        <f t="shared" si="304"/>
        <v>0</v>
      </c>
      <c r="U2152" s="71">
        <f>IF(AND(N2152=1,V2152=1),IF(COUNTIFS(AKTIVITAS!$B$2:$B$3052,B2152,AKTIVITAS!$E$2:$E$3052,H2152)&gt;0,1,0),0)</f>
        <v>0</v>
      </c>
      <c r="V2152" s="71">
        <f>IFERROR(IF(AND(H2152&gt;=INDEX(PEMAGANG!$J$3:$J$36,MATCH(B2152,PEMAGANG!$C$3:$C$36,0)),H2152&lt;=INDEX(PEMAGANG!$K$3:$K$36,MATCH(B2152,PEMAGANG!$C$3:$C$36,0))),1,0),0)</f>
        <v>0</v>
      </c>
      <c r="W2152" s="71">
        <f t="shared" si="305"/>
        <v>0</v>
      </c>
    </row>
    <row r="2153" spans="1:23" x14ac:dyDescent="0.2">
      <c r="A2153" s="71" t="s">
        <v>613</v>
      </c>
      <c r="B2153" s="71" t="s">
        <v>614</v>
      </c>
      <c r="C2153" s="71" t="s">
        <v>187</v>
      </c>
      <c r="D2153" s="71" t="s">
        <v>421</v>
      </c>
      <c r="E2153" s="71" t="s">
        <v>422</v>
      </c>
      <c r="F2153" s="71" t="s">
        <v>298</v>
      </c>
      <c r="G2153" s="88">
        <v>46247.617523148198</v>
      </c>
      <c r="H2153" s="89">
        <v>46247</v>
      </c>
      <c r="I2153" s="71" t="s">
        <v>631</v>
      </c>
      <c r="J2153" s="71">
        <v>409</v>
      </c>
      <c r="K2153" s="71" t="s">
        <v>293</v>
      </c>
      <c r="L2153" s="71">
        <f t="shared" si="297"/>
        <v>8</v>
      </c>
      <c r="M2153" s="71" t="str">
        <f>IFERROR(INDEX(KALENDER!$D$3:$D$132,MATCH(H2153,KALENDER!$A$3:$A$132,0)),"Di luar periode")</f>
        <v>Hari Kerja</v>
      </c>
      <c r="N2153" s="71">
        <f t="shared" si="298"/>
        <v>1</v>
      </c>
      <c r="O2153" s="71">
        <f t="shared" si="299"/>
        <v>1</v>
      </c>
      <c r="P2153" s="71">
        <f t="shared" si="300"/>
        <v>0</v>
      </c>
      <c r="Q2153" s="71">
        <f t="shared" si="301"/>
        <v>1</v>
      </c>
      <c r="R2153" s="71">
        <f t="shared" si="302"/>
        <v>0</v>
      </c>
      <c r="S2153" s="71">
        <f t="shared" si="303"/>
        <v>0</v>
      </c>
      <c r="T2153" s="71">
        <f t="shared" si="304"/>
        <v>0</v>
      </c>
      <c r="U2153" s="71">
        <f>IF(AND(N2153=1,V2153=1),IF(COUNTIFS(AKTIVITAS!$B$2:$B$3052,B2153,AKTIVITAS!$E$2:$E$3052,H2153)&gt;0,1,0),0)</f>
        <v>0</v>
      </c>
      <c r="V2153" s="71">
        <f>IFERROR(IF(AND(H2153&gt;=INDEX(PEMAGANG!$J$3:$J$36,MATCH(B2153,PEMAGANG!$C$3:$C$36,0)),H2153&lt;=INDEX(PEMAGANG!$K$3:$K$36,MATCH(B2153,PEMAGANG!$C$3:$C$36,0))),1,0),0)</f>
        <v>0</v>
      </c>
      <c r="W2153" s="71">
        <f t="shared" si="305"/>
        <v>0</v>
      </c>
    </row>
    <row r="2154" spans="1:23" x14ac:dyDescent="0.2">
      <c r="A2154" s="71" t="s">
        <v>613</v>
      </c>
      <c r="B2154" s="71" t="s">
        <v>614</v>
      </c>
      <c r="C2154" s="71" t="s">
        <v>187</v>
      </c>
      <c r="D2154" s="71" t="s">
        <v>421</v>
      </c>
      <c r="E2154" s="71" t="s">
        <v>422</v>
      </c>
      <c r="F2154" s="71" t="s">
        <v>298</v>
      </c>
      <c r="G2154" s="88">
        <v>46248.620752314797</v>
      </c>
      <c r="H2154" s="89">
        <v>46248</v>
      </c>
      <c r="I2154" s="71" t="s">
        <v>617</v>
      </c>
      <c r="J2154" s="71">
        <v>413</v>
      </c>
      <c r="K2154" s="71" t="s">
        <v>293</v>
      </c>
      <c r="L2154" s="71">
        <f t="shared" si="297"/>
        <v>8</v>
      </c>
      <c r="M2154" s="71" t="str">
        <f>IFERROR(INDEX(KALENDER!$D$3:$D$132,MATCH(H2154,KALENDER!$A$3:$A$132,0)),"Di luar periode")</f>
        <v>Hari Kerja</v>
      </c>
      <c r="N2154" s="71">
        <f t="shared" si="298"/>
        <v>1</v>
      </c>
      <c r="O2154" s="71">
        <f t="shared" si="299"/>
        <v>1</v>
      </c>
      <c r="P2154" s="71">
        <f t="shared" si="300"/>
        <v>0</v>
      </c>
      <c r="Q2154" s="71">
        <f t="shared" si="301"/>
        <v>1</v>
      </c>
      <c r="R2154" s="71">
        <f t="shared" si="302"/>
        <v>0</v>
      </c>
      <c r="S2154" s="71">
        <f t="shared" si="303"/>
        <v>0</v>
      </c>
      <c r="T2154" s="71">
        <f t="shared" si="304"/>
        <v>0</v>
      </c>
      <c r="U2154" s="71">
        <f>IF(AND(N2154=1,V2154=1),IF(COUNTIFS(AKTIVITAS!$B$2:$B$3052,B2154,AKTIVITAS!$E$2:$E$3052,H2154)&gt;0,1,0),0)</f>
        <v>0</v>
      </c>
      <c r="V2154" s="71">
        <f>IFERROR(IF(AND(H2154&gt;=INDEX(PEMAGANG!$J$3:$J$36,MATCH(B2154,PEMAGANG!$C$3:$C$36,0)),H2154&lt;=INDEX(PEMAGANG!$K$3:$K$36,MATCH(B2154,PEMAGANG!$C$3:$C$36,0))),1,0),0)</f>
        <v>0</v>
      </c>
      <c r="W2154" s="71">
        <f t="shared" si="305"/>
        <v>0</v>
      </c>
    </row>
    <row r="2155" spans="1:23" x14ac:dyDescent="0.2">
      <c r="A2155" s="71" t="s">
        <v>613</v>
      </c>
      <c r="B2155" s="71" t="s">
        <v>614</v>
      </c>
      <c r="C2155" s="71" t="s">
        <v>187</v>
      </c>
      <c r="D2155" s="71" t="s">
        <v>421</v>
      </c>
      <c r="E2155" s="71" t="s">
        <v>422</v>
      </c>
      <c r="F2155" s="71" t="s">
        <v>300</v>
      </c>
      <c r="G2155" s="88">
        <v>46248.957187499997</v>
      </c>
      <c r="H2155" s="89">
        <v>46248</v>
      </c>
      <c r="I2155" s="71" t="s">
        <v>630</v>
      </c>
      <c r="J2155" s="71">
        <v>0</v>
      </c>
      <c r="K2155" s="71" t="s">
        <v>302</v>
      </c>
      <c r="L2155" s="71">
        <f t="shared" si="297"/>
        <v>8</v>
      </c>
      <c r="M2155" s="71" t="str">
        <f>IFERROR(INDEX(KALENDER!$D$3:$D$132,MATCH(H2155,KALENDER!$A$3:$A$132,0)),"Di luar periode")</f>
        <v>Hari Kerja</v>
      </c>
      <c r="N2155" s="71">
        <f t="shared" si="298"/>
        <v>0</v>
      </c>
      <c r="O2155" s="71">
        <f t="shared" si="299"/>
        <v>1</v>
      </c>
      <c r="P2155" s="71">
        <f t="shared" si="300"/>
        <v>0</v>
      </c>
      <c r="Q2155" s="71">
        <f t="shared" si="301"/>
        <v>0</v>
      </c>
      <c r="R2155" s="71">
        <f t="shared" si="302"/>
        <v>0</v>
      </c>
      <c r="S2155" s="71">
        <f t="shared" si="303"/>
        <v>0</v>
      </c>
      <c r="T2155" s="71">
        <f t="shared" si="304"/>
        <v>0</v>
      </c>
      <c r="U2155" s="71">
        <f>IF(AND(N2155=1,V2155=1),IF(COUNTIFS(AKTIVITAS!$B$2:$B$3052,B2155,AKTIVITAS!$E$2:$E$3052,H2155)&gt;0,1,0),0)</f>
        <v>0</v>
      </c>
      <c r="V2155" s="71">
        <f>IFERROR(IF(AND(H2155&gt;=INDEX(PEMAGANG!$J$3:$J$36,MATCH(B2155,PEMAGANG!$C$3:$C$36,0)),H2155&lt;=INDEX(PEMAGANG!$K$3:$K$36,MATCH(B2155,PEMAGANG!$C$3:$C$36,0))),1,0),0)</f>
        <v>0</v>
      </c>
      <c r="W2155" s="71">
        <f t="shared" si="305"/>
        <v>0</v>
      </c>
    </row>
    <row r="2156" spans="1:23" x14ac:dyDescent="0.2">
      <c r="A2156" s="71" t="s">
        <v>613</v>
      </c>
      <c r="B2156" s="71" t="s">
        <v>614</v>
      </c>
      <c r="C2156" s="71" t="s">
        <v>187</v>
      </c>
      <c r="D2156" s="71" t="s">
        <v>421</v>
      </c>
      <c r="E2156" s="71" t="s">
        <v>422</v>
      </c>
      <c r="F2156" s="71" t="s">
        <v>298</v>
      </c>
      <c r="G2156" s="88">
        <v>46250.785555555602</v>
      </c>
      <c r="H2156" s="89">
        <v>46250</v>
      </c>
      <c r="I2156" s="71" t="s">
        <v>632</v>
      </c>
      <c r="J2156" s="71">
        <v>651</v>
      </c>
      <c r="K2156" s="71" t="s">
        <v>293</v>
      </c>
      <c r="L2156" s="71">
        <f t="shared" si="297"/>
        <v>8</v>
      </c>
      <c r="M2156" s="71" t="str">
        <f>IFERROR(INDEX(KALENDER!$D$3:$D$132,MATCH(H2156,KALENDER!$A$3:$A$132,0)),"Di luar periode")</f>
        <v>Libur (Sabtu/Minggu)</v>
      </c>
      <c r="N2156" s="71">
        <f t="shared" si="298"/>
        <v>1</v>
      </c>
      <c r="O2156" s="71">
        <f t="shared" si="299"/>
        <v>1</v>
      </c>
      <c r="P2156" s="71">
        <f t="shared" si="300"/>
        <v>0</v>
      </c>
      <c r="Q2156" s="71">
        <f t="shared" si="301"/>
        <v>1</v>
      </c>
      <c r="R2156" s="71">
        <f t="shared" si="302"/>
        <v>0</v>
      </c>
      <c r="S2156" s="71">
        <f t="shared" si="303"/>
        <v>0</v>
      </c>
      <c r="T2156" s="71">
        <f t="shared" si="304"/>
        <v>0</v>
      </c>
      <c r="U2156" s="71">
        <f>IF(AND(N2156=1,V2156=1),IF(COUNTIFS(AKTIVITAS!$B$2:$B$3052,B2156,AKTIVITAS!$E$2:$E$3052,H2156)&gt;0,1,0),0)</f>
        <v>0</v>
      </c>
      <c r="V2156" s="71">
        <f>IFERROR(IF(AND(H2156&gt;=INDEX(PEMAGANG!$J$3:$J$36,MATCH(B2156,PEMAGANG!$C$3:$C$36,0)),H2156&lt;=INDEX(PEMAGANG!$K$3:$K$36,MATCH(B2156,PEMAGANG!$C$3:$C$36,0))),1,0),0)</f>
        <v>0</v>
      </c>
      <c r="W2156" s="71">
        <f t="shared" si="305"/>
        <v>0</v>
      </c>
    </row>
    <row r="2157" spans="1:23" x14ac:dyDescent="0.2">
      <c r="A2157" s="71" t="s">
        <v>613</v>
      </c>
      <c r="B2157" s="71" t="s">
        <v>614</v>
      </c>
      <c r="C2157" s="71" t="s">
        <v>187</v>
      </c>
      <c r="D2157" s="71" t="s">
        <v>421</v>
      </c>
      <c r="E2157" s="71" t="s">
        <v>422</v>
      </c>
      <c r="F2157" s="71" t="s">
        <v>300</v>
      </c>
      <c r="G2157" s="88">
        <v>46251.289085648197</v>
      </c>
      <c r="H2157" s="89">
        <v>46251</v>
      </c>
      <c r="I2157" s="71" t="s">
        <v>504</v>
      </c>
      <c r="J2157" s="71">
        <v>0</v>
      </c>
      <c r="K2157" s="71" t="s">
        <v>302</v>
      </c>
      <c r="L2157" s="71">
        <f t="shared" si="297"/>
        <v>8</v>
      </c>
      <c r="M2157" s="71" t="str">
        <f>IFERROR(INDEX(KALENDER!$D$3:$D$132,MATCH(H2157,KALENDER!$A$3:$A$132,0)),"Di luar periode")</f>
        <v>Libur Nasional</v>
      </c>
      <c r="N2157" s="71">
        <f t="shared" si="298"/>
        <v>1</v>
      </c>
      <c r="O2157" s="71">
        <f t="shared" si="299"/>
        <v>0</v>
      </c>
      <c r="P2157" s="71">
        <f t="shared" si="300"/>
        <v>0</v>
      </c>
      <c r="Q2157" s="71">
        <f t="shared" si="301"/>
        <v>1</v>
      </c>
      <c r="R2157" s="71">
        <f t="shared" si="302"/>
        <v>0</v>
      </c>
      <c r="S2157" s="71">
        <f t="shared" si="303"/>
        <v>0</v>
      </c>
      <c r="T2157" s="71">
        <f t="shared" si="304"/>
        <v>0</v>
      </c>
      <c r="U2157" s="71">
        <f>IF(AND(N2157=1,V2157=1),IF(COUNTIFS(AKTIVITAS!$B$2:$B$3052,B2157,AKTIVITAS!$E$2:$E$3052,H2157)&gt;0,1,0),0)</f>
        <v>0</v>
      </c>
      <c r="V2157" s="71">
        <f>IFERROR(IF(AND(H2157&gt;=INDEX(PEMAGANG!$J$3:$J$36,MATCH(B2157,PEMAGANG!$C$3:$C$36,0)),H2157&lt;=INDEX(PEMAGANG!$K$3:$K$36,MATCH(B2157,PEMAGANG!$C$3:$C$36,0))),1,0),0)</f>
        <v>0</v>
      </c>
      <c r="W2157" s="71">
        <f t="shared" si="305"/>
        <v>0</v>
      </c>
    </row>
    <row r="2158" spans="1:23" x14ac:dyDescent="0.2">
      <c r="A2158" s="71" t="s">
        <v>613</v>
      </c>
      <c r="B2158" s="71" t="s">
        <v>614</v>
      </c>
      <c r="C2158" s="71" t="s">
        <v>187</v>
      </c>
      <c r="D2158" s="71" t="s">
        <v>421</v>
      </c>
      <c r="E2158" s="71" t="s">
        <v>422</v>
      </c>
      <c r="F2158" s="71" t="s">
        <v>298</v>
      </c>
      <c r="G2158" s="88">
        <v>46251.778657407398</v>
      </c>
      <c r="H2158" s="89">
        <v>46251</v>
      </c>
      <c r="I2158" s="71" t="s">
        <v>633</v>
      </c>
      <c r="J2158" s="71">
        <v>641</v>
      </c>
      <c r="K2158" s="71" t="s">
        <v>293</v>
      </c>
      <c r="L2158" s="71">
        <f t="shared" si="297"/>
        <v>8</v>
      </c>
      <c r="M2158" s="71" t="str">
        <f>IFERROR(INDEX(KALENDER!$D$3:$D$132,MATCH(H2158,KALENDER!$A$3:$A$132,0)),"Di luar periode")</f>
        <v>Libur Nasional</v>
      </c>
      <c r="N2158" s="71">
        <f t="shared" si="298"/>
        <v>0</v>
      </c>
      <c r="O2158" s="71">
        <f t="shared" si="299"/>
        <v>1</v>
      </c>
      <c r="P2158" s="71">
        <f t="shared" si="300"/>
        <v>0</v>
      </c>
      <c r="Q2158" s="71">
        <f t="shared" si="301"/>
        <v>0</v>
      </c>
      <c r="R2158" s="71">
        <f t="shared" si="302"/>
        <v>0</v>
      </c>
      <c r="S2158" s="71">
        <f t="shared" si="303"/>
        <v>0</v>
      </c>
      <c r="T2158" s="71">
        <f t="shared" si="304"/>
        <v>0</v>
      </c>
      <c r="U2158" s="71">
        <f>IF(AND(N2158=1,V2158=1),IF(COUNTIFS(AKTIVITAS!$B$2:$B$3052,B2158,AKTIVITAS!$E$2:$E$3052,H2158)&gt;0,1,0),0)</f>
        <v>0</v>
      </c>
      <c r="V2158" s="71">
        <f>IFERROR(IF(AND(H2158&gt;=INDEX(PEMAGANG!$J$3:$J$36,MATCH(B2158,PEMAGANG!$C$3:$C$36,0)),H2158&lt;=INDEX(PEMAGANG!$K$3:$K$36,MATCH(B2158,PEMAGANG!$C$3:$C$36,0))),1,0),0)</f>
        <v>0</v>
      </c>
      <c r="W2158" s="71">
        <f t="shared" si="305"/>
        <v>0</v>
      </c>
    </row>
    <row r="2159" spans="1:23" x14ac:dyDescent="0.2">
      <c r="A2159" s="71" t="s">
        <v>613</v>
      </c>
      <c r="B2159" s="71" t="s">
        <v>614</v>
      </c>
      <c r="C2159" s="71" t="s">
        <v>187</v>
      </c>
      <c r="D2159" s="71" t="s">
        <v>421</v>
      </c>
      <c r="E2159" s="71" t="s">
        <v>422</v>
      </c>
      <c r="F2159" s="71" t="s">
        <v>298</v>
      </c>
      <c r="G2159" s="88">
        <v>46252.621435185203</v>
      </c>
      <c r="H2159" s="89">
        <v>46252</v>
      </c>
      <c r="I2159" s="71" t="s">
        <v>634</v>
      </c>
      <c r="J2159" s="71">
        <v>414</v>
      </c>
      <c r="K2159" s="71" t="s">
        <v>293</v>
      </c>
      <c r="L2159" s="71">
        <f t="shared" si="297"/>
        <v>8</v>
      </c>
      <c r="M2159" s="71" t="str">
        <f>IFERROR(INDEX(KALENDER!$D$3:$D$132,MATCH(H2159,KALENDER!$A$3:$A$132,0)),"Di luar periode")</f>
        <v>Hari Kerja</v>
      </c>
      <c r="N2159" s="71">
        <f t="shared" si="298"/>
        <v>1</v>
      </c>
      <c r="O2159" s="71">
        <f t="shared" si="299"/>
        <v>1</v>
      </c>
      <c r="P2159" s="71">
        <f t="shared" si="300"/>
        <v>0</v>
      </c>
      <c r="Q2159" s="71">
        <f t="shared" si="301"/>
        <v>1</v>
      </c>
      <c r="R2159" s="71">
        <f t="shared" si="302"/>
        <v>0</v>
      </c>
      <c r="S2159" s="71">
        <f t="shared" si="303"/>
        <v>0</v>
      </c>
      <c r="T2159" s="71">
        <f t="shared" si="304"/>
        <v>0</v>
      </c>
      <c r="U2159" s="71">
        <f>IF(AND(N2159=1,V2159=1),IF(COUNTIFS(AKTIVITAS!$B$2:$B$3052,B2159,AKTIVITAS!$E$2:$E$3052,H2159)&gt;0,1,0),0)</f>
        <v>0</v>
      </c>
      <c r="V2159" s="71">
        <f>IFERROR(IF(AND(H2159&gt;=INDEX(PEMAGANG!$J$3:$J$36,MATCH(B2159,PEMAGANG!$C$3:$C$36,0)),H2159&lt;=INDEX(PEMAGANG!$K$3:$K$36,MATCH(B2159,PEMAGANG!$C$3:$C$36,0))),1,0),0)</f>
        <v>0</v>
      </c>
      <c r="W2159" s="71">
        <f t="shared" si="305"/>
        <v>0</v>
      </c>
    </row>
    <row r="2160" spans="1:23" x14ac:dyDescent="0.2">
      <c r="A2160" s="71" t="s">
        <v>613</v>
      </c>
      <c r="B2160" s="71" t="s">
        <v>614</v>
      </c>
      <c r="C2160" s="71" t="s">
        <v>187</v>
      </c>
      <c r="D2160" s="71" t="s">
        <v>421</v>
      </c>
      <c r="E2160" s="71" t="s">
        <v>422</v>
      </c>
      <c r="F2160" s="71" t="s">
        <v>300</v>
      </c>
      <c r="G2160" s="88">
        <v>46252.960833333302</v>
      </c>
      <c r="H2160" s="89">
        <v>46252</v>
      </c>
      <c r="I2160" s="71" t="s">
        <v>635</v>
      </c>
      <c r="J2160" s="71">
        <v>0</v>
      </c>
      <c r="K2160" s="71" t="s">
        <v>302</v>
      </c>
      <c r="L2160" s="71">
        <f t="shared" si="297"/>
        <v>8</v>
      </c>
      <c r="M2160" s="71" t="str">
        <f>IFERROR(INDEX(KALENDER!$D$3:$D$132,MATCH(H2160,KALENDER!$A$3:$A$132,0)),"Di luar periode")</f>
        <v>Hari Kerja</v>
      </c>
      <c r="N2160" s="71">
        <f t="shared" si="298"/>
        <v>0</v>
      </c>
      <c r="O2160" s="71">
        <f t="shared" si="299"/>
        <v>1</v>
      </c>
      <c r="P2160" s="71">
        <f t="shared" si="300"/>
        <v>0</v>
      </c>
      <c r="Q2160" s="71">
        <f t="shared" si="301"/>
        <v>0</v>
      </c>
      <c r="R2160" s="71">
        <f t="shared" si="302"/>
        <v>0</v>
      </c>
      <c r="S2160" s="71">
        <f t="shared" si="303"/>
        <v>0</v>
      </c>
      <c r="T2160" s="71">
        <f t="shared" si="304"/>
        <v>0</v>
      </c>
      <c r="U2160" s="71">
        <f>IF(AND(N2160=1,V2160=1),IF(COUNTIFS(AKTIVITAS!$B$2:$B$3052,B2160,AKTIVITAS!$E$2:$E$3052,H2160)&gt;0,1,0),0)</f>
        <v>0</v>
      </c>
      <c r="V2160" s="71">
        <f>IFERROR(IF(AND(H2160&gt;=INDEX(PEMAGANG!$J$3:$J$36,MATCH(B2160,PEMAGANG!$C$3:$C$36,0)),H2160&lt;=INDEX(PEMAGANG!$K$3:$K$36,MATCH(B2160,PEMAGANG!$C$3:$C$36,0))),1,0),0)</f>
        <v>0</v>
      </c>
      <c r="W2160" s="71">
        <f t="shared" si="305"/>
        <v>0</v>
      </c>
    </row>
    <row r="2161" spans="1:23" x14ac:dyDescent="0.2">
      <c r="A2161" s="71" t="s">
        <v>613</v>
      </c>
      <c r="B2161" s="71" t="s">
        <v>614</v>
      </c>
      <c r="C2161" s="71" t="s">
        <v>187</v>
      </c>
      <c r="D2161" s="71" t="s">
        <v>421</v>
      </c>
      <c r="E2161" s="71" t="s">
        <v>422</v>
      </c>
      <c r="F2161" s="71" t="s">
        <v>298</v>
      </c>
      <c r="G2161" s="88">
        <v>46254.620057870401</v>
      </c>
      <c r="H2161" s="89">
        <v>46254</v>
      </c>
      <c r="I2161" s="71" t="s">
        <v>636</v>
      </c>
      <c r="J2161" s="71">
        <v>412</v>
      </c>
      <c r="K2161" s="71" t="s">
        <v>293</v>
      </c>
      <c r="L2161" s="71">
        <f t="shared" si="297"/>
        <v>8</v>
      </c>
      <c r="M2161" s="71" t="str">
        <f>IFERROR(INDEX(KALENDER!$D$3:$D$132,MATCH(H2161,KALENDER!$A$3:$A$132,0)),"Di luar periode")</f>
        <v>Hari Kerja</v>
      </c>
      <c r="N2161" s="71">
        <f t="shared" si="298"/>
        <v>1</v>
      </c>
      <c r="O2161" s="71">
        <f t="shared" si="299"/>
        <v>1</v>
      </c>
      <c r="P2161" s="71">
        <f t="shared" si="300"/>
        <v>0</v>
      </c>
      <c r="Q2161" s="71">
        <f t="shared" si="301"/>
        <v>1</v>
      </c>
      <c r="R2161" s="71">
        <f t="shared" si="302"/>
        <v>0</v>
      </c>
      <c r="S2161" s="71">
        <f t="shared" si="303"/>
        <v>0</v>
      </c>
      <c r="T2161" s="71">
        <f t="shared" si="304"/>
        <v>0</v>
      </c>
      <c r="U2161" s="71">
        <f>IF(AND(N2161=1,V2161=1),IF(COUNTIFS(AKTIVITAS!$B$2:$B$3052,B2161,AKTIVITAS!$E$2:$E$3052,H2161)&gt;0,1,0),0)</f>
        <v>0</v>
      </c>
      <c r="V2161" s="71">
        <f>IFERROR(IF(AND(H2161&gt;=INDEX(PEMAGANG!$J$3:$J$36,MATCH(B2161,PEMAGANG!$C$3:$C$36,0)),H2161&lt;=INDEX(PEMAGANG!$K$3:$K$36,MATCH(B2161,PEMAGANG!$C$3:$C$36,0))),1,0),0)</f>
        <v>0</v>
      </c>
      <c r="W2161" s="71">
        <f t="shared" si="305"/>
        <v>0</v>
      </c>
    </row>
    <row r="2162" spans="1:23" x14ac:dyDescent="0.2">
      <c r="A2162" s="71" t="s">
        <v>613</v>
      </c>
      <c r="B2162" s="71" t="s">
        <v>614</v>
      </c>
      <c r="C2162" s="71" t="s">
        <v>187</v>
      </c>
      <c r="D2162" s="71" t="s">
        <v>421</v>
      </c>
      <c r="E2162" s="71" t="s">
        <v>422</v>
      </c>
      <c r="F2162" s="71" t="s">
        <v>300</v>
      </c>
      <c r="G2162" s="88">
        <v>46254.956516203703</v>
      </c>
      <c r="H2162" s="89">
        <v>46254</v>
      </c>
      <c r="I2162" s="71" t="s">
        <v>618</v>
      </c>
      <c r="J2162" s="71">
        <v>0</v>
      </c>
      <c r="K2162" s="71" t="s">
        <v>302</v>
      </c>
      <c r="L2162" s="71">
        <f t="shared" si="297"/>
        <v>8</v>
      </c>
      <c r="M2162" s="71" t="str">
        <f>IFERROR(INDEX(KALENDER!$D$3:$D$132,MATCH(H2162,KALENDER!$A$3:$A$132,0)),"Di luar periode")</f>
        <v>Hari Kerja</v>
      </c>
      <c r="N2162" s="71">
        <f t="shared" si="298"/>
        <v>0</v>
      </c>
      <c r="O2162" s="71">
        <f t="shared" si="299"/>
        <v>1</v>
      </c>
      <c r="P2162" s="71">
        <f t="shared" si="300"/>
        <v>0</v>
      </c>
      <c r="Q2162" s="71">
        <f t="shared" si="301"/>
        <v>0</v>
      </c>
      <c r="R2162" s="71">
        <f t="shared" si="302"/>
        <v>0</v>
      </c>
      <c r="S2162" s="71">
        <f t="shared" si="303"/>
        <v>0</v>
      </c>
      <c r="T2162" s="71">
        <f t="shared" si="304"/>
        <v>0</v>
      </c>
      <c r="U2162" s="71">
        <f>IF(AND(N2162=1,V2162=1),IF(COUNTIFS(AKTIVITAS!$B$2:$B$3052,B2162,AKTIVITAS!$E$2:$E$3052,H2162)&gt;0,1,0),0)</f>
        <v>0</v>
      </c>
      <c r="V2162" s="71">
        <f>IFERROR(IF(AND(H2162&gt;=INDEX(PEMAGANG!$J$3:$J$36,MATCH(B2162,PEMAGANG!$C$3:$C$36,0)),H2162&lt;=INDEX(PEMAGANG!$K$3:$K$36,MATCH(B2162,PEMAGANG!$C$3:$C$36,0))),1,0),0)</f>
        <v>0</v>
      </c>
      <c r="W2162" s="71">
        <f t="shared" si="305"/>
        <v>0</v>
      </c>
    </row>
    <row r="2163" spans="1:23" x14ac:dyDescent="0.2">
      <c r="A2163" s="71" t="s">
        <v>613</v>
      </c>
      <c r="B2163" s="71" t="s">
        <v>614</v>
      </c>
      <c r="C2163" s="71" t="s">
        <v>187</v>
      </c>
      <c r="D2163" s="71" t="s">
        <v>421</v>
      </c>
      <c r="E2163" s="71" t="s">
        <v>422</v>
      </c>
      <c r="F2163" s="71" t="s">
        <v>298</v>
      </c>
      <c r="G2163" s="88">
        <v>46255.605578703697</v>
      </c>
      <c r="H2163" s="89">
        <v>46255</v>
      </c>
      <c r="I2163" s="71" t="s">
        <v>637</v>
      </c>
      <c r="J2163" s="71">
        <v>392</v>
      </c>
      <c r="K2163" s="71" t="s">
        <v>293</v>
      </c>
      <c r="L2163" s="71">
        <f t="shared" si="297"/>
        <v>8</v>
      </c>
      <c r="M2163" s="71" t="str">
        <f>IFERROR(INDEX(KALENDER!$D$3:$D$132,MATCH(H2163,KALENDER!$A$3:$A$132,0)),"Di luar periode")</f>
        <v>Hari Kerja</v>
      </c>
      <c r="N2163" s="71">
        <f t="shared" si="298"/>
        <v>1</v>
      </c>
      <c r="O2163" s="71">
        <f t="shared" si="299"/>
        <v>1</v>
      </c>
      <c r="P2163" s="71">
        <f t="shared" si="300"/>
        <v>0</v>
      </c>
      <c r="Q2163" s="71">
        <f t="shared" si="301"/>
        <v>1</v>
      </c>
      <c r="R2163" s="71">
        <f t="shared" si="302"/>
        <v>0</v>
      </c>
      <c r="S2163" s="71">
        <f t="shared" si="303"/>
        <v>0</v>
      </c>
      <c r="T2163" s="71">
        <f t="shared" si="304"/>
        <v>0</v>
      </c>
      <c r="U2163" s="71">
        <f>IF(AND(N2163=1,V2163=1),IF(COUNTIFS(AKTIVITAS!$B$2:$B$3052,B2163,AKTIVITAS!$E$2:$E$3052,H2163)&gt;0,1,0),0)</f>
        <v>0</v>
      </c>
      <c r="V2163" s="71">
        <f>IFERROR(IF(AND(H2163&gt;=INDEX(PEMAGANG!$J$3:$J$36,MATCH(B2163,PEMAGANG!$C$3:$C$36,0)),H2163&lt;=INDEX(PEMAGANG!$K$3:$K$36,MATCH(B2163,PEMAGANG!$C$3:$C$36,0))),1,0),0)</f>
        <v>0</v>
      </c>
      <c r="W2163" s="71">
        <f t="shared" si="305"/>
        <v>0</v>
      </c>
    </row>
    <row r="2164" spans="1:23" x14ac:dyDescent="0.2">
      <c r="A2164" s="71" t="s">
        <v>613</v>
      </c>
      <c r="B2164" s="71" t="s">
        <v>614</v>
      </c>
      <c r="C2164" s="71" t="s">
        <v>187</v>
      </c>
      <c r="D2164" s="71" t="s">
        <v>421</v>
      </c>
      <c r="E2164" s="71" t="s">
        <v>422</v>
      </c>
      <c r="F2164" s="71" t="s">
        <v>300</v>
      </c>
      <c r="G2164" s="88">
        <v>46255.956863425898</v>
      </c>
      <c r="H2164" s="89">
        <v>46255</v>
      </c>
      <c r="I2164" s="71" t="s">
        <v>618</v>
      </c>
      <c r="J2164" s="71">
        <v>0</v>
      </c>
      <c r="K2164" s="71" t="s">
        <v>302</v>
      </c>
      <c r="L2164" s="71">
        <f t="shared" si="297"/>
        <v>8</v>
      </c>
      <c r="M2164" s="71" t="str">
        <f>IFERROR(INDEX(KALENDER!$D$3:$D$132,MATCH(H2164,KALENDER!$A$3:$A$132,0)),"Di luar periode")</f>
        <v>Hari Kerja</v>
      </c>
      <c r="N2164" s="71">
        <f t="shared" si="298"/>
        <v>0</v>
      </c>
      <c r="O2164" s="71">
        <f t="shared" si="299"/>
        <v>1</v>
      </c>
      <c r="P2164" s="71">
        <f t="shared" si="300"/>
        <v>0</v>
      </c>
      <c r="Q2164" s="71">
        <f t="shared" si="301"/>
        <v>0</v>
      </c>
      <c r="R2164" s="71">
        <f t="shared" si="302"/>
        <v>0</v>
      </c>
      <c r="S2164" s="71">
        <f t="shared" si="303"/>
        <v>0</v>
      </c>
      <c r="T2164" s="71">
        <f t="shared" si="304"/>
        <v>0</v>
      </c>
      <c r="U2164" s="71">
        <f>IF(AND(N2164=1,V2164=1),IF(COUNTIFS(AKTIVITAS!$B$2:$B$3052,B2164,AKTIVITAS!$E$2:$E$3052,H2164)&gt;0,1,0),0)</f>
        <v>0</v>
      </c>
      <c r="V2164" s="71">
        <f>IFERROR(IF(AND(H2164&gt;=INDEX(PEMAGANG!$J$3:$J$36,MATCH(B2164,PEMAGANG!$C$3:$C$36,0)),H2164&lt;=INDEX(PEMAGANG!$K$3:$K$36,MATCH(B2164,PEMAGANG!$C$3:$C$36,0))),1,0),0)</f>
        <v>0</v>
      </c>
      <c r="W2164" s="71">
        <f t="shared" si="305"/>
        <v>0</v>
      </c>
    </row>
    <row r="2165" spans="1:23" x14ac:dyDescent="0.2">
      <c r="A2165" s="71" t="s">
        <v>613</v>
      </c>
      <c r="B2165" s="71" t="s">
        <v>614</v>
      </c>
      <c r="C2165" s="71" t="s">
        <v>187</v>
      </c>
      <c r="D2165" s="71" t="s">
        <v>421</v>
      </c>
      <c r="E2165" s="71" t="s">
        <v>422</v>
      </c>
      <c r="F2165" s="71" t="s">
        <v>298</v>
      </c>
      <c r="G2165" s="88">
        <v>46257.7746064815</v>
      </c>
      <c r="H2165" s="89">
        <v>46257</v>
      </c>
      <c r="I2165" s="71" t="s">
        <v>429</v>
      </c>
      <c r="J2165" s="71">
        <v>635</v>
      </c>
      <c r="K2165" s="71" t="s">
        <v>293</v>
      </c>
      <c r="L2165" s="71">
        <f t="shared" si="297"/>
        <v>8</v>
      </c>
      <c r="M2165" s="71" t="str">
        <f>IFERROR(INDEX(KALENDER!$D$3:$D$132,MATCH(H2165,KALENDER!$A$3:$A$132,0)),"Di luar periode")</f>
        <v>Libur (Sabtu/Minggu)</v>
      </c>
      <c r="N2165" s="71">
        <f t="shared" si="298"/>
        <v>1</v>
      </c>
      <c r="O2165" s="71">
        <f t="shared" si="299"/>
        <v>1</v>
      </c>
      <c r="P2165" s="71">
        <f t="shared" si="300"/>
        <v>0</v>
      </c>
      <c r="Q2165" s="71">
        <f t="shared" si="301"/>
        <v>1</v>
      </c>
      <c r="R2165" s="71">
        <f t="shared" si="302"/>
        <v>0</v>
      </c>
      <c r="S2165" s="71">
        <f t="shared" si="303"/>
        <v>0</v>
      </c>
      <c r="T2165" s="71">
        <f t="shared" si="304"/>
        <v>0</v>
      </c>
      <c r="U2165" s="71">
        <f>IF(AND(N2165=1,V2165=1),IF(COUNTIFS(AKTIVITAS!$B$2:$B$3052,B2165,AKTIVITAS!$E$2:$E$3052,H2165)&gt;0,1,0),0)</f>
        <v>0</v>
      </c>
      <c r="V2165" s="71">
        <f>IFERROR(IF(AND(H2165&gt;=INDEX(PEMAGANG!$J$3:$J$36,MATCH(B2165,PEMAGANG!$C$3:$C$36,0)),H2165&lt;=INDEX(PEMAGANG!$K$3:$K$36,MATCH(B2165,PEMAGANG!$C$3:$C$36,0))),1,0),0)</f>
        <v>0</v>
      </c>
      <c r="W2165" s="71">
        <f t="shared" si="305"/>
        <v>0</v>
      </c>
    </row>
    <row r="2166" spans="1:23" x14ac:dyDescent="0.2">
      <c r="A2166" s="71" t="s">
        <v>613</v>
      </c>
      <c r="B2166" s="71" t="s">
        <v>614</v>
      </c>
      <c r="C2166" s="71" t="s">
        <v>187</v>
      </c>
      <c r="D2166" s="71" t="s">
        <v>421</v>
      </c>
      <c r="E2166" s="71" t="s">
        <v>422</v>
      </c>
      <c r="F2166" s="71" t="s">
        <v>300</v>
      </c>
      <c r="G2166" s="88">
        <v>46258.288715277798</v>
      </c>
      <c r="H2166" s="89">
        <v>46258</v>
      </c>
      <c r="I2166" s="71" t="s">
        <v>353</v>
      </c>
      <c r="J2166" s="71">
        <v>0</v>
      </c>
      <c r="K2166" s="71" t="s">
        <v>302</v>
      </c>
      <c r="L2166" s="71">
        <f t="shared" si="297"/>
        <v>8</v>
      </c>
      <c r="M2166" s="71" t="str">
        <f>IFERROR(INDEX(KALENDER!$D$3:$D$132,MATCH(H2166,KALENDER!$A$3:$A$132,0)),"Di luar periode")</f>
        <v>Hari Kerja</v>
      </c>
      <c r="N2166" s="71">
        <f t="shared" si="298"/>
        <v>1</v>
      </c>
      <c r="O2166" s="71">
        <f t="shared" si="299"/>
        <v>0</v>
      </c>
      <c r="P2166" s="71">
        <f t="shared" si="300"/>
        <v>0</v>
      </c>
      <c r="Q2166" s="71">
        <f t="shared" si="301"/>
        <v>1</v>
      </c>
      <c r="R2166" s="71">
        <f t="shared" si="302"/>
        <v>0</v>
      </c>
      <c r="S2166" s="71">
        <f t="shared" si="303"/>
        <v>0</v>
      </c>
      <c r="T2166" s="71">
        <f t="shared" si="304"/>
        <v>0</v>
      </c>
      <c r="U2166" s="71">
        <f>IF(AND(N2166=1,V2166=1),IF(COUNTIFS(AKTIVITAS!$B$2:$B$3052,B2166,AKTIVITAS!$E$2:$E$3052,H2166)&gt;0,1,0),0)</f>
        <v>0</v>
      </c>
      <c r="V2166" s="71">
        <f>IFERROR(IF(AND(H2166&gt;=INDEX(PEMAGANG!$J$3:$J$36,MATCH(B2166,PEMAGANG!$C$3:$C$36,0)),H2166&lt;=INDEX(PEMAGANG!$K$3:$K$36,MATCH(B2166,PEMAGANG!$C$3:$C$36,0))),1,0),0)</f>
        <v>0</v>
      </c>
      <c r="W2166" s="71">
        <f t="shared" si="305"/>
        <v>0</v>
      </c>
    </row>
    <row r="2167" spans="1:23" x14ac:dyDescent="0.2">
      <c r="A2167" s="71" t="s">
        <v>613</v>
      </c>
      <c r="B2167" s="71" t="s">
        <v>614</v>
      </c>
      <c r="C2167" s="71" t="s">
        <v>187</v>
      </c>
      <c r="D2167" s="71" t="s">
        <v>421</v>
      </c>
      <c r="E2167" s="71" t="s">
        <v>422</v>
      </c>
      <c r="F2167" s="71" t="s">
        <v>298</v>
      </c>
      <c r="G2167" s="88">
        <v>46258.783900463</v>
      </c>
      <c r="H2167" s="89">
        <v>46258</v>
      </c>
      <c r="I2167" s="71" t="s">
        <v>623</v>
      </c>
      <c r="J2167" s="71">
        <v>648</v>
      </c>
      <c r="K2167" s="71" t="s">
        <v>293</v>
      </c>
      <c r="L2167" s="71">
        <f t="shared" si="297"/>
        <v>8</v>
      </c>
      <c r="M2167" s="71" t="str">
        <f>IFERROR(INDEX(KALENDER!$D$3:$D$132,MATCH(H2167,KALENDER!$A$3:$A$132,0)),"Di luar periode")</f>
        <v>Hari Kerja</v>
      </c>
      <c r="N2167" s="71">
        <f t="shared" si="298"/>
        <v>0</v>
      </c>
      <c r="O2167" s="71">
        <f t="shared" si="299"/>
        <v>1</v>
      </c>
      <c r="P2167" s="71">
        <f t="shared" si="300"/>
        <v>0</v>
      </c>
      <c r="Q2167" s="71">
        <f t="shared" si="301"/>
        <v>0</v>
      </c>
      <c r="R2167" s="71">
        <f t="shared" si="302"/>
        <v>0</v>
      </c>
      <c r="S2167" s="71">
        <f t="shared" si="303"/>
        <v>0</v>
      </c>
      <c r="T2167" s="71">
        <f t="shared" si="304"/>
        <v>0</v>
      </c>
      <c r="U2167" s="71">
        <f>IF(AND(N2167=1,V2167=1),IF(COUNTIFS(AKTIVITAS!$B$2:$B$3052,B2167,AKTIVITAS!$E$2:$E$3052,H2167)&gt;0,1,0),0)</f>
        <v>0</v>
      </c>
      <c r="V2167" s="71">
        <f>IFERROR(IF(AND(H2167&gt;=INDEX(PEMAGANG!$J$3:$J$36,MATCH(B2167,PEMAGANG!$C$3:$C$36,0)),H2167&lt;=INDEX(PEMAGANG!$K$3:$K$36,MATCH(B2167,PEMAGANG!$C$3:$C$36,0))),1,0),0)</f>
        <v>0</v>
      </c>
      <c r="W2167" s="71">
        <f t="shared" si="305"/>
        <v>0</v>
      </c>
    </row>
    <row r="2168" spans="1:23" x14ac:dyDescent="0.2">
      <c r="A2168" s="71" t="s">
        <v>613</v>
      </c>
      <c r="B2168" s="71" t="s">
        <v>614</v>
      </c>
      <c r="C2168" s="71" t="s">
        <v>187</v>
      </c>
      <c r="D2168" s="71" t="s">
        <v>421</v>
      </c>
      <c r="E2168" s="71" t="s">
        <v>422</v>
      </c>
      <c r="F2168" s="71" t="s">
        <v>298</v>
      </c>
      <c r="G2168" s="88">
        <v>46259.580034722203</v>
      </c>
      <c r="H2168" s="89">
        <v>46259</v>
      </c>
      <c r="I2168" s="71" t="s">
        <v>638</v>
      </c>
      <c r="J2168" s="71">
        <v>355</v>
      </c>
      <c r="K2168" s="71" t="s">
        <v>293</v>
      </c>
      <c r="L2168" s="71">
        <f t="shared" si="297"/>
        <v>8</v>
      </c>
      <c r="M2168" s="71" t="str">
        <f>IFERROR(INDEX(KALENDER!$D$3:$D$132,MATCH(H2168,KALENDER!$A$3:$A$132,0)),"Di luar periode")</f>
        <v>Libur Nasional</v>
      </c>
      <c r="N2168" s="71">
        <f t="shared" si="298"/>
        <v>1</v>
      </c>
      <c r="O2168" s="71">
        <f t="shared" si="299"/>
        <v>1</v>
      </c>
      <c r="P2168" s="71">
        <f t="shared" si="300"/>
        <v>0</v>
      </c>
      <c r="Q2168" s="71">
        <f t="shared" si="301"/>
        <v>1</v>
      </c>
      <c r="R2168" s="71">
        <f t="shared" si="302"/>
        <v>0</v>
      </c>
      <c r="S2168" s="71">
        <f t="shared" si="303"/>
        <v>0</v>
      </c>
      <c r="T2168" s="71">
        <f t="shared" si="304"/>
        <v>0</v>
      </c>
      <c r="U2168" s="71">
        <f>IF(AND(N2168=1,V2168=1),IF(COUNTIFS(AKTIVITAS!$B$2:$B$3052,B2168,AKTIVITAS!$E$2:$E$3052,H2168)&gt;0,1,0),0)</f>
        <v>0</v>
      </c>
      <c r="V2168" s="71">
        <f>IFERROR(IF(AND(H2168&gt;=INDEX(PEMAGANG!$J$3:$J$36,MATCH(B2168,PEMAGANG!$C$3:$C$36,0)),H2168&lt;=INDEX(PEMAGANG!$K$3:$K$36,MATCH(B2168,PEMAGANG!$C$3:$C$36,0))),1,0),0)</f>
        <v>0</v>
      </c>
      <c r="W2168" s="71">
        <f t="shared" si="305"/>
        <v>0</v>
      </c>
    </row>
    <row r="2169" spans="1:23" x14ac:dyDescent="0.2">
      <c r="A2169" s="71" t="s">
        <v>613</v>
      </c>
      <c r="B2169" s="71" t="s">
        <v>614</v>
      </c>
      <c r="C2169" s="71" t="s">
        <v>187</v>
      </c>
      <c r="D2169" s="71" t="s">
        <v>421</v>
      </c>
      <c r="E2169" s="71" t="s">
        <v>422</v>
      </c>
      <c r="F2169" s="71" t="s">
        <v>300</v>
      </c>
      <c r="G2169" s="88">
        <v>46259.9554166667</v>
      </c>
      <c r="H2169" s="89">
        <v>46259</v>
      </c>
      <c r="I2169" s="71" t="s">
        <v>639</v>
      </c>
      <c r="J2169" s="71">
        <v>0</v>
      </c>
      <c r="K2169" s="71" t="s">
        <v>302</v>
      </c>
      <c r="L2169" s="71">
        <f t="shared" si="297"/>
        <v>8</v>
      </c>
      <c r="M2169" s="71" t="str">
        <f>IFERROR(INDEX(KALENDER!$D$3:$D$132,MATCH(H2169,KALENDER!$A$3:$A$132,0)),"Di luar periode")</f>
        <v>Libur Nasional</v>
      </c>
      <c r="N2169" s="71">
        <f t="shared" si="298"/>
        <v>0</v>
      </c>
      <c r="O2169" s="71">
        <f t="shared" si="299"/>
        <v>1</v>
      </c>
      <c r="P2169" s="71">
        <f t="shared" si="300"/>
        <v>0</v>
      </c>
      <c r="Q2169" s="71">
        <f t="shared" si="301"/>
        <v>0</v>
      </c>
      <c r="R2169" s="71">
        <f t="shared" si="302"/>
        <v>0</v>
      </c>
      <c r="S2169" s="71">
        <f t="shared" si="303"/>
        <v>0</v>
      </c>
      <c r="T2169" s="71">
        <f t="shared" si="304"/>
        <v>0</v>
      </c>
      <c r="U2169" s="71">
        <f>IF(AND(N2169=1,V2169=1),IF(COUNTIFS(AKTIVITAS!$B$2:$B$3052,B2169,AKTIVITAS!$E$2:$E$3052,H2169)&gt;0,1,0),0)</f>
        <v>0</v>
      </c>
      <c r="V2169" s="71">
        <f>IFERROR(IF(AND(H2169&gt;=INDEX(PEMAGANG!$J$3:$J$36,MATCH(B2169,PEMAGANG!$C$3:$C$36,0)),H2169&lt;=INDEX(PEMAGANG!$K$3:$K$36,MATCH(B2169,PEMAGANG!$C$3:$C$36,0))),1,0),0)</f>
        <v>0</v>
      </c>
      <c r="W2169" s="71">
        <f t="shared" si="305"/>
        <v>0</v>
      </c>
    </row>
    <row r="2170" spans="1:23" x14ac:dyDescent="0.2">
      <c r="A2170" s="71" t="s">
        <v>613</v>
      </c>
      <c r="B2170" s="71" t="s">
        <v>614</v>
      </c>
      <c r="C2170" s="71" t="s">
        <v>187</v>
      </c>
      <c r="D2170" s="71" t="s">
        <v>421</v>
      </c>
      <c r="E2170" s="71" t="s">
        <v>422</v>
      </c>
      <c r="F2170" s="71" t="s">
        <v>298</v>
      </c>
      <c r="G2170" s="88">
        <v>46260.632175925901</v>
      </c>
      <c r="H2170" s="89">
        <v>46260</v>
      </c>
      <c r="I2170" s="71" t="s">
        <v>640</v>
      </c>
      <c r="J2170" s="71">
        <v>430</v>
      </c>
      <c r="K2170" s="71" t="s">
        <v>293</v>
      </c>
      <c r="L2170" s="71">
        <f t="shared" si="297"/>
        <v>8</v>
      </c>
      <c r="M2170" s="71" t="str">
        <f>IFERROR(INDEX(KALENDER!$D$3:$D$132,MATCH(H2170,KALENDER!$A$3:$A$132,0)),"Di luar periode")</f>
        <v>Hari Kerja</v>
      </c>
      <c r="N2170" s="71">
        <f t="shared" si="298"/>
        <v>1</v>
      </c>
      <c r="O2170" s="71">
        <f t="shared" si="299"/>
        <v>1</v>
      </c>
      <c r="P2170" s="71">
        <f t="shared" si="300"/>
        <v>0</v>
      </c>
      <c r="Q2170" s="71">
        <f t="shared" si="301"/>
        <v>1</v>
      </c>
      <c r="R2170" s="71">
        <f t="shared" si="302"/>
        <v>0</v>
      </c>
      <c r="S2170" s="71">
        <f t="shared" si="303"/>
        <v>0</v>
      </c>
      <c r="T2170" s="71">
        <f t="shared" si="304"/>
        <v>0</v>
      </c>
      <c r="U2170" s="71">
        <f>IF(AND(N2170=1,V2170=1),IF(COUNTIFS(AKTIVITAS!$B$2:$B$3052,B2170,AKTIVITAS!$E$2:$E$3052,H2170)&gt;0,1,0),0)</f>
        <v>0</v>
      </c>
      <c r="V2170" s="71">
        <f>IFERROR(IF(AND(H2170&gt;=INDEX(PEMAGANG!$J$3:$J$36,MATCH(B2170,PEMAGANG!$C$3:$C$36,0)),H2170&lt;=INDEX(PEMAGANG!$K$3:$K$36,MATCH(B2170,PEMAGANG!$C$3:$C$36,0))),1,0),0)</f>
        <v>0</v>
      </c>
      <c r="W2170" s="71">
        <f t="shared" si="305"/>
        <v>0</v>
      </c>
    </row>
    <row r="2171" spans="1:23" x14ac:dyDescent="0.2">
      <c r="A2171" s="71" t="s">
        <v>613</v>
      </c>
      <c r="B2171" s="71" t="s">
        <v>614</v>
      </c>
      <c r="C2171" s="71" t="s">
        <v>187</v>
      </c>
      <c r="D2171" s="71" t="s">
        <v>421</v>
      </c>
      <c r="E2171" s="71" t="s">
        <v>422</v>
      </c>
      <c r="F2171" s="71" t="s">
        <v>300</v>
      </c>
      <c r="G2171" s="88">
        <v>46260.956689814797</v>
      </c>
      <c r="H2171" s="89">
        <v>46260</v>
      </c>
      <c r="I2171" s="71" t="s">
        <v>618</v>
      </c>
      <c r="J2171" s="71">
        <v>0</v>
      </c>
      <c r="K2171" s="71" t="s">
        <v>302</v>
      </c>
      <c r="L2171" s="71">
        <f t="shared" si="297"/>
        <v>8</v>
      </c>
      <c r="M2171" s="71" t="str">
        <f>IFERROR(INDEX(KALENDER!$D$3:$D$132,MATCH(H2171,KALENDER!$A$3:$A$132,0)),"Di luar periode")</f>
        <v>Hari Kerja</v>
      </c>
      <c r="N2171" s="71">
        <f t="shared" si="298"/>
        <v>0</v>
      </c>
      <c r="O2171" s="71">
        <f t="shared" si="299"/>
        <v>1</v>
      </c>
      <c r="P2171" s="71">
        <f t="shared" si="300"/>
        <v>0</v>
      </c>
      <c r="Q2171" s="71">
        <f t="shared" si="301"/>
        <v>0</v>
      </c>
      <c r="R2171" s="71">
        <f t="shared" si="302"/>
        <v>0</v>
      </c>
      <c r="S2171" s="71">
        <f t="shared" si="303"/>
        <v>0</v>
      </c>
      <c r="T2171" s="71">
        <f t="shared" si="304"/>
        <v>0</v>
      </c>
      <c r="U2171" s="71">
        <f>IF(AND(N2171=1,V2171=1),IF(COUNTIFS(AKTIVITAS!$B$2:$B$3052,B2171,AKTIVITAS!$E$2:$E$3052,H2171)&gt;0,1,0),0)</f>
        <v>0</v>
      </c>
      <c r="V2171" s="71">
        <f>IFERROR(IF(AND(H2171&gt;=INDEX(PEMAGANG!$J$3:$J$36,MATCH(B2171,PEMAGANG!$C$3:$C$36,0)),H2171&lt;=INDEX(PEMAGANG!$K$3:$K$36,MATCH(B2171,PEMAGANG!$C$3:$C$36,0))),1,0),0)</f>
        <v>0</v>
      </c>
      <c r="W2171" s="71">
        <f t="shared" si="305"/>
        <v>0</v>
      </c>
    </row>
    <row r="2172" spans="1:23" x14ac:dyDescent="0.2">
      <c r="A2172" s="71" t="s">
        <v>613</v>
      </c>
      <c r="B2172" s="71" t="s">
        <v>614</v>
      </c>
      <c r="C2172" s="71" t="s">
        <v>187</v>
      </c>
      <c r="D2172" s="71" t="s">
        <v>421</v>
      </c>
      <c r="E2172" s="71" t="s">
        <v>422</v>
      </c>
      <c r="F2172" s="71" t="s">
        <v>298</v>
      </c>
      <c r="G2172" s="88">
        <v>46261.620949074102</v>
      </c>
      <c r="H2172" s="89">
        <v>46261</v>
      </c>
      <c r="I2172" s="71" t="s">
        <v>634</v>
      </c>
      <c r="J2172" s="71">
        <v>414</v>
      </c>
      <c r="K2172" s="71" t="s">
        <v>293</v>
      </c>
      <c r="L2172" s="71">
        <f t="shared" si="297"/>
        <v>8</v>
      </c>
      <c r="M2172" s="71" t="str">
        <f>IFERROR(INDEX(KALENDER!$D$3:$D$132,MATCH(H2172,KALENDER!$A$3:$A$132,0)),"Di luar periode")</f>
        <v>Hari Kerja</v>
      </c>
      <c r="N2172" s="71">
        <f t="shared" si="298"/>
        <v>1</v>
      </c>
      <c r="O2172" s="71">
        <f t="shared" si="299"/>
        <v>1</v>
      </c>
      <c r="P2172" s="71">
        <f t="shared" si="300"/>
        <v>0</v>
      </c>
      <c r="Q2172" s="71">
        <f t="shared" si="301"/>
        <v>1</v>
      </c>
      <c r="R2172" s="71">
        <f t="shared" si="302"/>
        <v>0</v>
      </c>
      <c r="S2172" s="71">
        <f t="shared" si="303"/>
        <v>0</v>
      </c>
      <c r="T2172" s="71">
        <f t="shared" si="304"/>
        <v>0</v>
      </c>
      <c r="U2172" s="71">
        <f>IF(AND(N2172=1,V2172=1),IF(COUNTIFS(AKTIVITAS!$B$2:$B$3052,B2172,AKTIVITAS!$E$2:$E$3052,H2172)&gt;0,1,0),0)</f>
        <v>0</v>
      </c>
      <c r="V2172" s="71">
        <f>IFERROR(IF(AND(H2172&gt;=INDEX(PEMAGANG!$J$3:$J$36,MATCH(B2172,PEMAGANG!$C$3:$C$36,0)),H2172&lt;=INDEX(PEMAGANG!$K$3:$K$36,MATCH(B2172,PEMAGANG!$C$3:$C$36,0))),1,0),0)</f>
        <v>0</v>
      </c>
      <c r="W2172" s="71">
        <f t="shared" si="305"/>
        <v>0</v>
      </c>
    </row>
    <row r="2173" spans="1:23" x14ac:dyDescent="0.2">
      <c r="A2173" s="71" t="s">
        <v>613</v>
      </c>
      <c r="B2173" s="71" t="s">
        <v>614</v>
      </c>
      <c r="C2173" s="71" t="s">
        <v>187</v>
      </c>
      <c r="D2173" s="71" t="s">
        <v>421</v>
      </c>
      <c r="E2173" s="71" t="s">
        <v>422</v>
      </c>
      <c r="F2173" s="71" t="s">
        <v>300</v>
      </c>
      <c r="G2173" s="88">
        <v>46261.957083333298</v>
      </c>
      <c r="H2173" s="89">
        <v>46261</v>
      </c>
      <c r="I2173" s="71" t="s">
        <v>630</v>
      </c>
      <c r="J2173" s="71">
        <v>0</v>
      </c>
      <c r="K2173" s="71" t="s">
        <v>302</v>
      </c>
      <c r="L2173" s="71">
        <f t="shared" si="297"/>
        <v>8</v>
      </c>
      <c r="M2173" s="71" t="str">
        <f>IFERROR(INDEX(KALENDER!$D$3:$D$132,MATCH(H2173,KALENDER!$A$3:$A$132,0)),"Di luar periode")</f>
        <v>Hari Kerja</v>
      </c>
      <c r="N2173" s="71">
        <f t="shared" si="298"/>
        <v>0</v>
      </c>
      <c r="O2173" s="71">
        <f t="shared" si="299"/>
        <v>1</v>
      </c>
      <c r="P2173" s="71">
        <f t="shared" si="300"/>
        <v>0</v>
      </c>
      <c r="Q2173" s="71">
        <f t="shared" si="301"/>
        <v>0</v>
      </c>
      <c r="R2173" s="71">
        <f t="shared" si="302"/>
        <v>0</v>
      </c>
      <c r="S2173" s="71">
        <f t="shared" si="303"/>
        <v>0</v>
      </c>
      <c r="T2173" s="71">
        <f t="shared" si="304"/>
        <v>0</v>
      </c>
      <c r="U2173" s="71">
        <f>IF(AND(N2173=1,V2173=1),IF(COUNTIFS(AKTIVITAS!$B$2:$B$3052,B2173,AKTIVITAS!$E$2:$E$3052,H2173)&gt;0,1,0),0)</f>
        <v>0</v>
      </c>
      <c r="V2173" s="71">
        <f>IFERROR(IF(AND(H2173&gt;=INDEX(PEMAGANG!$J$3:$J$36,MATCH(B2173,PEMAGANG!$C$3:$C$36,0)),H2173&lt;=INDEX(PEMAGANG!$K$3:$K$36,MATCH(B2173,PEMAGANG!$C$3:$C$36,0))),1,0),0)</f>
        <v>0</v>
      </c>
      <c r="W2173" s="71">
        <f t="shared" si="305"/>
        <v>0</v>
      </c>
    </row>
    <row r="2174" spans="1:23" x14ac:dyDescent="0.2">
      <c r="A2174" s="71" t="s">
        <v>613</v>
      </c>
      <c r="B2174" s="71" t="s">
        <v>614</v>
      </c>
      <c r="C2174" s="71" t="s">
        <v>187</v>
      </c>
      <c r="D2174" s="71" t="s">
        <v>421</v>
      </c>
      <c r="E2174" s="71" t="s">
        <v>422</v>
      </c>
      <c r="F2174" s="71" t="s">
        <v>298</v>
      </c>
      <c r="G2174" s="88">
        <v>46262.618981481501</v>
      </c>
      <c r="H2174" s="89">
        <v>46262</v>
      </c>
      <c r="I2174" s="71" t="s">
        <v>629</v>
      </c>
      <c r="J2174" s="71">
        <v>411</v>
      </c>
      <c r="K2174" s="71" t="s">
        <v>293</v>
      </c>
      <c r="L2174" s="71">
        <f t="shared" si="297"/>
        <v>8</v>
      </c>
      <c r="M2174" s="71" t="str">
        <f>IFERROR(INDEX(KALENDER!$D$3:$D$132,MATCH(H2174,KALENDER!$A$3:$A$132,0)),"Di luar periode")</f>
        <v>Hari Kerja</v>
      </c>
      <c r="N2174" s="71">
        <f t="shared" si="298"/>
        <v>1</v>
      </c>
      <c r="O2174" s="71">
        <f t="shared" si="299"/>
        <v>1</v>
      </c>
      <c r="P2174" s="71">
        <f t="shared" si="300"/>
        <v>0</v>
      </c>
      <c r="Q2174" s="71">
        <f t="shared" si="301"/>
        <v>1</v>
      </c>
      <c r="R2174" s="71">
        <f t="shared" si="302"/>
        <v>0</v>
      </c>
      <c r="S2174" s="71">
        <f t="shared" si="303"/>
        <v>0</v>
      </c>
      <c r="T2174" s="71">
        <f t="shared" si="304"/>
        <v>0</v>
      </c>
      <c r="U2174" s="71">
        <f>IF(AND(N2174=1,V2174=1),IF(COUNTIFS(AKTIVITAS!$B$2:$B$3052,B2174,AKTIVITAS!$E$2:$E$3052,H2174)&gt;0,1,0),0)</f>
        <v>0</v>
      </c>
      <c r="V2174" s="71">
        <f>IFERROR(IF(AND(H2174&gt;=INDEX(PEMAGANG!$J$3:$J$36,MATCH(B2174,PEMAGANG!$C$3:$C$36,0)),H2174&lt;=INDEX(PEMAGANG!$K$3:$K$36,MATCH(B2174,PEMAGANG!$C$3:$C$36,0))),1,0),0)</f>
        <v>0</v>
      </c>
      <c r="W2174" s="71">
        <f t="shared" si="305"/>
        <v>0</v>
      </c>
    </row>
    <row r="2175" spans="1:23" x14ac:dyDescent="0.2">
      <c r="A2175" s="71" t="s">
        <v>613</v>
      </c>
      <c r="B2175" s="71" t="s">
        <v>614</v>
      </c>
      <c r="C2175" s="71" t="s">
        <v>187</v>
      </c>
      <c r="D2175" s="71" t="s">
        <v>421</v>
      </c>
      <c r="E2175" s="71" t="s">
        <v>422</v>
      </c>
      <c r="F2175" s="71" t="s">
        <v>300</v>
      </c>
      <c r="G2175" s="88">
        <v>46262.957361111097</v>
      </c>
      <c r="H2175" s="89">
        <v>46262</v>
      </c>
      <c r="I2175" s="71" t="s">
        <v>630</v>
      </c>
      <c r="J2175" s="71">
        <v>0</v>
      </c>
      <c r="K2175" s="71" t="s">
        <v>302</v>
      </c>
      <c r="L2175" s="71">
        <f t="shared" si="297"/>
        <v>8</v>
      </c>
      <c r="M2175" s="71" t="str">
        <f>IFERROR(INDEX(KALENDER!$D$3:$D$132,MATCH(H2175,KALENDER!$A$3:$A$132,0)),"Di luar periode")</f>
        <v>Hari Kerja</v>
      </c>
      <c r="N2175" s="71">
        <f t="shared" si="298"/>
        <v>0</v>
      </c>
      <c r="O2175" s="71">
        <f t="shared" si="299"/>
        <v>1</v>
      </c>
      <c r="P2175" s="71">
        <f t="shared" si="300"/>
        <v>0</v>
      </c>
      <c r="Q2175" s="71">
        <f t="shared" si="301"/>
        <v>0</v>
      </c>
      <c r="R2175" s="71">
        <f t="shared" si="302"/>
        <v>0</v>
      </c>
      <c r="S2175" s="71">
        <f t="shared" si="303"/>
        <v>0</v>
      </c>
      <c r="T2175" s="71">
        <f t="shared" si="304"/>
        <v>0</v>
      </c>
      <c r="U2175" s="71">
        <f>IF(AND(N2175=1,V2175=1),IF(COUNTIFS(AKTIVITAS!$B$2:$B$3052,B2175,AKTIVITAS!$E$2:$E$3052,H2175)&gt;0,1,0),0)</f>
        <v>0</v>
      </c>
      <c r="V2175" s="71">
        <f>IFERROR(IF(AND(H2175&gt;=INDEX(PEMAGANG!$J$3:$J$36,MATCH(B2175,PEMAGANG!$C$3:$C$36,0)),H2175&lt;=INDEX(PEMAGANG!$K$3:$K$36,MATCH(B2175,PEMAGANG!$C$3:$C$36,0))),1,0),0)</f>
        <v>0</v>
      </c>
      <c r="W2175" s="71">
        <f t="shared" si="305"/>
        <v>0</v>
      </c>
    </row>
    <row r="2176" spans="1:23" x14ac:dyDescent="0.2">
      <c r="A2176" s="71" t="s">
        <v>613</v>
      </c>
      <c r="B2176" s="71" t="s">
        <v>614</v>
      </c>
      <c r="C2176" s="71" t="s">
        <v>187</v>
      </c>
      <c r="D2176" s="71" t="s">
        <v>421</v>
      </c>
      <c r="E2176" s="71" t="s">
        <v>422</v>
      </c>
      <c r="F2176" s="71" t="s">
        <v>298</v>
      </c>
      <c r="G2176" s="88">
        <v>46264.780648148197</v>
      </c>
      <c r="H2176" s="89">
        <v>46264</v>
      </c>
      <c r="I2176" s="71" t="s">
        <v>641</v>
      </c>
      <c r="J2176" s="71">
        <v>644</v>
      </c>
      <c r="K2176" s="71" t="s">
        <v>293</v>
      </c>
      <c r="L2176" s="71">
        <f t="shared" si="297"/>
        <v>8</v>
      </c>
      <c r="M2176" s="71" t="str">
        <f>IFERROR(INDEX(KALENDER!$D$3:$D$132,MATCH(H2176,KALENDER!$A$3:$A$132,0)),"Di luar periode")</f>
        <v>Libur (Sabtu/Minggu)</v>
      </c>
      <c r="N2176" s="71">
        <f t="shared" si="298"/>
        <v>1</v>
      </c>
      <c r="O2176" s="71">
        <f t="shared" si="299"/>
        <v>1</v>
      </c>
      <c r="P2176" s="71">
        <f t="shared" si="300"/>
        <v>0</v>
      </c>
      <c r="Q2176" s="71">
        <f t="shared" si="301"/>
        <v>1</v>
      </c>
      <c r="R2176" s="71">
        <f t="shared" si="302"/>
        <v>0</v>
      </c>
      <c r="S2176" s="71">
        <f t="shared" si="303"/>
        <v>0</v>
      </c>
      <c r="T2176" s="71">
        <f t="shared" si="304"/>
        <v>0</v>
      </c>
      <c r="U2176" s="71">
        <f>IF(AND(N2176=1,V2176=1),IF(COUNTIFS(AKTIVITAS!$B$2:$B$3052,B2176,AKTIVITAS!$E$2:$E$3052,H2176)&gt;0,1,0),0)</f>
        <v>0</v>
      </c>
      <c r="V2176" s="71">
        <f>IFERROR(IF(AND(H2176&gt;=INDEX(PEMAGANG!$J$3:$J$36,MATCH(B2176,PEMAGANG!$C$3:$C$36,0)),H2176&lt;=INDEX(PEMAGANG!$K$3:$K$36,MATCH(B2176,PEMAGANG!$C$3:$C$36,0))),1,0),0)</f>
        <v>0</v>
      </c>
      <c r="W2176" s="71">
        <f t="shared" si="305"/>
        <v>0</v>
      </c>
    </row>
    <row r="2177" spans="1:23" x14ac:dyDescent="0.2">
      <c r="A2177" s="71" t="s">
        <v>613</v>
      </c>
      <c r="B2177" s="71" t="s">
        <v>614</v>
      </c>
      <c r="C2177" s="71" t="s">
        <v>187</v>
      </c>
      <c r="D2177" s="71" t="s">
        <v>421</v>
      </c>
      <c r="E2177" s="71" t="s">
        <v>422</v>
      </c>
      <c r="F2177" s="71" t="s">
        <v>300</v>
      </c>
      <c r="G2177" s="88">
        <v>46265.289212962998</v>
      </c>
      <c r="H2177" s="89">
        <v>46265</v>
      </c>
      <c r="I2177" s="71" t="s">
        <v>504</v>
      </c>
      <c r="J2177" s="71">
        <v>0</v>
      </c>
      <c r="K2177" s="71" t="s">
        <v>302</v>
      </c>
      <c r="L2177" s="71">
        <f t="shared" si="297"/>
        <v>8</v>
      </c>
      <c r="M2177" s="71" t="str">
        <f>IFERROR(INDEX(KALENDER!$D$3:$D$132,MATCH(H2177,KALENDER!$A$3:$A$132,0)),"Di luar periode")</f>
        <v>Hari Kerja</v>
      </c>
      <c r="N2177" s="71">
        <f t="shared" si="298"/>
        <v>1</v>
      </c>
      <c r="O2177" s="71">
        <f t="shared" si="299"/>
        <v>0</v>
      </c>
      <c r="P2177" s="71">
        <f t="shared" si="300"/>
        <v>0</v>
      </c>
      <c r="Q2177" s="71">
        <f t="shared" si="301"/>
        <v>1</v>
      </c>
      <c r="R2177" s="71">
        <f t="shared" si="302"/>
        <v>0</v>
      </c>
      <c r="S2177" s="71">
        <f t="shared" si="303"/>
        <v>0</v>
      </c>
      <c r="T2177" s="71">
        <f t="shared" si="304"/>
        <v>0</v>
      </c>
      <c r="U2177" s="71">
        <f>IF(AND(N2177=1,V2177=1),IF(COUNTIFS(AKTIVITAS!$B$2:$B$3052,B2177,AKTIVITAS!$E$2:$E$3052,H2177)&gt;0,1,0),0)</f>
        <v>0</v>
      </c>
      <c r="V2177" s="71">
        <f>IFERROR(IF(AND(H2177&gt;=INDEX(PEMAGANG!$J$3:$J$36,MATCH(B2177,PEMAGANG!$C$3:$C$36,0)),H2177&lt;=INDEX(PEMAGANG!$K$3:$K$36,MATCH(B2177,PEMAGANG!$C$3:$C$36,0))),1,0),0)</f>
        <v>0</v>
      </c>
      <c r="W2177" s="71">
        <f t="shared" si="305"/>
        <v>0</v>
      </c>
    </row>
    <row r="2178" spans="1:23" x14ac:dyDescent="0.2">
      <c r="A2178" s="71" t="s">
        <v>613</v>
      </c>
      <c r="B2178" s="71" t="s">
        <v>614</v>
      </c>
      <c r="C2178" s="71" t="s">
        <v>187</v>
      </c>
      <c r="D2178" s="71" t="s">
        <v>421</v>
      </c>
      <c r="E2178" s="71" t="s">
        <v>422</v>
      </c>
      <c r="F2178" s="71" t="s">
        <v>298</v>
      </c>
      <c r="G2178" s="88">
        <v>46265.7898726852</v>
      </c>
      <c r="H2178" s="89">
        <v>46265</v>
      </c>
      <c r="I2178" s="71" t="s">
        <v>642</v>
      </c>
      <c r="J2178" s="71">
        <v>657</v>
      </c>
      <c r="K2178" s="71" t="s">
        <v>293</v>
      </c>
      <c r="L2178" s="71">
        <f t="shared" ref="L2178:L2241" si="306">MONTH(H2178)</f>
        <v>8</v>
      </c>
      <c r="M2178" s="71" t="str">
        <f>IFERROR(INDEX(KALENDER!$D$3:$D$132,MATCH(H2178,KALENDER!$A$3:$A$132,0)),"Di luar periode")</f>
        <v>Hari Kerja</v>
      </c>
      <c r="N2178" s="71">
        <f t="shared" ref="N2178:N2241" si="307">IF(AND(B2178=B2177,H2178=H2177),0,1)</f>
        <v>0</v>
      </c>
      <c r="O2178" s="71">
        <f t="shared" ref="O2178:O2241" si="308">IF(N2178=1,0,O2177)+IF(F2178="MASUK",1,0)</f>
        <v>1</v>
      </c>
      <c r="P2178" s="71">
        <f t="shared" ref="P2178:P2241" si="309">IF(AND(N2178=1,M2178="Hari Kerja",V2178=1),1,0)</f>
        <v>0</v>
      </c>
      <c r="Q2178" s="71">
        <f t="shared" ref="Q2178:Q2241" si="310">IF(AND(N2178=1,OR(M2178&lt;&gt;"Hari Kerja",V2178=0)),1,0)</f>
        <v>0</v>
      </c>
      <c r="R2178" s="71">
        <f t="shared" ref="R2178:R2241" si="311">IF(AND(F2178="MASUK",O2178=1,N(J2178)&gt;0,V2178=1),1,0)</f>
        <v>0</v>
      </c>
      <c r="S2178" s="71">
        <f t="shared" ref="S2178:S2241" si="312">R2178*N(J2178)</f>
        <v>0</v>
      </c>
      <c r="T2178" s="71">
        <f t="shared" ref="T2178:T2241" si="313">IF(AND(N2178=1,V2178=1),IF(AND(COUNTIFS($B$2:$B$4094,B2178,$H$2:$H$4094,H2178,$F$2:$F$4094,"MASUK")&gt;0,COUNTIFS($B$2:$B$4094,B2178,$H$2:$H$4094,H2178,$F$2:$F$4094,"PULANG")=0),1,0),0)</f>
        <v>0</v>
      </c>
      <c r="U2178" s="71">
        <f>IF(AND(N2178=1,V2178=1),IF(COUNTIFS(AKTIVITAS!$B$2:$B$3052,B2178,AKTIVITAS!$E$2:$E$3052,H2178)&gt;0,1,0),0)</f>
        <v>0</v>
      </c>
      <c r="V2178" s="71">
        <f>IFERROR(IF(AND(H2178&gt;=INDEX(PEMAGANG!$J$3:$J$36,MATCH(B2178,PEMAGANG!$C$3:$C$36,0)),H2178&lt;=INDEX(PEMAGANG!$K$3:$K$36,MATCH(B2178,PEMAGANG!$C$3:$C$36,0))),1,0),0)</f>
        <v>0</v>
      </c>
      <c r="W2178" s="71">
        <f t="shared" ref="W2178:W2241" si="314">N2178*V2178</f>
        <v>0</v>
      </c>
    </row>
    <row r="2179" spans="1:23" x14ac:dyDescent="0.2">
      <c r="A2179" s="71" t="s">
        <v>613</v>
      </c>
      <c r="B2179" s="71" t="s">
        <v>614</v>
      </c>
      <c r="C2179" s="71" t="s">
        <v>187</v>
      </c>
      <c r="D2179" s="71" t="s">
        <v>421</v>
      </c>
      <c r="E2179" s="71" t="s">
        <v>422</v>
      </c>
      <c r="F2179" s="71" t="s">
        <v>298</v>
      </c>
      <c r="G2179" s="88">
        <v>46268.621759259302</v>
      </c>
      <c r="H2179" s="89">
        <v>46268</v>
      </c>
      <c r="I2179" s="71" t="s">
        <v>643</v>
      </c>
      <c r="J2179" s="71">
        <v>415</v>
      </c>
      <c r="K2179" s="71" t="s">
        <v>293</v>
      </c>
      <c r="L2179" s="71">
        <f t="shared" si="306"/>
        <v>9</v>
      </c>
      <c r="M2179" s="71" t="str">
        <f>IFERROR(INDEX(KALENDER!$D$3:$D$132,MATCH(H2179,KALENDER!$A$3:$A$132,0)),"Di luar periode")</f>
        <v>Hari Kerja</v>
      </c>
      <c r="N2179" s="71">
        <f t="shared" si="307"/>
        <v>1</v>
      </c>
      <c r="O2179" s="71">
        <f t="shared" si="308"/>
        <v>1</v>
      </c>
      <c r="P2179" s="71">
        <f t="shared" si="309"/>
        <v>0</v>
      </c>
      <c r="Q2179" s="71">
        <f t="shared" si="310"/>
        <v>1</v>
      </c>
      <c r="R2179" s="71">
        <f t="shared" si="311"/>
        <v>0</v>
      </c>
      <c r="S2179" s="71">
        <f t="shared" si="312"/>
        <v>0</v>
      </c>
      <c r="T2179" s="71">
        <f t="shared" si="313"/>
        <v>0</v>
      </c>
      <c r="U2179" s="71">
        <f>IF(AND(N2179=1,V2179=1),IF(COUNTIFS(AKTIVITAS!$B$2:$B$3052,B2179,AKTIVITAS!$E$2:$E$3052,H2179)&gt;0,1,0),0)</f>
        <v>0</v>
      </c>
      <c r="V2179" s="71">
        <f>IFERROR(IF(AND(H2179&gt;=INDEX(PEMAGANG!$J$3:$J$36,MATCH(B2179,PEMAGANG!$C$3:$C$36,0)),H2179&lt;=INDEX(PEMAGANG!$K$3:$K$36,MATCH(B2179,PEMAGANG!$C$3:$C$36,0))),1,0),0)</f>
        <v>0</v>
      </c>
      <c r="W2179" s="71">
        <f t="shared" si="314"/>
        <v>0</v>
      </c>
    </row>
    <row r="2180" spans="1:23" x14ac:dyDescent="0.2">
      <c r="A2180" s="71" t="s">
        <v>613</v>
      </c>
      <c r="B2180" s="71" t="s">
        <v>614</v>
      </c>
      <c r="C2180" s="71" t="s">
        <v>187</v>
      </c>
      <c r="D2180" s="71" t="s">
        <v>421</v>
      </c>
      <c r="E2180" s="71" t="s">
        <v>422</v>
      </c>
      <c r="F2180" s="71" t="s">
        <v>300</v>
      </c>
      <c r="G2180" s="88">
        <v>46268.956736111097</v>
      </c>
      <c r="H2180" s="89">
        <v>46268</v>
      </c>
      <c r="I2180" s="71" t="s">
        <v>618</v>
      </c>
      <c r="J2180" s="71">
        <v>0</v>
      </c>
      <c r="K2180" s="71" t="s">
        <v>302</v>
      </c>
      <c r="L2180" s="71">
        <f t="shared" si="306"/>
        <v>9</v>
      </c>
      <c r="M2180" s="71" t="str">
        <f>IFERROR(INDEX(KALENDER!$D$3:$D$132,MATCH(H2180,KALENDER!$A$3:$A$132,0)),"Di luar periode")</f>
        <v>Hari Kerja</v>
      </c>
      <c r="N2180" s="71">
        <f t="shared" si="307"/>
        <v>0</v>
      </c>
      <c r="O2180" s="71">
        <f t="shared" si="308"/>
        <v>1</v>
      </c>
      <c r="P2180" s="71">
        <f t="shared" si="309"/>
        <v>0</v>
      </c>
      <c r="Q2180" s="71">
        <f t="shared" si="310"/>
        <v>0</v>
      </c>
      <c r="R2180" s="71">
        <f t="shared" si="311"/>
        <v>0</v>
      </c>
      <c r="S2180" s="71">
        <f t="shared" si="312"/>
        <v>0</v>
      </c>
      <c r="T2180" s="71">
        <f t="shared" si="313"/>
        <v>0</v>
      </c>
      <c r="U2180" s="71">
        <f>IF(AND(N2180=1,V2180=1),IF(COUNTIFS(AKTIVITAS!$B$2:$B$3052,B2180,AKTIVITAS!$E$2:$E$3052,H2180)&gt;0,1,0),0)</f>
        <v>0</v>
      </c>
      <c r="V2180" s="71">
        <f>IFERROR(IF(AND(H2180&gt;=INDEX(PEMAGANG!$J$3:$J$36,MATCH(B2180,PEMAGANG!$C$3:$C$36,0)),H2180&lt;=INDEX(PEMAGANG!$K$3:$K$36,MATCH(B2180,PEMAGANG!$C$3:$C$36,0))),1,0),0)</f>
        <v>0</v>
      </c>
      <c r="W2180" s="71">
        <f t="shared" si="314"/>
        <v>0</v>
      </c>
    </row>
    <row r="2181" spans="1:23" x14ac:dyDescent="0.2">
      <c r="A2181" s="71" t="s">
        <v>613</v>
      </c>
      <c r="B2181" s="71" t="s">
        <v>614</v>
      </c>
      <c r="C2181" s="71" t="s">
        <v>187</v>
      </c>
      <c r="D2181" s="71" t="s">
        <v>421</v>
      </c>
      <c r="E2181" s="71" t="s">
        <v>422</v>
      </c>
      <c r="F2181" s="71" t="s">
        <v>298</v>
      </c>
      <c r="G2181" s="88">
        <v>46269.622407407398</v>
      </c>
      <c r="H2181" s="89">
        <v>46269</v>
      </c>
      <c r="I2181" s="71" t="s">
        <v>619</v>
      </c>
      <c r="J2181" s="71">
        <v>416</v>
      </c>
      <c r="K2181" s="71" t="s">
        <v>293</v>
      </c>
      <c r="L2181" s="71">
        <f t="shared" si="306"/>
        <v>9</v>
      </c>
      <c r="M2181" s="71" t="str">
        <f>IFERROR(INDEX(KALENDER!$D$3:$D$132,MATCH(H2181,KALENDER!$A$3:$A$132,0)),"Di luar periode")</f>
        <v>Hari Kerja</v>
      </c>
      <c r="N2181" s="71">
        <f t="shared" si="307"/>
        <v>1</v>
      </c>
      <c r="O2181" s="71">
        <f t="shared" si="308"/>
        <v>1</v>
      </c>
      <c r="P2181" s="71">
        <f t="shared" si="309"/>
        <v>0</v>
      </c>
      <c r="Q2181" s="71">
        <f t="shared" si="310"/>
        <v>1</v>
      </c>
      <c r="R2181" s="71">
        <f t="shared" si="311"/>
        <v>0</v>
      </c>
      <c r="S2181" s="71">
        <f t="shared" si="312"/>
        <v>0</v>
      </c>
      <c r="T2181" s="71">
        <f t="shared" si="313"/>
        <v>0</v>
      </c>
      <c r="U2181" s="71">
        <f>IF(AND(N2181=1,V2181=1),IF(COUNTIFS(AKTIVITAS!$B$2:$B$3052,B2181,AKTIVITAS!$E$2:$E$3052,H2181)&gt;0,1,0),0)</f>
        <v>0</v>
      </c>
      <c r="V2181" s="71">
        <f>IFERROR(IF(AND(H2181&gt;=INDEX(PEMAGANG!$J$3:$J$36,MATCH(B2181,PEMAGANG!$C$3:$C$36,0)),H2181&lt;=INDEX(PEMAGANG!$K$3:$K$36,MATCH(B2181,PEMAGANG!$C$3:$C$36,0))),1,0),0)</f>
        <v>0</v>
      </c>
      <c r="W2181" s="71">
        <f t="shared" si="314"/>
        <v>0</v>
      </c>
    </row>
    <row r="2182" spans="1:23" x14ac:dyDescent="0.2">
      <c r="A2182" s="71" t="s">
        <v>613</v>
      </c>
      <c r="B2182" s="71" t="s">
        <v>614</v>
      </c>
      <c r="C2182" s="71" t="s">
        <v>187</v>
      </c>
      <c r="D2182" s="71" t="s">
        <v>421</v>
      </c>
      <c r="E2182" s="71" t="s">
        <v>422</v>
      </c>
      <c r="F2182" s="71" t="s">
        <v>300</v>
      </c>
      <c r="G2182" s="88">
        <v>46269.955451388902</v>
      </c>
      <c r="H2182" s="89">
        <v>46269</v>
      </c>
      <c r="I2182" s="71" t="s">
        <v>639</v>
      </c>
      <c r="J2182" s="71">
        <v>0</v>
      </c>
      <c r="K2182" s="71" t="s">
        <v>302</v>
      </c>
      <c r="L2182" s="71">
        <f t="shared" si="306"/>
        <v>9</v>
      </c>
      <c r="M2182" s="71" t="str">
        <f>IFERROR(INDEX(KALENDER!$D$3:$D$132,MATCH(H2182,KALENDER!$A$3:$A$132,0)),"Di luar periode")</f>
        <v>Hari Kerja</v>
      </c>
      <c r="N2182" s="71">
        <f t="shared" si="307"/>
        <v>0</v>
      </c>
      <c r="O2182" s="71">
        <f t="shared" si="308"/>
        <v>1</v>
      </c>
      <c r="P2182" s="71">
        <f t="shared" si="309"/>
        <v>0</v>
      </c>
      <c r="Q2182" s="71">
        <f t="shared" si="310"/>
        <v>0</v>
      </c>
      <c r="R2182" s="71">
        <f t="shared" si="311"/>
        <v>0</v>
      </c>
      <c r="S2182" s="71">
        <f t="shared" si="312"/>
        <v>0</v>
      </c>
      <c r="T2182" s="71">
        <f t="shared" si="313"/>
        <v>0</v>
      </c>
      <c r="U2182" s="71">
        <f>IF(AND(N2182=1,V2182=1),IF(COUNTIFS(AKTIVITAS!$B$2:$B$3052,B2182,AKTIVITAS!$E$2:$E$3052,H2182)&gt;0,1,0),0)</f>
        <v>0</v>
      </c>
      <c r="V2182" s="71">
        <f>IFERROR(IF(AND(H2182&gt;=INDEX(PEMAGANG!$J$3:$J$36,MATCH(B2182,PEMAGANG!$C$3:$C$36,0)),H2182&lt;=INDEX(PEMAGANG!$K$3:$K$36,MATCH(B2182,PEMAGANG!$C$3:$C$36,0))),1,0),0)</f>
        <v>0</v>
      </c>
      <c r="W2182" s="71">
        <f t="shared" si="314"/>
        <v>0</v>
      </c>
    </row>
    <row r="2183" spans="1:23" x14ac:dyDescent="0.2">
      <c r="A2183" s="71" t="s">
        <v>613</v>
      </c>
      <c r="B2183" s="71" t="s">
        <v>614</v>
      </c>
      <c r="C2183" s="71" t="s">
        <v>187</v>
      </c>
      <c r="D2183" s="71" t="s">
        <v>421</v>
      </c>
      <c r="E2183" s="71" t="s">
        <v>422</v>
      </c>
      <c r="F2183" s="71" t="s">
        <v>298</v>
      </c>
      <c r="G2183" s="88">
        <v>46290.6196180556</v>
      </c>
      <c r="H2183" s="89">
        <v>46290</v>
      </c>
      <c r="I2183" s="71" t="s">
        <v>636</v>
      </c>
      <c r="J2183" s="71">
        <v>442</v>
      </c>
      <c r="K2183" s="71" t="s">
        <v>293</v>
      </c>
      <c r="L2183" s="71">
        <f t="shared" si="306"/>
        <v>9</v>
      </c>
      <c r="M2183" s="71" t="str">
        <f>IFERROR(INDEX(KALENDER!$D$3:$D$132,MATCH(H2183,KALENDER!$A$3:$A$132,0)),"Di luar periode")</f>
        <v>Hari Kerja</v>
      </c>
      <c r="N2183" s="71">
        <f t="shared" si="307"/>
        <v>1</v>
      </c>
      <c r="O2183" s="71">
        <f t="shared" si="308"/>
        <v>1</v>
      </c>
      <c r="P2183" s="71">
        <f t="shared" si="309"/>
        <v>0</v>
      </c>
      <c r="Q2183" s="71">
        <f t="shared" si="310"/>
        <v>1</v>
      </c>
      <c r="R2183" s="71">
        <f t="shared" si="311"/>
        <v>0</v>
      </c>
      <c r="S2183" s="71">
        <f t="shared" si="312"/>
        <v>0</v>
      </c>
      <c r="T2183" s="71">
        <f t="shared" si="313"/>
        <v>0</v>
      </c>
      <c r="U2183" s="71">
        <f>IF(AND(N2183=1,V2183=1),IF(COUNTIFS(AKTIVITAS!$B$2:$B$3052,B2183,AKTIVITAS!$E$2:$E$3052,H2183)&gt;0,1,0),0)</f>
        <v>0</v>
      </c>
      <c r="V2183" s="71">
        <f>IFERROR(IF(AND(H2183&gt;=INDEX(PEMAGANG!$J$3:$J$36,MATCH(B2183,PEMAGANG!$C$3:$C$36,0)),H2183&lt;=INDEX(PEMAGANG!$K$3:$K$36,MATCH(B2183,PEMAGANG!$C$3:$C$36,0))),1,0),0)</f>
        <v>0</v>
      </c>
      <c r="W2183" s="71">
        <f t="shared" si="314"/>
        <v>0</v>
      </c>
    </row>
    <row r="2184" spans="1:23" x14ac:dyDescent="0.2">
      <c r="A2184" s="71" t="s">
        <v>613</v>
      </c>
      <c r="B2184" s="71" t="s">
        <v>614</v>
      </c>
      <c r="C2184" s="71" t="s">
        <v>187</v>
      </c>
      <c r="D2184" s="71" t="s">
        <v>421</v>
      </c>
      <c r="E2184" s="71" t="s">
        <v>422</v>
      </c>
      <c r="F2184" s="71" t="s">
        <v>300</v>
      </c>
      <c r="G2184" s="88">
        <v>46290.956261574102</v>
      </c>
      <c r="H2184" s="89">
        <v>46290</v>
      </c>
      <c r="I2184" s="71" t="s">
        <v>618</v>
      </c>
      <c r="J2184" s="71">
        <v>0</v>
      </c>
      <c r="K2184" s="71" t="s">
        <v>302</v>
      </c>
      <c r="L2184" s="71">
        <f t="shared" si="306"/>
        <v>9</v>
      </c>
      <c r="M2184" s="71" t="str">
        <f>IFERROR(INDEX(KALENDER!$D$3:$D$132,MATCH(H2184,KALENDER!$A$3:$A$132,0)),"Di luar periode")</f>
        <v>Hari Kerja</v>
      </c>
      <c r="N2184" s="71">
        <f t="shared" si="307"/>
        <v>0</v>
      </c>
      <c r="O2184" s="71">
        <f t="shared" si="308"/>
        <v>1</v>
      </c>
      <c r="P2184" s="71">
        <f t="shared" si="309"/>
        <v>0</v>
      </c>
      <c r="Q2184" s="71">
        <f t="shared" si="310"/>
        <v>0</v>
      </c>
      <c r="R2184" s="71">
        <f t="shared" si="311"/>
        <v>0</v>
      </c>
      <c r="S2184" s="71">
        <f t="shared" si="312"/>
        <v>0</v>
      </c>
      <c r="T2184" s="71">
        <f t="shared" si="313"/>
        <v>0</v>
      </c>
      <c r="U2184" s="71">
        <f>IF(AND(N2184=1,V2184=1),IF(COUNTIFS(AKTIVITAS!$B$2:$B$3052,B2184,AKTIVITAS!$E$2:$E$3052,H2184)&gt;0,1,0),0)</f>
        <v>0</v>
      </c>
      <c r="V2184" s="71">
        <f>IFERROR(IF(AND(H2184&gt;=INDEX(PEMAGANG!$J$3:$J$36,MATCH(B2184,PEMAGANG!$C$3:$C$36,0)),H2184&lt;=INDEX(PEMAGANG!$K$3:$K$36,MATCH(B2184,PEMAGANG!$C$3:$C$36,0))),1,0),0)</f>
        <v>0</v>
      </c>
      <c r="W2184" s="71">
        <f t="shared" si="314"/>
        <v>0</v>
      </c>
    </row>
    <row r="2185" spans="1:23" x14ac:dyDescent="0.2">
      <c r="A2185" s="71" t="s">
        <v>613</v>
      </c>
      <c r="B2185" s="71" t="s">
        <v>614</v>
      </c>
      <c r="C2185" s="71" t="s">
        <v>187</v>
      </c>
      <c r="D2185" s="71" t="s">
        <v>421</v>
      </c>
      <c r="E2185" s="71" t="s">
        <v>422</v>
      </c>
      <c r="F2185" s="71" t="s">
        <v>300</v>
      </c>
      <c r="G2185" s="88">
        <v>46290.957604166702</v>
      </c>
      <c r="H2185" s="89">
        <v>46290</v>
      </c>
      <c r="I2185" s="71" t="s">
        <v>630</v>
      </c>
      <c r="J2185" s="71">
        <v>0</v>
      </c>
      <c r="K2185" s="71" t="s">
        <v>302</v>
      </c>
      <c r="L2185" s="71">
        <f t="shared" si="306"/>
        <v>9</v>
      </c>
      <c r="M2185" s="71" t="str">
        <f>IFERROR(INDEX(KALENDER!$D$3:$D$132,MATCH(H2185,KALENDER!$A$3:$A$132,0)),"Di luar periode")</f>
        <v>Hari Kerja</v>
      </c>
      <c r="N2185" s="71">
        <f t="shared" si="307"/>
        <v>0</v>
      </c>
      <c r="O2185" s="71">
        <f t="shared" si="308"/>
        <v>1</v>
      </c>
      <c r="P2185" s="71">
        <f t="shared" si="309"/>
        <v>0</v>
      </c>
      <c r="Q2185" s="71">
        <f t="shared" si="310"/>
        <v>0</v>
      </c>
      <c r="R2185" s="71">
        <f t="shared" si="311"/>
        <v>0</v>
      </c>
      <c r="S2185" s="71">
        <f t="shared" si="312"/>
        <v>0</v>
      </c>
      <c r="T2185" s="71">
        <f t="shared" si="313"/>
        <v>0</v>
      </c>
      <c r="U2185" s="71">
        <f>IF(AND(N2185=1,V2185=1),IF(COUNTIFS(AKTIVITAS!$B$2:$B$3052,B2185,AKTIVITAS!$E$2:$E$3052,H2185)&gt;0,1,0),0)</f>
        <v>0</v>
      </c>
      <c r="V2185" s="71">
        <f>IFERROR(IF(AND(H2185&gt;=INDEX(PEMAGANG!$J$3:$J$36,MATCH(B2185,PEMAGANG!$C$3:$C$36,0)),H2185&lt;=INDEX(PEMAGANG!$K$3:$K$36,MATCH(B2185,PEMAGANG!$C$3:$C$36,0))),1,0),0)</f>
        <v>0</v>
      </c>
      <c r="W2185" s="71">
        <f t="shared" si="314"/>
        <v>0</v>
      </c>
    </row>
    <row r="2186" spans="1:23" x14ac:dyDescent="0.2">
      <c r="A2186" s="71" t="s">
        <v>613</v>
      </c>
      <c r="B2186" s="71" t="s">
        <v>614</v>
      </c>
      <c r="C2186" s="71" t="s">
        <v>187</v>
      </c>
      <c r="D2186" s="71" t="s">
        <v>421</v>
      </c>
      <c r="E2186" s="71" t="s">
        <v>422</v>
      </c>
      <c r="F2186" s="71" t="s">
        <v>298</v>
      </c>
      <c r="G2186" s="88">
        <v>46292.786111111098</v>
      </c>
      <c r="H2186" s="89">
        <v>46292</v>
      </c>
      <c r="I2186" s="71" t="s">
        <v>644</v>
      </c>
      <c r="J2186" s="71">
        <v>682</v>
      </c>
      <c r="K2186" s="71" t="s">
        <v>293</v>
      </c>
      <c r="L2186" s="71">
        <f t="shared" si="306"/>
        <v>9</v>
      </c>
      <c r="M2186" s="71" t="str">
        <f>IFERROR(INDEX(KALENDER!$D$3:$D$132,MATCH(H2186,KALENDER!$A$3:$A$132,0)),"Di luar periode")</f>
        <v>Libur (Sabtu/Minggu)</v>
      </c>
      <c r="N2186" s="71">
        <f t="shared" si="307"/>
        <v>1</v>
      </c>
      <c r="O2186" s="71">
        <f t="shared" si="308"/>
        <v>1</v>
      </c>
      <c r="P2186" s="71">
        <f t="shared" si="309"/>
        <v>0</v>
      </c>
      <c r="Q2186" s="71">
        <f t="shared" si="310"/>
        <v>1</v>
      </c>
      <c r="R2186" s="71">
        <f t="shared" si="311"/>
        <v>0</v>
      </c>
      <c r="S2186" s="71">
        <f t="shared" si="312"/>
        <v>0</v>
      </c>
      <c r="T2186" s="71">
        <f t="shared" si="313"/>
        <v>0</v>
      </c>
      <c r="U2186" s="71">
        <f>IF(AND(N2186=1,V2186=1),IF(COUNTIFS(AKTIVITAS!$B$2:$B$3052,B2186,AKTIVITAS!$E$2:$E$3052,H2186)&gt;0,1,0),0)</f>
        <v>0</v>
      </c>
      <c r="V2186" s="71">
        <f>IFERROR(IF(AND(H2186&gt;=INDEX(PEMAGANG!$J$3:$J$36,MATCH(B2186,PEMAGANG!$C$3:$C$36,0)),H2186&lt;=INDEX(PEMAGANG!$K$3:$K$36,MATCH(B2186,PEMAGANG!$C$3:$C$36,0))),1,0),0)</f>
        <v>0</v>
      </c>
      <c r="W2186" s="71">
        <f t="shared" si="314"/>
        <v>0</v>
      </c>
    </row>
    <row r="2187" spans="1:23" x14ac:dyDescent="0.2">
      <c r="A2187" s="71" t="s">
        <v>613</v>
      </c>
      <c r="B2187" s="71" t="s">
        <v>614</v>
      </c>
      <c r="C2187" s="71" t="s">
        <v>187</v>
      </c>
      <c r="D2187" s="71" t="s">
        <v>421</v>
      </c>
      <c r="E2187" s="71" t="s">
        <v>422</v>
      </c>
      <c r="F2187" s="71" t="s">
        <v>300</v>
      </c>
      <c r="G2187" s="88">
        <v>46293.290266203701</v>
      </c>
      <c r="H2187" s="89">
        <v>46293</v>
      </c>
      <c r="I2187" s="71" t="s">
        <v>477</v>
      </c>
      <c r="J2187" s="71">
        <v>0</v>
      </c>
      <c r="K2187" s="71" t="s">
        <v>302</v>
      </c>
      <c r="L2187" s="71">
        <f t="shared" si="306"/>
        <v>9</v>
      </c>
      <c r="M2187" s="71" t="str">
        <f>IFERROR(INDEX(KALENDER!$D$3:$D$132,MATCH(H2187,KALENDER!$A$3:$A$132,0)),"Di luar periode")</f>
        <v>Hari Kerja</v>
      </c>
      <c r="N2187" s="71">
        <f t="shared" si="307"/>
        <v>1</v>
      </c>
      <c r="O2187" s="71">
        <f t="shared" si="308"/>
        <v>0</v>
      </c>
      <c r="P2187" s="71">
        <f t="shared" si="309"/>
        <v>0</v>
      </c>
      <c r="Q2187" s="71">
        <f t="shared" si="310"/>
        <v>1</v>
      </c>
      <c r="R2187" s="71">
        <f t="shared" si="311"/>
        <v>0</v>
      </c>
      <c r="S2187" s="71">
        <f t="shared" si="312"/>
        <v>0</v>
      </c>
      <c r="T2187" s="71">
        <f t="shared" si="313"/>
        <v>0</v>
      </c>
      <c r="U2187" s="71">
        <f>IF(AND(N2187=1,V2187=1),IF(COUNTIFS(AKTIVITAS!$B$2:$B$3052,B2187,AKTIVITAS!$E$2:$E$3052,H2187)&gt;0,1,0),0)</f>
        <v>0</v>
      </c>
      <c r="V2187" s="71">
        <f>IFERROR(IF(AND(H2187&gt;=INDEX(PEMAGANG!$J$3:$J$36,MATCH(B2187,PEMAGANG!$C$3:$C$36,0)),H2187&lt;=INDEX(PEMAGANG!$K$3:$K$36,MATCH(B2187,PEMAGANG!$C$3:$C$36,0))),1,0),0)</f>
        <v>0</v>
      </c>
      <c r="W2187" s="71">
        <f t="shared" si="314"/>
        <v>0</v>
      </c>
    </row>
    <row r="2188" spans="1:23" x14ac:dyDescent="0.2">
      <c r="A2188" s="71" t="s">
        <v>613</v>
      </c>
      <c r="B2188" s="71" t="s">
        <v>614</v>
      </c>
      <c r="C2188" s="71" t="s">
        <v>187</v>
      </c>
      <c r="D2188" s="71" t="s">
        <v>421</v>
      </c>
      <c r="E2188" s="71" t="s">
        <v>422</v>
      </c>
      <c r="F2188" s="71" t="s">
        <v>298</v>
      </c>
      <c r="G2188" s="88">
        <v>46293.791400463</v>
      </c>
      <c r="H2188" s="89">
        <v>46293</v>
      </c>
      <c r="I2188" s="71" t="s">
        <v>645</v>
      </c>
      <c r="J2188" s="71">
        <v>689</v>
      </c>
      <c r="K2188" s="71" t="s">
        <v>293</v>
      </c>
      <c r="L2188" s="71">
        <f t="shared" si="306"/>
        <v>9</v>
      </c>
      <c r="M2188" s="71" t="str">
        <f>IFERROR(INDEX(KALENDER!$D$3:$D$132,MATCH(H2188,KALENDER!$A$3:$A$132,0)),"Di luar periode")</f>
        <v>Hari Kerja</v>
      </c>
      <c r="N2188" s="71">
        <f t="shared" si="307"/>
        <v>0</v>
      </c>
      <c r="O2188" s="71">
        <f t="shared" si="308"/>
        <v>1</v>
      </c>
      <c r="P2188" s="71">
        <f t="shared" si="309"/>
        <v>0</v>
      </c>
      <c r="Q2188" s="71">
        <f t="shared" si="310"/>
        <v>0</v>
      </c>
      <c r="R2188" s="71">
        <f t="shared" si="311"/>
        <v>0</v>
      </c>
      <c r="S2188" s="71">
        <f t="shared" si="312"/>
        <v>0</v>
      </c>
      <c r="T2188" s="71">
        <f t="shared" si="313"/>
        <v>0</v>
      </c>
      <c r="U2188" s="71">
        <f>IF(AND(N2188=1,V2188=1),IF(COUNTIFS(AKTIVITAS!$B$2:$B$3052,B2188,AKTIVITAS!$E$2:$E$3052,H2188)&gt;0,1,0),0)</f>
        <v>0</v>
      </c>
      <c r="V2188" s="71">
        <f>IFERROR(IF(AND(H2188&gt;=INDEX(PEMAGANG!$J$3:$J$36,MATCH(B2188,PEMAGANG!$C$3:$C$36,0)),H2188&lt;=INDEX(PEMAGANG!$K$3:$K$36,MATCH(B2188,PEMAGANG!$C$3:$C$36,0))),1,0),0)</f>
        <v>0</v>
      </c>
      <c r="W2188" s="71">
        <f t="shared" si="314"/>
        <v>0</v>
      </c>
    </row>
    <row r="2189" spans="1:23" x14ac:dyDescent="0.2">
      <c r="A2189" s="71" t="s">
        <v>613</v>
      </c>
      <c r="B2189" s="71" t="s">
        <v>614</v>
      </c>
      <c r="C2189" s="71" t="s">
        <v>187</v>
      </c>
      <c r="D2189" s="71" t="s">
        <v>421</v>
      </c>
      <c r="E2189" s="71" t="s">
        <v>422</v>
      </c>
      <c r="F2189" s="71" t="s">
        <v>300</v>
      </c>
      <c r="G2189" s="88">
        <v>46294.286967592598</v>
      </c>
      <c r="H2189" s="89">
        <v>46294</v>
      </c>
      <c r="I2189" s="71" t="s">
        <v>512</v>
      </c>
      <c r="J2189" s="71">
        <v>0</v>
      </c>
      <c r="K2189" s="71" t="s">
        <v>302</v>
      </c>
      <c r="L2189" s="71">
        <f t="shared" si="306"/>
        <v>9</v>
      </c>
      <c r="M2189" s="71" t="str">
        <f>IFERROR(INDEX(KALENDER!$D$3:$D$132,MATCH(H2189,KALENDER!$A$3:$A$132,0)),"Di luar periode")</f>
        <v>Hari Kerja</v>
      </c>
      <c r="N2189" s="71">
        <f t="shared" si="307"/>
        <v>1</v>
      </c>
      <c r="O2189" s="71">
        <f t="shared" si="308"/>
        <v>0</v>
      </c>
      <c r="P2189" s="71">
        <f t="shared" si="309"/>
        <v>0</v>
      </c>
      <c r="Q2189" s="71">
        <f t="shared" si="310"/>
        <v>1</v>
      </c>
      <c r="R2189" s="71">
        <f t="shared" si="311"/>
        <v>0</v>
      </c>
      <c r="S2189" s="71">
        <f t="shared" si="312"/>
        <v>0</v>
      </c>
      <c r="T2189" s="71">
        <f t="shared" si="313"/>
        <v>0</v>
      </c>
      <c r="U2189" s="71">
        <f>IF(AND(N2189=1,V2189=1),IF(COUNTIFS(AKTIVITAS!$B$2:$B$3052,B2189,AKTIVITAS!$E$2:$E$3052,H2189)&gt;0,1,0),0)</f>
        <v>0</v>
      </c>
      <c r="V2189" s="71">
        <f>IFERROR(IF(AND(H2189&gt;=INDEX(PEMAGANG!$J$3:$J$36,MATCH(B2189,PEMAGANG!$C$3:$C$36,0)),H2189&lt;=INDEX(PEMAGANG!$K$3:$K$36,MATCH(B2189,PEMAGANG!$C$3:$C$36,0))),1,0),0)</f>
        <v>0</v>
      </c>
      <c r="W2189" s="71">
        <f t="shared" si="314"/>
        <v>0</v>
      </c>
    </row>
    <row r="2190" spans="1:23" x14ac:dyDescent="0.2">
      <c r="A2190" s="71" t="s">
        <v>613</v>
      </c>
      <c r="B2190" s="71" t="s">
        <v>614</v>
      </c>
      <c r="C2190" s="71" t="s">
        <v>187</v>
      </c>
      <c r="D2190" s="71" t="s">
        <v>421</v>
      </c>
      <c r="E2190" s="71" t="s">
        <v>422</v>
      </c>
      <c r="F2190" s="71" t="s">
        <v>298</v>
      </c>
      <c r="G2190" s="88">
        <v>46294.622187499997</v>
      </c>
      <c r="H2190" s="89">
        <v>46294</v>
      </c>
      <c r="I2190" s="71" t="s">
        <v>643</v>
      </c>
      <c r="J2190" s="71">
        <v>445</v>
      </c>
      <c r="K2190" s="71" t="s">
        <v>293</v>
      </c>
      <c r="L2190" s="71">
        <f t="shared" si="306"/>
        <v>9</v>
      </c>
      <c r="M2190" s="71" t="str">
        <f>IFERROR(INDEX(KALENDER!$D$3:$D$132,MATCH(H2190,KALENDER!$A$3:$A$132,0)),"Di luar periode")</f>
        <v>Hari Kerja</v>
      </c>
      <c r="N2190" s="71">
        <f t="shared" si="307"/>
        <v>0</v>
      </c>
      <c r="O2190" s="71">
        <f t="shared" si="308"/>
        <v>1</v>
      </c>
      <c r="P2190" s="71">
        <f t="shared" si="309"/>
        <v>0</v>
      </c>
      <c r="Q2190" s="71">
        <f t="shared" si="310"/>
        <v>0</v>
      </c>
      <c r="R2190" s="71">
        <f t="shared" si="311"/>
        <v>0</v>
      </c>
      <c r="S2190" s="71">
        <f t="shared" si="312"/>
        <v>0</v>
      </c>
      <c r="T2190" s="71">
        <f t="shared" si="313"/>
        <v>0</v>
      </c>
      <c r="U2190" s="71">
        <f>IF(AND(N2190=1,V2190=1),IF(COUNTIFS(AKTIVITAS!$B$2:$B$3052,B2190,AKTIVITAS!$E$2:$E$3052,H2190)&gt;0,1,0),0)</f>
        <v>0</v>
      </c>
      <c r="V2190" s="71">
        <f>IFERROR(IF(AND(H2190&gt;=INDEX(PEMAGANG!$J$3:$J$36,MATCH(B2190,PEMAGANG!$C$3:$C$36,0)),H2190&lt;=INDEX(PEMAGANG!$K$3:$K$36,MATCH(B2190,PEMAGANG!$C$3:$C$36,0))),1,0),0)</f>
        <v>0</v>
      </c>
      <c r="W2190" s="71">
        <f t="shared" si="314"/>
        <v>0</v>
      </c>
    </row>
    <row r="2191" spans="1:23" x14ac:dyDescent="0.2">
      <c r="A2191" s="71" t="s">
        <v>613</v>
      </c>
      <c r="B2191" s="71" t="s">
        <v>614</v>
      </c>
      <c r="C2191" s="71" t="s">
        <v>187</v>
      </c>
      <c r="D2191" s="71" t="s">
        <v>421</v>
      </c>
      <c r="E2191" s="71" t="s">
        <v>422</v>
      </c>
      <c r="F2191" s="71" t="s">
        <v>300</v>
      </c>
      <c r="G2191" s="88">
        <v>46294.956840277802</v>
      </c>
      <c r="H2191" s="89">
        <v>46294</v>
      </c>
      <c r="I2191" s="71" t="s">
        <v>618</v>
      </c>
      <c r="J2191" s="71">
        <v>0</v>
      </c>
      <c r="K2191" s="71" t="s">
        <v>302</v>
      </c>
      <c r="L2191" s="71">
        <f t="shared" si="306"/>
        <v>9</v>
      </c>
      <c r="M2191" s="71" t="str">
        <f>IFERROR(INDEX(KALENDER!$D$3:$D$132,MATCH(H2191,KALENDER!$A$3:$A$132,0)),"Di luar periode")</f>
        <v>Hari Kerja</v>
      </c>
      <c r="N2191" s="71">
        <f t="shared" si="307"/>
        <v>0</v>
      </c>
      <c r="O2191" s="71">
        <f t="shared" si="308"/>
        <v>1</v>
      </c>
      <c r="P2191" s="71">
        <f t="shared" si="309"/>
        <v>0</v>
      </c>
      <c r="Q2191" s="71">
        <f t="shared" si="310"/>
        <v>0</v>
      </c>
      <c r="R2191" s="71">
        <f t="shared" si="311"/>
        <v>0</v>
      </c>
      <c r="S2191" s="71">
        <f t="shared" si="312"/>
        <v>0</v>
      </c>
      <c r="T2191" s="71">
        <f t="shared" si="313"/>
        <v>0</v>
      </c>
      <c r="U2191" s="71">
        <f>IF(AND(N2191=1,V2191=1),IF(COUNTIFS(AKTIVITAS!$B$2:$B$3052,B2191,AKTIVITAS!$E$2:$E$3052,H2191)&gt;0,1,0),0)</f>
        <v>0</v>
      </c>
      <c r="V2191" s="71">
        <f>IFERROR(IF(AND(H2191&gt;=INDEX(PEMAGANG!$J$3:$J$36,MATCH(B2191,PEMAGANG!$C$3:$C$36,0)),H2191&lt;=INDEX(PEMAGANG!$K$3:$K$36,MATCH(B2191,PEMAGANG!$C$3:$C$36,0))),1,0),0)</f>
        <v>0</v>
      </c>
      <c r="W2191" s="71">
        <f t="shared" si="314"/>
        <v>0</v>
      </c>
    </row>
    <row r="2192" spans="1:23" x14ac:dyDescent="0.2">
      <c r="A2192" s="71" t="s">
        <v>613</v>
      </c>
      <c r="B2192" s="71" t="s">
        <v>614</v>
      </c>
      <c r="C2192" s="71" t="s">
        <v>187</v>
      </c>
      <c r="D2192" s="71" t="s">
        <v>421</v>
      </c>
      <c r="E2192" s="71" t="s">
        <v>422</v>
      </c>
      <c r="F2192" s="71" t="s">
        <v>298</v>
      </c>
      <c r="G2192" s="88">
        <v>46295.620439814797</v>
      </c>
      <c r="H2192" s="89">
        <v>46295</v>
      </c>
      <c r="I2192" s="71" t="s">
        <v>617</v>
      </c>
      <c r="J2192" s="71">
        <v>443</v>
      </c>
      <c r="K2192" s="71" t="s">
        <v>293</v>
      </c>
      <c r="L2192" s="71">
        <f t="shared" si="306"/>
        <v>9</v>
      </c>
      <c r="M2192" s="71" t="str">
        <f>IFERROR(INDEX(KALENDER!$D$3:$D$132,MATCH(H2192,KALENDER!$A$3:$A$132,0)),"Di luar periode")</f>
        <v>Hari Kerja</v>
      </c>
      <c r="N2192" s="71">
        <f t="shared" si="307"/>
        <v>1</v>
      </c>
      <c r="O2192" s="71">
        <f t="shared" si="308"/>
        <v>1</v>
      </c>
      <c r="P2192" s="71">
        <f t="shared" si="309"/>
        <v>0</v>
      </c>
      <c r="Q2192" s="71">
        <f t="shared" si="310"/>
        <v>1</v>
      </c>
      <c r="R2192" s="71">
        <f t="shared" si="311"/>
        <v>0</v>
      </c>
      <c r="S2192" s="71">
        <f t="shared" si="312"/>
        <v>0</v>
      </c>
      <c r="T2192" s="71">
        <f t="shared" si="313"/>
        <v>0</v>
      </c>
      <c r="U2192" s="71">
        <f>IF(AND(N2192=1,V2192=1),IF(COUNTIFS(AKTIVITAS!$B$2:$B$3052,B2192,AKTIVITAS!$E$2:$E$3052,H2192)&gt;0,1,0),0)</f>
        <v>0</v>
      </c>
      <c r="V2192" s="71">
        <f>IFERROR(IF(AND(H2192&gt;=INDEX(PEMAGANG!$J$3:$J$36,MATCH(B2192,PEMAGANG!$C$3:$C$36,0)),H2192&lt;=INDEX(PEMAGANG!$K$3:$K$36,MATCH(B2192,PEMAGANG!$C$3:$C$36,0))),1,0),0)</f>
        <v>0</v>
      </c>
      <c r="W2192" s="71">
        <f t="shared" si="314"/>
        <v>0</v>
      </c>
    </row>
    <row r="2193" spans="1:23" x14ac:dyDescent="0.2">
      <c r="A2193" s="71" t="s">
        <v>613</v>
      </c>
      <c r="B2193" s="71" t="s">
        <v>614</v>
      </c>
      <c r="C2193" s="71" t="s">
        <v>187</v>
      </c>
      <c r="D2193" s="71" t="s">
        <v>421</v>
      </c>
      <c r="E2193" s="71" t="s">
        <v>422</v>
      </c>
      <c r="F2193" s="71" t="s">
        <v>300</v>
      </c>
      <c r="G2193" s="88">
        <v>46295.9559143519</v>
      </c>
      <c r="H2193" s="89">
        <v>46295</v>
      </c>
      <c r="I2193" s="71" t="s">
        <v>646</v>
      </c>
      <c r="J2193" s="71">
        <v>0</v>
      </c>
      <c r="K2193" s="71" t="s">
        <v>302</v>
      </c>
      <c r="L2193" s="71">
        <f t="shared" si="306"/>
        <v>9</v>
      </c>
      <c r="M2193" s="71" t="str">
        <f>IFERROR(INDEX(KALENDER!$D$3:$D$132,MATCH(H2193,KALENDER!$A$3:$A$132,0)),"Di luar periode")</f>
        <v>Hari Kerja</v>
      </c>
      <c r="N2193" s="71">
        <f t="shared" si="307"/>
        <v>0</v>
      </c>
      <c r="O2193" s="71">
        <f t="shared" si="308"/>
        <v>1</v>
      </c>
      <c r="P2193" s="71">
        <f t="shared" si="309"/>
        <v>0</v>
      </c>
      <c r="Q2193" s="71">
        <f t="shared" si="310"/>
        <v>0</v>
      </c>
      <c r="R2193" s="71">
        <f t="shared" si="311"/>
        <v>0</v>
      </c>
      <c r="S2193" s="71">
        <f t="shared" si="312"/>
        <v>0</v>
      </c>
      <c r="T2193" s="71">
        <f t="shared" si="313"/>
        <v>0</v>
      </c>
      <c r="U2193" s="71">
        <f>IF(AND(N2193=1,V2193=1),IF(COUNTIFS(AKTIVITAS!$B$2:$B$3052,B2193,AKTIVITAS!$E$2:$E$3052,H2193)&gt;0,1,0),0)</f>
        <v>0</v>
      </c>
      <c r="V2193" s="71">
        <f>IFERROR(IF(AND(H2193&gt;=INDEX(PEMAGANG!$J$3:$J$36,MATCH(B2193,PEMAGANG!$C$3:$C$36,0)),H2193&lt;=INDEX(PEMAGANG!$K$3:$K$36,MATCH(B2193,PEMAGANG!$C$3:$C$36,0))),1,0),0)</f>
        <v>0</v>
      </c>
      <c r="W2193" s="71">
        <f t="shared" si="314"/>
        <v>0</v>
      </c>
    </row>
    <row r="2194" spans="1:23" x14ac:dyDescent="0.2">
      <c r="A2194" s="71" t="s">
        <v>647</v>
      </c>
      <c r="B2194" s="71" t="s">
        <v>648</v>
      </c>
      <c r="C2194" s="71" t="s">
        <v>187</v>
      </c>
      <c r="D2194" s="71" t="s">
        <v>421</v>
      </c>
      <c r="E2194" s="71" t="s">
        <v>422</v>
      </c>
      <c r="F2194" s="71" t="s">
        <v>300</v>
      </c>
      <c r="G2194" s="88">
        <v>46227.293831018498</v>
      </c>
      <c r="H2194" s="89">
        <v>46227</v>
      </c>
      <c r="I2194" s="71" t="s">
        <v>483</v>
      </c>
      <c r="J2194" s="71">
        <v>0</v>
      </c>
      <c r="K2194" s="71" t="s">
        <v>302</v>
      </c>
      <c r="L2194" s="71">
        <f t="shared" si="306"/>
        <v>7</v>
      </c>
      <c r="M2194" s="71" t="str">
        <f>IFERROR(INDEX(KALENDER!$D$3:$D$132,MATCH(H2194,KALENDER!$A$3:$A$132,0)),"Di luar periode")</f>
        <v>Hari Kerja</v>
      </c>
      <c r="N2194" s="71">
        <f t="shared" si="307"/>
        <v>1</v>
      </c>
      <c r="O2194" s="71">
        <f t="shared" si="308"/>
        <v>0</v>
      </c>
      <c r="P2194" s="71">
        <f t="shared" si="309"/>
        <v>0</v>
      </c>
      <c r="Q2194" s="71">
        <f t="shared" si="310"/>
        <v>1</v>
      </c>
      <c r="R2194" s="71">
        <f t="shared" si="311"/>
        <v>0</v>
      </c>
      <c r="S2194" s="71">
        <f t="shared" si="312"/>
        <v>0</v>
      </c>
      <c r="T2194" s="71">
        <f t="shared" si="313"/>
        <v>0</v>
      </c>
      <c r="U2194" s="71">
        <f>IF(AND(N2194=1,V2194=1),IF(COUNTIFS(AKTIVITAS!$B$2:$B$3052,B2194,AKTIVITAS!$E$2:$E$3052,H2194)&gt;0,1,0),0)</f>
        <v>0</v>
      </c>
      <c r="V2194" s="71">
        <f>IFERROR(IF(AND(H2194&gt;=INDEX(PEMAGANG!$J$3:$J$36,MATCH(B2194,PEMAGANG!$C$3:$C$36,0)),H2194&lt;=INDEX(PEMAGANG!$K$3:$K$36,MATCH(B2194,PEMAGANG!$C$3:$C$36,0))),1,0),0)</f>
        <v>0</v>
      </c>
      <c r="W2194" s="71">
        <f t="shared" si="314"/>
        <v>0</v>
      </c>
    </row>
    <row r="2195" spans="1:23" x14ac:dyDescent="0.2">
      <c r="A2195" s="71" t="s">
        <v>647</v>
      </c>
      <c r="B2195" s="71" t="s">
        <v>648</v>
      </c>
      <c r="C2195" s="71" t="s">
        <v>187</v>
      </c>
      <c r="D2195" s="71" t="s">
        <v>421</v>
      </c>
      <c r="E2195" s="71" t="s">
        <v>422</v>
      </c>
      <c r="F2195" s="71" t="s">
        <v>298</v>
      </c>
      <c r="G2195" s="88">
        <v>46227.920636574097</v>
      </c>
      <c r="H2195" s="89">
        <v>46227</v>
      </c>
      <c r="I2195" s="71" t="s">
        <v>649</v>
      </c>
      <c r="J2195" s="71">
        <v>845</v>
      </c>
      <c r="K2195" s="71" t="s">
        <v>293</v>
      </c>
      <c r="L2195" s="71">
        <f t="shared" si="306"/>
        <v>7</v>
      </c>
      <c r="M2195" s="71" t="str">
        <f>IFERROR(INDEX(KALENDER!$D$3:$D$132,MATCH(H2195,KALENDER!$A$3:$A$132,0)),"Di luar periode")</f>
        <v>Hari Kerja</v>
      </c>
      <c r="N2195" s="71">
        <f t="shared" si="307"/>
        <v>0</v>
      </c>
      <c r="O2195" s="71">
        <f t="shared" si="308"/>
        <v>1</v>
      </c>
      <c r="P2195" s="71">
        <f t="shared" si="309"/>
        <v>0</v>
      </c>
      <c r="Q2195" s="71">
        <f t="shared" si="310"/>
        <v>0</v>
      </c>
      <c r="R2195" s="71">
        <f t="shared" si="311"/>
        <v>0</v>
      </c>
      <c r="S2195" s="71">
        <f t="shared" si="312"/>
        <v>0</v>
      </c>
      <c r="T2195" s="71">
        <f t="shared" si="313"/>
        <v>0</v>
      </c>
      <c r="U2195" s="71">
        <f>IF(AND(N2195=1,V2195=1),IF(COUNTIFS(AKTIVITAS!$B$2:$B$3052,B2195,AKTIVITAS!$E$2:$E$3052,H2195)&gt;0,1,0),0)</f>
        <v>0</v>
      </c>
      <c r="V2195" s="71">
        <f>IFERROR(IF(AND(H2195&gt;=INDEX(PEMAGANG!$J$3:$J$36,MATCH(B2195,PEMAGANG!$C$3:$C$36,0)),H2195&lt;=INDEX(PEMAGANG!$K$3:$K$36,MATCH(B2195,PEMAGANG!$C$3:$C$36,0))),1,0),0)</f>
        <v>0</v>
      </c>
      <c r="W2195" s="71">
        <f t="shared" si="314"/>
        <v>0</v>
      </c>
    </row>
    <row r="2196" spans="1:23" x14ac:dyDescent="0.2">
      <c r="A2196" s="71" t="s">
        <v>647</v>
      </c>
      <c r="B2196" s="71" t="s">
        <v>648</v>
      </c>
      <c r="C2196" s="71" t="s">
        <v>187</v>
      </c>
      <c r="D2196" s="71" t="s">
        <v>421</v>
      </c>
      <c r="E2196" s="71" t="s">
        <v>422</v>
      </c>
      <c r="F2196" s="71" t="s">
        <v>300</v>
      </c>
      <c r="G2196" s="88">
        <v>46228.295428240701</v>
      </c>
      <c r="H2196" s="89">
        <v>46228</v>
      </c>
      <c r="I2196" s="71" t="s">
        <v>355</v>
      </c>
      <c r="J2196" s="71">
        <v>0</v>
      </c>
      <c r="K2196" s="71" t="s">
        <v>302</v>
      </c>
      <c r="L2196" s="71">
        <f t="shared" si="306"/>
        <v>7</v>
      </c>
      <c r="M2196" s="71" t="str">
        <f>IFERROR(INDEX(KALENDER!$D$3:$D$132,MATCH(H2196,KALENDER!$A$3:$A$132,0)),"Di luar periode")</f>
        <v>Libur (Sabtu/Minggu)</v>
      </c>
      <c r="N2196" s="71">
        <f t="shared" si="307"/>
        <v>1</v>
      </c>
      <c r="O2196" s="71">
        <f t="shared" si="308"/>
        <v>0</v>
      </c>
      <c r="P2196" s="71">
        <f t="shared" si="309"/>
        <v>0</v>
      </c>
      <c r="Q2196" s="71">
        <f t="shared" si="310"/>
        <v>1</v>
      </c>
      <c r="R2196" s="71">
        <f t="shared" si="311"/>
        <v>0</v>
      </c>
      <c r="S2196" s="71">
        <f t="shared" si="312"/>
        <v>0</v>
      </c>
      <c r="T2196" s="71">
        <f t="shared" si="313"/>
        <v>0</v>
      </c>
      <c r="U2196" s="71">
        <f>IF(AND(N2196=1,V2196=1),IF(COUNTIFS(AKTIVITAS!$B$2:$B$3052,B2196,AKTIVITAS!$E$2:$E$3052,H2196)&gt;0,1,0),0)</f>
        <v>0</v>
      </c>
      <c r="V2196" s="71">
        <f>IFERROR(IF(AND(H2196&gt;=INDEX(PEMAGANG!$J$3:$J$36,MATCH(B2196,PEMAGANG!$C$3:$C$36,0)),H2196&lt;=INDEX(PEMAGANG!$K$3:$K$36,MATCH(B2196,PEMAGANG!$C$3:$C$36,0))),1,0),0)</f>
        <v>0</v>
      </c>
      <c r="W2196" s="71">
        <f t="shared" si="314"/>
        <v>0</v>
      </c>
    </row>
    <row r="2197" spans="1:23" x14ac:dyDescent="0.2">
      <c r="A2197" s="71" t="s">
        <v>647</v>
      </c>
      <c r="B2197" s="71" t="s">
        <v>648</v>
      </c>
      <c r="C2197" s="71" t="s">
        <v>187</v>
      </c>
      <c r="D2197" s="71" t="s">
        <v>421</v>
      </c>
      <c r="E2197" s="71" t="s">
        <v>422</v>
      </c>
      <c r="F2197" s="71" t="s">
        <v>298</v>
      </c>
      <c r="G2197" s="88">
        <v>46228.774421296301</v>
      </c>
      <c r="H2197" s="89">
        <v>46228</v>
      </c>
      <c r="I2197" s="71" t="s">
        <v>429</v>
      </c>
      <c r="J2197" s="71">
        <v>635</v>
      </c>
      <c r="K2197" s="71" t="s">
        <v>293</v>
      </c>
      <c r="L2197" s="71">
        <f t="shared" si="306"/>
        <v>7</v>
      </c>
      <c r="M2197" s="71" t="str">
        <f>IFERROR(INDEX(KALENDER!$D$3:$D$132,MATCH(H2197,KALENDER!$A$3:$A$132,0)),"Di luar periode")</f>
        <v>Libur (Sabtu/Minggu)</v>
      </c>
      <c r="N2197" s="71">
        <f t="shared" si="307"/>
        <v>0</v>
      </c>
      <c r="O2197" s="71">
        <f t="shared" si="308"/>
        <v>1</v>
      </c>
      <c r="P2197" s="71">
        <f t="shared" si="309"/>
        <v>0</v>
      </c>
      <c r="Q2197" s="71">
        <f t="shared" si="310"/>
        <v>0</v>
      </c>
      <c r="R2197" s="71">
        <f t="shared" si="311"/>
        <v>0</v>
      </c>
      <c r="S2197" s="71">
        <f t="shared" si="312"/>
        <v>0</v>
      </c>
      <c r="T2197" s="71">
        <f t="shared" si="313"/>
        <v>0</v>
      </c>
      <c r="U2197" s="71">
        <f>IF(AND(N2197=1,V2197=1),IF(COUNTIFS(AKTIVITAS!$B$2:$B$3052,B2197,AKTIVITAS!$E$2:$E$3052,H2197)&gt;0,1,0),0)</f>
        <v>0</v>
      </c>
      <c r="V2197" s="71">
        <f>IFERROR(IF(AND(H2197&gt;=INDEX(PEMAGANG!$J$3:$J$36,MATCH(B2197,PEMAGANG!$C$3:$C$36,0)),H2197&lt;=INDEX(PEMAGANG!$K$3:$K$36,MATCH(B2197,PEMAGANG!$C$3:$C$36,0))),1,0),0)</f>
        <v>0</v>
      </c>
      <c r="W2197" s="71">
        <f t="shared" si="314"/>
        <v>0</v>
      </c>
    </row>
    <row r="2198" spans="1:23" x14ac:dyDescent="0.2">
      <c r="A2198" s="71" t="s">
        <v>647</v>
      </c>
      <c r="B2198" s="71" t="s">
        <v>648</v>
      </c>
      <c r="C2198" s="71" t="s">
        <v>187</v>
      </c>
      <c r="D2198" s="71" t="s">
        <v>421</v>
      </c>
      <c r="E2198" s="71" t="s">
        <v>422</v>
      </c>
      <c r="F2198" s="71" t="s">
        <v>300</v>
      </c>
      <c r="G2198" s="88">
        <v>46229.2957060185</v>
      </c>
      <c r="H2198" s="89">
        <v>46229</v>
      </c>
      <c r="I2198" s="71" t="s">
        <v>355</v>
      </c>
      <c r="J2198" s="71">
        <v>0</v>
      </c>
      <c r="K2198" s="71" t="s">
        <v>302</v>
      </c>
      <c r="L2198" s="71">
        <f t="shared" si="306"/>
        <v>7</v>
      </c>
      <c r="M2198" s="71" t="str">
        <f>IFERROR(INDEX(KALENDER!$D$3:$D$132,MATCH(H2198,KALENDER!$A$3:$A$132,0)),"Di luar periode")</f>
        <v>Libur (Sabtu/Minggu)</v>
      </c>
      <c r="N2198" s="71">
        <f t="shared" si="307"/>
        <v>1</v>
      </c>
      <c r="O2198" s="71">
        <f t="shared" si="308"/>
        <v>0</v>
      </c>
      <c r="P2198" s="71">
        <f t="shared" si="309"/>
        <v>0</v>
      </c>
      <c r="Q2198" s="71">
        <f t="shared" si="310"/>
        <v>1</v>
      </c>
      <c r="R2198" s="71">
        <f t="shared" si="311"/>
        <v>0</v>
      </c>
      <c r="S2198" s="71">
        <f t="shared" si="312"/>
        <v>0</v>
      </c>
      <c r="T2198" s="71">
        <f t="shared" si="313"/>
        <v>0</v>
      </c>
      <c r="U2198" s="71">
        <f>IF(AND(N2198=1,V2198=1),IF(COUNTIFS(AKTIVITAS!$B$2:$B$3052,B2198,AKTIVITAS!$E$2:$E$3052,H2198)&gt;0,1,0),0)</f>
        <v>0</v>
      </c>
      <c r="V2198" s="71">
        <f>IFERROR(IF(AND(H2198&gt;=INDEX(PEMAGANG!$J$3:$J$36,MATCH(B2198,PEMAGANG!$C$3:$C$36,0)),H2198&lt;=INDEX(PEMAGANG!$K$3:$K$36,MATCH(B2198,PEMAGANG!$C$3:$C$36,0))),1,0),0)</f>
        <v>0</v>
      </c>
      <c r="W2198" s="71">
        <f t="shared" si="314"/>
        <v>0</v>
      </c>
    </row>
    <row r="2199" spans="1:23" x14ac:dyDescent="0.2">
      <c r="A2199" s="71" t="s">
        <v>647</v>
      </c>
      <c r="B2199" s="71" t="s">
        <v>648</v>
      </c>
      <c r="C2199" s="71" t="s">
        <v>187</v>
      </c>
      <c r="D2199" s="71" t="s">
        <v>421</v>
      </c>
      <c r="E2199" s="71" t="s">
        <v>422</v>
      </c>
      <c r="F2199" s="71" t="s">
        <v>298</v>
      </c>
      <c r="G2199" s="88">
        <v>46230.28</v>
      </c>
      <c r="H2199" s="89">
        <v>46230</v>
      </c>
      <c r="I2199" s="71" t="s">
        <v>499</v>
      </c>
      <c r="J2199" s="71">
        <v>-77</v>
      </c>
      <c r="K2199" s="71" t="s">
        <v>302</v>
      </c>
      <c r="L2199" s="71">
        <f t="shared" si="306"/>
        <v>7</v>
      </c>
      <c r="M2199" s="71" t="str">
        <f>IFERROR(INDEX(KALENDER!$D$3:$D$132,MATCH(H2199,KALENDER!$A$3:$A$132,0)),"Di luar periode")</f>
        <v>Hari Kerja</v>
      </c>
      <c r="N2199" s="71">
        <f t="shared" si="307"/>
        <v>1</v>
      </c>
      <c r="O2199" s="71">
        <f t="shared" si="308"/>
        <v>1</v>
      </c>
      <c r="P2199" s="71">
        <f t="shared" si="309"/>
        <v>0</v>
      </c>
      <c r="Q2199" s="71">
        <f t="shared" si="310"/>
        <v>1</v>
      </c>
      <c r="R2199" s="71">
        <f t="shared" si="311"/>
        <v>0</v>
      </c>
      <c r="S2199" s="71">
        <f t="shared" si="312"/>
        <v>0</v>
      </c>
      <c r="T2199" s="71">
        <f t="shared" si="313"/>
        <v>0</v>
      </c>
      <c r="U2199" s="71">
        <f>IF(AND(N2199=1,V2199=1),IF(COUNTIFS(AKTIVITAS!$B$2:$B$3052,B2199,AKTIVITAS!$E$2:$E$3052,H2199)&gt;0,1,0),0)</f>
        <v>0</v>
      </c>
      <c r="V2199" s="71">
        <f>IFERROR(IF(AND(H2199&gt;=INDEX(PEMAGANG!$J$3:$J$36,MATCH(B2199,PEMAGANG!$C$3:$C$36,0)),H2199&lt;=INDEX(PEMAGANG!$K$3:$K$36,MATCH(B2199,PEMAGANG!$C$3:$C$36,0))),1,0),0)</f>
        <v>0</v>
      </c>
      <c r="W2199" s="71">
        <f t="shared" si="314"/>
        <v>0</v>
      </c>
    </row>
    <row r="2200" spans="1:23" x14ac:dyDescent="0.2">
      <c r="A2200" s="71" t="s">
        <v>647</v>
      </c>
      <c r="B2200" s="71" t="s">
        <v>648</v>
      </c>
      <c r="C2200" s="71" t="s">
        <v>187</v>
      </c>
      <c r="D2200" s="71" t="s">
        <v>421</v>
      </c>
      <c r="E2200" s="71" t="s">
        <v>422</v>
      </c>
      <c r="F2200" s="71" t="s">
        <v>300</v>
      </c>
      <c r="G2200" s="88">
        <v>46230.793055555601</v>
      </c>
      <c r="H2200" s="89">
        <v>46230</v>
      </c>
      <c r="I2200" s="71" t="s">
        <v>650</v>
      </c>
      <c r="J2200" s="71">
        <v>0</v>
      </c>
      <c r="K2200" s="71" t="s">
        <v>302</v>
      </c>
      <c r="L2200" s="71">
        <f t="shared" si="306"/>
        <v>7</v>
      </c>
      <c r="M2200" s="71" t="str">
        <f>IFERROR(INDEX(KALENDER!$D$3:$D$132,MATCH(H2200,KALENDER!$A$3:$A$132,0)),"Di luar periode")</f>
        <v>Hari Kerja</v>
      </c>
      <c r="N2200" s="71">
        <f t="shared" si="307"/>
        <v>0</v>
      </c>
      <c r="O2200" s="71">
        <f t="shared" si="308"/>
        <v>1</v>
      </c>
      <c r="P2200" s="71">
        <f t="shared" si="309"/>
        <v>0</v>
      </c>
      <c r="Q2200" s="71">
        <f t="shared" si="310"/>
        <v>0</v>
      </c>
      <c r="R2200" s="71">
        <f t="shared" si="311"/>
        <v>0</v>
      </c>
      <c r="S2200" s="71">
        <f t="shared" si="312"/>
        <v>0</v>
      </c>
      <c r="T2200" s="71">
        <f t="shared" si="313"/>
        <v>0</v>
      </c>
      <c r="U2200" s="71">
        <f>IF(AND(N2200=1,V2200=1),IF(COUNTIFS(AKTIVITAS!$B$2:$B$3052,B2200,AKTIVITAS!$E$2:$E$3052,H2200)&gt;0,1,0),0)</f>
        <v>0</v>
      </c>
      <c r="V2200" s="71">
        <f>IFERROR(IF(AND(H2200&gt;=INDEX(PEMAGANG!$J$3:$J$36,MATCH(B2200,PEMAGANG!$C$3:$C$36,0)),H2200&lt;=INDEX(PEMAGANG!$K$3:$K$36,MATCH(B2200,PEMAGANG!$C$3:$C$36,0))),1,0),0)</f>
        <v>0</v>
      </c>
      <c r="W2200" s="71">
        <f t="shared" si="314"/>
        <v>0</v>
      </c>
    </row>
    <row r="2201" spans="1:23" x14ac:dyDescent="0.2">
      <c r="A2201" s="71" t="s">
        <v>647</v>
      </c>
      <c r="B2201" s="71" t="s">
        <v>648</v>
      </c>
      <c r="C2201" s="71" t="s">
        <v>187</v>
      </c>
      <c r="D2201" s="71" t="s">
        <v>421</v>
      </c>
      <c r="E2201" s="71" t="s">
        <v>422</v>
      </c>
      <c r="F2201" s="71" t="s">
        <v>298</v>
      </c>
      <c r="G2201" s="88">
        <v>46231.784826388903</v>
      </c>
      <c r="H2201" s="89">
        <v>46231</v>
      </c>
      <c r="I2201" s="71" t="s">
        <v>374</v>
      </c>
      <c r="J2201" s="71">
        <v>650</v>
      </c>
      <c r="K2201" s="71" t="s">
        <v>293</v>
      </c>
      <c r="L2201" s="71">
        <f t="shared" si="306"/>
        <v>7</v>
      </c>
      <c r="M2201" s="71" t="str">
        <f>IFERROR(INDEX(KALENDER!$D$3:$D$132,MATCH(H2201,KALENDER!$A$3:$A$132,0)),"Di luar periode")</f>
        <v>Hari Kerja</v>
      </c>
      <c r="N2201" s="71">
        <f t="shared" si="307"/>
        <v>1</v>
      </c>
      <c r="O2201" s="71">
        <f t="shared" si="308"/>
        <v>1</v>
      </c>
      <c r="P2201" s="71">
        <f t="shared" si="309"/>
        <v>0</v>
      </c>
      <c r="Q2201" s="71">
        <f t="shared" si="310"/>
        <v>1</v>
      </c>
      <c r="R2201" s="71">
        <f t="shared" si="311"/>
        <v>0</v>
      </c>
      <c r="S2201" s="71">
        <f t="shared" si="312"/>
        <v>0</v>
      </c>
      <c r="T2201" s="71">
        <f t="shared" si="313"/>
        <v>0</v>
      </c>
      <c r="U2201" s="71">
        <f>IF(AND(N2201=1,V2201=1),IF(COUNTIFS(AKTIVITAS!$B$2:$B$3052,B2201,AKTIVITAS!$E$2:$E$3052,H2201)&gt;0,1,0),0)</f>
        <v>0</v>
      </c>
      <c r="V2201" s="71">
        <f>IFERROR(IF(AND(H2201&gt;=INDEX(PEMAGANG!$J$3:$J$36,MATCH(B2201,PEMAGANG!$C$3:$C$36,0)),H2201&lt;=INDEX(PEMAGANG!$K$3:$K$36,MATCH(B2201,PEMAGANG!$C$3:$C$36,0))),1,0),0)</f>
        <v>0</v>
      </c>
      <c r="W2201" s="71">
        <f t="shared" si="314"/>
        <v>0</v>
      </c>
    </row>
    <row r="2202" spans="1:23" x14ac:dyDescent="0.2">
      <c r="A2202" s="71" t="s">
        <v>647</v>
      </c>
      <c r="B2202" s="71" t="s">
        <v>648</v>
      </c>
      <c r="C2202" s="71" t="s">
        <v>187</v>
      </c>
      <c r="D2202" s="71" t="s">
        <v>421</v>
      </c>
      <c r="E2202" s="71" t="s">
        <v>422</v>
      </c>
      <c r="F2202" s="71" t="s">
        <v>300</v>
      </c>
      <c r="G2202" s="88">
        <v>46232.293634259302</v>
      </c>
      <c r="H2202" s="89">
        <v>46232</v>
      </c>
      <c r="I2202" s="71" t="s">
        <v>492</v>
      </c>
      <c r="J2202" s="71">
        <v>0</v>
      </c>
      <c r="K2202" s="71" t="s">
        <v>302</v>
      </c>
      <c r="L2202" s="71">
        <f t="shared" si="306"/>
        <v>7</v>
      </c>
      <c r="M2202" s="71" t="str">
        <f>IFERROR(INDEX(KALENDER!$D$3:$D$132,MATCH(H2202,KALENDER!$A$3:$A$132,0)),"Di luar periode")</f>
        <v>WFH</v>
      </c>
      <c r="N2202" s="71">
        <f t="shared" si="307"/>
        <v>1</v>
      </c>
      <c r="O2202" s="71">
        <f t="shared" si="308"/>
        <v>0</v>
      </c>
      <c r="P2202" s="71">
        <f t="shared" si="309"/>
        <v>0</v>
      </c>
      <c r="Q2202" s="71">
        <f t="shared" si="310"/>
        <v>1</v>
      </c>
      <c r="R2202" s="71">
        <f t="shared" si="311"/>
        <v>0</v>
      </c>
      <c r="S2202" s="71">
        <f t="shared" si="312"/>
        <v>0</v>
      </c>
      <c r="T2202" s="71">
        <f t="shared" si="313"/>
        <v>0</v>
      </c>
      <c r="U2202" s="71">
        <f>IF(AND(N2202=1,V2202=1),IF(COUNTIFS(AKTIVITAS!$B$2:$B$3052,B2202,AKTIVITAS!$E$2:$E$3052,H2202)&gt;0,1,0),0)</f>
        <v>0</v>
      </c>
      <c r="V2202" s="71">
        <f>IFERROR(IF(AND(H2202&gt;=INDEX(PEMAGANG!$J$3:$J$36,MATCH(B2202,PEMAGANG!$C$3:$C$36,0)),H2202&lt;=INDEX(PEMAGANG!$K$3:$K$36,MATCH(B2202,PEMAGANG!$C$3:$C$36,0))),1,0),0)</f>
        <v>0</v>
      </c>
      <c r="W2202" s="71">
        <f t="shared" si="314"/>
        <v>0</v>
      </c>
    </row>
    <row r="2203" spans="1:23" x14ac:dyDescent="0.2">
      <c r="A2203" s="71" t="s">
        <v>647</v>
      </c>
      <c r="B2203" s="71" t="s">
        <v>648</v>
      </c>
      <c r="C2203" s="71" t="s">
        <v>187</v>
      </c>
      <c r="D2203" s="71" t="s">
        <v>421</v>
      </c>
      <c r="E2203" s="71" t="s">
        <v>422</v>
      </c>
      <c r="F2203" s="71" t="s">
        <v>298</v>
      </c>
      <c r="G2203" s="88">
        <v>46232.920902777798</v>
      </c>
      <c r="H2203" s="89">
        <v>46232</v>
      </c>
      <c r="I2203" s="71" t="s">
        <v>651</v>
      </c>
      <c r="J2203" s="71">
        <v>846</v>
      </c>
      <c r="K2203" s="71" t="s">
        <v>293</v>
      </c>
      <c r="L2203" s="71">
        <f t="shared" si="306"/>
        <v>7</v>
      </c>
      <c r="M2203" s="71" t="str">
        <f>IFERROR(INDEX(KALENDER!$D$3:$D$132,MATCH(H2203,KALENDER!$A$3:$A$132,0)),"Di luar periode")</f>
        <v>WFH</v>
      </c>
      <c r="N2203" s="71">
        <f t="shared" si="307"/>
        <v>0</v>
      </c>
      <c r="O2203" s="71">
        <f t="shared" si="308"/>
        <v>1</v>
      </c>
      <c r="P2203" s="71">
        <f t="shared" si="309"/>
        <v>0</v>
      </c>
      <c r="Q2203" s="71">
        <f t="shared" si="310"/>
        <v>0</v>
      </c>
      <c r="R2203" s="71">
        <f t="shared" si="311"/>
        <v>0</v>
      </c>
      <c r="S2203" s="71">
        <f t="shared" si="312"/>
        <v>0</v>
      </c>
      <c r="T2203" s="71">
        <f t="shared" si="313"/>
        <v>0</v>
      </c>
      <c r="U2203" s="71">
        <f>IF(AND(N2203=1,V2203=1),IF(COUNTIFS(AKTIVITAS!$B$2:$B$3052,B2203,AKTIVITAS!$E$2:$E$3052,H2203)&gt;0,1,0),0)</f>
        <v>0</v>
      </c>
      <c r="V2203" s="71">
        <f>IFERROR(IF(AND(H2203&gt;=INDEX(PEMAGANG!$J$3:$J$36,MATCH(B2203,PEMAGANG!$C$3:$C$36,0)),H2203&lt;=INDEX(PEMAGANG!$K$3:$K$36,MATCH(B2203,PEMAGANG!$C$3:$C$36,0))),1,0),0)</f>
        <v>0</v>
      </c>
      <c r="W2203" s="71">
        <f t="shared" si="314"/>
        <v>0</v>
      </c>
    </row>
    <row r="2204" spans="1:23" x14ac:dyDescent="0.2">
      <c r="A2204" s="71" t="s">
        <v>647</v>
      </c>
      <c r="B2204" s="71" t="s">
        <v>648</v>
      </c>
      <c r="C2204" s="71" t="s">
        <v>187</v>
      </c>
      <c r="D2204" s="71" t="s">
        <v>421</v>
      </c>
      <c r="E2204" s="71" t="s">
        <v>422</v>
      </c>
      <c r="F2204" s="71" t="s">
        <v>300</v>
      </c>
      <c r="G2204" s="88">
        <v>46233.293171296304</v>
      </c>
      <c r="H2204" s="89">
        <v>46233</v>
      </c>
      <c r="I2204" s="71" t="s">
        <v>492</v>
      </c>
      <c r="J2204" s="71">
        <v>0</v>
      </c>
      <c r="K2204" s="71" t="s">
        <v>302</v>
      </c>
      <c r="L2204" s="71">
        <f t="shared" si="306"/>
        <v>7</v>
      </c>
      <c r="M2204" s="71" t="str">
        <f>IFERROR(INDEX(KALENDER!$D$3:$D$132,MATCH(H2204,KALENDER!$A$3:$A$132,0)),"Di luar periode")</f>
        <v>Hari Kerja</v>
      </c>
      <c r="N2204" s="71">
        <f t="shared" si="307"/>
        <v>1</v>
      </c>
      <c r="O2204" s="71">
        <f t="shared" si="308"/>
        <v>0</v>
      </c>
      <c r="P2204" s="71">
        <f t="shared" si="309"/>
        <v>0</v>
      </c>
      <c r="Q2204" s="71">
        <f t="shared" si="310"/>
        <v>1</v>
      </c>
      <c r="R2204" s="71">
        <f t="shared" si="311"/>
        <v>0</v>
      </c>
      <c r="S2204" s="71">
        <f t="shared" si="312"/>
        <v>0</v>
      </c>
      <c r="T2204" s="71">
        <f t="shared" si="313"/>
        <v>0</v>
      </c>
      <c r="U2204" s="71">
        <f>IF(AND(N2204=1,V2204=1),IF(COUNTIFS(AKTIVITAS!$B$2:$B$3052,B2204,AKTIVITAS!$E$2:$E$3052,H2204)&gt;0,1,0),0)</f>
        <v>0</v>
      </c>
      <c r="V2204" s="71">
        <f>IFERROR(IF(AND(H2204&gt;=INDEX(PEMAGANG!$J$3:$J$36,MATCH(B2204,PEMAGANG!$C$3:$C$36,0)),H2204&lt;=INDEX(PEMAGANG!$K$3:$K$36,MATCH(B2204,PEMAGANG!$C$3:$C$36,0))),1,0),0)</f>
        <v>0</v>
      </c>
      <c r="W2204" s="71">
        <f t="shared" si="314"/>
        <v>0</v>
      </c>
    </row>
    <row r="2205" spans="1:23" x14ac:dyDescent="0.2">
      <c r="A2205" s="71" t="s">
        <v>647</v>
      </c>
      <c r="B2205" s="71" t="s">
        <v>648</v>
      </c>
      <c r="C2205" s="71" t="s">
        <v>187</v>
      </c>
      <c r="D2205" s="71" t="s">
        <v>421</v>
      </c>
      <c r="E2205" s="71" t="s">
        <v>422</v>
      </c>
      <c r="F2205" s="71" t="s">
        <v>298</v>
      </c>
      <c r="G2205" s="88">
        <v>46233.934120370403</v>
      </c>
      <c r="H2205" s="89">
        <v>46233</v>
      </c>
      <c r="I2205" s="71" t="s">
        <v>652</v>
      </c>
      <c r="J2205" s="71">
        <v>865</v>
      </c>
      <c r="K2205" s="71" t="s">
        <v>293</v>
      </c>
      <c r="L2205" s="71">
        <f t="shared" si="306"/>
        <v>7</v>
      </c>
      <c r="M2205" s="71" t="str">
        <f>IFERROR(INDEX(KALENDER!$D$3:$D$132,MATCH(H2205,KALENDER!$A$3:$A$132,0)),"Di luar periode")</f>
        <v>Hari Kerja</v>
      </c>
      <c r="N2205" s="71">
        <f t="shared" si="307"/>
        <v>0</v>
      </c>
      <c r="O2205" s="71">
        <f t="shared" si="308"/>
        <v>1</v>
      </c>
      <c r="P2205" s="71">
        <f t="shared" si="309"/>
        <v>0</v>
      </c>
      <c r="Q2205" s="71">
        <f t="shared" si="310"/>
        <v>0</v>
      </c>
      <c r="R2205" s="71">
        <f t="shared" si="311"/>
        <v>0</v>
      </c>
      <c r="S2205" s="71">
        <f t="shared" si="312"/>
        <v>0</v>
      </c>
      <c r="T2205" s="71">
        <f t="shared" si="313"/>
        <v>0</v>
      </c>
      <c r="U2205" s="71">
        <f>IF(AND(N2205=1,V2205=1),IF(COUNTIFS(AKTIVITAS!$B$2:$B$3052,B2205,AKTIVITAS!$E$2:$E$3052,H2205)&gt;0,1,0),0)</f>
        <v>0</v>
      </c>
      <c r="V2205" s="71">
        <f>IFERROR(IF(AND(H2205&gt;=INDEX(PEMAGANG!$J$3:$J$36,MATCH(B2205,PEMAGANG!$C$3:$C$36,0)),H2205&lt;=INDEX(PEMAGANG!$K$3:$K$36,MATCH(B2205,PEMAGANG!$C$3:$C$36,0))),1,0),0)</f>
        <v>0</v>
      </c>
      <c r="W2205" s="71">
        <f t="shared" si="314"/>
        <v>0</v>
      </c>
    </row>
    <row r="2206" spans="1:23" x14ac:dyDescent="0.2">
      <c r="A2206" s="71" t="s">
        <v>647</v>
      </c>
      <c r="B2206" s="71" t="s">
        <v>648</v>
      </c>
      <c r="C2206" s="71" t="s">
        <v>187</v>
      </c>
      <c r="D2206" s="71" t="s">
        <v>421</v>
      </c>
      <c r="E2206" s="71" t="s">
        <v>422</v>
      </c>
      <c r="F2206" s="71" t="s">
        <v>300</v>
      </c>
      <c r="G2206" s="88">
        <v>46234.293888888897</v>
      </c>
      <c r="H2206" s="89">
        <v>46234</v>
      </c>
      <c r="I2206" s="71" t="s">
        <v>483</v>
      </c>
      <c r="J2206" s="71">
        <v>0</v>
      </c>
      <c r="K2206" s="71" t="s">
        <v>302</v>
      </c>
      <c r="L2206" s="71">
        <f t="shared" si="306"/>
        <v>7</v>
      </c>
      <c r="M2206" s="71" t="str">
        <f>IFERROR(INDEX(KALENDER!$D$3:$D$132,MATCH(H2206,KALENDER!$A$3:$A$132,0)),"Di luar periode")</f>
        <v>Hari Kerja</v>
      </c>
      <c r="N2206" s="71">
        <f t="shared" si="307"/>
        <v>1</v>
      </c>
      <c r="O2206" s="71">
        <f t="shared" si="308"/>
        <v>0</v>
      </c>
      <c r="P2206" s="71">
        <f t="shared" si="309"/>
        <v>0</v>
      </c>
      <c r="Q2206" s="71">
        <f t="shared" si="310"/>
        <v>1</v>
      </c>
      <c r="R2206" s="71">
        <f t="shared" si="311"/>
        <v>0</v>
      </c>
      <c r="S2206" s="71">
        <f t="shared" si="312"/>
        <v>0</v>
      </c>
      <c r="T2206" s="71">
        <f t="shared" si="313"/>
        <v>0</v>
      </c>
      <c r="U2206" s="71">
        <f>IF(AND(N2206=1,V2206=1),IF(COUNTIFS(AKTIVITAS!$B$2:$B$3052,B2206,AKTIVITAS!$E$2:$E$3052,H2206)&gt;0,1,0),0)</f>
        <v>0</v>
      </c>
      <c r="V2206" s="71">
        <f>IFERROR(IF(AND(H2206&gt;=INDEX(PEMAGANG!$J$3:$J$36,MATCH(B2206,PEMAGANG!$C$3:$C$36,0)),H2206&lt;=INDEX(PEMAGANG!$K$3:$K$36,MATCH(B2206,PEMAGANG!$C$3:$C$36,0))),1,0),0)</f>
        <v>0</v>
      </c>
      <c r="W2206" s="71">
        <f t="shared" si="314"/>
        <v>0</v>
      </c>
    </row>
    <row r="2207" spans="1:23" x14ac:dyDescent="0.2">
      <c r="A2207" s="71" t="s">
        <v>647</v>
      </c>
      <c r="B2207" s="71" t="s">
        <v>648</v>
      </c>
      <c r="C2207" s="71" t="s">
        <v>187</v>
      </c>
      <c r="D2207" s="71" t="s">
        <v>421</v>
      </c>
      <c r="E2207" s="71" t="s">
        <v>422</v>
      </c>
      <c r="F2207" s="71" t="s">
        <v>298</v>
      </c>
      <c r="G2207" s="88">
        <v>46234.919374999998</v>
      </c>
      <c r="H2207" s="89">
        <v>46234</v>
      </c>
      <c r="I2207" s="71" t="s">
        <v>653</v>
      </c>
      <c r="J2207" s="71">
        <v>843</v>
      </c>
      <c r="K2207" s="71" t="s">
        <v>293</v>
      </c>
      <c r="L2207" s="71">
        <f t="shared" si="306"/>
        <v>7</v>
      </c>
      <c r="M2207" s="71" t="str">
        <f>IFERROR(INDEX(KALENDER!$D$3:$D$132,MATCH(H2207,KALENDER!$A$3:$A$132,0)),"Di luar periode")</f>
        <v>Hari Kerja</v>
      </c>
      <c r="N2207" s="71">
        <f t="shared" si="307"/>
        <v>0</v>
      </c>
      <c r="O2207" s="71">
        <f t="shared" si="308"/>
        <v>1</v>
      </c>
      <c r="P2207" s="71">
        <f t="shared" si="309"/>
        <v>0</v>
      </c>
      <c r="Q2207" s="71">
        <f t="shared" si="310"/>
        <v>0</v>
      </c>
      <c r="R2207" s="71">
        <f t="shared" si="311"/>
        <v>0</v>
      </c>
      <c r="S2207" s="71">
        <f t="shared" si="312"/>
        <v>0</v>
      </c>
      <c r="T2207" s="71">
        <f t="shared" si="313"/>
        <v>0</v>
      </c>
      <c r="U2207" s="71">
        <f>IF(AND(N2207=1,V2207=1),IF(COUNTIFS(AKTIVITAS!$B$2:$B$3052,B2207,AKTIVITAS!$E$2:$E$3052,H2207)&gt;0,1,0),0)</f>
        <v>0</v>
      </c>
      <c r="V2207" s="71">
        <f>IFERROR(IF(AND(H2207&gt;=INDEX(PEMAGANG!$J$3:$J$36,MATCH(B2207,PEMAGANG!$C$3:$C$36,0)),H2207&lt;=INDEX(PEMAGANG!$K$3:$K$36,MATCH(B2207,PEMAGANG!$C$3:$C$36,0))),1,0),0)</f>
        <v>0</v>
      </c>
      <c r="W2207" s="71">
        <f t="shared" si="314"/>
        <v>0</v>
      </c>
    </row>
    <row r="2208" spans="1:23" x14ac:dyDescent="0.2">
      <c r="A2208" s="71" t="s">
        <v>647</v>
      </c>
      <c r="B2208" s="71" t="s">
        <v>648</v>
      </c>
      <c r="C2208" s="71" t="s">
        <v>187</v>
      </c>
      <c r="D2208" s="71" t="s">
        <v>421</v>
      </c>
      <c r="E2208" s="71" t="s">
        <v>422</v>
      </c>
      <c r="F2208" s="71" t="s">
        <v>300</v>
      </c>
      <c r="G2208" s="88">
        <v>46235.2955671296</v>
      </c>
      <c r="H2208" s="89">
        <v>46235</v>
      </c>
      <c r="I2208" s="71" t="s">
        <v>355</v>
      </c>
      <c r="J2208" s="71">
        <v>0</v>
      </c>
      <c r="K2208" s="71" t="s">
        <v>302</v>
      </c>
      <c r="L2208" s="71">
        <f t="shared" si="306"/>
        <v>8</v>
      </c>
      <c r="M2208" s="71" t="str">
        <f>IFERROR(INDEX(KALENDER!$D$3:$D$132,MATCH(H2208,KALENDER!$A$3:$A$132,0)),"Di luar periode")</f>
        <v>Libur (Sabtu/Minggu)</v>
      </c>
      <c r="N2208" s="71">
        <f t="shared" si="307"/>
        <v>1</v>
      </c>
      <c r="O2208" s="71">
        <f t="shared" si="308"/>
        <v>0</v>
      </c>
      <c r="P2208" s="71">
        <f t="shared" si="309"/>
        <v>0</v>
      </c>
      <c r="Q2208" s="71">
        <f t="shared" si="310"/>
        <v>1</v>
      </c>
      <c r="R2208" s="71">
        <f t="shared" si="311"/>
        <v>0</v>
      </c>
      <c r="S2208" s="71">
        <f t="shared" si="312"/>
        <v>0</v>
      </c>
      <c r="T2208" s="71">
        <f t="shared" si="313"/>
        <v>0</v>
      </c>
      <c r="U2208" s="71">
        <f>IF(AND(N2208=1,V2208=1),IF(COUNTIFS(AKTIVITAS!$B$2:$B$3052,B2208,AKTIVITAS!$E$2:$E$3052,H2208)&gt;0,1,0),0)</f>
        <v>0</v>
      </c>
      <c r="V2208" s="71">
        <f>IFERROR(IF(AND(H2208&gt;=INDEX(PEMAGANG!$J$3:$J$36,MATCH(B2208,PEMAGANG!$C$3:$C$36,0)),H2208&lt;=INDEX(PEMAGANG!$K$3:$K$36,MATCH(B2208,PEMAGANG!$C$3:$C$36,0))),1,0),0)</f>
        <v>0</v>
      </c>
      <c r="W2208" s="71">
        <f t="shared" si="314"/>
        <v>0</v>
      </c>
    </row>
    <row r="2209" spans="1:23" x14ac:dyDescent="0.2">
      <c r="A2209" s="71" t="s">
        <v>647</v>
      </c>
      <c r="B2209" s="71" t="s">
        <v>648</v>
      </c>
      <c r="C2209" s="71" t="s">
        <v>187</v>
      </c>
      <c r="D2209" s="71" t="s">
        <v>421</v>
      </c>
      <c r="E2209" s="71" t="s">
        <v>422</v>
      </c>
      <c r="F2209" s="71" t="s">
        <v>298</v>
      </c>
      <c r="G2209" s="88">
        <v>46235.786782407398</v>
      </c>
      <c r="H2209" s="89">
        <v>46235</v>
      </c>
      <c r="I2209" s="71" t="s">
        <v>644</v>
      </c>
      <c r="J2209" s="71">
        <v>652</v>
      </c>
      <c r="K2209" s="71" t="s">
        <v>293</v>
      </c>
      <c r="L2209" s="71">
        <f t="shared" si="306"/>
        <v>8</v>
      </c>
      <c r="M2209" s="71" t="str">
        <f>IFERROR(INDEX(KALENDER!$D$3:$D$132,MATCH(H2209,KALENDER!$A$3:$A$132,0)),"Di luar periode")</f>
        <v>Libur (Sabtu/Minggu)</v>
      </c>
      <c r="N2209" s="71">
        <f t="shared" si="307"/>
        <v>0</v>
      </c>
      <c r="O2209" s="71">
        <f t="shared" si="308"/>
        <v>1</v>
      </c>
      <c r="P2209" s="71">
        <f t="shared" si="309"/>
        <v>0</v>
      </c>
      <c r="Q2209" s="71">
        <f t="shared" si="310"/>
        <v>0</v>
      </c>
      <c r="R2209" s="71">
        <f t="shared" si="311"/>
        <v>0</v>
      </c>
      <c r="S2209" s="71">
        <f t="shared" si="312"/>
        <v>0</v>
      </c>
      <c r="T2209" s="71">
        <f t="shared" si="313"/>
        <v>0</v>
      </c>
      <c r="U2209" s="71">
        <f>IF(AND(N2209=1,V2209=1),IF(COUNTIFS(AKTIVITAS!$B$2:$B$3052,B2209,AKTIVITAS!$E$2:$E$3052,H2209)&gt;0,1,0),0)</f>
        <v>0</v>
      </c>
      <c r="V2209" s="71">
        <f>IFERROR(IF(AND(H2209&gt;=INDEX(PEMAGANG!$J$3:$J$36,MATCH(B2209,PEMAGANG!$C$3:$C$36,0)),H2209&lt;=INDEX(PEMAGANG!$K$3:$K$36,MATCH(B2209,PEMAGANG!$C$3:$C$36,0))),1,0),0)</f>
        <v>0</v>
      </c>
      <c r="W2209" s="71">
        <f t="shared" si="314"/>
        <v>0</v>
      </c>
    </row>
    <row r="2210" spans="1:23" x14ac:dyDescent="0.2">
      <c r="A2210" s="71" t="s">
        <v>647</v>
      </c>
      <c r="B2210" s="71" t="s">
        <v>648</v>
      </c>
      <c r="C2210" s="71" t="s">
        <v>187</v>
      </c>
      <c r="D2210" s="71" t="s">
        <v>421</v>
      </c>
      <c r="E2210" s="71" t="s">
        <v>422</v>
      </c>
      <c r="F2210" s="71" t="s">
        <v>300</v>
      </c>
      <c r="G2210" s="88">
        <v>46236.294768518499</v>
      </c>
      <c r="H2210" s="89">
        <v>46236</v>
      </c>
      <c r="I2210" s="71" t="s">
        <v>411</v>
      </c>
      <c r="J2210" s="71">
        <v>0</v>
      </c>
      <c r="K2210" s="71" t="s">
        <v>302</v>
      </c>
      <c r="L2210" s="71">
        <f t="shared" si="306"/>
        <v>8</v>
      </c>
      <c r="M2210" s="71" t="str">
        <f>IFERROR(INDEX(KALENDER!$D$3:$D$132,MATCH(H2210,KALENDER!$A$3:$A$132,0)),"Di luar periode")</f>
        <v>Libur (Sabtu/Minggu)</v>
      </c>
      <c r="N2210" s="71">
        <f t="shared" si="307"/>
        <v>1</v>
      </c>
      <c r="O2210" s="71">
        <f t="shared" si="308"/>
        <v>0</v>
      </c>
      <c r="P2210" s="71">
        <f t="shared" si="309"/>
        <v>0</v>
      </c>
      <c r="Q2210" s="71">
        <f t="shared" si="310"/>
        <v>1</v>
      </c>
      <c r="R2210" s="71">
        <f t="shared" si="311"/>
        <v>0</v>
      </c>
      <c r="S2210" s="71">
        <f t="shared" si="312"/>
        <v>0</v>
      </c>
      <c r="T2210" s="71">
        <f t="shared" si="313"/>
        <v>0</v>
      </c>
      <c r="U2210" s="71">
        <f>IF(AND(N2210=1,V2210=1),IF(COUNTIFS(AKTIVITAS!$B$2:$B$3052,B2210,AKTIVITAS!$E$2:$E$3052,H2210)&gt;0,1,0),0)</f>
        <v>0</v>
      </c>
      <c r="V2210" s="71">
        <f>IFERROR(IF(AND(H2210&gt;=INDEX(PEMAGANG!$J$3:$J$36,MATCH(B2210,PEMAGANG!$C$3:$C$36,0)),H2210&lt;=INDEX(PEMAGANG!$K$3:$K$36,MATCH(B2210,PEMAGANG!$C$3:$C$36,0))),1,0),0)</f>
        <v>0</v>
      </c>
      <c r="W2210" s="71">
        <f t="shared" si="314"/>
        <v>0</v>
      </c>
    </row>
    <row r="2211" spans="1:23" x14ac:dyDescent="0.2">
      <c r="A2211" s="71" t="s">
        <v>647</v>
      </c>
      <c r="B2211" s="71" t="s">
        <v>648</v>
      </c>
      <c r="C2211" s="71" t="s">
        <v>187</v>
      </c>
      <c r="D2211" s="71" t="s">
        <v>421</v>
      </c>
      <c r="E2211" s="71" t="s">
        <v>422</v>
      </c>
      <c r="F2211" s="71" t="s">
        <v>298</v>
      </c>
      <c r="G2211" s="88">
        <v>46237.251967592601</v>
      </c>
      <c r="H2211" s="89">
        <v>46237</v>
      </c>
      <c r="I2211" s="71" t="s">
        <v>466</v>
      </c>
      <c r="J2211" s="71">
        <v>-118</v>
      </c>
      <c r="K2211" s="71" t="s">
        <v>302</v>
      </c>
      <c r="L2211" s="71">
        <f t="shared" si="306"/>
        <v>8</v>
      </c>
      <c r="M2211" s="71" t="str">
        <f>IFERROR(INDEX(KALENDER!$D$3:$D$132,MATCH(H2211,KALENDER!$A$3:$A$132,0)),"Di luar periode")</f>
        <v>Hari Kerja</v>
      </c>
      <c r="N2211" s="71">
        <f t="shared" si="307"/>
        <v>1</v>
      </c>
      <c r="O2211" s="71">
        <f t="shared" si="308"/>
        <v>1</v>
      </c>
      <c r="P2211" s="71">
        <f t="shared" si="309"/>
        <v>0</v>
      </c>
      <c r="Q2211" s="71">
        <f t="shared" si="310"/>
        <v>1</v>
      </c>
      <c r="R2211" s="71">
        <f t="shared" si="311"/>
        <v>0</v>
      </c>
      <c r="S2211" s="71">
        <f t="shared" si="312"/>
        <v>0</v>
      </c>
      <c r="T2211" s="71">
        <f t="shared" si="313"/>
        <v>0</v>
      </c>
      <c r="U2211" s="71">
        <f>IF(AND(N2211=1,V2211=1),IF(COUNTIFS(AKTIVITAS!$B$2:$B$3052,B2211,AKTIVITAS!$E$2:$E$3052,H2211)&gt;0,1,0),0)</f>
        <v>0</v>
      </c>
      <c r="V2211" s="71">
        <f>IFERROR(IF(AND(H2211&gt;=INDEX(PEMAGANG!$J$3:$J$36,MATCH(B2211,PEMAGANG!$C$3:$C$36,0)),H2211&lt;=INDEX(PEMAGANG!$K$3:$K$36,MATCH(B2211,PEMAGANG!$C$3:$C$36,0))),1,0),0)</f>
        <v>0</v>
      </c>
      <c r="W2211" s="71">
        <f t="shared" si="314"/>
        <v>0</v>
      </c>
    </row>
    <row r="2212" spans="1:23" x14ac:dyDescent="0.2">
      <c r="A2212" s="71" t="s">
        <v>647</v>
      </c>
      <c r="B2212" s="71" t="s">
        <v>648</v>
      </c>
      <c r="C2212" s="71" t="s">
        <v>187</v>
      </c>
      <c r="D2212" s="71" t="s">
        <v>421</v>
      </c>
      <c r="E2212" s="71" t="s">
        <v>422</v>
      </c>
      <c r="F2212" s="71" t="s">
        <v>300</v>
      </c>
      <c r="G2212" s="88">
        <v>46237.7948958333</v>
      </c>
      <c r="H2212" s="89">
        <v>46237</v>
      </c>
      <c r="I2212" s="71" t="s">
        <v>449</v>
      </c>
      <c r="J2212" s="71">
        <v>0</v>
      </c>
      <c r="K2212" s="71" t="s">
        <v>302</v>
      </c>
      <c r="L2212" s="71">
        <f t="shared" si="306"/>
        <v>8</v>
      </c>
      <c r="M2212" s="71" t="str">
        <f>IFERROR(INDEX(KALENDER!$D$3:$D$132,MATCH(H2212,KALENDER!$A$3:$A$132,0)),"Di luar periode")</f>
        <v>Hari Kerja</v>
      </c>
      <c r="N2212" s="71">
        <f t="shared" si="307"/>
        <v>0</v>
      </c>
      <c r="O2212" s="71">
        <f t="shared" si="308"/>
        <v>1</v>
      </c>
      <c r="P2212" s="71">
        <f t="shared" si="309"/>
        <v>0</v>
      </c>
      <c r="Q2212" s="71">
        <f t="shared" si="310"/>
        <v>0</v>
      </c>
      <c r="R2212" s="71">
        <f t="shared" si="311"/>
        <v>0</v>
      </c>
      <c r="S2212" s="71">
        <f t="shared" si="312"/>
        <v>0</v>
      </c>
      <c r="T2212" s="71">
        <f t="shared" si="313"/>
        <v>0</v>
      </c>
      <c r="U2212" s="71">
        <f>IF(AND(N2212=1,V2212=1),IF(COUNTIFS(AKTIVITAS!$B$2:$B$3052,B2212,AKTIVITAS!$E$2:$E$3052,H2212)&gt;0,1,0),0)</f>
        <v>0</v>
      </c>
      <c r="V2212" s="71">
        <f>IFERROR(IF(AND(H2212&gt;=INDEX(PEMAGANG!$J$3:$J$36,MATCH(B2212,PEMAGANG!$C$3:$C$36,0)),H2212&lt;=INDEX(PEMAGANG!$K$3:$K$36,MATCH(B2212,PEMAGANG!$C$3:$C$36,0))),1,0),0)</f>
        <v>0</v>
      </c>
      <c r="W2212" s="71">
        <f t="shared" si="314"/>
        <v>0</v>
      </c>
    </row>
    <row r="2213" spans="1:23" x14ac:dyDescent="0.2">
      <c r="A2213" s="71" t="s">
        <v>647</v>
      </c>
      <c r="B2213" s="71" t="s">
        <v>648</v>
      </c>
      <c r="C2213" s="71" t="s">
        <v>187</v>
      </c>
      <c r="D2213" s="71" t="s">
        <v>421</v>
      </c>
      <c r="E2213" s="71" t="s">
        <v>422</v>
      </c>
      <c r="F2213" s="71" t="s">
        <v>298</v>
      </c>
      <c r="G2213" s="88">
        <v>46238.917546296303</v>
      </c>
      <c r="H2213" s="89">
        <v>46238</v>
      </c>
      <c r="I2213" s="71" t="s">
        <v>654</v>
      </c>
      <c r="J2213" s="71">
        <v>841</v>
      </c>
      <c r="K2213" s="71" t="s">
        <v>293</v>
      </c>
      <c r="L2213" s="71">
        <f t="shared" si="306"/>
        <v>8</v>
      </c>
      <c r="M2213" s="71" t="str">
        <f>IFERROR(INDEX(KALENDER!$D$3:$D$132,MATCH(H2213,KALENDER!$A$3:$A$132,0)),"Di luar periode")</f>
        <v>Hari Kerja</v>
      </c>
      <c r="N2213" s="71">
        <f t="shared" si="307"/>
        <v>1</v>
      </c>
      <c r="O2213" s="71">
        <f t="shared" si="308"/>
        <v>1</v>
      </c>
      <c r="P2213" s="71">
        <f t="shared" si="309"/>
        <v>0</v>
      </c>
      <c r="Q2213" s="71">
        <f t="shared" si="310"/>
        <v>1</v>
      </c>
      <c r="R2213" s="71">
        <f t="shared" si="311"/>
        <v>0</v>
      </c>
      <c r="S2213" s="71">
        <f t="shared" si="312"/>
        <v>0</v>
      </c>
      <c r="T2213" s="71">
        <f t="shared" si="313"/>
        <v>0</v>
      </c>
      <c r="U2213" s="71">
        <f>IF(AND(N2213=1,V2213=1),IF(COUNTIFS(AKTIVITAS!$B$2:$B$3052,B2213,AKTIVITAS!$E$2:$E$3052,H2213)&gt;0,1,0),0)</f>
        <v>0</v>
      </c>
      <c r="V2213" s="71">
        <f>IFERROR(IF(AND(H2213&gt;=INDEX(PEMAGANG!$J$3:$J$36,MATCH(B2213,PEMAGANG!$C$3:$C$36,0)),H2213&lt;=INDEX(PEMAGANG!$K$3:$K$36,MATCH(B2213,PEMAGANG!$C$3:$C$36,0))),1,0),0)</f>
        <v>0</v>
      </c>
      <c r="W2213" s="71">
        <f t="shared" si="314"/>
        <v>0</v>
      </c>
    </row>
    <row r="2214" spans="1:23" x14ac:dyDescent="0.2">
      <c r="A2214" s="71" t="s">
        <v>647</v>
      </c>
      <c r="B2214" s="71" t="s">
        <v>648</v>
      </c>
      <c r="C2214" s="71" t="s">
        <v>187</v>
      </c>
      <c r="D2214" s="71" t="s">
        <v>421</v>
      </c>
      <c r="E2214" s="71" t="s">
        <v>422</v>
      </c>
      <c r="F2214" s="71" t="s">
        <v>300</v>
      </c>
      <c r="G2214" s="88">
        <v>46239.295787037001</v>
      </c>
      <c r="H2214" s="89">
        <v>46239</v>
      </c>
      <c r="I2214" s="71" t="s">
        <v>355</v>
      </c>
      <c r="J2214" s="71">
        <v>0</v>
      </c>
      <c r="K2214" s="71" t="s">
        <v>302</v>
      </c>
      <c r="L2214" s="71">
        <f t="shared" si="306"/>
        <v>8</v>
      </c>
      <c r="M2214" s="71" t="str">
        <f>IFERROR(INDEX(KALENDER!$D$3:$D$132,MATCH(H2214,KALENDER!$A$3:$A$132,0)),"Di luar periode")</f>
        <v>Hari Kerja</v>
      </c>
      <c r="N2214" s="71">
        <f t="shared" si="307"/>
        <v>1</v>
      </c>
      <c r="O2214" s="71">
        <f t="shared" si="308"/>
        <v>0</v>
      </c>
      <c r="P2214" s="71">
        <f t="shared" si="309"/>
        <v>0</v>
      </c>
      <c r="Q2214" s="71">
        <f t="shared" si="310"/>
        <v>1</v>
      </c>
      <c r="R2214" s="71">
        <f t="shared" si="311"/>
        <v>0</v>
      </c>
      <c r="S2214" s="71">
        <f t="shared" si="312"/>
        <v>0</v>
      </c>
      <c r="T2214" s="71">
        <f t="shared" si="313"/>
        <v>0</v>
      </c>
      <c r="U2214" s="71">
        <f>IF(AND(N2214=1,V2214=1),IF(COUNTIFS(AKTIVITAS!$B$2:$B$3052,B2214,AKTIVITAS!$E$2:$E$3052,H2214)&gt;0,1,0),0)</f>
        <v>0</v>
      </c>
      <c r="V2214" s="71">
        <f>IFERROR(IF(AND(H2214&gt;=INDEX(PEMAGANG!$J$3:$J$36,MATCH(B2214,PEMAGANG!$C$3:$C$36,0)),H2214&lt;=INDEX(PEMAGANG!$K$3:$K$36,MATCH(B2214,PEMAGANG!$C$3:$C$36,0))),1,0),0)</f>
        <v>0</v>
      </c>
      <c r="W2214" s="71">
        <f t="shared" si="314"/>
        <v>0</v>
      </c>
    </row>
    <row r="2215" spans="1:23" x14ac:dyDescent="0.2">
      <c r="A2215" s="71" t="s">
        <v>647</v>
      </c>
      <c r="B2215" s="71" t="s">
        <v>648</v>
      </c>
      <c r="C2215" s="71" t="s">
        <v>187</v>
      </c>
      <c r="D2215" s="71" t="s">
        <v>421</v>
      </c>
      <c r="E2215" s="71" t="s">
        <v>422</v>
      </c>
      <c r="F2215" s="71" t="s">
        <v>298</v>
      </c>
      <c r="G2215" s="88">
        <v>46239.918240740699</v>
      </c>
      <c r="H2215" s="89">
        <v>46239</v>
      </c>
      <c r="I2215" s="71" t="s">
        <v>655</v>
      </c>
      <c r="J2215" s="71">
        <v>842</v>
      </c>
      <c r="K2215" s="71" t="s">
        <v>293</v>
      </c>
      <c r="L2215" s="71">
        <f t="shared" si="306"/>
        <v>8</v>
      </c>
      <c r="M2215" s="71" t="str">
        <f>IFERROR(INDEX(KALENDER!$D$3:$D$132,MATCH(H2215,KALENDER!$A$3:$A$132,0)),"Di luar periode")</f>
        <v>Hari Kerja</v>
      </c>
      <c r="N2215" s="71">
        <f t="shared" si="307"/>
        <v>0</v>
      </c>
      <c r="O2215" s="71">
        <f t="shared" si="308"/>
        <v>1</v>
      </c>
      <c r="P2215" s="71">
        <f t="shared" si="309"/>
        <v>0</v>
      </c>
      <c r="Q2215" s="71">
        <f t="shared" si="310"/>
        <v>0</v>
      </c>
      <c r="R2215" s="71">
        <f t="shared" si="311"/>
        <v>0</v>
      </c>
      <c r="S2215" s="71">
        <f t="shared" si="312"/>
        <v>0</v>
      </c>
      <c r="T2215" s="71">
        <f t="shared" si="313"/>
        <v>0</v>
      </c>
      <c r="U2215" s="71">
        <f>IF(AND(N2215=1,V2215=1),IF(COUNTIFS(AKTIVITAS!$B$2:$B$3052,B2215,AKTIVITAS!$E$2:$E$3052,H2215)&gt;0,1,0),0)</f>
        <v>0</v>
      </c>
      <c r="V2215" s="71">
        <f>IFERROR(IF(AND(H2215&gt;=INDEX(PEMAGANG!$J$3:$J$36,MATCH(B2215,PEMAGANG!$C$3:$C$36,0)),H2215&lt;=INDEX(PEMAGANG!$K$3:$K$36,MATCH(B2215,PEMAGANG!$C$3:$C$36,0))),1,0),0)</f>
        <v>0</v>
      </c>
      <c r="W2215" s="71">
        <f t="shared" si="314"/>
        <v>0</v>
      </c>
    </row>
    <row r="2216" spans="1:23" x14ac:dyDescent="0.2">
      <c r="A2216" s="71" t="s">
        <v>647</v>
      </c>
      <c r="B2216" s="71" t="s">
        <v>648</v>
      </c>
      <c r="C2216" s="71" t="s">
        <v>187</v>
      </c>
      <c r="D2216" s="71" t="s">
        <v>421</v>
      </c>
      <c r="E2216" s="71" t="s">
        <v>422</v>
      </c>
      <c r="F2216" s="71" t="s">
        <v>300</v>
      </c>
      <c r="G2216" s="88">
        <v>46240.294837963003</v>
      </c>
      <c r="H2216" s="89">
        <v>46240</v>
      </c>
      <c r="I2216" s="71" t="s">
        <v>411</v>
      </c>
      <c r="J2216" s="71">
        <v>0</v>
      </c>
      <c r="K2216" s="71" t="s">
        <v>302</v>
      </c>
      <c r="L2216" s="71">
        <f t="shared" si="306"/>
        <v>8</v>
      </c>
      <c r="M2216" s="71" t="str">
        <f>IFERROR(INDEX(KALENDER!$D$3:$D$132,MATCH(H2216,KALENDER!$A$3:$A$132,0)),"Di luar periode")</f>
        <v>Hari Kerja</v>
      </c>
      <c r="N2216" s="71">
        <f t="shared" si="307"/>
        <v>1</v>
      </c>
      <c r="O2216" s="71">
        <f t="shared" si="308"/>
        <v>0</v>
      </c>
      <c r="P2216" s="71">
        <f t="shared" si="309"/>
        <v>0</v>
      </c>
      <c r="Q2216" s="71">
        <f t="shared" si="310"/>
        <v>1</v>
      </c>
      <c r="R2216" s="71">
        <f t="shared" si="311"/>
        <v>0</v>
      </c>
      <c r="S2216" s="71">
        <f t="shared" si="312"/>
        <v>0</v>
      </c>
      <c r="T2216" s="71">
        <f t="shared" si="313"/>
        <v>0</v>
      </c>
      <c r="U2216" s="71">
        <f>IF(AND(N2216=1,V2216=1),IF(COUNTIFS(AKTIVITAS!$B$2:$B$3052,B2216,AKTIVITAS!$E$2:$E$3052,H2216)&gt;0,1,0),0)</f>
        <v>0</v>
      </c>
      <c r="V2216" s="71">
        <f>IFERROR(IF(AND(H2216&gt;=INDEX(PEMAGANG!$J$3:$J$36,MATCH(B2216,PEMAGANG!$C$3:$C$36,0)),H2216&lt;=INDEX(PEMAGANG!$K$3:$K$36,MATCH(B2216,PEMAGANG!$C$3:$C$36,0))),1,0),0)</f>
        <v>0</v>
      </c>
      <c r="W2216" s="71">
        <f t="shared" si="314"/>
        <v>0</v>
      </c>
    </row>
    <row r="2217" spans="1:23" x14ac:dyDescent="0.2">
      <c r="A2217" s="71" t="s">
        <v>647</v>
      </c>
      <c r="B2217" s="71" t="s">
        <v>648</v>
      </c>
      <c r="C2217" s="71" t="s">
        <v>187</v>
      </c>
      <c r="D2217" s="71" t="s">
        <v>421</v>
      </c>
      <c r="E2217" s="71" t="s">
        <v>422</v>
      </c>
      <c r="F2217" s="71" t="s">
        <v>298</v>
      </c>
      <c r="G2217" s="88">
        <v>46240.917222222197</v>
      </c>
      <c r="H2217" s="89">
        <v>46240</v>
      </c>
      <c r="I2217" s="71" t="s">
        <v>656</v>
      </c>
      <c r="J2217" s="71">
        <v>840</v>
      </c>
      <c r="K2217" s="71" t="s">
        <v>293</v>
      </c>
      <c r="L2217" s="71">
        <f t="shared" si="306"/>
        <v>8</v>
      </c>
      <c r="M2217" s="71" t="str">
        <f>IFERROR(INDEX(KALENDER!$D$3:$D$132,MATCH(H2217,KALENDER!$A$3:$A$132,0)),"Di luar periode")</f>
        <v>Hari Kerja</v>
      </c>
      <c r="N2217" s="71">
        <f t="shared" si="307"/>
        <v>0</v>
      </c>
      <c r="O2217" s="71">
        <f t="shared" si="308"/>
        <v>1</v>
      </c>
      <c r="P2217" s="71">
        <f t="shared" si="309"/>
        <v>0</v>
      </c>
      <c r="Q2217" s="71">
        <f t="shared" si="310"/>
        <v>0</v>
      </c>
      <c r="R2217" s="71">
        <f t="shared" si="311"/>
        <v>0</v>
      </c>
      <c r="S2217" s="71">
        <f t="shared" si="312"/>
        <v>0</v>
      </c>
      <c r="T2217" s="71">
        <f t="shared" si="313"/>
        <v>0</v>
      </c>
      <c r="U2217" s="71">
        <f>IF(AND(N2217=1,V2217=1),IF(COUNTIFS(AKTIVITAS!$B$2:$B$3052,B2217,AKTIVITAS!$E$2:$E$3052,H2217)&gt;0,1,0),0)</f>
        <v>0</v>
      </c>
      <c r="V2217" s="71">
        <f>IFERROR(IF(AND(H2217&gt;=INDEX(PEMAGANG!$J$3:$J$36,MATCH(B2217,PEMAGANG!$C$3:$C$36,0)),H2217&lt;=INDEX(PEMAGANG!$K$3:$K$36,MATCH(B2217,PEMAGANG!$C$3:$C$36,0))),1,0),0)</f>
        <v>0</v>
      </c>
      <c r="W2217" s="71">
        <f t="shared" si="314"/>
        <v>0</v>
      </c>
    </row>
    <row r="2218" spans="1:23" x14ac:dyDescent="0.2">
      <c r="A2218" s="71" t="s">
        <v>647</v>
      </c>
      <c r="B2218" s="71" t="s">
        <v>648</v>
      </c>
      <c r="C2218" s="71" t="s">
        <v>187</v>
      </c>
      <c r="D2218" s="71" t="s">
        <v>421</v>
      </c>
      <c r="E2218" s="71" t="s">
        <v>422</v>
      </c>
      <c r="F2218" s="71" t="s">
        <v>300</v>
      </c>
      <c r="G2218" s="88">
        <v>46241.2949884259</v>
      </c>
      <c r="H2218" s="89">
        <v>46241</v>
      </c>
      <c r="I2218" s="71" t="s">
        <v>411</v>
      </c>
      <c r="J2218" s="71">
        <v>0</v>
      </c>
      <c r="K2218" s="71" t="s">
        <v>302</v>
      </c>
      <c r="L2218" s="71">
        <f t="shared" si="306"/>
        <v>8</v>
      </c>
      <c r="M2218" s="71" t="str">
        <f>IFERROR(INDEX(KALENDER!$D$3:$D$132,MATCH(H2218,KALENDER!$A$3:$A$132,0)),"Di luar periode")</f>
        <v>Hari Kerja</v>
      </c>
      <c r="N2218" s="71">
        <f t="shared" si="307"/>
        <v>1</v>
      </c>
      <c r="O2218" s="71">
        <f t="shared" si="308"/>
        <v>0</v>
      </c>
      <c r="P2218" s="71">
        <f t="shared" si="309"/>
        <v>0</v>
      </c>
      <c r="Q2218" s="71">
        <f t="shared" si="310"/>
        <v>1</v>
      </c>
      <c r="R2218" s="71">
        <f t="shared" si="311"/>
        <v>0</v>
      </c>
      <c r="S2218" s="71">
        <f t="shared" si="312"/>
        <v>0</v>
      </c>
      <c r="T2218" s="71">
        <f t="shared" si="313"/>
        <v>0</v>
      </c>
      <c r="U2218" s="71">
        <f>IF(AND(N2218=1,V2218=1),IF(COUNTIFS(AKTIVITAS!$B$2:$B$3052,B2218,AKTIVITAS!$E$2:$E$3052,H2218)&gt;0,1,0),0)</f>
        <v>0</v>
      </c>
      <c r="V2218" s="71">
        <f>IFERROR(IF(AND(H2218&gt;=INDEX(PEMAGANG!$J$3:$J$36,MATCH(B2218,PEMAGANG!$C$3:$C$36,0)),H2218&lt;=INDEX(PEMAGANG!$K$3:$K$36,MATCH(B2218,PEMAGANG!$C$3:$C$36,0))),1,0),0)</f>
        <v>0</v>
      </c>
      <c r="W2218" s="71">
        <f t="shared" si="314"/>
        <v>0</v>
      </c>
    </row>
    <row r="2219" spans="1:23" x14ac:dyDescent="0.2">
      <c r="A2219" s="71" t="s">
        <v>647</v>
      </c>
      <c r="B2219" s="71" t="s">
        <v>648</v>
      </c>
      <c r="C2219" s="71" t="s">
        <v>187</v>
      </c>
      <c r="D2219" s="71" t="s">
        <v>421</v>
      </c>
      <c r="E2219" s="71" t="s">
        <v>422</v>
      </c>
      <c r="F2219" s="71" t="s">
        <v>298</v>
      </c>
      <c r="G2219" s="88">
        <v>46241.924375000002</v>
      </c>
      <c r="H2219" s="89">
        <v>46241</v>
      </c>
      <c r="I2219" s="71" t="s">
        <v>657</v>
      </c>
      <c r="J2219" s="71">
        <v>851</v>
      </c>
      <c r="K2219" s="71" t="s">
        <v>293</v>
      </c>
      <c r="L2219" s="71">
        <f t="shared" si="306"/>
        <v>8</v>
      </c>
      <c r="M2219" s="71" t="str">
        <f>IFERROR(INDEX(KALENDER!$D$3:$D$132,MATCH(H2219,KALENDER!$A$3:$A$132,0)),"Di luar periode")</f>
        <v>Hari Kerja</v>
      </c>
      <c r="N2219" s="71">
        <f t="shared" si="307"/>
        <v>0</v>
      </c>
      <c r="O2219" s="71">
        <f t="shared" si="308"/>
        <v>1</v>
      </c>
      <c r="P2219" s="71">
        <f t="shared" si="309"/>
        <v>0</v>
      </c>
      <c r="Q2219" s="71">
        <f t="shared" si="310"/>
        <v>0</v>
      </c>
      <c r="R2219" s="71">
        <f t="shared" si="311"/>
        <v>0</v>
      </c>
      <c r="S2219" s="71">
        <f t="shared" si="312"/>
        <v>0</v>
      </c>
      <c r="T2219" s="71">
        <f t="shared" si="313"/>
        <v>0</v>
      </c>
      <c r="U2219" s="71">
        <f>IF(AND(N2219=1,V2219=1),IF(COUNTIFS(AKTIVITAS!$B$2:$B$3052,B2219,AKTIVITAS!$E$2:$E$3052,H2219)&gt;0,1,0),0)</f>
        <v>0</v>
      </c>
      <c r="V2219" s="71">
        <f>IFERROR(IF(AND(H2219&gt;=INDEX(PEMAGANG!$J$3:$J$36,MATCH(B2219,PEMAGANG!$C$3:$C$36,0)),H2219&lt;=INDEX(PEMAGANG!$K$3:$K$36,MATCH(B2219,PEMAGANG!$C$3:$C$36,0))),1,0),0)</f>
        <v>0</v>
      </c>
      <c r="W2219" s="71">
        <f t="shared" si="314"/>
        <v>0</v>
      </c>
    </row>
    <row r="2220" spans="1:23" x14ac:dyDescent="0.2">
      <c r="A2220" s="71" t="s">
        <v>647</v>
      </c>
      <c r="B2220" s="71" t="s">
        <v>648</v>
      </c>
      <c r="C2220" s="71" t="s">
        <v>187</v>
      </c>
      <c r="D2220" s="71" t="s">
        <v>421</v>
      </c>
      <c r="E2220" s="71" t="s">
        <v>422</v>
      </c>
      <c r="F2220" s="71" t="s">
        <v>300</v>
      </c>
      <c r="G2220" s="88">
        <v>46242.293645833299</v>
      </c>
      <c r="H2220" s="89">
        <v>46242</v>
      </c>
      <c r="I2220" s="71" t="s">
        <v>492</v>
      </c>
      <c r="J2220" s="71">
        <v>0</v>
      </c>
      <c r="K2220" s="71" t="s">
        <v>302</v>
      </c>
      <c r="L2220" s="71">
        <f t="shared" si="306"/>
        <v>8</v>
      </c>
      <c r="M2220" s="71" t="str">
        <f>IFERROR(INDEX(KALENDER!$D$3:$D$132,MATCH(H2220,KALENDER!$A$3:$A$132,0)),"Di luar periode")</f>
        <v>Libur (Sabtu/Minggu)</v>
      </c>
      <c r="N2220" s="71">
        <f t="shared" si="307"/>
        <v>1</v>
      </c>
      <c r="O2220" s="71">
        <f t="shared" si="308"/>
        <v>0</v>
      </c>
      <c r="P2220" s="71">
        <f t="shared" si="309"/>
        <v>0</v>
      </c>
      <c r="Q2220" s="71">
        <f t="shared" si="310"/>
        <v>1</v>
      </c>
      <c r="R2220" s="71">
        <f t="shared" si="311"/>
        <v>0</v>
      </c>
      <c r="S2220" s="71">
        <f t="shared" si="312"/>
        <v>0</v>
      </c>
      <c r="T2220" s="71">
        <f t="shared" si="313"/>
        <v>0</v>
      </c>
      <c r="U2220" s="71">
        <f>IF(AND(N2220=1,V2220=1),IF(COUNTIFS(AKTIVITAS!$B$2:$B$3052,B2220,AKTIVITAS!$E$2:$E$3052,H2220)&gt;0,1,0),0)</f>
        <v>0</v>
      </c>
      <c r="V2220" s="71">
        <f>IFERROR(IF(AND(H2220&gt;=INDEX(PEMAGANG!$J$3:$J$36,MATCH(B2220,PEMAGANG!$C$3:$C$36,0)),H2220&lt;=INDEX(PEMAGANG!$K$3:$K$36,MATCH(B2220,PEMAGANG!$C$3:$C$36,0))),1,0),0)</f>
        <v>0</v>
      </c>
      <c r="W2220" s="71">
        <f t="shared" si="314"/>
        <v>0</v>
      </c>
    </row>
    <row r="2221" spans="1:23" x14ac:dyDescent="0.2">
      <c r="A2221" s="71" t="s">
        <v>647</v>
      </c>
      <c r="B2221" s="71" t="s">
        <v>648</v>
      </c>
      <c r="C2221" s="71" t="s">
        <v>187</v>
      </c>
      <c r="D2221" s="71" t="s">
        <v>421</v>
      </c>
      <c r="E2221" s="71" t="s">
        <v>422</v>
      </c>
      <c r="F2221" s="71" t="s">
        <v>298</v>
      </c>
      <c r="G2221" s="88">
        <v>46242.785763888904</v>
      </c>
      <c r="H2221" s="89">
        <v>46242</v>
      </c>
      <c r="I2221" s="71" t="s">
        <v>632</v>
      </c>
      <c r="J2221" s="71">
        <v>651</v>
      </c>
      <c r="K2221" s="71" t="s">
        <v>293</v>
      </c>
      <c r="L2221" s="71">
        <f t="shared" si="306"/>
        <v>8</v>
      </c>
      <c r="M2221" s="71" t="str">
        <f>IFERROR(INDEX(KALENDER!$D$3:$D$132,MATCH(H2221,KALENDER!$A$3:$A$132,0)),"Di luar periode")</f>
        <v>Libur (Sabtu/Minggu)</v>
      </c>
      <c r="N2221" s="71">
        <f t="shared" si="307"/>
        <v>0</v>
      </c>
      <c r="O2221" s="71">
        <f t="shared" si="308"/>
        <v>1</v>
      </c>
      <c r="P2221" s="71">
        <f t="shared" si="309"/>
        <v>0</v>
      </c>
      <c r="Q2221" s="71">
        <f t="shared" si="310"/>
        <v>0</v>
      </c>
      <c r="R2221" s="71">
        <f t="shared" si="311"/>
        <v>0</v>
      </c>
      <c r="S2221" s="71">
        <f t="shared" si="312"/>
        <v>0</v>
      </c>
      <c r="T2221" s="71">
        <f t="shared" si="313"/>
        <v>0</v>
      </c>
      <c r="U2221" s="71">
        <f>IF(AND(N2221=1,V2221=1),IF(COUNTIFS(AKTIVITAS!$B$2:$B$3052,B2221,AKTIVITAS!$E$2:$E$3052,H2221)&gt;0,1,0),0)</f>
        <v>0</v>
      </c>
      <c r="V2221" s="71">
        <f>IFERROR(IF(AND(H2221&gt;=INDEX(PEMAGANG!$J$3:$J$36,MATCH(B2221,PEMAGANG!$C$3:$C$36,0)),H2221&lt;=INDEX(PEMAGANG!$K$3:$K$36,MATCH(B2221,PEMAGANG!$C$3:$C$36,0))),1,0),0)</f>
        <v>0</v>
      </c>
      <c r="W2221" s="71">
        <f t="shared" si="314"/>
        <v>0</v>
      </c>
    </row>
    <row r="2222" spans="1:23" x14ac:dyDescent="0.2">
      <c r="A2222" s="71" t="s">
        <v>647</v>
      </c>
      <c r="B2222" s="71" t="s">
        <v>648</v>
      </c>
      <c r="C2222" s="71" t="s">
        <v>187</v>
      </c>
      <c r="D2222" s="71" t="s">
        <v>421</v>
      </c>
      <c r="E2222" s="71" t="s">
        <v>422</v>
      </c>
      <c r="F2222" s="71" t="s">
        <v>300</v>
      </c>
      <c r="G2222" s="88">
        <v>46243.292847222197</v>
      </c>
      <c r="H2222" s="89">
        <v>46243</v>
      </c>
      <c r="I2222" s="71" t="s">
        <v>491</v>
      </c>
      <c r="J2222" s="71">
        <v>0</v>
      </c>
      <c r="K2222" s="71" t="s">
        <v>302</v>
      </c>
      <c r="L2222" s="71">
        <f t="shared" si="306"/>
        <v>8</v>
      </c>
      <c r="M2222" s="71" t="str">
        <f>IFERROR(INDEX(KALENDER!$D$3:$D$132,MATCH(H2222,KALENDER!$A$3:$A$132,0)),"Di luar periode")</f>
        <v>Libur (Sabtu/Minggu)</v>
      </c>
      <c r="N2222" s="71">
        <f t="shared" si="307"/>
        <v>1</v>
      </c>
      <c r="O2222" s="71">
        <f t="shared" si="308"/>
        <v>0</v>
      </c>
      <c r="P2222" s="71">
        <f t="shared" si="309"/>
        <v>0</v>
      </c>
      <c r="Q2222" s="71">
        <f t="shared" si="310"/>
        <v>1</v>
      </c>
      <c r="R2222" s="71">
        <f t="shared" si="311"/>
        <v>0</v>
      </c>
      <c r="S2222" s="71">
        <f t="shared" si="312"/>
        <v>0</v>
      </c>
      <c r="T2222" s="71">
        <f t="shared" si="313"/>
        <v>0</v>
      </c>
      <c r="U2222" s="71">
        <f>IF(AND(N2222=1,V2222=1),IF(COUNTIFS(AKTIVITAS!$B$2:$B$3052,B2222,AKTIVITAS!$E$2:$E$3052,H2222)&gt;0,1,0),0)</f>
        <v>0</v>
      </c>
      <c r="V2222" s="71">
        <f>IFERROR(IF(AND(H2222&gt;=INDEX(PEMAGANG!$J$3:$J$36,MATCH(B2222,PEMAGANG!$C$3:$C$36,0)),H2222&lt;=INDEX(PEMAGANG!$K$3:$K$36,MATCH(B2222,PEMAGANG!$C$3:$C$36,0))),1,0),0)</f>
        <v>0</v>
      </c>
      <c r="W2222" s="71">
        <f t="shared" si="314"/>
        <v>0</v>
      </c>
    </row>
    <row r="2223" spans="1:23" x14ac:dyDescent="0.2">
      <c r="A2223" s="71" t="s">
        <v>647</v>
      </c>
      <c r="B2223" s="71" t="s">
        <v>648</v>
      </c>
      <c r="C2223" s="71" t="s">
        <v>187</v>
      </c>
      <c r="D2223" s="71" t="s">
        <v>421</v>
      </c>
      <c r="E2223" s="71" t="s">
        <v>422</v>
      </c>
      <c r="F2223" s="71" t="s">
        <v>298</v>
      </c>
      <c r="G2223" s="88">
        <v>46244.250740740703</v>
      </c>
      <c r="H2223" s="89">
        <v>46244</v>
      </c>
      <c r="I2223" s="71" t="s">
        <v>470</v>
      </c>
      <c r="J2223" s="71">
        <v>-119</v>
      </c>
      <c r="K2223" s="71" t="s">
        <v>302</v>
      </c>
      <c r="L2223" s="71">
        <f t="shared" si="306"/>
        <v>8</v>
      </c>
      <c r="M2223" s="71" t="str">
        <f>IFERROR(INDEX(KALENDER!$D$3:$D$132,MATCH(H2223,KALENDER!$A$3:$A$132,0)),"Di luar periode")</f>
        <v>Hari Kerja</v>
      </c>
      <c r="N2223" s="71">
        <f t="shared" si="307"/>
        <v>1</v>
      </c>
      <c r="O2223" s="71">
        <f t="shared" si="308"/>
        <v>1</v>
      </c>
      <c r="P2223" s="71">
        <f t="shared" si="309"/>
        <v>0</v>
      </c>
      <c r="Q2223" s="71">
        <f t="shared" si="310"/>
        <v>1</v>
      </c>
      <c r="R2223" s="71">
        <f t="shared" si="311"/>
        <v>0</v>
      </c>
      <c r="S2223" s="71">
        <f t="shared" si="312"/>
        <v>0</v>
      </c>
      <c r="T2223" s="71">
        <f t="shared" si="313"/>
        <v>0</v>
      </c>
      <c r="U2223" s="71">
        <f>IF(AND(N2223=1,V2223=1),IF(COUNTIFS(AKTIVITAS!$B$2:$B$3052,B2223,AKTIVITAS!$E$2:$E$3052,H2223)&gt;0,1,0),0)</f>
        <v>0</v>
      </c>
      <c r="V2223" s="71">
        <f>IFERROR(IF(AND(H2223&gt;=INDEX(PEMAGANG!$J$3:$J$36,MATCH(B2223,PEMAGANG!$C$3:$C$36,0)),H2223&lt;=INDEX(PEMAGANG!$K$3:$K$36,MATCH(B2223,PEMAGANG!$C$3:$C$36,0))),1,0),0)</f>
        <v>0</v>
      </c>
      <c r="W2223" s="71">
        <f t="shared" si="314"/>
        <v>0</v>
      </c>
    </row>
    <row r="2224" spans="1:23" x14ac:dyDescent="0.2">
      <c r="A2224" s="71" t="s">
        <v>647</v>
      </c>
      <c r="B2224" s="71" t="s">
        <v>648</v>
      </c>
      <c r="C2224" s="71" t="s">
        <v>187</v>
      </c>
      <c r="D2224" s="71" t="s">
        <v>421</v>
      </c>
      <c r="E2224" s="71" t="s">
        <v>422</v>
      </c>
      <c r="F2224" s="71" t="s">
        <v>300</v>
      </c>
      <c r="G2224" s="88">
        <v>46244.793587963002</v>
      </c>
      <c r="H2224" s="89">
        <v>46244</v>
      </c>
      <c r="I2224" s="71" t="s">
        <v>650</v>
      </c>
      <c r="J2224" s="71">
        <v>0</v>
      </c>
      <c r="K2224" s="71" t="s">
        <v>302</v>
      </c>
      <c r="L2224" s="71">
        <f t="shared" si="306"/>
        <v>8</v>
      </c>
      <c r="M2224" s="71" t="str">
        <f>IFERROR(INDEX(KALENDER!$D$3:$D$132,MATCH(H2224,KALENDER!$A$3:$A$132,0)),"Di luar periode")</f>
        <v>Hari Kerja</v>
      </c>
      <c r="N2224" s="71">
        <f t="shared" si="307"/>
        <v>0</v>
      </c>
      <c r="O2224" s="71">
        <f t="shared" si="308"/>
        <v>1</v>
      </c>
      <c r="P2224" s="71">
        <f t="shared" si="309"/>
        <v>0</v>
      </c>
      <c r="Q2224" s="71">
        <f t="shared" si="310"/>
        <v>0</v>
      </c>
      <c r="R2224" s="71">
        <f t="shared" si="311"/>
        <v>0</v>
      </c>
      <c r="S2224" s="71">
        <f t="shared" si="312"/>
        <v>0</v>
      </c>
      <c r="T2224" s="71">
        <f t="shared" si="313"/>
        <v>0</v>
      </c>
      <c r="U2224" s="71">
        <f>IF(AND(N2224=1,V2224=1),IF(COUNTIFS(AKTIVITAS!$B$2:$B$3052,B2224,AKTIVITAS!$E$2:$E$3052,H2224)&gt;0,1,0),0)</f>
        <v>0</v>
      </c>
      <c r="V2224" s="71">
        <f>IFERROR(IF(AND(H2224&gt;=INDEX(PEMAGANG!$J$3:$J$36,MATCH(B2224,PEMAGANG!$C$3:$C$36,0)),H2224&lt;=INDEX(PEMAGANG!$K$3:$K$36,MATCH(B2224,PEMAGANG!$C$3:$C$36,0))),1,0),0)</f>
        <v>0</v>
      </c>
      <c r="W2224" s="71">
        <f t="shared" si="314"/>
        <v>0</v>
      </c>
    </row>
    <row r="2225" spans="1:23" x14ac:dyDescent="0.2">
      <c r="A2225" s="71" t="s">
        <v>647</v>
      </c>
      <c r="B2225" s="71" t="s">
        <v>648</v>
      </c>
      <c r="C2225" s="71" t="s">
        <v>187</v>
      </c>
      <c r="D2225" s="71" t="s">
        <v>421</v>
      </c>
      <c r="E2225" s="71" t="s">
        <v>422</v>
      </c>
      <c r="F2225" s="71" t="s">
        <v>298</v>
      </c>
      <c r="G2225" s="88">
        <v>46245.918622685203</v>
      </c>
      <c r="H2225" s="89">
        <v>46245</v>
      </c>
      <c r="I2225" s="71" t="s">
        <v>655</v>
      </c>
      <c r="J2225" s="71">
        <v>842</v>
      </c>
      <c r="K2225" s="71" t="s">
        <v>293</v>
      </c>
      <c r="L2225" s="71">
        <f t="shared" si="306"/>
        <v>8</v>
      </c>
      <c r="M2225" s="71" t="str">
        <f>IFERROR(INDEX(KALENDER!$D$3:$D$132,MATCH(H2225,KALENDER!$A$3:$A$132,0)),"Di luar periode")</f>
        <v>Hari Kerja</v>
      </c>
      <c r="N2225" s="71">
        <f t="shared" si="307"/>
        <v>1</v>
      </c>
      <c r="O2225" s="71">
        <f t="shared" si="308"/>
        <v>1</v>
      </c>
      <c r="P2225" s="71">
        <f t="shared" si="309"/>
        <v>0</v>
      </c>
      <c r="Q2225" s="71">
        <f t="shared" si="310"/>
        <v>1</v>
      </c>
      <c r="R2225" s="71">
        <f t="shared" si="311"/>
        <v>0</v>
      </c>
      <c r="S2225" s="71">
        <f t="shared" si="312"/>
        <v>0</v>
      </c>
      <c r="T2225" s="71">
        <f t="shared" si="313"/>
        <v>0</v>
      </c>
      <c r="U2225" s="71">
        <f>IF(AND(N2225=1,V2225=1),IF(COUNTIFS(AKTIVITAS!$B$2:$B$3052,B2225,AKTIVITAS!$E$2:$E$3052,H2225)&gt;0,1,0),0)</f>
        <v>0</v>
      </c>
      <c r="V2225" s="71">
        <f>IFERROR(IF(AND(H2225&gt;=INDEX(PEMAGANG!$J$3:$J$36,MATCH(B2225,PEMAGANG!$C$3:$C$36,0)),H2225&lt;=INDEX(PEMAGANG!$K$3:$K$36,MATCH(B2225,PEMAGANG!$C$3:$C$36,0))),1,0),0)</f>
        <v>0</v>
      </c>
      <c r="W2225" s="71">
        <f t="shared" si="314"/>
        <v>0</v>
      </c>
    </row>
    <row r="2226" spans="1:23" x14ac:dyDescent="0.2">
      <c r="A2226" s="71" t="s">
        <v>647</v>
      </c>
      <c r="B2226" s="71" t="s">
        <v>648</v>
      </c>
      <c r="C2226" s="71" t="s">
        <v>187</v>
      </c>
      <c r="D2226" s="71" t="s">
        <v>421</v>
      </c>
      <c r="E2226" s="71" t="s">
        <v>422</v>
      </c>
      <c r="F2226" s="71" t="s">
        <v>300</v>
      </c>
      <c r="G2226" s="88">
        <v>46246.293981481504</v>
      </c>
      <c r="H2226" s="89">
        <v>46246</v>
      </c>
      <c r="I2226" s="71" t="s">
        <v>483</v>
      </c>
      <c r="J2226" s="71">
        <v>0</v>
      </c>
      <c r="K2226" s="71" t="s">
        <v>302</v>
      </c>
      <c r="L2226" s="71">
        <f t="shared" si="306"/>
        <v>8</v>
      </c>
      <c r="M2226" s="71" t="str">
        <f>IFERROR(INDEX(KALENDER!$D$3:$D$132,MATCH(H2226,KALENDER!$A$3:$A$132,0)),"Di luar periode")</f>
        <v>Hari Kerja</v>
      </c>
      <c r="N2226" s="71">
        <f t="shared" si="307"/>
        <v>1</v>
      </c>
      <c r="O2226" s="71">
        <f t="shared" si="308"/>
        <v>0</v>
      </c>
      <c r="P2226" s="71">
        <f t="shared" si="309"/>
        <v>0</v>
      </c>
      <c r="Q2226" s="71">
        <f t="shared" si="310"/>
        <v>1</v>
      </c>
      <c r="R2226" s="71">
        <f t="shared" si="311"/>
        <v>0</v>
      </c>
      <c r="S2226" s="71">
        <f t="shared" si="312"/>
        <v>0</v>
      </c>
      <c r="T2226" s="71">
        <f t="shared" si="313"/>
        <v>0</v>
      </c>
      <c r="U2226" s="71">
        <f>IF(AND(N2226=1,V2226=1),IF(COUNTIFS(AKTIVITAS!$B$2:$B$3052,B2226,AKTIVITAS!$E$2:$E$3052,H2226)&gt;0,1,0),0)</f>
        <v>0</v>
      </c>
      <c r="V2226" s="71">
        <f>IFERROR(IF(AND(H2226&gt;=INDEX(PEMAGANG!$J$3:$J$36,MATCH(B2226,PEMAGANG!$C$3:$C$36,0)),H2226&lt;=INDEX(PEMAGANG!$K$3:$K$36,MATCH(B2226,PEMAGANG!$C$3:$C$36,0))),1,0),0)</f>
        <v>0</v>
      </c>
      <c r="W2226" s="71">
        <f t="shared" si="314"/>
        <v>0</v>
      </c>
    </row>
    <row r="2227" spans="1:23" x14ac:dyDescent="0.2">
      <c r="A2227" s="71" t="s">
        <v>647</v>
      </c>
      <c r="B2227" s="71" t="s">
        <v>648</v>
      </c>
      <c r="C2227" s="71" t="s">
        <v>187</v>
      </c>
      <c r="D2227" s="71" t="s">
        <v>421</v>
      </c>
      <c r="E2227" s="71" t="s">
        <v>422</v>
      </c>
      <c r="F2227" s="71" t="s">
        <v>298</v>
      </c>
      <c r="G2227" s="88">
        <v>46246.919652777797</v>
      </c>
      <c r="H2227" s="89">
        <v>46246</v>
      </c>
      <c r="I2227" s="71" t="s">
        <v>658</v>
      </c>
      <c r="J2227" s="71">
        <v>844</v>
      </c>
      <c r="K2227" s="71" t="s">
        <v>293</v>
      </c>
      <c r="L2227" s="71">
        <f t="shared" si="306"/>
        <v>8</v>
      </c>
      <c r="M2227" s="71" t="str">
        <f>IFERROR(INDEX(KALENDER!$D$3:$D$132,MATCH(H2227,KALENDER!$A$3:$A$132,0)),"Di luar periode")</f>
        <v>Hari Kerja</v>
      </c>
      <c r="N2227" s="71">
        <f t="shared" si="307"/>
        <v>0</v>
      </c>
      <c r="O2227" s="71">
        <f t="shared" si="308"/>
        <v>1</v>
      </c>
      <c r="P2227" s="71">
        <f t="shared" si="309"/>
        <v>0</v>
      </c>
      <c r="Q2227" s="71">
        <f t="shared" si="310"/>
        <v>0</v>
      </c>
      <c r="R2227" s="71">
        <f t="shared" si="311"/>
        <v>0</v>
      </c>
      <c r="S2227" s="71">
        <f t="shared" si="312"/>
        <v>0</v>
      </c>
      <c r="T2227" s="71">
        <f t="shared" si="313"/>
        <v>0</v>
      </c>
      <c r="U2227" s="71">
        <f>IF(AND(N2227=1,V2227=1),IF(COUNTIFS(AKTIVITAS!$B$2:$B$3052,B2227,AKTIVITAS!$E$2:$E$3052,H2227)&gt;0,1,0),0)</f>
        <v>0</v>
      </c>
      <c r="V2227" s="71">
        <f>IFERROR(IF(AND(H2227&gt;=INDEX(PEMAGANG!$J$3:$J$36,MATCH(B2227,PEMAGANG!$C$3:$C$36,0)),H2227&lt;=INDEX(PEMAGANG!$K$3:$K$36,MATCH(B2227,PEMAGANG!$C$3:$C$36,0))),1,0),0)</f>
        <v>0</v>
      </c>
      <c r="W2227" s="71">
        <f t="shared" si="314"/>
        <v>0</v>
      </c>
    </row>
    <row r="2228" spans="1:23" x14ac:dyDescent="0.2">
      <c r="A2228" s="71" t="s">
        <v>647</v>
      </c>
      <c r="B2228" s="71" t="s">
        <v>648</v>
      </c>
      <c r="C2228" s="71" t="s">
        <v>187</v>
      </c>
      <c r="D2228" s="71" t="s">
        <v>421</v>
      </c>
      <c r="E2228" s="71" t="s">
        <v>422</v>
      </c>
      <c r="F2228" s="71" t="s">
        <v>300</v>
      </c>
      <c r="G2228" s="88">
        <v>46247.293877314798</v>
      </c>
      <c r="H2228" s="89">
        <v>46247</v>
      </c>
      <c r="I2228" s="71" t="s">
        <v>483</v>
      </c>
      <c r="J2228" s="71">
        <v>0</v>
      </c>
      <c r="K2228" s="71" t="s">
        <v>302</v>
      </c>
      <c r="L2228" s="71">
        <f t="shared" si="306"/>
        <v>8</v>
      </c>
      <c r="M2228" s="71" t="str">
        <f>IFERROR(INDEX(KALENDER!$D$3:$D$132,MATCH(H2228,KALENDER!$A$3:$A$132,0)),"Di luar periode")</f>
        <v>Hari Kerja</v>
      </c>
      <c r="N2228" s="71">
        <f t="shared" si="307"/>
        <v>1</v>
      </c>
      <c r="O2228" s="71">
        <f t="shared" si="308"/>
        <v>0</v>
      </c>
      <c r="P2228" s="71">
        <f t="shared" si="309"/>
        <v>0</v>
      </c>
      <c r="Q2228" s="71">
        <f t="shared" si="310"/>
        <v>1</v>
      </c>
      <c r="R2228" s="71">
        <f t="shared" si="311"/>
        <v>0</v>
      </c>
      <c r="S2228" s="71">
        <f t="shared" si="312"/>
        <v>0</v>
      </c>
      <c r="T2228" s="71">
        <f t="shared" si="313"/>
        <v>0</v>
      </c>
      <c r="U2228" s="71">
        <f>IF(AND(N2228=1,V2228=1),IF(COUNTIFS(AKTIVITAS!$B$2:$B$3052,B2228,AKTIVITAS!$E$2:$E$3052,H2228)&gt;0,1,0),0)</f>
        <v>0</v>
      </c>
      <c r="V2228" s="71">
        <f>IFERROR(IF(AND(H2228&gt;=INDEX(PEMAGANG!$J$3:$J$36,MATCH(B2228,PEMAGANG!$C$3:$C$36,0)),H2228&lt;=INDEX(PEMAGANG!$K$3:$K$36,MATCH(B2228,PEMAGANG!$C$3:$C$36,0))),1,0),0)</f>
        <v>0</v>
      </c>
      <c r="W2228" s="71">
        <f t="shared" si="314"/>
        <v>0</v>
      </c>
    </row>
    <row r="2229" spans="1:23" x14ac:dyDescent="0.2">
      <c r="A2229" s="71" t="s">
        <v>647</v>
      </c>
      <c r="B2229" s="71" t="s">
        <v>648</v>
      </c>
      <c r="C2229" s="71" t="s">
        <v>187</v>
      </c>
      <c r="D2229" s="71" t="s">
        <v>421</v>
      </c>
      <c r="E2229" s="71" t="s">
        <v>422</v>
      </c>
      <c r="F2229" s="71" t="s">
        <v>298</v>
      </c>
      <c r="G2229" s="88">
        <v>46247.925162036998</v>
      </c>
      <c r="H2229" s="89">
        <v>46247</v>
      </c>
      <c r="I2229" s="71" t="s">
        <v>659</v>
      </c>
      <c r="J2229" s="71">
        <v>852</v>
      </c>
      <c r="K2229" s="71" t="s">
        <v>293</v>
      </c>
      <c r="L2229" s="71">
        <f t="shared" si="306"/>
        <v>8</v>
      </c>
      <c r="M2229" s="71" t="str">
        <f>IFERROR(INDEX(KALENDER!$D$3:$D$132,MATCH(H2229,KALENDER!$A$3:$A$132,0)),"Di luar periode")</f>
        <v>Hari Kerja</v>
      </c>
      <c r="N2229" s="71">
        <f t="shared" si="307"/>
        <v>0</v>
      </c>
      <c r="O2229" s="71">
        <f t="shared" si="308"/>
        <v>1</v>
      </c>
      <c r="P2229" s="71">
        <f t="shared" si="309"/>
        <v>0</v>
      </c>
      <c r="Q2229" s="71">
        <f t="shared" si="310"/>
        <v>0</v>
      </c>
      <c r="R2229" s="71">
        <f t="shared" si="311"/>
        <v>0</v>
      </c>
      <c r="S2229" s="71">
        <f t="shared" si="312"/>
        <v>0</v>
      </c>
      <c r="T2229" s="71">
        <f t="shared" si="313"/>
        <v>0</v>
      </c>
      <c r="U2229" s="71">
        <f>IF(AND(N2229=1,V2229=1),IF(COUNTIFS(AKTIVITAS!$B$2:$B$3052,B2229,AKTIVITAS!$E$2:$E$3052,H2229)&gt;0,1,0),0)</f>
        <v>0</v>
      </c>
      <c r="V2229" s="71">
        <f>IFERROR(IF(AND(H2229&gt;=INDEX(PEMAGANG!$J$3:$J$36,MATCH(B2229,PEMAGANG!$C$3:$C$36,0)),H2229&lt;=INDEX(PEMAGANG!$K$3:$K$36,MATCH(B2229,PEMAGANG!$C$3:$C$36,0))),1,0),0)</f>
        <v>0</v>
      </c>
      <c r="W2229" s="71">
        <f t="shared" si="314"/>
        <v>0</v>
      </c>
    </row>
    <row r="2230" spans="1:23" x14ac:dyDescent="0.2">
      <c r="A2230" s="71" t="s">
        <v>647</v>
      </c>
      <c r="B2230" s="71" t="s">
        <v>648</v>
      </c>
      <c r="C2230" s="71" t="s">
        <v>187</v>
      </c>
      <c r="D2230" s="71" t="s">
        <v>421</v>
      </c>
      <c r="E2230" s="71" t="s">
        <v>422</v>
      </c>
      <c r="F2230" s="71" t="s">
        <v>300</v>
      </c>
      <c r="G2230" s="88">
        <v>46248.295509259297</v>
      </c>
      <c r="H2230" s="89">
        <v>46248</v>
      </c>
      <c r="I2230" s="71" t="s">
        <v>355</v>
      </c>
      <c r="J2230" s="71">
        <v>0</v>
      </c>
      <c r="K2230" s="71" t="s">
        <v>302</v>
      </c>
      <c r="L2230" s="71">
        <f t="shared" si="306"/>
        <v>8</v>
      </c>
      <c r="M2230" s="71" t="str">
        <f>IFERROR(INDEX(KALENDER!$D$3:$D$132,MATCH(H2230,KALENDER!$A$3:$A$132,0)),"Di luar periode")</f>
        <v>Hari Kerja</v>
      </c>
      <c r="N2230" s="71">
        <f t="shared" si="307"/>
        <v>1</v>
      </c>
      <c r="O2230" s="71">
        <f t="shared" si="308"/>
        <v>0</v>
      </c>
      <c r="P2230" s="71">
        <f t="shared" si="309"/>
        <v>0</v>
      </c>
      <c r="Q2230" s="71">
        <f t="shared" si="310"/>
        <v>1</v>
      </c>
      <c r="R2230" s="71">
        <f t="shared" si="311"/>
        <v>0</v>
      </c>
      <c r="S2230" s="71">
        <f t="shared" si="312"/>
        <v>0</v>
      </c>
      <c r="T2230" s="71">
        <f t="shared" si="313"/>
        <v>0</v>
      </c>
      <c r="U2230" s="71">
        <f>IF(AND(N2230=1,V2230=1),IF(COUNTIFS(AKTIVITAS!$B$2:$B$3052,B2230,AKTIVITAS!$E$2:$E$3052,H2230)&gt;0,1,0),0)</f>
        <v>0</v>
      </c>
      <c r="V2230" s="71">
        <f>IFERROR(IF(AND(H2230&gt;=INDEX(PEMAGANG!$J$3:$J$36,MATCH(B2230,PEMAGANG!$C$3:$C$36,0)),H2230&lt;=INDEX(PEMAGANG!$K$3:$K$36,MATCH(B2230,PEMAGANG!$C$3:$C$36,0))),1,0),0)</f>
        <v>0</v>
      </c>
      <c r="W2230" s="71">
        <f t="shared" si="314"/>
        <v>0</v>
      </c>
    </row>
    <row r="2231" spans="1:23" x14ac:dyDescent="0.2">
      <c r="A2231" s="71" t="s">
        <v>647</v>
      </c>
      <c r="B2231" s="71" t="s">
        <v>648</v>
      </c>
      <c r="C2231" s="71" t="s">
        <v>187</v>
      </c>
      <c r="D2231" s="71" t="s">
        <v>421</v>
      </c>
      <c r="E2231" s="71" t="s">
        <v>422</v>
      </c>
      <c r="F2231" s="71" t="s">
        <v>298</v>
      </c>
      <c r="G2231" s="88">
        <v>46248.9234953704</v>
      </c>
      <c r="H2231" s="89">
        <v>46248</v>
      </c>
      <c r="I2231" s="71" t="s">
        <v>660</v>
      </c>
      <c r="J2231" s="71">
        <v>849</v>
      </c>
      <c r="K2231" s="71" t="s">
        <v>293</v>
      </c>
      <c r="L2231" s="71">
        <f t="shared" si="306"/>
        <v>8</v>
      </c>
      <c r="M2231" s="71" t="str">
        <f>IFERROR(INDEX(KALENDER!$D$3:$D$132,MATCH(H2231,KALENDER!$A$3:$A$132,0)),"Di luar periode")</f>
        <v>Hari Kerja</v>
      </c>
      <c r="N2231" s="71">
        <f t="shared" si="307"/>
        <v>0</v>
      </c>
      <c r="O2231" s="71">
        <f t="shared" si="308"/>
        <v>1</v>
      </c>
      <c r="P2231" s="71">
        <f t="shared" si="309"/>
        <v>0</v>
      </c>
      <c r="Q2231" s="71">
        <f t="shared" si="310"/>
        <v>0</v>
      </c>
      <c r="R2231" s="71">
        <f t="shared" si="311"/>
        <v>0</v>
      </c>
      <c r="S2231" s="71">
        <f t="shared" si="312"/>
        <v>0</v>
      </c>
      <c r="T2231" s="71">
        <f t="shared" si="313"/>
        <v>0</v>
      </c>
      <c r="U2231" s="71">
        <f>IF(AND(N2231=1,V2231=1),IF(COUNTIFS(AKTIVITAS!$B$2:$B$3052,B2231,AKTIVITAS!$E$2:$E$3052,H2231)&gt;0,1,0),0)</f>
        <v>0</v>
      </c>
      <c r="V2231" s="71">
        <f>IFERROR(IF(AND(H2231&gt;=INDEX(PEMAGANG!$J$3:$J$36,MATCH(B2231,PEMAGANG!$C$3:$C$36,0)),H2231&lt;=INDEX(PEMAGANG!$K$3:$K$36,MATCH(B2231,PEMAGANG!$C$3:$C$36,0))),1,0),0)</f>
        <v>0</v>
      </c>
      <c r="W2231" s="71">
        <f t="shared" si="314"/>
        <v>0</v>
      </c>
    </row>
    <row r="2232" spans="1:23" x14ac:dyDescent="0.2">
      <c r="A2232" s="71" t="s">
        <v>647</v>
      </c>
      <c r="B2232" s="71" t="s">
        <v>648</v>
      </c>
      <c r="C2232" s="71" t="s">
        <v>187</v>
      </c>
      <c r="D2232" s="71" t="s">
        <v>421</v>
      </c>
      <c r="E2232" s="71" t="s">
        <v>422</v>
      </c>
      <c r="F2232" s="71" t="s">
        <v>300</v>
      </c>
      <c r="G2232" s="88">
        <v>46249.294143518498</v>
      </c>
      <c r="H2232" s="89">
        <v>46249</v>
      </c>
      <c r="I2232" s="71" t="s">
        <v>483</v>
      </c>
      <c r="J2232" s="71">
        <v>0</v>
      </c>
      <c r="K2232" s="71" t="s">
        <v>302</v>
      </c>
      <c r="L2232" s="71">
        <f t="shared" si="306"/>
        <v>8</v>
      </c>
      <c r="M2232" s="71" t="str">
        <f>IFERROR(INDEX(KALENDER!$D$3:$D$132,MATCH(H2232,KALENDER!$A$3:$A$132,0)),"Di luar periode")</f>
        <v>Libur (Sabtu/Minggu)</v>
      </c>
      <c r="N2232" s="71">
        <f t="shared" si="307"/>
        <v>1</v>
      </c>
      <c r="O2232" s="71">
        <f t="shared" si="308"/>
        <v>0</v>
      </c>
      <c r="P2232" s="71">
        <f t="shared" si="309"/>
        <v>0</v>
      </c>
      <c r="Q2232" s="71">
        <f t="shared" si="310"/>
        <v>1</v>
      </c>
      <c r="R2232" s="71">
        <f t="shared" si="311"/>
        <v>0</v>
      </c>
      <c r="S2232" s="71">
        <f t="shared" si="312"/>
        <v>0</v>
      </c>
      <c r="T2232" s="71">
        <f t="shared" si="313"/>
        <v>0</v>
      </c>
      <c r="U2232" s="71">
        <f>IF(AND(N2232=1,V2232=1),IF(COUNTIFS(AKTIVITAS!$B$2:$B$3052,B2232,AKTIVITAS!$E$2:$E$3052,H2232)&gt;0,1,0),0)</f>
        <v>0</v>
      </c>
      <c r="V2232" s="71">
        <f>IFERROR(IF(AND(H2232&gt;=INDEX(PEMAGANG!$J$3:$J$36,MATCH(B2232,PEMAGANG!$C$3:$C$36,0)),H2232&lt;=INDEX(PEMAGANG!$K$3:$K$36,MATCH(B2232,PEMAGANG!$C$3:$C$36,0))),1,0),0)</f>
        <v>0</v>
      </c>
      <c r="W2232" s="71">
        <f t="shared" si="314"/>
        <v>0</v>
      </c>
    </row>
    <row r="2233" spans="1:23" x14ac:dyDescent="0.2">
      <c r="A2233" s="71" t="s">
        <v>647</v>
      </c>
      <c r="B2233" s="71" t="s">
        <v>648</v>
      </c>
      <c r="C2233" s="71" t="s">
        <v>187</v>
      </c>
      <c r="D2233" s="71" t="s">
        <v>421</v>
      </c>
      <c r="E2233" s="71" t="s">
        <v>422</v>
      </c>
      <c r="F2233" s="71" t="s">
        <v>298</v>
      </c>
      <c r="G2233" s="88">
        <v>46249.778587963003</v>
      </c>
      <c r="H2233" s="89">
        <v>46249</v>
      </c>
      <c r="I2233" s="71" t="s">
        <v>633</v>
      </c>
      <c r="J2233" s="71">
        <v>641</v>
      </c>
      <c r="K2233" s="71" t="s">
        <v>293</v>
      </c>
      <c r="L2233" s="71">
        <f t="shared" si="306"/>
        <v>8</v>
      </c>
      <c r="M2233" s="71" t="str">
        <f>IFERROR(INDEX(KALENDER!$D$3:$D$132,MATCH(H2233,KALENDER!$A$3:$A$132,0)),"Di luar periode")</f>
        <v>Libur (Sabtu/Minggu)</v>
      </c>
      <c r="N2233" s="71">
        <f t="shared" si="307"/>
        <v>0</v>
      </c>
      <c r="O2233" s="71">
        <f t="shared" si="308"/>
        <v>1</v>
      </c>
      <c r="P2233" s="71">
        <f t="shared" si="309"/>
        <v>0</v>
      </c>
      <c r="Q2233" s="71">
        <f t="shared" si="310"/>
        <v>0</v>
      </c>
      <c r="R2233" s="71">
        <f t="shared" si="311"/>
        <v>0</v>
      </c>
      <c r="S2233" s="71">
        <f t="shared" si="312"/>
        <v>0</v>
      </c>
      <c r="T2233" s="71">
        <f t="shared" si="313"/>
        <v>0</v>
      </c>
      <c r="U2233" s="71">
        <f>IF(AND(N2233=1,V2233=1),IF(COUNTIFS(AKTIVITAS!$B$2:$B$3052,B2233,AKTIVITAS!$E$2:$E$3052,H2233)&gt;0,1,0),0)</f>
        <v>0</v>
      </c>
      <c r="V2233" s="71">
        <f>IFERROR(IF(AND(H2233&gt;=INDEX(PEMAGANG!$J$3:$J$36,MATCH(B2233,PEMAGANG!$C$3:$C$36,0)),H2233&lt;=INDEX(PEMAGANG!$K$3:$K$36,MATCH(B2233,PEMAGANG!$C$3:$C$36,0))),1,0),0)</f>
        <v>0</v>
      </c>
      <c r="W2233" s="71">
        <f t="shared" si="314"/>
        <v>0</v>
      </c>
    </row>
    <row r="2234" spans="1:23" x14ac:dyDescent="0.2">
      <c r="A2234" s="71" t="s">
        <v>647</v>
      </c>
      <c r="B2234" s="71" t="s">
        <v>648</v>
      </c>
      <c r="C2234" s="71" t="s">
        <v>187</v>
      </c>
      <c r="D2234" s="71" t="s">
        <v>421</v>
      </c>
      <c r="E2234" s="71" t="s">
        <v>422</v>
      </c>
      <c r="F2234" s="71" t="s">
        <v>300</v>
      </c>
      <c r="G2234" s="88">
        <v>46250.295381944401</v>
      </c>
      <c r="H2234" s="89">
        <v>46250</v>
      </c>
      <c r="I2234" s="71" t="s">
        <v>355</v>
      </c>
      <c r="J2234" s="71">
        <v>0</v>
      </c>
      <c r="K2234" s="71" t="s">
        <v>302</v>
      </c>
      <c r="L2234" s="71">
        <f t="shared" si="306"/>
        <v>8</v>
      </c>
      <c r="M2234" s="71" t="str">
        <f>IFERROR(INDEX(KALENDER!$D$3:$D$132,MATCH(H2234,KALENDER!$A$3:$A$132,0)),"Di luar periode")</f>
        <v>Libur (Sabtu/Minggu)</v>
      </c>
      <c r="N2234" s="71">
        <f t="shared" si="307"/>
        <v>1</v>
      </c>
      <c r="O2234" s="71">
        <f t="shared" si="308"/>
        <v>0</v>
      </c>
      <c r="P2234" s="71">
        <f t="shared" si="309"/>
        <v>0</v>
      </c>
      <c r="Q2234" s="71">
        <f t="shared" si="310"/>
        <v>1</v>
      </c>
      <c r="R2234" s="71">
        <f t="shared" si="311"/>
        <v>0</v>
      </c>
      <c r="S2234" s="71">
        <f t="shared" si="312"/>
        <v>0</v>
      </c>
      <c r="T2234" s="71">
        <f t="shared" si="313"/>
        <v>0</v>
      </c>
      <c r="U2234" s="71">
        <f>IF(AND(N2234=1,V2234=1),IF(COUNTIFS(AKTIVITAS!$B$2:$B$3052,B2234,AKTIVITAS!$E$2:$E$3052,H2234)&gt;0,1,0),0)</f>
        <v>0</v>
      </c>
      <c r="V2234" s="71">
        <f>IFERROR(IF(AND(H2234&gt;=INDEX(PEMAGANG!$J$3:$J$36,MATCH(B2234,PEMAGANG!$C$3:$C$36,0)),H2234&lt;=INDEX(PEMAGANG!$K$3:$K$36,MATCH(B2234,PEMAGANG!$C$3:$C$36,0))),1,0),0)</f>
        <v>0</v>
      </c>
      <c r="W2234" s="71">
        <f t="shared" si="314"/>
        <v>0</v>
      </c>
    </row>
    <row r="2235" spans="1:23" x14ac:dyDescent="0.2">
      <c r="A2235" s="71" t="s">
        <v>647</v>
      </c>
      <c r="B2235" s="71" t="s">
        <v>648</v>
      </c>
      <c r="C2235" s="71" t="s">
        <v>187</v>
      </c>
      <c r="D2235" s="71" t="s">
        <v>421</v>
      </c>
      <c r="E2235" s="71" t="s">
        <v>422</v>
      </c>
      <c r="F2235" s="71" t="s">
        <v>298</v>
      </c>
      <c r="G2235" s="88">
        <v>46251.2581712963</v>
      </c>
      <c r="H2235" s="89">
        <v>46251</v>
      </c>
      <c r="I2235" s="71" t="s">
        <v>463</v>
      </c>
      <c r="J2235" s="71">
        <v>-109</v>
      </c>
      <c r="K2235" s="71" t="s">
        <v>302</v>
      </c>
      <c r="L2235" s="71">
        <f t="shared" si="306"/>
        <v>8</v>
      </c>
      <c r="M2235" s="71" t="str">
        <f>IFERROR(INDEX(KALENDER!$D$3:$D$132,MATCH(H2235,KALENDER!$A$3:$A$132,0)),"Di luar periode")</f>
        <v>Libur Nasional</v>
      </c>
      <c r="N2235" s="71">
        <f t="shared" si="307"/>
        <v>1</v>
      </c>
      <c r="O2235" s="71">
        <f t="shared" si="308"/>
        <v>1</v>
      </c>
      <c r="P2235" s="71">
        <f t="shared" si="309"/>
        <v>0</v>
      </c>
      <c r="Q2235" s="71">
        <f t="shared" si="310"/>
        <v>1</v>
      </c>
      <c r="R2235" s="71">
        <f t="shared" si="311"/>
        <v>0</v>
      </c>
      <c r="S2235" s="71">
        <f t="shared" si="312"/>
        <v>0</v>
      </c>
      <c r="T2235" s="71">
        <f t="shared" si="313"/>
        <v>0</v>
      </c>
      <c r="U2235" s="71">
        <f>IF(AND(N2235=1,V2235=1),IF(COUNTIFS(AKTIVITAS!$B$2:$B$3052,B2235,AKTIVITAS!$E$2:$E$3052,H2235)&gt;0,1,0),0)</f>
        <v>0</v>
      </c>
      <c r="V2235" s="71">
        <f>IFERROR(IF(AND(H2235&gt;=INDEX(PEMAGANG!$J$3:$J$36,MATCH(B2235,PEMAGANG!$C$3:$C$36,0)),H2235&lt;=INDEX(PEMAGANG!$K$3:$K$36,MATCH(B2235,PEMAGANG!$C$3:$C$36,0))),1,0),0)</f>
        <v>0</v>
      </c>
      <c r="W2235" s="71">
        <f t="shared" si="314"/>
        <v>0</v>
      </c>
    </row>
    <row r="2236" spans="1:23" x14ac:dyDescent="0.2">
      <c r="A2236" s="71" t="s">
        <v>647</v>
      </c>
      <c r="B2236" s="71" t="s">
        <v>648</v>
      </c>
      <c r="C2236" s="71" t="s">
        <v>187</v>
      </c>
      <c r="D2236" s="71" t="s">
        <v>421</v>
      </c>
      <c r="E2236" s="71" t="s">
        <v>422</v>
      </c>
      <c r="F2236" s="71" t="s">
        <v>300</v>
      </c>
      <c r="G2236" s="88">
        <v>46251.792928240699</v>
      </c>
      <c r="H2236" s="89">
        <v>46251</v>
      </c>
      <c r="I2236" s="71" t="s">
        <v>628</v>
      </c>
      <c r="J2236" s="71">
        <v>0</v>
      </c>
      <c r="K2236" s="71" t="s">
        <v>302</v>
      </c>
      <c r="L2236" s="71">
        <f t="shared" si="306"/>
        <v>8</v>
      </c>
      <c r="M2236" s="71" t="str">
        <f>IFERROR(INDEX(KALENDER!$D$3:$D$132,MATCH(H2236,KALENDER!$A$3:$A$132,0)),"Di luar periode")</f>
        <v>Libur Nasional</v>
      </c>
      <c r="N2236" s="71">
        <f t="shared" si="307"/>
        <v>0</v>
      </c>
      <c r="O2236" s="71">
        <f t="shared" si="308"/>
        <v>1</v>
      </c>
      <c r="P2236" s="71">
        <f t="shared" si="309"/>
        <v>0</v>
      </c>
      <c r="Q2236" s="71">
        <f t="shared" si="310"/>
        <v>0</v>
      </c>
      <c r="R2236" s="71">
        <f t="shared" si="311"/>
        <v>0</v>
      </c>
      <c r="S2236" s="71">
        <f t="shared" si="312"/>
        <v>0</v>
      </c>
      <c r="T2236" s="71">
        <f t="shared" si="313"/>
        <v>0</v>
      </c>
      <c r="U2236" s="71">
        <f>IF(AND(N2236=1,V2236=1),IF(COUNTIFS(AKTIVITAS!$B$2:$B$3052,B2236,AKTIVITAS!$E$2:$E$3052,H2236)&gt;0,1,0),0)</f>
        <v>0</v>
      </c>
      <c r="V2236" s="71">
        <f>IFERROR(IF(AND(H2236&gt;=INDEX(PEMAGANG!$J$3:$J$36,MATCH(B2236,PEMAGANG!$C$3:$C$36,0)),H2236&lt;=INDEX(PEMAGANG!$K$3:$K$36,MATCH(B2236,PEMAGANG!$C$3:$C$36,0))),1,0),0)</f>
        <v>0</v>
      </c>
      <c r="W2236" s="71">
        <f t="shared" si="314"/>
        <v>0</v>
      </c>
    </row>
    <row r="2237" spans="1:23" x14ac:dyDescent="0.2">
      <c r="A2237" s="71" t="s">
        <v>647</v>
      </c>
      <c r="B2237" s="71" t="s">
        <v>648</v>
      </c>
      <c r="C2237" s="71" t="s">
        <v>187</v>
      </c>
      <c r="D2237" s="71" t="s">
        <v>421</v>
      </c>
      <c r="E2237" s="71" t="s">
        <v>422</v>
      </c>
      <c r="F2237" s="71" t="s">
        <v>298</v>
      </c>
      <c r="G2237" s="88">
        <v>46252.936562499999</v>
      </c>
      <c r="H2237" s="89">
        <v>46252</v>
      </c>
      <c r="I2237" s="71" t="s">
        <v>661</v>
      </c>
      <c r="J2237" s="71">
        <v>868</v>
      </c>
      <c r="K2237" s="71" t="s">
        <v>293</v>
      </c>
      <c r="L2237" s="71">
        <f t="shared" si="306"/>
        <v>8</v>
      </c>
      <c r="M2237" s="71" t="str">
        <f>IFERROR(INDEX(KALENDER!$D$3:$D$132,MATCH(H2237,KALENDER!$A$3:$A$132,0)),"Di luar periode")</f>
        <v>Hari Kerja</v>
      </c>
      <c r="N2237" s="71">
        <f t="shared" si="307"/>
        <v>1</v>
      </c>
      <c r="O2237" s="71">
        <f t="shared" si="308"/>
        <v>1</v>
      </c>
      <c r="P2237" s="71">
        <f t="shared" si="309"/>
        <v>0</v>
      </c>
      <c r="Q2237" s="71">
        <f t="shared" si="310"/>
        <v>1</v>
      </c>
      <c r="R2237" s="71">
        <f t="shared" si="311"/>
        <v>0</v>
      </c>
      <c r="S2237" s="71">
        <f t="shared" si="312"/>
        <v>0</v>
      </c>
      <c r="T2237" s="71">
        <f t="shared" si="313"/>
        <v>0</v>
      </c>
      <c r="U2237" s="71">
        <f>IF(AND(N2237=1,V2237=1),IF(COUNTIFS(AKTIVITAS!$B$2:$B$3052,B2237,AKTIVITAS!$E$2:$E$3052,H2237)&gt;0,1,0),0)</f>
        <v>0</v>
      </c>
      <c r="V2237" s="71">
        <f>IFERROR(IF(AND(H2237&gt;=INDEX(PEMAGANG!$J$3:$J$36,MATCH(B2237,PEMAGANG!$C$3:$C$36,0)),H2237&lt;=INDEX(PEMAGANG!$K$3:$K$36,MATCH(B2237,PEMAGANG!$C$3:$C$36,0))),1,0),0)</f>
        <v>0</v>
      </c>
      <c r="W2237" s="71">
        <f t="shared" si="314"/>
        <v>0</v>
      </c>
    </row>
    <row r="2238" spans="1:23" x14ac:dyDescent="0.2">
      <c r="A2238" s="71" t="s">
        <v>647</v>
      </c>
      <c r="B2238" s="71" t="s">
        <v>648</v>
      </c>
      <c r="C2238" s="71" t="s">
        <v>187</v>
      </c>
      <c r="D2238" s="71" t="s">
        <v>421</v>
      </c>
      <c r="E2238" s="71" t="s">
        <v>422</v>
      </c>
      <c r="F2238" s="71" t="s">
        <v>300</v>
      </c>
      <c r="G2238" s="88">
        <v>46253.293541666702</v>
      </c>
      <c r="H2238" s="89">
        <v>46253</v>
      </c>
      <c r="I2238" s="71" t="s">
        <v>492</v>
      </c>
      <c r="J2238" s="71">
        <v>0</v>
      </c>
      <c r="K2238" s="71" t="s">
        <v>302</v>
      </c>
      <c r="L2238" s="71">
        <f t="shared" si="306"/>
        <v>8</v>
      </c>
      <c r="M2238" s="71" t="str">
        <f>IFERROR(INDEX(KALENDER!$D$3:$D$132,MATCH(H2238,KALENDER!$A$3:$A$132,0)),"Di luar periode")</f>
        <v>Hari Kerja</v>
      </c>
      <c r="N2238" s="71">
        <f t="shared" si="307"/>
        <v>1</v>
      </c>
      <c r="O2238" s="71">
        <f t="shared" si="308"/>
        <v>0</v>
      </c>
      <c r="P2238" s="71">
        <f t="shared" si="309"/>
        <v>0</v>
      </c>
      <c r="Q2238" s="71">
        <f t="shared" si="310"/>
        <v>1</v>
      </c>
      <c r="R2238" s="71">
        <f t="shared" si="311"/>
        <v>0</v>
      </c>
      <c r="S2238" s="71">
        <f t="shared" si="312"/>
        <v>0</v>
      </c>
      <c r="T2238" s="71">
        <f t="shared" si="313"/>
        <v>0</v>
      </c>
      <c r="U2238" s="71">
        <f>IF(AND(N2238=1,V2238=1),IF(COUNTIFS(AKTIVITAS!$B$2:$B$3052,B2238,AKTIVITAS!$E$2:$E$3052,H2238)&gt;0,1,0),0)</f>
        <v>0</v>
      </c>
      <c r="V2238" s="71">
        <f>IFERROR(IF(AND(H2238&gt;=INDEX(PEMAGANG!$J$3:$J$36,MATCH(B2238,PEMAGANG!$C$3:$C$36,0)),H2238&lt;=INDEX(PEMAGANG!$K$3:$K$36,MATCH(B2238,PEMAGANG!$C$3:$C$36,0))),1,0),0)</f>
        <v>0</v>
      </c>
      <c r="W2238" s="71">
        <f t="shared" si="314"/>
        <v>0</v>
      </c>
    </row>
    <row r="2239" spans="1:23" x14ac:dyDescent="0.2">
      <c r="A2239" s="71" t="s">
        <v>647</v>
      </c>
      <c r="B2239" s="71" t="s">
        <v>648</v>
      </c>
      <c r="C2239" s="71" t="s">
        <v>187</v>
      </c>
      <c r="D2239" s="71" t="s">
        <v>421</v>
      </c>
      <c r="E2239" s="71" t="s">
        <v>422</v>
      </c>
      <c r="F2239" s="71" t="s">
        <v>298</v>
      </c>
      <c r="G2239" s="88">
        <v>46253.752164351899</v>
      </c>
      <c r="H2239" s="89">
        <v>46253</v>
      </c>
      <c r="I2239" s="71" t="s">
        <v>398</v>
      </c>
      <c r="J2239" s="71">
        <v>603</v>
      </c>
      <c r="K2239" s="71" t="s">
        <v>293</v>
      </c>
      <c r="L2239" s="71">
        <f t="shared" si="306"/>
        <v>8</v>
      </c>
      <c r="M2239" s="71" t="str">
        <f>IFERROR(INDEX(KALENDER!$D$3:$D$132,MATCH(H2239,KALENDER!$A$3:$A$132,0)),"Di luar periode")</f>
        <v>Hari Kerja</v>
      </c>
      <c r="N2239" s="71">
        <f t="shared" si="307"/>
        <v>0</v>
      </c>
      <c r="O2239" s="71">
        <f t="shared" si="308"/>
        <v>1</v>
      </c>
      <c r="P2239" s="71">
        <f t="shared" si="309"/>
        <v>0</v>
      </c>
      <c r="Q2239" s="71">
        <f t="shared" si="310"/>
        <v>0</v>
      </c>
      <c r="R2239" s="71">
        <f t="shared" si="311"/>
        <v>0</v>
      </c>
      <c r="S2239" s="71">
        <f t="shared" si="312"/>
        <v>0</v>
      </c>
      <c r="T2239" s="71">
        <f t="shared" si="313"/>
        <v>0</v>
      </c>
      <c r="U2239" s="71">
        <f>IF(AND(N2239=1,V2239=1),IF(COUNTIFS(AKTIVITAS!$B$2:$B$3052,B2239,AKTIVITAS!$E$2:$E$3052,H2239)&gt;0,1,0),0)</f>
        <v>0</v>
      </c>
      <c r="V2239" s="71">
        <f>IFERROR(IF(AND(H2239&gt;=INDEX(PEMAGANG!$J$3:$J$36,MATCH(B2239,PEMAGANG!$C$3:$C$36,0)),H2239&lt;=INDEX(PEMAGANG!$K$3:$K$36,MATCH(B2239,PEMAGANG!$C$3:$C$36,0))),1,0),0)</f>
        <v>0</v>
      </c>
      <c r="W2239" s="71">
        <f t="shared" si="314"/>
        <v>0</v>
      </c>
    </row>
    <row r="2240" spans="1:23" x14ac:dyDescent="0.2">
      <c r="A2240" s="71" t="s">
        <v>647</v>
      </c>
      <c r="B2240" s="71" t="s">
        <v>648</v>
      </c>
      <c r="C2240" s="71" t="s">
        <v>187</v>
      </c>
      <c r="D2240" s="71" t="s">
        <v>421</v>
      </c>
      <c r="E2240" s="71" t="s">
        <v>422</v>
      </c>
      <c r="F2240" s="71" t="s">
        <v>300</v>
      </c>
      <c r="G2240" s="88">
        <v>46254.293599536999</v>
      </c>
      <c r="H2240" s="89">
        <v>46254</v>
      </c>
      <c r="I2240" s="71" t="s">
        <v>492</v>
      </c>
      <c r="J2240" s="71">
        <v>0</v>
      </c>
      <c r="K2240" s="71" t="s">
        <v>302</v>
      </c>
      <c r="L2240" s="71">
        <f t="shared" si="306"/>
        <v>8</v>
      </c>
      <c r="M2240" s="71" t="str">
        <f>IFERROR(INDEX(KALENDER!$D$3:$D$132,MATCH(H2240,KALENDER!$A$3:$A$132,0)),"Di luar periode")</f>
        <v>Hari Kerja</v>
      </c>
      <c r="N2240" s="71">
        <f t="shared" si="307"/>
        <v>1</v>
      </c>
      <c r="O2240" s="71">
        <f t="shared" si="308"/>
        <v>0</v>
      </c>
      <c r="P2240" s="71">
        <f t="shared" si="309"/>
        <v>0</v>
      </c>
      <c r="Q2240" s="71">
        <f t="shared" si="310"/>
        <v>1</v>
      </c>
      <c r="R2240" s="71">
        <f t="shared" si="311"/>
        <v>0</v>
      </c>
      <c r="S2240" s="71">
        <f t="shared" si="312"/>
        <v>0</v>
      </c>
      <c r="T2240" s="71">
        <f t="shared" si="313"/>
        <v>0</v>
      </c>
      <c r="U2240" s="71">
        <f>IF(AND(N2240=1,V2240=1),IF(COUNTIFS(AKTIVITAS!$B$2:$B$3052,B2240,AKTIVITAS!$E$2:$E$3052,H2240)&gt;0,1,0),0)</f>
        <v>0</v>
      </c>
      <c r="V2240" s="71">
        <f>IFERROR(IF(AND(H2240&gt;=INDEX(PEMAGANG!$J$3:$J$36,MATCH(B2240,PEMAGANG!$C$3:$C$36,0)),H2240&lt;=INDEX(PEMAGANG!$K$3:$K$36,MATCH(B2240,PEMAGANG!$C$3:$C$36,0))),1,0),0)</f>
        <v>0</v>
      </c>
      <c r="W2240" s="71">
        <f t="shared" si="314"/>
        <v>0</v>
      </c>
    </row>
    <row r="2241" spans="1:23" x14ac:dyDescent="0.2">
      <c r="A2241" s="71" t="s">
        <v>647</v>
      </c>
      <c r="B2241" s="71" t="s">
        <v>648</v>
      </c>
      <c r="C2241" s="71" t="s">
        <v>187</v>
      </c>
      <c r="D2241" s="71" t="s">
        <v>421</v>
      </c>
      <c r="E2241" s="71" t="s">
        <v>422</v>
      </c>
      <c r="F2241" s="71" t="s">
        <v>298</v>
      </c>
      <c r="G2241" s="88">
        <v>46254.919050925899</v>
      </c>
      <c r="H2241" s="89">
        <v>46254</v>
      </c>
      <c r="I2241" s="71" t="s">
        <v>653</v>
      </c>
      <c r="J2241" s="71">
        <v>843</v>
      </c>
      <c r="K2241" s="71" t="s">
        <v>293</v>
      </c>
      <c r="L2241" s="71">
        <f t="shared" si="306"/>
        <v>8</v>
      </c>
      <c r="M2241" s="71" t="str">
        <f>IFERROR(INDEX(KALENDER!$D$3:$D$132,MATCH(H2241,KALENDER!$A$3:$A$132,0)),"Di luar periode")</f>
        <v>Hari Kerja</v>
      </c>
      <c r="N2241" s="71">
        <f t="shared" si="307"/>
        <v>0</v>
      </c>
      <c r="O2241" s="71">
        <f t="shared" si="308"/>
        <v>1</v>
      </c>
      <c r="P2241" s="71">
        <f t="shared" si="309"/>
        <v>0</v>
      </c>
      <c r="Q2241" s="71">
        <f t="shared" si="310"/>
        <v>0</v>
      </c>
      <c r="R2241" s="71">
        <f t="shared" si="311"/>
        <v>0</v>
      </c>
      <c r="S2241" s="71">
        <f t="shared" si="312"/>
        <v>0</v>
      </c>
      <c r="T2241" s="71">
        <f t="shared" si="313"/>
        <v>0</v>
      </c>
      <c r="U2241" s="71">
        <f>IF(AND(N2241=1,V2241=1),IF(COUNTIFS(AKTIVITAS!$B$2:$B$3052,B2241,AKTIVITAS!$E$2:$E$3052,H2241)&gt;0,1,0),0)</f>
        <v>0</v>
      </c>
      <c r="V2241" s="71">
        <f>IFERROR(IF(AND(H2241&gt;=INDEX(PEMAGANG!$J$3:$J$36,MATCH(B2241,PEMAGANG!$C$3:$C$36,0)),H2241&lt;=INDEX(PEMAGANG!$K$3:$K$36,MATCH(B2241,PEMAGANG!$C$3:$C$36,0))),1,0),0)</f>
        <v>0</v>
      </c>
      <c r="W2241" s="71">
        <f t="shared" si="314"/>
        <v>0</v>
      </c>
    </row>
    <row r="2242" spans="1:23" x14ac:dyDescent="0.2">
      <c r="A2242" s="71" t="s">
        <v>647</v>
      </c>
      <c r="B2242" s="71" t="s">
        <v>648</v>
      </c>
      <c r="C2242" s="71" t="s">
        <v>187</v>
      </c>
      <c r="D2242" s="71" t="s">
        <v>421</v>
      </c>
      <c r="E2242" s="71" t="s">
        <v>422</v>
      </c>
      <c r="F2242" s="71" t="s">
        <v>300</v>
      </c>
      <c r="G2242" s="88">
        <v>46255.294999999998</v>
      </c>
      <c r="H2242" s="89">
        <v>46255</v>
      </c>
      <c r="I2242" s="71" t="s">
        <v>411</v>
      </c>
      <c r="J2242" s="71">
        <v>0</v>
      </c>
      <c r="K2242" s="71" t="s">
        <v>302</v>
      </c>
      <c r="L2242" s="71">
        <f t="shared" ref="L2242:L2305" si="315">MONTH(H2242)</f>
        <v>8</v>
      </c>
      <c r="M2242" s="71" t="str">
        <f>IFERROR(INDEX(KALENDER!$D$3:$D$132,MATCH(H2242,KALENDER!$A$3:$A$132,0)),"Di luar periode")</f>
        <v>Hari Kerja</v>
      </c>
      <c r="N2242" s="71">
        <f t="shared" ref="N2242:N2305" si="316">IF(AND(B2242=B2241,H2242=H2241),0,1)</f>
        <v>1</v>
      </c>
      <c r="O2242" s="71">
        <f t="shared" ref="O2242:O2305" si="317">IF(N2242=1,0,O2241)+IF(F2242="MASUK",1,0)</f>
        <v>0</v>
      </c>
      <c r="P2242" s="71">
        <f t="shared" ref="P2242:P2305" si="318">IF(AND(N2242=1,M2242="Hari Kerja",V2242=1),1,0)</f>
        <v>0</v>
      </c>
      <c r="Q2242" s="71">
        <f t="shared" ref="Q2242:Q2305" si="319">IF(AND(N2242=1,OR(M2242&lt;&gt;"Hari Kerja",V2242=0)),1,0)</f>
        <v>1</v>
      </c>
      <c r="R2242" s="71">
        <f t="shared" ref="R2242:R2305" si="320">IF(AND(F2242="MASUK",O2242=1,N(J2242)&gt;0,V2242=1),1,0)</f>
        <v>0</v>
      </c>
      <c r="S2242" s="71">
        <f t="shared" ref="S2242:S2305" si="321">R2242*N(J2242)</f>
        <v>0</v>
      </c>
      <c r="T2242" s="71">
        <f t="shared" ref="T2242:T2305" si="322">IF(AND(N2242=1,V2242=1),IF(AND(COUNTIFS($B$2:$B$4094,B2242,$H$2:$H$4094,H2242,$F$2:$F$4094,"MASUK")&gt;0,COUNTIFS($B$2:$B$4094,B2242,$H$2:$H$4094,H2242,$F$2:$F$4094,"PULANG")=0),1,0),0)</f>
        <v>0</v>
      </c>
      <c r="U2242" s="71">
        <f>IF(AND(N2242=1,V2242=1),IF(COUNTIFS(AKTIVITAS!$B$2:$B$3052,B2242,AKTIVITAS!$E$2:$E$3052,H2242)&gt;0,1,0),0)</f>
        <v>0</v>
      </c>
      <c r="V2242" s="71">
        <f>IFERROR(IF(AND(H2242&gt;=INDEX(PEMAGANG!$J$3:$J$36,MATCH(B2242,PEMAGANG!$C$3:$C$36,0)),H2242&lt;=INDEX(PEMAGANG!$K$3:$K$36,MATCH(B2242,PEMAGANG!$C$3:$C$36,0))),1,0),0)</f>
        <v>0</v>
      </c>
      <c r="W2242" s="71">
        <f t="shared" ref="W2242:W2305" si="323">N2242*V2242</f>
        <v>0</v>
      </c>
    </row>
    <row r="2243" spans="1:23" x14ac:dyDescent="0.2">
      <c r="A2243" s="71" t="s">
        <v>647</v>
      </c>
      <c r="B2243" s="71" t="s">
        <v>648</v>
      </c>
      <c r="C2243" s="71" t="s">
        <v>187</v>
      </c>
      <c r="D2243" s="71" t="s">
        <v>421</v>
      </c>
      <c r="E2243" s="71" t="s">
        <v>422</v>
      </c>
      <c r="F2243" s="71" t="s">
        <v>298</v>
      </c>
      <c r="G2243" s="88">
        <v>46255.924340277801</v>
      </c>
      <c r="H2243" s="89">
        <v>46255</v>
      </c>
      <c r="I2243" s="71" t="s">
        <v>657</v>
      </c>
      <c r="J2243" s="71">
        <v>851</v>
      </c>
      <c r="K2243" s="71" t="s">
        <v>293</v>
      </c>
      <c r="L2243" s="71">
        <f t="shared" si="315"/>
        <v>8</v>
      </c>
      <c r="M2243" s="71" t="str">
        <f>IFERROR(INDEX(KALENDER!$D$3:$D$132,MATCH(H2243,KALENDER!$A$3:$A$132,0)),"Di luar periode")</f>
        <v>Hari Kerja</v>
      </c>
      <c r="N2243" s="71">
        <f t="shared" si="316"/>
        <v>0</v>
      </c>
      <c r="O2243" s="71">
        <f t="shared" si="317"/>
        <v>1</v>
      </c>
      <c r="P2243" s="71">
        <f t="shared" si="318"/>
        <v>0</v>
      </c>
      <c r="Q2243" s="71">
        <f t="shared" si="319"/>
        <v>0</v>
      </c>
      <c r="R2243" s="71">
        <f t="shared" si="320"/>
        <v>0</v>
      </c>
      <c r="S2243" s="71">
        <f t="shared" si="321"/>
        <v>0</v>
      </c>
      <c r="T2243" s="71">
        <f t="shared" si="322"/>
        <v>0</v>
      </c>
      <c r="U2243" s="71">
        <f>IF(AND(N2243=1,V2243=1),IF(COUNTIFS(AKTIVITAS!$B$2:$B$3052,B2243,AKTIVITAS!$E$2:$E$3052,H2243)&gt;0,1,0),0)</f>
        <v>0</v>
      </c>
      <c r="V2243" s="71">
        <f>IFERROR(IF(AND(H2243&gt;=INDEX(PEMAGANG!$J$3:$J$36,MATCH(B2243,PEMAGANG!$C$3:$C$36,0)),H2243&lt;=INDEX(PEMAGANG!$K$3:$K$36,MATCH(B2243,PEMAGANG!$C$3:$C$36,0))),1,0),0)</f>
        <v>0</v>
      </c>
      <c r="W2243" s="71">
        <f t="shared" si="323"/>
        <v>0</v>
      </c>
    </row>
    <row r="2244" spans="1:23" x14ac:dyDescent="0.2">
      <c r="A2244" s="71" t="s">
        <v>647</v>
      </c>
      <c r="B2244" s="71" t="s">
        <v>648</v>
      </c>
      <c r="C2244" s="71" t="s">
        <v>187</v>
      </c>
      <c r="D2244" s="71" t="s">
        <v>421</v>
      </c>
      <c r="E2244" s="71" t="s">
        <v>422</v>
      </c>
      <c r="F2244" s="71" t="s">
        <v>300</v>
      </c>
      <c r="G2244" s="88">
        <v>46256.298229166699</v>
      </c>
      <c r="H2244" s="89">
        <v>46256</v>
      </c>
      <c r="I2244" s="71" t="s">
        <v>479</v>
      </c>
      <c r="J2244" s="71">
        <v>0</v>
      </c>
      <c r="K2244" s="71" t="s">
        <v>302</v>
      </c>
      <c r="L2244" s="71">
        <f t="shared" si="315"/>
        <v>8</v>
      </c>
      <c r="M2244" s="71" t="str">
        <f>IFERROR(INDEX(KALENDER!$D$3:$D$132,MATCH(H2244,KALENDER!$A$3:$A$132,0)),"Di luar periode")</f>
        <v>Libur (Sabtu/Minggu)</v>
      </c>
      <c r="N2244" s="71">
        <f t="shared" si="316"/>
        <v>1</v>
      </c>
      <c r="O2244" s="71">
        <f t="shared" si="317"/>
        <v>0</v>
      </c>
      <c r="P2244" s="71">
        <f t="shared" si="318"/>
        <v>0</v>
      </c>
      <c r="Q2244" s="71">
        <f t="shared" si="319"/>
        <v>1</v>
      </c>
      <c r="R2244" s="71">
        <f t="shared" si="320"/>
        <v>0</v>
      </c>
      <c r="S2244" s="71">
        <f t="shared" si="321"/>
        <v>0</v>
      </c>
      <c r="T2244" s="71">
        <f t="shared" si="322"/>
        <v>0</v>
      </c>
      <c r="U2244" s="71">
        <f>IF(AND(N2244=1,V2244=1),IF(COUNTIFS(AKTIVITAS!$B$2:$B$3052,B2244,AKTIVITAS!$E$2:$E$3052,H2244)&gt;0,1,0),0)</f>
        <v>0</v>
      </c>
      <c r="V2244" s="71">
        <f>IFERROR(IF(AND(H2244&gt;=INDEX(PEMAGANG!$J$3:$J$36,MATCH(B2244,PEMAGANG!$C$3:$C$36,0)),H2244&lt;=INDEX(PEMAGANG!$K$3:$K$36,MATCH(B2244,PEMAGANG!$C$3:$C$36,0))),1,0),0)</f>
        <v>0</v>
      </c>
      <c r="W2244" s="71">
        <f t="shared" si="323"/>
        <v>0</v>
      </c>
    </row>
    <row r="2245" spans="1:23" x14ac:dyDescent="0.2">
      <c r="A2245" s="71" t="s">
        <v>647</v>
      </c>
      <c r="B2245" s="71" t="s">
        <v>648</v>
      </c>
      <c r="C2245" s="71" t="s">
        <v>187</v>
      </c>
      <c r="D2245" s="71" t="s">
        <v>421</v>
      </c>
      <c r="E2245" s="71" t="s">
        <v>422</v>
      </c>
      <c r="F2245" s="71" t="s">
        <v>298</v>
      </c>
      <c r="G2245" s="88">
        <v>46256.782083333303</v>
      </c>
      <c r="H2245" s="89">
        <v>46256</v>
      </c>
      <c r="I2245" s="71" t="s">
        <v>588</v>
      </c>
      <c r="J2245" s="71">
        <v>646</v>
      </c>
      <c r="K2245" s="71" t="s">
        <v>293</v>
      </c>
      <c r="L2245" s="71">
        <f t="shared" si="315"/>
        <v>8</v>
      </c>
      <c r="M2245" s="71" t="str">
        <f>IFERROR(INDEX(KALENDER!$D$3:$D$132,MATCH(H2245,KALENDER!$A$3:$A$132,0)),"Di luar periode")</f>
        <v>Libur (Sabtu/Minggu)</v>
      </c>
      <c r="N2245" s="71">
        <f t="shared" si="316"/>
        <v>0</v>
      </c>
      <c r="O2245" s="71">
        <f t="shared" si="317"/>
        <v>1</v>
      </c>
      <c r="P2245" s="71">
        <f t="shared" si="318"/>
        <v>0</v>
      </c>
      <c r="Q2245" s="71">
        <f t="shared" si="319"/>
        <v>0</v>
      </c>
      <c r="R2245" s="71">
        <f t="shared" si="320"/>
        <v>0</v>
      </c>
      <c r="S2245" s="71">
        <f t="shared" si="321"/>
        <v>0</v>
      </c>
      <c r="T2245" s="71">
        <f t="shared" si="322"/>
        <v>0</v>
      </c>
      <c r="U2245" s="71">
        <f>IF(AND(N2245=1,V2245=1),IF(COUNTIFS(AKTIVITAS!$B$2:$B$3052,B2245,AKTIVITAS!$E$2:$E$3052,H2245)&gt;0,1,0),0)</f>
        <v>0</v>
      </c>
      <c r="V2245" s="71">
        <f>IFERROR(IF(AND(H2245&gt;=INDEX(PEMAGANG!$J$3:$J$36,MATCH(B2245,PEMAGANG!$C$3:$C$36,0)),H2245&lt;=INDEX(PEMAGANG!$K$3:$K$36,MATCH(B2245,PEMAGANG!$C$3:$C$36,0))),1,0),0)</f>
        <v>0</v>
      </c>
      <c r="W2245" s="71">
        <f t="shared" si="323"/>
        <v>0</v>
      </c>
    </row>
    <row r="2246" spans="1:23" x14ac:dyDescent="0.2">
      <c r="A2246" s="71" t="s">
        <v>647</v>
      </c>
      <c r="B2246" s="71" t="s">
        <v>648</v>
      </c>
      <c r="C2246" s="71" t="s">
        <v>187</v>
      </c>
      <c r="D2246" s="71" t="s">
        <v>421</v>
      </c>
      <c r="E2246" s="71" t="s">
        <v>422</v>
      </c>
      <c r="F2246" s="71" t="s">
        <v>300</v>
      </c>
      <c r="G2246" s="88">
        <v>46257.293113425898</v>
      </c>
      <c r="H2246" s="89">
        <v>46257</v>
      </c>
      <c r="I2246" s="71" t="s">
        <v>492</v>
      </c>
      <c r="J2246" s="71">
        <v>0</v>
      </c>
      <c r="K2246" s="71" t="s">
        <v>302</v>
      </c>
      <c r="L2246" s="71">
        <f t="shared" si="315"/>
        <v>8</v>
      </c>
      <c r="M2246" s="71" t="str">
        <f>IFERROR(INDEX(KALENDER!$D$3:$D$132,MATCH(H2246,KALENDER!$A$3:$A$132,0)),"Di luar periode")</f>
        <v>Libur (Sabtu/Minggu)</v>
      </c>
      <c r="N2246" s="71">
        <f t="shared" si="316"/>
        <v>1</v>
      </c>
      <c r="O2246" s="71">
        <f t="shared" si="317"/>
        <v>0</v>
      </c>
      <c r="P2246" s="71">
        <f t="shared" si="318"/>
        <v>0</v>
      </c>
      <c r="Q2246" s="71">
        <f t="shared" si="319"/>
        <v>1</v>
      </c>
      <c r="R2246" s="71">
        <f t="shared" si="320"/>
        <v>0</v>
      </c>
      <c r="S2246" s="71">
        <f t="shared" si="321"/>
        <v>0</v>
      </c>
      <c r="T2246" s="71">
        <f t="shared" si="322"/>
        <v>0</v>
      </c>
      <c r="U2246" s="71">
        <f>IF(AND(N2246=1,V2246=1),IF(COUNTIFS(AKTIVITAS!$B$2:$B$3052,B2246,AKTIVITAS!$E$2:$E$3052,H2246)&gt;0,1,0),0)</f>
        <v>0</v>
      </c>
      <c r="V2246" s="71">
        <f>IFERROR(IF(AND(H2246&gt;=INDEX(PEMAGANG!$J$3:$J$36,MATCH(B2246,PEMAGANG!$C$3:$C$36,0)),H2246&lt;=INDEX(PEMAGANG!$K$3:$K$36,MATCH(B2246,PEMAGANG!$C$3:$C$36,0))),1,0),0)</f>
        <v>0</v>
      </c>
      <c r="W2246" s="71">
        <f t="shared" si="323"/>
        <v>0</v>
      </c>
    </row>
    <row r="2247" spans="1:23" x14ac:dyDescent="0.2">
      <c r="A2247" s="71" t="s">
        <v>647</v>
      </c>
      <c r="B2247" s="71" t="s">
        <v>648</v>
      </c>
      <c r="C2247" s="71" t="s">
        <v>187</v>
      </c>
      <c r="D2247" s="71" t="s">
        <v>421</v>
      </c>
      <c r="E2247" s="71" t="s">
        <v>422</v>
      </c>
      <c r="F2247" s="71" t="s">
        <v>298</v>
      </c>
      <c r="G2247" s="88">
        <v>46258.255347222199</v>
      </c>
      <c r="H2247" s="89">
        <v>46258</v>
      </c>
      <c r="I2247" s="71" t="s">
        <v>465</v>
      </c>
      <c r="J2247" s="71">
        <v>-113</v>
      </c>
      <c r="K2247" s="71" t="s">
        <v>302</v>
      </c>
      <c r="L2247" s="71">
        <f t="shared" si="315"/>
        <v>8</v>
      </c>
      <c r="M2247" s="71" t="str">
        <f>IFERROR(INDEX(KALENDER!$D$3:$D$132,MATCH(H2247,KALENDER!$A$3:$A$132,0)),"Di luar periode")</f>
        <v>Hari Kerja</v>
      </c>
      <c r="N2247" s="71">
        <f t="shared" si="316"/>
        <v>1</v>
      </c>
      <c r="O2247" s="71">
        <f t="shared" si="317"/>
        <v>1</v>
      </c>
      <c r="P2247" s="71">
        <f t="shared" si="318"/>
        <v>0</v>
      </c>
      <c r="Q2247" s="71">
        <f t="shared" si="319"/>
        <v>1</v>
      </c>
      <c r="R2247" s="71">
        <f t="shared" si="320"/>
        <v>0</v>
      </c>
      <c r="S2247" s="71">
        <f t="shared" si="321"/>
        <v>0</v>
      </c>
      <c r="T2247" s="71">
        <f t="shared" si="322"/>
        <v>0</v>
      </c>
      <c r="U2247" s="71">
        <f>IF(AND(N2247=1,V2247=1),IF(COUNTIFS(AKTIVITAS!$B$2:$B$3052,B2247,AKTIVITAS!$E$2:$E$3052,H2247)&gt;0,1,0),0)</f>
        <v>0</v>
      </c>
      <c r="V2247" s="71">
        <f>IFERROR(IF(AND(H2247&gt;=INDEX(PEMAGANG!$J$3:$J$36,MATCH(B2247,PEMAGANG!$C$3:$C$36,0)),H2247&lt;=INDEX(PEMAGANG!$K$3:$K$36,MATCH(B2247,PEMAGANG!$C$3:$C$36,0))),1,0),0)</f>
        <v>0</v>
      </c>
      <c r="W2247" s="71">
        <f t="shared" si="323"/>
        <v>0</v>
      </c>
    </row>
    <row r="2248" spans="1:23" x14ac:dyDescent="0.2">
      <c r="A2248" s="71" t="s">
        <v>647</v>
      </c>
      <c r="B2248" s="71" t="s">
        <v>648</v>
      </c>
      <c r="C2248" s="71" t="s">
        <v>187</v>
      </c>
      <c r="D2248" s="71" t="s">
        <v>421</v>
      </c>
      <c r="E2248" s="71" t="s">
        <v>422</v>
      </c>
      <c r="F2248" s="71" t="s">
        <v>300</v>
      </c>
      <c r="G2248" s="88">
        <v>46258.792812500003</v>
      </c>
      <c r="H2248" s="89">
        <v>46258</v>
      </c>
      <c r="I2248" s="71" t="s">
        <v>628</v>
      </c>
      <c r="J2248" s="71">
        <v>0</v>
      </c>
      <c r="K2248" s="71" t="s">
        <v>302</v>
      </c>
      <c r="L2248" s="71">
        <f t="shared" si="315"/>
        <v>8</v>
      </c>
      <c r="M2248" s="71" t="str">
        <f>IFERROR(INDEX(KALENDER!$D$3:$D$132,MATCH(H2248,KALENDER!$A$3:$A$132,0)),"Di luar periode")</f>
        <v>Hari Kerja</v>
      </c>
      <c r="N2248" s="71">
        <f t="shared" si="316"/>
        <v>0</v>
      </c>
      <c r="O2248" s="71">
        <f t="shared" si="317"/>
        <v>1</v>
      </c>
      <c r="P2248" s="71">
        <f t="shared" si="318"/>
        <v>0</v>
      </c>
      <c r="Q2248" s="71">
        <f t="shared" si="319"/>
        <v>0</v>
      </c>
      <c r="R2248" s="71">
        <f t="shared" si="320"/>
        <v>0</v>
      </c>
      <c r="S2248" s="71">
        <f t="shared" si="321"/>
        <v>0</v>
      </c>
      <c r="T2248" s="71">
        <f t="shared" si="322"/>
        <v>0</v>
      </c>
      <c r="U2248" s="71">
        <f>IF(AND(N2248=1,V2248=1),IF(COUNTIFS(AKTIVITAS!$B$2:$B$3052,B2248,AKTIVITAS!$E$2:$E$3052,H2248)&gt;0,1,0),0)</f>
        <v>0</v>
      </c>
      <c r="V2248" s="71">
        <f>IFERROR(IF(AND(H2248&gt;=INDEX(PEMAGANG!$J$3:$J$36,MATCH(B2248,PEMAGANG!$C$3:$C$36,0)),H2248&lt;=INDEX(PEMAGANG!$K$3:$K$36,MATCH(B2248,PEMAGANG!$C$3:$C$36,0))),1,0),0)</f>
        <v>0</v>
      </c>
      <c r="W2248" s="71">
        <f t="shared" si="323"/>
        <v>0</v>
      </c>
    </row>
    <row r="2249" spans="1:23" x14ac:dyDescent="0.2">
      <c r="A2249" s="71" t="s">
        <v>647</v>
      </c>
      <c r="B2249" s="71" t="s">
        <v>648</v>
      </c>
      <c r="C2249" s="71" t="s">
        <v>187</v>
      </c>
      <c r="D2249" s="71" t="s">
        <v>421</v>
      </c>
      <c r="E2249" s="71" t="s">
        <v>422</v>
      </c>
      <c r="F2249" s="71" t="s">
        <v>298</v>
      </c>
      <c r="G2249" s="88">
        <v>46259.923078703701</v>
      </c>
      <c r="H2249" s="89">
        <v>46259</v>
      </c>
      <c r="I2249" s="71" t="s">
        <v>660</v>
      </c>
      <c r="J2249" s="71">
        <v>849</v>
      </c>
      <c r="K2249" s="71" t="s">
        <v>293</v>
      </c>
      <c r="L2249" s="71">
        <f t="shared" si="315"/>
        <v>8</v>
      </c>
      <c r="M2249" s="71" t="str">
        <f>IFERROR(INDEX(KALENDER!$D$3:$D$132,MATCH(H2249,KALENDER!$A$3:$A$132,0)),"Di luar periode")</f>
        <v>Libur Nasional</v>
      </c>
      <c r="N2249" s="71">
        <f t="shared" si="316"/>
        <v>1</v>
      </c>
      <c r="O2249" s="71">
        <f t="shared" si="317"/>
        <v>1</v>
      </c>
      <c r="P2249" s="71">
        <f t="shared" si="318"/>
        <v>0</v>
      </c>
      <c r="Q2249" s="71">
        <f t="shared" si="319"/>
        <v>1</v>
      </c>
      <c r="R2249" s="71">
        <f t="shared" si="320"/>
        <v>0</v>
      </c>
      <c r="S2249" s="71">
        <f t="shared" si="321"/>
        <v>0</v>
      </c>
      <c r="T2249" s="71">
        <f t="shared" si="322"/>
        <v>0</v>
      </c>
      <c r="U2249" s="71">
        <f>IF(AND(N2249=1,V2249=1),IF(COUNTIFS(AKTIVITAS!$B$2:$B$3052,B2249,AKTIVITAS!$E$2:$E$3052,H2249)&gt;0,1,0),0)</f>
        <v>0</v>
      </c>
      <c r="V2249" s="71">
        <f>IFERROR(IF(AND(H2249&gt;=INDEX(PEMAGANG!$J$3:$J$36,MATCH(B2249,PEMAGANG!$C$3:$C$36,0)),H2249&lt;=INDEX(PEMAGANG!$K$3:$K$36,MATCH(B2249,PEMAGANG!$C$3:$C$36,0))),1,0),0)</f>
        <v>0</v>
      </c>
      <c r="W2249" s="71">
        <f t="shared" si="323"/>
        <v>0</v>
      </c>
    </row>
    <row r="2250" spans="1:23" x14ac:dyDescent="0.2">
      <c r="A2250" s="71" t="s">
        <v>647</v>
      </c>
      <c r="B2250" s="71" t="s">
        <v>648</v>
      </c>
      <c r="C2250" s="71" t="s">
        <v>187</v>
      </c>
      <c r="D2250" s="71" t="s">
        <v>421</v>
      </c>
      <c r="E2250" s="71" t="s">
        <v>422</v>
      </c>
      <c r="F2250" s="71" t="s">
        <v>300</v>
      </c>
      <c r="G2250" s="88">
        <v>46260.293217592603</v>
      </c>
      <c r="H2250" s="89">
        <v>46260</v>
      </c>
      <c r="I2250" s="71" t="s">
        <v>492</v>
      </c>
      <c r="J2250" s="71">
        <v>0</v>
      </c>
      <c r="K2250" s="71" t="s">
        <v>302</v>
      </c>
      <c r="L2250" s="71">
        <f t="shared" si="315"/>
        <v>8</v>
      </c>
      <c r="M2250" s="71" t="str">
        <f>IFERROR(INDEX(KALENDER!$D$3:$D$132,MATCH(H2250,KALENDER!$A$3:$A$132,0)),"Di luar periode")</f>
        <v>Hari Kerja</v>
      </c>
      <c r="N2250" s="71">
        <f t="shared" si="316"/>
        <v>1</v>
      </c>
      <c r="O2250" s="71">
        <f t="shared" si="317"/>
        <v>0</v>
      </c>
      <c r="P2250" s="71">
        <f t="shared" si="318"/>
        <v>0</v>
      </c>
      <c r="Q2250" s="71">
        <f t="shared" si="319"/>
        <v>1</v>
      </c>
      <c r="R2250" s="71">
        <f t="shared" si="320"/>
        <v>0</v>
      </c>
      <c r="S2250" s="71">
        <f t="shared" si="321"/>
        <v>0</v>
      </c>
      <c r="T2250" s="71">
        <f t="shared" si="322"/>
        <v>0</v>
      </c>
      <c r="U2250" s="71">
        <f>IF(AND(N2250=1,V2250=1),IF(COUNTIFS(AKTIVITAS!$B$2:$B$3052,B2250,AKTIVITAS!$E$2:$E$3052,H2250)&gt;0,1,0),0)</f>
        <v>0</v>
      </c>
      <c r="V2250" s="71">
        <f>IFERROR(IF(AND(H2250&gt;=INDEX(PEMAGANG!$J$3:$J$36,MATCH(B2250,PEMAGANG!$C$3:$C$36,0)),H2250&lt;=INDEX(PEMAGANG!$K$3:$K$36,MATCH(B2250,PEMAGANG!$C$3:$C$36,0))),1,0),0)</f>
        <v>0</v>
      </c>
      <c r="W2250" s="71">
        <f t="shared" si="323"/>
        <v>0</v>
      </c>
    </row>
    <row r="2251" spans="1:23" x14ac:dyDescent="0.2">
      <c r="A2251" s="71" t="s">
        <v>647</v>
      </c>
      <c r="B2251" s="71" t="s">
        <v>648</v>
      </c>
      <c r="C2251" s="71" t="s">
        <v>187</v>
      </c>
      <c r="D2251" s="71" t="s">
        <v>421</v>
      </c>
      <c r="E2251" s="71" t="s">
        <v>422</v>
      </c>
      <c r="F2251" s="71" t="s">
        <v>298</v>
      </c>
      <c r="G2251" s="88">
        <v>46260.921435185199</v>
      </c>
      <c r="H2251" s="89">
        <v>46260</v>
      </c>
      <c r="I2251" s="71" t="s">
        <v>651</v>
      </c>
      <c r="J2251" s="71">
        <v>846</v>
      </c>
      <c r="K2251" s="71" t="s">
        <v>293</v>
      </c>
      <c r="L2251" s="71">
        <f t="shared" si="315"/>
        <v>8</v>
      </c>
      <c r="M2251" s="71" t="str">
        <f>IFERROR(INDEX(KALENDER!$D$3:$D$132,MATCH(H2251,KALENDER!$A$3:$A$132,0)),"Di luar periode")</f>
        <v>Hari Kerja</v>
      </c>
      <c r="N2251" s="71">
        <f t="shared" si="316"/>
        <v>0</v>
      </c>
      <c r="O2251" s="71">
        <f t="shared" si="317"/>
        <v>1</v>
      </c>
      <c r="P2251" s="71">
        <f t="shared" si="318"/>
        <v>0</v>
      </c>
      <c r="Q2251" s="71">
        <f t="shared" si="319"/>
        <v>0</v>
      </c>
      <c r="R2251" s="71">
        <f t="shared" si="320"/>
        <v>0</v>
      </c>
      <c r="S2251" s="71">
        <f t="shared" si="321"/>
        <v>0</v>
      </c>
      <c r="T2251" s="71">
        <f t="shared" si="322"/>
        <v>0</v>
      </c>
      <c r="U2251" s="71">
        <f>IF(AND(N2251=1,V2251=1),IF(COUNTIFS(AKTIVITAS!$B$2:$B$3052,B2251,AKTIVITAS!$E$2:$E$3052,H2251)&gt;0,1,0),0)</f>
        <v>0</v>
      </c>
      <c r="V2251" s="71">
        <f>IFERROR(IF(AND(H2251&gt;=INDEX(PEMAGANG!$J$3:$J$36,MATCH(B2251,PEMAGANG!$C$3:$C$36,0)),H2251&lt;=INDEX(PEMAGANG!$K$3:$K$36,MATCH(B2251,PEMAGANG!$C$3:$C$36,0))),1,0),0)</f>
        <v>0</v>
      </c>
      <c r="W2251" s="71">
        <f t="shared" si="323"/>
        <v>0</v>
      </c>
    </row>
    <row r="2252" spans="1:23" x14ac:dyDescent="0.2">
      <c r="A2252" s="71" t="s">
        <v>647</v>
      </c>
      <c r="B2252" s="71" t="s">
        <v>648</v>
      </c>
      <c r="C2252" s="71" t="s">
        <v>187</v>
      </c>
      <c r="D2252" s="71" t="s">
        <v>421</v>
      </c>
      <c r="E2252" s="71" t="s">
        <v>422</v>
      </c>
      <c r="F2252" s="71" t="s">
        <v>300</v>
      </c>
      <c r="G2252" s="88">
        <v>46261.294340277796</v>
      </c>
      <c r="H2252" s="89">
        <v>46261</v>
      </c>
      <c r="I2252" s="71" t="s">
        <v>483</v>
      </c>
      <c r="J2252" s="71">
        <v>0</v>
      </c>
      <c r="K2252" s="71" t="s">
        <v>302</v>
      </c>
      <c r="L2252" s="71">
        <f t="shared" si="315"/>
        <v>8</v>
      </c>
      <c r="M2252" s="71" t="str">
        <f>IFERROR(INDEX(KALENDER!$D$3:$D$132,MATCH(H2252,KALENDER!$A$3:$A$132,0)),"Di luar periode")</f>
        <v>Hari Kerja</v>
      </c>
      <c r="N2252" s="71">
        <f t="shared" si="316"/>
        <v>1</v>
      </c>
      <c r="O2252" s="71">
        <f t="shared" si="317"/>
        <v>0</v>
      </c>
      <c r="P2252" s="71">
        <f t="shared" si="318"/>
        <v>0</v>
      </c>
      <c r="Q2252" s="71">
        <f t="shared" si="319"/>
        <v>1</v>
      </c>
      <c r="R2252" s="71">
        <f t="shared" si="320"/>
        <v>0</v>
      </c>
      <c r="S2252" s="71">
        <f t="shared" si="321"/>
        <v>0</v>
      </c>
      <c r="T2252" s="71">
        <f t="shared" si="322"/>
        <v>0</v>
      </c>
      <c r="U2252" s="71">
        <f>IF(AND(N2252=1,V2252=1),IF(COUNTIFS(AKTIVITAS!$B$2:$B$3052,B2252,AKTIVITAS!$E$2:$E$3052,H2252)&gt;0,1,0),0)</f>
        <v>0</v>
      </c>
      <c r="V2252" s="71">
        <f>IFERROR(IF(AND(H2252&gt;=INDEX(PEMAGANG!$J$3:$J$36,MATCH(B2252,PEMAGANG!$C$3:$C$36,0)),H2252&lt;=INDEX(PEMAGANG!$K$3:$K$36,MATCH(B2252,PEMAGANG!$C$3:$C$36,0))),1,0),0)</f>
        <v>0</v>
      </c>
      <c r="W2252" s="71">
        <f t="shared" si="323"/>
        <v>0</v>
      </c>
    </row>
    <row r="2253" spans="1:23" x14ac:dyDescent="0.2">
      <c r="A2253" s="71" t="s">
        <v>647</v>
      </c>
      <c r="B2253" s="71" t="s">
        <v>648</v>
      </c>
      <c r="C2253" s="71" t="s">
        <v>187</v>
      </c>
      <c r="D2253" s="71" t="s">
        <v>421</v>
      </c>
      <c r="E2253" s="71" t="s">
        <v>422</v>
      </c>
      <c r="F2253" s="71" t="s">
        <v>298</v>
      </c>
      <c r="G2253" s="88">
        <v>46261.927592592598</v>
      </c>
      <c r="H2253" s="89">
        <v>46261</v>
      </c>
      <c r="I2253" s="71" t="s">
        <v>662</v>
      </c>
      <c r="J2253" s="71">
        <v>855</v>
      </c>
      <c r="K2253" s="71" t="s">
        <v>293</v>
      </c>
      <c r="L2253" s="71">
        <f t="shared" si="315"/>
        <v>8</v>
      </c>
      <c r="M2253" s="71" t="str">
        <f>IFERROR(INDEX(KALENDER!$D$3:$D$132,MATCH(H2253,KALENDER!$A$3:$A$132,0)),"Di luar periode")</f>
        <v>Hari Kerja</v>
      </c>
      <c r="N2253" s="71">
        <f t="shared" si="316"/>
        <v>0</v>
      </c>
      <c r="O2253" s="71">
        <f t="shared" si="317"/>
        <v>1</v>
      </c>
      <c r="P2253" s="71">
        <f t="shared" si="318"/>
        <v>0</v>
      </c>
      <c r="Q2253" s="71">
        <f t="shared" si="319"/>
        <v>0</v>
      </c>
      <c r="R2253" s="71">
        <f t="shared" si="320"/>
        <v>0</v>
      </c>
      <c r="S2253" s="71">
        <f t="shared" si="321"/>
        <v>0</v>
      </c>
      <c r="T2253" s="71">
        <f t="shared" si="322"/>
        <v>0</v>
      </c>
      <c r="U2253" s="71">
        <f>IF(AND(N2253=1,V2253=1),IF(COUNTIFS(AKTIVITAS!$B$2:$B$3052,B2253,AKTIVITAS!$E$2:$E$3052,H2253)&gt;0,1,0),0)</f>
        <v>0</v>
      </c>
      <c r="V2253" s="71">
        <f>IFERROR(IF(AND(H2253&gt;=INDEX(PEMAGANG!$J$3:$J$36,MATCH(B2253,PEMAGANG!$C$3:$C$36,0)),H2253&lt;=INDEX(PEMAGANG!$K$3:$K$36,MATCH(B2253,PEMAGANG!$C$3:$C$36,0))),1,0),0)</f>
        <v>0</v>
      </c>
      <c r="W2253" s="71">
        <f t="shared" si="323"/>
        <v>0</v>
      </c>
    </row>
    <row r="2254" spans="1:23" x14ac:dyDescent="0.2">
      <c r="A2254" s="71" t="s">
        <v>647</v>
      </c>
      <c r="B2254" s="71" t="s">
        <v>648</v>
      </c>
      <c r="C2254" s="71" t="s">
        <v>187</v>
      </c>
      <c r="D2254" s="71" t="s">
        <v>421</v>
      </c>
      <c r="E2254" s="71" t="s">
        <v>422</v>
      </c>
      <c r="F2254" s="71" t="s">
        <v>300</v>
      </c>
      <c r="G2254" s="88">
        <v>46262.293865740699</v>
      </c>
      <c r="H2254" s="89">
        <v>46262</v>
      </c>
      <c r="I2254" s="71" t="s">
        <v>483</v>
      </c>
      <c r="J2254" s="71">
        <v>0</v>
      </c>
      <c r="K2254" s="71" t="s">
        <v>302</v>
      </c>
      <c r="L2254" s="71">
        <f t="shared" si="315"/>
        <v>8</v>
      </c>
      <c r="M2254" s="71" t="str">
        <f>IFERROR(INDEX(KALENDER!$D$3:$D$132,MATCH(H2254,KALENDER!$A$3:$A$132,0)),"Di luar periode")</f>
        <v>Hari Kerja</v>
      </c>
      <c r="N2254" s="71">
        <f t="shared" si="316"/>
        <v>1</v>
      </c>
      <c r="O2254" s="71">
        <f t="shared" si="317"/>
        <v>0</v>
      </c>
      <c r="P2254" s="71">
        <f t="shared" si="318"/>
        <v>0</v>
      </c>
      <c r="Q2254" s="71">
        <f t="shared" si="319"/>
        <v>1</v>
      </c>
      <c r="R2254" s="71">
        <f t="shared" si="320"/>
        <v>0</v>
      </c>
      <c r="S2254" s="71">
        <f t="shared" si="321"/>
        <v>0</v>
      </c>
      <c r="T2254" s="71">
        <f t="shared" si="322"/>
        <v>0</v>
      </c>
      <c r="U2254" s="71">
        <f>IF(AND(N2254=1,V2254=1),IF(COUNTIFS(AKTIVITAS!$B$2:$B$3052,B2254,AKTIVITAS!$E$2:$E$3052,H2254)&gt;0,1,0),0)</f>
        <v>0</v>
      </c>
      <c r="V2254" s="71">
        <f>IFERROR(IF(AND(H2254&gt;=INDEX(PEMAGANG!$J$3:$J$36,MATCH(B2254,PEMAGANG!$C$3:$C$36,0)),H2254&lt;=INDEX(PEMAGANG!$K$3:$K$36,MATCH(B2254,PEMAGANG!$C$3:$C$36,0))),1,0),0)</f>
        <v>0</v>
      </c>
      <c r="W2254" s="71">
        <f t="shared" si="323"/>
        <v>0</v>
      </c>
    </row>
    <row r="2255" spans="1:23" x14ac:dyDescent="0.2">
      <c r="A2255" s="71" t="s">
        <v>647</v>
      </c>
      <c r="B2255" s="71" t="s">
        <v>648</v>
      </c>
      <c r="C2255" s="71" t="s">
        <v>187</v>
      </c>
      <c r="D2255" s="71" t="s">
        <v>421</v>
      </c>
      <c r="E2255" s="71" t="s">
        <v>422</v>
      </c>
      <c r="F2255" s="71" t="s">
        <v>298</v>
      </c>
      <c r="G2255" s="88">
        <v>46262.923472222203</v>
      </c>
      <c r="H2255" s="89">
        <v>46262</v>
      </c>
      <c r="I2255" s="71" t="s">
        <v>660</v>
      </c>
      <c r="J2255" s="71">
        <v>849</v>
      </c>
      <c r="K2255" s="71" t="s">
        <v>293</v>
      </c>
      <c r="L2255" s="71">
        <f t="shared" si="315"/>
        <v>8</v>
      </c>
      <c r="M2255" s="71" t="str">
        <f>IFERROR(INDEX(KALENDER!$D$3:$D$132,MATCH(H2255,KALENDER!$A$3:$A$132,0)),"Di luar periode")</f>
        <v>Hari Kerja</v>
      </c>
      <c r="N2255" s="71">
        <f t="shared" si="316"/>
        <v>0</v>
      </c>
      <c r="O2255" s="71">
        <f t="shared" si="317"/>
        <v>1</v>
      </c>
      <c r="P2255" s="71">
        <f t="shared" si="318"/>
        <v>0</v>
      </c>
      <c r="Q2255" s="71">
        <f t="shared" si="319"/>
        <v>0</v>
      </c>
      <c r="R2255" s="71">
        <f t="shared" si="320"/>
        <v>0</v>
      </c>
      <c r="S2255" s="71">
        <f t="shared" si="321"/>
        <v>0</v>
      </c>
      <c r="T2255" s="71">
        <f t="shared" si="322"/>
        <v>0</v>
      </c>
      <c r="U2255" s="71">
        <f>IF(AND(N2255=1,V2255=1),IF(COUNTIFS(AKTIVITAS!$B$2:$B$3052,B2255,AKTIVITAS!$E$2:$E$3052,H2255)&gt;0,1,0),0)</f>
        <v>0</v>
      </c>
      <c r="V2255" s="71">
        <f>IFERROR(IF(AND(H2255&gt;=INDEX(PEMAGANG!$J$3:$J$36,MATCH(B2255,PEMAGANG!$C$3:$C$36,0)),H2255&lt;=INDEX(PEMAGANG!$K$3:$K$36,MATCH(B2255,PEMAGANG!$C$3:$C$36,0))),1,0),0)</f>
        <v>0</v>
      </c>
      <c r="W2255" s="71">
        <f t="shared" si="323"/>
        <v>0</v>
      </c>
    </row>
    <row r="2256" spans="1:23" x14ac:dyDescent="0.2">
      <c r="A2256" s="71" t="s">
        <v>647</v>
      </c>
      <c r="B2256" s="71" t="s">
        <v>648</v>
      </c>
      <c r="C2256" s="71" t="s">
        <v>187</v>
      </c>
      <c r="D2256" s="71" t="s">
        <v>421</v>
      </c>
      <c r="E2256" s="71" t="s">
        <v>422</v>
      </c>
      <c r="F2256" s="71" t="s">
        <v>300</v>
      </c>
      <c r="G2256" s="88">
        <v>46263.295578703699</v>
      </c>
      <c r="H2256" s="89">
        <v>46263</v>
      </c>
      <c r="I2256" s="71" t="s">
        <v>355</v>
      </c>
      <c r="J2256" s="71">
        <v>0</v>
      </c>
      <c r="K2256" s="71" t="s">
        <v>302</v>
      </c>
      <c r="L2256" s="71">
        <f t="shared" si="315"/>
        <v>8</v>
      </c>
      <c r="M2256" s="71" t="str">
        <f>IFERROR(INDEX(KALENDER!$D$3:$D$132,MATCH(H2256,KALENDER!$A$3:$A$132,0)),"Di luar periode")</f>
        <v>Libur (Sabtu/Minggu)</v>
      </c>
      <c r="N2256" s="71">
        <f t="shared" si="316"/>
        <v>1</v>
      </c>
      <c r="O2256" s="71">
        <f t="shared" si="317"/>
        <v>0</v>
      </c>
      <c r="P2256" s="71">
        <f t="shared" si="318"/>
        <v>0</v>
      </c>
      <c r="Q2256" s="71">
        <f t="shared" si="319"/>
        <v>1</v>
      </c>
      <c r="R2256" s="71">
        <f t="shared" si="320"/>
        <v>0</v>
      </c>
      <c r="S2256" s="71">
        <f t="shared" si="321"/>
        <v>0</v>
      </c>
      <c r="T2256" s="71">
        <f t="shared" si="322"/>
        <v>0</v>
      </c>
      <c r="U2256" s="71">
        <f>IF(AND(N2256=1,V2256=1),IF(COUNTIFS(AKTIVITAS!$B$2:$B$3052,B2256,AKTIVITAS!$E$2:$E$3052,H2256)&gt;0,1,0),0)</f>
        <v>0</v>
      </c>
      <c r="V2256" s="71">
        <f>IFERROR(IF(AND(H2256&gt;=INDEX(PEMAGANG!$J$3:$J$36,MATCH(B2256,PEMAGANG!$C$3:$C$36,0)),H2256&lt;=INDEX(PEMAGANG!$K$3:$K$36,MATCH(B2256,PEMAGANG!$C$3:$C$36,0))),1,0),0)</f>
        <v>0</v>
      </c>
      <c r="W2256" s="71">
        <f t="shared" si="323"/>
        <v>0</v>
      </c>
    </row>
    <row r="2257" spans="1:23" x14ac:dyDescent="0.2">
      <c r="A2257" s="71" t="s">
        <v>647</v>
      </c>
      <c r="B2257" s="71" t="s">
        <v>648</v>
      </c>
      <c r="C2257" s="71" t="s">
        <v>187</v>
      </c>
      <c r="D2257" s="71" t="s">
        <v>421</v>
      </c>
      <c r="E2257" s="71" t="s">
        <v>422</v>
      </c>
      <c r="F2257" s="71" t="s">
        <v>298</v>
      </c>
      <c r="G2257" s="88">
        <v>46263.754710648202</v>
      </c>
      <c r="H2257" s="89">
        <v>46263</v>
      </c>
      <c r="I2257" s="71" t="s">
        <v>460</v>
      </c>
      <c r="J2257" s="71">
        <v>606</v>
      </c>
      <c r="K2257" s="71" t="s">
        <v>293</v>
      </c>
      <c r="L2257" s="71">
        <f t="shared" si="315"/>
        <v>8</v>
      </c>
      <c r="M2257" s="71" t="str">
        <f>IFERROR(INDEX(KALENDER!$D$3:$D$132,MATCH(H2257,KALENDER!$A$3:$A$132,0)),"Di luar periode")</f>
        <v>Libur (Sabtu/Minggu)</v>
      </c>
      <c r="N2257" s="71">
        <f t="shared" si="316"/>
        <v>0</v>
      </c>
      <c r="O2257" s="71">
        <f t="shared" si="317"/>
        <v>1</v>
      </c>
      <c r="P2257" s="71">
        <f t="shared" si="318"/>
        <v>0</v>
      </c>
      <c r="Q2257" s="71">
        <f t="shared" si="319"/>
        <v>0</v>
      </c>
      <c r="R2257" s="71">
        <f t="shared" si="320"/>
        <v>0</v>
      </c>
      <c r="S2257" s="71">
        <f t="shared" si="321"/>
        <v>0</v>
      </c>
      <c r="T2257" s="71">
        <f t="shared" si="322"/>
        <v>0</v>
      </c>
      <c r="U2257" s="71">
        <f>IF(AND(N2257=1,V2257=1),IF(COUNTIFS(AKTIVITAS!$B$2:$B$3052,B2257,AKTIVITAS!$E$2:$E$3052,H2257)&gt;0,1,0),0)</f>
        <v>0</v>
      </c>
      <c r="V2257" s="71">
        <f>IFERROR(IF(AND(H2257&gt;=INDEX(PEMAGANG!$J$3:$J$36,MATCH(B2257,PEMAGANG!$C$3:$C$36,0)),H2257&lt;=INDEX(PEMAGANG!$K$3:$K$36,MATCH(B2257,PEMAGANG!$C$3:$C$36,0))),1,0),0)</f>
        <v>0</v>
      </c>
      <c r="W2257" s="71">
        <f t="shared" si="323"/>
        <v>0</v>
      </c>
    </row>
    <row r="2258" spans="1:23" x14ac:dyDescent="0.2">
      <c r="A2258" s="71" t="s">
        <v>647</v>
      </c>
      <c r="B2258" s="71" t="s">
        <v>648</v>
      </c>
      <c r="C2258" s="71" t="s">
        <v>187</v>
      </c>
      <c r="D2258" s="71" t="s">
        <v>421</v>
      </c>
      <c r="E2258" s="71" t="s">
        <v>422</v>
      </c>
      <c r="F2258" s="71" t="s">
        <v>300</v>
      </c>
      <c r="G2258" s="88">
        <v>46264.292997685203</v>
      </c>
      <c r="H2258" s="89">
        <v>46264</v>
      </c>
      <c r="I2258" s="71" t="s">
        <v>491</v>
      </c>
      <c r="J2258" s="71">
        <v>0</v>
      </c>
      <c r="K2258" s="71" t="s">
        <v>302</v>
      </c>
      <c r="L2258" s="71">
        <f t="shared" si="315"/>
        <v>8</v>
      </c>
      <c r="M2258" s="71" t="str">
        <f>IFERROR(INDEX(KALENDER!$D$3:$D$132,MATCH(H2258,KALENDER!$A$3:$A$132,0)),"Di luar periode")</f>
        <v>Libur (Sabtu/Minggu)</v>
      </c>
      <c r="N2258" s="71">
        <f t="shared" si="316"/>
        <v>1</v>
      </c>
      <c r="O2258" s="71">
        <f t="shared" si="317"/>
        <v>0</v>
      </c>
      <c r="P2258" s="71">
        <f t="shared" si="318"/>
        <v>0</v>
      </c>
      <c r="Q2258" s="71">
        <f t="shared" si="319"/>
        <v>1</v>
      </c>
      <c r="R2258" s="71">
        <f t="shared" si="320"/>
        <v>0</v>
      </c>
      <c r="S2258" s="71">
        <f t="shared" si="321"/>
        <v>0</v>
      </c>
      <c r="T2258" s="71">
        <f t="shared" si="322"/>
        <v>0</v>
      </c>
      <c r="U2258" s="71">
        <f>IF(AND(N2258=1,V2258=1),IF(COUNTIFS(AKTIVITAS!$B$2:$B$3052,B2258,AKTIVITAS!$E$2:$E$3052,H2258)&gt;0,1,0),0)</f>
        <v>0</v>
      </c>
      <c r="V2258" s="71">
        <f>IFERROR(IF(AND(H2258&gt;=INDEX(PEMAGANG!$J$3:$J$36,MATCH(B2258,PEMAGANG!$C$3:$C$36,0)),H2258&lt;=INDEX(PEMAGANG!$K$3:$K$36,MATCH(B2258,PEMAGANG!$C$3:$C$36,0))),1,0),0)</f>
        <v>0</v>
      </c>
      <c r="W2258" s="71">
        <f t="shared" si="323"/>
        <v>0</v>
      </c>
    </row>
    <row r="2259" spans="1:23" x14ac:dyDescent="0.2">
      <c r="A2259" s="71" t="s">
        <v>647</v>
      </c>
      <c r="B2259" s="71" t="s">
        <v>648</v>
      </c>
      <c r="C2259" s="71" t="s">
        <v>187</v>
      </c>
      <c r="D2259" s="71" t="s">
        <v>421</v>
      </c>
      <c r="E2259" s="71" t="s">
        <v>422</v>
      </c>
      <c r="F2259" s="71" t="s">
        <v>298</v>
      </c>
      <c r="G2259" s="88">
        <v>46265.2511226852</v>
      </c>
      <c r="H2259" s="89">
        <v>46265</v>
      </c>
      <c r="I2259" s="71" t="s">
        <v>470</v>
      </c>
      <c r="J2259" s="71">
        <v>-119</v>
      </c>
      <c r="K2259" s="71" t="s">
        <v>302</v>
      </c>
      <c r="L2259" s="71">
        <f t="shared" si="315"/>
        <v>8</v>
      </c>
      <c r="M2259" s="71" t="str">
        <f>IFERROR(INDEX(KALENDER!$D$3:$D$132,MATCH(H2259,KALENDER!$A$3:$A$132,0)),"Di luar periode")</f>
        <v>Hari Kerja</v>
      </c>
      <c r="N2259" s="71">
        <f t="shared" si="316"/>
        <v>1</v>
      </c>
      <c r="O2259" s="71">
        <f t="shared" si="317"/>
        <v>1</v>
      </c>
      <c r="P2259" s="71">
        <f t="shared" si="318"/>
        <v>0</v>
      </c>
      <c r="Q2259" s="71">
        <f t="shared" si="319"/>
        <v>1</v>
      </c>
      <c r="R2259" s="71">
        <f t="shared" si="320"/>
        <v>0</v>
      </c>
      <c r="S2259" s="71">
        <f t="shared" si="321"/>
        <v>0</v>
      </c>
      <c r="T2259" s="71">
        <f t="shared" si="322"/>
        <v>0</v>
      </c>
      <c r="U2259" s="71">
        <f>IF(AND(N2259=1,V2259=1),IF(COUNTIFS(AKTIVITAS!$B$2:$B$3052,B2259,AKTIVITAS!$E$2:$E$3052,H2259)&gt;0,1,0),0)</f>
        <v>0</v>
      </c>
      <c r="V2259" s="71">
        <f>IFERROR(IF(AND(H2259&gt;=INDEX(PEMAGANG!$J$3:$J$36,MATCH(B2259,PEMAGANG!$C$3:$C$36,0)),H2259&lt;=INDEX(PEMAGANG!$K$3:$K$36,MATCH(B2259,PEMAGANG!$C$3:$C$36,0))),1,0),0)</f>
        <v>0</v>
      </c>
      <c r="W2259" s="71">
        <f t="shared" si="323"/>
        <v>0</v>
      </c>
    </row>
    <row r="2260" spans="1:23" x14ac:dyDescent="0.2">
      <c r="A2260" s="71" t="s">
        <v>647</v>
      </c>
      <c r="B2260" s="71" t="s">
        <v>648</v>
      </c>
      <c r="C2260" s="71" t="s">
        <v>187</v>
      </c>
      <c r="D2260" s="71" t="s">
        <v>421</v>
      </c>
      <c r="E2260" s="71" t="s">
        <v>422</v>
      </c>
      <c r="F2260" s="71" t="s">
        <v>300</v>
      </c>
      <c r="G2260" s="88">
        <v>46265.793946759302</v>
      </c>
      <c r="H2260" s="89">
        <v>46265</v>
      </c>
      <c r="I2260" s="71" t="s">
        <v>663</v>
      </c>
      <c r="J2260" s="71">
        <v>0</v>
      </c>
      <c r="K2260" s="71" t="s">
        <v>302</v>
      </c>
      <c r="L2260" s="71">
        <f t="shared" si="315"/>
        <v>8</v>
      </c>
      <c r="M2260" s="71" t="str">
        <f>IFERROR(INDEX(KALENDER!$D$3:$D$132,MATCH(H2260,KALENDER!$A$3:$A$132,0)),"Di luar periode")</f>
        <v>Hari Kerja</v>
      </c>
      <c r="N2260" s="71">
        <f t="shared" si="316"/>
        <v>0</v>
      </c>
      <c r="O2260" s="71">
        <f t="shared" si="317"/>
        <v>1</v>
      </c>
      <c r="P2260" s="71">
        <f t="shared" si="318"/>
        <v>0</v>
      </c>
      <c r="Q2260" s="71">
        <f t="shared" si="319"/>
        <v>0</v>
      </c>
      <c r="R2260" s="71">
        <f t="shared" si="320"/>
        <v>0</v>
      </c>
      <c r="S2260" s="71">
        <f t="shared" si="321"/>
        <v>0</v>
      </c>
      <c r="T2260" s="71">
        <f t="shared" si="322"/>
        <v>0</v>
      </c>
      <c r="U2260" s="71">
        <f>IF(AND(N2260=1,V2260=1),IF(COUNTIFS(AKTIVITAS!$B$2:$B$3052,B2260,AKTIVITAS!$E$2:$E$3052,H2260)&gt;0,1,0),0)</f>
        <v>0</v>
      </c>
      <c r="V2260" s="71">
        <f>IFERROR(IF(AND(H2260&gt;=INDEX(PEMAGANG!$J$3:$J$36,MATCH(B2260,PEMAGANG!$C$3:$C$36,0)),H2260&lt;=INDEX(PEMAGANG!$K$3:$K$36,MATCH(B2260,PEMAGANG!$C$3:$C$36,0))),1,0),0)</f>
        <v>0</v>
      </c>
      <c r="W2260" s="71">
        <f t="shared" si="323"/>
        <v>0</v>
      </c>
    </row>
    <row r="2261" spans="1:23" x14ac:dyDescent="0.2">
      <c r="A2261" s="71" t="s">
        <v>647</v>
      </c>
      <c r="B2261" s="71" t="s">
        <v>648</v>
      </c>
      <c r="C2261" s="71" t="s">
        <v>187</v>
      </c>
      <c r="D2261" s="71" t="s">
        <v>421</v>
      </c>
      <c r="E2261" s="71" t="s">
        <v>422</v>
      </c>
      <c r="F2261" s="71" t="s">
        <v>298</v>
      </c>
      <c r="G2261" s="88">
        <v>46266.751597222203</v>
      </c>
      <c r="H2261" s="89">
        <v>46266</v>
      </c>
      <c r="I2261" s="71" t="s">
        <v>432</v>
      </c>
      <c r="J2261" s="71">
        <v>602</v>
      </c>
      <c r="K2261" s="71" t="s">
        <v>293</v>
      </c>
      <c r="L2261" s="71">
        <f t="shared" si="315"/>
        <v>9</v>
      </c>
      <c r="M2261" s="71" t="str">
        <f>IFERROR(INDEX(KALENDER!$D$3:$D$132,MATCH(H2261,KALENDER!$A$3:$A$132,0)),"Di luar periode")</f>
        <v>Hari Kerja</v>
      </c>
      <c r="N2261" s="71">
        <f t="shared" si="316"/>
        <v>1</v>
      </c>
      <c r="O2261" s="71">
        <f t="shared" si="317"/>
        <v>1</v>
      </c>
      <c r="P2261" s="71">
        <f t="shared" si="318"/>
        <v>0</v>
      </c>
      <c r="Q2261" s="71">
        <f t="shared" si="319"/>
        <v>1</v>
      </c>
      <c r="R2261" s="71">
        <f t="shared" si="320"/>
        <v>0</v>
      </c>
      <c r="S2261" s="71">
        <f t="shared" si="321"/>
        <v>0</v>
      </c>
      <c r="T2261" s="71">
        <f t="shared" si="322"/>
        <v>0</v>
      </c>
      <c r="U2261" s="71">
        <f>IF(AND(N2261=1,V2261=1),IF(COUNTIFS(AKTIVITAS!$B$2:$B$3052,B2261,AKTIVITAS!$E$2:$E$3052,H2261)&gt;0,1,0),0)</f>
        <v>0</v>
      </c>
      <c r="V2261" s="71">
        <f>IFERROR(IF(AND(H2261&gt;=INDEX(PEMAGANG!$J$3:$J$36,MATCH(B2261,PEMAGANG!$C$3:$C$36,0)),H2261&lt;=INDEX(PEMAGANG!$K$3:$K$36,MATCH(B2261,PEMAGANG!$C$3:$C$36,0))),1,0),0)</f>
        <v>0</v>
      </c>
      <c r="W2261" s="71">
        <f t="shared" si="323"/>
        <v>0</v>
      </c>
    </row>
    <row r="2262" spans="1:23" x14ac:dyDescent="0.2">
      <c r="A2262" s="71" t="s">
        <v>647</v>
      </c>
      <c r="B2262" s="71" t="s">
        <v>648</v>
      </c>
      <c r="C2262" s="71" t="s">
        <v>187</v>
      </c>
      <c r="D2262" s="71" t="s">
        <v>421</v>
      </c>
      <c r="E2262" s="71" t="s">
        <v>422</v>
      </c>
      <c r="F2262" s="71" t="s">
        <v>300</v>
      </c>
      <c r="G2262" s="88">
        <v>46267.297835648198</v>
      </c>
      <c r="H2262" s="89">
        <v>46267</v>
      </c>
      <c r="I2262" s="71" t="s">
        <v>486</v>
      </c>
      <c r="J2262" s="71">
        <v>0</v>
      </c>
      <c r="K2262" s="71" t="s">
        <v>302</v>
      </c>
      <c r="L2262" s="71">
        <f t="shared" si="315"/>
        <v>9</v>
      </c>
      <c r="M2262" s="71" t="str">
        <f>IFERROR(INDEX(KALENDER!$D$3:$D$132,MATCH(H2262,KALENDER!$A$3:$A$132,0)),"Di luar periode")</f>
        <v>Hari Kerja</v>
      </c>
      <c r="N2262" s="71">
        <f t="shared" si="316"/>
        <v>1</v>
      </c>
      <c r="O2262" s="71">
        <f t="shared" si="317"/>
        <v>0</v>
      </c>
      <c r="P2262" s="71">
        <f t="shared" si="318"/>
        <v>0</v>
      </c>
      <c r="Q2262" s="71">
        <f t="shared" si="319"/>
        <v>1</v>
      </c>
      <c r="R2262" s="71">
        <f t="shared" si="320"/>
        <v>0</v>
      </c>
      <c r="S2262" s="71">
        <f t="shared" si="321"/>
        <v>0</v>
      </c>
      <c r="T2262" s="71">
        <f t="shared" si="322"/>
        <v>0</v>
      </c>
      <c r="U2262" s="71">
        <f>IF(AND(N2262=1,V2262=1),IF(COUNTIFS(AKTIVITAS!$B$2:$B$3052,B2262,AKTIVITAS!$E$2:$E$3052,H2262)&gt;0,1,0),0)</f>
        <v>0</v>
      </c>
      <c r="V2262" s="71">
        <f>IFERROR(IF(AND(H2262&gt;=INDEX(PEMAGANG!$J$3:$J$36,MATCH(B2262,PEMAGANG!$C$3:$C$36,0)),H2262&lt;=INDEX(PEMAGANG!$K$3:$K$36,MATCH(B2262,PEMAGANG!$C$3:$C$36,0))),1,0),0)</f>
        <v>0</v>
      </c>
      <c r="W2262" s="71">
        <f t="shared" si="323"/>
        <v>0</v>
      </c>
    </row>
    <row r="2263" spans="1:23" x14ac:dyDescent="0.2">
      <c r="A2263" s="71" t="s">
        <v>647</v>
      </c>
      <c r="B2263" s="71" t="s">
        <v>648</v>
      </c>
      <c r="C2263" s="71" t="s">
        <v>187</v>
      </c>
      <c r="D2263" s="71" t="s">
        <v>421</v>
      </c>
      <c r="E2263" s="71" t="s">
        <v>422</v>
      </c>
      <c r="F2263" s="71" t="s">
        <v>298</v>
      </c>
      <c r="G2263" s="88">
        <v>46267.757395833301</v>
      </c>
      <c r="H2263" s="89">
        <v>46267</v>
      </c>
      <c r="I2263" s="71" t="s">
        <v>441</v>
      </c>
      <c r="J2263" s="71">
        <v>610</v>
      </c>
      <c r="K2263" s="71" t="s">
        <v>293</v>
      </c>
      <c r="L2263" s="71">
        <f t="shared" si="315"/>
        <v>9</v>
      </c>
      <c r="M2263" s="71" t="str">
        <f>IFERROR(INDEX(KALENDER!$D$3:$D$132,MATCH(H2263,KALENDER!$A$3:$A$132,0)),"Di luar periode")</f>
        <v>Hari Kerja</v>
      </c>
      <c r="N2263" s="71">
        <f t="shared" si="316"/>
        <v>0</v>
      </c>
      <c r="O2263" s="71">
        <f t="shared" si="317"/>
        <v>1</v>
      </c>
      <c r="P2263" s="71">
        <f t="shared" si="318"/>
        <v>0</v>
      </c>
      <c r="Q2263" s="71">
        <f t="shared" si="319"/>
        <v>0</v>
      </c>
      <c r="R2263" s="71">
        <f t="shared" si="320"/>
        <v>0</v>
      </c>
      <c r="S2263" s="71">
        <f t="shared" si="321"/>
        <v>0</v>
      </c>
      <c r="T2263" s="71">
        <f t="shared" si="322"/>
        <v>0</v>
      </c>
      <c r="U2263" s="71">
        <f>IF(AND(N2263=1,V2263=1),IF(COUNTIFS(AKTIVITAS!$B$2:$B$3052,B2263,AKTIVITAS!$E$2:$E$3052,H2263)&gt;0,1,0),0)</f>
        <v>0</v>
      </c>
      <c r="V2263" s="71">
        <f>IFERROR(IF(AND(H2263&gt;=INDEX(PEMAGANG!$J$3:$J$36,MATCH(B2263,PEMAGANG!$C$3:$C$36,0)),H2263&lt;=INDEX(PEMAGANG!$K$3:$K$36,MATCH(B2263,PEMAGANG!$C$3:$C$36,0))),1,0),0)</f>
        <v>0</v>
      </c>
      <c r="W2263" s="71">
        <f t="shared" si="323"/>
        <v>0</v>
      </c>
    </row>
    <row r="2264" spans="1:23" x14ac:dyDescent="0.2">
      <c r="A2264" s="71" t="s">
        <v>647</v>
      </c>
      <c r="B2264" s="71" t="s">
        <v>648</v>
      </c>
      <c r="C2264" s="71" t="s">
        <v>187</v>
      </c>
      <c r="D2264" s="71" t="s">
        <v>421</v>
      </c>
      <c r="E2264" s="71" t="s">
        <v>422</v>
      </c>
      <c r="F2264" s="71" t="s">
        <v>300</v>
      </c>
      <c r="G2264" s="88">
        <v>46268.313518518502</v>
      </c>
      <c r="H2264" s="89">
        <v>46268</v>
      </c>
      <c r="I2264" s="71" t="s">
        <v>392</v>
      </c>
      <c r="J2264" s="71">
        <v>0</v>
      </c>
      <c r="K2264" s="71" t="s">
        <v>302</v>
      </c>
      <c r="L2264" s="71">
        <f t="shared" si="315"/>
        <v>9</v>
      </c>
      <c r="M2264" s="71" t="str">
        <f>IFERROR(INDEX(KALENDER!$D$3:$D$132,MATCH(H2264,KALENDER!$A$3:$A$132,0)),"Di luar periode")</f>
        <v>Hari Kerja</v>
      </c>
      <c r="N2264" s="71">
        <f t="shared" si="316"/>
        <v>1</v>
      </c>
      <c r="O2264" s="71">
        <f t="shared" si="317"/>
        <v>0</v>
      </c>
      <c r="P2264" s="71">
        <f t="shared" si="318"/>
        <v>0</v>
      </c>
      <c r="Q2264" s="71">
        <f t="shared" si="319"/>
        <v>1</v>
      </c>
      <c r="R2264" s="71">
        <f t="shared" si="320"/>
        <v>0</v>
      </c>
      <c r="S2264" s="71">
        <f t="shared" si="321"/>
        <v>0</v>
      </c>
      <c r="T2264" s="71">
        <f t="shared" si="322"/>
        <v>0</v>
      </c>
      <c r="U2264" s="71">
        <f>IF(AND(N2264=1,V2264=1),IF(COUNTIFS(AKTIVITAS!$B$2:$B$3052,B2264,AKTIVITAS!$E$2:$E$3052,H2264)&gt;0,1,0),0)</f>
        <v>0</v>
      </c>
      <c r="V2264" s="71">
        <f>IFERROR(IF(AND(H2264&gt;=INDEX(PEMAGANG!$J$3:$J$36,MATCH(B2264,PEMAGANG!$C$3:$C$36,0)),H2264&lt;=INDEX(PEMAGANG!$K$3:$K$36,MATCH(B2264,PEMAGANG!$C$3:$C$36,0))),1,0),0)</f>
        <v>0</v>
      </c>
      <c r="W2264" s="71">
        <f t="shared" si="323"/>
        <v>0</v>
      </c>
    </row>
    <row r="2265" spans="1:23" x14ac:dyDescent="0.2">
      <c r="A2265" s="71" t="s">
        <v>647</v>
      </c>
      <c r="B2265" s="71" t="s">
        <v>648</v>
      </c>
      <c r="C2265" s="71" t="s">
        <v>187</v>
      </c>
      <c r="D2265" s="71" t="s">
        <v>421</v>
      </c>
      <c r="E2265" s="71" t="s">
        <v>422</v>
      </c>
      <c r="F2265" s="71" t="s">
        <v>298</v>
      </c>
      <c r="G2265" s="88">
        <v>46268.930196759298</v>
      </c>
      <c r="H2265" s="89">
        <v>46268</v>
      </c>
      <c r="I2265" s="71" t="s">
        <v>664</v>
      </c>
      <c r="J2265" s="71">
        <v>859</v>
      </c>
      <c r="K2265" s="71" t="s">
        <v>293</v>
      </c>
      <c r="L2265" s="71">
        <f t="shared" si="315"/>
        <v>9</v>
      </c>
      <c r="M2265" s="71" t="str">
        <f>IFERROR(INDEX(KALENDER!$D$3:$D$132,MATCH(H2265,KALENDER!$A$3:$A$132,0)),"Di luar periode")</f>
        <v>Hari Kerja</v>
      </c>
      <c r="N2265" s="71">
        <f t="shared" si="316"/>
        <v>0</v>
      </c>
      <c r="O2265" s="71">
        <f t="shared" si="317"/>
        <v>1</v>
      </c>
      <c r="P2265" s="71">
        <f t="shared" si="318"/>
        <v>0</v>
      </c>
      <c r="Q2265" s="71">
        <f t="shared" si="319"/>
        <v>0</v>
      </c>
      <c r="R2265" s="71">
        <f t="shared" si="320"/>
        <v>0</v>
      </c>
      <c r="S2265" s="71">
        <f t="shared" si="321"/>
        <v>0</v>
      </c>
      <c r="T2265" s="71">
        <f t="shared" si="322"/>
        <v>0</v>
      </c>
      <c r="U2265" s="71">
        <f>IF(AND(N2265=1,V2265=1),IF(COUNTIFS(AKTIVITAS!$B$2:$B$3052,B2265,AKTIVITAS!$E$2:$E$3052,H2265)&gt;0,1,0),0)</f>
        <v>0</v>
      </c>
      <c r="V2265" s="71">
        <f>IFERROR(IF(AND(H2265&gt;=INDEX(PEMAGANG!$J$3:$J$36,MATCH(B2265,PEMAGANG!$C$3:$C$36,0)),H2265&lt;=INDEX(PEMAGANG!$K$3:$K$36,MATCH(B2265,PEMAGANG!$C$3:$C$36,0))),1,0),0)</f>
        <v>0</v>
      </c>
      <c r="W2265" s="71">
        <f t="shared" si="323"/>
        <v>0</v>
      </c>
    </row>
    <row r="2266" spans="1:23" x14ac:dyDescent="0.2">
      <c r="A2266" s="71" t="s">
        <v>647</v>
      </c>
      <c r="B2266" s="71" t="s">
        <v>648</v>
      </c>
      <c r="C2266" s="71" t="s">
        <v>187</v>
      </c>
      <c r="D2266" s="71" t="s">
        <v>421</v>
      </c>
      <c r="E2266" s="71" t="s">
        <v>422</v>
      </c>
      <c r="F2266" s="71" t="s">
        <v>300</v>
      </c>
      <c r="G2266" s="88">
        <v>46269.318969907399</v>
      </c>
      <c r="H2266" s="89">
        <v>46269</v>
      </c>
      <c r="I2266" s="71" t="s">
        <v>515</v>
      </c>
      <c r="J2266" s="71">
        <v>0</v>
      </c>
      <c r="K2266" s="71" t="s">
        <v>302</v>
      </c>
      <c r="L2266" s="71">
        <f t="shared" si="315"/>
        <v>9</v>
      </c>
      <c r="M2266" s="71" t="str">
        <f>IFERROR(INDEX(KALENDER!$D$3:$D$132,MATCH(H2266,KALENDER!$A$3:$A$132,0)),"Di luar periode")</f>
        <v>Hari Kerja</v>
      </c>
      <c r="N2266" s="71">
        <f t="shared" si="316"/>
        <v>1</v>
      </c>
      <c r="O2266" s="71">
        <f t="shared" si="317"/>
        <v>0</v>
      </c>
      <c r="P2266" s="71">
        <f t="shared" si="318"/>
        <v>0</v>
      </c>
      <c r="Q2266" s="71">
        <f t="shared" si="319"/>
        <v>1</v>
      </c>
      <c r="R2266" s="71">
        <f t="shared" si="320"/>
        <v>0</v>
      </c>
      <c r="S2266" s="71">
        <f t="shared" si="321"/>
        <v>0</v>
      </c>
      <c r="T2266" s="71">
        <f t="shared" si="322"/>
        <v>0</v>
      </c>
      <c r="U2266" s="71">
        <f>IF(AND(N2266=1,V2266=1),IF(COUNTIFS(AKTIVITAS!$B$2:$B$3052,B2266,AKTIVITAS!$E$2:$E$3052,H2266)&gt;0,1,0),0)</f>
        <v>0</v>
      </c>
      <c r="V2266" s="71">
        <f>IFERROR(IF(AND(H2266&gt;=INDEX(PEMAGANG!$J$3:$J$36,MATCH(B2266,PEMAGANG!$C$3:$C$36,0)),H2266&lt;=INDEX(PEMAGANG!$K$3:$K$36,MATCH(B2266,PEMAGANG!$C$3:$C$36,0))),1,0),0)</f>
        <v>0</v>
      </c>
      <c r="W2266" s="71">
        <f t="shared" si="323"/>
        <v>0</v>
      </c>
    </row>
    <row r="2267" spans="1:23" x14ac:dyDescent="0.2">
      <c r="A2267" s="71" t="s">
        <v>647</v>
      </c>
      <c r="B2267" s="71" t="s">
        <v>648</v>
      </c>
      <c r="C2267" s="71" t="s">
        <v>187</v>
      </c>
      <c r="D2267" s="71" t="s">
        <v>421</v>
      </c>
      <c r="E2267" s="71" t="s">
        <v>422</v>
      </c>
      <c r="F2267" s="71" t="s">
        <v>298</v>
      </c>
      <c r="G2267" s="88">
        <v>46269.925578703696</v>
      </c>
      <c r="H2267" s="89">
        <v>46269</v>
      </c>
      <c r="I2267" s="71" t="s">
        <v>659</v>
      </c>
      <c r="J2267" s="71">
        <v>852</v>
      </c>
      <c r="K2267" s="71" t="s">
        <v>293</v>
      </c>
      <c r="L2267" s="71">
        <f t="shared" si="315"/>
        <v>9</v>
      </c>
      <c r="M2267" s="71" t="str">
        <f>IFERROR(INDEX(KALENDER!$D$3:$D$132,MATCH(H2267,KALENDER!$A$3:$A$132,0)),"Di luar periode")</f>
        <v>Hari Kerja</v>
      </c>
      <c r="N2267" s="71">
        <f t="shared" si="316"/>
        <v>0</v>
      </c>
      <c r="O2267" s="71">
        <f t="shared" si="317"/>
        <v>1</v>
      </c>
      <c r="P2267" s="71">
        <f t="shared" si="318"/>
        <v>0</v>
      </c>
      <c r="Q2267" s="71">
        <f t="shared" si="319"/>
        <v>0</v>
      </c>
      <c r="R2267" s="71">
        <f t="shared" si="320"/>
        <v>0</v>
      </c>
      <c r="S2267" s="71">
        <f t="shared" si="321"/>
        <v>0</v>
      </c>
      <c r="T2267" s="71">
        <f t="shared" si="322"/>
        <v>0</v>
      </c>
      <c r="U2267" s="71">
        <f>IF(AND(N2267=1,V2267=1),IF(COUNTIFS(AKTIVITAS!$B$2:$B$3052,B2267,AKTIVITAS!$E$2:$E$3052,H2267)&gt;0,1,0),0)</f>
        <v>0</v>
      </c>
      <c r="V2267" s="71">
        <f>IFERROR(IF(AND(H2267&gt;=INDEX(PEMAGANG!$J$3:$J$36,MATCH(B2267,PEMAGANG!$C$3:$C$36,0)),H2267&lt;=INDEX(PEMAGANG!$K$3:$K$36,MATCH(B2267,PEMAGANG!$C$3:$C$36,0))),1,0),0)</f>
        <v>0</v>
      </c>
      <c r="W2267" s="71">
        <f t="shared" si="323"/>
        <v>0</v>
      </c>
    </row>
    <row r="2268" spans="1:23" x14ac:dyDescent="0.2">
      <c r="A2268" s="71" t="s">
        <v>647</v>
      </c>
      <c r="B2268" s="71" t="s">
        <v>648</v>
      </c>
      <c r="C2268" s="71" t="s">
        <v>187</v>
      </c>
      <c r="D2268" s="71" t="s">
        <v>421</v>
      </c>
      <c r="E2268" s="71" t="s">
        <v>422</v>
      </c>
      <c r="F2268" s="71" t="s">
        <v>300</v>
      </c>
      <c r="G2268" s="88">
        <v>46270.293530092596</v>
      </c>
      <c r="H2268" s="89">
        <v>46270</v>
      </c>
      <c r="I2268" s="71" t="s">
        <v>492</v>
      </c>
      <c r="J2268" s="71">
        <v>0</v>
      </c>
      <c r="K2268" s="71" t="s">
        <v>302</v>
      </c>
      <c r="L2268" s="71">
        <f t="shared" si="315"/>
        <v>9</v>
      </c>
      <c r="M2268" s="71" t="str">
        <f>IFERROR(INDEX(KALENDER!$D$3:$D$132,MATCH(H2268,KALENDER!$A$3:$A$132,0)),"Di luar periode")</f>
        <v>Libur (Sabtu/Minggu)</v>
      </c>
      <c r="N2268" s="71">
        <f t="shared" si="316"/>
        <v>1</v>
      </c>
      <c r="O2268" s="71">
        <f t="shared" si="317"/>
        <v>0</v>
      </c>
      <c r="P2268" s="71">
        <f t="shared" si="318"/>
        <v>0</v>
      </c>
      <c r="Q2268" s="71">
        <f t="shared" si="319"/>
        <v>1</v>
      </c>
      <c r="R2268" s="71">
        <f t="shared" si="320"/>
        <v>0</v>
      </c>
      <c r="S2268" s="71">
        <f t="shared" si="321"/>
        <v>0</v>
      </c>
      <c r="T2268" s="71">
        <f t="shared" si="322"/>
        <v>0</v>
      </c>
      <c r="U2268" s="71">
        <f>IF(AND(N2268=1,V2268=1),IF(COUNTIFS(AKTIVITAS!$B$2:$B$3052,B2268,AKTIVITAS!$E$2:$E$3052,H2268)&gt;0,1,0),0)</f>
        <v>0</v>
      </c>
      <c r="V2268" s="71">
        <f>IFERROR(IF(AND(H2268&gt;=INDEX(PEMAGANG!$J$3:$J$36,MATCH(B2268,PEMAGANG!$C$3:$C$36,0)),H2268&lt;=INDEX(PEMAGANG!$K$3:$K$36,MATCH(B2268,PEMAGANG!$C$3:$C$36,0))),1,0),0)</f>
        <v>0</v>
      </c>
      <c r="W2268" s="71">
        <f t="shared" si="323"/>
        <v>0</v>
      </c>
    </row>
    <row r="2269" spans="1:23" x14ac:dyDescent="0.2">
      <c r="A2269" s="71" t="s">
        <v>647</v>
      </c>
      <c r="B2269" s="71" t="s">
        <v>648</v>
      </c>
      <c r="C2269" s="71" t="s">
        <v>187</v>
      </c>
      <c r="D2269" s="71" t="s">
        <v>421</v>
      </c>
      <c r="E2269" s="71" t="s">
        <v>422</v>
      </c>
      <c r="F2269" s="71" t="s">
        <v>298</v>
      </c>
      <c r="G2269" s="88">
        <v>46270.755983796298</v>
      </c>
      <c r="H2269" s="89">
        <v>46270</v>
      </c>
      <c r="I2269" s="71" t="s">
        <v>469</v>
      </c>
      <c r="J2269" s="71">
        <v>608</v>
      </c>
      <c r="K2269" s="71" t="s">
        <v>293</v>
      </c>
      <c r="L2269" s="71">
        <f t="shared" si="315"/>
        <v>9</v>
      </c>
      <c r="M2269" s="71" t="str">
        <f>IFERROR(INDEX(KALENDER!$D$3:$D$132,MATCH(H2269,KALENDER!$A$3:$A$132,0)),"Di luar periode")</f>
        <v>Libur (Sabtu/Minggu)</v>
      </c>
      <c r="N2269" s="71">
        <f t="shared" si="316"/>
        <v>0</v>
      </c>
      <c r="O2269" s="71">
        <f t="shared" si="317"/>
        <v>1</v>
      </c>
      <c r="P2269" s="71">
        <f t="shared" si="318"/>
        <v>0</v>
      </c>
      <c r="Q2269" s="71">
        <f t="shared" si="319"/>
        <v>0</v>
      </c>
      <c r="R2269" s="71">
        <f t="shared" si="320"/>
        <v>0</v>
      </c>
      <c r="S2269" s="71">
        <f t="shared" si="321"/>
        <v>0</v>
      </c>
      <c r="T2269" s="71">
        <f t="shared" si="322"/>
        <v>0</v>
      </c>
      <c r="U2269" s="71">
        <f>IF(AND(N2269=1,V2269=1),IF(COUNTIFS(AKTIVITAS!$B$2:$B$3052,B2269,AKTIVITAS!$E$2:$E$3052,H2269)&gt;0,1,0),0)</f>
        <v>0</v>
      </c>
      <c r="V2269" s="71">
        <f>IFERROR(IF(AND(H2269&gt;=INDEX(PEMAGANG!$J$3:$J$36,MATCH(B2269,PEMAGANG!$C$3:$C$36,0)),H2269&lt;=INDEX(PEMAGANG!$K$3:$K$36,MATCH(B2269,PEMAGANG!$C$3:$C$36,0))),1,0),0)</f>
        <v>0</v>
      </c>
      <c r="W2269" s="71">
        <f t="shared" si="323"/>
        <v>0</v>
      </c>
    </row>
    <row r="2270" spans="1:23" x14ac:dyDescent="0.2">
      <c r="A2270" s="71" t="s">
        <v>647</v>
      </c>
      <c r="B2270" s="71" t="s">
        <v>648</v>
      </c>
      <c r="C2270" s="71" t="s">
        <v>187</v>
      </c>
      <c r="D2270" s="71" t="s">
        <v>421</v>
      </c>
      <c r="E2270" s="71" t="s">
        <v>422</v>
      </c>
      <c r="F2270" s="71" t="s">
        <v>300</v>
      </c>
      <c r="G2270" s="88">
        <v>46271.292858796303</v>
      </c>
      <c r="H2270" s="89">
        <v>46271</v>
      </c>
      <c r="I2270" s="71" t="s">
        <v>491</v>
      </c>
      <c r="J2270" s="71">
        <v>0</v>
      </c>
      <c r="K2270" s="71" t="s">
        <v>302</v>
      </c>
      <c r="L2270" s="71">
        <f t="shared" si="315"/>
        <v>9</v>
      </c>
      <c r="M2270" s="71" t="str">
        <f>IFERROR(INDEX(KALENDER!$D$3:$D$132,MATCH(H2270,KALENDER!$A$3:$A$132,0)),"Di luar periode")</f>
        <v>Libur (Sabtu/Minggu)</v>
      </c>
      <c r="N2270" s="71">
        <f t="shared" si="316"/>
        <v>1</v>
      </c>
      <c r="O2270" s="71">
        <f t="shared" si="317"/>
        <v>0</v>
      </c>
      <c r="P2270" s="71">
        <f t="shared" si="318"/>
        <v>0</v>
      </c>
      <c r="Q2270" s="71">
        <f t="shared" si="319"/>
        <v>1</v>
      </c>
      <c r="R2270" s="71">
        <f t="shared" si="320"/>
        <v>0</v>
      </c>
      <c r="S2270" s="71">
        <f t="shared" si="321"/>
        <v>0</v>
      </c>
      <c r="T2270" s="71">
        <f t="shared" si="322"/>
        <v>0</v>
      </c>
      <c r="U2270" s="71">
        <f>IF(AND(N2270=1,V2270=1),IF(COUNTIFS(AKTIVITAS!$B$2:$B$3052,B2270,AKTIVITAS!$E$2:$E$3052,H2270)&gt;0,1,0),0)</f>
        <v>0</v>
      </c>
      <c r="V2270" s="71">
        <f>IFERROR(IF(AND(H2270&gt;=INDEX(PEMAGANG!$J$3:$J$36,MATCH(B2270,PEMAGANG!$C$3:$C$36,0)),H2270&lt;=INDEX(PEMAGANG!$K$3:$K$36,MATCH(B2270,PEMAGANG!$C$3:$C$36,0))),1,0),0)</f>
        <v>0</v>
      </c>
      <c r="W2270" s="71">
        <f t="shared" si="323"/>
        <v>0</v>
      </c>
    </row>
    <row r="2271" spans="1:23" x14ac:dyDescent="0.2">
      <c r="A2271" s="71" t="s">
        <v>647</v>
      </c>
      <c r="B2271" s="71" t="s">
        <v>648</v>
      </c>
      <c r="C2271" s="71" t="s">
        <v>187</v>
      </c>
      <c r="D2271" s="71" t="s">
        <v>421</v>
      </c>
      <c r="E2271" s="71" t="s">
        <v>422</v>
      </c>
      <c r="F2271" s="71" t="s">
        <v>298</v>
      </c>
      <c r="G2271" s="88">
        <v>46271.778784722199</v>
      </c>
      <c r="H2271" s="89">
        <v>46271</v>
      </c>
      <c r="I2271" s="71" t="s">
        <v>633</v>
      </c>
      <c r="J2271" s="71">
        <v>641</v>
      </c>
      <c r="K2271" s="71" t="s">
        <v>293</v>
      </c>
      <c r="L2271" s="71">
        <f t="shared" si="315"/>
        <v>9</v>
      </c>
      <c r="M2271" s="71" t="str">
        <f>IFERROR(INDEX(KALENDER!$D$3:$D$132,MATCH(H2271,KALENDER!$A$3:$A$132,0)),"Di luar periode")</f>
        <v>Libur (Sabtu/Minggu)</v>
      </c>
      <c r="N2271" s="71">
        <f t="shared" si="316"/>
        <v>0</v>
      </c>
      <c r="O2271" s="71">
        <f t="shared" si="317"/>
        <v>1</v>
      </c>
      <c r="P2271" s="71">
        <f t="shared" si="318"/>
        <v>0</v>
      </c>
      <c r="Q2271" s="71">
        <f t="shared" si="319"/>
        <v>0</v>
      </c>
      <c r="R2271" s="71">
        <f t="shared" si="320"/>
        <v>0</v>
      </c>
      <c r="S2271" s="71">
        <f t="shared" si="321"/>
        <v>0</v>
      </c>
      <c r="T2271" s="71">
        <f t="shared" si="322"/>
        <v>0</v>
      </c>
      <c r="U2271" s="71">
        <f>IF(AND(N2271=1,V2271=1),IF(COUNTIFS(AKTIVITAS!$B$2:$B$3052,B2271,AKTIVITAS!$E$2:$E$3052,H2271)&gt;0,1,0),0)</f>
        <v>0</v>
      </c>
      <c r="V2271" s="71">
        <f>IFERROR(IF(AND(H2271&gt;=INDEX(PEMAGANG!$J$3:$J$36,MATCH(B2271,PEMAGANG!$C$3:$C$36,0)),H2271&lt;=INDEX(PEMAGANG!$K$3:$K$36,MATCH(B2271,PEMAGANG!$C$3:$C$36,0))),1,0),0)</f>
        <v>0</v>
      </c>
      <c r="W2271" s="71">
        <f t="shared" si="323"/>
        <v>0</v>
      </c>
    </row>
    <row r="2272" spans="1:23" x14ac:dyDescent="0.2">
      <c r="A2272" s="71" t="s">
        <v>647</v>
      </c>
      <c r="B2272" s="71" t="s">
        <v>648</v>
      </c>
      <c r="C2272" s="71" t="s">
        <v>187</v>
      </c>
      <c r="D2272" s="71" t="s">
        <v>421</v>
      </c>
      <c r="E2272" s="71" t="s">
        <v>422</v>
      </c>
      <c r="F2272" s="71" t="s">
        <v>300</v>
      </c>
      <c r="G2272" s="88">
        <v>46272.293391203697</v>
      </c>
      <c r="H2272" s="89">
        <v>46272</v>
      </c>
      <c r="I2272" s="71" t="s">
        <v>492</v>
      </c>
      <c r="J2272" s="71">
        <v>0</v>
      </c>
      <c r="K2272" s="71" t="s">
        <v>302</v>
      </c>
      <c r="L2272" s="71">
        <f t="shared" si="315"/>
        <v>9</v>
      </c>
      <c r="M2272" s="71" t="str">
        <f>IFERROR(INDEX(KALENDER!$D$3:$D$132,MATCH(H2272,KALENDER!$A$3:$A$132,0)),"Di luar periode")</f>
        <v>Hari Kerja</v>
      </c>
      <c r="N2272" s="71">
        <f t="shared" si="316"/>
        <v>1</v>
      </c>
      <c r="O2272" s="71">
        <f t="shared" si="317"/>
        <v>0</v>
      </c>
      <c r="P2272" s="71">
        <f t="shared" si="318"/>
        <v>0</v>
      </c>
      <c r="Q2272" s="71">
        <f t="shared" si="319"/>
        <v>1</v>
      </c>
      <c r="R2272" s="71">
        <f t="shared" si="320"/>
        <v>0</v>
      </c>
      <c r="S2272" s="71">
        <f t="shared" si="321"/>
        <v>0</v>
      </c>
      <c r="T2272" s="71">
        <f t="shared" si="322"/>
        <v>0</v>
      </c>
      <c r="U2272" s="71">
        <f>IF(AND(N2272=1,V2272=1),IF(COUNTIFS(AKTIVITAS!$B$2:$B$3052,B2272,AKTIVITAS!$E$2:$E$3052,H2272)&gt;0,1,0),0)</f>
        <v>0</v>
      </c>
      <c r="V2272" s="71">
        <f>IFERROR(IF(AND(H2272&gt;=INDEX(PEMAGANG!$J$3:$J$36,MATCH(B2272,PEMAGANG!$C$3:$C$36,0)),H2272&lt;=INDEX(PEMAGANG!$K$3:$K$36,MATCH(B2272,PEMAGANG!$C$3:$C$36,0))),1,0),0)</f>
        <v>0</v>
      </c>
      <c r="W2272" s="71">
        <f t="shared" si="323"/>
        <v>0</v>
      </c>
    </row>
    <row r="2273" spans="1:23" x14ac:dyDescent="0.2">
      <c r="A2273" s="71" t="s">
        <v>647</v>
      </c>
      <c r="B2273" s="71" t="s">
        <v>648</v>
      </c>
      <c r="C2273" s="71" t="s">
        <v>187</v>
      </c>
      <c r="D2273" s="71" t="s">
        <v>421</v>
      </c>
      <c r="E2273" s="71" t="s">
        <v>422</v>
      </c>
      <c r="F2273" s="71" t="s">
        <v>298</v>
      </c>
      <c r="G2273" s="88">
        <v>46272.757384259297</v>
      </c>
      <c r="H2273" s="89">
        <v>46272</v>
      </c>
      <c r="I2273" s="71" t="s">
        <v>441</v>
      </c>
      <c r="J2273" s="71">
        <v>610</v>
      </c>
      <c r="K2273" s="71" t="s">
        <v>293</v>
      </c>
      <c r="L2273" s="71">
        <f t="shared" si="315"/>
        <v>9</v>
      </c>
      <c r="M2273" s="71" t="str">
        <f>IFERROR(INDEX(KALENDER!$D$3:$D$132,MATCH(H2273,KALENDER!$A$3:$A$132,0)),"Di luar periode")</f>
        <v>Hari Kerja</v>
      </c>
      <c r="N2273" s="71">
        <f t="shared" si="316"/>
        <v>0</v>
      </c>
      <c r="O2273" s="71">
        <f t="shared" si="317"/>
        <v>1</v>
      </c>
      <c r="P2273" s="71">
        <f t="shared" si="318"/>
        <v>0</v>
      </c>
      <c r="Q2273" s="71">
        <f t="shared" si="319"/>
        <v>0</v>
      </c>
      <c r="R2273" s="71">
        <f t="shared" si="320"/>
        <v>0</v>
      </c>
      <c r="S2273" s="71">
        <f t="shared" si="321"/>
        <v>0</v>
      </c>
      <c r="T2273" s="71">
        <f t="shared" si="322"/>
        <v>0</v>
      </c>
      <c r="U2273" s="71">
        <f>IF(AND(N2273=1,V2273=1),IF(COUNTIFS(AKTIVITAS!$B$2:$B$3052,B2273,AKTIVITAS!$E$2:$E$3052,H2273)&gt;0,1,0),0)</f>
        <v>0</v>
      </c>
      <c r="V2273" s="71">
        <f>IFERROR(IF(AND(H2273&gt;=INDEX(PEMAGANG!$J$3:$J$36,MATCH(B2273,PEMAGANG!$C$3:$C$36,0)),H2273&lt;=INDEX(PEMAGANG!$K$3:$K$36,MATCH(B2273,PEMAGANG!$C$3:$C$36,0))),1,0),0)</f>
        <v>0</v>
      </c>
      <c r="W2273" s="71">
        <f t="shared" si="323"/>
        <v>0</v>
      </c>
    </row>
    <row r="2274" spans="1:23" x14ac:dyDescent="0.2">
      <c r="A2274" s="71" t="s">
        <v>647</v>
      </c>
      <c r="B2274" s="71" t="s">
        <v>648</v>
      </c>
      <c r="C2274" s="71" t="s">
        <v>187</v>
      </c>
      <c r="D2274" s="71" t="s">
        <v>421</v>
      </c>
      <c r="E2274" s="71" t="s">
        <v>422</v>
      </c>
      <c r="F2274" s="71" t="s">
        <v>300</v>
      </c>
      <c r="G2274" s="88">
        <v>46273.331481481502</v>
      </c>
      <c r="H2274" s="89">
        <v>46273</v>
      </c>
      <c r="I2274" s="71" t="s">
        <v>665</v>
      </c>
      <c r="J2274" s="71">
        <v>0</v>
      </c>
      <c r="K2274" s="71" t="s">
        <v>302</v>
      </c>
      <c r="L2274" s="71">
        <f t="shared" si="315"/>
        <v>9</v>
      </c>
      <c r="M2274" s="71" t="str">
        <f>IFERROR(INDEX(KALENDER!$D$3:$D$132,MATCH(H2274,KALENDER!$A$3:$A$132,0)),"Di luar periode")</f>
        <v>Hari Kerja</v>
      </c>
      <c r="N2274" s="71">
        <f t="shared" si="316"/>
        <v>1</v>
      </c>
      <c r="O2274" s="71">
        <f t="shared" si="317"/>
        <v>0</v>
      </c>
      <c r="P2274" s="71">
        <f t="shared" si="318"/>
        <v>0</v>
      </c>
      <c r="Q2274" s="71">
        <f t="shared" si="319"/>
        <v>1</v>
      </c>
      <c r="R2274" s="71">
        <f t="shared" si="320"/>
        <v>0</v>
      </c>
      <c r="S2274" s="71">
        <f t="shared" si="321"/>
        <v>0</v>
      </c>
      <c r="T2274" s="71">
        <f t="shared" si="322"/>
        <v>0</v>
      </c>
      <c r="U2274" s="71">
        <f>IF(AND(N2274=1,V2274=1),IF(COUNTIFS(AKTIVITAS!$B$2:$B$3052,B2274,AKTIVITAS!$E$2:$E$3052,H2274)&gt;0,1,0),0)</f>
        <v>0</v>
      </c>
      <c r="V2274" s="71">
        <f>IFERROR(IF(AND(H2274&gt;=INDEX(PEMAGANG!$J$3:$J$36,MATCH(B2274,PEMAGANG!$C$3:$C$36,0)),H2274&lt;=INDEX(PEMAGANG!$K$3:$K$36,MATCH(B2274,PEMAGANG!$C$3:$C$36,0))),1,0),0)</f>
        <v>0</v>
      </c>
      <c r="W2274" s="71">
        <f t="shared" si="323"/>
        <v>0</v>
      </c>
    </row>
    <row r="2275" spans="1:23" x14ac:dyDescent="0.2">
      <c r="A2275" s="71" t="s">
        <v>647</v>
      </c>
      <c r="B2275" s="71" t="s">
        <v>648</v>
      </c>
      <c r="C2275" s="71" t="s">
        <v>187</v>
      </c>
      <c r="D2275" s="71" t="s">
        <v>421</v>
      </c>
      <c r="E2275" s="71" t="s">
        <v>422</v>
      </c>
      <c r="F2275" s="71" t="s">
        <v>298</v>
      </c>
      <c r="G2275" s="88">
        <v>46273.750960648198</v>
      </c>
      <c r="H2275" s="89">
        <v>46273</v>
      </c>
      <c r="I2275" s="71" t="s">
        <v>393</v>
      </c>
      <c r="J2275" s="71">
        <v>601</v>
      </c>
      <c r="K2275" s="71" t="s">
        <v>293</v>
      </c>
      <c r="L2275" s="71">
        <f t="shared" si="315"/>
        <v>9</v>
      </c>
      <c r="M2275" s="71" t="str">
        <f>IFERROR(INDEX(KALENDER!$D$3:$D$132,MATCH(H2275,KALENDER!$A$3:$A$132,0)),"Di luar periode")</f>
        <v>Hari Kerja</v>
      </c>
      <c r="N2275" s="71">
        <f t="shared" si="316"/>
        <v>0</v>
      </c>
      <c r="O2275" s="71">
        <f t="shared" si="317"/>
        <v>1</v>
      </c>
      <c r="P2275" s="71">
        <f t="shared" si="318"/>
        <v>0</v>
      </c>
      <c r="Q2275" s="71">
        <f t="shared" si="319"/>
        <v>0</v>
      </c>
      <c r="R2275" s="71">
        <f t="shared" si="320"/>
        <v>0</v>
      </c>
      <c r="S2275" s="71">
        <f t="shared" si="321"/>
        <v>0</v>
      </c>
      <c r="T2275" s="71">
        <f t="shared" si="322"/>
        <v>0</v>
      </c>
      <c r="U2275" s="71">
        <f>IF(AND(N2275=1,V2275=1),IF(COUNTIFS(AKTIVITAS!$B$2:$B$3052,B2275,AKTIVITAS!$E$2:$E$3052,H2275)&gt;0,1,0),0)</f>
        <v>0</v>
      </c>
      <c r="V2275" s="71">
        <f>IFERROR(IF(AND(H2275&gt;=INDEX(PEMAGANG!$J$3:$J$36,MATCH(B2275,PEMAGANG!$C$3:$C$36,0)),H2275&lt;=INDEX(PEMAGANG!$K$3:$K$36,MATCH(B2275,PEMAGANG!$C$3:$C$36,0))),1,0),0)</f>
        <v>0</v>
      </c>
      <c r="W2275" s="71">
        <f t="shared" si="323"/>
        <v>0</v>
      </c>
    </row>
    <row r="2276" spans="1:23" x14ac:dyDescent="0.2">
      <c r="A2276" s="71" t="s">
        <v>647</v>
      </c>
      <c r="B2276" s="71" t="s">
        <v>648</v>
      </c>
      <c r="C2276" s="71" t="s">
        <v>187</v>
      </c>
      <c r="D2276" s="71" t="s">
        <v>421</v>
      </c>
      <c r="E2276" s="71" t="s">
        <v>422</v>
      </c>
      <c r="F2276" s="71" t="s">
        <v>298</v>
      </c>
      <c r="G2276" s="88">
        <v>46274.293668981503</v>
      </c>
      <c r="H2276" s="89">
        <v>46274</v>
      </c>
      <c r="I2276" s="71" t="s">
        <v>492</v>
      </c>
      <c r="J2276" s="71">
        <v>-58</v>
      </c>
      <c r="K2276" s="71" t="s">
        <v>302</v>
      </c>
      <c r="L2276" s="71">
        <f t="shared" si="315"/>
        <v>9</v>
      </c>
      <c r="M2276" s="71" t="str">
        <f>IFERROR(INDEX(KALENDER!$D$3:$D$132,MATCH(H2276,KALENDER!$A$3:$A$132,0)),"Di luar periode")</f>
        <v>Hari Kerja</v>
      </c>
      <c r="N2276" s="71">
        <f t="shared" si="316"/>
        <v>1</v>
      </c>
      <c r="O2276" s="71">
        <f t="shared" si="317"/>
        <v>1</v>
      </c>
      <c r="P2276" s="71">
        <f t="shared" si="318"/>
        <v>0</v>
      </c>
      <c r="Q2276" s="71">
        <f t="shared" si="319"/>
        <v>1</v>
      </c>
      <c r="R2276" s="71">
        <f t="shared" si="320"/>
        <v>0</v>
      </c>
      <c r="S2276" s="71">
        <f t="shared" si="321"/>
        <v>0</v>
      </c>
      <c r="T2276" s="71">
        <f t="shared" si="322"/>
        <v>0</v>
      </c>
      <c r="U2276" s="71">
        <f>IF(AND(N2276=1,V2276=1),IF(COUNTIFS(AKTIVITAS!$B$2:$B$3052,B2276,AKTIVITAS!$E$2:$E$3052,H2276)&gt;0,1,0),0)</f>
        <v>0</v>
      </c>
      <c r="V2276" s="71">
        <f>IFERROR(IF(AND(H2276&gt;=INDEX(PEMAGANG!$J$3:$J$36,MATCH(B2276,PEMAGANG!$C$3:$C$36,0)),H2276&lt;=INDEX(PEMAGANG!$K$3:$K$36,MATCH(B2276,PEMAGANG!$C$3:$C$36,0))),1,0),0)</f>
        <v>0</v>
      </c>
      <c r="W2276" s="71">
        <f t="shared" si="323"/>
        <v>0</v>
      </c>
    </row>
    <row r="2277" spans="1:23" x14ac:dyDescent="0.2">
      <c r="A2277" s="71" t="s">
        <v>647</v>
      </c>
      <c r="B2277" s="71" t="s">
        <v>648</v>
      </c>
      <c r="C2277" s="71" t="s">
        <v>187</v>
      </c>
      <c r="D2277" s="71" t="s">
        <v>421</v>
      </c>
      <c r="E2277" s="71" t="s">
        <v>422</v>
      </c>
      <c r="F2277" s="71" t="s">
        <v>298</v>
      </c>
      <c r="G2277" s="88">
        <v>46274.784664351901</v>
      </c>
      <c r="H2277" s="89">
        <v>46274</v>
      </c>
      <c r="I2277" s="71" t="s">
        <v>666</v>
      </c>
      <c r="J2277" s="71">
        <v>679</v>
      </c>
      <c r="K2277" s="71" t="s">
        <v>293</v>
      </c>
      <c r="L2277" s="71">
        <f t="shared" si="315"/>
        <v>9</v>
      </c>
      <c r="M2277" s="71" t="str">
        <f>IFERROR(INDEX(KALENDER!$D$3:$D$132,MATCH(H2277,KALENDER!$A$3:$A$132,0)),"Di luar periode")</f>
        <v>Hari Kerja</v>
      </c>
      <c r="N2277" s="71">
        <f t="shared" si="316"/>
        <v>0</v>
      </c>
      <c r="O2277" s="71">
        <f t="shared" si="317"/>
        <v>2</v>
      </c>
      <c r="P2277" s="71">
        <f t="shared" si="318"/>
        <v>0</v>
      </c>
      <c r="Q2277" s="71">
        <f t="shared" si="319"/>
        <v>0</v>
      </c>
      <c r="R2277" s="71">
        <f t="shared" si="320"/>
        <v>0</v>
      </c>
      <c r="S2277" s="71">
        <f t="shared" si="321"/>
        <v>0</v>
      </c>
      <c r="T2277" s="71">
        <f t="shared" si="322"/>
        <v>0</v>
      </c>
      <c r="U2277" s="71">
        <f>IF(AND(N2277=1,V2277=1),IF(COUNTIFS(AKTIVITAS!$B$2:$B$3052,B2277,AKTIVITAS!$E$2:$E$3052,H2277)&gt;0,1,0),0)</f>
        <v>0</v>
      </c>
      <c r="V2277" s="71">
        <f>IFERROR(IF(AND(H2277&gt;=INDEX(PEMAGANG!$J$3:$J$36,MATCH(B2277,PEMAGANG!$C$3:$C$36,0)),H2277&lt;=INDEX(PEMAGANG!$K$3:$K$36,MATCH(B2277,PEMAGANG!$C$3:$C$36,0))),1,0),0)</f>
        <v>0</v>
      </c>
      <c r="W2277" s="71">
        <f t="shared" si="323"/>
        <v>0</v>
      </c>
    </row>
    <row r="2278" spans="1:23" x14ac:dyDescent="0.2">
      <c r="A2278" s="71" t="s">
        <v>647</v>
      </c>
      <c r="B2278" s="71" t="s">
        <v>648</v>
      </c>
      <c r="C2278" s="71" t="s">
        <v>187</v>
      </c>
      <c r="D2278" s="71" t="s">
        <v>421</v>
      </c>
      <c r="E2278" s="71" t="s">
        <v>422</v>
      </c>
      <c r="F2278" s="71" t="s">
        <v>300</v>
      </c>
      <c r="G2278" s="88">
        <v>46275.293773148202</v>
      </c>
      <c r="H2278" s="89">
        <v>46275</v>
      </c>
      <c r="I2278" s="71" t="s">
        <v>483</v>
      </c>
      <c r="J2278" s="71">
        <v>0</v>
      </c>
      <c r="K2278" s="71" t="s">
        <v>302</v>
      </c>
      <c r="L2278" s="71">
        <f t="shared" si="315"/>
        <v>9</v>
      </c>
      <c r="M2278" s="71" t="str">
        <f>IFERROR(INDEX(KALENDER!$D$3:$D$132,MATCH(H2278,KALENDER!$A$3:$A$132,0)),"Di luar periode")</f>
        <v>Hari Kerja</v>
      </c>
      <c r="N2278" s="71">
        <f t="shared" si="316"/>
        <v>1</v>
      </c>
      <c r="O2278" s="71">
        <f t="shared" si="317"/>
        <v>0</v>
      </c>
      <c r="P2278" s="71">
        <f t="shared" si="318"/>
        <v>0</v>
      </c>
      <c r="Q2278" s="71">
        <f t="shared" si="319"/>
        <v>1</v>
      </c>
      <c r="R2278" s="71">
        <f t="shared" si="320"/>
        <v>0</v>
      </c>
      <c r="S2278" s="71">
        <f t="shared" si="321"/>
        <v>0</v>
      </c>
      <c r="T2278" s="71">
        <f t="shared" si="322"/>
        <v>0</v>
      </c>
      <c r="U2278" s="71">
        <f>IF(AND(N2278=1,V2278=1),IF(COUNTIFS(AKTIVITAS!$B$2:$B$3052,B2278,AKTIVITAS!$E$2:$E$3052,H2278)&gt;0,1,0),0)</f>
        <v>0</v>
      </c>
      <c r="V2278" s="71">
        <f>IFERROR(IF(AND(H2278&gt;=INDEX(PEMAGANG!$J$3:$J$36,MATCH(B2278,PEMAGANG!$C$3:$C$36,0)),H2278&lt;=INDEX(PEMAGANG!$K$3:$K$36,MATCH(B2278,PEMAGANG!$C$3:$C$36,0))),1,0),0)</f>
        <v>0</v>
      </c>
      <c r="W2278" s="71">
        <f t="shared" si="323"/>
        <v>0</v>
      </c>
    </row>
    <row r="2279" spans="1:23" x14ac:dyDescent="0.2">
      <c r="A2279" s="71" t="s">
        <v>647</v>
      </c>
      <c r="B2279" s="71" t="s">
        <v>648</v>
      </c>
      <c r="C2279" s="71" t="s">
        <v>187</v>
      </c>
      <c r="D2279" s="71" t="s">
        <v>421</v>
      </c>
      <c r="E2279" s="71" t="s">
        <v>422</v>
      </c>
      <c r="F2279" s="71" t="s">
        <v>298</v>
      </c>
      <c r="G2279" s="88">
        <v>46275.753333333298</v>
      </c>
      <c r="H2279" s="89">
        <v>46275</v>
      </c>
      <c r="I2279" s="71" t="s">
        <v>468</v>
      </c>
      <c r="J2279" s="71">
        <v>634</v>
      </c>
      <c r="K2279" s="71" t="s">
        <v>293</v>
      </c>
      <c r="L2279" s="71">
        <f t="shared" si="315"/>
        <v>9</v>
      </c>
      <c r="M2279" s="71" t="str">
        <f>IFERROR(INDEX(KALENDER!$D$3:$D$132,MATCH(H2279,KALENDER!$A$3:$A$132,0)),"Di luar periode")</f>
        <v>Hari Kerja</v>
      </c>
      <c r="N2279" s="71">
        <f t="shared" si="316"/>
        <v>0</v>
      </c>
      <c r="O2279" s="71">
        <f t="shared" si="317"/>
        <v>1</v>
      </c>
      <c r="P2279" s="71">
        <f t="shared" si="318"/>
        <v>0</v>
      </c>
      <c r="Q2279" s="71">
        <f t="shared" si="319"/>
        <v>0</v>
      </c>
      <c r="R2279" s="71">
        <f t="shared" si="320"/>
        <v>0</v>
      </c>
      <c r="S2279" s="71">
        <f t="shared" si="321"/>
        <v>0</v>
      </c>
      <c r="T2279" s="71">
        <f t="shared" si="322"/>
        <v>0</v>
      </c>
      <c r="U2279" s="71">
        <f>IF(AND(N2279=1,V2279=1),IF(COUNTIFS(AKTIVITAS!$B$2:$B$3052,B2279,AKTIVITAS!$E$2:$E$3052,H2279)&gt;0,1,0),0)</f>
        <v>0</v>
      </c>
      <c r="V2279" s="71">
        <f>IFERROR(IF(AND(H2279&gt;=INDEX(PEMAGANG!$J$3:$J$36,MATCH(B2279,PEMAGANG!$C$3:$C$36,0)),H2279&lt;=INDEX(PEMAGANG!$K$3:$K$36,MATCH(B2279,PEMAGANG!$C$3:$C$36,0))),1,0),0)</f>
        <v>0</v>
      </c>
      <c r="W2279" s="71">
        <f t="shared" si="323"/>
        <v>0</v>
      </c>
    </row>
    <row r="2280" spans="1:23" x14ac:dyDescent="0.2">
      <c r="A2280" s="71" t="s">
        <v>647</v>
      </c>
      <c r="B2280" s="71" t="s">
        <v>648</v>
      </c>
      <c r="C2280" s="71" t="s">
        <v>187</v>
      </c>
      <c r="D2280" s="71" t="s">
        <v>421</v>
      </c>
      <c r="E2280" s="71" t="s">
        <v>422</v>
      </c>
      <c r="F2280" s="71" t="s">
        <v>300</v>
      </c>
      <c r="G2280" s="88">
        <v>46276.293622685203</v>
      </c>
      <c r="H2280" s="89">
        <v>46276</v>
      </c>
      <c r="I2280" s="71" t="s">
        <v>492</v>
      </c>
      <c r="J2280" s="71">
        <v>0</v>
      </c>
      <c r="K2280" s="71" t="s">
        <v>302</v>
      </c>
      <c r="L2280" s="71">
        <f t="shared" si="315"/>
        <v>9</v>
      </c>
      <c r="M2280" s="71" t="str">
        <f>IFERROR(INDEX(KALENDER!$D$3:$D$132,MATCH(H2280,KALENDER!$A$3:$A$132,0)),"Di luar periode")</f>
        <v>Hari Kerja</v>
      </c>
      <c r="N2280" s="71">
        <f t="shared" si="316"/>
        <v>1</v>
      </c>
      <c r="O2280" s="71">
        <f t="shared" si="317"/>
        <v>0</v>
      </c>
      <c r="P2280" s="71">
        <f t="shared" si="318"/>
        <v>0</v>
      </c>
      <c r="Q2280" s="71">
        <f t="shared" si="319"/>
        <v>1</v>
      </c>
      <c r="R2280" s="71">
        <f t="shared" si="320"/>
        <v>0</v>
      </c>
      <c r="S2280" s="71">
        <f t="shared" si="321"/>
        <v>0</v>
      </c>
      <c r="T2280" s="71">
        <f t="shared" si="322"/>
        <v>0</v>
      </c>
      <c r="U2280" s="71">
        <f>IF(AND(N2280=1,V2280=1),IF(COUNTIFS(AKTIVITAS!$B$2:$B$3052,B2280,AKTIVITAS!$E$2:$E$3052,H2280)&gt;0,1,0),0)</f>
        <v>0</v>
      </c>
      <c r="V2280" s="71">
        <f>IFERROR(IF(AND(H2280&gt;=INDEX(PEMAGANG!$J$3:$J$36,MATCH(B2280,PEMAGANG!$C$3:$C$36,0)),H2280&lt;=INDEX(PEMAGANG!$K$3:$K$36,MATCH(B2280,PEMAGANG!$C$3:$C$36,0))),1,0),0)</f>
        <v>0</v>
      </c>
      <c r="W2280" s="71">
        <f t="shared" si="323"/>
        <v>0</v>
      </c>
    </row>
    <row r="2281" spans="1:23" x14ac:dyDescent="0.2">
      <c r="A2281" s="71" t="s">
        <v>647</v>
      </c>
      <c r="B2281" s="71" t="s">
        <v>648</v>
      </c>
      <c r="C2281" s="71" t="s">
        <v>187</v>
      </c>
      <c r="D2281" s="71" t="s">
        <v>421</v>
      </c>
      <c r="E2281" s="71" t="s">
        <v>422</v>
      </c>
      <c r="F2281" s="71" t="s">
        <v>298</v>
      </c>
      <c r="G2281" s="88">
        <v>46276.753020833297</v>
      </c>
      <c r="H2281" s="89">
        <v>46276</v>
      </c>
      <c r="I2281" s="71" t="s">
        <v>468</v>
      </c>
      <c r="J2281" s="71">
        <v>634</v>
      </c>
      <c r="K2281" s="71" t="s">
        <v>293</v>
      </c>
      <c r="L2281" s="71">
        <f t="shared" si="315"/>
        <v>9</v>
      </c>
      <c r="M2281" s="71" t="str">
        <f>IFERROR(INDEX(KALENDER!$D$3:$D$132,MATCH(H2281,KALENDER!$A$3:$A$132,0)),"Di luar periode")</f>
        <v>Hari Kerja</v>
      </c>
      <c r="N2281" s="71">
        <f t="shared" si="316"/>
        <v>0</v>
      </c>
      <c r="O2281" s="71">
        <f t="shared" si="317"/>
        <v>1</v>
      </c>
      <c r="P2281" s="71">
        <f t="shared" si="318"/>
        <v>0</v>
      </c>
      <c r="Q2281" s="71">
        <f t="shared" si="319"/>
        <v>0</v>
      </c>
      <c r="R2281" s="71">
        <f t="shared" si="320"/>
        <v>0</v>
      </c>
      <c r="S2281" s="71">
        <f t="shared" si="321"/>
        <v>0</v>
      </c>
      <c r="T2281" s="71">
        <f t="shared" si="322"/>
        <v>0</v>
      </c>
      <c r="U2281" s="71">
        <f>IF(AND(N2281=1,V2281=1),IF(COUNTIFS(AKTIVITAS!$B$2:$B$3052,B2281,AKTIVITAS!$E$2:$E$3052,H2281)&gt;0,1,0),0)</f>
        <v>0</v>
      </c>
      <c r="V2281" s="71">
        <f>IFERROR(IF(AND(H2281&gt;=INDEX(PEMAGANG!$J$3:$J$36,MATCH(B2281,PEMAGANG!$C$3:$C$36,0)),H2281&lt;=INDEX(PEMAGANG!$K$3:$K$36,MATCH(B2281,PEMAGANG!$C$3:$C$36,0))),1,0),0)</f>
        <v>0</v>
      </c>
      <c r="W2281" s="71">
        <f t="shared" si="323"/>
        <v>0</v>
      </c>
    </row>
    <row r="2282" spans="1:23" x14ac:dyDescent="0.2">
      <c r="A2282" s="71" t="s">
        <v>647</v>
      </c>
      <c r="B2282" s="71" t="s">
        <v>648</v>
      </c>
      <c r="C2282" s="71" t="s">
        <v>187</v>
      </c>
      <c r="D2282" s="71" t="s">
        <v>421</v>
      </c>
      <c r="E2282" s="71" t="s">
        <v>422</v>
      </c>
      <c r="F2282" s="71" t="s">
        <v>298</v>
      </c>
      <c r="G2282" s="88">
        <v>46276.753321759301</v>
      </c>
      <c r="H2282" s="89">
        <v>46276</v>
      </c>
      <c r="I2282" s="71" t="s">
        <v>468</v>
      </c>
      <c r="J2282" s="71">
        <v>634</v>
      </c>
      <c r="K2282" s="71" t="s">
        <v>293</v>
      </c>
      <c r="L2282" s="71">
        <f t="shared" si="315"/>
        <v>9</v>
      </c>
      <c r="M2282" s="71" t="str">
        <f>IFERROR(INDEX(KALENDER!$D$3:$D$132,MATCH(H2282,KALENDER!$A$3:$A$132,0)),"Di luar periode")</f>
        <v>Hari Kerja</v>
      </c>
      <c r="N2282" s="71">
        <f t="shared" si="316"/>
        <v>0</v>
      </c>
      <c r="O2282" s="71">
        <f t="shared" si="317"/>
        <v>2</v>
      </c>
      <c r="P2282" s="71">
        <f t="shared" si="318"/>
        <v>0</v>
      </c>
      <c r="Q2282" s="71">
        <f t="shared" si="319"/>
        <v>0</v>
      </c>
      <c r="R2282" s="71">
        <f t="shared" si="320"/>
        <v>0</v>
      </c>
      <c r="S2282" s="71">
        <f t="shared" si="321"/>
        <v>0</v>
      </c>
      <c r="T2282" s="71">
        <f t="shared" si="322"/>
        <v>0</v>
      </c>
      <c r="U2282" s="71">
        <f>IF(AND(N2282=1,V2282=1),IF(COUNTIFS(AKTIVITAS!$B$2:$B$3052,B2282,AKTIVITAS!$E$2:$E$3052,H2282)&gt;0,1,0),0)</f>
        <v>0</v>
      </c>
      <c r="V2282" s="71">
        <f>IFERROR(IF(AND(H2282&gt;=INDEX(PEMAGANG!$J$3:$J$36,MATCH(B2282,PEMAGANG!$C$3:$C$36,0)),H2282&lt;=INDEX(PEMAGANG!$K$3:$K$36,MATCH(B2282,PEMAGANG!$C$3:$C$36,0))),1,0),0)</f>
        <v>0</v>
      </c>
      <c r="W2282" s="71">
        <f t="shared" si="323"/>
        <v>0</v>
      </c>
    </row>
    <row r="2283" spans="1:23" x14ac:dyDescent="0.2">
      <c r="A2283" s="71" t="s">
        <v>647</v>
      </c>
      <c r="B2283" s="71" t="s">
        <v>648</v>
      </c>
      <c r="C2283" s="71" t="s">
        <v>187</v>
      </c>
      <c r="D2283" s="71" t="s">
        <v>421</v>
      </c>
      <c r="E2283" s="71" t="s">
        <v>422</v>
      </c>
      <c r="F2283" s="71" t="s">
        <v>300</v>
      </c>
      <c r="G2283" s="88">
        <v>46277.294108796297</v>
      </c>
      <c r="H2283" s="89">
        <v>46277</v>
      </c>
      <c r="I2283" s="71" t="s">
        <v>483</v>
      </c>
      <c r="J2283" s="71">
        <v>0</v>
      </c>
      <c r="K2283" s="71" t="s">
        <v>302</v>
      </c>
      <c r="L2283" s="71">
        <f t="shared" si="315"/>
        <v>9</v>
      </c>
      <c r="M2283" s="71" t="str">
        <f>IFERROR(INDEX(KALENDER!$D$3:$D$132,MATCH(H2283,KALENDER!$A$3:$A$132,0)),"Di luar periode")</f>
        <v>Libur (Sabtu/Minggu)</v>
      </c>
      <c r="N2283" s="71">
        <f t="shared" si="316"/>
        <v>1</v>
      </c>
      <c r="O2283" s="71">
        <f t="shared" si="317"/>
        <v>0</v>
      </c>
      <c r="P2283" s="71">
        <f t="shared" si="318"/>
        <v>0</v>
      </c>
      <c r="Q2283" s="71">
        <f t="shared" si="319"/>
        <v>1</v>
      </c>
      <c r="R2283" s="71">
        <f t="shared" si="320"/>
        <v>0</v>
      </c>
      <c r="S2283" s="71">
        <f t="shared" si="321"/>
        <v>0</v>
      </c>
      <c r="T2283" s="71">
        <f t="shared" si="322"/>
        <v>0</v>
      </c>
      <c r="U2283" s="71">
        <f>IF(AND(N2283=1,V2283=1),IF(COUNTIFS(AKTIVITAS!$B$2:$B$3052,B2283,AKTIVITAS!$E$2:$E$3052,H2283)&gt;0,1,0),0)</f>
        <v>0</v>
      </c>
      <c r="V2283" s="71">
        <f>IFERROR(IF(AND(H2283&gt;=INDEX(PEMAGANG!$J$3:$J$36,MATCH(B2283,PEMAGANG!$C$3:$C$36,0)),H2283&lt;=INDEX(PEMAGANG!$K$3:$K$36,MATCH(B2283,PEMAGANG!$C$3:$C$36,0))),1,0),0)</f>
        <v>0</v>
      </c>
      <c r="W2283" s="71">
        <f t="shared" si="323"/>
        <v>0</v>
      </c>
    </row>
    <row r="2284" spans="1:23" x14ac:dyDescent="0.2">
      <c r="A2284" s="71" t="s">
        <v>647</v>
      </c>
      <c r="B2284" s="71" t="s">
        <v>648</v>
      </c>
      <c r="C2284" s="71" t="s">
        <v>187</v>
      </c>
      <c r="D2284" s="71" t="s">
        <v>421</v>
      </c>
      <c r="E2284" s="71" t="s">
        <v>422</v>
      </c>
      <c r="F2284" s="71" t="s">
        <v>298</v>
      </c>
      <c r="G2284" s="88">
        <v>46277.751342592601</v>
      </c>
      <c r="H2284" s="89">
        <v>46277</v>
      </c>
      <c r="I2284" s="71" t="s">
        <v>393</v>
      </c>
      <c r="J2284" s="71">
        <v>631</v>
      </c>
      <c r="K2284" s="71" t="s">
        <v>293</v>
      </c>
      <c r="L2284" s="71">
        <f t="shared" si="315"/>
        <v>9</v>
      </c>
      <c r="M2284" s="71" t="str">
        <f>IFERROR(INDEX(KALENDER!$D$3:$D$132,MATCH(H2284,KALENDER!$A$3:$A$132,0)),"Di luar periode")</f>
        <v>Libur (Sabtu/Minggu)</v>
      </c>
      <c r="N2284" s="71">
        <f t="shared" si="316"/>
        <v>0</v>
      </c>
      <c r="O2284" s="71">
        <f t="shared" si="317"/>
        <v>1</v>
      </c>
      <c r="P2284" s="71">
        <f t="shared" si="318"/>
        <v>0</v>
      </c>
      <c r="Q2284" s="71">
        <f t="shared" si="319"/>
        <v>0</v>
      </c>
      <c r="R2284" s="71">
        <f t="shared" si="320"/>
        <v>0</v>
      </c>
      <c r="S2284" s="71">
        <f t="shared" si="321"/>
        <v>0</v>
      </c>
      <c r="T2284" s="71">
        <f t="shared" si="322"/>
        <v>0</v>
      </c>
      <c r="U2284" s="71">
        <f>IF(AND(N2284=1,V2284=1),IF(COUNTIFS(AKTIVITAS!$B$2:$B$3052,B2284,AKTIVITAS!$E$2:$E$3052,H2284)&gt;0,1,0),0)</f>
        <v>0</v>
      </c>
      <c r="V2284" s="71">
        <f>IFERROR(IF(AND(H2284&gt;=INDEX(PEMAGANG!$J$3:$J$36,MATCH(B2284,PEMAGANG!$C$3:$C$36,0)),H2284&lt;=INDEX(PEMAGANG!$K$3:$K$36,MATCH(B2284,PEMAGANG!$C$3:$C$36,0))),1,0),0)</f>
        <v>0</v>
      </c>
      <c r="W2284" s="71">
        <f t="shared" si="323"/>
        <v>0</v>
      </c>
    </row>
    <row r="2285" spans="1:23" x14ac:dyDescent="0.2">
      <c r="A2285" s="71" t="s">
        <v>647</v>
      </c>
      <c r="B2285" s="71" t="s">
        <v>648</v>
      </c>
      <c r="C2285" s="71" t="s">
        <v>187</v>
      </c>
      <c r="D2285" s="71" t="s">
        <v>421</v>
      </c>
      <c r="E2285" s="71" t="s">
        <v>422</v>
      </c>
      <c r="F2285" s="71" t="s">
        <v>300</v>
      </c>
      <c r="G2285" s="88">
        <v>46278.294074074103</v>
      </c>
      <c r="H2285" s="89">
        <v>46278</v>
      </c>
      <c r="I2285" s="71" t="s">
        <v>483</v>
      </c>
      <c r="J2285" s="71">
        <v>0</v>
      </c>
      <c r="K2285" s="71" t="s">
        <v>302</v>
      </c>
      <c r="L2285" s="71">
        <f t="shared" si="315"/>
        <v>9</v>
      </c>
      <c r="M2285" s="71" t="str">
        <f>IFERROR(INDEX(KALENDER!$D$3:$D$132,MATCH(H2285,KALENDER!$A$3:$A$132,0)),"Di luar periode")</f>
        <v>Libur (Sabtu/Minggu)</v>
      </c>
      <c r="N2285" s="71">
        <f t="shared" si="316"/>
        <v>1</v>
      </c>
      <c r="O2285" s="71">
        <f t="shared" si="317"/>
        <v>0</v>
      </c>
      <c r="P2285" s="71">
        <f t="shared" si="318"/>
        <v>0</v>
      </c>
      <c r="Q2285" s="71">
        <f t="shared" si="319"/>
        <v>1</v>
      </c>
      <c r="R2285" s="71">
        <f t="shared" si="320"/>
        <v>0</v>
      </c>
      <c r="S2285" s="71">
        <f t="shared" si="321"/>
        <v>0</v>
      </c>
      <c r="T2285" s="71">
        <f t="shared" si="322"/>
        <v>0</v>
      </c>
      <c r="U2285" s="71">
        <f>IF(AND(N2285=1,V2285=1),IF(COUNTIFS(AKTIVITAS!$B$2:$B$3052,B2285,AKTIVITAS!$E$2:$E$3052,H2285)&gt;0,1,0),0)</f>
        <v>0</v>
      </c>
      <c r="V2285" s="71">
        <f>IFERROR(IF(AND(H2285&gt;=INDEX(PEMAGANG!$J$3:$J$36,MATCH(B2285,PEMAGANG!$C$3:$C$36,0)),H2285&lt;=INDEX(PEMAGANG!$K$3:$K$36,MATCH(B2285,PEMAGANG!$C$3:$C$36,0))),1,0),0)</f>
        <v>0</v>
      </c>
      <c r="W2285" s="71">
        <f t="shared" si="323"/>
        <v>0</v>
      </c>
    </row>
    <row r="2286" spans="1:23" x14ac:dyDescent="0.2">
      <c r="A2286" s="71" t="s">
        <v>647</v>
      </c>
      <c r="B2286" s="71" t="s">
        <v>648</v>
      </c>
      <c r="C2286" s="71" t="s">
        <v>187</v>
      </c>
      <c r="D2286" s="71" t="s">
        <v>421</v>
      </c>
      <c r="E2286" s="71" t="s">
        <v>422</v>
      </c>
      <c r="F2286" s="71" t="s">
        <v>298</v>
      </c>
      <c r="G2286" s="88">
        <v>46278.785520833299</v>
      </c>
      <c r="H2286" s="89">
        <v>46278</v>
      </c>
      <c r="I2286" s="71" t="s">
        <v>632</v>
      </c>
      <c r="J2286" s="71">
        <v>681</v>
      </c>
      <c r="K2286" s="71" t="s">
        <v>293</v>
      </c>
      <c r="L2286" s="71">
        <f t="shared" si="315"/>
        <v>9</v>
      </c>
      <c r="M2286" s="71" t="str">
        <f>IFERROR(INDEX(KALENDER!$D$3:$D$132,MATCH(H2286,KALENDER!$A$3:$A$132,0)),"Di luar periode")</f>
        <v>Libur (Sabtu/Minggu)</v>
      </c>
      <c r="N2286" s="71">
        <f t="shared" si="316"/>
        <v>0</v>
      </c>
      <c r="O2286" s="71">
        <f t="shared" si="317"/>
        <v>1</v>
      </c>
      <c r="P2286" s="71">
        <f t="shared" si="318"/>
        <v>0</v>
      </c>
      <c r="Q2286" s="71">
        <f t="shared" si="319"/>
        <v>0</v>
      </c>
      <c r="R2286" s="71">
        <f t="shared" si="320"/>
        <v>0</v>
      </c>
      <c r="S2286" s="71">
        <f t="shared" si="321"/>
        <v>0</v>
      </c>
      <c r="T2286" s="71">
        <f t="shared" si="322"/>
        <v>0</v>
      </c>
      <c r="U2286" s="71">
        <f>IF(AND(N2286=1,V2286=1),IF(COUNTIFS(AKTIVITAS!$B$2:$B$3052,B2286,AKTIVITAS!$E$2:$E$3052,H2286)&gt;0,1,0),0)</f>
        <v>0</v>
      </c>
      <c r="V2286" s="71">
        <f>IFERROR(IF(AND(H2286&gt;=INDEX(PEMAGANG!$J$3:$J$36,MATCH(B2286,PEMAGANG!$C$3:$C$36,0)),H2286&lt;=INDEX(PEMAGANG!$K$3:$K$36,MATCH(B2286,PEMAGANG!$C$3:$C$36,0))),1,0),0)</f>
        <v>0</v>
      </c>
      <c r="W2286" s="71">
        <f t="shared" si="323"/>
        <v>0</v>
      </c>
    </row>
    <row r="2287" spans="1:23" x14ac:dyDescent="0.2">
      <c r="A2287" s="71" t="s">
        <v>647</v>
      </c>
      <c r="B2287" s="71" t="s">
        <v>648</v>
      </c>
      <c r="C2287" s="71" t="s">
        <v>187</v>
      </c>
      <c r="D2287" s="71" t="s">
        <v>421</v>
      </c>
      <c r="E2287" s="71" t="s">
        <v>422</v>
      </c>
      <c r="F2287" s="71" t="s">
        <v>300</v>
      </c>
      <c r="G2287" s="88">
        <v>46279.294560185197</v>
      </c>
      <c r="H2287" s="89">
        <v>46279</v>
      </c>
      <c r="I2287" s="71" t="s">
        <v>411</v>
      </c>
      <c r="J2287" s="71">
        <v>0</v>
      </c>
      <c r="K2287" s="71" t="s">
        <v>302</v>
      </c>
      <c r="L2287" s="71">
        <f t="shared" si="315"/>
        <v>9</v>
      </c>
      <c r="M2287" s="71" t="str">
        <f>IFERROR(INDEX(KALENDER!$D$3:$D$132,MATCH(H2287,KALENDER!$A$3:$A$132,0)),"Di luar periode")</f>
        <v>Hari Kerja</v>
      </c>
      <c r="N2287" s="71">
        <f t="shared" si="316"/>
        <v>1</v>
      </c>
      <c r="O2287" s="71">
        <f t="shared" si="317"/>
        <v>0</v>
      </c>
      <c r="P2287" s="71">
        <f t="shared" si="318"/>
        <v>0</v>
      </c>
      <c r="Q2287" s="71">
        <f t="shared" si="319"/>
        <v>1</v>
      </c>
      <c r="R2287" s="71">
        <f t="shared" si="320"/>
        <v>0</v>
      </c>
      <c r="S2287" s="71">
        <f t="shared" si="321"/>
        <v>0</v>
      </c>
      <c r="T2287" s="71">
        <f t="shared" si="322"/>
        <v>0</v>
      </c>
      <c r="U2287" s="71">
        <f>IF(AND(N2287=1,V2287=1),IF(COUNTIFS(AKTIVITAS!$B$2:$B$3052,B2287,AKTIVITAS!$E$2:$E$3052,H2287)&gt;0,1,0),0)</f>
        <v>0</v>
      </c>
      <c r="V2287" s="71">
        <f>IFERROR(IF(AND(H2287&gt;=INDEX(PEMAGANG!$J$3:$J$36,MATCH(B2287,PEMAGANG!$C$3:$C$36,0)),H2287&lt;=INDEX(PEMAGANG!$K$3:$K$36,MATCH(B2287,PEMAGANG!$C$3:$C$36,0))),1,0),0)</f>
        <v>0</v>
      </c>
      <c r="W2287" s="71">
        <f t="shared" si="323"/>
        <v>0</v>
      </c>
    </row>
    <row r="2288" spans="1:23" x14ac:dyDescent="0.2">
      <c r="A2288" s="71" t="s">
        <v>647</v>
      </c>
      <c r="B2288" s="71" t="s">
        <v>648</v>
      </c>
      <c r="C2288" s="71" t="s">
        <v>187</v>
      </c>
      <c r="D2288" s="71" t="s">
        <v>421</v>
      </c>
      <c r="E2288" s="71" t="s">
        <v>422</v>
      </c>
      <c r="F2288" s="71" t="s">
        <v>298</v>
      </c>
      <c r="G2288" s="88">
        <v>46279.751701388901</v>
      </c>
      <c r="H2288" s="89">
        <v>46279</v>
      </c>
      <c r="I2288" s="71" t="s">
        <v>432</v>
      </c>
      <c r="J2288" s="71">
        <v>632</v>
      </c>
      <c r="K2288" s="71" t="s">
        <v>293</v>
      </c>
      <c r="L2288" s="71">
        <f t="shared" si="315"/>
        <v>9</v>
      </c>
      <c r="M2288" s="71" t="str">
        <f>IFERROR(INDEX(KALENDER!$D$3:$D$132,MATCH(H2288,KALENDER!$A$3:$A$132,0)),"Di luar periode")</f>
        <v>Hari Kerja</v>
      </c>
      <c r="N2288" s="71">
        <f t="shared" si="316"/>
        <v>0</v>
      </c>
      <c r="O2288" s="71">
        <f t="shared" si="317"/>
        <v>1</v>
      </c>
      <c r="P2288" s="71">
        <f t="shared" si="318"/>
        <v>0</v>
      </c>
      <c r="Q2288" s="71">
        <f t="shared" si="319"/>
        <v>0</v>
      </c>
      <c r="R2288" s="71">
        <f t="shared" si="320"/>
        <v>0</v>
      </c>
      <c r="S2288" s="71">
        <f t="shared" si="321"/>
        <v>0</v>
      </c>
      <c r="T2288" s="71">
        <f t="shared" si="322"/>
        <v>0</v>
      </c>
      <c r="U2288" s="71">
        <f>IF(AND(N2288=1,V2288=1),IF(COUNTIFS(AKTIVITAS!$B$2:$B$3052,B2288,AKTIVITAS!$E$2:$E$3052,H2288)&gt;0,1,0),0)</f>
        <v>0</v>
      </c>
      <c r="V2288" s="71">
        <f>IFERROR(IF(AND(H2288&gt;=INDEX(PEMAGANG!$J$3:$J$36,MATCH(B2288,PEMAGANG!$C$3:$C$36,0)),H2288&lt;=INDEX(PEMAGANG!$K$3:$K$36,MATCH(B2288,PEMAGANG!$C$3:$C$36,0))),1,0),0)</f>
        <v>0</v>
      </c>
      <c r="W2288" s="71">
        <f t="shared" si="323"/>
        <v>0</v>
      </c>
    </row>
    <row r="2289" spans="1:23" x14ac:dyDescent="0.2">
      <c r="A2289" s="71" t="s">
        <v>647</v>
      </c>
      <c r="B2289" s="71" t="s">
        <v>648</v>
      </c>
      <c r="C2289" s="71" t="s">
        <v>187</v>
      </c>
      <c r="D2289" s="71" t="s">
        <v>421</v>
      </c>
      <c r="E2289" s="71" t="s">
        <v>422</v>
      </c>
      <c r="F2289" s="71" t="s">
        <v>300</v>
      </c>
      <c r="G2289" s="88">
        <v>46280.294814814799</v>
      </c>
      <c r="H2289" s="89">
        <v>46280</v>
      </c>
      <c r="I2289" s="71" t="s">
        <v>411</v>
      </c>
      <c r="J2289" s="71">
        <v>0</v>
      </c>
      <c r="K2289" s="71" t="s">
        <v>302</v>
      </c>
      <c r="L2289" s="71">
        <f t="shared" si="315"/>
        <v>9</v>
      </c>
      <c r="M2289" s="71" t="str">
        <f>IFERROR(INDEX(KALENDER!$D$3:$D$132,MATCH(H2289,KALENDER!$A$3:$A$132,0)),"Di luar periode")</f>
        <v>Hari Kerja</v>
      </c>
      <c r="N2289" s="71">
        <f t="shared" si="316"/>
        <v>1</v>
      </c>
      <c r="O2289" s="71">
        <f t="shared" si="317"/>
        <v>0</v>
      </c>
      <c r="P2289" s="71">
        <f t="shared" si="318"/>
        <v>0</v>
      </c>
      <c r="Q2289" s="71">
        <f t="shared" si="319"/>
        <v>1</v>
      </c>
      <c r="R2289" s="71">
        <f t="shared" si="320"/>
        <v>0</v>
      </c>
      <c r="S2289" s="71">
        <f t="shared" si="321"/>
        <v>0</v>
      </c>
      <c r="T2289" s="71">
        <f t="shared" si="322"/>
        <v>0</v>
      </c>
      <c r="U2289" s="71">
        <f>IF(AND(N2289=1,V2289=1),IF(COUNTIFS(AKTIVITAS!$B$2:$B$3052,B2289,AKTIVITAS!$E$2:$E$3052,H2289)&gt;0,1,0),0)</f>
        <v>0</v>
      </c>
      <c r="V2289" s="71">
        <f>IFERROR(IF(AND(H2289&gt;=INDEX(PEMAGANG!$J$3:$J$36,MATCH(B2289,PEMAGANG!$C$3:$C$36,0)),H2289&lt;=INDEX(PEMAGANG!$K$3:$K$36,MATCH(B2289,PEMAGANG!$C$3:$C$36,0))),1,0),0)</f>
        <v>0</v>
      </c>
      <c r="W2289" s="71">
        <f t="shared" si="323"/>
        <v>0</v>
      </c>
    </row>
    <row r="2290" spans="1:23" x14ac:dyDescent="0.2">
      <c r="A2290" s="71" t="s">
        <v>647</v>
      </c>
      <c r="B2290" s="71" t="s">
        <v>648</v>
      </c>
      <c r="C2290" s="71" t="s">
        <v>187</v>
      </c>
      <c r="D2290" s="71" t="s">
        <v>421</v>
      </c>
      <c r="E2290" s="71" t="s">
        <v>422</v>
      </c>
      <c r="F2290" s="71" t="s">
        <v>298</v>
      </c>
      <c r="G2290" s="88">
        <v>46280.751319444498</v>
      </c>
      <c r="H2290" s="89">
        <v>46280</v>
      </c>
      <c r="I2290" s="71" t="s">
        <v>393</v>
      </c>
      <c r="J2290" s="71">
        <v>631</v>
      </c>
      <c r="K2290" s="71" t="s">
        <v>293</v>
      </c>
      <c r="L2290" s="71">
        <f t="shared" si="315"/>
        <v>9</v>
      </c>
      <c r="M2290" s="71" t="str">
        <f>IFERROR(INDEX(KALENDER!$D$3:$D$132,MATCH(H2290,KALENDER!$A$3:$A$132,0)),"Di luar periode")</f>
        <v>Hari Kerja</v>
      </c>
      <c r="N2290" s="71">
        <f t="shared" si="316"/>
        <v>0</v>
      </c>
      <c r="O2290" s="71">
        <f t="shared" si="317"/>
        <v>1</v>
      </c>
      <c r="P2290" s="71">
        <f t="shared" si="318"/>
        <v>0</v>
      </c>
      <c r="Q2290" s="71">
        <f t="shared" si="319"/>
        <v>0</v>
      </c>
      <c r="R2290" s="71">
        <f t="shared" si="320"/>
        <v>0</v>
      </c>
      <c r="S2290" s="71">
        <f t="shared" si="321"/>
        <v>0</v>
      </c>
      <c r="T2290" s="71">
        <f t="shared" si="322"/>
        <v>0</v>
      </c>
      <c r="U2290" s="71">
        <f>IF(AND(N2290=1,V2290=1),IF(COUNTIFS(AKTIVITAS!$B$2:$B$3052,B2290,AKTIVITAS!$E$2:$E$3052,H2290)&gt;0,1,0),0)</f>
        <v>0</v>
      </c>
      <c r="V2290" s="71">
        <f>IFERROR(IF(AND(H2290&gt;=INDEX(PEMAGANG!$J$3:$J$36,MATCH(B2290,PEMAGANG!$C$3:$C$36,0)),H2290&lt;=INDEX(PEMAGANG!$K$3:$K$36,MATCH(B2290,PEMAGANG!$C$3:$C$36,0))),1,0),0)</f>
        <v>0</v>
      </c>
      <c r="W2290" s="71">
        <f t="shared" si="323"/>
        <v>0</v>
      </c>
    </row>
    <row r="2291" spans="1:23" x14ac:dyDescent="0.2">
      <c r="A2291" s="71" t="s">
        <v>647</v>
      </c>
      <c r="B2291" s="71" t="s">
        <v>648</v>
      </c>
      <c r="C2291" s="71" t="s">
        <v>187</v>
      </c>
      <c r="D2291" s="71" t="s">
        <v>421</v>
      </c>
      <c r="E2291" s="71" t="s">
        <v>422</v>
      </c>
      <c r="F2291" s="71" t="s">
        <v>300</v>
      </c>
      <c r="G2291" s="88">
        <v>46281.294247685197</v>
      </c>
      <c r="H2291" s="89">
        <v>46281</v>
      </c>
      <c r="I2291" s="71" t="s">
        <v>483</v>
      </c>
      <c r="J2291" s="71">
        <v>0</v>
      </c>
      <c r="K2291" s="71" t="s">
        <v>302</v>
      </c>
      <c r="L2291" s="71">
        <f t="shared" si="315"/>
        <v>9</v>
      </c>
      <c r="M2291" s="71" t="str">
        <f>IFERROR(INDEX(KALENDER!$D$3:$D$132,MATCH(H2291,KALENDER!$A$3:$A$132,0)),"Di luar periode")</f>
        <v>Hari Kerja</v>
      </c>
      <c r="N2291" s="71">
        <f t="shared" si="316"/>
        <v>1</v>
      </c>
      <c r="O2291" s="71">
        <f t="shared" si="317"/>
        <v>0</v>
      </c>
      <c r="P2291" s="71">
        <f t="shared" si="318"/>
        <v>0</v>
      </c>
      <c r="Q2291" s="71">
        <f t="shared" si="319"/>
        <v>1</v>
      </c>
      <c r="R2291" s="71">
        <f t="shared" si="320"/>
        <v>0</v>
      </c>
      <c r="S2291" s="71">
        <f t="shared" si="321"/>
        <v>0</v>
      </c>
      <c r="T2291" s="71">
        <f t="shared" si="322"/>
        <v>0</v>
      </c>
      <c r="U2291" s="71">
        <f>IF(AND(N2291=1,V2291=1),IF(COUNTIFS(AKTIVITAS!$B$2:$B$3052,B2291,AKTIVITAS!$E$2:$E$3052,H2291)&gt;0,1,0),0)</f>
        <v>0</v>
      </c>
      <c r="V2291" s="71">
        <f>IFERROR(IF(AND(H2291&gt;=INDEX(PEMAGANG!$J$3:$J$36,MATCH(B2291,PEMAGANG!$C$3:$C$36,0)),H2291&lt;=INDEX(PEMAGANG!$K$3:$K$36,MATCH(B2291,PEMAGANG!$C$3:$C$36,0))),1,0),0)</f>
        <v>0</v>
      </c>
      <c r="W2291" s="71">
        <f t="shared" si="323"/>
        <v>0</v>
      </c>
    </row>
    <row r="2292" spans="1:23" x14ac:dyDescent="0.2">
      <c r="A2292" s="71" t="s">
        <v>647</v>
      </c>
      <c r="B2292" s="71" t="s">
        <v>648</v>
      </c>
      <c r="C2292" s="71" t="s">
        <v>187</v>
      </c>
      <c r="D2292" s="71" t="s">
        <v>421</v>
      </c>
      <c r="E2292" s="71" t="s">
        <v>422</v>
      </c>
      <c r="F2292" s="71" t="s">
        <v>298</v>
      </c>
      <c r="G2292" s="88">
        <v>46281.754710648202</v>
      </c>
      <c r="H2292" s="89">
        <v>46281</v>
      </c>
      <c r="I2292" s="71" t="s">
        <v>460</v>
      </c>
      <c r="J2292" s="71">
        <v>636</v>
      </c>
      <c r="K2292" s="71" t="s">
        <v>293</v>
      </c>
      <c r="L2292" s="71">
        <f t="shared" si="315"/>
        <v>9</v>
      </c>
      <c r="M2292" s="71" t="str">
        <f>IFERROR(INDEX(KALENDER!$D$3:$D$132,MATCH(H2292,KALENDER!$A$3:$A$132,0)),"Di luar periode")</f>
        <v>Hari Kerja</v>
      </c>
      <c r="N2292" s="71">
        <f t="shared" si="316"/>
        <v>0</v>
      </c>
      <c r="O2292" s="71">
        <f t="shared" si="317"/>
        <v>1</v>
      </c>
      <c r="P2292" s="71">
        <f t="shared" si="318"/>
        <v>0</v>
      </c>
      <c r="Q2292" s="71">
        <f t="shared" si="319"/>
        <v>0</v>
      </c>
      <c r="R2292" s="71">
        <f t="shared" si="320"/>
        <v>0</v>
      </c>
      <c r="S2292" s="71">
        <f t="shared" si="321"/>
        <v>0</v>
      </c>
      <c r="T2292" s="71">
        <f t="shared" si="322"/>
        <v>0</v>
      </c>
      <c r="U2292" s="71">
        <f>IF(AND(N2292=1,V2292=1),IF(COUNTIFS(AKTIVITAS!$B$2:$B$3052,B2292,AKTIVITAS!$E$2:$E$3052,H2292)&gt;0,1,0),0)</f>
        <v>0</v>
      </c>
      <c r="V2292" s="71">
        <f>IFERROR(IF(AND(H2292&gt;=INDEX(PEMAGANG!$J$3:$J$36,MATCH(B2292,PEMAGANG!$C$3:$C$36,0)),H2292&lt;=INDEX(PEMAGANG!$K$3:$K$36,MATCH(B2292,PEMAGANG!$C$3:$C$36,0))),1,0),0)</f>
        <v>0</v>
      </c>
      <c r="W2292" s="71">
        <f t="shared" si="323"/>
        <v>0</v>
      </c>
    </row>
    <row r="2293" spans="1:23" x14ac:dyDescent="0.2">
      <c r="A2293" s="71" t="s">
        <v>647</v>
      </c>
      <c r="B2293" s="71" t="s">
        <v>648</v>
      </c>
      <c r="C2293" s="71" t="s">
        <v>187</v>
      </c>
      <c r="D2293" s="71" t="s">
        <v>421</v>
      </c>
      <c r="E2293" s="71" t="s">
        <v>422</v>
      </c>
      <c r="F2293" s="71" t="s">
        <v>298</v>
      </c>
      <c r="G2293" s="88">
        <v>46282.917812500003</v>
      </c>
      <c r="H2293" s="89">
        <v>46282</v>
      </c>
      <c r="I2293" s="71" t="s">
        <v>654</v>
      </c>
      <c r="J2293" s="71">
        <v>871</v>
      </c>
      <c r="K2293" s="71" t="s">
        <v>293</v>
      </c>
      <c r="L2293" s="71">
        <f t="shared" si="315"/>
        <v>9</v>
      </c>
      <c r="M2293" s="71" t="str">
        <f>IFERROR(INDEX(KALENDER!$D$3:$D$132,MATCH(H2293,KALENDER!$A$3:$A$132,0)),"Di luar periode")</f>
        <v>Hari Kerja</v>
      </c>
      <c r="N2293" s="71">
        <f t="shared" si="316"/>
        <v>1</v>
      </c>
      <c r="O2293" s="71">
        <f t="shared" si="317"/>
        <v>1</v>
      </c>
      <c r="P2293" s="71">
        <f t="shared" si="318"/>
        <v>0</v>
      </c>
      <c r="Q2293" s="71">
        <f t="shared" si="319"/>
        <v>1</v>
      </c>
      <c r="R2293" s="71">
        <f t="shared" si="320"/>
        <v>0</v>
      </c>
      <c r="S2293" s="71">
        <f t="shared" si="321"/>
        <v>0</v>
      </c>
      <c r="T2293" s="71">
        <f t="shared" si="322"/>
        <v>0</v>
      </c>
      <c r="U2293" s="71">
        <f>IF(AND(N2293=1,V2293=1),IF(COUNTIFS(AKTIVITAS!$B$2:$B$3052,B2293,AKTIVITAS!$E$2:$E$3052,H2293)&gt;0,1,0),0)</f>
        <v>0</v>
      </c>
      <c r="V2293" s="71">
        <f>IFERROR(IF(AND(H2293&gt;=INDEX(PEMAGANG!$J$3:$J$36,MATCH(B2293,PEMAGANG!$C$3:$C$36,0)),H2293&lt;=INDEX(PEMAGANG!$K$3:$K$36,MATCH(B2293,PEMAGANG!$C$3:$C$36,0))),1,0),0)</f>
        <v>0</v>
      </c>
      <c r="W2293" s="71">
        <f t="shared" si="323"/>
        <v>0</v>
      </c>
    </row>
    <row r="2294" spans="1:23" x14ac:dyDescent="0.2">
      <c r="A2294" s="71" t="s">
        <v>647</v>
      </c>
      <c r="B2294" s="71" t="s">
        <v>648</v>
      </c>
      <c r="C2294" s="71" t="s">
        <v>187</v>
      </c>
      <c r="D2294" s="71" t="s">
        <v>421</v>
      </c>
      <c r="E2294" s="71" t="s">
        <v>422</v>
      </c>
      <c r="F2294" s="71" t="s">
        <v>300</v>
      </c>
      <c r="G2294" s="88">
        <v>46283.2941782407</v>
      </c>
      <c r="H2294" s="89">
        <v>46283</v>
      </c>
      <c r="I2294" s="71" t="s">
        <v>483</v>
      </c>
      <c r="J2294" s="71">
        <v>0</v>
      </c>
      <c r="K2294" s="71" t="s">
        <v>302</v>
      </c>
      <c r="L2294" s="71">
        <f t="shared" si="315"/>
        <v>9</v>
      </c>
      <c r="M2294" s="71" t="str">
        <f>IFERROR(INDEX(KALENDER!$D$3:$D$132,MATCH(H2294,KALENDER!$A$3:$A$132,0)),"Di luar periode")</f>
        <v>Hari Kerja</v>
      </c>
      <c r="N2294" s="71">
        <f t="shared" si="316"/>
        <v>1</v>
      </c>
      <c r="O2294" s="71">
        <f t="shared" si="317"/>
        <v>0</v>
      </c>
      <c r="P2294" s="71">
        <f t="shared" si="318"/>
        <v>0</v>
      </c>
      <c r="Q2294" s="71">
        <f t="shared" si="319"/>
        <v>1</v>
      </c>
      <c r="R2294" s="71">
        <f t="shared" si="320"/>
        <v>0</v>
      </c>
      <c r="S2294" s="71">
        <f t="shared" si="321"/>
        <v>0</v>
      </c>
      <c r="T2294" s="71">
        <f t="shared" si="322"/>
        <v>0</v>
      </c>
      <c r="U2294" s="71">
        <f>IF(AND(N2294=1,V2294=1),IF(COUNTIFS(AKTIVITAS!$B$2:$B$3052,B2294,AKTIVITAS!$E$2:$E$3052,H2294)&gt;0,1,0),0)</f>
        <v>0</v>
      </c>
      <c r="V2294" s="71">
        <f>IFERROR(IF(AND(H2294&gt;=INDEX(PEMAGANG!$J$3:$J$36,MATCH(B2294,PEMAGANG!$C$3:$C$36,0)),H2294&lt;=INDEX(PEMAGANG!$K$3:$K$36,MATCH(B2294,PEMAGANG!$C$3:$C$36,0))),1,0),0)</f>
        <v>0</v>
      </c>
      <c r="W2294" s="71">
        <f t="shared" si="323"/>
        <v>0</v>
      </c>
    </row>
    <row r="2295" spans="1:23" x14ac:dyDescent="0.2">
      <c r="A2295" s="71" t="s">
        <v>647</v>
      </c>
      <c r="B2295" s="71" t="s">
        <v>648</v>
      </c>
      <c r="C2295" s="71" t="s">
        <v>187</v>
      </c>
      <c r="D2295" s="71" t="s">
        <v>421</v>
      </c>
      <c r="E2295" s="71" t="s">
        <v>422</v>
      </c>
      <c r="F2295" s="71" t="s">
        <v>298</v>
      </c>
      <c r="G2295" s="88">
        <v>46283.918009259301</v>
      </c>
      <c r="H2295" s="89">
        <v>46283</v>
      </c>
      <c r="I2295" s="71" t="s">
        <v>654</v>
      </c>
      <c r="J2295" s="71">
        <v>871</v>
      </c>
      <c r="K2295" s="71" t="s">
        <v>293</v>
      </c>
      <c r="L2295" s="71">
        <f t="shared" si="315"/>
        <v>9</v>
      </c>
      <c r="M2295" s="71" t="str">
        <f>IFERROR(INDEX(KALENDER!$D$3:$D$132,MATCH(H2295,KALENDER!$A$3:$A$132,0)),"Di luar periode")</f>
        <v>Hari Kerja</v>
      </c>
      <c r="N2295" s="71">
        <f t="shared" si="316"/>
        <v>0</v>
      </c>
      <c r="O2295" s="71">
        <f t="shared" si="317"/>
        <v>1</v>
      </c>
      <c r="P2295" s="71">
        <f t="shared" si="318"/>
        <v>0</v>
      </c>
      <c r="Q2295" s="71">
        <f t="shared" si="319"/>
        <v>0</v>
      </c>
      <c r="R2295" s="71">
        <f t="shared" si="320"/>
        <v>0</v>
      </c>
      <c r="S2295" s="71">
        <f t="shared" si="321"/>
        <v>0</v>
      </c>
      <c r="T2295" s="71">
        <f t="shared" si="322"/>
        <v>0</v>
      </c>
      <c r="U2295" s="71">
        <f>IF(AND(N2295=1,V2295=1),IF(COUNTIFS(AKTIVITAS!$B$2:$B$3052,B2295,AKTIVITAS!$E$2:$E$3052,H2295)&gt;0,1,0),0)</f>
        <v>0</v>
      </c>
      <c r="V2295" s="71">
        <f>IFERROR(IF(AND(H2295&gt;=INDEX(PEMAGANG!$J$3:$J$36,MATCH(B2295,PEMAGANG!$C$3:$C$36,0)),H2295&lt;=INDEX(PEMAGANG!$K$3:$K$36,MATCH(B2295,PEMAGANG!$C$3:$C$36,0))),1,0),0)</f>
        <v>0</v>
      </c>
      <c r="W2295" s="71">
        <f t="shared" si="323"/>
        <v>0</v>
      </c>
    </row>
    <row r="2296" spans="1:23" x14ac:dyDescent="0.2">
      <c r="A2296" s="71" t="s">
        <v>647</v>
      </c>
      <c r="B2296" s="71" t="s">
        <v>648</v>
      </c>
      <c r="C2296" s="71" t="s">
        <v>187</v>
      </c>
      <c r="D2296" s="71" t="s">
        <v>421</v>
      </c>
      <c r="E2296" s="71" t="s">
        <v>422</v>
      </c>
      <c r="F2296" s="71" t="s">
        <v>300</v>
      </c>
      <c r="G2296" s="88">
        <v>46284.295092592598</v>
      </c>
      <c r="H2296" s="89">
        <v>46284</v>
      </c>
      <c r="I2296" s="71" t="s">
        <v>411</v>
      </c>
      <c r="J2296" s="71">
        <v>0</v>
      </c>
      <c r="K2296" s="71" t="s">
        <v>302</v>
      </c>
      <c r="L2296" s="71">
        <f t="shared" si="315"/>
        <v>9</v>
      </c>
      <c r="M2296" s="71" t="str">
        <f>IFERROR(INDEX(KALENDER!$D$3:$D$132,MATCH(H2296,KALENDER!$A$3:$A$132,0)),"Di luar periode")</f>
        <v>Libur (Sabtu/Minggu)</v>
      </c>
      <c r="N2296" s="71">
        <f t="shared" si="316"/>
        <v>1</v>
      </c>
      <c r="O2296" s="71">
        <f t="shared" si="317"/>
        <v>0</v>
      </c>
      <c r="P2296" s="71">
        <f t="shared" si="318"/>
        <v>0</v>
      </c>
      <c r="Q2296" s="71">
        <f t="shared" si="319"/>
        <v>1</v>
      </c>
      <c r="R2296" s="71">
        <f t="shared" si="320"/>
        <v>0</v>
      </c>
      <c r="S2296" s="71">
        <f t="shared" si="321"/>
        <v>0</v>
      </c>
      <c r="T2296" s="71">
        <f t="shared" si="322"/>
        <v>0</v>
      </c>
      <c r="U2296" s="71">
        <f>IF(AND(N2296=1,V2296=1),IF(COUNTIFS(AKTIVITAS!$B$2:$B$3052,B2296,AKTIVITAS!$E$2:$E$3052,H2296)&gt;0,1,0),0)</f>
        <v>0</v>
      </c>
      <c r="V2296" s="71">
        <f>IFERROR(IF(AND(H2296&gt;=INDEX(PEMAGANG!$J$3:$J$36,MATCH(B2296,PEMAGANG!$C$3:$C$36,0)),H2296&lt;=INDEX(PEMAGANG!$K$3:$K$36,MATCH(B2296,PEMAGANG!$C$3:$C$36,0))),1,0),0)</f>
        <v>0</v>
      </c>
      <c r="W2296" s="71">
        <f t="shared" si="323"/>
        <v>0</v>
      </c>
    </row>
    <row r="2297" spans="1:23" x14ac:dyDescent="0.2">
      <c r="A2297" s="71" t="s">
        <v>647</v>
      </c>
      <c r="B2297" s="71" t="s">
        <v>648</v>
      </c>
      <c r="C2297" s="71" t="s">
        <v>187</v>
      </c>
      <c r="D2297" s="71" t="s">
        <v>421</v>
      </c>
      <c r="E2297" s="71" t="s">
        <v>422</v>
      </c>
      <c r="F2297" s="71" t="s">
        <v>300</v>
      </c>
      <c r="G2297" s="88">
        <v>46284.295682870397</v>
      </c>
      <c r="H2297" s="89">
        <v>46284</v>
      </c>
      <c r="I2297" s="71" t="s">
        <v>355</v>
      </c>
      <c r="J2297" s="71">
        <v>0</v>
      </c>
      <c r="K2297" s="71" t="s">
        <v>302</v>
      </c>
      <c r="L2297" s="71">
        <f t="shared" si="315"/>
        <v>9</v>
      </c>
      <c r="M2297" s="71" t="str">
        <f>IFERROR(INDEX(KALENDER!$D$3:$D$132,MATCH(H2297,KALENDER!$A$3:$A$132,0)),"Di luar periode")</f>
        <v>Libur (Sabtu/Minggu)</v>
      </c>
      <c r="N2297" s="71">
        <f t="shared" si="316"/>
        <v>0</v>
      </c>
      <c r="O2297" s="71">
        <f t="shared" si="317"/>
        <v>0</v>
      </c>
      <c r="P2297" s="71">
        <f t="shared" si="318"/>
        <v>0</v>
      </c>
      <c r="Q2297" s="71">
        <f t="shared" si="319"/>
        <v>0</v>
      </c>
      <c r="R2297" s="71">
        <f t="shared" si="320"/>
        <v>0</v>
      </c>
      <c r="S2297" s="71">
        <f t="shared" si="321"/>
        <v>0</v>
      </c>
      <c r="T2297" s="71">
        <f t="shared" si="322"/>
        <v>0</v>
      </c>
      <c r="U2297" s="71">
        <f>IF(AND(N2297=1,V2297=1),IF(COUNTIFS(AKTIVITAS!$B$2:$B$3052,B2297,AKTIVITAS!$E$2:$E$3052,H2297)&gt;0,1,0),0)</f>
        <v>0</v>
      </c>
      <c r="V2297" s="71">
        <f>IFERROR(IF(AND(H2297&gt;=INDEX(PEMAGANG!$J$3:$J$36,MATCH(B2297,PEMAGANG!$C$3:$C$36,0)),H2297&lt;=INDEX(PEMAGANG!$K$3:$K$36,MATCH(B2297,PEMAGANG!$C$3:$C$36,0))),1,0),0)</f>
        <v>0</v>
      </c>
      <c r="W2297" s="71">
        <f t="shared" si="323"/>
        <v>0</v>
      </c>
    </row>
    <row r="2298" spans="1:23" x14ac:dyDescent="0.2">
      <c r="A2298" s="71" t="s">
        <v>647</v>
      </c>
      <c r="B2298" s="71" t="s">
        <v>648</v>
      </c>
      <c r="C2298" s="71" t="s">
        <v>187</v>
      </c>
      <c r="D2298" s="71" t="s">
        <v>421</v>
      </c>
      <c r="E2298" s="71" t="s">
        <v>422</v>
      </c>
      <c r="F2298" s="71" t="s">
        <v>298</v>
      </c>
      <c r="G2298" s="88">
        <v>46284.752187500002</v>
      </c>
      <c r="H2298" s="89">
        <v>46284</v>
      </c>
      <c r="I2298" s="71" t="s">
        <v>398</v>
      </c>
      <c r="J2298" s="71">
        <v>633</v>
      </c>
      <c r="K2298" s="71" t="s">
        <v>293</v>
      </c>
      <c r="L2298" s="71">
        <f t="shared" si="315"/>
        <v>9</v>
      </c>
      <c r="M2298" s="71" t="str">
        <f>IFERROR(INDEX(KALENDER!$D$3:$D$132,MATCH(H2298,KALENDER!$A$3:$A$132,0)),"Di luar periode")</f>
        <v>Libur (Sabtu/Minggu)</v>
      </c>
      <c r="N2298" s="71">
        <f t="shared" si="316"/>
        <v>0</v>
      </c>
      <c r="O2298" s="71">
        <f t="shared" si="317"/>
        <v>1</v>
      </c>
      <c r="P2298" s="71">
        <f t="shared" si="318"/>
        <v>0</v>
      </c>
      <c r="Q2298" s="71">
        <f t="shared" si="319"/>
        <v>0</v>
      </c>
      <c r="R2298" s="71">
        <f t="shared" si="320"/>
        <v>0</v>
      </c>
      <c r="S2298" s="71">
        <f t="shared" si="321"/>
        <v>0</v>
      </c>
      <c r="T2298" s="71">
        <f t="shared" si="322"/>
        <v>0</v>
      </c>
      <c r="U2298" s="71">
        <f>IF(AND(N2298=1,V2298=1),IF(COUNTIFS(AKTIVITAS!$B$2:$B$3052,B2298,AKTIVITAS!$E$2:$E$3052,H2298)&gt;0,1,0),0)</f>
        <v>0</v>
      </c>
      <c r="V2298" s="71">
        <f>IFERROR(IF(AND(H2298&gt;=INDEX(PEMAGANG!$J$3:$J$36,MATCH(B2298,PEMAGANG!$C$3:$C$36,0)),H2298&lt;=INDEX(PEMAGANG!$K$3:$K$36,MATCH(B2298,PEMAGANG!$C$3:$C$36,0))),1,0),0)</f>
        <v>0</v>
      </c>
      <c r="W2298" s="71">
        <f t="shared" si="323"/>
        <v>0</v>
      </c>
    </row>
    <row r="2299" spans="1:23" x14ac:dyDescent="0.2">
      <c r="A2299" s="71" t="s">
        <v>647</v>
      </c>
      <c r="B2299" s="71" t="s">
        <v>648</v>
      </c>
      <c r="C2299" s="71" t="s">
        <v>187</v>
      </c>
      <c r="D2299" s="71" t="s">
        <v>421</v>
      </c>
      <c r="E2299" s="71" t="s">
        <v>422</v>
      </c>
      <c r="F2299" s="71" t="s">
        <v>300</v>
      </c>
      <c r="G2299" s="88">
        <v>46285.292997685203</v>
      </c>
      <c r="H2299" s="89">
        <v>46285</v>
      </c>
      <c r="I2299" s="71" t="s">
        <v>491</v>
      </c>
      <c r="J2299" s="71">
        <v>0</v>
      </c>
      <c r="K2299" s="71" t="s">
        <v>302</v>
      </c>
      <c r="L2299" s="71">
        <f t="shared" si="315"/>
        <v>9</v>
      </c>
      <c r="M2299" s="71" t="str">
        <f>IFERROR(INDEX(KALENDER!$D$3:$D$132,MATCH(H2299,KALENDER!$A$3:$A$132,0)),"Di luar periode")</f>
        <v>Libur (Sabtu/Minggu)</v>
      </c>
      <c r="N2299" s="71">
        <f t="shared" si="316"/>
        <v>1</v>
      </c>
      <c r="O2299" s="71">
        <f t="shared" si="317"/>
        <v>0</v>
      </c>
      <c r="P2299" s="71">
        <f t="shared" si="318"/>
        <v>0</v>
      </c>
      <c r="Q2299" s="71">
        <f t="shared" si="319"/>
        <v>1</v>
      </c>
      <c r="R2299" s="71">
        <f t="shared" si="320"/>
        <v>0</v>
      </c>
      <c r="S2299" s="71">
        <f t="shared" si="321"/>
        <v>0</v>
      </c>
      <c r="T2299" s="71">
        <f t="shared" si="322"/>
        <v>0</v>
      </c>
      <c r="U2299" s="71">
        <f>IF(AND(N2299=1,V2299=1),IF(COUNTIFS(AKTIVITAS!$B$2:$B$3052,B2299,AKTIVITAS!$E$2:$E$3052,H2299)&gt;0,1,0),0)</f>
        <v>0</v>
      </c>
      <c r="V2299" s="71">
        <f>IFERROR(IF(AND(H2299&gt;=INDEX(PEMAGANG!$J$3:$J$36,MATCH(B2299,PEMAGANG!$C$3:$C$36,0)),H2299&lt;=INDEX(PEMAGANG!$K$3:$K$36,MATCH(B2299,PEMAGANG!$C$3:$C$36,0))),1,0),0)</f>
        <v>0</v>
      </c>
      <c r="W2299" s="71">
        <f t="shared" si="323"/>
        <v>0</v>
      </c>
    </row>
    <row r="2300" spans="1:23" x14ac:dyDescent="0.2">
      <c r="A2300" s="71" t="s">
        <v>647</v>
      </c>
      <c r="B2300" s="71" t="s">
        <v>648</v>
      </c>
      <c r="C2300" s="71" t="s">
        <v>187</v>
      </c>
      <c r="D2300" s="71" t="s">
        <v>421</v>
      </c>
      <c r="E2300" s="71" t="s">
        <v>422</v>
      </c>
      <c r="F2300" s="71" t="s">
        <v>298</v>
      </c>
      <c r="G2300" s="88">
        <v>46286.252060185201</v>
      </c>
      <c r="H2300" s="89">
        <v>46286</v>
      </c>
      <c r="I2300" s="71" t="s">
        <v>466</v>
      </c>
      <c r="J2300" s="71">
        <v>-88</v>
      </c>
      <c r="K2300" s="71" t="s">
        <v>302</v>
      </c>
      <c r="L2300" s="71">
        <f t="shared" si="315"/>
        <v>9</v>
      </c>
      <c r="M2300" s="71" t="str">
        <f>IFERROR(INDEX(KALENDER!$D$3:$D$132,MATCH(H2300,KALENDER!$A$3:$A$132,0)),"Di luar periode")</f>
        <v>Hari Kerja</v>
      </c>
      <c r="N2300" s="71">
        <f t="shared" si="316"/>
        <v>1</v>
      </c>
      <c r="O2300" s="71">
        <f t="shared" si="317"/>
        <v>1</v>
      </c>
      <c r="P2300" s="71">
        <f t="shared" si="318"/>
        <v>0</v>
      </c>
      <c r="Q2300" s="71">
        <f t="shared" si="319"/>
        <v>1</v>
      </c>
      <c r="R2300" s="71">
        <f t="shared" si="320"/>
        <v>0</v>
      </c>
      <c r="S2300" s="71">
        <f t="shared" si="321"/>
        <v>0</v>
      </c>
      <c r="T2300" s="71">
        <f t="shared" si="322"/>
        <v>0</v>
      </c>
      <c r="U2300" s="71">
        <f>IF(AND(N2300=1,V2300=1),IF(COUNTIFS(AKTIVITAS!$B$2:$B$3052,B2300,AKTIVITAS!$E$2:$E$3052,H2300)&gt;0,1,0),0)</f>
        <v>0</v>
      </c>
      <c r="V2300" s="71">
        <f>IFERROR(IF(AND(H2300&gt;=INDEX(PEMAGANG!$J$3:$J$36,MATCH(B2300,PEMAGANG!$C$3:$C$36,0)),H2300&lt;=INDEX(PEMAGANG!$K$3:$K$36,MATCH(B2300,PEMAGANG!$C$3:$C$36,0))),1,0),0)</f>
        <v>0</v>
      </c>
      <c r="W2300" s="71">
        <f t="shared" si="323"/>
        <v>0</v>
      </c>
    </row>
    <row r="2301" spans="1:23" x14ac:dyDescent="0.2">
      <c r="A2301" s="71" t="s">
        <v>647</v>
      </c>
      <c r="B2301" s="71" t="s">
        <v>648</v>
      </c>
      <c r="C2301" s="71" t="s">
        <v>187</v>
      </c>
      <c r="D2301" s="71" t="s">
        <v>421</v>
      </c>
      <c r="E2301" s="71" t="s">
        <v>422</v>
      </c>
      <c r="F2301" s="71" t="s">
        <v>300</v>
      </c>
      <c r="G2301" s="88">
        <v>46286.792951388903</v>
      </c>
      <c r="H2301" s="89">
        <v>46286</v>
      </c>
      <c r="I2301" s="71" t="s">
        <v>628</v>
      </c>
      <c r="J2301" s="71">
        <v>0</v>
      </c>
      <c r="K2301" s="71" t="s">
        <v>302</v>
      </c>
      <c r="L2301" s="71">
        <f t="shared" si="315"/>
        <v>9</v>
      </c>
      <c r="M2301" s="71" t="str">
        <f>IFERROR(INDEX(KALENDER!$D$3:$D$132,MATCH(H2301,KALENDER!$A$3:$A$132,0)),"Di luar periode")</f>
        <v>Hari Kerja</v>
      </c>
      <c r="N2301" s="71">
        <f t="shared" si="316"/>
        <v>0</v>
      </c>
      <c r="O2301" s="71">
        <f t="shared" si="317"/>
        <v>1</v>
      </c>
      <c r="P2301" s="71">
        <f t="shared" si="318"/>
        <v>0</v>
      </c>
      <c r="Q2301" s="71">
        <f t="shared" si="319"/>
        <v>0</v>
      </c>
      <c r="R2301" s="71">
        <f t="shared" si="320"/>
        <v>0</v>
      </c>
      <c r="S2301" s="71">
        <f t="shared" si="321"/>
        <v>0</v>
      </c>
      <c r="T2301" s="71">
        <f t="shared" si="322"/>
        <v>0</v>
      </c>
      <c r="U2301" s="71">
        <f>IF(AND(N2301=1,V2301=1),IF(COUNTIFS(AKTIVITAS!$B$2:$B$3052,B2301,AKTIVITAS!$E$2:$E$3052,H2301)&gt;0,1,0),0)</f>
        <v>0</v>
      </c>
      <c r="V2301" s="71">
        <f>IFERROR(IF(AND(H2301&gt;=INDEX(PEMAGANG!$J$3:$J$36,MATCH(B2301,PEMAGANG!$C$3:$C$36,0)),H2301&lt;=INDEX(PEMAGANG!$K$3:$K$36,MATCH(B2301,PEMAGANG!$C$3:$C$36,0))),1,0),0)</f>
        <v>0</v>
      </c>
      <c r="W2301" s="71">
        <f t="shared" si="323"/>
        <v>0</v>
      </c>
    </row>
    <row r="2302" spans="1:23" x14ac:dyDescent="0.2">
      <c r="A2302" s="71" t="s">
        <v>647</v>
      </c>
      <c r="B2302" s="71" t="s">
        <v>648</v>
      </c>
      <c r="C2302" s="71" t="s">
        <v>187</v>
      </c>
      <c r="D2302" s="71" t="s">
        <v>421</v>
      </c>
      <c r="E2302" s="71" t="s">
        <v>422</v>
      </c>
      <c r="F2302" s="71" t="s">
        <v>298</v>
      </c>
      <c r="G2302" s="88">
        <v>46287.949363425898</v>
      </c>
      <c r="H2302" s="89">
        <v>46287</v>
      </c>
      <c r="I2302" s="71" t="s">
        <v>667</v>
      </c>
      <c r="J2302" s="71">
        <v>917</v>
      </c>
      <c r="K2302" s="71" t="s">
        <v>293</v>
      </c>
      <c r="L2302" s="71">
        <f t="shared" si="315"/>
        <v>9</v>
      </c>
      <c r="M2302" s="71" t="str">
        <f>IFERROR(INDEX(KALENDER!$D$3:$D$132,MATCH(H2302,KALENDER!$A$3:$A$132,0)),"Di luar periode")</f>
        <v>Hari Kerja</v>
      </c>
      <c r="N2302" s="71">
        <f t="shared" si="316"/>
        <v>1</v>
      </c>
      <c r="O2302" s="71">
        <f t="shared" si="317"/>
        <v>1</v>
      </c>
      <c r="P2302" s="71">
        <f t="shared" si="318"/>
        <v>0</v>
      </c>
      <c r="Q2302" s="71">
        <f t="shared" si="319"/>
        <v>1</v>
      </c>
      <c r="R2302" s="71">
        <f t="shared" si="320"/>
        <v>0</v>
      </c>
      <c r="S2302" s="71">
        <f t="shared" si="321"/>
        <v>0</v>
      </c>
      <c r="T2302" s="71">
        <f t="shared" si="322"/>
        <v>0</v>
      </c>
      <c r="U2302" s="71">
        <f>IF(AND(N2302=1,V2302=1),IF(COUNTIFS(AKTIVITAS!$B$2:$B$3052,B2302,AKTIVITAS!$E$2:$E$3052,H2302)&gt;0,1,0),0)</f>
        <v>0</v>
      </c>
      <c r="V2302" s="71">
        <f>IFERROR(IF(AND(H2302&gt;=INDEX(PEMAGANG!$J$3:$J$36,MATCH(B2302,PEMAGANG!$C$3:$C$36,0)),H2302&lt;=INDEX(PEMAGANG!$K$3:$K$36,MATCH(B2302,PEMAGANG!$C$3:$C$36,0))),1,0),0)</f>
        <v>0</v>
      </c>
      <c r="W2302" s="71">
        <f t="shared" si="323"/>
        <v>0</v>
      </c>
    </row>
    <row r="2303" spans="1:23" x14ac:dyDescent="0.2">
      <c r="A2303" s="71" t="s">
        <v>647</v>
      </c>
      <c r="B2303" s="71" t="s">
        <v>648</v>
      </c>
      <c r="C2303" s="71" t="s">
        <v>187</v>
      </c>
      <c r="D2303" s="71" t="s">
        <v>421</v>
      </c>
      <c r="E2303" s="71" t="s">
        <v>422</v>
      </c>
      <c r="F2303" s="71" t="s">
        <v>300</v>
      </c>
      <c r="G2303" s="88">
        <v>46288.3057638889</v>
      </c>
      <c r="H2303" s="89">
        <v>46288</v>
      </c>
      <c r="I2303" s="71" t="s">
        <v>329</v>
      </c>
      <c r="J2303" s="71">
        <v>0</v>
      </c>
      <c r="K2303" s="71" t="s">
        <v>302</v>
      </c>
      <c r="L2303" s="71">
        <f t="shared" si="315"/>
        <v>9</v>
      </c>
      <c r="M2303" s="71" t="str">
        <f>IFERROR(INDEX(KALENDER!$D$3:$D$132,MATCH(H2303,KALENDER!$A$3:$A$132,0)),"Di luar periode")</f>
        <v>Hari Kerja</v>
      </c>
      <c r="N2303" s="71">
        <f t="shared" si="316"/>
        <v>1</v>
      </c>
      <c r="O2303" s="71">
        <f t="shared" si="317"/>
        <v>0</v>
      </c>
      <c r="P2303" s="71">
        <f t="shared" si="318"/>
        <v>0</v>
      </c>
      <c r="Q2303" s="71">
        <f t="shared" si="319"/>
        <v>1</v>
      </c>
      <c r="R2303" s="71">
        <f t="shared" si="320"/>
        <v>0</v>
      </c>
      <c r="S2303" s="71">
        <f t="shared" si="321"/>
        <v>0</v>
      </c>
      <c r="T2303" s="71">
        <f t="shared" si="322"/>
        <v>0</v>
      </c>
      <c r="U2303" s="71">
        <f>IF(AND(N2303=1,V2303=1),IF(COUNTIFS(AKTIVITAS!$B$2:$B$3052,B2303,AKTIVITAS!$E$2:$E$3052,H2303)&gt;0,1,0),0)</f>
        <v>0</v>
      </c>
      <c r="V2303" s="71">
        <f>IFERROR(IF(AND(H2303&gt;=INDEX(PEMAGANG!$J$3:$J$36,MATCH(B2303,PEMAGANG!$C$3:$C$36,0)),H2303&lt;=INDEX(PEMAGANG!$K$3:$K$36,MATCH(B2303,PEMAGANG!$C$3:$C$36,0))),1,0),0)</f>
        <v>0</v>
      </c>
      <c r="W2303" s="71">
        <f t="shared" si="323"/>
        <v>0</v>
      </c>
    </row>
    <row r="2304" spans="1:23" x14ac:dyDescent="0.2">
      <c r="A2304" s="71" t="s">
        <v>647</v>
      </c>
      <c r="B2304" s="71" t="s">
        <v>648</v>
      </c>
      <c r="C2304" s="71" t="s">
        <v>187</v>
      </c>
      <c r="D2304" s="71" t="s">
        <v>421</v>
      </c>
      <c r="E2304" s="71" t="s">
        <v>422</v>
      </c>
      <c r="F2304" s="71" t="s">
        <v>298</v>
      </c>
      <c r="G2304" s="88">
        <v>46288.922129629602</v>
      </c>
      <c r="H2304" s="89">
        <v>46288</v>
      </c>
      <c r="I2304" s="71" t="s">
        <v>668</v>
      </c>
      <c r="J2304" s="71">
        <v>877</v>
      </c>
      <c r="K2304" s="71" t="s">
        <v>293</v>
      </c>
      <c r="L2304" s="71">
        <f t="shared" si="315"/>
        <v>9</v>
      </c>
      <c r="M2304" s="71" t="str">
        <f>IFERROR(INDEX(KALENDER!$D$3:$D$132,MATCH(H2304,KALENDER!$A$3:$A$132,0)),"Di luar periode")</f>
        <v>Hari Kerja</v>
      </c>
      <c r="N2304" s="71">
        <f t="shared" si="316"/>
        <v>0</v>
      </c>
      <c r="O2304" s="71">
        <f t="shared" si="317"/>
        <v>1</v>
      </c>
      <c r="P2304" s="71">
        <f t="shared" si="318"/>
        <v>0</v>
      </c>
      <c r="Q2304" s="71">
        <f t="shared" si="319"/>
        <v>0</v>
      </c>
      <c r="R2304" s="71">
        <f t="shared" si="320"/>
        <v>0</v>
      </c>
      <c r="S2304" s="71">
        <f t="shared" si="321"/>
        <v>0</v>
      </c>
      <c r="T2304" s="71">
        <f t="shared" si="322"/>
        <v>0</v>
      </c>
      <c r="U2304" s="71">
        <f>IF(AND(N2304=1,V2304=1),IF(COUNTIFS(AKTIVITAS!$B$2:$B$3052,B2304,AKTIVITAS!$E$2:$E$3052,H2304)&gt;0,1,0),0)</f>
        <v>0</v>
      </c>
      <c r="V2304" s="71">
        <f>IFERROR(IF(AND(H2304&gt;=INDEX(PEMAGANG!$J$3:$J$36,MATCH(B2304,PEMAGANG!$C$3:$C$36,0)),H2304&lt;=INDEX(PEMAGANG!$K$3:$K$36,MATCH(B2304,PEMAGANG!$C$3:$C$36,0))),1,0),0)</f>
        <v>0</v>
      </c>
      <c r="W2304" s="71">
        <f t="shared" si="323"/>
        <v>0</v>
      </c>
    </row>
    <row r="2305" spans="1:23" x14ac:dyDescent="0.2">
      <c r="A2305" s="71" t="s">
        <v>647</v>
      </c>
      <c r="B2305" s="71" t="s">
        <v>648</v>
      </c>
      <c r="C2305" s="71" t="s">
        <v>187</v>
      </c>
      <c r="D2305" s="71" t="s">
        <v>421</v>
      </c>
      <c r="E2305" s="71" t="s">
        <v>422</v>
      </c>
      <c r="F2305" s="71" t="s">
        <v>300</v>
      </c>
      <c r="G2305" s="88">
        <v>46289.292812500003</v>
      </c>
      <c r="H2305" s="89">
        <v>46289</v>
      </c>
      <c r="I2305" s="71" t="s">
        <v>491</v>
      </c>
      <c r="J2305" s="71">
        <v>0</v>
      </c>
      <c r="K2305" s="71" t="s">
        <v>302</v>
      </c>
      <c r="L2305" s="71">
        <f t="shared" si="315"/>
        <v>9</v>
      </c>
      <c r="M2305" s="71" t="str">
        <f>IFERROR(INDEX(KALENDER!$D$3:$D$132,MATCH(H2305,KALENDER!$A$3:$A$132,0)),"Di luar periode")</f>
        <v>Hari Kerja</v>
      </c>
      <c r="N2305" s="71">
        <f t="shared" si="316"/>
        <v>1</v>
      </c>
      <c r="O2305" s="71">
        <f t="shared" si="317"/>
        <v>0</v>
      </c>
      <c r="P2305" s="71">
        <f t="shared" si="318"/>
        <v>0</v>
      </c>
      <c r="Q2305" s="71">
        <f t="shared" si="319"/>
        <v>1</v>
      </c>
      <c r="R2305" s="71">
        <f t="shared" si="320"/>
        <v>0</v>
      </c>
      <c r="S2305" s="71">
        <f t="shared" si="321"/>
        <v>0</v>
      </c>
      <c r="T2305" s="71">
        <f t="shared" si="322"/>
        <v>0</v>
      </c>
      <c r="U2305" s="71">
        <f>IF(AND(N2305=1,V2305=1),IF(COUNTIFS(AKTIVITAS!$B$2:$B$3052,B2305,AKTIVITAS!$E$2:$E$3052,H2305)&gt;0,1,0),0)</f>
        <v>0</v>
      </c>
      <c r="V2305" s="71">
        <f>IFERROR(IF(AND(H2305&gt;=INDEX(PEMAGANG!$J$3:$J$36,MATCH(B2305,PEMAGANG!$C$3:$C$36,0)),H2305&lt;=INDEX(PEMAGANG!$K$3:$K$36,MATCH(B2305,PEMAGANG!$C$3:$C$36,0))),1,0),0)</f>
        <v>0</v>
      </c>
      <c r="W2305" s="71">
        <f t="shared" si="323"/>
        <v>0</v>
      </c>
    </row>
    <row r="2306" spans="1:23" x14ac:dyDescent="0.2">
      <c r="A2306" s="71" t="s">
        <v>647</v>
      </c>
      <c r="B2306" s="71" t="s">
        <v>648</v>
      </c>
      <c r="C2306" s="71" t="s">
        <v>187</v>
      </c>
      <c r="D2306" s="71" t="s">
        <v>421</v>
      </c>
      <c r="E2306" s="71" t="s">
        <v>422</v>
      </c>
      <c r="F2306" s="71" t="s">
        <v>298</v>
      </c>
      <c r="G2306" s="88">
        <v>46289.9225462963</v>
      </c>
      <c r="H2306" s="89">
        <v>46289</v>
      </c>
      <c r="I2306" s="71" t="s">
        <v>669</v>
      </c>
      <c r="J2306" s="71">
        <v>878</v>
      </c>
      <c r="K2306" s="71" t="s">
        <v>293</v>
      </c>
      <c r="L2306" s="71">
        <f t="shared" ref="L2306:L2369" si="324">MONTH(H2306)</f>
        <v>9</v>
      </c>
      <c r="M2306" s="71" t="str">
        <f>IFERROR(INDEX(KALENDER!$D$3:$D$132,MATCH(H2306,KALENDER!$A$3:$A$132,0)),"Di luar periode")</f>
        <v>Hari Kerja</v>
      </c>
      <c r="N2306" s="71">
        <f t="shared" ref="N2306:N2369" si="325">IF(AND(B2306=B2305,H2306=H2305),0,1)</f>
        <v>0</v>
      </c>
      <c r="O2306" s="71">
        <f t="shared" ref="O2306:O2369" si="326">IF(N2306=1,0,O2305)+IF(F2306="MASUK",1,0)</f>
        <v>1</v>
      </c>
      <c r="P2306" s="71">
        <f t="shared" ref="P2306:P2369" si="327">IF(AND(N2306=1,M2306="Hari Kerja",V2306=1),1,0)</f>
        <v>0</v>
      </c>
      <c r="Q2306" s="71">
        <f t="shared" ref="Q2306:Q2369" si="328">IF(AND(N2306=1,OR(M2306&lt;&gt;"Hari Kerja",V2306=0)),1,0)</f>
        <v>0</v>
      </c>
      <c r="R2306" s="71">
        <f t="shared" ref="R2306:R2369" si="329">IF(AND(F2306="MASUK",O2306=1,N(J2306)&gt;0,V2306=1),1,0)</f>
        <v>0</v>
      </c>
      <c r="S2306" s="71">
        <f t="shared" ref="S2306:S2369" si="330">R2306*N(J2306)</f>
        <v>0</v>
      </c>
      <c r="T2306" s="71">
        <f t="shared" ref="T2306:T2369" si="331">IF(AND(N2306=1,V2306=1),IF(AND(COUNTIFS($B$2:$B$4094,B2306,$H$2:$H$4094,H2306,$F$2:$F$4094,"MASUK")&gt;0,COUNTIFS($B$2:$B$4094,B2306,$H$2:$H$4094,H2306,$F$2:$F$4094,"PULANG")=0),1,0),0)</f>
        <v>0</v>
      </c>
      <c r="U2306" s="71">
        <f>IF(AND(N2306=1,V2306=1),IF(COUNTIFS(AKTIVITAS!$B$2:$B$3052,B2306,AKTIVITAS!$E$2:$E$3052,H2306)&gt;0,1,0),0)</f>
        <v>0</v>
      </c>
      <c r="V2306" s="71">
        <f>IFERROR(IF(AND(H2306&gt;=INDEX(PEMAGANG!$J$3:$J$36,MATCH(B2306,PEMAGANG!$C$3:$C$36,0)),H2306&lt;=INDEX(PEMAGANG!$K$3:$K$36,MATCH(B2306,PEMAGANG!$C$3:$C$36,0))),1,0),0)</f>
        <v>0</v>
      </c>
      <c r="W2306" s="71">
        <f t="shared" ref="W2306:W2369" si="332">N2306*V2306</f>
        <v>0</v>
      </c>
    </row>
    <row r="2307" spans="1:23" x14ac:dyDescent="0.2">
      <c r="A2307" s="71" t="s">
        <v>647</v>
      </c>
      <c r="B2307" s="71" t="s">
        <v>648</v>
      </c>
      <c r="C2307" s="71" t="s">
        <v>187</v>
      </c>
      <c r="D2307" s="71" t="s">
        <v>421</v>
      </c>
      <c r="E2307" s="71" t="s">
        <v>422</v>
      </c>
      <c r="F2307" s="71" t="s">
        <v>300</v>
      </c>
      <c r="G2307" s="88">
        <v>46290.292673611097</v>
      </c>
      <c r="H2307" s="89">
        <v>46290</v>
      </c>
      <c r="I2307" s="71" t="s">
        <v>491</v>
      </c>
      <c r="J2307" s="71">
        <v>0</v>
      </c>
      <c r="K2307" s="71" t="s">
        <v>302</v>
      </c>
      <c r="L2307" s="71">
        <f t="shared" si="324"/>
        <v>9</v>
      </c>
      <c r="M2307" s="71" t="str">
        <f>IFERROR(INDEX(KALENDER!$D$3:$D$132,MATCH(H2307,KALENDER!$A$3:$A$132,0)),"Di luar periode")</f>
        <v>Hari Kerja</v>
      </c>
      <c r="N2307" s="71">
        <f t="shared" si="325"/>
        <v>1</v>
      </c>
      <c r="O2307" s="71">
        <f t="shared" si="326"/>
        <v>0</v>
      </c>
      <c r="P2307" s="71">
        <f t="shared" si="327"/>
        <v>0</v>
      </c>
      <c r="Q2307" s="71">
        <f t="shared" si="328"/>
        <v>1</v>
      </c>
      <c r="R2307" s="71">
        <f t="shared" si="329"/>
        <v>0</v>
      </c>
      <c r="S2307" s="71">
        <f t="shared" si="330"/>
        <v>0</v>
      </c>
      <c r="T2307" s="71">
        <f t="shared" si="331"/>
        <v>0</v>
      </c>
      <c r="U2307" s="71">
        <f>IF(AND(N2307=1,V2307=1),IF(COUNTIFS(AKTIVITAS!$B$2:$B$3052,B2307,AKTIVITAS!$E$2:$E$3052,H2307)&gt;0,1,0),0)</f>
        <v>0</v>
      </c>
      <c r="V2307" s="71">
        <f>IFERROR(IF(AND(H2307&gt;=INDEX(PEMAGANG!$J$3:$J$36,MATCH(B2307,PEMAGANG!$C$3:$C$36,0)),H2307&lt;=INDEX(PEMAGANG!$K$3:$K$36,MATCH(B2307,PEMAGANG!$C$3:$C$36,0))),1,0),0)</f>
        <v>0</v>
      </c>
      <c r="W2307" s="71">
        <f t="shared" si="332"/>
        <v>0</v>
      </c>
    </row>
    <row r="2308" spans="1:23" x14ac:dyDescent="0.2">
      <c r="A2308" s="71" t="s">
        <v>647</v>
      </c>
      <c r="B2308" s="71" t="s">
        <v>648</v>
      </c>
      <c r="C2308" s="71" t="s">
        <v>187</v>
      </c>
      <c r="D2308" s="71" t="s">
        <v>421</v>
      </c>
      <c r="E2308" s="71" t="s">
        <v>422</v>
      </c>
      <c r="F2308" s="71" t="s">
        <v>298</v>
      </c>
      <c r="G2308" s="88">
        <v>46290.919814814799</v>
      </c>
      <c r="H2308" s="89">
        <v>46290</v>
      </c>
      <c r="I2308" s="71" t="s">
        <v>658</v>
      </c>
      <c r="J2308" s="71">
        <v>874</v>
      </c>
      <c r="K2308" s="71" t="s">
        <v>293</v>
      </c>
      <c r="L2308" s="71">
        <f t="shared" si="324"/>
        <v>9</v>
      </c>
      <c r="M2308" s="71" t="str">
        <f>IFERROR(INDEX(KALENDER!$D$3:$D$132,MATCH(H2308,KALENDER!$A$3:$A$132,0)),"Di luar periode")</f>
        <v>Hari Kerja</v>
      </c>
      <c r="N2308" s="71">
        <f t="shared" si="325"/>
        <v>0</v>
      </c>
      <c r="O2308" s="71">
        <f t="shared" si="326"/>
        <v>1</v>
      </c>
      <c r="P2308" s="71">
        <f t="shared" si="327"/>
        <v>0</v>
      </c>
      <c r="Q2308" s="71">
        <f t="shared" si="328"/>
        <v>0</v>
      </c>
      <c r="R2308" s="71">
        <f t="shared" si="329"/>
        <v>0</v>
      </c>
      <c r="S2308" s="71">
        <f t="shared" si="330"/>
        <v>0</v>
      </c>
      <c r="T2308" s="71">
        <f t="shared" si="331"/>
        <v>0</v>
      </c>
      <c r="U2308" s="71">
        <f>IF(AND(N2308=1,V2308=1),IF(COUNTIFS(AKTIVITAS!$B$2:$B$3052,B2308,AKTIVITAS!$E$2:$E$3052,H2308)&gt;0,1,0),0)</f>
        <v>0</v>
      </c>
      <c r="V2308" s="71">
        <f>IFERROR(IF(AND(H2308&gt;=INDEX(PEMAGANG!$J$3:$J$36,MATCH(B2308,PEMAGANG!$C$3:$C$36,0)),H2308&lt;=INDEX(PEMAGANG!$K$3:$K$36,MATCH(B2308,PEMAGANG!$C$3:$C$36,0))),1,0),0)</f>
        <v>0</v>
      </c>
      <c r="W2308" s="71">
        <f t="shared" si="332"/>
        <v>0</v>
      </c>
    </row>
    <row r="2309" spans="1:23" x14ac:dyDescent="0.2">
      <c r="A2309" s="71" t="s">
        <v>647</v>
      </c>
      <c r="B2309" s="71" t="s">
        <v>648</v>
      </c>
      <c r="C2309" s="71" t="s">
        <v>187</v>
      </c>
      <c r="D2309" s="71" t="s">
        <v>421</v>
      </c>
      <c r="E2309" s="71" t="s">
        <v>422</v>
      </c>
      <c r="F2309" s="71" t="s">
        <v>300</v>
      </c>
      <c r="G2309" s="88">
        <v>46291.292766203696</v>
      </c>
      <c r="H2309" s="89">
        <v>46291</v>
      </c>
      <c r="I2309" s="71" t="s">
        <v>491</v>
      </c>
      <c r="J2309" s="71">
        <v>0</v>
      </c>
      <c r="K2309" s="71" t="s">
        <v>302</v>
      </c>
      <c r="L2309" s="71">
        <f t="shared" si="324"/>
        <v>9</v>
      </c>
      <c r="M2309" s="71" t="str">
        <f>IFERROR(INDEX(KALENDER!$D$3:$D$132,MATCH(H2309,KALENDER!$A$3:$A$132,0)),"Di luar periode")</f>
        <v>Libur (Sabtu/Minggu)</v>
      </c>
      <c r="N2309" s="71">
        <f t="shared" si="325"/>
        <v>1</v>
      </c>
      <c r="O2309" s="71">
        <f t="shared" si="326"/>
        <v>0</v>
      </c>
      <c r="P2309" s="71">
        <f t="shared" si="327"/>
        <v>0</v>
      </c>
      <c r="Q2309" s="71">
        <f t="shared" si="328"/>
        <v>1</v>
      </c>
      <c r="R2309" s="71">
        <f t="shared" si="329"/>
        <v>0</v>
      </c>
      <c r="S2309" s="71">
        <f t="shared" si="330"/>
        <v>0</v>
      </c>
      <c r="T2309" s="71">
        <f t="shared" si="331"/>
        <v>0</v>
      </c>
      <c r="U2309" s="71">
        <f>IF(AND(N2309=1,V2309=1),IF(COUNTIFS(AKTIVITAS!$B$2:$B$3052,B2309,AKTIVITAS!$E$2:$E$3052,H2309)&gt;0,1,0),0)</f>
        <v>0</v>
      </c>
      <c r="V2309" s="71">
        <f>IFERROR(IF(AND(H2309&gt;=INDEX(PEMAGANG!$J$3:$J$36,MATCH(B2309,PEMAGANG!$C$3:$C$36,0)),H2309&lt;=INDEX(PEMAGANG!$K$3:$K$36,MATCH(B2309,PEMAGANG!$C$3:$C$36,0))),1,0),0)</f>
        <v>0</v>
      </c>
      <c r="W2309" s="71">
        <f t="shared" si="332"/>
        <v>0</v>
      </c>
    </row>
    <row r="2310" spans="1:23" x14ac:dyDescent="0.2">
      <c r="A2310" s="71" t="s">
        <v>647</v>
      </c>
      <c r="B2310" s="71" t="s">
        <v>648</v>
      </c>
      <c r="C2310" s="71" t="s">
        <v>187</v>
      </c>
      <c r="D2310" s="71" t="s">
        <v>421</v>
      </c>
      <c r="E2310" s="71" t="s">
        <v>422</v>
      </c>
      <c r="F2310" s="71" t="s">
        <v>298</v>
      </c>
      <c r="G2310" s="88">
        <v>46291.751157407401</v>
      </c>
      <c r="H2310" s="89">
        <v>46291</v>
      </c>
      <c r="I2310" s="71" t="s">
        <v>393</v>
      </c>
      <c r="J2310" s="71">
        <v>631</v>
      </c>
      <c r="K2310" s="71" t="s">
        <v>293</v>
      </c>
      <c r="L2310" s="71">
        <f t="shared" si="324"/>
        <v>9</v>
      </c>
      <c r="M2310" s="71" t="str">
        <f>IFERROR(INDEX(KALENDER!$D$3:$D$132,MATCH(H2310,KALENDER!$A$3:$A$132,0)),"Di luar periode")</f>
        <v>Libur (Sabtu/Minggu)</v>
      </c>
      <c r="N2310" s="71">
        <f t="shared" si="325"/>
        <v>0</v>
      </c>
      <c r="O2310" s="71">
        <f t="shared" si="326"/>
        <v>1</v>
      </c>
      <c r="P2310" s="71">
        <f t="shared" si="327"/>
        <v>0</v>
      </c>
      <c r="Q2310" s="71">
        <f t="shared" si="328"/>
        <v>0</v>
      </c>
      <c r="R2310" s="71">
        <f t="shared" si="329"/>
        <v>0</v>
      </c>
      <c r="S2310" s="71">
        <f t="shared" si="330"/>
        <v>0</v>
      </c>
      <c r="T2310" s="71">
        <f t="shared" si="331"/>
        <v>0</v>
      </c>
      <c r="U2310" s="71">
        <f>IF(AND(N2310=1,V2310=1),IF(COUNTIFS(AKTIVITAS!$B$2:$B$3052,B2310,AKTIVITAS!$E$2:$E$3052,H2310)&gt;0,1,0),0)</f>
        <v>0</v>
      </c>
      <c r="V2310" s="71">
        <f>IFERROR(IF(AND(H2310&gt;=INDEX(PEMAGANG!$J$3:$J$36,MATCH(B2310,PEMAGANG!$C$3:$C$36,0)),H2310&lt;=INDEX(PEMAGANG!$K$3:$K$36,MATCH(B2310,PEMAGANG!$C$3:$C$36,0))),1,0),0)</f>
        <v>0</v>
      </c>
      <c r="W2310" s="71">
        <f t="shared" si="332"/>
        <v>0</v>
      </c>
    </row>
    <row r="2311" spans="1:23" x14ac:dyDescent="0.2">
      <c r="A2311" s="71" t="s">
        <v>647</v>
      </c>
      <c r="B2311" s="71" t="s">
        <v>648</v>
      </c>
      <c r="C2311" s="71" t="s">
        <v>187</v>
      </c>
      <c r="D2311" s="71" t="s">
        <v>421</v>
      </c>
      <c r="E2311" s="71" t="s">
        <v>422</v>
      </c>
      <c r="F2311" s="71" t="s">
        <v>300</v>
      </c>
      <c r="G2311" s="88">
        <v>46292.295057870397</v>
      </c>
      <c r="H2311" s="89">
        <v>46292</v>
      </c>
      <c r="I2311" s="71" t="s">
        <v>411</v>
      </c>
      <c r="J2311" s="71">
        <v>0</v>
      </c>
      <c r="K2311" s="71" t="s">
        <v>302</v>
      </c>
      <c r="L2311" s="71">
        <f t="shared" si="324"/>
        <v>9</v>
      </c>
      <c r="M2311" s="71" t="str">
        <f>IFERROR(INDEX(KALENDER!$D$3:$D$132,MATCH(H2311,KALENDER!$A$3:$A$132,0)),"Di luar periode")</f>
        <v>Libur (Sabtu/Minggu)</v>
      </c>
      <c r="N2311" s="71">
        <f t="shared" si="325"/>
        <v>1</v>
      </c>
      <c r="O2311" s="71">
        <f t="shared" si="326"/>
        <v>0</v>
      </c>
      <c r="P2311" s="71">
        <f t="shared" si="327"/>
        <v>0</v>
      </c>
      <c r="Q2311" s="71">
        <f t="shared" si="328"/>
        <v>1</v>
      </c>
      <c r="R2311" s="71">
        <f t="shared" si="329"/>
        <v>0</v>
      </c>
      <c r="S2311" s="71">
        <f t="shared" si="330"/>
        <v>0</v>
      </c>
      <c r="T2311" s="71">
        <f t="shared" si="331"/>
        <v>0</v>
      </c>
      <c r="U2311" s="71">
        <f>IF(AND(N2311=1,V2311=1),IF(COUNTIFS(AKTIVITAS!$B$2:$B$3052,B2311,AKTIVITAS!$E$2:$E$3052,H2311)&gt;0,1,0),0)</f>
        <v>0</v>
      </c>
      <c r="V2311" s="71">
        <f>IFERROR(IF(AND(H2311&gt;=INDEX(PEMAGANG!$J$3:$J$36,MATCH(B2311,PEMAGANG!$C$3:$C$36,0)),H2311&lt;=INDEX(PEMAGANG!$K$3:$K$36,MATCH(B2311,PEMAGANG!$C$3:$C$36,0))),1,0),0)</f>
        <v>0</v>
      </c>
      <c r="W2311" s="71">
        <f t="shared" si="332"/>
        <v>0</v>
      </c>
    </row>
    <row r="2312" spans="1:23" x14ac:dyDescent="0.2">
      <c r="A2312" s="71" t="s">
        <v>647</v>
      </c>
      <c r="B2312" s="71" t="s">
        <v>648</v>
      </c>
      <c r="C2312" s="71" t="s">
        <v>187</v>
      </c>
      <c r="D2312" s="71" t="s">
        <v>421</v>
      </c>
      <c r="E2312" s="71" t="s">
        <v>422</v>
      </c>
      <c r="F2312" s="71" t="s">
        <v>298</v>
      </c>
      <c r="G2312" s="88">
        <v>46293.251064814802</v>
      </c>
      <c r="H2312" s="89">
        <v>46293</v>
      </c>
      <c r="I2312" s="71" t="s">
        <v>470</v>
      </c>
      <c r="J2312" s="71">
        <v>-89</v>
      </c>
      <c r="K2312" s="71" t="s">
        <v>302</v>
      </c>
      <c r="L2312" s="71">
        <f t="shared" si="324"/>
        <v>9</v>
      </c>
      <c r="M2312" s="71" t="str">
        <f>IFERROR(INDEX(KALENDER!$D$3:$D$132,MATCH(H2312,KALENDER!$A$3:$A$132,0)),"Di luar periode")</f>
        <v>Hari Kerja</v>
      </c>
      <c r="N2312" s="71">
        <f t="shared" si="325"/>
        <v>1</v>
      </c>
      <c r="O2312" s="71">
        <f t="shared" si="326"/>
        <v>1</v>
      </c>
      <c r="P2312" s="71">
        <f t="shared" si="327"/>
        <v>0</v>
      </c>
      <c r="Q2312" s="71">
        <f t="shared" si="328"/>
        <v>1</v>
      </c>
      <c r="R2312" s="71">
        <f t="shared" si="329"/>
        <v>0</v>
      </c>
      <c r="S2312" s="71">
        <f t="shared" si="330"/>
        <v>0</v>
      </c>
      <c r="T2312" s="71">
        <f t="shared" si="331"/>
        <v>0</v>
      </c>
      <c r="U2312" s="71">
        <f>IF(AND(N2312=1,V2312=1),IF(COUNTIFS(AKTIVITAS!$B$2:$B$3052,B2312,AKTIVITAS!$E$2:$E$3052,H2312)&gt;0,1,0),0)</f>
        <v>0</v>
      </c>
      <c r="V2312" s="71">
        <f>IFERROR(IF(AND(H2312&gt;=INDEX(PEMAGANG!$J$3:$J$36,MATCH(B2312,PEMAGANG!$C$3:$C$36,0)),H2312&lt;=INDEX(PEMAGANG!$K$3:$K$36,MATCH(B2312,PEMAGANG!$C$3:$C$36,0))),1,0),0)</f>
        <v>0</v>
      </c>
      <c r="W2312" s="71">
        <f t="shared" si="332"/>
        <v>0</v>
      </c>
    </row>
    <row r="2313" spans="1:23" x14ac:dyDescent="0.2">
      <c r="A2313" s="71" t="s">
        <v>647</v>
      </c>
      <c r="B2313" s="71" t="s">
        <v>648</v>
      </c>
      <c r="C2313" s="71" t="s">
        <v>187</v>
      </c>
      <c r="D2313" s="71" t="s">
        <v>421</v>
      </c>
      <c r="E2313" s="71" t="s">
        <v>422</v>
      </c>
      <c r="F2313" s="71" t="s">
        <v>300</v>
      </c>
      <c r="G2313" s="88">
        <v>46293.794189814798</v>
      </c>
      <c r="H2313" s="89">
        <v>46293</v>
      </c>
      <c r="I2313" s="71" t="s">
        <v>663</v>
      </c>
      <c r="J2313" s="71">
        <v>0</v>
      </c>
      <c r="K2313" s="71" t="s">
        <v>302</v>
      </c>
      <c r="L2313" s="71">
        <f t="shared" si="324"/>
        <v>9</v>
      </c>
      <c r="M2313" s="71" t="str">
        <f>IFERROR(INDEX(KALENDER!$D$3:$D$132,MATCH(H2313,KALENDER!$A$3:$A$132,0)),"Di luar periode")</f>
        <v>Hari Kerja</v>
      </c>
      <c r="N2313" s="71">
        <f t="shared" si="325"/>
        <v>0</v>
      </c>
      <c r="O2313" s="71">
        <f t="shared" si="326"/>
        <v>1</v>
      </c>
      <c r="P2313" s="71">
        <f t="shared" si="327"/>
        <v>0</v>
      </c>
      <c r="Q2313" s="71">
        <f t="shared" si="328"/>
        <v>0</v>
      </c>
      <c r="R2313" s="71">
        <f t="shared" si="329"/>
        <v>0</v>
      </c>
      <c r="S2313" s="71">
        <f t="shared" si="330"/>
        <v>0</v>
      </c>
      <c r="T2313" s="71">
        <f t="shared" si="331"/>
        <v>0</v>
      </c>
      <c r="U2313" s="71">
        <f>IF(AND(N2313=1,V2313=1),IF(COUNTIFS(AKTIVITAS!$B$2:$B$3052,B2313,AKTIVITAS!$E$2:$E$3052,H2313)&gt;0,1,0),0)</f>
        <v>0</v>
      </c>
      <c r="V2313" s="71">
        <f>IFERROR(IF(AND(H2313&gt;=INDEX(PEMAGANG!$J$3:$J$36,MATCH(B2313,PEMAGANG!$C$3:$C$36,0)),H2313&lt;=INDEX(PEMAGANG!$K$3:$K$36,MATCH(B2313,PEMAGANG!$C$3:$C$36,0))),1,0),0)</f>
        <v>0</v>
      </c>
      <c r="W2313" s="71">
        <f t="shared" si="332"/>
        <v>0</v>
      </c>
    </row>
    <row r="2314" spans="1:23" x14ac:dyDescent="0.2">
      <c r="A2314" s="71" t="s">
        <v>647</v>
      </c>
      <c r="B2314" s="71" t="s">
        <v>648</v>
      </c>
      <c r="C2314" s="71" t="s">
        <v>187</v>
      </c>
      <c r="D2314" s="71" t="s">
        <v>421</v>
      </c>
      <c r="E2314" s="71" t="s">
        <v>422</v>
      </c>
      <c r="F2314" s="71" t="s">
        <v>298</v>
      </c>
      <c r="G2314" s="88">
        <v>46294.918391203697</v>
      </c>
      <c r="H2314" s="89">
        <v>46294</v>
      </c>
      <c r="I2314" s="71" t="s">
        <v>655</v>
      </c>
      <c r="J2314" s="71">
        <v>872</v>
      </c>
      <c r="K2314" s="71" t="s">
        <v>293</v>
      </c>
      <c r="L2314" s="71">
        <f t="shared" si="324"/>
        <v>9</v>
      </c>
      <c r="M2314" s="71" t="str">
        <f>IFERROR(INDEX(KALENDER!$D$3:$D$132,MATCH(H2314,KALENDER!$A$3:$A$132,0)),"Di luar periode")</f>
        <v>Hari Kerja</v>
      </c>
      <c r="N2314" s="71">
        <f t="shared" si="325"/>
        <v>1</v>
      </c>
      <c r="O2314" s="71">
        <f t="shared" si="326"/>
        <v>1</v>
      </c>
      <c r="P2314" s="71">
        <f t="shared" si="327"/>
        <v>0</v>
      </c>
      <c r="Q2314" s="71">
        <f t="shared" si="328"/>
        <v>1</v>
      </c>
      <c r="R2314" s="71">
        <f t="shared" si="329"/>
        <v>0</v>
      </c>
      <c r="S2314" s="71">
        <f t="shared" si="330"/>
        <v>0</v>
      </c>
      <c r="T2314" s="71">
        <f t="shared" si="331"/>
        <v>0</v>
      </c>
      <c r="U2314" s="71">
        <f>IF(AND(N2314=1,V2314=1),IF(COUNTIFS(AKTIVITAS!$B$2:$B$3052,B2314,AKTIVITAS!$E$2:$E$3052,H2314)&gt;0,1,0),0)</f>
        <v>0</v>
      </c>
      <c r="V2314" s="71">
        <f>IFERROR(IF(AND(H2314&gt;=INDEX(PEMAGANG!$J$3:$J$36,MATCH(B2314,PEMAGANG!$C$3:$C$36,0)),H2314&lt;=INDEX(PEMAGANG!$K$3:$K$36,MATCH(B2314,PEMAGANG!$C$3:$C$36,0))),1,0),0)</f>
        <v>0</v>
      </c>
      <c r="W2314" s="71">
        <f t="shared" si="332"/>
        <v>0</v>
      </c>
    </row>
    <row r="2315" spans="1:23" x14ac:dyDescent="0.2">
      <c r="A2315" s="71" t="s">
        <v>647</v>
      </c>
      <c r="B2315" s="71" t="s">
        <v>648</v>
      </c>
      <c r="C2315" s="71" t="s">
        <v>187</v>
      </c>
      <c r="D2315" s="71" t="s">
        <v>421</v>
      </c>
      <c r="E2315" s="71" t="s">
        <v>422</v>
      </c>
      <c r="F2315" s="71" t="s">
        <v>300</v>
      </c>
      <c r="G2315" s="88">
        <v>46295.292696759301</v>
      </c>
      <c r="H2315" s="89">
        <v>46295</v>
      </c>
      <c r="I2315" s="71" t="s">
        <v>491</v>
      </c>
      <c r="J2315" s="71">
        <v>0</v>
      </c>
      <c r="K2315" s="71" t="s">
        <v>302</v>
      </c>
      <c r="L2315" s="71">
        <f t="shared" si="324"/>
        <v>9</v>
      </c>
      <c r="M2315" s="71" t="str">
        <f>IFERROR(INDEX(KALENDER!$D$3:$D$132,MATCH(H2315,KALENDER!$A$3:$A$132,0)),"Di luar periode")</f>
        <v>Hari Kerja</v>
      </c>
      <c r="N2315" s="71">
        <f t="shared" si="325"/>
        <v>1</v>
      </c>
      <c r="O2315" s="71">
        <f t="shared" si="326"/>
        <v>0</v>
      </c>
      <c r="P2315" s="71">
        <f t="shared" si="327"/>
        <v>0</v>
      </c>
      <c r="Q2315" s="71">
        <f t="shared" si="328"/>
        <v>1</v>
      </c>
      <c r="R2315" s="71">
        <f t="shared" si="329"/>
        <v>0</v>
      </c>
      <c r="S2315" s="71">
        <f t="shared" si="330"/>
        <v>0</v>
      </c>
      <c r="T2315" s="71">
        <f t="shared" si="331"/>
        <v>0</v>
      </c>
      <c r="U2315" s="71">
        <f>IF(AND(N2315=1,V2315=1),IF(COUNTIFS(AKTIVITAS!$B$2:$B$3052,B2315,AKTIVITAS!$E$2:$E$3052,H2315)&gt;0,1,0),0)</f>
        <v>0</v>
      </c>
      <c r="V2315" s="71">
        <f>IFERROR(IF(AND(H2315&gt;=INDEX(PEMAGANG!$J$3:$J$36,MATCH(B2315,PEMAGANG!$C$3:$C$36,0)),H2315&lt;=INDEX(PEMAGANG!$K$3:$K$36,MATCH(B2315,PEMAGANG!$C$3:$C$36,0))),1,0),0)</f>
        <v>0</v>
      </c>
      <c r="W2315" s="71">
        <f t="shared" si="332"/>
        <v>0</v>
      </c>
    </row>
    <row r="2316" spans="1:23" x14ac:dyDescent="0.2">
      <c r="A2316" s="71" t="s">
        <v>647</v>
      </c>
      <c r="B2316" s="71" t="s">
        <v>648</v>
      </c>
      <c r="C2316" s="71" t="s">
        <v>187</v>
      </c>
      <c r="D2316" s="71" t="s">
        <v>421</v>
      </c>
      <c r="E2316" s="71" t="s">
        <v>422</v>
      </c>
      <c r="F2316" s="71" t="s">
        <v>298</v>
      </c>
      <c r="G2316" s="88">
        <v>46295.919340277796</v>
      </c>
      <c r="H2316" s="89">
        <v>46295</v>
      </c>
      <c r="I2316" s="71" t="s">
        <v>653</v>
      </c>
      <c r="J2316" s="71">
        <v>873</v>
      </c>
      <c r="K2316" s="71" t="s">
        <v>293</v>
      </c>
      <c r="L2316" s="71">
        <f t="shared" si="324"/>
        <v>9</v>
      </c>
      <c r="M2316" s="71" t="str">
        <f>IFERROR(INDEX(KALENDER!$D$3:$D$132,MATCH(H2316,KALENDER!$A$3:$A$132,0)),"Di luar periode")</f>
        <v>Hari Kerja</v>
      </c>
      <c r="N2316" s="71">
        <f t="shared" si="325"/>
        <v>0</v>
      </c>
      <c r="O2316" s="71">
        <f t="shared" si="326"/>
        <v>1</v>
      </c>
      <c r="P2316" s="71">
        <f t="shared" si="327"/>
        <v>0</v>
      </c>
      <c r="Q2316" s="71">
        <f t="shared" si="328"/>
        <v>0</v>
      </c>
      <c r="R2316" s="71">
        <f t="shared" si="329"/>
        <v>0</v>
      </c>
      <c r="S2316" s="71">
        <f t="shared" si="330"/>
        <v>0</v>
      </c>
      <c r="T2316" s="71">
        <f t="shared" si="331"/>
        <v>0</v>
      </c>
      <c r="U2316" s="71">
        <f>IF(AND(N2316=1,V2316=1),IF(COUNTIFS(AKTIVITAS!$B$2:$B$3052,B2316,AKTIVITAS!$E$2:$E$3052,H2316)&gt;0,1,0),0)</f>
        <v>0</v>
      </c>
      <c r="V2316" s="71">
        <f>IFERROR(IF(AND(H2316&gt;=INDEX(PEMAGANG!$J$3:$J$36,MATCH(B2316,PEMAGANG!$C$3:$C$36,0)),H2316&lt;=INDEX(PEMAGANG!$K$3:$K$36,MATCH(B2316,PEMAGANG!$C$3:$C$36,0))),1,0),0)</f>
        <v>0</v>
      </c>
      <c r="W2316" s="71">
        <f t="shared" si="332"/>
        <v>0</v>
      </c>
    </row>
    <row r="2317" spans="1:23" x14ac:dyDescent="0.2">
      <c r="A2317" s="71" t="s">
        <v>216</v>
      </c>
      <c r="B2317" s="71" t="s">
        <v>217</v>
      </c>
      <c r="C2317" s="71" t="s">
        <v>187</v>
      </c>
      <c r="D2317" s="71" t="s">
        <v>215</v>
      </c>
      <c r="E2317" s="71" t="s">
        <v>54</v>
      </c>
      <c r="F2317" s="71" t="s">
        <v>298</v>
      </c>
      <c r="G2317" s="88">
        <v>46178.466759259303</v>
      </c>
      <c r="H2317" s="89">
        <v>46178</v>
      </c>
      <c r="I2317" s="71" t="s">
        <v>670</v>
      </c>
      <c r="J2317" s="71">
        <v>222</v>
      </c>
      <c r="K2317" s="71" t="s">
        <v>293</v>
      </c>
      <c r="L2317" s="71">
        <f t="shared" si="324"/>
        <v>6</v>
      </c>
      <c r="M2317" s="71" t="str">
        <f>IFERROR(INDEX(KALENDER!$D$3:$D$132,MATCH(H2317,KALENDER!$A$3:$A$132,0)),"Di luar periode")</f>
        <v>Hari Kerja</v>
      </c>
      <c r="N2317" s="71">
        <f t="shared" si="325"/>
        <v>1</v>
      </c>
      <c r="O2317" s="71">
        <f t="shared" si="326"/>
        <v>1</v>
      </c>
      <c r="P2317" s="71">
        <f t="shared" si="327"/>
        <v>1</v>
      </c>
      <c r="Q2317" s="71">
        <f t="shared" si="328"/>
        <v>0</v>
      </c>
      <c r="R2317" s="71">
        <f t="shared" si="329"/>
        <v>1</v>
      </c>
      <c r="S2317" s="71">
        <f t="shared" si="330"/>
        <v>222</v>
      </c>
      <c r="T2317" s="71">
        <f t="shared" si="331"/>
        <v>0</v>
      </c>
      <c r="U2317" s="71">
        <f>IF(AND(N2317=1,V2317=1),IF(COUNTIFS(AKTIVITAS!$B$2:$B$3052,B2317,AKTIVITAS!$E$2:$E$3052,H2317)&gt;0,1,0),0)</f>
        <v>1</v>
      </c>
      <c r="V2317" s="71">
        <f>IFERROR(IF(AND(H2317&gt;=INDEX(PEMAGANG!$J$3:$J$36,MATCH(B2317,PEMAGANG!$C$3:$C$36,0)),H2317&lt;=INDEX(PEMAGANG!$K$3:$K$36,MATCH(B2317,PEMAGANG!$C$3:$C$36,0))),1,0),0)</f>
        <v>1</v>
      </c>
      <c r="W2317" s="71">
        <f t="shared" si="332"/>
        <v>1</v>
      </c>
    </row>
    <row r="2318" spans="1:23" x14ac:dyDescent="0.2">
      <c r="A2318" s="71" t="s">
        <v>216</v>
      </c>
      <c r="B2318" s="71" t="s">
        <v>217</v>
      </c>
      <c r="C2318" s="71" t="s">
        <v>187</v>
      </c>
      <c r="D2318" s="71" t="s">
        <v>215</v>
      </c>
      <c r="E2318" s="71" t="s">
        <v>54</v>
      </c>
      <c r="F2318" s="71" t="s">
        <v>300</v>
      </c>
      <c r="G2318" s="88">
        <v>46178.689537036997</v>
      </c>
      <c r="H2318" s="89">
        <v>46178</v>
      </c>
      <c r="I2318" s="71" t="s">
        <v>306</v>
      </c>
      <c r="J2318" s="71">
        <v>0</v>
      </c>
      <c r="K2318" s="71" t="s">
        <v>302</v>
      </c>
      <c r="L2318" s="71">
        <f t="shared" si="324"/>
        <v>6</v>
      </c>
      <c r="M2318" s="71" t="str">
        <f>IFERROR(INDEX(KALENDER!$D$3:$D$132,MATCH(H2318,KALENDER!$A$3:$A$132,0)),"Di luar periode")</f>
        <v>Hari Kerja</v>
      </c>
      <c r="N2318" s="71">
        <f t="shared" si="325"/>
        <v>0</v>
      </c>
      <c r="O2318" s="71">
        <f t="shared" si="326"/>
        <v>1</v>
      </c>
      <c r="P2318" s="71">
        <f t="shared" si="327"/>
        <v>0</v>
      </c>
      <c r="Q2318" s="71">
        <f t="shared" si="328"/>
        <v>0</v>
      </c>
      <c r="R2318" s="71">
        <f t="shared" si="329"/>
        <v>0</v>
      </c>
      <c r="S2318" s="71">
        <f t="shared" si="330"/>
        <v>0</v>
      </c>
      <c r="T2318" s="71">
        <f t="shared" si="331"/>
        <v>0</v>
      </c>
      <c r="U2318" s="71">
        <f>IF(AND(N2318=1,V2318=1),IF(COUNTIFS(AKTIVITAS!$B$2:$B$3052,B2318,AKTIVITAS!$E$2:$E$3052,H2318)&gt;0,1,0),0)</f>
        <v>0</v>
      </c>
      <c r="V2318" s="71">
        <f>IFERROR(IF(AND(H2318&gt;=INDEX(PEMAGANG!$J$3:$J$36,MATCH(B2318,PEMAGANG!$C$3:$C$36,0)),H2318&lt;=INDEX(PEMAGANG!$K$3:$K$36,MATCH(B2318,PEMAGANG!$C$3:$C$36,0))),1,0),0)</f>
        <v>1</v>
      </c>
      <c r="W2318" s="71">
        <f t="shared" si="332"/>
        <v>0</v>
      </c>
    </row>
    <row r="2319" spans="1:23" x14ac:dyDescent="0.2">
      <c r="A2319" s="71" t="s">
        <v>216</v>
      </c>
      <c r="B2319" s="71" t="s">
        <v>217</v>
      </c>
      <c r="C2319" s="71" t="s">
        <v>187</v>
      </c>
      <c r="D2319" s="71" t="s">
        <v>215</v>
      </c>
      <c r="E2319" s="71" t="s">
        <v>54</v>
      </c>
      <c r="F2319" s="71" t="s">
        <v>298</v>
      </c>
      <c r="G2319" s="88">
        <v>46181.301967592597</v>
      </c>
      <c r="H2319" s="89">
        <v>46181</v>
      </c>
      <c r="I2319" s="71" t="s">
        <v>416</v>
      </c>
      <c r="J2319" s="71">
        <v>-16</v>
      </c>
      <c r="K2319" s="71" t="s">
        <v>302</v>
      </c>
      <c r="L2319" s="71">
        <f t="shared" si="324"/>
        <v>6</v>
      </c>
      <c r="M2319" s="71" t="str">
        <f>IFERROR(INDEX(KALENDER!$D$3:$D$132,MATCH(H2319,KALENDER!$A$3:$A$132,0)),"Di luar periode")</f>
        <v>Hari Kerja</v>
      </c>
      <c r="N2319" s="71">
        <f t="shared" si="325"/>
        <v>1</v>
      </c>
      <c r="O2319" s="71">
        <f t="shared" si="326"/>
        <v>1</v>
      </c>
      <c r="P2319" s="71">
        <f t="shared" si="327"/>
        <v>1</v>
      </c>
      <c r="Q2319" s="71">
        <f t="shared" si="328"/>
        <v>0</v>
      </c>
      <c r="R2319" s="71">
        <f t="shared" si="329"/>
        <v>0</v>
      </c>
      <c r="S2319" s="71">
        <f t="shared" si="330"/>
        <v>0</v>
      </c>
      <c r="T2319" s="71">
        <f t="shared" si="331"/>
        <v>0</v>
      </c>
      <c r="U2319" s="71">
        <f>IF(AND(N2319=1,V2319=1),IF(COUNTIFS(AKTIVITAS!$B$2:$B$3052,B2319,AKTIVITAS!$E$2:$E$3052,H2319)&gt;0,1,0),0)</f>
        <v>1</v>
      </c>
      <c r="V2319" s="71">
        <f>IFERROR(IF(AND(H2319&gt;=INDEX(PEMAGANG!$J$3:$J$36,MATCH(B2319,PEMAGANG!$C$3:$C$36,0)),H2319&lt;=INDEX(PEMAGANG!$K$3:$K$36,MATCH(B2319,PEMAGANG!$C$3:$C$36,0))),1,0),0)</f>
        <v>1</v>
      </c>
      <c r="W2319" s="71">
        <f t="shared" si="332"/>
        <v>1</v>
      </c>
    </row>
    <row r="2320" spans="1:23" x14ac:dyDescent="0.2">
      <c r="A2320" s="71" t="s">
        <v>216</v>
      </c>
      <c r="B2320" s="71" t="s">
        <v>217</v>
      </c>
      <c r="C2320" s="71" t="s">
        <v>187</v>
      </c>
      <c r="D2320" s="71" t="s">
        <v>215</v>
      </c>
      <c r="E2320" s="71" t="s">
        <v>54</v>
      </c>
      <c r="F2320" s="71" t="s">
        <v>300</v>
      </c>
      <c r="G2320" s="88">
        <v>46181.690810185202</v>
      </c>
      <c r="H2320" s="89">
        <v>46181</v>
      </c>
      <c r="I2320" s="71" t="s">
        <v>314</v>
      </c>
      <c r="J2320" s="71">
        <v>0</v>
      </c>
      <c r="K2320" s="71" t="s">
        <v>302</v>
      </c>
      <c r="L2320" s="71">
        <f t="shared" si="324"/>
        <v>6</v>
      </c>
      <c r="M2320" s="71" t="str">
        <f>IFERROR(INDEX(KALENDER!$D$3:$D$132,MATCH(H2320,KALENDER!$A$3:$A$132,0)),"Di luar periode")</f>
        <v>Hari Kerja</v>
      </c>
      <c r="N2320" s="71">
        <f t="shared" si="325"/>
        <v>0</v>
      </c>
      <c r="O2320" s="71">
        <f t="shared" si="326"/>
        <v>1</v>
      </c>
      <c r="P2320" s="71">
        <f t="shared" si="327"/>
        <v>0</v>
      </c>
      <c r="Q2320" s="71">
        <f t="shared" si="328"/>
        <v>0</v>
      </c>
      <c r="R2320" s="71">
        <f t="shared" si="329"/>
        <v>0</v>
      </c>
      <c r="S2320" s="71">
        <f t="shared" si="330"/>
        <v>0</v>
      </c>
      <c r="T2320" s="71">
        <f t="shared" si="331"/>
        <v>0</v>
      </c>
      <c r="U2320" s="71">
        <f>IF(AND(N2320=1,V2320=1),IF(COUNTIFS(AKTIVITAS!$B$2:$B$3052,B2320,AKTIVITAS!$E$2:$E$3052,H2320)&gt;0,1,0),0)</f>
        <v>0</v>
      </c>
      <c r="V2320" s="71">
        <f>IFERROR(IF(AND(H2320&gt;=INDEX(PEMAGANG!$J$3:$J$36,MATCH(B2320,PEMAGANG!$C$3:$C$36,0)),H2320&lt;=INDEX(PEMAGANG!$K$3:$K$36,MATCH(B2320,PEMAGANG!$C$3:$C$36,0))),1,0),0)</f>
        <v>1</v>
      </c>
      <c r="W2320" s="71">
        <f t="shared" si="332"/>
        <v>0</v>
      </c>
    </row>
    <row r="2321" spans="1:23" x14ac:dyDescent="0.2">
      <c r="A2321" s="71" t="s">
        <v>216</v>
      </c>
      <c r="B2321" s="71" t="s">
        <v>217</v>
      </c>
      <c r="C2321" s="71" t="s">
        <v>187</v>
      </c>
      <c r="D2321" s="71" t="s">
        <v>215</v>
      </c>
      <c r="E2321" s="71" t="s">
        <v>54</v>
      </c>
      <c r="F2321" s="71" t="s">
        <v>298</v>
      </c>
      <c r="G2321" s="88">
        <v>46182.292557870402</v>
      </c>
      <c r="H2321" s="89">
        <v>46182</v>
      </c>
      <c r="I2321" s="71" t="s">
        <v>491</v>
      </c>
      <c r="J2321" s="71">
        <v>-29</v>
      </c>
      <c r="K2321" s="71" t="s">
        <v>302</v>
      </c>
      <c r="L2321" s="71">
        <f t="shared" si="324"/>
        <v>6</v>
      </c>
      <c r="M2321" s="71" t="str">
        <f>IFERROR(INDEX(KALENDER!$D$3:$D$132,MATCH(H2321,KALENDER!$A$3:$A$132,0)),"Di luar periode")</f>
        <v>Hari Kerja</v>
      </c>
      <c r="N2321" s="71">
        <f t="shared" si="325"/>
        <v>1</v>
      </c>
      <c r="O2321" s="71">
        <f t="shared" si="326"/>
        <v>1</v>
      </c>
      <c r="P2321" s="71">
        <f t="shared" si="327"/>
        <v>1</v>
      </c>
      <c r="Q2321" s="71">
        <f t="shared" si="328"/>
        <v>0</v>
      </c>
      <c r="R2321" s="71">
        <f t="shared" si="329"/>
        <v>0</v>
      </c>
      <c r="S2321" s="71">
        <f t="shared" si="330"/>
        <v>0</v>
      </c>
      <c r="T2321" s="71">
        <f t="shared" si="331"/>
        <v>0</v>
      </c>
      <c r="U2321" s="71">
        <f>IF(AND(N2321=1,V2321=1),IF(COUNTIFS(AKTIVITAS!$B$2:$B$3052,B2321,AKTIVITAS!$E$2:$E$3052,H2321)&gt;0,1,0),0)</f>
        <v>1</v>
      </c>
      <c r="V2321" s="71">
        <f>IFERROR(IF(AND(H2321&gt;=INDEX(PEMAGANG!$J$3:$J$36,MATCH(B2321,PEMAGANG!$C$3:$C$36,0)),H2321&lt;=INDEX(PEMAGANG!$K$3:$K$36,MATCH(B2321,PEMAGANG!$C$3:$C$36,0))),1,0),0)</f>
        <v>1</v>
      </c>
      <c r="W2321" s="71">
        <f t="shared" si="332"/>
        <v>1</v>
      </c>
    </row>
    <row r="2322" spans="1:23" x14ac:dyDescent="0.2">
      <c r="A2322" s="71" t="s">
        <v>216</v>
      </c>
      <c r="B2322" s="71" t="s">
        <v>217</v>
      </c>
      <c r="C2322" s="71" t="s">
        <v>187</v>
      </c>
      <c r="D2322" s="71" t="s">
        <v>215</v>
      </c>
      <c r="E2322" s="71" t="s">
        <v>54</v>
      </c>
      <c r="F2322" s="71" t="s">
        <v>300</v>
      </c>
      <c r="G2322" s="88">
        <v>46182.6899305556</v>
      </c>
      <c r="H2322" s="89">
        <v>46182</v>
      </c>
      <c r="I2322" s="71" t="s">
        <v>316</v>
      </c>
      <c r="J2322" s="71">
        <v>0</v>
      </c>
      <c r="K2322" s="71" t="s">
        <v>302</v>
      </c>
      <c r="L2322" s="71">
        <f t="shared" si="324"/>
        <v>6</v>
      </c>
      <c r="M2322" s="71" t="str">
        <f>IFERROR(INDEX(KALENDER!$D$3:$D$132,MATCH(H2322,KALENDER!$A$3:$A$132,0)),"Di luar periode")</f>
        <v>Hari Kerja</v>
      </c>
      <c r="N2322" s="71">
        <f t="shared" si="325"/>
        <v>0</v>
      </c>
      <c r="O2322" s="71">
        <f t="shared" si="326"/>
        <v>1</v>
      </c>
      <c r="P2322" s="71">
        <f t="shared" si="327"/>
        <v>0</v>
      </c>
      <c r="Q2322" s="71">
        <f t="shared" si="328"/>
        <v>0</v>
      </c>
      <c r="R2322" s="71">
        <f t="shared" si="329"/>
        <v>0</v>
      </c>
      <c r="S2322" s="71">
        <f t="shared" si="330"/>
        <v>0</v>
      </c>
      <c r="T2322" s="71">
        <f t="shared" si="331"/>
        <v>0</v>
      </c>
      <c r="U2322" s="71">
        <f>IF(AND(N2322=1,V2322=1),IF(COUNTIFS(AKTIVITAS!$B$2:$B$3052,B2322,AKTIVITAS!$E$2:$E$3052,H2322)&gt;0,1,0),0)</f>
        <v>0</v>
      </c>
      <c r="V2322" s="71">
        <f>IFERROR(IF(AND(H2322&gt;=INDEX(PEMAGANG!$J$3:$J$36,MATCH(B2322,PEMAGANG!$C$3:$C$36,0)),H2322&lt;=INDEX(PEMAGANG!$K$3:$K$36,MATCH(B2322,PEMAGANG!$C$3:$C$36,0))),1,0),0)</f>
        <v>1</v>
      </c>
      <c r="W2322" s="71">
        <f t="shared" si="332"/>
        <v>0</v>
      </c>
    </row>
    <row r="2323" spans="1:23" x14ac:dyDescent="0.2">
      <c r="A2323" s="71" t="s">
        <v>216</v>
      </c>
      <c r="B2323" s="71" t="s">
        <v>217</v>
      </c>
      <c r="C2323" s="71" t="s">
        <v>187</v>
      </c>
      <c r="D2323" s="71" t="s">
        <v>215</v>
      </c>
      <c r="E2323" s="71" t="s">
        <v>54</v>
      </c>
      <c r="F2323" s="71" t="s">
        <v>298</v>
      </c>
      <c r="G2323" s="88">
        <v>46184.295833333301</v>
      </c>
      <c r="H2323" s="89">
        <v>46184</v>
      </c>
      <c r="I2323" s="71" t="s">
        <v>349</v>
      </c>
      <c r="J2323" s="71">
        <v>-24</v>
      </c>
      <c r="K2323" s="71" t="s">
        <v>302</v>
      </c>
      <c r="L2323" s="71">
        <f t="shared" si="324"/>
        <v>6</v>
      </c>
      <c r="M2323" s="71" t="str">
        <f>IFERROR(INDEX(KALENDER!$D$3:$D$132,MATCH(H2323,KALENDER!$A$3:$A$132,0)),"Di luar periode")</f>
        <v>Hari Kerja</v>
      </c>
      <c r="N2323" s="71">
        <f t="shared" si="325"/>
        <v>1</v>
      </c>
      <c r="O2323" s="71">
        <f t="shared" si="326"/>
        <v>1</v>
      </c>
      <c r="P2323" s="71">
        <f t="shared" si="327"/>
        <v>1</v>
      </c>
      <c r="Q2323" s="71">
        <f t="shared" si="328"/>
        <v>0</v>
      </c>
      <c r="R2323" s="71">
        <f t="shared" si="329"/>
        <v>0</v>
      </c>
      <c r="S2323" s="71">
        <f t="shared" si="330"/>
        <v>0</v>
      </c>
      <c r="T2323" s="71">
        <f t="shared" si="331"/>
        <v>0</v>
      </c>
      <c r="U2323" s="71">
        <f>IF(AND(N2323=1,V2323=1),IF(COUNTIFS(AKTIVITAS!$B$2:$B$3052,B2323,AKTIVITAS!$E$2:$E$3052,H2323)&gt;0,1,0),0)</f>
        <v>1</v>
      </c>
      <c r="V2323" s="71">
        <f>IFERROR(IF(AND(H2323&gt;=INDEX(PEMAGANG!$J$3:$J$36,MATCH(B2323,PEMAGANG!$C$3:$C$36,0)),H2323&lt;=INDEX(PEMAGANG!$K$3:$K$36,MATCH(B2323,PEMAGANG!$C$3:$C$36,0))),1,0),0)</f>
        <v>1</v>
      </c>
      <c r="W2323" s="71">
        <f t="shared" si="332"/>
        <v>1</v>
      </c>
    </row>
    <row r="2324" spans="1:23" x14ac:dyDescent="0.2">
      <c r="A2324" s="71" t="s">
        <v>216</v>
      </c>
      <c r="B2324" s="71" t="s">
        <v>217</v>
      </c>
      <c r="C2324" s="71" t="s">
        <v>187</v>
      </c>
      <c r="D2324" s="71" t="s">
        <v>215</v>
      </c>
      <c r="E2324" s="71" t="s">
        <v>54</v>
      </c>
      <c r="F2324" s="71" t="s">
        <v>300</v>
      </c>
      <c r="G2324" s="88">
        <v>46184.691736111097</v>
      </c>
      <c r="H2324" s="89">
        <v>46184</v>
      </c>
      <c r="I2324" s="71" t="s">
        <v>344</v>
      </c>
      <c r="J2324" s="71">
        <v>0</v>
      </c>
      <c r="K2324" s="71" t="s">
        <v>302</v>
      </c>
      <c r="L2324" s="71">
        <f t="shared" si="324"/>
        <v>6</v>
      </c>
      <c r="M2324" s="71" t="str">
        <f>IFERROR(INDEX(KALENDER!$D$3:$D$132,MATCH(H2324,KALENDER!$A$3:$A$132,0)),"Di luar periode")</f>
        <v>Hari Kerja</v>
      </c>
      <c r="N2324" s="71">
        <f t="shared" si="325"/>
        <v>0</v>
      </c>
      <c r="O2324" s="71">
        <f t="shared" si="326"/>
        <v>1</v>
      </c>
      <c r="P2324" s="71">
        <f t="shared" si="327"/>
        <v>0</v>
      </c>
      <c r="Q2324" s="71">
        <f t="shared" si="328"/>
        <v>0</v>
      </c>
      <c r="R2324" s="71">
        <f t="shared" si="329"/>
        <v>0</v>
      </c>
      <c r="S2324" s="71">
        <f t="shared" si="330"/>
        <v>0</v>
      </c>
      <c r="T2324" s="71">
        <f t="shared" si="331"/>
        <v>0</v>
      </c>
      <c r="U2324" s="71">
        <f>IF(AND(N2324=1,V2324=1),IF(COUNTIFS(AKTIVITAS!$B$2:$B$3052,B2324,AKTIVITAS!$E$2:$E$3052,H2324)&gt;0,1,0),0)</f>
        <v>0</v>
      </c>
      <c r="V2324" s="71">
        <f>IFERROR(IF(AND(H2324&gt;=INDEX(PEMAGANG!$J$3:$J$36,MATCH(B2324,PEMAGANG!$C$3:$C$36,0)),H2324&lt;=INDEX(PEMAGANG!$K$3:$K$36,MATCH(B2324,PEMAGANG!$C$3:$C$36,0))),1,0),0)</f>
        <v>1</v>
      </c>
      <c r="W2324" s="71">
        <f t="shared" si="332"/>
        <v>0</v>
      </c>
    </row>
    <row r="2325" spans="1:23" x14ac:dyDescent="0.2">
      <c r="A2325" s="71" t="s">
        <v>216</v>
      </c>
      <c r="B2325" s="71" t="s">
        <v>217</v>
      </c>
      <c r="C2325" s="71" t="s">
        <v>187</v>
      </c>
      <c r="D2325" s="71" t="s">
        <v>215</v>
      </c>
      <c r="E2325" s="71" t="s">
        <v>54</v>
      </c>
      <c r="F2325" s="71" t="s">
        <v>298</v>
      </c>
      <c r="G2325" s="88">
        <v>46185.299247685201</v>
      </c>
      <c r="H2325" s="89">
        <v>46185</v>
      </c>
      <c r="I2325" s="71" t="s">
        <v>481</v>
      </c>
      <c r="J2325" s="71">
        <v>-20</v>
      </c>
      <c r="K2325" s="71" t="s">
        <v>302</v>
      </c>
      <c r="L2325" s="71">
        <f t="shared" si="324"/>
        <v>6</v>
      </c>
      <c r="M2325" s="71" t="str">
        <f>IFERROR(INDEX(KALENDER!$D$3:$D$132,MATCH(H2325,KALENDER!$A$3:$A$132,0)),"Di luar periode")</f>
        <v>Hari Kerja</v>
      </c>
      <c r="N2325" s="71">
        <f t="shared" si="325"/>
        <v>1</v>
      </c>
      <c r="O2325" s="71">
        <f t="shared" si="326"/>
        <v>1</v>
      </c>
      <c r="P2325" s="71">
        <f t="shared" si="327"/>
        <v>1</v>
      </c>
      <c r="Q2325" s="71">
        <f t="shared" si="328"/>
        <v>0</v>
      </c>
      <c r="R2325" s="71">
        <f t="shared" si="329"/>
        <v>0</v>
      </c>
      <c r="S2325" s="71">
        <f t="shared" si="330"/>
        <v>0</v>
      </c>
      <c r="T2325" s="71">
        <f t="shared" si="331"/>
        <v>0</v>
      </c>
      <c r="U2325" s="71">
        <f>IF(AND(N2325=1,V2325=1),IF(COUNTIFS(AKTIVITAS!$B$2:$B$3052,B2325,AKTIVITAS!$E$2:$E$3052,H2325)&gt;0,1,0),0)</f>
        <v>1</v>
      </c>
      <c r="V2325" s="71">
        <f>IFERROR(IF(AND(H2325&gt;=INDEX(PEMAGANG!$J$3:$J$36,MATCH(B2325,PEMAGANG!$C$3:$C$36,0)),H2325&lt;=INDEX(PEMAGANG!$K$3:$K$36,MATCH(B2325,PEMAGANG!$C$3:$C$36,0))),1,0),0)</f>
        <v>1</v>
      </c>
      <c r="W2325" s="71">
        <f t="shared" si="332"/>
        <v>1</v>
      </c>
    </row>
    <row r="2326" spans="1:23" x14ac:dyDescent="0.2">
      <c r="A2326" s="71" t="s">
        <v>216</v>
      </c>
      <c r="B2326" s="71" t="s">
        <v>217</v>
      </c>
      <c r="C2326" s="71" t="s">
        <v>187</v>
      </c>
      <c r="D2326" s="71" t="s">
        <v>215</v>
      </c>
      <c r="E2326" s="71" t="s">
        <v>54</v>
      </c>
      <c r="F2326" s="71" t="s">
        <v>300</v>
      </c>
      <c r="G2326" s="88">
        <v>46185.691168981502</v>
      </c>
      <c r="H2326" s="89">
        <v>46185</v>
      </c>
      <c r="I2326" s="71" t="s">
        <v>310</v>
      </c>
      <c r="J2326" s="71">
        <v>0</v>
      </c>
      <c r="K2326" s="71" t="s">
        <v>302</v>
      </c>
      <c r="L2326" s="71">
        <f t="shared" si="324"/>
        <v>6</v>
      </c>
      <c r="M2326" s="71" t="str">
        <f>IFERROR(INDEX(KALENDER!$D$3:$D$132,MATCH(H2326,KALENDER!$A$3:$A$132,0)),"Di luar periode")</f>
        <v>Hari Kerja</v>
      </c>
      <c r="N2326" s="71">
        <f t="shared" si="325"/>
        <v>0</v>
      </c>
      <c r="O2326" s="71">
        <f t="shared" si="326"/>
        <v>1</v>
      </c>
      <c r="P2326" s="71">
        <f t="shared" si="327"/>
        <v>0</v>
      </c>
      <c r="Q2326" s="71">
        <f t="shared" si="328"/>
        <v>0</v>
      </c>
      <c r="R2326" s="71">
        <f t="shared" si="329"/>
        <v>0</v>
      </c>
      <c r="S2326" s="71">
        <f t="shared" si="330"/>
        <v>0</v>
      </c>
      <c r="T2326" s="71">
        <f t="shared" si="331"/>
        <v>0</v>
      </c>
      <c r="U2326" s="71">
        <f>IF(AND(N2326=1,V2326=1),IF(COUNTIFS(AKTIVITAS!$B$2:$B$3052,B2326,AKTIVITAS!$E$2:$E$3052,H2326)&gt;0,1,0),0)</f>
        <v>0</v>
      </c>
      <c r="V2326" s="71">
        <f>IFERROR(IF(AND(H2326&gt;=INDEX(PEMAGANG!$J$3:$J$36,MATCH(B2326,PEMAGANG!$C$3:$C$36,0)),H2326&lt;=INDEX(PEMAGANG!$K$3:$K$36,MATCH(B2326,PEMAGANG!$C$3:$C$36,0))),1,0),0)</f>
        <v>1</v>
      </c>
      <c r="W2326" s="71">
        <f t="shared" si="332"/>
        <v>0</v>
      </c>
    </row>
    <row r="2327" spans="1:23" x14ac:dyDescent="0.2">
      <c r="A2327" s="71" t="s">
        <v>216</v>
      </c>
      <c r="B2327" s="71" t="s">
        <v>217</v>
      </c>
      <c r="C2327" s="71" t="s">
        <v>187</v>
      </c>
      <c r="D2327" s="71" t="s">
        <v>215</v>
      </c>
      <c r="E2327" s="71" t="s">
        <v>54</v>
      </c>
      <c r="F2327" s="71" t="s">
        <v>298</v>
      </c>
      <c r="G2327" s="88">
        <v>46188.2925231482</v>
      </c>
      <c r="H2327" s="89">
        <v>46188</v>
      </c>
      <c r="I2327" s="71" t="s">
        <v>491</v>
      </c>
      <c r="J2327" s="71">
        <v>-29</v>
      </c>
      <c r="K2327" s="71" t="s">
        <v>302</v>
      </c>
      <c r="L2327" s="71">
        <f t="shared" si="324"/>
        <v>6</v>
      </c>
      <c r="M2327" s="71" t="str">
        <f>IFERROR(INDEX(KALENDER!$D$3:$D$132,MATCH(H2327,KALENDER!$A$3:$A$132,0)),"Di luar periode")</f>
        <v>Hari Kerja</v>
      </c>
      <c r="N2327" s="71">
        <f t="shared" si="325"/>
        <v>1</v>
      </c>
      <c r="O2327" s="71">
        <f t="shared" si="326"/>
        <v>1</v>
      </c>
      <c r="P2327" s="71">
        <f t="shared" si="327"/>
        <v>1</v>
      </c>
      <c r="Q2327" s="71">
        <f t="shared" si="328"/>
        <v>0</v>
      </c>
      <c r="R2327" s="71">
        <f t="shared" si="329"/>
        <v>0</v>
      </c>
      <c r="S2327" s="71">
        <f t="shared" si="330"/>
        <v>0</v>
      </c>
      <c r="T2327" s="71">
        <f t="shared" si="331"/>
        <v>0</v>
      </c>
      <c r="U2327" s="71">
        <f>IF(AND(N2327=1,V2327=1),IF(COUNTIFS(AKTIVITAS!$B$2:$B$3052,B2327,AKTIVITAS!$E$2:$E$3052,H2327)&gt;0,1,0),0)</f>
        <v>1</v>
      </c>
      <c r="V2327" s="71">
        <f>IFERROR(IF(AND(H2327&gt;=INDEX(PEMAGANG!$J$3:$J$36,MATCH(B2327,PEMAGANG!$C$3:$C$36,0)),H2327&lt;=INDEX(PEMAGANG!$K$3:$K$36,MATCH(B2327,PEMAGANG!$C$3:$C$36,0))),1,0),0)</f>
        <v>1</v>
      </c>
      <c r="W2327" s="71">
        <f t="shared" si="332"/>
        <v>1</v>
      </c>
    </row>
    <row r="2328" spans="1:23" x14ac:dyDescent="0.2">
      <c r="A2328" s="71" t="s">
        <v>216</v>
      </c>
      <c r="B2328" s="71" t="s">
        <v>217</v>
      </c>
      <c r="C2328" s="71" t="s">
        <v>187</v>
      </c>
      <c r="D2328" s="71" t="s">
        <v>215</v>
      </c>
      <c r="E2328" s="71" t="s">
        <v>54</v>
      </c>
      <c r="F2328" s="71" t="s">
        <v>300</v>
      </c>
      <c r="G2328" s="88">
        <v>46188.690277777801</v>
      </c>
      <c r="H2328" s="89">
        <v>46188</v>
      </c>
      <c r="I2328" s="71" t="s">
        <v>314</v>
      </c>
      <c r="J2328" s="71">
        <v>0</v>
      </c>
      <c r="K2328" s="71" t="s">
        <v>302</v>
      </c>
      <c r="L2328" s="71">
        <f t="shared" si="324"/>
        <v>6</v>
      </c>
      <c r="M2328" s="71" t="str">
        <f>IFERROR(INDEX(KALENDER!$D$3:$D$132,MATCH(H2328,KALENDER!$A$3:$A$132,0)),"Di luar periode")</f>
        <v>Hari Kerja</v>
      </c>
      <c r="N2328" s="71">
        <f t="shared" si="325"/>
        <v>0</v>
      </c>
      <c r="O2328" s="71">
        <f t="shared" si="326"/>
        <v>1</v>
      </c>
      <c r="P2328" s="71">
        <f t="shared" si="327"/>
        <v>0</v>
      </c>
      <c r="Q2328" s="71">
        <f t="shared" si="328"/>
        <v>0</v>
      </c>
      <c r="R2328" s="71">
        <f t="shared" si="329"/>
        <v>0</v>
      </c>
      <c r="S2328" s="71">
        <f t="shared" si="330"/>
        <v>0</v>
      </c>
      <c r="T2328" s="71">
        <f t="shared" si="331"/>
        <v>0</v>
      </c>
      <c r="U2328" s="71">
        <f>IF(AND(N2328=1,V2328=1),IF(COUNTIFS(AKTIVITAS!$B$2:$B$3052,B2328,AKTIVITAS!$E$2:$E$3052,H2328)&gt;0,1,0),0)</f>
        <v>0</v>
      </c>
      <c r="V2328" s="71">
        <f>IFERROR(IF(AND(H2328&gt;=INDEX(PEMAGANG!$J$3:$J$36,MATCH(B2328,PEMAGANG!$C$3:$C$36,0)),H2328&lt;=INDEX(PEMAGANG!$K$3:$K$36,MATCH(B2328,PEMAGANG!$C$3:$C$36,0))),1,0),0)</f>
        <v>1</v>
      </c>
      <c r="W2328" s="71">
        <f t="shared" si="332"/>
        <v>0</v>
      </c>
    </row>
    <row r="2329" spans="1:23" x14ac:dyDescent="0.2">
      <c r="A2329" s="71" t="s">
        <v>216</v>
      </c>
      <c r="B2329" s="71" t="s">
        <v>217</v>
      </c>
      <c r="C2329" s="71" t="s">
        <v>187</v>
      </c>
      <c r="D2329" s="71" t="s">
        <v>215</v>
      </c>
      <c r="E2329" s="71" t="s">
        <v>54</v>
      </c>
      <c r="F2329" s="71" t="s">
        <v>298</v>
      </c>
      <c r="G2329" s="88">
        <v>46191.297395833302</v>
      </c>
      <c r="H2329" s="89">
        <v>46191</v>
      </c>
      <c r="I2329" s="71" t="s">
        <v>486</v>
      </c>
      <c r="J2329" s="71">
        <v>-22</v>
      </c>
      <c r="K2329" s="71" t="s">
        <v>302</v>
      </c>
      <c r="L2329" s="71">
        <f t="shared" si="324"/>
        <v>6</v>
      </c>
      <c r="M2329" s="71" t="str">
        <f>IFERROR(INDEX(KALENDER!$D$3:$D$132,MATCH(H2329,KALENDER!$A$3:$A$132,0)),"Di luar periode")</f>
        <v>Hari Kerja</v>
      </c>
      <c r="N2329" s="71">
        <f t="shared" si="325"/>
        <v>1</v>
      </c>
      <c r="O2329" s="71">
        <f t="shared" si="326"/>
        <v>1</v>
      </c>
      <c r="P2329" s="71">
        <f t="shared" si="327"/>
        <v>1</v>
      </c>
      <c r="Q2329" s="71">
        <f t="shared" si="328"/>
        <v>0</v>
      </c>
      <c r="R2329" s="71">
        <f t="shared" si="329"/>
        <v>0</v>
      </c>
      <c r="S2329" s="71">
        <f t="shared" si="330"/>
        <v>0</v>
      </c>
      <c r="T2329" s="71">
        <f t="shared" si="331"/>
        <v>0</v>
      </c>
      <c r="U2329" s="71">
        <f>IF(AND(N2329=1,V2329=1),IF(COUNTIFS(AKTIVITAS!$B$2:$B$3052,B2329,AKTIVITAS!$E$2:$E$3052,H2329)&gt;0,1,0),0)</f>
        <v>1</v>
      </c>
      <c r="V2329" s="71">
        <f>IFERROR(IF(AND(H2329&gt;=INDEX(PEMAGANG!$J$3:$J$36,MATCH(B2329,PEMAGANG!$C$3:$C$36,0)),H2329&lt;=INDEX(PEMAGANG!$K$3:$K$36,MATCH(B2329,PEMAGANG!$C$3:$C$36,0))),1,0),0)</f>
        <v>1</v>
      </c>
      <c r="W2329" s="71">
        <f t="shared" si="332"/>
        <v>1</v>
      </c>
    </row>
    <row r="2330" spans="1:23" x14ac:dyDescent="0.2">
      <c r="A2330" s="71" t="s">
        <v>216</v>
      </c>
      <c r="B2330" s="71" t="s">
        <v>217</v>
      </c>
      <c r="C2330" s="71" t="s">
        <v>187</v>
      </c>
      <c r="D2330" s="71" t="s">
        <v>215</v>
      </c>
      <c r="E2330" s="71" t="s">
        <v>54</v>
      </c>
      <c r="F2330" s="71" t="s">
        <v>300</v>
      </c>
      <c r="G2330" s="88">
        <v>46191.6897916667</v>
      </c>
      <c r="H2330" s="89">
        <v>46191</v>
      </c>
      <c r="I2330" s="71" t="s">
        <v>316</v>
      </c>
      <c r="J2330" s="71">
        <v>0</v>
      </c>
      <c r="K2330" s="71" t="s">
        <v>302</v>
      </c>
      <c r="L2330" s="71">
        <f t="shared" si="324"/>
        <v>6</v>
      </c>
      <c r="M2330" s="71" t="str">
        <f>IFERROR(INDEX(KALENDER!$D$3:$D$132,MATCH(H2330,KALENDER!$A$3:$A$132,0)),"Di luar periode")</f>
        <v>Hari Kerja</v>
      </c>
      <c r="N2330" s="71">
        <f t="shared" si="325"/>
        <v>0</v>
      </c>
      <c r="O2330" s="71">
        <f t="shared" si="326"/>
        <v>1</v>
      </c>
      <c r="P2330" s="71">
        <f t="shared" si="327"/>
        <v>0</v>
      </c>
      <c r="Q2330" s="71">
        <f t="shared" si="328"/>
        <v>0</v>
      </c>
      <c r="R2330" s="71">
        <f t="shared" si="329"/>
        <v>0</v>
      </c>
      <c r="S2330" s="71">
        <f t="shared" si="330"/>
        <v>0</v>
      </c>
      <c r="T2330" s="71">
        <f t="shared" si="331"/>
        <v>0</v>
      </c>
      <c r="U2330" s="71">
        <f>IF(AND(N2330=1,V2330=1),IF(COUNTIFS(AKTIVITAS!$B$2:$B$3052,B2330,AKTIVITAS!$E$2:$E$3052,H2330)&gt;0,1,0),0)</f>
        <v>0</v>
      </c>
      <c r="V2330" s="71">
        <f>IFERROR(IF(AND(H2330&gt;=INDEX(PEMAGANG!$J$3:$J$36,MATCH(B2330,PEMAGANG!$C$3:$C$36,0)),H2330&lt;=INDEX(PEMAGANG!$K$3:$K$36,MATCH(B2330,PEMAGANG!$C$3:$C$36,0))),1,0),0)</f>
        <v>1</v>
      </c>
      <c r="W2330" s="71">
        <f t="shared" si="332"/>
        <v>0</v>
      </c>
    </row>
    <row r="2331" spans="1:23" x14ac:dyDescent="0.2">
      <c r="A2331" s="71" t="s">
        <v>216</v>
      </c>
      <c r="B2331" s="71" t="s">
        <v>217</v>
      </c>
      <c r="C2331" s="71" t="s">
        <v>187</v>
      </c>
      <c r="D2331" s="71" t="s">
        <v>215</v>
      </c>
      <c r="E2331" s="71" t="s">
        <v>54</v>
      </c>
      <c r="F2331" s="71" t="s">
        <v>298</v>
      </c>
      <c r="G2331" s="88">
        <v>46192.302546296298</v>
      </c>
      <c r="H2331" s="89">
        <v>46192</v>
      </c>
      <c r="I2331" s="71" t="s">
        <v>370</v>
      </c>
      <c r="J2331" s="71">
        <v>-15</v>
      </c>
      <c r="K2331" s="71" t="s">
        <v>302</v>
      </c>
      <c r="L2331" s="71">
        <f t="shared" si="324"/>
        <v>6</v>
      </c>
      <c r="M2331" s="71" t="str">
        <f>IFERROR(INDEX(KALENDER!$D$3:$D$132,MATCH(H2331,KALENDER!$A$3:$A$132,0)),"Di luar periode")</f>
        <v>Hari Kerja</v>
      </c>
      <c r="N2331" s="71">
        <f t="shared" si="325"/>
        <v>1</v>
      </c>
      <c r="O2331" s="71">
        <f t="shared" si="326"/>
        <v>1</v>
      </c>
      <c r="P2331" s="71">
        <f t="shared" si="327"/>
        <v>1</v>
      </c>
      <c r="Q2331" s="71">
        <f t="shared" si="328"/>
        <v>0</v>
      </c>
      <c r="R2331" s="71">
        <f t="shared" si="329"/>
        <v>0</v>
      </c>
      <c r="S2331" s="71">
        <f t="shared" si="330"/>
        <v>0</v>
      </c>
      <c r="T2331" s="71">
        <f t="shared" si="331"/>
        <v>0</v>
      </c>
      <c r="U2331" s="71">
        <f>IF(AND(N2331=1,V2331=1),IF(COUNTIFS(AKTIVITAS!$B$2:$B$3052,B2331,AKTIVITAS!$E$2:$E$3052,H2331)&gt;0,1,0),0)</f>
        <v>1</v>
      </c>
      <c r="V2331" s="71">
        <f>IFERROR(IF(AND(H2331&gt;=INDEX(PEMAGANG!$J$3:$J$36,MATCH(B2331,PEMAGANG!$C$3:$C$36,0)),H2331&lt;=INDEX(PEMAGANG!$K$3:$K$36,MATCH(B2331,PEMAGANG!$C$3:$C$36,0))),1,0),0)</f>
        <v>1</v>
      </c>
      <c r="W2331" s="71">
        <f t="shared" si="332"/>
        <v>1</v>
      </c>
    </row>
    <row r="2332" spans="1:23" x14ac:dyDescent="0.2">
      <c r="A2332" s="71" t="s">
        <v>216</v>
      </c>
      <c r="B2332" s="71" t="s">
        <v>217</v>
      </c>
      <c r="C2332" s="71" t="s">
        <v>187</v>
      </c>
      <c r="D2332" s="71" t="s">
        <v>215</v>
      </c>
      <c r="E2332" s="71" t="s">
        <v>54</v>
      </c>
      <c r="F2332" s="71" t="s">
        <v>300</v>
      </c>
      <c r="G2332" s="88">
        <v>46192.688518518502</v>
      </c>
      <c r="H2332" s="89">
        <v>46192</v>
      </c>
      <c r="I2332" s="71" t="s">
        <v>336</v>
      </c>
      <c r="J2332" s="71">
        <v>0</v>
      </c>
      <c r="K2332" s="71" t="s">
        <v>302</v>
      </c>
      <c r="L2332" s="71">
        <f t="shared" si="324"/>
        <v>6</v>
      </c>
      <c r="M2332" s="71" t="str">
        <f>IFERROR(INDEX(KALENDER!$D$3:$D$132,MATCH(H2332,KALENDER!$A$3:$A$132,0)),"Di luar periode")</f>
        <v>Hari Kerja</v>
      </c>
      <c r="N2332" s="71">
        <f t="shared" si="325"/>
        <v>0</v>
      </c>
      <c r="O2332" s="71">
        <f t="shared" si="326"/>
        <v>1</v>
      </c>
      <c r="P2332" s="71">
        <f t="shared" si="327"/>
        <v>0</v>
      </c>
      <c r="Q2332" s="71">
        <f t="shared" si="328"/>
        <v>0</v>
      </c>
      <c r="R2332" s="71">
        <f t="shared" si="329"/>
        <v>0</v>
      </c>
      <c r="S2332" s="71">
        <f t="shared" si="330"/>
        <v>0</v>
      </c>
      <c r="T2332" s="71">
        <f t="shared" si="331"/>
        <v>0</v>
      </c>
      <c r="U2332" s="71">
        <f>IF(AND(N2332=1,V2332=1),IF(COUNTIFS(AKTIVITAS!$B$2:$B$3052,B2332,AKTIVITAS!$E$2:$E$3052,H2332)&gt;0,1,0),0)</f>
        <v>0</v>
      </c>
      <c r="V2332" s="71">
        <f>IFERROR(IF(AND(H2332&gt;=INDEX(PEMAGANG!$J$3:$J$36,MATCH(B2332,PEMAGANG!$C$3:$C$36,0)),H2332&lt;=INDEX(PEMAGANG!$K$3:$K$36,MATCH(B2332,PEMAGANG!$C$3:$C$36,0))),1,0),0)</f>
        <v>1</v>
      </c>
      <c r="W2332" s="71">
        <f t="shared" si="332"/>
        <v>0</v>
      </c>
    </row>
    <row r="2333" spans="1:23" x14ac:dyDescent="0.2">
      <c r="A2333" s="71" t="s">
        <v>216</v>
      </c>
      <c r="B2333" s="71" t="s">
        <v>217</v>
      </c>
      <c r="C2333" s="71" t="s">
        <v>187</v>
      </c>
      <c r="D2333" s="71" t="s">
        <v>215</v>
      </c>
      <c r="E2333" s="71" t="s">
        <v>54</v>
      </c>
      <c r="F2333" s="71" t="s">
        <v>298</v>
      </c>
      <c r="G2333" s="88">
        <v>46195.3140277778</v>
      </c>
      <c r="H2333" s="89">
        <v>46195</v>
      </c>
      <c r="I2333" s="71" t="s">
        <v>338</v>
      </c>
      <c r="J2333" s="71">
        <v>1.99999999999999</v>
      </c>
      <c r="K2333" s="71" t="s">
        <v>293</v>
      </c>
      <c r="L2333" s="71">
        <f t="shared" si="324"/>
        <v>6</v>
      </c>
      <c r="M2333" s="71" t="str">
        <f>IFERROR(INDEX(KALENDER!$D$3:$D$132,MATCH(H2333,KALENDER!$A$3:$A$132,0)),"Di luar periode")</f>
        <v>Hari Kerja</v>
      </c>
      <c r="N2333" s="71">
        <f t="shared" si="325"/>
        <v>1</v>
      </c>
      <c r="O2333" s="71">
        <f t="shared" si="326"/>
        <v>1</v>
      </c>
      <c r="P2333" s="71">
        <f t="shared" si="327"/>
        <v>1</v>
      </c>
      <c r="Q2333" s="71">
        <f t="shared" si="328"/>
        <v>0</v>
      </c>
      <c r="R2333" s="71">
        <f t="shared" si="329"/>
        <v>1</v>
      </c>
      <c r="S2333" s="71">
        <f t="shared" si="330"/>
        <v>1.99999999999999</v>
      </c>
      <c r="T2333" s="71">
        <f t="shared" si="331"/>
        <v>0</v>
      </c>
      <c r="U2333" s="71">
        <f>IF(AND(N2333=1,V2333=1),IF(COUNTIFS(AKTIVITAS!$B$2:$B$3052,B2333,AKTIVITAS!$E$2:$E$3052,H2333)&gt;0,1,0),0)</f>
        <v>1</v>
      </c>
      <c r="V2333" s="71">
        <f>IFERROR(IF(AND(H2333&gt;=INDEX(PEMAGANG!$J$3:$J$36,MATCH(B2333,PEMAGANG!$C$3:$C$36,0)),H2333&lt;=INDEX(PEMAGANG!$K$3:$K$36,MATCH(B2333,PEMAGANG!$C$3:$C$36,0))),1,0),0)</f>
        <v>1</v>
      </c>
      <c r="W2333" s="71">
        <f t="shared" si="332"/>
        <v>1</v>
      </c>
    </row>
    <row r="2334" spans="1:23" x14ac:dyDescent="0.2">
      <c r="A2334" s="71" t="s">
        <v>216</v>
      </c>
      <c r="B2334" s="71" t="s">
        <v>217</v>
      </c>
      <c r="C2334" s="71" t="s">
        <v>187</v>
      </c>
      <c r="D2334" s="71" t="s">
        <v>215</v>
      </c>
      <c r="E2334" s="71" t="s">
        <v>54</v>
      </c>
      <c r="F2334" s="71" t="s">
        <v>300</v>
      </c>
      <c r="G2334" s="88">
        <v>46195.689212963</v>
      </c>
      <c r="H2334" s="89">
        <v>46195</v>
      </c>
      <c r="I2334" s="71" t="s">
        <v>306</v>
      </c>
      <c r="J2334" s="71">
        <v>0</v>
      </c>
      <c r="K2334" s="71" t="s">
        <v>302</v>
      </c>
      <c r="L2334" s="71">
        <f t="shared" si="324"/>
        <v>6</v>
      </c>
      <c r="M2334" s="71" t="str">
        <f>IFERROR(INDEX(KALENDER!$D$3:$D$132,MATCH(H2334,KALENDER!$A$3:$A$132,0)),"Di luar periode")</f>
        <v>Hari Kerja</v>
      </c>
      <c r="N2334" s="71">
        <f t="shared" si="325"/>
        <v>0</v>
      </c>
      <c r="O2334" s="71">
        <f t="shared" si="326"/>
        <v>1</v>
      </c>
      <c r="P2334" s="71">
        <f t="shared" si="327"/>
        <v>0</v>
      </c>
      <c r="Q2334" s="71">
        <f t="shared" si="328"/>
        <v>0</v>
      </c>
      <c r="R2334" s="71">
        <f t="shared" si="329"/>
        <v>0</v>
      </c>
      <c r="S2334" s="71">
        <f t="shared" si="330"/>
        <v>0</v>
      </c>
      <c r="T2334" s="71">
        <f t="shared" si="331"/>
        <v>0</v>
      </c>
      <c r="U2334" s="71">
        <f>IF(AND(N2334=1,V2334=1),IF(COUNTIFS(AKTIVITAS!$B$2:$B$3052,B2334,AKTIVITAS!$E$2:$E$3052,H2334)&gt;0,1,0),0)</f>
        <v>0</v>
      </c>
      <c r="V2334" s="71">
        <f>IFERROR(IF(AND(H2334&gt;=INDEX(PEMAGANG!$J$3:$J$36,MATCH(B2334,PEMAGANG!$C$3:$C$36,0)),H2334&lt;=INDEX(PEMAGANG!$K$3:$K$36,MATCH(B2334,PEMAGANG!$C$3:$C$36,0))),1,0),0)</f>
        <v>1</v>
      </c>
      <c r="W2334" s="71">
        <f t="shared" si="332"/>
        <v>0</v>
      </c>
    </row>
    <row r="2335" spans="1:23" x14ac:dyDescent="0.2">
      <c r="A2335" s="71" t="s">
        <v>216</v>
      </c>
      <c r="B2335" s="71" t="s">
        <v>217</v>
      </c>
      <c r="C2335" s="71" t="s">
        <v>187</v>
      </c>
      <c r="D2335" s="71" t="s">
        <v>215</v>
      </c>
      <c r="E2335" s="71" t="s">
        <v>54</v>
      </c>
      <c r="F2335" s="71" t="s">
        <v>298</v>
      </c>
      <c r="G2335" s="88">
        <v>46196.298032407401</v>
      </c>
      <c r="H2335" s="89">
        <v>46196</v>
      </c>
      <c r="I2335" s="71" t="s">
        <v>479</v>
      </c>
      <c r="J2335" s="71">
        <v>-21</v>
      </c>
      <c r="K2335" s="71" t="s">
        <v>302</v>
      </c>
      <c r="L2335" s="71">
        <f t="shared" si="324"/>
        <v>6</v>
      </c>
      <c r="M2335" s="71" t="str">
        <f>IFERROR(INDEX(KALENDER!$D$3:$D$132,MATCH(H2335,KALENDER!$A$3:$A$132,0)),"Di luar periode")</f>
        <v>Hari Kerja</v>
      </c>
      <c r="N2335" s="71">
        <f t="shared" si="325"/>
        <v>1</v>
      </c>
      <c r="O2335" s="71">
        <f t="shared" si="326"/>
        <v>1</v>
      </c>
      <c r="P2335" s="71">
        <f t="shared" si="327"/>
        <v>1</v>
      </c>
      <c r="Q2335" s="71">
        <f t="shared" si="328"/>
        <v>0</v>
      </c>
      <c r="R2335" s="71">
        <f t="shared" si="329"/>
        <v>0</v>
      </c>
      <c r="S2335" s="71">
        <f t="shared" si="330"/>
        <v>0</v>
      </c>
      <c r="T2335" s="71">
        <f t="shared" si="331"/>
        <v>0</v>
      </c>
      <c r="U2335" s="71">
        <f>IF(AND(N2335=1,V2335=1),IF(COUNTIFS(AKTIVITAS!$B$2:$B$3052,B2335,AKTIVITAS!$E$2:$E$3052,H2335)&gt;0,1,0),0)</f>
        <v>1</v>
      </c>
      <c r="V2335" s="71">
        <f>IFERROR(IF(AND(H2335&gt;=INDEX(PEMAGANG!$J$3:$J$36,MATCH(B2335,PEMAGANG!$C$3:$C$36,0)),H2335&lt;=INDEX(PEMAGANG!$K$3:$K$36,MATCH(B2335,PEMAGANG!$C$3:$C$36,0))),1,0),0)</f>
        <v>1</v>
      </c>
      <c r="W2335" s="71">
        <f t="shared" si="332"/>
        <v>1</v>
      </c>
    </row>
    <row r="2336" spans="1:23" x14ac:dyDescent="0.2">
      <c r="A2336" s="71" t="s">
        <v>216</v>
      </c>
      <c r="B2336" s="71" t="s">
        <v>217</v>
      </c>
      <c r="C2336" s="71" t="s">
        <v>187</v>
      </c>
      <c r="D2336" s="71" t="s">
        <v>215</v>
      </c>
      <c r="E2336" s="71" t="s">
        <v>54</v>
      </c>
      <c r="F2336" s="71" t="s">
        <v>300</v>
      </c>
      <c r="G2336" s="88">
        <v>46196.688368055598</v>
      </c>
      <c r="H2336" s="89">
        <v>46196</v>
      </c>
      <c r="I2336" s="71" t="s">
        <v>336</v>
      </c>
      <c r="J2336" s="71">
        <v>0</v>
      </c>
      <c r="K2336" s="71" t="s">
        <v>302</v>
      </c>
      <c r="L2336" s="71">
        <f t="shared" si="324"/>
        <v>6</v>
      </c>
      <c r="M2336" s="71" t="str">
        <f>IFERROR(INDEX(KALENDER!$D$3:$D$132,MATCH(H2336,KALENDER!$A$3:$A$132,0)),"Di luar periode")</f>
        <v>Hari Kerja</v>
      </c>
      <c r="N2336" s="71">
        <f t="shared" si="325"/>
        <v>0</v>
      </c>
      <c r="O2336" s="71">
        <f t="shared" si="326"/>
        <v>1</v>
      </c>
      <c r="P2336" s="71">
        <f t="shared" si="327"/>
        <v>0</v>
      </c>
      <c r="Q2336" s="71">
        <f t="shared" si="328"/>
        <v>0</v>
      </c>
      <c r="R2336" s="71">
        <f t="shared" si="329"/>
        <v>0</v>
      </c>
      <c r="S2336" s="71">
        <f t="shared" si="330"/>
        <v>0</v>
      </c>
      <c r="T2336" s="71">
        <f t="shared" si="331"/>
        <v>0</v>
      </c>
      <c r="U2336" s="71">
        <f>IF(AND(N2336=1,V2336=1),IF(COUNTIFS(AKTIVITAS!$B$2:$B$3052,B2336,AKTIVITAS!$E$2:$E$3052,H2336)&gt;0,1,0),0)</f>
        <v>0</v>
      </c>
      <c r="V2336" s="71">
        <f>IFERROR(IF(AND(H2336&gt;=INDEX(PEMAGANG!$J$3:$J$36,MATCH(B2336,PEMAGANG!$C$3:$C$36,0)),H2336&lt;=INDEX(PEMAGANG!$K$3:$K$36,MATCH(B2336,PEMAGANG!$C$3:$C$36,0))),1,0),0)</f>
        <v>1</v>
      </c>
      <c r="W2336" s="71">
        <f t="shared" si="332"/>
        <v>0</v>
      </c>
    </row>
    <row r="2337" spans="1:23" x14ac:dyDescent="0.2">
      <c r="A2337" s="71" t="s">
        <v>216</v>
      </c>
      <c r="B2337" s="71" t="s">
        <v>217</v>
      </c>
      <c r="C2337" s="71" t="s">
        <v>187</v>
      </c>
      <c r="D2337" s="71" t="s">
        <v>215</v>
      </c>
      <c r="E2337" s="71" t="s">
        <v>54</v>
      </c>
      <c r="F2337" s="71" t="s">
        <v>298</v>
      </c>
      <c r="G2337" s="88">
        <v>46198.300543981502</v>
      </c>
      <c r="H2337" s="89">
        <v>46198</v>
      </c>
      <c r="I2337" s="71" t="s">
        <v>478</v>
      </c>
      <c r="J2337" s="71">
        <v>-18</v>
      </c>
      <c r="K2337" s="71" t="s">
        <v>302</v>
      </c>
      <c r="L2337" s="71">
        <f t="shared" si="324"/>
        <v>6</v>
      </c>
      <c r="M2337" s="71" t="str">
        <f>IFERROR(INDEX(KALENDER!$D$3:$D$132,MATCH(H2337,KALENDER!$A$3:$A$132,0)),"Di luar periode")</f>
        <v>Hari Kerja</v>
      </c>
      <c r="N2337" s="71">
        <f t="shared" si="325"/>
        <v>1</v>
      </c>
      <c r="O2337" s="71">
        <f t="shared" si="326"/>
        <v>1</v>
      </c>
      <c r="P2337" s="71">
        <f t="shared" si="327"/>
        <v>1</v>
      </c>
      <c r="Q2337" s="71">
        <f t="shared" si="328"/>
        <v>0</v>
      </c>
      <c r="R2337" s="71">
        <f t="shared" si="329"/>
        <v>0</v>
      </c>
      <c r="S2337" s="71">
        <f t="shared" si="330"/>
        <v>0</v>
      </c>
      <c r="T2337" s="71">
        <f t="shared" si="331"/>
        <v>0</v>
      </c>
      <c r="U2337" s="71">
        <f>IF(AND(N2337=1,V2337=1),IF(COUNTIFS(AKTIVITAS!$B$2:$B$3052,B2337,AKTIVITAS!$E$2:$E$3052,H2337)&gt;0,1,0),0)</f>
        <v>1</v>
      </c>
      <c r="V2337" s="71">
        <f>IFERROR(IF(AND(H2337&gt;=INDEX(PEMAGANG!$J$3:$J$36,MATCH(B2337,PEMAGANG!$C$3:$C$36,0)),H2337&lt;=INDEX(PEMAGANG!$K$3:$K$36,MATCH(B2337,PEMAGANG!$C$3:$C$36,0))),1,0),0)</f>
        <v>1</v>
      </c>
      <c r="W2337" s="71">
        <f t="shared" si="332"/>
        <v>1</v>
      </c>
    </row>
    <row r="2338" spans="1:23" x14ac:dyDescent="0.2">
      <c r="A2338" s="71" t="s">
        <v>216</v>
      </c>
      <c r="B2338" s="71" t="s">
        <v>217</v>
      </c>
      <c r="C2338" s="71" t="s">
        <v>187</v>
      </c>
      <c r="D2338" s="71" t="s">
        <v>215</v>
      </c>
      <c r="E2338" s="71" t="s">
        <v>54</v>
      </c>
      <c r="F2338" s="71" t="s">
        <v>300</v>
      </c>
      <c r="G2338" s="88">
        <v>46198.688900462999</v>
      </c>
      <c r="H2338" s="89">
        <v>46198</v>
      </c>
      <c r="I2338" s="71" t="s">
        <v>306</v>
      </c>
      <c r="J2338" s="71">
        <v>0</v>
      </c>
      <c r="K2338" s="71" t="s">
        <v>302</v>
      </c>
      <c r="L2338" s="71">
        <f t="shared" si="324"/>
        <v>6</v>
      </c>
      <c r="M2338" s="71" t="str">
        <f>IFERROR(INDEX(KALENDER!$D$3:$D$132,MATCH(H2338,KALENDER!$A$3:$A$132,0)),"Di luar periode")</f>
        <v>Hari Kerja</v>
      </c>
      <c r="N2338" s="71">
        <f t="shared" si="325"/>
        <v>0</v>
      </c>
      <c r="O2338" s="71">
        <f t="shared" si="326"/>
        <v>1</v>
      </c>
      <c r="P2338" s="71">
        <f t="shared" si="327"/>
        <v>0</v>
      </c>
      <c r="Q2338" s="71">
        <f t="shared" si="328"/>
        <v>0</v>
      </c>
      <c r="R2338" s="71">
        <f t="shared" si="329"/>
        <v>0</v>
      </c>
      <c r="S2338" s="71">
        <f t="shared" si="330"/>
        <v>0</v>
      </c>
      <c r="T2338" s="71">
        <f t="shared" si="331"/>
        <v>0</v>
      </c>
      <c r="U2338" s="71">
        <f>IF(AND(N2338=1,V2338=1),IF(COUNTIFS(AKTIVITAS!$B$2:$B$3052,B2338,AKTIVITAS!$E$2:$E$3052,H2338)&gt;0,1,0),0)</f>
        <v>0</v>
      </c>
      <c r="V2338" s="71">
        <f>IFERROR(IF(AND(H2338&gt;=INDEX(PEMAGANG!$J$3:$J$36,MATCH(B2338,PEMAGANG!$C$3:$C$36,0)),H2338&lt;=INDEX(PEMAGANG!$K$3:$K$36,MATCH(B2338,PEMAGANG!$C$3:$C$36,0))),1,0),0)</f>
        <v>1</v>
      </c>
      <c r="W2338" s="71">
        <f t="shared" si="332"/>
        <v>0</v>
      </c>
    </row>
    <row r="2339" spans="1:23" x14ac:dyDescent="0.2">
      <c r="A2339" s="71" t="s">
        <v>216</v>
      </c>
      <c r="B2339" s="71" t="s">
        <v>217</v>
      </c>
      <c r="C2339" s="71" t="s">
        <v>187</v>
      </c>
      <c r="D2339" s="71" t="s">
        <v>215</v>
      </c>
      <c r="E2339" s="71" t="s">
        <v>54</v>
      </c>
      <c r="F2339" s="71" t="s">
        <v>298</v>
      </c>
      <c r="G2339" s="88">
        <v>46199.290752314802</v>
      </c>
      <c r="H2339" s="89">
        <v>46199</v>
      </c>
      <c r="I2339" s="71" t="s">
        <v>511</v>
      </c>
      <c r="J2339" s="71">
        <v>-32</v>
      </c>
      <c r="K2339" s="71" t="s">
        <v>302</v>
      </c>
      <c r="L2339" s="71">
        <f t="shared" si="324"/>
        <v>6</v>
      </c>
      <c r="M2339" s="71" t="str">
        <f>IFERROR(INDEX(KALENDER!$D$3:$D$132,MATCH(H2339,KALENDER!$A$3:$A$132,0)),"Di luar periode")</f>
        <v>Hari Kerja</v>
      </c>
      <c r="N2339" s="71">
        <f t="shared" si="325"/>
        <v>1</v>
      </c>
      <c r="O2339" s="71">
        <f t="shared" si="326"/>
        <v>1</v>
      </c>
      <c r="P2339" s="71">
        <f t="shared" si="327"/>
        <v>1</v>
      </c>
      <c r="Q2339" s="71">
        <f t="shared" si="328"/>
        <v>0</v>
      </c>
      <c r="R2339" s="71">
        <f t="shared" si="329"/>
        <v>0</v>
      </c>
      <c r="S2339" s="71">
        <f t="shared" si="330"/>
        <v>0</v>
      </c>
      <c r="T2339" s="71">
        <f t="shared" si="331"/>
        <v>0</v>
      </c>
      <c r="U2339" s="71">
        <f>IF(AND(N2339=1,V2339=1),IF(COUNTIFS(AKTIVITAS!$B$2:$B$3052,B2339,AKTIVITAS!$E$2:$E$3052,H2339)&gt;0,1,0),0)</f>
        <v>1</v>
      </c>
      <c r="V2339" s="71">
        <f>IFERROR(IF(AND(H2339&gt;=INDEX(PEMAGANG!$J$3:$J$36,MATCH(B2339,PEMAGANG!$C$3:$C$36,0)),H2339&lt;=INDEX(PEMAGANG!$K$3:$K$36,MATCH(B2339,PEMAGANG!$C$3:$C$36,0))),1,0),0)</f>
        <v>1</v>
      </c>
      <c r="W2339" s="71">
        <f t="shared" si="332"/>
        <v>1</v>
      </c>
    </row>
    <row r="2340" spans="1:23" x14ac:dyDescent="0.2">
      <c r="A2340" s="71" t="s">
        <v>216</v>
      </c>
      <c r="B2340" s="71" t="s">
        <v>217</v>
      </c>
      <c r="C2340" s="71" t="s">
        <v>187</v>
      </c>
      <c r="D2340" s="71" t="s">
        <v>215</v>
      </c>
      <c r="E2340" s="71" t="s">
        <v>54</v>
      </c>
      <c r="F2340" s="71" t="s">
        <v>300</v>
      </c>
      <c r="G2340" s="88">
        <v>46199.689178240696</v>
      </c>
      <c r="H2340" s="89">
        <v>46199</v>
      </c>
      <c r="I2340" s="71" t="s">
        <v>306</v>
      </c>
      <c r="J2340" s="71">
        <v>0</v>
      </c>
      <c r="K2340" s="71" t="s">
        <v>302</v>
      </c>
      <c r="L2340" s="71">
        <f t="shared" si="324"/>
        <v>6</v>
      </c>
      <c r="M2340" s="71" t="str">
        <f>IFERROR(INDEX(KALENDER!$D$3:$D$132,MATCH(H2340,KALENDER!$A$3:$A$132,0)),"Di luar periode")</f>
        <v>Hari Kerja</v>
      </c>
      <c r="N2340" s="71">
        <f t="shared" si="325"/>
        <v>0</v>
      </c>
      <c r="O2340" s="71">
        <f t="shared" si="326"/>
        <v>1</v>
      </c>
      <c r="P2340" s="71">
        <f t="shared" si="327"/>
        <v>0</v>
      </c>
      <c r="Q2340" s="71">
        <f t="shared" si="328"/>
        <v>0</v>
      </c>
      <c r="R2340" s="71">
        <f t="shared" si="329"/>
        <v>0</v>
      </c>
      <c r="S2340" s="71">
        <f t="shared" si="330"/>
        <v>0</v>
      </c>
      <c r="T2340" s="71">
        <f t="shared" si="331"/>
        <v>0</v>
      </c>
      <c r="U2340" s="71">
        <f>IF(AND(N2340=1,V2340=1),IF(COUNTIFS(AKTIVITAS!$B$2:$B$3052,B2340,AKTIVITAS!$E$2:$E$3052,H2340)&gt;0,1,0),0)</f>
        <v>0</v>
      </c>
      <c r="V2340" s="71">
        <f>IFERROR(IF(AND(H2340&gt;=INDEX(PEMAGANG!$J$3:$J$36,MATCH(B2340,PEMAGANG!$C$3:$C$36,0)),H2340&lt;=INDEX(PEMAGANG!$K$3:$K$36,MATCH(B2340,PEMAGANG!$C$3:$C$36,0))),1,0),0)</f>
        <v>1</v>
      </c>
      <c r="W2340" s="71">
        <f t="shared" si="332"/>
        <v>0</v>
      </c>
    </row>
    <row r="2341" spans="1:23" x14ac:dyDescent="0.2">
      <c r="A2341" s="71" t="s">
        <v>216</v>
      </c>
      <c r="B2341" s="71" t="s">
        <v>217</v>
      </c>
      <c r="C2341" s="71" t="s">
        <v>187</v>
      </c>
      <c r="D2341" s="71" t="s">
        <v>215</v>
      </c>
      <c r="E2341" s="71" t="s">
        <v>54</v>
      </c>
      <c r="F2341" s="71" t="s">
        <v>298</v>
      </c>
      <c r="G2341" s="88">
        <v>46202.296701388899</v>
      </c>
      <c r="H2341" s="89">
        <v>46202</v>
      </c>
      <c r="I2341" s="71" t="s">
        <v>487</v>
      </c>
      <c r="J2341" s="71">
        <v>-23</v>
      </c>
      <c r="K2341" s="71" t="s">
        <v>302</v>
      </c>
      <c r="L2341" s="71">
        <f t="shared" si="324"/>
        <v>6</v>
      </c>
      <c r="M2341" s="71" t="str">
        <f>IFERROR(INDEX(KALENDER!$D$3:$D$132,MATCH(H2341,KALENDER!$A$3:$A$132,0)),"Di luar periode")</f>
        <v>Hari Kerja</v>
      </c>
      <c r="N2341" s="71">
        <f t="shared" si="325"/>
        <v>1</v>
      </c>
      <c r="O2341" s="71">
        <f t="shared" si="326"/>
        <v>1</v>
      </c>
      <c r="P2341" s="71">
        <f t="shared" si="327"/>
        <v>1</v>
      </c>
      <c r="Q2341" s="71">
        <f t="shared" si="328"/>
        <v>0</v>
      </c>
      <c r="R2341" s="71">
        <f t="shared" si="329"/>
        <v>0</v>
      </c>
      <c r="S2341" s="71">
        <f t="shared" si="330"/>
        <v>0</v>
      </c>
      <c r="T2341" s="71">
        <f t="shared" si="331"/>
        <v>0</v>
      </c>
      <c r="U2341" s="71">
        <f>IF(AND(N2341=1,V2341=1),IF(COUNTIFS(AKTIVITAS!$B$2:$B$3052,B2341,AKTIVITAS!$E$2:$E$3052,H2341)&gt;0,1,0),0)</f>
        <v>1</v>
      </c>
      <c r="V2341" s="71">
        <f>IFERROR(IF(AND(H2341&gt;=INDEX(PEMAGANG!$J$3:$J$36,MATCH(B2341,PEMAGANG!$C$3:$C$36,0)),H2341&lt;=INDEX(PEMAGANG!$K$3:$K$36,MATCH(B2341,PEMAGANG!$C$3:$C$36,0))),1,0),0)</f>
        <v>1</v>
      </c>
      <c r="W2341" s="71">
        <f t="shared" si="332"/>
        <v>1</v>
      </c>
    </row>
    <row r="2342" spans="1:23" x14ac:dyDescent="0.2">
      <c r="A2342" s="71" t="s">
        <v>216</v>
      </c>
      <c r="B2342" s="71" t="s">
        <v>217</v>
      </c>
      <c r="C2342" s="71" t="s">
        <v>187</v>
      </c>
      <c r="D2342" s="71" t="s">
        <v>215</v>
      </c>
      <c r="E2342" s="71" t="s">
        <v>54</v>
      </c>
      <c r="F2342" s="71" t="s">
        <v>300</v>
      </c>
      <c r="G2342" s="88">
        <v>46202.688298611101</v>
      </c>
      <c r="H2342" s="89">
        <v>46202</v>
      </c>
      <c r="I2342" s="71" t="s">
        <v>336</v>
      </c>
      <c r="J2342" s="71">
        <v>0</v>
      </c>
      <c r="K2342" s="71" t="s">
        <v>302</v>
      </c>
      <c r="L2342" s="71">
        <f t="shared" si="324"/>
        <v>6</v>
      </c>
      <c r="M2342" s="71" t="str">
        <f>IFERROR(INDEX(KALENDER!$D$3:$D$132,MATCH(H2342,KALENDER!$A$3:$A$132,0)),"Di luar periode")</f>
        <v>Hari Kerja</v>
      </c>
      <c r="N2342" s="71">
        <f t="shared" si="325"/>
        <v>0</v>
      </c>
      <c r="O2342" s="71">
        <f t="shared" si="326"/>
        <v>1</v>
      </c>
      <c r="P2342" s="71">
        <f t="shared" si="327"/>
        <v>0</v>
      </c>
      <c r="Q2342" s="71">
        <f t="shared" si="328"/>
        <v>0</v>
      </c>
      <c r="R2342" s="71">
        <f t="shared" si="329"/>
        <v>0</v>
      </c>
      <c r="S2342" s="71">
        <f t="shared" si="330"/>
        <v>0</v>
      </c>
      <c r="T2342" s="71">
        <f t="shared" si="331"/>
        <v>0</v>
      </c>
      <c r="U2342" s="71">
        <f>IF(AND(N2342=1,V2342=1),IF(COUNTIFS(AKTIVITAS!$B$2:$B$3052,B2342,AKTIVITAS!$E$2:$E$3052,H2342)&gt;0,1,0),0)</f>
        <v>0</v>
      </c>
      <c r="V2342" s="71">
        <f>IFERROR(IF(AND(H2342&gt;=INDEX(PEMAGANG!$J$3:$J$36,MATCH(B2342,PEMAGANG!$C$3:$C$36,0)),H2342&lt;=INDEX(PEMAGANG!$K$3:$K$36,MATCH(B2342,PEMAGANG!$C$3:$C$36,0))),1,0),0)</f>
        <v>1</v>
      </c>
      <c r="W2342" s="71">
        <f t="shared" si="332"/>
        <v>0</v>
      </c>
    </row>
    <row r="2343" spans="1:23" x14ac:dyDescent="0.2">
      <c r="A2343" s="71" t="s">
        <v>216</v>
      </c>
      <c r="B2343" s="71" t="s">
        <v>217</v>
      </c>
      <c r="C2343" s="71" t="s">
        <v>187</v>
      </c>
      <c r="D2343" s="71" t="s">
        <v>215</v>
      </c>
      <c r="E2343" s="71" t="s">
        <v>54</v>
      </c>
      <c r="F2343" s="71" t="s">
        <v>298</v>
      </c>
      <c r="G2343" s="88">
        <v>46203.300775463002</v>
      </c>
      <c r="H2343" s="89">
        <v>46203</v>
      </c>
      <c r="I2343" s="71" t="s">
        <v>475</v>
      </c>
      <c r="J2343" s="71">
        <v>-17</v>
      </c>
      <c r="K2343" s="71" t="s">
        <v>302</v>
      </c>
      <c r="L2343" s="71">
        <f t="shared" si="324"/>
        <v>6</v>
      </c>
      <c r="M2343" s="71" t="str">
        <f>IFERROR(INDEX(KALENDER!$D$3:$D$132,MATCH(H2343,KALENDER!$A$3:$A$132,0)),"Di luar periode")</f>
        <v>Hari Kerja</v>
      </c>
      <c r="N2343" s="71">
        <f t="shared" si="325"/>
        <v>1</v>
      </c>
      <c r="O2343" s="71">
        <f t="shared" si="326"/>
        <v>1</v>
      </c>
      <c r="P2343" s="71">
        <f t="shared" si="327"/>
        <v>1</v>
      </c>
      <c r="Q2343" s="71">
        <f t="shared" si="328"/>
        <v>0</v>
      </c>
      <c r="R2343" s="71">
        <f t="shared" si="329"/>
        <v>0</v>
      </c>
      <c r="S2343" s="71">
        <f t="shared" si="330"/>
        <v>0</v>
      </c>
      <c r="T2343" s="71">
        <f t="shared" si="331"/>
        <v>1</v>
      </c>
      <c r="U2343" s="71">
        <f>IF(AND(N2343=1,V2343=1),IF(COUNTIFS(AKTIVITAS!$B$2:$B$3052,B2343,AKTIVITAS!$E$2:$E$3052,H2343)&gt;0,1,0),0)</f>
        <v>0</v>
      </c>
      <c r="V2343" s="71">
        <f>IFERROR(IF(AND(H2343&gt;=INDEX(PEMAGANG!$J$3:$J$36,MATCH(B2343,PEMAGANG!$C$3:$C$36,0)),H2343&lt;=INDEX(PEMAGANG!$K$3:$K$36,MATCH(B2343,PEMAGANG!$C$3:$C$36,0))),1,0),0)</f>
        <v>1</v>
      </c>
      <c r="W2343" s="71">
        <f t="shared" si="332"/>
        <v>1</v>
      </c>
    </row>
    <row r="2344" spans="1:23" x14ac:dyDescent="0.2">
      <c r="A2344" s="71" t="s">
        <v>216</v>
      </c>
      <c r="B2344" s="71" t="s">
        <v>217</v>
      </c>
      <c r="C2344" s="71" t="s">
        <v>187</v>
      </c>
      <c r="D2344" s="71" t="s">
        <v>215</v>
      </c>
      <c r="E2344" s="71" t="s">
        <v>54</v>
      </c>
      <c r="F2344" s="71" t="s">
        <v>298</v>
      </c>
      <c r="G2344" s="88">
        <v>46205.291435185201</v>
      </c>
      <c r="H2344" s="89">
        <v>46205</v>
      </c>
      <c r="I2344" s="71" t="s">
        <v>485</v>
      </c>
      <c r="J2344" s="71">
        <v>-31</v>
      </c>
      <c r="K2344" s="71" t="s">
        <v>302</v>
      </c>
      <c r="L2344" s="71">
        <f t="shared" si="324"/>
        <v>7</v>
      </c>
      <c r="M2344" s="71" t="str">
        <f>IFERROR(INDEX(KALENDER!$D$3:$D$132,MATCH(H2344,KALENDER!$A$3:$A$132,0)),"Di luar periode")</f>
        <v>Hari Kerja</v>
      </c>
      <c r="N2344" s="71">
        <f t="shared" si="325"/>
        <v>1</v>
      </c>
      <c r="O2344" s="71">
        <f t="shared" si="326"/>
        <v>1</v>
      </c>
      <c r="P2344" s="71">
        <f t="shared" si="327"/>
        <v>1</v>
      </c>
      <c r="Q2344" s="71">
        <f t="shared" si="328"/>
        <v>0</v>
      </c>
      <c r="R2344" s="71">
        <f t="shared" si="329"/>
        <v>0</v>
      </c>
      <c r="S2344" s="71">
        <f t="shared" si="330"/>
        <v>0</v>
      </c>
      <c r="T2344" s="71">
        <f t="shared" si="331"/>
        <v>0</v>
      </c>
      <c r="U2344" s="71">
        <f>IF(AND(N2344=1,V2344=1),IF(COUNTIFS(AKTIVITAS!$B$2:$B$3052,B2344,AKTIVITAS!$E$2:$E$3052,H2344)&gt;0,1,0),0)</f>
        <v>1</v>
      </c>
      <c r="V2344" s="71">
        <f>IFERROR(IF(AND(H2344&gt;=INDEX(PEMAGANG!$J$3:$J$36,MATCH(B2344,PEMAGANG!$C$3:$C$36,0)),H2344&lt;=INDEX(PEMAGANG!$K$3:$K$36,MATCH(B2344,PEMAGANG!$C$3:$C$36,0))),1,0),0)</f>
        <v>1</v>
      </c>
      <c r="W2344" s="71">
        <f t="shared" si="332"/>
        <v>1</v>
      </c>
    </row>
    <row r="2345" spans="1:23" x14ac:dyDescent="0.2">
      <c r="A2345" s="71" t="s">
        <v>216</v>
      </c>
      <c r="B2345" s="71" t="s">
        <v>217</v>
      </c>
      <c r="C2345" s="71" t="s">
        <v>187</v>
      </c>
      <c r="D2345" s="71" t="s">
        <v>215</v>
      </c>
      <c r="E2345" s="71" t="s">
        <v>54</v>
      </c>
      <c r="F2345" s="71" t="s">
        <v>300</v>
      </c>
      <c r="G2345" s="88">
        <v>46205.688240740703</v>
      </c>
      <c r="H2345" s="89">
        <v>46205</v>
      </c>
      <c r="I2345" s="71" t="s">
        <v>336</v>
      </c>
      <c r="J2345" s="71">
        <v>0</v>
      </c>
      <c r="K2345" s="71" t="s">
        <v>302</v>
      </c>
      <c r="L2345" s="71">
        <f t="shared" si="324"/>
        <v>7</v>
      </c>
      <c r="M2345" s="71" t="str">
        <f>IFERROR(INDEX(KALENDER!$D$3:$D$132,MATCH(H2345,KALENDER!$A$3:$A$132,0)),"Di luar periode")</f>
        <v>Hari Kerja</v>
      </c>
      <c r="N2345" s="71">
        <f t="shared" si="325"/>
        <v>0</v>
      </c>
      <c r="O2345" s="71">
        <f t="shared" si="326"/>
        <v>1</v>
      </c>
      <c r="P2345" s="71">
        <f t="shared" si="327"/>
        <v>0</v>
      </c>
      <c r="Q2345" s="71">
        <f t="shared" si="328"/>
        <v>0</v>
      </c>
      <c r="R2345" s="71">
        <f t="shared" si="329"/>
        <v>0</v>
      </c>
      <c r="S2345" s="71">
        <f t="shared" si="330"/>
        <v>0</v>
      </c>
      <c r="T2345" s="71">
        <f t="shared" si="331"/>
        <v>0</v>
      </c>
      <c r="U2345" s="71">
        <f>IF(AND(N2345=1,V2345=1),IF(COUNTIFS(AKTIVITAS!$B$2:$B$3052,B2345,AKTIVITAS!$E$2:$E$3052,H2345)&gt;0,1,0),0)</f>
        <v>0</v>
      </c>
      <c r="V2345" s="71">
        <f>IFERROR(IF(AND(H2345&gt;=INDEX(PEMAGANG!$J$3:$J$36,MATCH(B2345,PEMAGANG!$C$3:$C$36,0)),H2345&lt;=INDEX(PEMAGANG!$K$3:$K$36,MATCH(B2345,PEMAGANG!$C$3:$C$36,0))),1,0),0)</f>
        <v>1</v>
      </c>
      <c r="W2345" s="71">
        <f t="shared" si="332"/>
        <v>0</v>
      </c>
    </row>
    <row r="2346" spans="1:23" x14ac:dyDescent="0.2">
      <c r="A2346" s="71" t="s">
        <v>216</v>
      </c>
      <c r="B2346" s="71" t="s">
        <v>217</v>
      </c>
      <c r="C2346" s="71" t="s">
        <v>187</v>
      </c>
      <c r="D2346" s="71" t="s">
        <v>215</v>
      </c>
      <c r="E2346" s="71" t="s">
        <v>54</v>
      </c>
      <c r="F2346" s="71" t="s">
        <v>298</v>
      </c>
      <c r="G2346" s="88">
        <v>46206.300173611096</v>
      </c>
      <c r="H2346" s="89">
        <v>46206</v>
      </c>
      <c r="I2346" s="71" t="s">
        <v>478</v>
      </c>
      <c r="J2346" s="71">
        <v>-18</v>
      </c>
      <c r="K2346" s="71" t="s">
        <v>302</v>
      </c>
      <c r="L2346" s="71">
        <f t="shared" si="324"/>
        <v>7</v>
      </c>
      <c r="M2346" s="71" t="str">
        <f>IFERROR(INDEX(KALENDER!$D$3:$D$132,MATCH(H2346,KALENDER!$A$3:$A$132,0)),"Di luar periode")</f>
        <v>Hari Kerja</v>
      </c>
      <c r="N2346" s="71">
        <f t="shared" si="325"/>
        <v>1</v>
      </c>
      <c r="O2346" s="71">
        <f t="shared" si="326"/>
        <v>1</v>
      </c>
      <c r="P2346" s="71">
        <f t="shared" si="327"/>
        <v>1</v>
      </c>
      <c r="Q2346" s="71">
        <f t="shared" si="328"/>
        <v>0</v>
      </c>
      <c r="R2346" s="71">
        <f t="shared" si="329"/>
        <v>0</v>
      </c>
      <c r="S2346" s="71">
        <f t="shared" si="330"/>
        <v>0</v>
      </c>
      <c r="T2346" s="71">
        <f t="shared" si="331"/>
        <v>0</v>
      </c>
      <c r="U2346" s="71">
        <f>IF(AND(N2346=1,V2346=1),IF(COUNTIFS(AKTIVITAS!$B$2:$B$3052,B2346,AKTIVITAS!$E$2:$E$3052,H2346)&gt;0,1,0),0)</f>
        <v>1</v>
      </c>
      <c r="V2346" s="71">
        <f>IFERROR(IF(AND(H2346&gt;=INDEX(PEMAGANG!$J$3:$J$36,MATCH(B2346,PEMAGANG!$C$3:$C$36,0)),H2346&lt;=INDEX(PEMAGANG!$K$3:$K$36,MATCH(B2346,PEMAGANG!$C$3:$C$36,0))),1,0),0)</f>
        <v>1</v>
      </c>
      <c r="W2346" s="71">
        <f t="shared" si="332"/>
        <v>1</v>
      </c>
    </row>
    <row r="2347" spans="1:23" x14ac:dyDescent="0.2">
      <c r="A2347" s="71" t="s">
        <v>216</v>
      </c>
      <c r="B2347" s="71" t="s">
        <v>217</v>
      </c>
      <c r="C2347" s="71" t="s">
        <v>187</v>
      </c>
      <c r="D2347" s="71" t="s">
        <v>215</v>
      </c>
      <c r="E2347" s="71" t="s">
        <v>54</v>
      </c>
      <c r="F2347" s="71" t="s">
        <v>300</v>
      </c>
      <c r="G2347" s="88">
        <v>46206.690787036998</v>
      </c>
      <c r="H2347" s="89">
        <v>46206</v>
      </c>
      <c r="I2347" s="71" t="s">
        <v>314</v>
      </c>
      <c r="J2347" s="71">
        <v>0</v>
      </c>
      <c r="K2347" s="71" t="s">
        <v>302</v>
      </c>
      <c r="L2347" s="71">
        <f t="shared" si="324"/>
        <v>7</v>
      </c>
      <c r="M2347" s="71" t="str">
        <f>IFERROR(INDEX(KALENDER!$D$3:$D$132,MATCH(H2347,KALENDER!$A$3:$A$132,0)),"Di luar periode")</f>
        <v>Hari Kerja</v>
      </c>
      <c r="N2347" s="71">
        <f t="shared" si="325"/>
        <v>0</v>
      </c>
      <c r="O2347" s="71">
        <f t="shared" si="326"/>
        <v>1</v>
      </c>
      <c r="P2347" s="71">
        <f t="shared" si="327"/>
        <v>0</v>
      </c>
      <c r="Q2347" s="71">
        <f t="shared" si="328"/>
        <v>0</v>
      </c>
      <c r="R2347" s="71">
        <f t="shared" si="329"/>
        <v>0</v>
      </c>
      <c r="S2347" s="71">
        <f t="shared" si="330"/>
        <v>0</v>
      </c>
      <c r="T2347" s="71">
        <f t="shared" si="331"/>
        <v>0</v>
      </c>
      <c r="U2347" s="71">
        <f>IF(AND(N2347=1,V2347=1),IF(COUNTIFS(AKTIVITAS!$B$2:$B$3052,B2347,AKTIVITAS!$E$2:$E$3052,H2347)&gt;0,1,0),0)</f>
        <v>0</v>
      </c>
      <c r="V2347" s="71">
        <f>IFERROR(IF(AND(H2347&gt;=INDEX(PEMAGANG!$J$3:$J$36,MATCH(B2347,PEMAGANG!$C$3:$C$36,0)),H2347&lt;=INDEX(PEMAGANG!$K$3:$K$36,MATCH(B2347,PEMAGANG!$C$3:$C$36,0))),1,0),0)</f>
        <v>1</v>
      </c>
      <c r="W2347" s="71">
        <f t="shared" si="332"/>
        <v>0</v>
      </c>
    </row>
    <row r="2348" spans="1:23" x14ac:dyDescent="0.2">
      <c r="A2348" s="71" t="s">
        <v>216</v>
      </c>
      <c r="B2348" s="71" t="s">
        <v>217</v>
      </c>
      <c r="C2348" s="71" t="s">
        <v>187</v>
      </c>
      <c r="D2348" s="71" t="s">
        <v>215</v>
      </c>
      <c r="E2348" s="71" t="s">
        <v>54</v>
      </c>
      <c r="F2348" s="71" t="s">
        <v>298</v>
      </c>
      <c r="G2348" s="88">
        <v>46209.293946759302</v>
      </c>
      <c r="H2348" s="89">
        <v>46209</v>
      </c>
      <c r="I2348" s="71" t="s">
        <v>483</v>
      </c>
      <c r="J2348" s="71">
        <v>-27</v>
      </c>
      <c r="K2348" s="71" t="s">
        <v>302</v>
      </c>
      <c r="L2348" s="71">
        <f t="shared" si="324"/>
        <v>7</v>
      </c>
      <c r="M2348" s="71" t="str">
        <f>IFERROR(INDEX(KALENDER!$D$3:$D$132,MATCH(H2348,KALENDER!$A$3:$A$132,0)),"Di luar periode")</f>
        <v>Hari Kerja</v>
      </c>
      <c r="N2348" s="71">
        <f t="shared" si="325"/>
        <v>1</v>
      </c>
      <c r="O2348" s="71">
        <f t="shared" si="326"/>
        <v>1</v>
      </c>
      <c r="P2348" s="71">
        <f t="shared" si="327"/>
        <v>1</v>
      </c>
      <c r="Q2348" s="71">
        <f t="shared" si="328"/>
        <v>0</v>
      </c>
      <c r="R2348" s="71">
        <f t="shared" si="329"/>
        <v>0</v>
      </c>
      <c r="S2348" s="71">
        <f t="shared" si="330"/>
        <v>0</v>
      </c>
      <c r="T2348" s="71">
        <f t="shared" si="331"/>
        <v>0</v>
      </c>
      <c r="U2348" s="71">
        <f>IF(AND(N2348=1,V2348=1),IF(COUNTIFS(AKTIVITAS!$B$2:$B$3052,B2348,AKTIVITAS!$E$2:$E$3052,H2348)&gt;0,1,0),0)</f>
        <v>1</v>
      </c>
      <c r="V2348" s="71">
        <f>IFERROR(IF(AND(H2348&gt;=INDEX(PEMAGANG!$J$3:$J$36,MATCH(B2348,PEMAGANG!$C$3:$C$36,0)),H2348&lt;=INDEX(PEMAGANG!$K$3:$K$36,MATCH(B2348,PEMAGANG!$C$3:$C$36,0))),1,0),0)</f>
        <v>1</v>
      </c>
      <c r="W2348" s="71">
        <f t="shared" si="332"/>
        <v>1</v>
      </c>
    </row>
    <row r="2349" spans="1:23" x14ac:dyDescent="0.2">
      <c r="A2349" s="71" t="s">
        <v>216</v>
      </c>
      <c r="B2349" s="71" t="s">
        <v>217</v>
      </c>
      <c r="C2349" s="71" t="s">
        <v>187</v>
      </c>
      <c r="D2349" s="71" t="s">
        <v>215</v>
      </c>
      <c r="E2349" s="71" t="s">
        <v>54</v>
      </c>
      <c r="F2349" s="71" t="s">
        <v>300</v>
      </c>
      <c r="G2349" s="88">
        <v>46209.6882175926</v>
      </c>
      <c r="H2349" s="89">
        <v>46209</v>
      </c>
      <c r="I2349" s="71" t="s">
        <v>336</v>
      </c>
      <c r="J2349" s="71">
        <v>0</v>
      </c>
      <c r="K2349" s="71" t="s">
        <v>302</v>
      </c>
      <c r="L2349" s="71">
        <f t="shared" si="324"/>
        <v>7</v>
      </c>
      <c r="M2349" s="71" t="str">
        <f>IFERROR(INDEX(KALENDER!$D$3:$D$132,MATCH(H2349,KALENDER!$A$3:$A$132,0)),"Di luar periode")</f>
        <v>Hari Kerja</v>
      </c>
      <c r="N2349" s="71">
        <f t="shared" si="325"/>
        <v>0</v>
      </c>
      <c r="O2349" s="71">
        <f t="shared" si="326"/>
        <v>1</v>
      </c>
      <c r="P2349" s="71">
        <f t="shared" si="327"/>
        <v>0</v>
      </c>
      <c r="Q2349" s="71">
        <f t="shared" si="328"/>
        <v>0</v>
      </c>
      <c r="R2349" s="71">
        <f t="shared" si="329"/>
        <v>0</v>
      </c>
      <c r="S2349" s="71">
        <f t="shared" si="330"/>
        <v>0</v>
      </c>
      <c r="T2349" s="71">
        <f t="shared" si="331"/>
        <v>0</v>
      </c>
      <c r="U2349" s="71">
        <f>IF(AND(N2349=1,V2349=1),IF(COUNTIFS(AKTIVITAS!$B$2:$B$3052,B2349,AKTIVITAS!$E$2:$E$3052,H2349)&gt;0,1,0),0)</f>
        <v>0</v>
      </c>
      <c r="V2349" s="71">
        <f>IFERROR(IF(AND(H2349&gt;=INDEX(PEMAGANG!$J$3:$J$36,MATCH(B2349,PEMAGANG!$C$3:$C$36,0)),H2349&lt;=INDEX(PEMAGANG!$K$3:$K$36,MATCH(B2349,PEMAGANG!$C$3:$C$36,0))),1,0),0)</f>
        <v>1</v>
      </c>
      <c r="W2349" s="71">
        <f t="shared" si="332"/>
        <v>0</v>
      </c>
    </row>
    <row r="2350" spans="1:23" x14ac:dyDescent="0.2">
      <c r="A2350" s="71" t="s">
        <v>216</v>
      </c>
      <c r="B2350" s="71" t="s">
        <v>217</v>
      </c>
      <c r="C2350" s="71" t="s">
        <v>187</v>
      </c>
      <c r="D2350" s="71" t="s">
        <v>215</v>
      </c>
      <c r="E2350" s="71" t="s">
        <v>54</v>
      </c>
      <c r="F2350" s="71" t="s">
        <v>298</v>
      </c>
      <c r="G2350" s="88">
        <v>46210.299375000002</v>
      </c>
      <c r="H2350" s="89">
        <v>46210</v>
      </c>
      <c r="I2350" s="71" t="s">
        <v>402</v>
      </c>
      <c r="J2350" s="71">
        <v>-19</v>
      </c>
      <c r="K2350" s="71" t="s">
        <v>302</v>
      </c>
      <c r="L2350" s="71">
        <f t="shared" si="324"/>
        <v>7</v>
      </c>
      <c r="M2350" s="71" t="str">
        <f>IFERROR(INDEX(KALENDER!$D$3:$D$132,MATCH(H2350,KALENDER!$A$3:$A$132,0)),"Di luar periode")</f>
        <v>Hari Kerja</v>
      </c>
      <c r="N2350" s="71">
        <f t="shared" si="325"/>
        <v>1</v>
      </c>
      <c r="O2350" s="71">
        <f t="shared" si="326"/>
        <v>1</v>
      </c>
      <c r="P2350" s="71">
        <f t="shared" si="327"/>
        <v>1</v>
      </c>
      <c r="Q2350" s="71">
        <f t="shared" si="328"/>
        <v>0</v>
      </c>
      <c r="R2350" s="71">
        <f t="shared" si="329"/>
        <v>0</v>
      </c>
      <c r="S2350" s="71">
        <f t="shared" si="330"/>
        <v>0</v>
      </c>
      <c r="T2350" s="71">
        <f t="shared" si="331"/>
        <v>0</v>
      </c>
      <c r="U2350" s="71">
        <f>IF(AND(N2350=1,V2350=1),IF(COUNTIFS(AKTIVITAS!$B$2:$B$3052,B2350,AKTIVITAS!$E$2:$E$3052,H2350)&gt;0,1,0),0)</f>
        <v>1</v>
      </c>
      <c r="V2350" s="71">
        <f>IFERROR(IF(AND(H2350&gt;=INDEX(PEMAGANG!$J$3:$J$36,MATCH(B2350,PEMAGANG!$C$3:$C$36,0)),H2350&lt;=INDEX(PEMAGANG!$K$3:$K$36,MATCH(B2350,PEMAGANG!$C$3:$C$36,0))),1,0),0)</f>
        <v>1</v>
      </c>
      <c r="W2350" s="71">
        <f t="shared" si="332"/>
        <v>1</v>
      </c>
    </row>
    <row r="2351" spans="1:23" x14ac:dyDescent="0.2">
      <c r="A2351" s="71" t="s">
        <v>216</v>
      </c>
      <c r="B2351" s="71" t="s">
        <v>217</v>
      </c>
      <c r="C2351" s="71" t="s">
        <v>187</v>
      </c>
      <c r="D2351" s="71" t="s">
        <v>215</v>
      </c>
      <c r="E2351" s="71" t="s">
        <v>54</v>
      </c>
      <c r="F2351" s="71" t="s">
        <v>300</v>
      </c>
      <c r="G2351" s="88">
        <v>46210.687789351898</v>
      </c>
      <c r="H2351" s="89">
        <v>46210</v>
      </c>
      <c r="I2351" s="71" t="s">
        <v>330</v>
      </c>
      <c r="J2351" s="71">
        <v>0</v>
      </c>
      <c r="K2351" s="71" t="s">
        <v>302</v>
      </c>
      <c r="L2351" s="71">
        <f t="shared" si="324"/>
        <v>7</v>
      </c>
      <c r="M2351" s="71" t="str">
        <f>IFERROR(INDEX(KALENDER!$D$3:$D$132,MATCH(H2351,KALENDER!$A$3:$A$132,0)),"Di luar periode")</f>
        <v>Hari Kerja</v>
      </c>
      <c r="N2351" s="71">
        <f t="shared" si="325"/>
        <v>0</v>
      </c>
      <c r="O2351" s="71">
        <f t="shared" si="326"/>
        <v>1</v>
      </c>
      <c r="P2351" s="71">
        <f t="shared" si="327"/>
        <v>0</v>
      </c>
      <c r="Q2351" s="71">
        <f t="shared" si="328"/>
        <v>0</v>
      </c>
      <c r="R2351" s="71">
        <f t="shared" si="329"/>
        <v>0</v>
      </c>
      <c r="S2351" s="71">
        <f t="shared" si="330"/>
        <v>0</v>
      </c>
      <c r="T2351" s="71">
        <f t="shared" si="331"/>
        <v>0</v>
      </c>
      <c r="U2351" s="71">
        <f>IF(AND(N2351=1,V2351=1),IF(COUNTIFS(AKTIVITAS!$B$2:$B$3052,B2351,AKTIVITAS!$E$2:$E$3052,H2351)&gt;0,1,0),0)</f>
        <v>0</v>
      </c>
      <c r="V2351" s="71">
        <f>IFERROR(IF(AND(H2351&gt;=INDEX(PEMAGANG!$J$3:$J$36,MATCH(B2351,PEMAGANG!$C$3:$C$36,0)),H2351&lt;=INDEX(PEMAGANG!$K$3:$K$36,MATCH(B2351,PEMAGANG!$C$3:$C$36,0))),1,0),0)</f>
        <v>1</v>
      </c>
      <c r="W2351" s="71">
        <f t="shared" si="332"/>
        <v>0</v>
      </c>
    </row>
    <row r="2352" spans="1:23" x14ac:dyDescent="0.2">
      <c r="A2352" s="71" t="s">
        <v>216</v>
      </c>
      <c r="B2352" s="71" t="s">
        <v>217</v>
      </c>
      <c r="C2352" s="71" t="s">
        <v>187</v>
      </c>
      <c r="D2352" s="71" t="s">
        <v>215</v>
      </c>
      <c r="E2352" s="71" t="s">
        <v>54</v>
      </c>
      <c r="F2352" s="71" t="s">
        <v>298</v>
      </c>
      <c r="G2352" s="88">
        <v>46212.292222222197</v>
      </c>
      <c r="H2352" s="89">
        <v>46212</v>
      </c>
      <c r="I2352" s="71" t="s">
        <v>615</v>
      </c>
      <c r="J2352" s="71">
        <v>-30</v>
      </c>
      <c r="K2352" s="71" t="s">
        <v>302</v>
      </c>
      <c r="L2352" s="71">
        <f t="shared" si="324"/>
        <v>7</v>
      </c>
      <c r="M2352" s="71" t="str">
        <f>IFERROR(INDEX(KALENDER!$D$3:$D$132,MATCH(H2352,KALENDER!$A$3:$A$132,0)),"Di luar periode")</f>
        <v>Hari Kerja</v>
      </c>
      <c r="N2352" s="71">
        <f t="shared" si="325"/>
        <v>1</v>
      </c>
      <c r="O2352" s="71">
        <f t="shared" si="326"/>
        <v>1</v>
      </c>
      <c r="P2352" s="71">
        <f t="shared" si="327"/>
        <v>1</v>
      </c>
      <c r="Q2352" s="71">
        <f t="shared" si="328"/>
        <v>0</v>
      </c>
      <c r="R2352" s="71">
        <f t="shared" si="329"/>
        <v>0</v>
      </c>
      <c r="S2352" s="71">
        <f t="shared" si="330"/>
        <v>0</v>
      </c>
      <c r="T2352" s="71">
        <f t="shared" si="331"/>
        <v>0</v>
      </c>
      <c r="U2352" s="71">
        <f>IF(AND(N2352=1,V2352=1),IF(COUNTIFS(AKTIVITAS!$B$2:$B$3052,B2352,AKTIVITAS!$E$2:$E$3052,H2352)&gt;0,1,0),0)</f>
        <v>1</v>
      </c>
      <c r="V2352" s="71">
        <f>IFERROR(IF(AND(H2352&gt;=INDEX(PEMAGANG!$J$3:$J$36,MATCH(B2352,PEMAGANG!$C$3:$C$36,0)),H2352&lt;=INDEX(PEMAGANG!$K$3:$K$36,MATCH(B2352,PEMAGANG!$C$3:$C$36,0))),1,0),0)</f>
        <v>1</v>
      </c>
      <c r="W2352" s="71">
        <f t="shared" si="332"/>
        <v>1</v>
      </c>
    </row>
    <row r="2353" spans="1:23" x14ac:dyDescent="0.2">
      <c r="A2353" s="71" t="s">
        <v>216</v>
      </c>
      <c r="B2353" s="71" t="s">
        <v>217</v>
      </c>
      <c r="C2353" s="71" t="s">
        <v>187</v>
      </c>
      <c r="D2353" s="71" t="s">
        <v>215</v>
      </c>
      <c r="E2353" s="71" t="s">
        <v>54</v>
      </c>
      <c r="F2353" s="71" t="s">
        <v>300</v>
      </c>
      <c r="G2353" s="88">
        <v>46212.688680555599</v>
      </c>
      <c r="H2353" s="89">
        <v>46212</v>
      </c>
      <c r="I2353" s="71" t="s">
        <v>336</v>
      </c>
      <c r="J2353" s="71">
        <v>0</v>
      </c>
      <c r="K2353" s="71" t="s">
        <v>302</v>
      </c>
      <c r="L2353" s="71">
        <f t="shared" si="324"/>
        <v>7</v>
      </c>
      <c r="M2353" s="71" t="str">
        <f>IFERROR(INDEX(KALENDER!$D$3:$D$132,MATCH(H2353,KALENDER!$A$3:$A$132,0)),"Di luar periode")</f>
        <v>Hari Kerja</v>
      </c>
      <c r="N2353" s="71">
        <f t="shared" si="325"/>
        <v>0</v>
      </c>
      <c r="O2353" s="71">
        <f t="shared" si="326"/>
        <v>1</v>
      </c>
      <c r="P2353" s="71">
        <f t="shared" si="327"/>
        <v>0</v>
      </c>
      <c r="Q2353" s="71">
        <f t="shared" si="328"/>
        <v>0</v>
      </c>
      <c r="R2353" s="71">
        <f t="shared" si="329"/>
        <v>0</v>
      </c>
      <c r="S2353" s="71">
        <f t="shared" si="330"/>
        <v>0</v>
      </c>
      <c r="T2353" s="71">
        <f t="shared" si="331"/>
        <v>0</v>
      </c>
      <c r="U2353" s="71">
        <f>IF(AND(N2353=1,V2353=1),IF(COUNTIFS(AKTIVITAS!$B$2:$B$3052,B2353,AKTIVITAS!$E$2:$E$3052,H2353)&gt;0,1,0),0)</f>
        <v>0</v>
      </c>
      <c r="V2353" s="71">
        <f>IFERROR(IF(AND(H2353&gt;=INDEX(PEMAGANG!$J$3:$J$36,MATCH(B2353,PEMAGANG!$C$3:$C$36,0)),H2353&lt;=INDEX(PEMAGANG!$K$3:$K$36,MATCH(B2353,PEMAGANG!$C$3:$C$36,0))),1,0),0)</f>
        <v>1</v>
      </c>
      <c r="W2353" s="71">
        <f t="shared" si="332"/>
        <v>0</v>
      </c>
    </row>
    <row r="2354" spans="1:23" x14ac:dyDescent="0.2">
      <c r="A2354" s="71" t="s">
        <v>216</v>
      </c>
      <c r="B2354" s="71" t="s">
        <v>217</v>
      </c>
      <c r="C2354" s="71" t="s">
        <v>187</v>
      </c>
      <c r="D2354" s="71" t="s">
        <v>215</v>
      </c>
      <c r="E2354" s="71" t="s">
        <v>54</v>
      </c>
      <c r="F2354" s="71" t="s">
        <v>298</v>
      </c>
      <c r="G2354" s="88">
        <v>46213.294432870403</v>
      </c>
      <c r="H2354" s="89">
        <v>46213</v>
      </c>
      <c r="I2354" s="71" t="s">
        <v>483</v>
      </c>
      <c r="J2354" s="71">
        <v>-27</v>
      </c>
      <c r="K2354" s="71" t="s">
        <v>302</v>
      </c>
      <c r="L2354" s="71">
        <f t="shared" si="324"/>
        <v>7</v>
      </c>
      <c r="M2354" s="71" t="str">
        <f>IFERROR(INDEX(KALENDER!$D$3:$D$132,MATCH(H2354,KALENDER!$A$3:$A$132,0)),"Di luar periode")</f>
        <v>Hari Kerja</v>
      </c>
      <c r="N2354" s="71">
        <f t="shared" si="325"/>
        <v>1</v>
      </c>
      <c r="O2354" s="71">
        <f t="shared" si="326"/>
        <v>1</v>
      </c>
      <c r="P2354" s="71">
        <f t="shared" si="327"/>
        <v>1</v>
      </c>
      <c r="Q2354" s="71">
        <f t="shared" si="328"/>
        <v>0</v>
      </c>
      <c r="R2354" s="71">
        <f t="shared" si="329"/>
        <v>0</v>
      </c>
      <c r="S2354" s="71">
        <f t="shared" si="330"/>
        <v>0</v>
      </c>
      <c r="T2354" s="71">
        <f t="shared" si="331"/>
        <v>0</v>
      </c>
      <c r="U2354" s="71">
        <f>IF(AND(N2354=1,V2354=1),IF(COUNTIFS(AKTIVITAS!$B$2:$B$3052,B2354,AKTIVITAS!$E$2:$E$3052,H2354)&gt;0,1,0),0)</f>
        <v>1</v>
      </c>
      <c r="V2354" s="71">
        <f>IFERROR(IF(AND(H2354&gt;=INDEX(PEMAGANG!$J$3:$J$36,MATCH(B2354,PEMAGANG!$C$3:$C$36,0)),H2354&lt;=INDEX(PEMAGANG!$K$3:$K$36,MATCH(B2354,PEMAGANG!$C$3:$C$36,0))),1,0),0)</f>
        <v>1</v>
      </c>
      <c r="W2354" s="71">
        <f t="shared" si="332"/>
        <v>1</v>
      </c>
    </row>
    <row r="2355" spans="1:23" x14ac:dyDescent="0.2">
      <c r="A2355" s="71" t="s">
        <v>216</v>
      </c>
      <c r="B2355" s="71" t="s">
        <v>217</v>
      </c>
      <c r="C2355" s="71" t="s">
        <v>187</v>
      </c>
      <c r="D2355" s="71" t="s">
        <v>215</v>
      </c>
      <c r="E2355" s="71" t="s">
        <v>54</v>
      </c>
      <c r="F2355" s="71" t="s">
        <v>300</v>
      </c>
      <c r="G2355" s="88">
        <v>46213.688472222202</v>
      </c>
      <c r="H2355" s="89">
        <v>46213</v>
      </c>
      <c r="I2355" s="71" t="s">
        <v>336</v>
      </c>
      <c r="J2355" s="71">
        <v>0</v>
      </c>
      <c r="K2355" s="71" t="s">
        <v>302</v>
      </c>
      <c r="L2355" s="71">
        <f t="shared" si="324"/>
        <v>7</v>
      </c>
      <c r="M2355" s="71" t="str">
        <f>IFERROR(INDEX(KALENDER!$D$3:$D$132,MATCH(H2355,KALENDER!$A$3:$A$132,0)),"Di luar periode")</f>
        <v>Hari Kerja</v>
      </c>
      <c r="N2355" s="71">
        <f t="shared" si="325"/>
        <v>0</v>
      </c>
      <c r="O2355" s="71">
        <f t="shared" si="326"/>
        <v>1</v>
      </c>
      <c r="P2355" s="71">
        <f t="shared" si="327"/>
        <v>0</v>
      </c>
      <c r="Q2355" s="71">
        <f t="shared" si="328"/>
        <v>0</v>
      </c>
      <c r="R2355" s="71">
        <f t="shared" si="329"/>
        <v>0</v>
      </c>
      <c r="S2355" s="71">
        <f t="shared" si="330"/>
        <v>0</v>
      </c>
      <c r="T2355" s="71">
        <f t="shared" si="331"/>
        <v>0</v>
      </c>
      <c r="U2355" s="71">
        <f>IF(AND(N2355=1,V2355=1),IF(COUNTIFS(AKTIVITAS!$B$2:$B$3052,B2355,AKTIVITAS!$E$2:$E$3052,H2355)&gt;0,1,0),0)</f>
        <v>0</v>
      </c>
      <c r="V2355" s="71">
        <f>IFERROR(IF(AND(H2355&gt;=INDEX(PEMAGANG!$J$3:$J$36,MATCH(B2355,PEMAGANG!$C$3:$C$36,0)),H2355&lt;=INDEX(PEMAGANG!$K$3:$K$36,MATCH(B2355,PEMAGANG!$C$3:$C$36,0))),1,0),0)</f>
        <v>1</v>
      </c>
      <c r="W2355" s="71">
        <f t="shared" si="332"/>
        <v>0</v>
      </c>
    </row>
    <row r="2356" spans="1:23" x14ac:dyDescent="0.2">
      <c r="A2356" s="71" t="s">
        <v>216</v>
      </c>
      <c r="B2356" s="71" t="s">
        <v>217</v>
      </c>
      <c r="C2356" s="71" t="s">
        <v>187</v>
      </c>
      <c r="D2356" s="71" t="s">
        <v>215</v>
      </c>
      <c r="E2356" s="71" t="s">
        <v>54</v>
      </c>
      <c r="F2356" s="71" t="s">
        <v>298</v>
      </c>
      <c r="G2356" s="88">
        <v>46216.297986111102</v>
      </c>
      <c r="H2356" s="89">
        <v>46216</v>
      </c>
      <c r="I2356" s="71" t="s">
        <v>479</v>
      </c>
      <c r="J2356" s="71">
        <v>-21</v>
      </c>
      <c r="K2356" s="71" t="s">
        <v>302</v>
      </c>
      <c r="L2356" s="71">
        <f t="shared" si="324"/>
        <v>7</v>
      </c>
      <c r="M2356" s="71" t="str">
        <f>IFERROR(INDEX(KALENDER!$D$3:$D$132,MATCH(H2356,KALENDER!$A$3:$A$132,0)),"Di luar periode")</f>
        <v>Hari Kerja</v>
      </c>
      <c r="N2356" s="71">
        <f t="shared" si="325"/>
        <v>1</v>
      </c>
      <c r="O2356" s="71">
        <f t="shared" si="326"/>
        <v>1</v>
      </c>
      <c r="P2356" s="71">
        <f t="shared" si="327"/>
        <v>1</v>
      </c>
      <c r="Q2356" s="71">
        <f t="shared" si="328"/>
        <v>0</v>
      </c>
      <c r="R2356" s="71">
        <f t="shared" si="329"/>
        <v>0</v>
      </c>
      <c r="S2356" s="71">
        <f t="shared" si="330"/>
        <v>0</v>
      </c>
      <c r="T2356" s="71">
        <f t="shared" si="331"/>
        <v>0</v>
      </c>
      <c r="U2356" s="71">
        <f>IF(AND(N2356=1,V2356=1),IF(COUNTIFS(AKTIVITAS!$B$2:$B$3052,B2356,AKTIVITAS!$E$2:$E$3052,H2356)&gt;0,1,0),0)</f>
        <v>1</v>
      </c>
      <c r="V2356" s="71">
        <f>IFERROR(IF(AND(H2356&gt;=INDEX(PEMAGANG!$J$3:$J$36,MATCH(B2356,PEMAGANG!$C$3:$C$36,0)),H2356&lt;=INDEX(PEMAGANG!$K$3:$K$36,MATCH(B2356,PEMAGANG!$C$3:$C$36,0))),1,0),0)</f>
        <v>1</v>
      </c>
      <c r="W2356" s="71">
        <f t="shared" si="332"/>
        <v>1</v>
      </c>
    </row>
    <row r="2357" spans="1:23" x14ac:dyDescent="0.2">
      <c r="A2357" s="71" t="s">
        <v>216</v>
      </c>
      <c r="B2357" s="71" t="s">
        <v>217</v>
      </c>
      <c r="C2357" s="71" t="s">
        <v>187</v>
      </c>
      <c r="D2357" s="71" t="s">
        <v>215</v>
      </c>
      <c r="E2357" s="71" t="s">
        <v>54</v>
      </c>
      <c r="F2357" s="71" t="s">
        <v>300</v>
      </c>
      <c r="G2357" s="88">
        <v>46216.688483796301</v>
      </c>
      <c r="H2357" s="89">
        <v>46216</v>
      </c>
      <c r="I2357" s="71" t="s">
        <v>336</v>
      </c>
      <c r="J2357" s="71">
        <v>0</v>
      </c>
      <c r="K2357" s="71" t="s">
        <v>302</v>
      </c>
      <c r="L2357" s="71">
        <f t="shared" si="324"/>
        <v>7</v>
      </c>
      <c r="M2357" s="71" t="str">
        <f>IFERROR(INDEX(KALENDER!$D$3:$D$132,MATCH(H2357,KALENDER!$A$3:$A$132,0)),"Di luar periode")</f>
        <v>Hari Kerja</v>
      </c>
      <c r="N2357" s="71">
        <f t="shared" si="325"/>
        <v>0</v>
      </c>
      <c r="O2357" s="71">
        <f t="shared" si="326"/>
        <v>1</v>
      </c>
      <c r="P2357" s="71">
        <f t="shared" si="327"/>
        <v>0</v>
      </c>
      <c r="Q2357" s="71">
        <f t="shared" si="328"/>
        <v>0</v>
      </c>
      <c r="R2357" s="71">
        <f t="shared" si="329"/>
        <v>0</v>
      </c>
      <c r="S2357" s="71">
        <f t="shared" si="330"/>
        <v>0</v>
      </c>
      <c r="T2357" s="71">
        <f t="shared" si="331"/>
        <v>0</v>
      </c>
      <c r="U2357" s="71">
        <f>IF(AND(N2357=1,V2357=1),IF(COUNTIFS(AKTIVITAS!$B$2:$B$3052,B2357,AKTIVITAS!$E$2:$E$3052,H2357)&gt;0,1,0),0)</f>
        <v>0</v>
      </c>
      <c r="V2357" s="71">
        <f>IFERROR(IF(AND(H2357&gt;=INDEX(PEMAGANG!$J$3:$J$36,MATCH(B2357,PEMAGANG!$C$3:$C$36,0)),H2357&lt;=INDEX(PEMAGANG!$K$3:$K$36,MATCH(B2357,PEMAGANG!$C$3:$C$36,0))),1,0),0)</f>
        <v>1</v>
      </c>
      <c r="W2357" s="71">
        <f t="shared" si="332"/>
        <v>0</v>
      </c>
    </row>
    <row r="2358" spans="1:23" x14ac:dyDescent="0.2">
      <c r="A2358" s="71" t="s">
        <v>216</v>
      </c>
      <c r="B2358" s="71" t="s">
        <v>217</v>
      </c>
      <c r="C2358" s="71" t="s">
        <v>187</v>
      </c>
      <c r="D2358" s="71" t="s">
        <v>215</v>
      </c>
      <c r="E2358" s="71" t="s">
        <v>54</v>
      </c>
      <c r="F2358" s="71" t="s">
        <v>298</v>
      </c>
      <c r="G2358" s="88">
        <v>46217.2989467593</v>
      </c>
      <c r="H2358" s="89">
        <v>46217</v>
      </c>
      <c r="I2358" s="71" t="s">
        <v>481</v>
      </c>
      <c r="J2358" s="71">
        <v>-20</v>
      </c>
      <c r="K2358" s="71" t="s">
        <v>302</v>
      </c>
      <c r="L2358" s="71">
        <f t="shared" si="324"/>
        <v>7</v>
      </c>
      <c r="M2358" s="71" t="str">
        <f>IFERROR(INDEX(KALENDER!$D$3:$D$132,MATCH(H2358,KALENDER!$A$3:$A$132,0)),"Di luar periode")</f>
        <v>Hari Kerja</v>
      </c>
      <c r="N2358" s="71">
        <f t="shared" si="325"/>
        <v>1</v>
      </c>
      <c r="O2358" s="71">
        <f t="shared" si="326"/>
        <v>1</v>
      </c>
      <c r="P2358" s="71">
        <f t="shared" si="327"/>
        <v>1</v>
      </c>
      <c r="Q2358" s="71">
        <f t="shared" si="328"/>
        <v>0</v>
      </c>
      <c r="R2358" s="71">
        <f t="shared" si="329"/>
        <v>0</v>
      </c>
      <c r="S2358" s="71">
        <f t="shared" si="330"/>
        <v>0</v>
      </c>
      <c r="T2358" s="71">
        <f t="shared" si="331"/>
        <v>0</v>
      </c>
      <c r="U2358" s="71">
        <f>IF(AND(N2358=1,V2358=1),IF(COUNTIFS(AKTIVITAS!$B$2:$B$3052,B2358,AKTIVITAS!$E$2:$E$3052,H2358)&gt;0,1,0),0)</f>
        <v>1</v>
      </c>
      <c r="V2358" s="71">
        <f>IFERROR(IF(AND(H2358&gt;=INDEX(PEMAGANG!$J$3:$J$36,MATCH(B2358,PEMAGANG!$C$3:$C$36,0)),H2358&lt;=INDEX(PEMAGANG!$K$3:$K$36,MATCH(B2358,PEMAGANG!$C$3:$C$36,0))),1,0),0)</f>
        <v>1</v>
      </c>
      <c r="W2358" s="71">
        <f t="shared" si="332"/>
        <v>1</v>
      </c>
    </row>
    <row r="2359" spans="1:23" x14ac:dyDescent="0.2">
      <c r="A2359" s="71" t="s">
        <v>216</v>
      </c>
      <c r="B2359" s="71" t="s">
        <v>217</v>
      </c>
      <c r="C2359" s="71" t="s">
        <v>187</v>
      </c>
      <c r="D2359" s="71" t="s">
        <v>215</v>
      </c>
      <c r="E2359" s="71" t="s">
        <v>54</v>
      </c>
      <c r="F2359" s="71" t="s">
        <v>300</v>
      </c>
      <c r="G2359" s="88">
        <v>46217.688078703701</v>
      </c>
      <c r="H2359" s="89">
        <v>46217</v>
      </c>
      <c r="I2359" s="71" t="s">
        <v>330</v>
      </c>
      <c r="J2359" s="71">
        <v>0</v>
      </c>
      <c r="K2359" s="71" t="s">
        <v>302</v>
      </c>
      <c r="L2359" s="71">
        <f t="shared" si="324"/>
        <v>7</v>
      </c>
      <c r="M2359" s="71" t="str">
        <f>IFERROR(INDEX(KALENDER!$D$3:$D$132,MATCH(H2359,KALENDER!$A$3:$A$132,0)),"Di luar periode")</f>
        <v>Hari Kerja</v>
      </c>
      <c r="N2359" s="71">
        <f t="shared" si="325"/>
        <v>0</v>
      </c>
      <c r="O2359" s="71">
        <f t="shared" si="326"/>
        <v>1</v>
      </c>
      <c r="P2359" s="71">
        <f t="shared" si="327"/>
        <v>0</v>
      </c>
      <c r="Q2359" s="71">
        <f t="shared" si="328"/>
        <v>0</v>
      </c>
      <c r="R2359" s="71">
        <f t="shared" si="329"/>
        <v>0</v>
      </c>
      <c r="S2359" s="71">
        <f t="shared" si="330"/>
        <v>0</v>
      </c>
      <c r="T2359" s="71">
        <f t="shared" si="331"/>
        <v>0</v>
      </c>
      <c r="U2359" s="71">
        <f>IF(AND(N2359=1,V2359=1),IF(COUNTIFS(AKTIVITAS!$B$2:$B$3052,B2359,AKTIVITAS!$E$2:$E$3052,H2359)&gt;0,1,0),0)</f>
        <v>0</v>
      </c>
      <c r="V2359" s="71">
        <f>IFERROR(IF(AND(H2359&gt;=INDEX(PEMAGANG!$J$3:$J$36,MATCH(B2359,PEMAGANG!$C$3:$C$36,0)),H2359&lt;=INDEX(PEMAGANG!$K$3:$K$36,MATCH(B2359,PEMAGANG!$C$3:$C$36,0))),1,0),0)</f>
        <v>1</v>
      </c>
      <c r="W2359" s="71">
        <f t="shared" si="332"/>
        <v>0</v>
      </c>
    </row>
    <row r="2360" spans="1:23" x14ac:dyDescent="0.2">
      <c r="A2360" s="71" t="s">
        <v>216</v>
      </c>
      <c r="B2360" s="71" t="s">
        <v>217</v>
      </c>
      <c r="C2360" s="71" t="s">
        <v>187</v>
      </c>
      <c r="D2360" s="71" t="s">
        <v>215</v>
      </c>
      <c r="E2360" s="71" t="s">
        <v>54</v>
      </c>
      <c r="F2360" s="71" t="s">
        <v>298</v>
      </c>
      <c r="G2360" s="88">
        <v>46219.299247685201</v>
      </c>
      <c r="H2360" s="89">
        <v>46219</v>
      </c>
      <c r="I2360" s="71" t="s">
        <v>481</v>
      </c>
      <c r="J2360" s="71">
        <v>-20</v>
      </c>
      <c r="K2360" s="71" t="s">
        <v>302</v>
      </c>
      <c r="L2360" s="71">
        <f t="shared" si="324"/>
        <v>7</v>
      </c>
      <c r="M2360" s="71" t="str">
        <f>IFERROR(INDEX(KALENDER!$D$3:$D$132,MATCH(H2360,KALENDER!$A$3:$A$132,0)),"Di luar periode")</f>
        <v>Hari Kerja</v>
      </c>
      <c r="N2360" s="71">
        <f t="shared" si="325"/>
        <v>1</v>
      </c>
      <c r="O2360" s="71">
        <f t="shared" si="326"/>
        <v>1</v>
      </c>
      <c r="P2360" s="71">
        <f t="shared" si="327"/>
        <v>1</v>
      </c>
      <c r="Q2360" s="71">
        <f t="shared" si="328"/>
        <v>0</v>
      </c>
      <c r="R2360" s="71">
        <f t="shared" si="329"/>
        <v>0</v>
      </c>
      <c r="S2360" s="71">
        <f t="shared" si="330"/>
        <v>0</v>
      </c>
      <c r="T2360" s="71">
        <f t="shared" si="331"/>
        <v>0</v>
      </c>
      <c r="U2360" s="71">
        <f>IF(AND(N2360=1,V2360=1),IF(COUNTIFS(AKTIVITAS!$B$2:$B$3052,B2360,AKTIVITAS!$E$2:$E$3052,H2360)&gt;0,1,0),0)</f>
        <v>1</v>
      </c>
      <c r="V2360" s="71">
        <f>IFERROR(IF(AND(H2360&gt;=INDEX(PEMAGANG!$J$3:$J$36,MATCH(B2360,PEMAGANG!$C$3:$C$36,0)),H2360&lt;=INDEX(PEMAGANG!$K$3:$K$36,MATCH(B2360,PEMAGANG!$C$3:$C$36,0))),1,0),0)</f>
        <v>1</v>
      </c>
      <c r="W2360" s="71">
        <f t="shared" si="332"/>
        <v>1</v>
      </c>
    </row>
    <row r="2361" spans="1:23" x14ac:dyDescent="0.2">
      <c r="A2361" s="71" t="s">
        <v>216</v>
      </c>
      <c r="B2361" s="71" t="s">
        <v>217</v>
      </c>
      <c r="C2361" s="71" t="s">
        <v>187</v>
      </c>
      <c r="D2361" s="71" t="s">
        <v>215</v>
      </c>
      <c r="E2361" s="71" t="s">
        <v>54</v>
      </c>
      <c r="F2361" s="71" t="s">
        <v>300</v>
      </c>
      <c r="G2361" s="88">
        <v>46219.688298611101</v>
      </c>
      <c r="H2361" s="89">
        <v>46219</v>
      </c>
      <c r="I2361" s="71" t="s">
        <v>336</v>
      </c>
      <c r="J2361" s="71">
        <v>0</v>
      </c>
      <c r="K2361" s="71" t="s">
        <v>302</v>
      </c>
      <c r="L2361" s="71">
        <f t="shared" si="324"/>
        <v>7</v>
      </c>
      <c r="M2361" s="71" t="str">
        <f>IFERROR(INDEX(KALENDER!$D$3:$D$132,MATCH(H2361,KALENDER!$A$3:$A$132,0)),"Di luar periode")</f>
        <v>Hari Kerja</v>
      </c>
      <c r="N2361" s="71">
        <f t="shared" si="325"/>
        <v>0</v>
      </c>
      <c r="O2361" s="71">
        <f t="shared" si="326"/>
        <v>1</v>
      </c>
      <c r="P2361" s="71">
        <f t="shared" si="327"/>
        <v>0</v>
      </c>
      <c r="Q2361" s="71">
        <f t="shared" si="328"/>
        <v>0</v>
      </c>
      <c r="R2361" s="71">
        <f t="shared" si="329"/>
        <v>0</v>
      </c>
      <c r="S2361" s="71">
        <f t="shared" si="330"/>
        <v>0</v>
      </c>
      <c r="T2361" s="71">
        <f t="shared" si="331"/>
        <v>0</v>
      </c>
      <c r="U2361" s="71">
        <f>IF(AND(N2361=1,V2361=1),IF(COUNTIFS(AKTIVITAS!$B$2:$B$3052,B2361,AKTIVITAS!$E$2:$E$3052,H2361)&gt;0,1,0),0)</f>
        <v>0</v>
      </c>
      <c r="V2361" s="71">
        <f>IFERROR(IF(AND(H2361&gt;=INDEX(PEMAGANG!$J$3:$J$36,MATCH(B2361,PEMAGANG!$C$3:$C$36,0)),H2361&lt;=INDEX(PEMAGANG!$K$3:$K$36,MATCH(B2361,PEMAGANG!$C$3:$C$36,0))),1,0),0)</f>
        <v>1</v>
      </c>
      <c r="W2361" s="71">
        <f t="shared" si="332"/>
        <v>0</v>
      </c>
    </row>
    <row r="2362" spans="1:23" x14ac:dyDescent="0.2">
      <c r="A2362" s="71" t="s">
        <v>216</v>
      </c>
      <c r="B2362" s="71" t="s">
        <v>217</v>
      </c>
      <c r="C2362" s="71" t="s">
        <v>187</v>
      </c>
      <c r="D2362" s="71" t="s">
        <v>215</v>
      </c>
      <c r="E2362" s="71" t="s">
        <v>54</v>
      </c>
      <c r="F2362" s="71" t="s">
        <v>298</v>
      </c>
      <c r="G2362" s="88">
        <v>46220.300474536998</v>
      </c>
      <c r="H2362" s="89">
        <v>46220</v>
      </c>
      <c r="I2362" s="71" t="s">
        <v>478</v>
      </c>
      <c r="J2362" s="71">
        <v>-18</v>
      </c>
      <c r="K2362" s="71" t="s">
        <v>302</v>
      </c>
      <c r="L2362" s="71">
        <f t="shared" si="324"/>
        <v>7</v>
      </c>
      <c r="M2362" s="71" t="str">
        <f>IFERROR(INDEX(KALENDER!$D$3:$D$132,MATCH(H2362,KALENDER!$A$3:$A$132,0)),"Di luar periode")</f>
        <v>Hari Kerja</v>
      </c>
      <c r="N2362" s="71">
        <f t="shared" si="325"/>
        <v>1</v>
      </c>
      <c r="O2362" s="71">
        <f t="shared" si="326"/>
        <v>1</v>
      </c>
      <c r="P2362" s="71">
        <f t="shared" si="327"/>
        <v>1</v>
      </c>
      <c r="Q2362" s="71">
        <f t="shared" si="328"/>
        <v>0</v>
      </c>
      <c r="R2362" s="71">
        <f t="shared" si="329"/>
        <v>0</v>
      </c>
      <c r="S2362" s="71">
        <f t="shared" si="330"/>
        <v>0</v>
      </c>
      <c r="T2362" s="71">
        <f t="shared" si="331"/>
        <v>0</v>
      </c>
      <c r="U2362" s="71">
        <f>IF(AND(N2362=1,V2362=1),IF(COUNTIFS(AKTIVITAS!$B$2:$B$3052,B2362,AKTIVITAS!$E$2:$E$3052,H2362)&gt;0,1,0),0)</f>
        <v>1</v>
      </c>
      <c r="V2362" s="71">
        <f>IFERROR(IF(AND(H2362&gt;=INDEX(PEMAGANG!$J$3:$J$36,MATCH(B2362,PEMAGANG!$C$3:$C$36,0)),H2362&lt;=INDEX(PEMAGANG!$K$3:$K$36,MATCH(B2362,PEMAGANG!$C$3:$C$36,0))),1,0),0)</f>
        <v>1</v>
      </c>
      <c r="W2362" s="71">
        <f t="shared" si="332"/>
        <v>1</v>
      </c>
    </row>
    <row r="2363" spans="1:23" x14ac:dyDescent="0.2">
      <c r="A2363" s="71" t="s">
        <v>216</v>
      </c>
      <c r="B2363" s="71" t="s">
        <v>217</v>
      </c>
      <c r="C2363" s="71" t="s">
        <v>187</v>
      </c>
      <c r="D2363" s="71" t="s">
        <v>215</v>
      </c>
      <c r="E2363" s="71" t="s">
        <v>54</v>
      </c>
      <c r="F2363" s="71" t="s">
        <v>300</v>
      </c>
      <c r="G2363" s="88">
        <v>46220.6879976852</v>
      </c>
      <c r="H2363" s="89">
        <v>46220</v>
      </c>
      <c r="I2363" s="71" t="s">
        <v>330</v>
      </c>
      <c r="J2363" s="71">
        <v>0</v>
      </c>
      <c r="K2363" s="71" t="s">
        <v>302</v>
      </c>
      <c r="L2363" s="71">
        <f t="shared" si="324"/>
        <v>7</v>
      </c>
      <c r="M2363" s="71" t="str">
        <f>IFERROR(INDEX(KALENDER!$D$3:$D$132,MATCH(H2363,KALENDER!$A$3:$A$132,0)),"Di luar periode")</f>
        <v>Hari Kerja</v>
      </c>
      <c r="N2363" s="71">
        <f t="shared" si="325"/>
        <v>0</v>
      </c>
      <c r="O2363" s="71">
        <f t="shared" si="326"/>
        <v>1</v>
      </c>
      <c r="P2363" s="71">
        <f t="shared" si="327"/>
        <v>0</v>
      </c>
      <c r="Q2363" s="71">
        <f t="shared" si="328"/>
        <v>0</v>
      </c>
      <c r="R2363" s="71">
        <f t="shared" si="329"/>
        <v>0</v>
      </c>
      <c r="S2363" s="71">
        <f t="shared" si="330"/>
        <v>0</v>
      </c>
      <c r="T2363" s="71">
        <f t="shared" si="331"/>
        <v>0</v>
      </c>
      <c r="U2363" s="71">
        <f>IF(AND(N2363=1,V2363=1),IF(COUNTIFS(AKTIVITAS!$B$2:$B$3052,B2363,AKTIVITAS!$E$2:$E$3052,H2363)&gt;0,1,0),0)</f>
        <v>0</v>
      </c>
      <c r="V2363" s="71">
        <f>IFERROR(IF(AND(H2363&gt;=INDEX(PEMAGANG!$J$3:$J$36,MATCH(B2363,PEMAGANG!$C$3:$C$36,0)),H2363&lt;=INDEX(PEMAGANG!$K$3:$K$36,MATCH(B2363,PEMAGANG!$C$3:$C$36,0))),1,0),0)</f>
        <v>1</v>
      </c>
      <c r="W2363" s="71">
        <f t="shared" si="332"/>
        <v>0</v>
      </c>
    </row>
    <row r="2364" spans="1:23" x14ac:dyDescent="0.2">
      <c r="A2364" s="71" t="s">
        <v>216</v>
      </c>
      <c r="B2364" s="71" t="s">
        <v>217</v>
      </c>
      <c r="C2364" s="71" t="s">
        <v>187</v>
      </c>
      <c r="D2364" s="71" t="s">
        <v>215</v>
      </c>
      <c r="E2364" s="71" t="s">
        <v>54</v>
      </c>
      <c r="F2364" s="71" t="s">
        <v>298</v>
      </c>
      <c r="G2364" s="88">
        <v>46223.300532407397</v>
      </c>
      <c r="H2364" s="89">
        <v>46223</v>
      </c>
      <c r="I2364" s="71" t="s">
        <v>478</v>
      </c>
      <c r="J2364" s="71">
        <v>-18</v>
      </c>
      <c r="K2364" s="71" t="s">
        <v>302</v>
      </c>
      <c r="L2364" s="71">
        <f t="shared" si="324"/>
        <v>7</v>
      </c>
      <c r="M2364" s="71" t="str">
        <f>IFERROR(INDEX(KALENDER!$D$3:$D$132,MATCH(H2364,KALENDER!$A$3:$A$132,0)),"Di luar periode")</f>
        <v>Hari Kerja</v>
      </c>
      <c r="N2364" s="71">
        <f t="shared" si="325"/>
        <v>1</v>
      </c>
      <c r="O2364" s="71">
        <f t="shared" si="326"/>
        <v>1</v>
      </c>
      <c r="P2364" s="71">
        <f t="shared" si="327"/>
        <v>1</v>
      </c>
      <c r="Q2364" s="71">
        <f t="shared" si="328"/>
        <v>0</v>
      </c>
      <c r="R2364" s="71">
        <f t="shared" si="329"/>
        <v>0</v>
      </c>
      <c r="S2364" s="71">
        <f t="shared" si="330"/>
        <v>0</v>
      </c>
      <c r="T2364" s="71">
        <f t="shared" si="331"/>
        <v>0</v>
      </c>
      <c r="U2364" s="71">
        <f>IF(AND(N2364=1,V2364=1),IF(COUNTIFS(AKTIVITAS!$B$2:$B$3052,B2364,AKTIVITAS!$E$2:$E$3052,H2364)&gt;0,1,0),0)</f>
        <v>1</v>
      </c>
      <c r="V2364" s="71">
        <f>IFERROR(IF(AND(H2364&gt;=INDEX(PEMAGANG!$J$3:$J$36,MATCH(B2364,PEMAGANG!$C$3:$C$36,0)),H2364&lt;=INDEX(PEMAGANG!$K$3:$K$36,MATCH(B2364,PEMAGANG!$C$3:$C$36,0))),1,0),0)</f>
        <v>1</v>
      </c>
      <c r="W2364" s="71">
        <f t="shared" si="332"/>
        <v>1</v>
      </c>
    </row>
    <row r="2365" spans="1:23" x14ac:dyDescent="0.2">
      <c r="A2365" s="71" t="s">
        <v>216</v>
      </c>
      <c r="B2365" s="71" t="s">
        <v>217</v>
      </c>
      <c r="C2365" s="71" t="s">
        <v>187</v>
      </c>
      <c r="D2365" s="71" t="s">
        <v>215</v>
      </c>
      <c r="E2365" s="71" t="s">
        <v>54</v>
      </c>
      <c r="F2365" s="71" t="s">
        <v>300</v>
      </c>
      <c r="G2365" s="88">
        <v>46223.688379629602</v>
      </c>
      <c r="H2365" s="89">
        <v>46223</v>
      </c>
      <c r="I2365" s="71" t="s">
        <v>336</v>
      </c>
      <c r="J2365" s="71">
        <v>0</v>
      </c>
      <c r="K2365" s="71" t="s">
        <v>302</v>
      </c>
      <c r="L2365" s="71">
        <f t="shared" si="324"/>
        <v>7</v>
      </c>
      <c r="M2365" s="71" t="str">
        <f>IFERROR(INDEX(KALENDER!$D$3:$D$132,MATCH(H2365,KALENDER!$A$3:$A$132,0)),"Di luar periode")</f>
        <v>Hari Kerja</v>
      </c>
      <c r="N2365" s="71">
        <f t="shared" si="325"/>
        <v>0</v>
      </c>
      <c r="O2365" s="71">
        <f t="shared" si="326"/>
        <v>1</v>
      </c>
      <c r="P2365" s="71">
        <f t="shared" si="327"/>
        <v>0</v>
      </c>
      <c r="Q2365" s="71">
        <f t="shared" si="328"/>
        <v>0</v>
      </c>
      <c r="R2365" s="71">
        <f t="shared" si="329"/>
        <v>0</v>
      </c>
      <c r="S2365" s="71">
        <f t="shared" si="330"/>
        <v>0</v>
      </c>
      <c r="T2365" s="71">
        <f t="shared" si="331"/>
        <v>0</v>
      </c>
      <c r="U2365" s="71">
        <f>IF(AND(N2365=1,V2365=1),IF(COUNTIFS(AKTIVITAS!$B$2:$B$3052,B2365,AKTIVITAS!$E$2:$E$3052,H2365)&gt;0,1,0),0)</f>
        <v>0</v>
      </c>
      <c r="V2365" s="71">
        <f>IFERROR(IF(AND(H2365&gt;=INDEX(PEMAGANG!$J$3:$J$36,MATCH(B2365,PEMAGANG!$C$3:$C$36,0)),H2365&lt;=INDEX(PEMAGANG!$K$3:$K$36,MATCH(B2365,PEMAGANG!$C$3:$C$36,0))),1,0),0)</f>
        <v>1</v>
      </c>
      <c r="W2365" s="71">
        <f t="shared" si="332"/>
        <v>0</v>
      </c>
    </row>
    <row r="2366" spans="1:23" x14ac:dyDescent="0.2">
      <c r="A2366" s="71" t="s">
        <v>216</v>
      </c>
      <c r="B2366" s="71" t="s">
        <v>217</v>
      </c>
      <c r="C2366" s="71" t="s">
        <v>187</v>
      </c>
      <c r="D2366" s="71" t="s">
        <v>215</v>
      </c>
      <c r="E2366" s="71" t="s">
        <v>54</v>
      </c>
      <c r="F2366" s="71" t="s">
        <v>298</v>
      </c>
      <c r="G2366" s="88">
        <v>46226.299849536997</v>
      </c>
      <c r="H2366" s="89">
        <v>46226</v>
      </c>
      <c r="I2366" s="71" t="s">
        <v>402</v>
      </c>
      <c r="J2366" s="71">
        <v>-19</v>
      </c>
      <c r="K2366" s="71" t="s">
        <v>302</v>
      </c>
      <c r="L2366" s="71">
        <f t="shared" si="324"/>
        <v>7</v>
      </c>
      <c r="M2366" s="71" t="str">
        <f>IFERROR(INDEX(KALENDER!$D$3:$D$132,MATCH(H2366,KALENDER!$A$3:$A$132,0)),"Di luar periode")</f>
        <v>Hari Kerja</v>
      </c>
      <c r="N2366" s="71">
        <f t="shared" si="325"/>
        <v>1</v>
      </c>
      <c r="O2366" s="71">
        <f t="shared" si="326"/>
        <v>1</v>
      </c>
      <c r="P2366" s="71">
        <f t="shared" si="327"/>
        <v>1</v>
      </c>
      <c r="Q2366" s="71">
        <f t="shared" si="328"/>
        <v>0</v>
      </c>
      <c r="R2366" s="71">
        <f t="shared" si="329"/>
        <v>0</v>
      </c>
      <c r="S2366" s="71">
        <f t="shared" si="330"/>
        <v>0</v>
      </c>
      <c r="T2366" s="71">
        <f t="shared" si="331"/>
        <v>0</v>
      </c>
      <c r="U2366" s="71">
        <f>IF(AND(N2366=1,V2366=1),IF(COUNTIFS(AKTIVITAS!$B$2:$B$3052,B2366,AKTIVITAS!$E$2:$E$3052,H2366)&gt;0,1,0),0)</f>
        <v>1</v>
      </c>
      <c r="V2366" s="71">
        <f>IFERROR(IF(AND(H2366&gt;=INDEX(PEMAGANG!$J$3:$J$36,MATCH(B2366,PEMAGANG!$C$3:$C$36,0)),H2366&lt;=INDEX(PEMAGANG!$K$3:$K$36,MATCH(B2366,PEMAGANG!$C$3:$C$36,0))),1,0),0)</f>
        <v>1</v>
      </c>
      <c r="W2366" s="71">
        <f t="shared" si="332"/>
        <v>1</v>
      </c>
    </row>
    <row r="2367" spans="1:23" x14ac:dyDescent="0.2">
      <c r="A2367" s="71" t="s">
        <v>216</v>
      </c>
      <c r="B2367" s="71" t="s">
        <v>217</v>
      </c>
      <c r="C2367" s="71" t="s">
        <v>187</v>
      </c>
      <c r="D2367" s="71" t="s">
        <v>215</v>
      </c>
      <c r="E2367" s="71" t="s">
        <v>54</v>
      </c>
      <c r="F2367" s="71" t="s">
        <v>300</v>
      </c>
      <c r="G2367" s="88">
        <v>46226.689131944499</v>
      </c>
      <c r="H2367" s="89">
        <v>46226</v>
      </c>
      <c r="I2367" s="71" t="s">
        <v>306</v>
      </c>
      <c r="J2367" s="71">
        <v>0</v>
      </c>
      <c r="K2367" s="71" t="s">
        <v>302</v>
      </c>
      <c r="L2367" s="71">
        <f t="shared" si="324"/>
        <v>7</v>
      </c>
      <c r="M2367" s="71" t="str">
        <f>IFERROR(INDEX(KALENDER!$D$3:$D$132,MATCH(H2367,KALENDER!$A$3:$A$132,0)),"Di luar periode")</f>
        <v>Hari Kerja</v>
      </c>
      <c r="N2367" s="71">
        <f t="shared" si="325"/>
        <v>0</v>
      </c>
      <c r="O2367" s="71">
        <f t="shared" si="326"/>
        <v>1</v>
      </c>
      <c r="P2367" s="71">
        <f t="shared" si="327"/>
        <v>0</v>
      </c>
      <c r="Q2367" s="71">
        <f t="shared" si="328"/>
        <v>0</v>
      </c>
      <c r="R2367" s="71">
        <f t="shared" si="329"/>
        <v>0</v>
      </c>
      <c r="S2367" s="71">
        <f t="shared" si="330"/>
        <v>0</v>
      </c>
      <c r="T2367" s="71">
        <f t="shared" si="331"/>
        <v>0</v>
      </c>
      <c r="U2367" s="71">
        <f>IF(AND(N2367=1,V2367=1),IF(COUNTIFS(AKTIVITAS!$B$2:$B$3052,B2367,AKTIVITAS!$E$2:$E$3052,H2367)&gt;0,1,0),0)</f>
        <v>0</v>
      </c>
      <c r="V2367" s="71">
        <f>IFERROR(IF(AND(H2367&gt;=INDEX(PEMAGANG!$J$3:$J$36,MATCH(B2367,PEMAGANG!$C$3:$C$36,0)),H2367&lt;=INDEX(PEMAGANG!$K$3:$K$36,MATCH(B2367,PEMAGANG!$C$3:$C$36,0))),1,0),0)</f>
        <v>1</v>
      </c>
      <c r="W2367" s="71">
        <f t="shared" si="332"/>
        <v>0</v>
      </c>
    </row>
    <row r="2368" spans="1:23" x14ac:dyDescent="0.2">
      <c r="A2368" s="71" t="s">
        <v>216</v>
      </c>
      <c r="B2368" s="71" t="s">
        <v>217</v>
      </c>
      <c r="C2368" s="71" t="s">
        <v>187</v>
      </c>
      <c r="D2368" s="71" t="s">
        <v>215</v>
      </c>
      <c r="E2368" s="71" t="s">
        <v>54</v>
      </c>
      <c r="F2368" s="71" t="s">
        <v>298</v>
      </c>
      <c r="G2368" s="88">
        <v>46227.299016203702</v>
      </c>
      <c r="H2368" s="89">
        <v>46227</v>
      </c>
      <c r="I2368" s="71" t="s">
        <v>481</v>
      </c>
      <c r="J2368" s="71">
        <v>-20</v>
      </c>
      <c r="K2368" s="71" t="s">
        <v>302</v>
      </c>
      <c r="L2368" s="71">
        <f t="shared" si="324"/>
        <v>7</v>
      </c>
      <c r="M2368" s="71" t="str">
        <f>IFERROR(INDEX(KALENDER!$D$3:$D$132,MATCH(H2368,KALENDER!$A$3:$A$132,0)),"Di luar periode")</f>
        <v>Hari Kerja</v>
      </c>
      <c r="N2368" s="71">
        <f t="shared" si="325"/>
        <v>1</v>
      </c>
      <c r="O2368" s="71">
        <f t="shared" si="326"/>
        <v>1</v>
      </c>
      <c r="P2368" s="71">
        <f t="shared" si="327"/>
        <v>1</v>
      </c>
      <c r="Q2368" s="71">
        <f t="shared" si="328"/>
        <v>0</v>
      </c>
      <c r="R2368" s="71">
        <f t="shared" si="329"/>
        <v>0</v>
      </c>
      <c r="S2368" s="71">
        <f t="shared" si="330"/>
        <v>0</v>
      </c>
      <c r="T2368" s="71">
        <f t="shared" si="331"/>
        <v>0</v>
      </c>
      <c r="U2368" s="71">
        <f>IF(AND(N2368=1,V2368=1),IF(COUNTIFS(AKTIVITAS!$B$2:$B$3052,B2368,AKTIVITAS!$E$2:$E$3052,H2368)&gt;0,1,0),0)</f>
        <v>1</v>
      </c>
      <c r="V2368" s="71">
        <f>IFERROR(IF(AND(H2368&gt;=INDEX(PEMAGANG!$J$3:$J$36,MATCH(B2368,PEMAGANG!$C$3:$C$36,0)),H2368&lt;=INDEX(PEMAGANG!$K$3:$K$36,MATCH(B2368,PEMAGANG!$C$3:$C$36,0))),1,0),0)</f>
        <v>1</v>
      </c>
      <c r="W2368" s="71">
        <f t="shared" si="332"/>
        <v>1</v>
      </c>
    </row>
    <row r="2369" spans="1:23" x14ac:dyDescent="0.2">
      <c r="A2369" s="71" t="s">
        <v>216</v>
      </c>
      <c r="B2369" s="71" t="s">
        <v>217</v>
      </c>
      <c r="C2369" s="71" t="s">
        <v>187</v>
      </c>
      <c r="D2369" s="71" t="s">
        <v>215</v>
      </c>
      <c r="E2369" s="71" t="s">
        <v>54</v>
      </c>
      <c r="F2369" s="71" t="s">
        <v>300</v>
      </c>
      <c r="G2369" s="88">
        <v>46227.689016203702</v>
      </c>
      <c r="H2369" s="89">
        <v>46227</v>
      </c>
      <c r="I2369" s="71" t="s">
        <v>306</v>
      </c>
      <c r="J2369" s="71">
        <v>0</v>
      </c>
      <c r="K2369" s="71" t="s">
        <v>302</v>
      </c>
      <c r="L2369" s="71">
        <f t="shared" si="324"/>
        <v>7</v>
      </c>
      <c r="M2369" s="71" t="str">
        <f>IFERROR(INDEX(KALENDER!$D$3:$D$132,MATCH(H2369,KALENDER!$A$3:$A$132,0)),"Di luar periode")</f>
        <v>Hari Kerja</v>
      </c>
      <c r="N2369" s="71">
        <f t="shared" si="325"/>
        <v>0</v>
      </c>
      <c r="O2369" s="71">
        <f t="shared" si="326"/>
        <v>1</v>
      </c>
      <c r="P2369" s="71">
        <f t="shared" si="327"/>
        <v>0</v>
      </c>
      <c r="Q2369" s="71">
        <f t="shared" si="328"/>
        <v>0</v>
      </c>
      <c r="R2369" s="71">
        <f t="shared" si="329"/>
        <v>0</v>
      </c>
      <c r="S2369" s="71">
        <f t="shared" si="330"/>
        <v>0</v>
      </c>
      <c r="T2369" s="71">
        <f t="shared" si="331"/>
        <v>0</v>
      </c>
      <c r="U2369" s="71">
        <f>IF(AND(N2369=1,V2369=1),IF(COUNTIFS(AKTIVITAS!$B$2:$B$3052,B2369,AKTIVITAS!$E$2:$E$3052,H2369)&gt;0,1,0),0)</f>
        <v>0</v>
      </c>
      <c r="V2369" s="71">
        <f>IFERROR(IF(AND(H2369&gt;=INDEX(PEMAGANG!$J$3:$J$36,MATCH(B2369,PEMAGANG!$C$3:$C$36,0)),H2369&lt;=INDEX(PEMAGANG!$K$3:$K$36,MATCH(B2369,PEMAGANG!$C$3:$C$36,0))),1,0),0)</f>
        <v>1</v>
      </c>
      <c r="W2369" s="71">
        <f t="shared" si="332"/>
        <v>0</v>
      </c>
    </row>
    <row r="2370" spans="1:23" x14ac:dyDescent="0.2">
      <c r="A2370" s="71" t="s">
        <v>216</v>
      </c>
      <c r="B2370" s="71" t="s">
        <v>217</v>
      </c>
      <c r="C2370" s="71" t="s">
        <v>187</v>
      </c>
      <c r="D2370" s="71" t="s">
        <v>215</v>
      </c>
      <c r="E2370" s="71" t="s">
        <v>54</v>
      </c>
      <c r="F2370" s="71" t="s">
        <v>298</v>
      </c>
      <c r="G2370" s="88">
        <v>46230.293344907397</v>
      </c>
      <c r="H2370" s="89">
        <v>46230</v>
      </c>
      <c r="I2370" s="71" t="s">
        <v>492</v>
      </c>
      <c r="J2370" s="71">
        <v>-28</v>
      </c>
      <c r="K2370" s="71" t="s">
        <v>302</v>
      </c>
      <c r="L2370" s="71">
        <f t="shared" ref="L2370:L2433" si="333">MONTH(H2370)</f>
        <v>7</v>
      </c>
      <c r="M2370" s="71" t="str">
        <f>IFERROR(INDEX(KALENDER!$D$3:$D$132,MATCH(H2370,KALENDER!$A$3:$A$132,0)),"Di luar periode")</f>
        <v>Hari Kerja</v>
      </c>
      <c r="N2370" s="71">
        <f t="shared" ref="N2370:N2433" si="334">IF(AND(B2370=B2369,H2370=H2369),0,1)</f>
        <v>1</v>
      </c>
      <c r="O2370" s="71">
        <f t="shared" ref="O2370:O2433" si="335">IF(N2370=1,0,O2369)+IF(F2370="MASUK",1,0)</f>
        <v>1</v>
      </c>
      <c r="P2370" s="71">
        <f t="shared" ref="P2370:P2433" si="336">IF(AND(N2370=1,M2370="Hari Kerja",V2370=1),1,0)</f>
        <v>1</v>
      </c>
      <c r="Q2370" s="71">
        <f t="shared" ref="Q2370:Q2433" si="337">IF(AND(N2370=1,OR(M2370&lt;&gt;"Hari Kerja",V2370=0)),1,0)</f>
        <v>0</v>
      </c>
      <c r="R2370" s="71">
        <f t="shared" ref="R2370:R2433" si="338">IF(AND(F2370="MASUK",O2370=1,N(J2370)&gt;0,V2370=1),1,0)</f>
        <v>0</v>
      </c>
      <c r="S2370" s="71">
        <f t="shared" ref="S2370:S2433" si="339">R2370*N(J2370)</f>
        <v>0</v>
      </c>
      <c r="T2370" s="71">
        <f t="shared" ref="T2370:T2433" si="340">IF(AND(N2370=1,V2370=1),IF(AND(COUNTIFS($B$2:$B$4094,B2370,$H$2:$H$4094,H2370,$F$2:$F$4094,"MASUK")&gt;0,COUNTIFS($B$2:$B$4094,B2370,$H$2:$H$4094,H2370,$F$2:$F$4094,"PULANG")=0),1,0),0)</f>
        <v>0</v>
      </c>
      <c r="U2370" s="71">
        <f>IF(AND(N2370=1,V2370=1),IF(COUNTIFS(AKTIVITAS!$B$2:$B$3052,B2370,AKTIVITAS!$E$2:$E$3052,H2370)&gt;0,1,0),0)</f>
        <v>1</v>
      </c>
      <c r="V2370" s="71">
        <f>IFERROR(IF(AND(H2370&gt;=INDEX(PEMAGANG!$J$3:$J$36,MATCH(B2370,PEMAGANG!$C$3:$C$36,0)),H2370&lt;=INDEX(PEMAGANG!$K$3:$K$36,MATCH(B2370,PEMAGANG!$C$3:$C$36,0))),1,0),0)</f>
        <v>1</v>
      </c>
      <c r="W2370" s="71">
        <f t="shared" ref="W2370:W2433" si="341">N2370*V2370</f>
        <v>1</v>
      </c>
    </row>
    <row r="2371" spans="1:23" x14ac:dyDescent="0.2">
      <c r="A2371" s="71" t="s">
        <v>216</v>
      </c>
      <c r="B2371" s="71" t="s">
        <v>217</v>
      </c>
      <c r="C2371" s="71" t="s">
        <v>187</v>
      </c>
      <c r="D2371" s="71" t="s">
        <v>215</v>
      </c>
      <c r="E2371" s="71" t="s">
        <v>54</v>
      </c>
      <c r="F2371" s="71" t="s">
        <v>300</v>
      </c>
      <c r="G2371" s="88">
        <v>46230.691736111097</v>
      </c>
      <c r="H2371" s="89">
        <v>46230</v>
      </c>
      <c r="I2371" s="71" t="s">
        <v>344</v>
      </c>
      <c r="J2371" s="71">
        <v>0</v>
      </c>
      <c r="K2371" s="71" t="s">
        <v>302</v>
      </c>
      <c r="L2371" s="71">
        <f t="shared" si="333"/>
        <v>7</v>
      </c>
      <c r="M2371" s="71" t="str">
        <f>IFERROR(INDEX(KALENDER!$D$3:$D$132,MATCH(H2371,KALENDER!$A$3:$A$132,0)),"Di luar periode")</f>
        <v>Hari Kerja</v>
      </c>
      <c r="N2371" s="71">
        <f t="shared" si="334"/>
        <v>0</v>
      </c>
      <c r="O2371" s="71">
        <f t="shared" si="335"/>
        <v>1</v>
      </c>
      <c r="P2371" s="71">
        <f t="shared" si="336"/>
        <v>0</v>
      </c>
      <c r="Q2371" s="71">
        <f t="shared" si="337"/>
        <v>0</v>
      </c>
      <c r="R2371" s="71">
        <f t="shared" si="338"/>
        <v>0</v>
      </c>
      <c r="S2371" s="71">
        <f t="shared" si="339"/>
        <v>0</v>
      </c>
      <c r="T2371" s="71">
        <f t="shared" si="340"/>
        <v>0</v>
      </c>
      <c r="U2371" s="71">
        <f>IF(AND(N2371=1,V2371=1),IF(COUNTIFS(AKTIVITAS!$B$2:$B$3052,B2371,AKTIVITAS!$E$2:$E$3052,H2371)&gt;0,1,0),0)</f>
        <v>0</v>
      </c>
      <c r="V2371" s="71">
        <f>IFERROR(IF(AND(H2371&gt;=INDEX(PEMAGANG!$J$3:$J$36,MATCH(B2371,PEMAGANG!$C$3:$C$36,0)),H2371&lt;=INDEX(PEMAGANG!$K$3:$K$36,MATCH(B2371,PEMAGANG!$C$3:$C$36,0))),1,0),0)</f>
        <v>1</v>
      </c>
      <c r="W2371" s="71">
        <f t="shared" si="341"/>
        <v>0</v>
      </c>
    </row>
    <row r="2372" spans="1:23" x14ac:dyDescent="0.2">
      <c r="A2372" s="71" t="s">
        <v>216</v>
      </c>
      <c r="B2372" s="71" t="s">
        <v>217</v>
      </c>
      <c r="C2372" s="71" t="s">
        <v>187</v>
      </c>
      <c r="D2372" s="71" t="s">
        <v>215</v>
      </c>
      <c r="E2372" s="71" t="s">
        <v>54</v>
      </c>
      <c r="F2372" s="71" t="s">
        <v>298</v>
      </c>
      <c r="G2372" s="88">
        <v>46231.298425925903</v>
      </c>
      <c r="H2372" s="89">
        <v>46231</v>
      </c>
      <c r="I2372" s="71" t="s">
        <v>479</v>
      </c>
      <c r="J2372" s="71">
        <v>-21</v>
      </c>
      <c r="K2372" s="71" t="s">
        <v>302</v>
      </c>
      <c r="L2372" s="71">
        <f t="shared" si="333"/>
        <v>7</v>
      </c>
      <c r="M2372" s="71" t="str">
        <f>IFERROR(INDEX(KALENDER!$D$3:$D$132,MATCH(H2372,KALENDER!$A$3:$A$132,0)),"Di luar periode")</f>
        <v>Hari Kerja</v>
      </c>
      <c r="N2372" s="71">
        <f t="shared" si="334"/>
        <v>1</v>
      </c>
      <c r="O2372" s="71">
        <f t="shared" si="335"/>
        <v>1</v>
      </c>
      <c r="P2372" s="71">
        <f t="shared" si="336"/>
        <v>1</v>
      </c>
      <c r="Q2372" s="71">
        <f t="shared" si="337"/>
        <v>0</v>
      </c>
      <c r="R2372" s="71">
        <f t="shared" si="338"/>
        <v>0</v>
      </c>
      <c r="S2372" s="71">
        <f t="shared" si="339"/>
        <v>0</v>
      </c>
      <c r="T2372" s="71">
        <f t="shared" si="340"/>
        <v>0</v>
      </c>
      <c r="U2372" s="71">
        <f>IF(AND(N2372=1,V2372=1),IF(COUNTIFS(AKTIVITAS!$B$2:$B$3052,B2372,AKTIVITAS!$E$2:$E$3052,H2372)&gt;0,1,0),0)</f>
        <v>1</v>
      </c>
      <c r="V2372" s="71">
        <f>IFERROR(IF(AND(H2372&gt;=INDEX(PEMAGANG!$J$3:$J$36,MATCH(B2372,PEMAGANG!$C$3:$C$36,0)),H2372&lt;=INDEX(PEMAGANG!$K$3:$K$36,MATCH(B2372,PEMAGANG!$C$3:$C$36,0))),1,0),0)</f>
        <v>1</v>
      </c>
      <c r="W2372" s="71">
        <f t="shared" si="341"/>
        <v>1</v>
      </c>
    </row>
    <row r="2373" spans="1:23" x14ac:dyDescent="0.2">
      <c r="A2373" s="71" t="s">
        <v>216</v>
      </c>
      <c r="B2373" s="71" t="s">
        <v>217</v>
      </c>
      <c r="C2373" s="71" t="s">
        <v>187</v>
      </c>
      <c r="D2373" s="71" t="s">
        <v>215</v>
      </c>
      <c r="E2373" s="71" t="s">
        <v>54</v>
      </c>
      <c r="F2373" s="71" t="s">
        <v>300</v>
      </c>
      <c r="G2373" s="88">
        <v>46231.695162037002</v>
      </c>
      <c r="H2373" s="89">
        <v>46231</v>
      </c>
      <c r="I2373" s="71" t="s">
        <v>319</v>
      </c>
      <c r="J2373" s="71">
        <v>0</v>
      </c>
      <c r="K2373" s="71" t="s">
        <v>302</v>
      </c>
      <c r="L2373" s="71">
        <f t="shared" si="333"/>
        <v>7</v>
      </c>
      <c r="M2373" s="71" t="str">
        <f>IFERROR(INDEX(KALENDER!$D$3:$D$132,MATCH(H2373,KALENDER!$A$3:$A$132,0)),"Di luar periode")</f>
        <v>Hari Kerja</v>
      </c>
      <c r="N2373" s="71">
        <f t="shared" si="334"/>
        <v>0</v>
      </c>
      <c r="O2373" s="71">
        <f t="shared" si="335"/>
        <v>1</v>
      </c>
      <c r="P2373" s="71">
        <f t="shared" si="336"/>
        <v>0</v>
      </c>
      <c r="Q2373" s="71">
        <f t="shared" si="337"/>
        <v>0</v>
      </c>
      <c r="R2373" s="71">
        <f t="shared" si="338"/>
        <v>0</v>
      </c>
      <c r="S2373" s="71">
        <f t="shared" si="339"/>
        <v>0</v>
      </c>
      <c r="T2373" s="71">
        <f t="shared" si="340"/>
        <v>0</v>
      </c>
      <c r="U2373" s="71">
        <f>IF(AND(N2373=1,V2373=1),IF(COUNTIFS(AKTIVITAS!$B$2:$B$3052,B2373,AKTIVITAS!$E$2:$E$3052,H2373)&gt;0,1,0),0)</f>
        <v>0</v>
      </c>
      <c r="V2373" s="71">
        <f>IFERROR(IF(AND(H2373&gt;=INDEX(PEMAGANG!$J$3:$J$36,MATCH(B2373,PEMAGANG!$C$3:$C$36,0)),H2373&lt;=INDEX(PEMAGANG!$K$3:$K$36,MATCH(B2373,PEMAGANG!$C$3:$C$36,0))),1,0),0)</f>
        <v>1</v>
      </c>
      <c r="W2373" s="71">
        <f t="shared" si="341"/>
        <v>0</v>
      </c>
    </row>
    <row r="2374" spans="1:23" x14ac:dyDescent="0.2">
      <c r="A2374" s="71" t="s">
        <v>216</v>
      </c>
      <c r="B2374" s="71" t="s">
        <v>217</v>
      </c>
      <c r="C2374" s="71" t="s">
        <v>187</v>
      </c>
      <c r="D2374" s="71" t="s">
        <v>215</v>
      </c>
      <c r="E2374" s="71" t="s">
        <v>54</v>
      </c>
      <c r="F2374" s="71" t="s">
        <v>298</v>
      </c>
      <c r="G2374" s="88">
        <v>46233.297789351898</v>
      </c>
      <c r="H2374" s="89">
        <v>46233</v>
      </c>
      <c r="I2374" s="71" t="s">
        <v>486</v>
      </c>
      <c r="J2374" s="71">
        <v>-22</v>
      </c>
      <c r="K2374" s="71" t="s">
        <v>302</v>
      </c>
      <c r="L2374" s="71">
        <f t="shared" si="333"/>
        <v>7</v>
      </c>
      <c r="M2374" s="71" t="str">
        <f>IFERROR(INDEX(KALENDER!$D$3:$D$132,MATCH(H2374,KALENDER!$A$3:$A$132,0)),"Di luar periode")</f>
        <v>Hari Kerja</v>
      </c>
      <c r="N2374" s="71">
        <f t="shared" si="334"/>
        <v>1</v>
      </c>
      <c r="O2374" s="71">
        <f t="shared" si="335"/>
        <v>1</v>
      </c>
      <c r="P2374" s="71">
        <f t="shared" si="336"/>
        <v>1</v>
      </c>
      <c r="Q2374" s="71">
        <f t="shared" si="337"/>
        <v>0</v>
      </c>
      <c r="R2374" s="71">
        <f t="shared" si="338"/>
        <v>0</v>
      </c>
      <c r="S2374" s="71">
        <f t="shared" si="339"/>
        <v>0</v>
      </c>
      <c r="T2374" s="71">
        <f t="shared" si="340"/>
        <v>0</v>
      </c>
      <c r="U2374" s="71">
        <f>IF(AND(N2374=1,V2374=1),IF(COUNTIFS(AKTIVITAS!$B$2:$B$3052,B2374,AKTIVITAS!$E$2:$E$3052,H2374)&gt;0,1,0),0)</f>
        <v>1</v>
      </c>
      <c r="V2374" s="71">
        <f>IFERROR(IF(AND(H2374&gt;=INDEX(PEMAGANG!$J$3:$J$36,MATCH(B2374,PEMAGANG!$C$3:$C$36,0)),H2374&lt;=INDEX(PEMAGANG!$K$3:$K$36,MATCH(B2374,PEMAGANG!$C$3:$C$36,0))),1,0),0)</f>
        <v>1</v>
      </c>
      <c r="W2374" s="71">
        <f t="shared" si="341"/>
        <v>1</v>
      </c>
    </row>
    <row r="2375" spans="1:23" x14ac:dyDescent="0.2">
      <c r="A2375" s="71" t="s">
        <v>216</v>
      </c>
      <c r="B2375" s="71" t="s">
        <v>217</v>
      </c>
      <c r="C2375" s="71" t="s">
        <v>187</v>
      </c>
      <c r="D2375" s="71" t="s">
        <v>215</v>
      </c>
      <c r="E2375" s="71" t="s">
        <v>54</v>
      </c>
      <c r="F2375" s="71" t="s">
        <v>300</v>
      </c>
      <c r="G2375" s="88">
        <v>46233.691620370402</v>
      </c>
      <c r="H2375" s="89">
        <v>46233</v>
      </c>
      <c r="I2375" s="71" t="s">
        <v>310</v>
      </c>
      <c r="J2375" s="71">
        <v>0</v>
      </c>
      <c r="K2375" s="71" t="s">
        <v>302</v>
      </c>
      <c r="L2375" s="71">
        <f t="shared" si="333"/>
        <v>7</v>
      </c>
      <c r="M2375" s="71" t="str">
        <f>IFERROR(INDEX(KALENDER!$D$3:$D$132,MATCH(H2375,KALENDER!$A$3:$A$132,0)),"Di luar periode")</f>
        <v>Hari Kerja</v>
      </c>
      <c r="N2375" s="71">
        <f t="shared" si="334"/>
        <v>0</v>
      </c>
      <c r="O2375" s="71">
        <f t="shared" si="335"/>
        <v>1</v>
      </c>
      <c r="P2375" s="71">
        <f t="shared" si="336"/>
        <v>0</v>
      </c>
      <c r="Q2375" s="71">
        <f t="shared" si="337"/>
        <v>0</v>
      </c>
      <c r="R2375" s="71">
        <f t="shared" si="338"/>
        <v>0</v>
      </c>
      <c r="S2375" s="71">
        <f t="shared" si="339"/>
        <v>0</v>
      </c>
      <c r="T2375" s="71">
        <f t="shared" si="340"/>
        <v>0</v>
      </c>
      <c r="U2375" s="71">
        <f>IF(AND(N2375=1,V2375=1),IF(COUNTIFS(AKTIVITAS!$B$2:$B$3052,B2375,AKTIVITAS!$E$2:$E$3052,H2375)&gt;0,1,0),0)</f>
        <v>0</v>
      </c>
      <c r="V2375" s="71">
        <f>IFERROR(IF(AND(H2375&gt;=INDEX(PEMAGANG!$J$3:$J$36,MATCH(B2375,PEMAGANG!$C$3:$C$36,0)),H2375&lt;=INDEX(PEMAGANG!$K$3:$K$36,MATCH(B2375,PEMAGANG!$C$3:$C$36,0))),1,0),0)</f>
        <v>1</v>
      </c>
      <c r="W2375" s="71">
        <f t="shared" si="341"/>
        <v>0</v>
      </c>
    </row>
    <row r="2376" spans="1:23" x14ac:dyDescent="0.2">
      <c r="A2376" s="71" t="s">
        <v>216</v>
      </c>
      <c r="B2376" s="71" t="s">
        <v>217</v>
      </c>
      <c r="C2376" s="71" t="s">
        <v>187</v>
      </c>
      <c r="D2376" s="71" t="s">
        <v>215</v>
      </c>
      <c r="E2376" s="71" t="s">
        <v>54</v>
      </c>
      <c r="F2376" s="71" t="s">
        <v>298</v>
      </c>
      <c r="G2376" s="88">
        <v>46234.294884259303</v>
      </c>
      <c r="H2376" s="89">
        <v>46234</v>
      </c>
      <c r="I2376" s="71" t="s">
        <v>411</v>
      </c>
      <c r="J2376" s="71">
        <v>-26</v>
      </c>
      <c r="K2376" s="71" t="s">
        <v>302</v>
      </c>
      <c r="L2376" s="71">
        <f t="shared" si="333"/>
        <v>7</v>
      </c>
      <c r="M2376" s="71" t="str">
        <f>IFERROR(INDEX(KALENDER!$D$3:$D$132,MATCH(H2376,KALENDER!$A$3:$A$132,0)),"Di luar periode")</f>
        <v>Hari Kerja</v>
      </c>
      <c r="N2376" s="71">
        <f t="shared" si="334"/>
        <v>1</v>
      </c>
      <c r="O2376" s="71">
        <f t="shared" si="335"/>
        <v>1</v>
      </c>
      <c r="P2376" s="71">
        <f t="shared" si="336"/>
        <v>1</v>
      </c>
      <c r="Q2376" s="71">
        <f t="shared" si="337"/>
        <v>0</v>
      </c>
      <c r="R2376" s="71">
        <f t="shared" si="338"/>
        <v>0</v>
      </c>
      <c r="S2376" s="71">
        <f t="shared" si="339"/>
        <v>0</v>
      </c>
      <c r="T2376" s="71">
        <f t="shared" si="340"/>
        <v>0</v>
      </c>
      <c r="U2376" s="71">
        <f>IF(AND(N2376=1,V2376=1),IF(COUNTIFS(AKTIVITAS!$B$2:$B$3052,B2376,AKTIVITAS!$E$2:$E$3052,H2376)&gt;0,1,0),0)</f>
        <v>1</v>
      </c>
      <c r="V2376" s="71">
        <f>IFERROR(IF(AND(H2376&gt;=INDEX(PEMAGANG!$J$3:$J$36,MATCH(B2376,PEMAGANG!$C$3:$C$36,0)),H2376&lt;=INDEX(PEMAGANG!$K$3:$K$36,MATCH(B2376,PEMAGANG!$C$3:$C$36,0))),1,0),0)</f>
        <v>1</v>
      </c>
      <c r="W2376" s="71">
        <f t="shared" si="341"/>
        <v>1</v>
      </c>
    </row>
    <row r="2377" spans="1:23" x14ac:dyDescent="0.2">
      <c r="A2377" s="71" t="s">
        <v>216</v>
      </c>
      <c r="B2377" s="71" t="s">
        <v>217</v>
      </c>
      <c r="C2377" s="71" t="s">
        <v>187</v>
      </c>
      <c r="D2377" s="71" t="s">
        <v>215</v>
      </c>
      <c r="E2377" s="71" t="s">
        <v>54</v>
      </c>
      <c r="F2377" s="71" t="s">
        <v>300</v>
      </c>
      <c r="G2377" s="88">
        <v>46234.688831018502</v>
      </c>
      <c r="H2377" s="89">
        <v>46234</v>
      </c>
      <c r="I2377" s="71" t="s">
        <v>336</v>
      </c>
      <c r="J2377" s="71">
        <v>0</v>
      </c>
      <c r="K2377" s="71" t="s">
        <v>302</v>
      </c>
      <c r="L2377" s="71">
        <f t="shared" si="333"/>
        <v>7</v>
      </c>
      <c r="M2377" s="71" t="str">
        <f>IFERROR(INDEX(KALENDER!$D$3:$D$132,MATCH(H2377,KALENDER!$A$3:$A$132,0)),"Di luar periode")</f>
        <v>Hari Kerja</v>
      </c>
      <c r="N2377" s="71">
        <f t="shared" si="334"/>
        <v>0</v>
      </c>
      <c r="O2377" s="71">
        <f t="shared" si="335"/>
        <v>1</v>
      </c>
      <c r="P2377" s="71">
        <f t="shared" si="336"/>
        <v>0</v>
      </c>
      <c r="Q2377" s="71">
        <f t="shared" si="337"/>
        <v>0</v>
      </c>
      <c r="R2377" s="71">
        <f t="shared" si="338"/>
        <v>0</v>
      </c>
      <c r="S2377" s="71">
        <f t="shared" si="339"/>
        <v>0</v>
      </c>
      <c r="T2377" s="71">
        <f t="shared" si="340"/>
        <v>0</v>
      </c>
      <c r="U2377" s="71">
        <f>IF(AND(N2377=1,V2377=1),IF(COUNTIFS(AKTIVITAS!$B$2:$B$3052,B2377,AKTIVITAS!$E$2:$E$3052,H2377)&gt;0,1,0),0)</f>
        <v>0</v>
      </c>
      <c r="V2377" s="71">
        <f>IFERROR(IF(AND(H2377&gt;=INDEX(PEMAGANG!$J$3:$J$36,MATCH(B2377,PEMAGANG!$C$3:$C$36,0)),H2377&lt;=INDEX(PEMAGANG!$K$3:$K$36,MATCH(B2377,PEMAGANG!$C$3:$C$36,0))),1,0),0)</f>
        <v>1</v>
      </c>
      <c r="W2377" s="71">
        <f t="shared" si="341"/>
        <v>0</v>
      </c>
    </row>
    <row r="2378" spans="1:23" x14ac:dyDescent="0.2">
      <c r="A2378" s="71" t="s">
        <v>216</v>
      </c>
      <c r="B2378" s="71" t="s">
        <v>217</v>
      </c>
      <c r="C2378" s="71" t="s">
        <v>187</v>
      </c>
      <c r="D2378" s="71" t="s">
        <v>215</v>
      </c>
      <c r="E2378" s="71" t="s">
        <v>54</v>
      </c>
      <c r="F2378" s="71" t="s">
        <v>298</v>
      </c>
      <c r="G2378" s="88">
        <v>46237.297824074099</v>
      </c>
      <c r="H2378" s="89">
        <v>46237</v>
      </c>
      <c r="I2378" s="71" t="s">
        <v>486</v>
      </c>
      <c r="J2378" s="71">
        <v>-22</v>
      </c>
      <c r="K2378" s="71" t="s">
        <v>302</v>
      </c>
      <c r="L2378" s="71">
        <f t="shared" si="333"/>
        <v>8</v>
      </c>
      <c r="M2378" s="71" t="str">
        <f>IFERROR(INDEX(KALENDER!$D$3:$D$132,MATCH(H2378,KALENDER!$A$3:$A$132,0)),"Di luar periode")</f>
        <v>Hari Kerja</v>
      </c>
      <c r="N2378" s="71">
        <f t="shared" si="334"/>
        <v>1</v>
      </c>
      <c r="O2378" s="71">
        <f t="shared" si="335"/>
        <v>1</v>
      </c>
      <c r="P2378" s="71">
        <f t="shared" si="336"/>
        <v>1</v>
      </c>
      <c r="Q2378" s="71">
        <f t="shared" si="337"/>
        <v>0</v>
      </c>
      <c r="R2378" s="71">
        <f t="shared" si="338"/>
        <v>0</v>
      </c>
      <c r="S2378" s="71">
        <f t="shared" si="339"/>
        <v>0</v>
      </c>
      <c r="T2378" s="71">
        <f t="shared" si="340"/>
        <v>0</v>
      </c>
      <c r="U2378" s="71">
        <f>IF(AND(N2378=1,V2378=1),IF(COUNTIFS(AKTIVITAS!$B$2:$B$3052,B2378,AKTIVITAS!$E$2:$E$3052,H2378)&gt;0,1,0),0)</f>
        <v>1</v>
      </c>
      <c r="V2378" s="71">
        <f>IFERROR(IF(AND(H2378&gt;=INDEX(PEMAGANG!$J$3:$J$36,MATCH(B2378,PEMAGANG!$C$3:$C$36,0)),H2378&lt;=INDEX(PEMAGANG!$K$3:$K$36,MATCH(B2378,PEMAGANG!$C$3:$C$36,0))),1,0),0)</f>
        <v>1</v>
      </c>
      <c r="W2378" s="71">
        <f t="shared" si="341"/>
        <v>1</v>
      </c>
    </row>
    <row r="2379" spans="1:23" x14ac:dyDescent="0.2">
      <c r="A2379" s="71" t="s">
        <v>216</v>
      </c>
      <c r="B2379" s="71" t="s">
        <v>217</v>
      </c>
      <c r="C2379" s="71" t="s">
        <v>187</v>
      </c>
      <c r="D2379" s="71" t="s">
        <v>215</v>
      </c>
      <c r="E2379" s="71" t="s">
        <v>54</v>
      </c>
      <c r="F2379" s="71" t="s">
        <v>300</v>
      </c>
      <c r="G2379" s="88">
        <v>46237.688321759299</v>
      </c>
      <c r="H2379" s="89">
        <v>46237</v>
      </c>
      <c r="I2379" s="71" t="s">
        <v>336</v>
      </c>
      <c r="J2379" s="71">
        <v>0</v>
      </c>
      <c r="K2379" s="71" t="s">
        <v>302</v>
      </c>
      <c r="L2379" s="71">
        <f t="shared" si="333"/>
        <v>8</v>
      </c>
      <c r="M2379" s="71" t="str">
        <f>IFERROR(INDEX(KALENDER!$D$3:$D$132,MATCH(H2379,KALENDER!$A$3:$A$132,0)),"Di luar periode")</f>
        <v>Hari Kerja</v>
      </c>
      <c r="N2379" s="71">
        <f t="shared" si="334"/>
        <v>0</v>
      </c>
      <c r="O2379" s="71">
        <f t="shared" si="335"/>
        <v>1</v>
      </c>
      <c r="P2379" s="71">
        <f t="shared" si="336"/>
        <v>0</v>
      </c>
      <c r="Q2379" s="71">
        <f t="shared" si="337"/>
        <v>0</v>
      </c>
      <c r="R2379" s="71">
        <f t="shared" si="338"/>
        <v>0</v>
      </c>
      <c r="S2379" s="71">
        <f t="shared" si="339"/>
        <v>0</v>
      </c>
      <c r="T2379" s="71">
        <f t="shared" si="340"/>
        <v>0</v>
      </c>
      <c r="U2379" s="71">
        <f>IF(AND(N2379=1,V2379=1),IF(COUNTIFS(AKTIVITAS!$B$2:$B$3052,B2379,AKTIVITAS!$E$2:$E$3052,H2379)&gt;0,1,0),0)</f>
        <v>0</v>
      </c>
      <c r="V2379" s="71">
        <f>IFERROR(IF(AND(H2379&gt;=INDEX(PEMAGANG!$J$3:$J$36,MATCH(B2379,PEMAGANG!$C$3:$C$36,0)),H2379&lt;=INDEX(PEMAGANG!$K$3:$K$36,MATCH(B2379,PEMAGANG!$C$3:$C$36,0))),1,0),0)</f>
        <v>1</v>
      </c>
      <c r="W2379" s="71">
        <f t="shared" si="341"/>
        <v>0</v>
      </c>
    </row>
    <row r="2380" spans="1:23" x14ac:dyDescent="0.2">
      <c r="A2380" s="71" t="s">
        <v>216</v>
      </c>
      <c r="B2380" s="71" t="s">
        <v>217</v>
      </c>
      <c r="C2380" s="71" t="s">
        <v>187</v>
      </c>
      <c r="D2380" s="71" t="s">
        <v>215</v>
      </c>
      <c r="E2380" s="71" t="s">
        <v>54</v>
      </c>
      <c r="F2380" s="71" t="s">
        <v>298</v>
      </c>
      <c r="G2380" s="88">
        <v>46238.302071759303</v>
      </c>
      <c r="H2380" s="89">
        <v>46238</v>
      </c>
      <c r="I2380" s="71" t="s">
        <v>416</v>
      </c>
      <c r="J2380" s="71">
        <v>-16</v>
      </c>
      <c r="K2380" s="71" t="s">
        <v>302</v>
      </c>
      <c r="L2380" s="71">
        <f t="shared" si="333"/>
        <v>8</v>
      </c>
      <c r="M2380" s="71" t="str">
        <f>IFERROR(INDEX(KALENDER!$D$3:$D$132,MATCH(H2380,KALENDER!$A$3:$A$132,0)),"Di luar periode")</f>
        <v>Hari Kerja</v>
      </c>
      <c r="N2380" s="71">
        <f t="shared" si="334"/>
        <v>1</v>
      </c>
      <c r="O2380" s="71">
        <f t="shared" si="335"/>
        <v>1</v>
      </c>
      <c r="P2380" s="71">
        <f t="shared" si="336"/>
        <v>1</v>
      </c>
      <c r="Q2380" s="71">
        <f t="shared" si="337"/>
        <v>0</v>
      </c>
      <c r="R2380" s="71">
        <f t="shared" si="338"/>
        <v>0</v>
      </c>
      <c r="S2380" s="71">
        <f t="shared" si="339"/>
        <v>0</v>
      </c>
      <c r="T2380" s="71">
        <f t="shared" si="340"/>
        <v>0</v>
      </c>
      <c r="U2380" s="71">
        <f>IF(AND(N2380=1,V2380=1),IF(COUNTIFS(AKTIVITAS!$B$2:$B$3052,B2380,AKTIVITAS!$E$2:$E$3052,H2380)&gt;0,1,0),0)</f>
        <v>1</v>
      </c>
      <c r="V2380" s="71">
        <f>IFERROR(IF(AND(H2380&gt;=INDEX(PEMAGANG!$J$3:$J$36,MATCH(B2380,PEMAGANG!$C$3:$C$36,0)),H2380&lt;=INDEX(PEMAGANG!$K$3:$K$36,MATCH(B2380,PEMAGANG!$C$3:$C$36,0))),1,0),0)</f>
        <v>1</v>
      </c>
      <c r="W2380" s="71">
        <f t="shared" si="341"/>
        <v>1</v>
      </c>
    </row>
    <row r="2381" spans="1:23" x14ac:dyDescent="0.2">
      <c r="A2381" s="71" t="s">
        <v>216</v>
      </c>
      <c r="B2381" s="71" t="s">
        <v>217</v>
      </c>
      <c r="C2381" s="71" t="s">
        <v>187</v>
      </c>
      <c r="D2381" s="71" t="s">
        <v>215</v>
      </c>
      <c r="E2381" s="71" t="s">
        <v>54</v>
      </c>
      <c r="F2381" s="71" t="s">
        <v>300</v>
      </c>
      <c r="G2381" s="88">
        <v>46238.707939814798</v>
      </c>
      <c r="H2381" s="89">
        <v>46238</v>
      </c>
      <c r="I2381" s="71" t="s">
        <v>364</v>
      </c>
      <c r="J2381" s="71">
        <v>0</v>
      </c>
      <c r="K2381" s="71" t="s">
        <v>302</v>
      </c>
      <c r="L2381" s="71">
        <f t="shared" si="333"/>
        <v>8</v>
      </c>
      <c r="M2381" s="71" t="str">
        <f>IFERROR(INDEX(KALENDER!$D$3:$D$132,MATCH(H2381,KALENDER!$A$3:$A$132,0)),"Di luar periode")</f>
        <v>Hari Kerja</v>
      </c>
      <c r="N2381" s="71">
        <f t="shared" si="334"/>
        <v>0</v>
      </c>
      <c r="O2381" s="71">
        <f t="shared" si="335"/>
        <v>1</v>
      </c>
      <c r="P2381" s="71">
        <f t="shared" si="336"/>
        <v>0</v>
      </c>
      <c r="Q2381" s="71">
        <f t="shared" si="337"/>
        <v>0</v>
      </c>
      <c r="R2381" s="71">
        <f t="shared" si="338"/>
        <v>0</v>
      </c>
      <c r="S2381" s="71">
        <f t="shared" si="339"/>
        <v>0</v>
      </c>
      <c r="T2381" s="71">
        <f t="shared" si="340"/>
        <v>0</v>
      </c>
      <c r="U2381" s="71">
        <f>IF(AND(N2381=1,V2381=1),IF(COUNTIFS(AKTIVITAS!$B$2:$B$3052,B2381,AKTIVITAS!$E$2:$E$3052,H2381)&gt;0,1,0),0)</f>
        <v>0</v>
      </c>
      <c r="V2381" s="71">
        <f>IFERROR(IF(AND(H2381&gt;=INDEX(PEMAGANG!$J$3:$J$36,MATCH(B2381,PEMAGANG!$C$3:$C$36,0)),H2381&lt;=INDEX(PEMAGANG!$K$3:$K$36,MATCH(B2381,PEMAGANG!$C$3:$C$36,0))),1,0),0)</f>
        <v>1</v>
      </c>
      <c r="W2381" s="71">
        <f t="shared" si="341"/>
        <v>0</v>
      </c>
    </row>
    <row r="2382" spans="1:23" x14ac:dyDescent="0.2">
      <c r="A2382" s="71" t="s">
        <v>216</v>
      </c>
      <c r="B2382" s="71" t="s">
        <v>217</v>
      </c>
      <c r="C2382" s="71" t="s">
        <v>187</v>
      </c>
      <c r="D2382" s="71" t="s">
        <v>215</v>
      </c>
      <c r="E2382" s="71" t="s">
        <v>54</v>
      </c>
      <c r="F2382" s="71" t="s">
        <v>298</v>
      </c>
      <c r="G2382" s="88">
        <v>46239.297291666699</v>
      </c>
      <c r="H2382" s="89">
        <v>46239</v>
      </c>
      <c r="I2382" s="71" t="s">
        <v>486</v>
      </c>
      <c r="J2382" s="71">
        <v>-22</v>
      </c>
      <c r="K2382" s="71" t="s">
        <v>302</v>
      </c>
      <c r="L2382" s="71">
        <f t="shared" si="333"/>
        <v>8</v>
      </c>
      <c r="M2382" s="71" t="str">
        <f>IFERROR(INDEX(KALENDER!$D$3:$D$132,MATCH(H2382,KALENDER!$A$3:$A$132,0)),"Di luar periode")</f>
        <v>Hari Kerja</v>
      </c>
      <c r="N2382" s="71">
        <f t="shared" si="334"/>
        <v>1</v>
      </c>
      <c r="O2382" s="71">
        <f t="shared" si="335"/>
        <v>1</v>
      </c>
      <c r="P2382" s="71">
        <f t="shared" si="336"/>
        <v>1</v>
      </c>
      <c r="Q2382" s="71">
        <f t="shared" si="337"/>
        <v>0</v>
      </c>
      <c r="R2382" s="71">
        <f t="shared" si="338"/>
        <v>0</v>
      </c>
      <c r="S2382" s="71">
        <f t="shared" si="339"/>
        <v>0</v>
      </c>
      <c r="T2382" s="71">
        <f t="shared" si="340"/>
        <v>0</v>
      </c>
      <c r="U2382" s="71">
        <f>IF(AND(N2382=1,V2382=1),IF(COUNTIFS(AKTIVITAS!$B$2:$B$3052,B2382,AKTIVITAS!$E$2:$E$3052,H2382)&gt;0,1,0),0)</f>
        <v>1</v>
      </c>
      <c r="V2382" s="71">
        <f>IFERROR(IF(AND(H2382&gt;=INDEX(PEMAGANG!$J$3:$J$36,MATCH(B2382,PEMAGANG!$C$3:$C$36,0)),H2382&lt;=INDEX(PEMAGANG!$K$3:$K$36,MATCH(B2382,PEMAGANG!$C$3:$C$36,0))),1,0),0)</f>
        <v>1</v>
      </c>
      <c r="W2382" s="71">
        <f t="shared" si="341"/>
        <v>1</v>
      </c>
    </row>
    <row r="2383" spans="1:23" x14ac:dyDescent="0.2">
      <c r="A2383" s="71" t="s">
        <v>216</v>
      </c>
      <c r="B2383" s="71" t="s">
        <v>217</v>
      </c>
      <c r="C2383" s="71" t="s">
        <v>187</v>
      </c>
      <c r="D2383" s="71" t="s">
        <v>215</v>
      </c>
      <c r="E2383" s="71" t="s">
        <v>54</v>
      </c>
      <c r="F2383" s="71" t="s">
        <v>300</v>
      </c>
      <c r="G2383" s="88">
        <v>46239.6922569444</v>
      </c>
      <c r="H2383" s="89">
        <v>46239</v>
      </c>
      <c r="I2383" s="71" t="s">
        <v>344</v>
      </c>
      <c r="J2383" s="71">
        <v>0</v>
      </c>
      <c r="K2383" s="71" t="s">
        <v>302</v>
      </c>
      <c r="L2383" s="71">
        <f t="shared" si="333"/>
        <v>8</v>
      </c>
      <c r="M2383" s="71" t="str">
        <f>IFERROR(INDEX(KALENDER!$D$3:$D$132,MATCH(H2383,KALENDER!$A$3:$A$132,0)),"Di luar periode")</f>
        <v>Hari Kerja</v>
      </c>
      <c r="N2383" s="71">
        <f t="shared" si="334"/>
        <v>0</v>
      </c>
      <c r="O2383" s="71">
        <f t="shared" si="335"/>
        <v>1</v>
      </c>
      <c r="P2383" s="71">
        <f t="shared" si="336"/>
        <v>0</v>
      </c>
      <c r="Q2383" s="71">
        <f t="shared" si="337"/>
        <v>0</v>
      </c>
      <c r="R2383" s="71">
        <f t="shared" si="338"/>
        <v>0</v>
      </c>
      <c r="S2383" s="71">
        <f t="shared" si="339"/>
        <v>0</v>
      </c>
      <c r="T2383" s="71">
        <f t="shared" si="340"/>
        <v>0</v>
      </c>
      <c r="U2383" s="71">
        <f>IF(AND(N2383=1,V2383=1),IF(COUNTIFS(AKTIVITAS!$B$2:$B$3052,B2383,AKTIVITAS!$E$2:$E$3052,H2383)&gt;0,1,0),0)</f>
        <v>0</v>
      </c>
      <c r="V2383" s="71">
        <f>IFERROR(IF(AND(H2383&gt;=INDEX(PEMAGANG!$J$3:$J$36,MATCH(B2383,PEMAGANG!$C$3:$C$36,0)),H2383&lt;=INDEX(PEMAGANG!$K$3:$K$36,MATCH(B2383,PEMAGANG!$C$3:$C$36,0))),1,0),0)</f>
        <v>1</v>
      </c>
      <c r="W2383" s="71">
        <f t="shared" si="341"/>
        <v>0</v>
      </c>
    </row>
    <row r="2384" spans="1:23" x14ac:dyDescent="0.2">
      <c r="A2384" s="71" t="s">
        <v>216</v>
      </c>
      <c r="B2384" s="71" t="s">
        <v>217</v>
      </c>
      <c r="C2384" s="71" t="s">
        <v>187</v>
      </c>
      <c r="D2384" s="71" t="s">
        <v>215</v>
      </c>
      <c r="E2384" s="71" t="s">
        <v>54</v>
      </c>
      <c r="F2384" s="71" t="s">
        <v>298</v>
      </c>
      <c r="G2384" s="88">
        <v>46240.299953703703</v>
      </c>
      <c r="H2384" s="89">
        <v>46240</v>
      </c>
      <c r="I2384" s="71" t="s">
        <v>402</v>
      </c>
      <c r="J2384" s="71">
        <v>-19</v>
      </c>
      <c r="K2384" s="71" t="s">
        <v>302</v>
      </c>
      <c r="L2384" s="71">
        <f t="shared" si="333"/>
        <v>8</v>
      </c>
      <c r="M2384" s="71" t="str">
        <f>IFERROR(INDEX(KALENDER!$D$3:$D$132,MATCH(H2384,KALENDER!$A$3:$A$132,0)),"Di luar periode")</f>
        <v>Hari Kerja</v>
      </c>
      <c r="N2384" s="71">
        <f t="shared" si="334"/>
        <v>1</v>
      </c>
      <c r="O2384" s="71">
        <f t="shared" si="335"/>
        <v>1</v>
      </c>
      <c r="P2384" s="71">
        <f t="shared" si="336"/>
        <v>1</v>
      </c>
      <c r="Q2384" s="71">
        <f t="shared" si="337"/>
        <v>0</v>
      </c>
      <c r="R2384" s="71">
        <f t="shared" si="338"/>
        <v>0</v>
      </c>
      <c r="S2384" s="71">
        <f t="shared" si="339"/>
        <v>0</v>
      </c>
      <c r="T2384" s="71">
        <f t="shared" si="340"/>
        <v>0</v>
      </c>
      <c r="U2384" s="71">
        <f>IF(AND(N2384=1,V2384=1),IF(COUNTIFS(AKTIVITAS!$B$2:$B$3052,B2384,AKTIVITAS!$E$2:$E$3052,H2384)&gt;0,1,0),0)</f>
        <v>1</v>
      </c>
      <c r="V2384" s="71">
        <f>IFERROR(IF(AND(H2384&gt;=INDEX(PEMAGANG!$J$3:$J$36,MATCH(B2384,PEMAGANG!$C$3:$C$36,0)),H2384&lt;=INDEX(PEMAGANG!$K$3:$K$36,MATCH(B2384,PEMAGANG!$C$3:$C$36,0))),1,0),0)</f>
        <v>1</v>
      </c>
      <c r="W2384" s="71">
        <f t="shared" si="341"/>
        <v>1</v>
      </c>
    </row>
    <row r="2385" spans="1:23" x14ac:dyDescent="0.2">
      <c r="A2385" s="71" t="s">
        <v>216</v>
      </c>
      <c r="B2385" s="71" t="s">
        <v>217</v>
      </c>
      <c r="C2385" s="71" t="s">
        <v>187</v>
      </c>
      <c r="D2385" s="71" t="s">
        <v>215</v>
      </c>
      <c r="E2385" s="71" t="s">
        <v>54</v>
      </c>
      <c r="F2385" s="71" t="s">
        <v>300</v>
      </c>
      <c r="G2385" s="88">
        <v>46240.689687500002</v>
      </c>
      <c r="H2385" s="89">
        <v>46240</v>
      </c>
      <c r="I2385" s="71" t="s">
        <v>316</v>
      </c>
      <c r="J2385" s="71">
        <v>0</v>
      </c>
      <c r="K2385" s="71" t="s">
        <v>302</v>
      </c>
      <c r="L2385" s="71">
        <f t="shared" si="333"/>
        <v>8</v>
      </c>
      <c r="M2385" s="71" t="str">
        <f>IFERROR(INDEX(KALENDER!$D$3:$D$132,MATCH(H2385,KALENDER!$A$3:$A$132,0)),"Di luar periode")</f>
        <v>Hari Kerja</v>
      </c>
      <c r="N2385" s="71">
        <f t="shared" si="334"/>
        <v>0</v>
      </c>
      <c r="O2385" s="71">
        <f t="shared" si="335"/>
        <v>1</v>
      </c>
      <c r="P2385" s="71">
        <f t="shared" si="336"/>
        <v>0</v>
      </c>
      <c r="Q2385" s="71">
        <f t="shared" si="337"/>
        <v>0</v>
      </c>
      <c r="R2385" s="71">
        <f t="shared" si="338"/>
        <v>0</v>
      </c>
      <c r="S2385" s="71">
        <f t="shared" si="339"/>
        <v>0</v>
      </c>
      <c r="T2385" s="71">
        <f t="shared" si="340"/>
        <v>0</v>
      </c>
      <c r="U2385" s="71">
        <f>IF(AND(N2385=1,V2385=1),IF(COUNTIFS(AKTIVITAS!$B$2:$B$3052,B2385,AKTIVITAS!$E$2:$E$3052,H2385)&gt;0,1,0),0)</f>
        <v>0</v>
      </c>
      <c r="V2385" s="71">
        <f>IFERROR(IF(AND(H2385&gt;=INDEX(PEMAGANG!$J$3:$J$36,MATCH(B2385,PEMAGANG!$C$3:$C$36,0)),H2385&lt;=INDEX(PEMAGANG!$K$3:$K$36,MATCH(B2385,PEMAGANG!$C$3:$C$36,0))),1,0),0)</f>
        <v>1</v>
      </c>
      <c r="W2385" s="71">
        <f t="shared" si="341"/>
        <v>0</v>
      </c>
    </row>
    <row r="2386" spans="1:23" x14ac:dyDescent="0.2">
      <c r="A2386" s="71" t="s">
        <v>216</v>
      </c>
      <c r="B2386" s="71" t="s">
        <v>217</v>
      </c>
      <c r="C2386" s="71" t="s">
        <v>187</v>
      </c>
      <c r="D2386" s="71" t="s">
        <v>215</v>
      </c>
      <c r="E2386" s="71" t="s">
        <v>54</v>
      </c>
      <c r="F2386" s="71" t="s">
        <v>298</v>
      </c>
      <c r="G2386" s="88">
        <v>46241.302326388897</v>
      </c>
      <c r="H2386" s="89">
        <v>46241</v>
      </c>
      <c r="I2386" s="71" t="s">
        <v>370</v>
      </c>
      <c r="J2386" s="71">
        <v>-15</v>
      </c>
      <c r="K2386" s="71" t="s">
        <v>302</v>
      </c>
      <c r="L2386" s="71">
        <f t="shared" si="333"/>
        <v>8</v>
      </c>
      <c r="M2386" s="71" t="str">
        <f>IFERROR(INDEX(KALENDER!$D$3:$D$132,MATCH(H2386,KALENDER!$A$3:$A$132,0)),"Di luar periode")</f>
        <v>Hari Kerja</v>
      </c>
      <c r="N2386" s="71">
        <f t="shared" si="334"/>
        <v>1</v>
      </c>
      <c r="O2386" s="71">
        <f t="shared" si="335"/>
        <v>1</v>
      </c>
      <c r="P2386" s="71">
        <f t="shared" si="336"/>
        <v>1</v>
      </c>
      <c r="Q2386" s="71">
        <f t="shared" si="337"/>
        <v>0</v>
      </c>
      <c r="R2386" s="71">
        <f t="shared" si="338"/>
        <v>0</v>
      </c>
      <c r="S2386" s="71">
        <f t="shared" si="339"/>
        <v>0</v>
      </c>
      <c r="T2386" s="71">
        <f t="shared" si="340"/>
        <v>0</v>
      </c>
      <c r="U2386" s="71">
        <f>IF(AND(N2386=1,V2386=1),IF(COUNTIFS(AKTIVITAS!$B$2:$B$3052,B2386,AKTIVITAS!$E$2:$E$3052,H2386)&gt;0,1,0),0)</f>
        <v>1</v>
      </c>
      <c r="V2386" s="71">
        <f>IFERROR(IF(AND(H2386&gt;=INDEX(PEMAGANG!$J$3:$J$36,MATCH(B2386,PEMAGANG!$C$3:$C$36,0)),H2386&lt;=INDEX(PEMAGANG!$K$3:$K$36,MATCH(B2386,PEMAGANG!$C$3:$C$36,0))),1,0),0)</f>
        <v>1</v>
      </c>
      <c r="W2386" s="71">
        <f t="shared" si="341"/>
        <v>1</v>
      </c>
    </row>
    <row r="2387" spans="1:23" x14ac:dyDescent="0.2">
      <c r="A2387" s="71" t="s">
        <v>216</v>
      </c>
      <c r="B2387" s="71" t="s">
        <v>217</v>
      </c>
      <c r="C2387" s="71" t="s">
        <v>187</v>
      </c>
      <c r="D2387" s="71" t="s">
        <v>215</v>
      </c>
      <c r="E2387" s="71" t="s">
        <v>54</v>
      </c>
      <c r="F2387" s="71" t="s">
        <v>300</v>
      </c>
      <c r="G2387" s="88">
        <v>46241.6949537037</v>
      </c>
      <c r="H2387" s="89">
        <v>46241</v>
      </c>
      <c r="I2387" s="71" t="s">
        <v>343</v>
      </c>
      <c r="J2387" s="71">
        <v>0</v>
      </c>
      <c r="K2387" s="71" t="s">
        <v>302</v>
      </c>
      <c r="L2387" s="71">
        <f t="shared" si="333"/>
        <v>8</v>
      </c>
      <c r="M2387" s="71" t="str">
        <f>IFERROR(INDEX(KALENDER!$D$3:$D$132,MATCH(H2387,KALENDER!$A$3:$A$132,0)),"Di luar periode")</f>
        <v>Hari Kerja</v>
      </c>
      <c r="N2387" s="71">
        <f t="shared" si="334"/>
        <v>0</v>
      </c>
      <c r="O2387" s="71">
        <f t="shared" si="335"/>
        <v>1</v>
      </c>
      <c r="P2387" s="71">
        <f t="shared" si="336"/>
        <v>0</v>
      </c>
      <c r="Q2387" s="71">
        <f t="shared" si="337"/>
        <v>0</v>
      </c>
      <c r="R2387" s="71">
        <f t="shared" si="338"/>
        <v>0</v>
      </c>
      <c r="S2387" s="71">
        <f t="shared" si="339"/>
        <v>0</v>
      </c>
      <c r="T2387" s="71">
        <f t="shared" si="340"/>
        <v>0</v>
      </c>
      <c r="U2387" s="71">
        <f>IF(AND(N2387=1,V2387=1),IF(COUNTIFS(AKTIVITAS!$B$2:$B$3052,B2387,AKTIVITAS!$E$2:$E$3052,H2387)&gt;0,1,0),0)</f>
        <v>0</v>
      </c>
      <c r="V2387" s="71">
        <f>IFERROR(IF(AND(H2387&gt;=INDEX(PEMAGANG!$J$3:$J$36,MATCH(B2387,PEMAGANG!$C$3:$C$36,0)),H2387&lt;=INDEX(PEMAGANG!$K$3:$K$36,MATCH(B2387,PEMAGANG!$C$3:$C$36,0))),1,0),0)</f>
        <v>1</v>
      </c>
      <c r="W2387" s="71">
        <f t="shared" si="341"/>
        <v>0</v>
      </c>
    </row>
    <row r="2388" spans="1:23" x14ac:dyDescent="0.2">
      <c r="A2388" s="71" t="s">
        <v>216</v>
      </c>
      <c r="B2388" s="71" t="s">
        <v>217</v>
      </c>
      <c r="C2388" s="71" t="s">
        <v>187</v>
      </c>
      <c r="D2388" s="71" t="s">
        <v>215</v>
      </c>
      <c r="E2388" s="71" t="s">
        <v>54</v>
      </c>
      <c r="F2388" s="71" t="s">
        <v>298</v>
      </c>
      <c r="G2388" s="88">
        <v>46244.306250000001</v>
      </c>
      <c r="H2388" s="89">
        <v>46244</v>
      </c>
      <c r="I2388" s="71" t="s">
        <v>305</v>
      </c>
      <c r="J2388" s="71">
        <v>-9.0000000000000497</v>
      </c>
      <c r="K2388" s="71" t="s">
        <v>302</v>
      </c>
      <c r="L2388" s="71">
        <f t="shared" si="333"/>
        <v>8</v>
      </c>
      <c r="M2388" s="71" t="str">
        <f>IFERROR(INDEX(KALENDER!$D$3:$D$132,MATCH(H2388,KALENDER!$A$3:$A$132,0)),"Di luar periode")</f>
        <v>Hari Kerja</v>
      </c>
      <c r="N2388" s="71">
        <f t="shared" si="334"/>
        <v>1</v>
      </c>
      <c r="O2388" s="71">
        <f t="shared" si="335"/>
        <v>1</v>
      </c>
      <c r="P2388" s="71">
        <f t="shared" si="336"/>
        <v>1</v>
      </c>
      <c r="Q2388" s="71">
        <f t="shared" si="337"/>
        <v>0</v>
      </c>
      <c r="R2388" s="71">
        <f t="shared" si="338"/>
        <v>0</v>
      </c>
      <c r="S2388" s="71">
        <f t="shared" si="339"/>
        <v>0</v>
      </c>
      <c r="T2388" s="71">
        <f t="shared" si="340"/>
        <v>0</v>
      </c>
      <c r="U2388" s="71">
        <f>IF(AND(N2388=1,V2388=1),IF(COUNTIFS(AKTIVITAS!$B$2:$B$3052,B2388,AKTIVITAS!$E$2:$E$3052,H2388)&gt;0,1,0),0)</f>
        <v>1</v>
      </c>
      <c r="V2388" s="71">
        <f>IFERROR(IF(AND(H2388&gt;=INDEX(PEMAGANG!$J$3:$J$36,MATCH(B2388,PEMAGANG!$C$3:$C$36,0)),H2388&lt;=INDEX(PEMAGANG!$K$3:$K$36,MATCH(B2388,PEMAGANG!$C$3:$C$36,0))),1,0),0)</f>
        <v>1</v>
      </c>
      <c r="W2388" s="71">
        <f t="shared" si="341"/>
        <v>1</v>
      </c>
    </row>
    <row r="2389" spans="1:23" x14ac:dyDescent="0.2">
      <c r="A2389" s="71" t="s">
        <v>216</v>
      </c>
      <c r="B2389" s="71" t="s">
        <v>217</v>
      </c>
      <c r="C2389" s="71" t="s">
        <v>187</v>
      </c>
      <c r="D2389" s="71" t="s">
        <v>215</v>
      </c>
      <c r="E2389" s="71" t="s">
        <v>54</v>
      </c>
      <c r="F2389" s="71" t="s">
        <v>300</v>
      </c>
      <c r="G2389" s="88">
        <v>46244.690567129597</v>
      </c>
      <c r="H2389" s="89">
        <v>46244</v>
      </c>
      <c r="I2389" s="71" t="s">
        <v>314</v>
      </c>
      <c r="J2389" s="71">
        <v>0</v>
      </c>
      <c r="K2389" s="71" t="s">
        <v>302</v>
      </c>
      <c r="L2389" s="71">
        <f t="shared" si="333"/>
        <v>8</v>
      </c>
      <c r="M2389" s="71" t="str">
        <f>IFERROR(INDEX(KALENDER!$D$3:$D$132,MATCH(H2389,KALENDER!$A$3:$A$132,0)),"Di luar periode")</f>
        <v>Hari Kerja</v>
      </c>
      <c r="N2389" s="71">
        <f t="shared" si="334"/>
        <v>0</v>
      </c>
      <c r="O2389" s="71">
        <f t="shared" si="335"/>
        <v>1</v>
      </c>
      <c r="P2389" s="71">
        <f t="shared" si="336"/>
        <v>0</v>
      </c>
      <c r="Q2389" s="71">
        <f t="shared" si="337"/>
        <v>0</v>
      </c>
      <c r="R2389" s="71">
        <f t="shared" si="338"/>
        <v>0</v>
      </c>
      <c r="S2389" s="71">
        <f t="shared" si="339"/>
        <v>0</v>
      </c>
      <c r="T2389" s="71">
        <f t="shared" si="340"/>
        <v>0</v>
      </c>
      <c r="U2389" s="71">
        <f>IF(AND(N2389=1,V2389=1),IF(COUNTIFS(AKTIVITAS!$B$2:$B$3052,B2389,AKTIVITAS!$E$2:$E$3052,H2389)&gt;0,1,0),0)</f>
        <v>0</v>
      </c>
      <c r="V2389" s="71">
        <f>IFERROR(IF(AND(H2389&gt;=INDEX(PEMAGANG!$J$3:$J$36,MATCH(B2389,PEMAGANG!$C$3:$C$36,0)),H2389&lt;=INDEX(PEMAGANG!$K$3:$K$36,MATCH(B2389,PEMAGANG!$C$3:$C$36,0))),1,0),0)</f>
        <v>1</v>
      </c>
      <c r="W2389" s="71">
        <f t="shared" si="341"/>
        <v>0</v>
      </c>
    </row>
    <row r="2390" spans="1:23" x14ac:dyDescent="0.2">
      <c r="A2390" s="71" t="s">
        <v>216</v>
      </c>
      <c r="B2390" s="71" t="s">
        <v>217</v>
      </c>
      <c r="C2390" s="71" t="s">
        <v>187</v>
      </c>
      <c r="D2390" s="71" t="s">
        <v>215</v>
      </c>
      <c r="E2390" s="71" t="s">
        <v>54</v>
      </c>
      <c r="F2390" s="71" t="s">
        <v>298</v>
      </c>
      <c r="G2390" s="88">
        <v>46245.315428240698</v>
      </c>
      <c r="H2390" s="89">
        <v>46245</v>
      </c>
      <c r="I2390" s="71" t="s">
        <v>373</v>
      </c>
      <c r="J2390" s="71">
        <v>3.9999999999999898</v>
      </c>
      <c r="K2390" s="71" t="s">
        <v>293</v>
      </c>
      <c r="L2390" s="71">
        <f t="shared" si="333"/>
        <v>8</v>
      </c>
      <c r="M2390" s="71" t="str">
        <f>IFERROR(INDEX(KALENDER!$D$3:$D$132,MATCH(H2390,KALENDER!$A$3:$A$132,0)),"Di luar periode")</f>
        <v>Hari Kerja</v>
      </c>
      <c r="N2390" s="71">
        <f t="shared" si="334"/>
        <v>1</v>
      </c>
      <c r="O2390" s="71">
        <f t="shared" si="335"/>
        <v>1</v>
      </c>
      <c r="P2390" s="71">
        <f t="shared" si="336"/>
        <v>1</v>
      </c>
      <c r="Q2390" s="71">
        <f t="shared" si="337"/>
        <v>0</v>
      </c>
      <c r="R2390" s="71">
        <f t="shared" si="338"/>
        <v>1</v>
      </c>
      <c r="S2390" s="71">
        <f t="shared" si="339"/>
        <v>3.9999999999999898</v>
      </c>
      <c r="T2390" s="71">
        <f t="shared" si="340"/>
        <v>0</v>
      </c>
      <c r="U2390" s="71">
        <f>IF(AND(N2390=1,V2390=1),IF(COUNTIFS(AKTIVITAS!$B$2:$B$3052,B2390,AKTIVITAS!$E$2:$E$3052,H2390)&gt;0,1,0),0)</f>
        <v>1</v>
      </c>
      <c r="V2390" s="71">
        <f>IFERROR(IF(AND(H2390&gt;=INDEX(PEMAGANG!$J$3:$J$36,MATCH(B2390,PEMAGANG!$C$3:$C$36,0)),H2390&lt;=INDEX(PEMAGANG!$K$3:$K$36,MATCH(B2390,PEMAGANG!$C$3:$C$36,0))),1,0),0)</f>
        <v>1</v>
      </c>
      <c r="W2390" s="71">
        <f t="shared" si="341"/>
        <v>1</v>
      </c>
    </row>
    <row r="2391" spans="1:23" x14ac:dyDescent="0.2">
      <c r="A2391" s="71" t="s">
        <v>216</v>
      </c>
      <c r="B2391" s="71" t="s">
        <v>217</v>
      </c>
      <c r="C2391" s="71" t="s">
        <v>187</v>
      </c>
      <c r="D2391" s="71" t="s">
        <v>215</v>
      </c>
      <c r="E2391" s="71" t="s">
        <v>54</v>
      </c>
      <c r="F2391" s="71" t="s">
        <v>300</v>
      </c>
      <c r="G2391" s="88">
        <v>46245.7418287037</v>
      </c>
      <c r="H2391" s="89">
        <v>46245</v>
      </c>
      <c r="I2391" s="71" t="s">
        <v>379</v>
      </c>
      <c r="J2391" s="71">
        <v>0</v>
      </c>
      <c r="K2391" s="71" t="s">
        <v>302</v>
      </c>
      <c r="L2391" s="71">
        <f t="shared" si="333"/>
        <v>8</v>
      </c>
      <c r="M2391" s="71" t="str">
        <f>IFERROR(INDEX(KALENDER!$D$3:$D$132,MATCH(H2391,KALENDER!$A$3:$A$132,0)),"Di luar periode")</f>
        <v>Hari Kerja</v>
      </c>
      <c r="N2391" s="71">
        <f t="shared" si="334"/>
        <v>0</v>
      </c>
      <c r="O2391" s="71">
        <f t="shared" si="335"/>
        <v>1</v>
      </c>
      <c r="P2391" s="71">
        <f t="shared" si="336"/>
        <v>0</v>
      </c>
      <c r="Q2391" s="71">
        <f t="shared" si="337"/>
        <v>0</v>
      </c>
      <c r="R2391" s="71">
        <f t="shared" si="338"/>
        <v>0</v>
      </c>
      <c r="S2391" s="71">
        <f t="shared" si="339"/>
        <v>0</v>
      </c>
      <c r="T2391" s="71">
        <f t="shared" si="340"/>
        <v>0</v>
      </c>
      <c r="U2391" s="71">
        <f>IF(AND(N2391=1,V2391=1),IF(COUNTIFS(AKTIVITAS!$B$2:$B$3052,B2391,AKTIVITAS!$E$2:$E$3052,H2391)&gt;0,1,0),0)</f>
        <v>0</v>
      </c>
      <c r="V2391" s="71">
        <f>IFERROR(IF(AND(H2391&gt;=INDEX(PEMAGANG!$J$3:$J$36,MATCH(B2391,PEMAGANG!$C$3:$C$36,0)),H2391&lt;=INDEX(PEMAGANG!$K$3:$K$36,MATCH(B2391,PEMAGANG!$C$3:$C$36,0))),1,0),0)</f>
        <v>1</v>
      </c>
      <c r="W2391" s="71">
        <f t="shared" si="341"/>
        <v>0</v>
      </c>
    </row>
    <row r="2392" spans="1:23" x14ac:dyDescent="0.2">
      <c r="A2392" s="71" t="s">
        <v>216</v>
      </c>
      <c r="B2392" s="71" t="s">
        <v>217</v>
      </c>
      <c r="C2392" s="71" t="s">
        <v>187</v>
      </c>
      <c r="D2392" s="71" t="s">
        <v>215</v>
      </c>
      <c r="E2392" s="71" t="s">
        <v>54</v>
      </c>
      <c r="F2392" s="71" t="s">
        <v>298</v>
      </c>
      <c r="G2392" s="88">
        <v>46246.298414351899</v>
      </c>
      <c r="H2392" s="89">
        <v>46246</v>
      </c>
      <c r="I2392" s="71" t="s">
        <v>479</v>
      </c>
      <c r="J2392" s="71">
        <v>-21</v>
      </c>
      <c r="K2392" s="71" t="s">
        <v>302</v>
      </c>
      <c r="L2392" s="71">
        <f t="shared" si="333"/>
        <v>8</v>
      </c>
      <c r="M2392" s="71" t="str">
        <f>IFERROR(INDEX(KALENDER!$D$3:$D$132,MATCH(H2392,KALENDER!$A$3:$A$132,0)),"Di luar periode")</f>
        <v>Hari Kerja</v>
      </c>
      <c r="N2392" s="71">
        <f t="shared" si="334"/>
        <v>1</v>
      </c>
      <c r="O2392" s="71">
        <f t="shared" si="335"/>
        <v>1</v>
      </c>
      <c r="P2392" s="71">
        <f t="shared" si="336"/>
        <v>1</v>
      </c>
      <c r="Q2392" s="71">
        <f t="shared" si="337"/>
        <v>0</v>
      </c>
      <c r="R2392" s="71">
        <f t="shared" si="338"/>
        <v>0</v>
      </c>
      <c r="S2392" s="71">
        <f t="shared" si="339"/>
        <v>0</v>
      </c>
      <c r="T2392" s="71">
        <f t="shared" si="340"/>
        <v>0</v>
      </c>
      <c r="U2392" s="71">
        <f>IF(AND(N2392=1,V2392=1),IF(COUNTIFS(AKTIVITAS!$B$2:$B$3052,B2392,AKTIVITAS!$E$2:$E$3052,H2392)&gt;0,1,0),0)</f>
        <v>1</v>
      </c>
      <c r="V2392" s="71">
        <f>IFERROR(IF(AND(H2392&gt;=INDEX(PEMAGANG!$J$3:$J$36,MATCH(B2392,PEMAGANG!$C$3:$C$36,0)),H2392&lt;=INDEX(PEMAGANG!$K$3:$K$36,MATCH(B2392,PEMAGANG!$C$3:$C$36,0))),1,0),0)</f>
        <v>1</v>
      </c>
      <c r="W2392" s="71">
        <f t="shared" si="341"/>
        <v>1</v>
      </c>
    </row>
    <row r="2393" spans="1:23" x14ac:dyDescent="0.2">
      <c r="A2393" s="71" t="s">
        <v>216</v>
      </c>
      <c r="B2393" s="71" t="s">
        <v>217</v>
      </c>
      <c r="C2393" s="71" t="s">
        <v>187</v>
      </c>
      <c r="D2393" s="71" t="s">
        <v>215</v>
      </c>
      <c r="E2393" s="71" t="s">
        <v>54</v>
      </c>
      <c r="F2393" s="71" t="s">
        <v>300</v>
      </c>
      <c r="G2393" s="88">
        <v>46246.688159722202</v>
      </c>
      <c r="H2393" s="89">
        <v>46246</v>
      </c>
      <c r="I2393" s="71" t="s">
        <v>330</v>
      </c>
      <c r="J2393" s="71">
        <v>0</v>
      </c>
      <c r="K2393" s="71" t="s">
        <v>302</v>
      </c>
      <c r="L2393" s="71">
        <f t="shared" si="333"/>
        <v>8</v>
      </c>
      <c r="M2393" s="71" t="str">
        <f>IFERROR(INDEX(KALENDER!$D$3:$D$132,MATCH(H2393,KALENDER!$A$3:$A$132,0)),"Di luar periode")</f>
        <v>Hari Kerja</v>
      </c>
      <c r="N2393" s="71">
        <f t="shared" si="334"/>
        <v>0</v>
      </c>
      <c r="O2393" s="71">
        <f t="shared" si="335"/>
        <v>1</v>
      </c>
      <c r="P2393" s="71">
        <f t="shared" si="336"/>
        <v>0</v>
      </c>
      <c r="Q2393" s="71">
        <f t="shared" si="337"/>
        <v>0</v>
      </c>
      <c r="R2393" s="71">
        <f t="shared" si="338"/>
        <v>0</v>
      </c>
      <c r="S2393" s="71">
        <f t="shared" si="339"/>
        <v>0</v>
      </c>
      <c r="T2393" s="71">
        <f t="shared" si="340"/>
        <v>0</v>
      </c>
      <c r="U2393" s="71">
        <f>IF(AND(N2393=1,V2393=1),IF(COUNTIFS(AKTIVITAS!$B$2:$B$3052,B2393,AKTIVITAS!$E$2:$E$3052,H2393)&gt;0,1,0),0)</f>
        <v>0</v>
      </c>
      <c r="V2393" s="71">
        <f>IFERROR(IF(AND(H2393&gt;=INDEX(PEMAGANG!$J$3:$J$36,MATCH(B2393,PEMAGANG!$C$3:$C$36,0)),H2393&lt;=INDEX(PEMAGANG!$K$3:$K$36,MATCH(B2393,PEMAGANG!$C$3:$C$36,0))),1,0),0)</f>
        <v>1</v>
      </c>
      <c r="W2393" s="71">
        <f t="shared" si="341"/>
        <v>0</v>
      </c>
    </row>
    <row r="2394" spans="1:23" x14ac:dyDescent="0.2">
      <c r="A2394" s="71" t="s">
        <v>216</v>
      </c>
      <c r="B2394" s="71" t="s">
        <v>217</v>
      </c>
      <c r="C2394" s="71" t="s">
        <v>187</v>
      </c>
      <c r="D2394" s="71" t="s">
        <v>215</v>
      </c>
      <c r="E2394" s="71" t="s">
        <v>54</v>
      </c>
      <c r="F2394" s="71" t="s">
        <v>298</v>
      </c>
      <c r="G2394" s="88">
        <v>46247.298576388901</v>
      </c>
      <c r="H2394" s="89">
        <v>46247</v>
      </c>
      <c r="I2394" s="71" t="s">
        <v>479</v>
      </c>
      <c r="J2394" s="71">
        <v>-21</v>
      </c>
      <c r="K2394" s="71" t="s">
        <v>302</v>
      </c>
      <c r="L2394" s="71">
        <f t="shared" si="333"/>
        <v>8</v>
      </c>
      <c r="M2394" s="71" t="str">
        <f>IFERROR(INDEX(KALENDER!$D$3:$D$132,MATCH(H2394,KALENDER!$A$3:$A$132,0)),"Di luar periode")</f>
        <v>Hari Kerja</v>
      </c>
      <c r="N2394" s="71">
        <f t="shared" si="334"/>
        <v>1</v>
      </c>
      <c r="O2394" s="71">
        <f t="shared" si="335"/>
        <v>1</v>
      </c>
      <c r="P2394" s="71">
        <f t="shared" si="336"/>
        <v>1</v>
      </c>
      <c r="Q2394" s="71">
        <f t="shared" si="337"/>
        <v>0</v>
      </c>
      <c r="R2394" s="71">
        <f t="shared" si="338"/>
        <v>0</v>
      </c>
      <c r="S2394" s="71">
        <f t="shared" si="339"/>
        <v>0</v>
      </c>
      <c r="T2394" s="71">
        <f t="shared" si="340"/>
        <v>0</v>
      </c>
      <c r="U2394" s="71">
        <f>IF(AND(N2394=1,V2394=1),IF(COUNTIFS(AKTIVITAS!$B$2:$B$3052,B2394,AKTIVITAS!$E$2:$E$3052,H2394)&gt;0,1,0),0)</f>
        <v>1</v>
      </c>
      <c r="V2394" s="71">
        <f>IFERROR(IF(AND(H2394&gt;=INDEX(PEMAGANG!$J$3:$J$36,MATCH(B2394,PEMAGANG!$C$3:$C$36,0)),H2394&lt;=INDEX(PEMAGANG!$K$3:$K$36,MATCH(B2394,PEMAGANG!$C$3:$C$36,0))),1,0),0)</f>
        <v>1</v>
      </c>
      <c r="W2394" s="71">
        <f t="shared" si="341"/>
        <v>1</v>
      </c>
    </row>
    <row r="2395" spans="1:23" x14ac:dyDescent="0.2">
      <c r="A2395" s="71" t="s">
        <v>216</v>
      </c>
      <c r="B2395" s="71" t="s">
        <v>217</v>
      </c>
      <c r="C2395" s="71" t="s">
        <v>187</v>
      </c>
      <c r="D2395" s="71" t="s">
        <v>215</v>
      </c>
      <c r="E2395" s="71" t="s">
        <v>54</v>
      </c>
      <c r="F2395" s="71" t="s">
        <v>300</v>
      </c>
      <c r="G2395" s="88">
        <v>46247.687974537002</v>
      </c>
      <c r="H2395" s="89">
        <v>46247</v>
      </c>
      <c r="I2395" s="71" t="s">
        <v>330</v>
      </c>
      <c r="J2395" s="71">
        <v>0</v>
      </c>
      <c r="K2395" s="71" t="s">
        <v>302</v>
      </c>
      <c r="L2395" s="71">
        <f t="shared" si="333"/>
        <v>8</v>
      </c>
      <c r="M2395" s="71" t="str">
        <f>IFERROR(INDEX(KALENDER!$D$3:$D$132,MATCH(H2395,KALENDER!$A$3:$A$132,0)),"Di luar periode")</f>
        <v>Hari Kerja</v>
      </c>
      <c r="N2395" s="71">
        <f t="shared" si="334"/>
        <v>0</v>
      </c>
      <c r="O2395" s="71">
        <f t="shared" si="335"/>
        <v>1</v>
      </c>
      <c r="P2395" s="71">
        <f t="shared" si="336"/>
        <v>0</v>
      </c>
      <c r="Q2395" s="71">
        <f t="shared" si="337"/>
        <v>0</v>
      </c>
      <c r="R2395" s="71">
        <f t="shared" si="338"/>
        <v>0</v>
      </c>
      <c r="S2395" s="71">
        <f t="shared" si="339"/>
        <v>0</v>
      </c>
      <c r="T2395" s="71">
        <f t="shared" si="340"/>
        <v>0</v>
      </c>
      <c r="U2395" s="71">
        <f>IF(AND(N2395=1,V2395=1),IF(COUNTIFS(AKTIVITAS!$B$2:$B$3052,B2395,AKTIVITAS!$E$2:$E$3052,H2395)&gt;0,1,0),0)</f>
        <v>0</v>
      </c>
      <c r="V2395" s="71">
        <f>IFERROR(IF(AND(H2395&gt;=INDEX(PEMAGANG!$J$3:$J$36,MATCH(B2395,PEMAGANG!$C$3:$C$36,0)),H2395&lt;=INDEX(PEMAGANG!$K$3:$K$36,MATCH(B2395,PEMAGANG!$C$3:$C$36,0))),1,0),0)</f>
        <v>1</v>
      </c>
      <c r="W2395" s="71">
        <f t="shared" si="341"/>
        <v>0</v>
      </c>
    </row>
    <row r="2396" spans="1:23" x14ac:dyDescent="0.2">
      <c r="A2396" s="71" t="s">
        <v>216</v>
      </c>
      <c r="B2396" s="71" t="s">
        <v>217</v>
      </c>
      <c r="C2396" s="71" t="s">
        <v>187</v>
      </c>
      <c r="D2396" s="71" t="s">
        <v>215</v>
      </c>
      <c r="E2396" s="71" t="s">
        <v>54</v>
      </c>
      <c r="F2396" s="71" t="s">
        <v>298</v>
      </c>
      <c r="G2396" s="88">
        <v>46248.301412036999</v>
      </c>
      <c r="H2396" s="89">
        <v>46248</v>
      </c>
      <c r="I2396" s="71" t="s">
        <v>416</v>
      </c>
      <c r="J2396" s="71">
        <v>-16</v>
      </c>
      <c r="K2396" s="71" t="s">
        <v>302</v>
      </c>
      <c r="L2396" s="71">
        <f t="shared" si="333"/>
        <v>8</v>
      </c>
      <c r="M2396" s="71" t="str">
        <f>IFERROR(INDEX(KALENDER!$D$3:$D$132,MATCH(H2396,KALENDER!$A$3:$A$132,0)),"Di luar periode")</f>
        <v>Hari Kerja</v>
      </c>
      <c r="N2396" s="71">
        <f t="shared" si="334"/>
        <v>1</v>
      </c>
      <c r="O2396" s="71">
        <f t="shared" si="335"/>
        <v>1</v>
      </c>
      <c r="P2396" s="71">
        <f t="shared" si="336"/>
        <v>1</v>
      </c>
      <c r="Q2396" s="71">
        <f t="shared" si="337"/>
        <v>0</v>
      </c>
      <c r="R2396" s="71">
        <f t="shared" si="338"/>
        <v>0</v>
      </c>
      <c r="S2396" s="71">
        <f t="shared" si="339"/>
        <v>0</v>
      </c>
      <c r="T2396" s="71">
        <f t="shared" si="340"/>
        <v>0</v>
      </c>
      <c r="U2396" s="71">
        <f>IF(AND(N2396=1,V2396=1),IF(COUNTIFS(AKTIVITAS!$B$2:$B$3052,B2396,AKTIVITAS!$E$2:$E$3052,H2396)&gt;0,1,0),0)</f>
        <v>1</v>
      </c>
      <c r="V2396" s="71">
        <f>IFERROR(IF(AND(H2396&gt;=INDEX(PEMAGANG!$J$3:$J$36,MATCH(B2396,PEMAGANG!$C$3:$C$36,0)),H2396&lt;=INDEX(PEMAGANG!$K$3:$K$36,MATCH(B2396,PEMAGANG!$C$3:$C$36,0))),1,0),0)</f>
        <v>1</v>
      </c>
      <c r="W2396" s="71">
        <f t="shared" si="341"/>
        <v>1</v>
      </c>
    </row>
    <row r="2397" spans="1:23" x14ac:dyDescent="0.2">
      <c r="A2397" s="71" t="s">
        <v>216</v>
      </c>
      <c r="B2397" s="71" t="s">
        <v>217</v>
      </c>
      <c r="C2397" s="71" t="s">
        <v>187</v>
      </c>
      <c r="D2397" s="71" t="s">
        <v>215</v>
      </c>
      <c r="E2397" s="71" t="s">
        <v>54</v>
      </c>
      <c r="F2397" s="71" t="s">
        <v>300</v>
      </c>
      <c r="G2397" s="88">
        <v>46248.6880439815</v>
      </c>
      <c r="H2397" s="89">
        <v>46248</v>
      </c>
      <c r="I2397" s="71" t="s">
        <v>330</v>
      </c>
      <c r="J2397" s="71">
        <v>0</v>
      </c>
      <c r="K2397" s="71" t="s">
        <v>302</v>
      </c>
      <c r="L2397" s="71">
        <f t="shared" si="333"/>
        <v>8</v>
      </c>
      <c r="M2397" s="71" t="str">
        <f>IFERROR(INDEX(KALENDER!$D$3:$D$132,MATCH(H2397,KALENDER!$A$3:$A$132,0)),"Di luar periode")</f>
        <v>Hari Kerja</v>
      </c>
      <c r="N2397" s="71">
        <f t="shared" si="334"/>
        <v>0</v>
      </c>
      <c r="O2397" s="71">
        <f t="shared" si="335"/>
        <v>1</v>
      </c>
      <c r="P2397" s="71">
        <f t="shared" si="336"/>
        <v>0</v>
      </c>
      <c r="Q2397" s="71">
        <f t="shared" si="337"/>
        <v>0</v>
      </c>
      <c r="R2397" s="71">
        <f t="shared" si="338"/>
        <v>0</v>
      </c>
      <c r="S2397" s="71">
        <f t="shared" si="339"/>
        <v>0</v>
      </c>
      <c r="T2397" s="71">
        <f t="shared" si="340"/>
        <v>0</v>
      </c>
      <c r="U2397" s="71">
        <f>IF(AND(N2397=1,V2397=1),IF(COUNTIFS(AKTIVITAS!$B$2:$B$3052,B2397,AKTIVITAS!$E$2:$E$3052,H2397)&gt;0,1,0),0)</f>
        <v>0</v>
      </c>
      <c r="V2397" s="71">
        <f>IFERROR(IF(AND(H2397&gt;=INDEX(PEMAGANG!$J$3:$J$36,MATCH(B2397,PEMAGANG!$C$3:$C$36,0)),H2397&lt;=INDEX(PEMAGANG!$K$3:$K$36,MATCH(B2397,PEMAGANG!$C$3:$C$36,0))),1,0),0)</f>
        <v>1</v>
      </c>
      <c r="W2397" s="71">
        <f t="shared" si="341"/>
        <v>0</v>
      </c>
    </row>
    <row r="2398" spans="1:23" x14ac:dyDescent="0.2">
      <c r="A2398" s="71" t="s">
        <v>216</v>
      </c>
      <c r="B2398" s="71" t="s">
        <v>217</v>
      </c>
      <c r="C2398" s="71" t="s">
        <v>187</v>
      </c>
      <c r="D2398" s="71" t="s">
        <v>215</v>
      </c>
      <c r="E2398" s="71" t="s">
        <v>54</v>
      </c>
      <c r="F2398" s="71" t="s">
        <v>298</v>
      </c>
      <c r="G2398" s="88">
        <v>46252.292881944399</v>
      </c>
      <c r="H2398" s="89">
        <v>46252</v>
      </c>
      <c r="I2398" s="71" t="s">
        <v>491</v>
      </c>
      <c r="J2398" s="71">
        <v>-29</v>
      </c>
      <c r="K2398" s="71" t="s">
        <v>302</v>
      </c>
      <c r="L2398" s="71">
        <f t="shared" si="333"/>
        <v>8</v>
      </c>
      <c r="M2398" s="71" t="str">
        <f>IFERROR(INDEX(KALENDER!$D$3:$D$132,MATCH(H2398,KALENDER!$A$3:$A$132,0)),"Di luar periode")</f>
        <v>Hari Kerja</v>
      </c>
      <c r="N2398" s="71">
        <f t="shared" si="334"/>
        <v>1</v>
      </c>
      <c r="O2398" s="71">
        <f t="shared" si="335"/>
        <v>1</v>
      </c>
      <c r="P2398" s="71">
        <f t="shared" si="336"/>
        <v>1</v>
      </c>
      <c r="Q2398" s="71">
        <f t="shared" si="337"/>
        <v>0</v>
      </c>
      <c r="R2398" s="71">
        <f t="shared" si="338"/>
        <v>0</v>
      </c>
      <c r="S2398" s="71">
        <f t="shared" si="339"/>
        <v>0</v>
      </c>
      <c r="T2398" s="71">
        <f t="shared" si="340"/>
        <v>0</v>
      </c>
      <c r="U2398" s="71">
        <f>IF(AND(N2398=1,V2398=1),IF(COUNTIFS(AKTIVITAS!$B$2:$B$3052,B2398,AKTIVITAS!$E$2:$E$3052,H2398)&gt;0,1,0),0)</f>
        <v>1</v>
      </c>
      <c r="V2398" s="71">
        <f>IFERROR(IF(AND(H2398&gt;=INDEX(PEMAGANG!$J$3:$J$36,MATCH(B2398,PEMAGANG!$C$3:$C$36,0)),H2398&lt;=INDEX(PEMAGANG!$K$3:$K$36,MATCH(B2398,PEMAGANG!$C$3:$C$36,0))),1,0),0)</f>
        <v>1</v>
      </c>
      <c r="W2398" s="71">
        <f t="shared" si="341"/>
        <v>1</v>
      </c>
    </row>
    <row r="2399" spans="1:23" x14ac:dyDescent="0.2">
      <c r="A2399" s="71" t="s">
        <v>216</v>
      </c>
      <c r="B2399" s="71" t="s">
        <v>217</v>
      </c>
      <c r="C2399" s="71" t="s">
        <v>187</v>
      </c>
      <c r="D2399" s="71" t="s">
        <v>215</v>
      </c>
      <c r="E2399" s="71" t="s">
        <v>54</v>
      </c>
      <c r="F2399" s="71" t="s">
        <v>300</v>
      </c>
      <c r="G2399" s="88">
        <v>46252.688252314802</v>
      </c>
      <c r="H2399" s="89">
        <v>46252</v>
      </c>
      <c r="I2399" s="71" t="s">
        <v>336</v>
      </c>
      <c r="J2399" s="71">
        <v>0</v>
      </c>
      <c r="K2399" s="71" t="s">
        <v>302</v>
      </c>
      <c r="L2399" s="71">
        <f t="shared" si="333"/>
        <v>8</v>
      </c>
      <c r="M2399" s="71" t="str">
        <f>IFERROR(INDEX(KALENDER!$D$3:$D$132,MATCH(H2399,KALENDER!$A$3:$A$132,0)),"Di luar periode")</f>
        <v>Hari Kerja</v>
      </c>
      <c r="N2399" s="71">
        <f t="shared" si="334"/>
        <v>0</v>
      </c>
      <c r="O2399" s="71">
        <f t="shared" si="335"/>
        <v>1</v>
      </c>
      <c r="P2399" s="71">
        <f t="shared" si="336"/>
        <v>0</v>
      </c>
      <c r="Q2399" s="71">
        <f t="shared" si="337"/>
        <v>0</v>
      </c>
      <c r="R2399" s="71">
        <f t="shared" si="338"/>
        <v>0</v>
      </c>
      <c r="S2399" s="71">
        <f t="shared" si="339"/>
        <v>0</v>
      </c>
      <c r="T2399" s="71">
        <f t="shared" si="340"/>
        <v>0</v>
      </c>
      <c r="U2399" s="71">
        <f>IF(AND(N2399=1,V2399=1),IF(COUNTIFS(AKTIVITAS!$B$2:$B$3052,B2399,AKTIVITAS!$E$2:$E$3052,H2399)&gt;0,1,0),0)</f>
        <v>0</v>
      </c>
      <c r="V2399" s="71">
        <f>IFERROR(IF(AND(H2399&gt;=INDEX(PEMAGANG!$J$3:$J$36,MATCH(B2399,PEMAGANG!$C$3:$C$36,0)),H2399&lt;=INDEX(PEMAGANG!$K$3:$K$36,MATCH(B2399,PEMAGANG!$C$3:$C$36,0))),1,0),0)</f>
        <v>1</v>
      </c>
      <c r="W2399" s="71">
        <f t="shared" si="341"/>
        <v>0</v>
      </c>
    </row>
    <row r="2400" spans="1:23" x14ac:dyDescent="0.2">
      <c r="A2400" s="71" t="s">
        <v>216</v>
      </c>
      <c r="B2400" s="71" t="s">
        <v>217</v>
      </c>
      <c r="C2400" s="71" t="s">
        <v>187</v>
      </c>
      <c r="D2400" s="71" t="s">
        <v>215</v>
      </c>
      <c r="E2400" s="71" t="s">
        <v>54</v>
      </c>
      <c r="F2400" s="71" t="s">
        <v>298</v>
      </c>
      <c r="G2400" s="88">
        <v>46253.298969907402</v>
      </c>
      <c r="H2400" s="89">
        <v>46253</v>
      </c>
      <c r="I2400" s="71" t="s">
        <v>481</v>
      </c>
      <c r="J2400" s="71">
        <v>-20</v>
      </c>
      <c r="K2400" s="71" t="s">
        <v>302</v>
      </c>
      <c r="L2400" s="71">
        <f t="shared" si="333"/>
        <v>8</v>
      </c>
      <c r="M2400" s="71" t="str">
        <f>IFERROR(INDEX(KALENDER!$D$3:$D$132,MATCH(H2400,KALENDER!$A$3:$A$132,0)),"Di luar periode")</f>
        <v>Hari Kerja</v>
      </c>
      <c r="N2400" s="71">
        <f t="shared" si="334"/>
        <v>1</v>
      </c>
      <c r="O2400" s="71">
        <f t="shared" si="335"/>
        <v>1</v>
      </c>
      <c r="P2400" s="71">
        <f t="shared" si="336"/>
        <v>1</v>
      </c>
      <c r="Q2400" s="71">
        <f t="shared" si="337"/>
        <v>0</v>
      </c>
      <c r="R2400" s="71">
        <f t="shared" si="338"/>
        <v>0</v>
      </c>
      <c r="S2400" s="71">
        <f t="shared" si="339"/>
        <v>0</v>
      </c>
      <c r="T2400" s="71">
        <f t="shared" si="340"/>
        <v>0</v>
      </c>
      <c r="U2400" s="71">
        <f>IF(AND(N2400=1,V2400=1),IF(COUNTIFS(AKTIVITAS!$B$2:$B$3052,B2400,AKTIVITAS!$E$2:$E$3052,H2400)&gt;0,1,0),0)</f>
        <v>1</v>
      </c>
      <c r="V2400" s="71">
        <f>IFERROR(IF(AND(H2400&gt;=INDEX(PEMAGANG!$J$3:$J$36,MATCH(B2400,PEMAGANG!$C$3:$C$36,0)),H2400&lt;=INDEX(PEMAGANG!$K$3:$K$36,MATCH(B2400,PEMAGANG!$C$3:$C$36,0))),1,0),0)</f>
        <v>1</v>
      </c>
      <c r="W2400" s="71">
        <f t="shared" si="341"/>
        <v>1</v>
      </c>
    </row>
    <row r="2401" spans="1:23" x14ac:dyDescent="0.2">
      <c r="A2401" s="71" t="s">
        <v>216</v>
      </c>
      <c r="B2401" s="71" t="s">
        <v>217</v>
      </c>
      <c r="C2401" s="71" t="s">
        <v>187</v>
      </c>
      <c r="D2401" s="71" t="s">
        <v>215</v>
      </c>
      <c r="E2401" s="71" t="s">
        <v>54</v>
      </c>
      <c r="F2401" s="71" t="s">
        <v>300</v>
      </c>
      <c r="G2401" s="88">
        <v>46253.6884027778</v>
      </c>
      <c r="H2401" s="89">
        <v>46253</v>
      </c>
      <c r="I2401" s="71" t="s">
        <v>336</v>
      </c>
      <c r="J2401" s="71">
        <v>0</v>
      </c>
      <c r="K2401" s="71" t="s">
        <v>302</v>
      </c>
      <c r="L2401" s="71">
        <f t="shared" si="333"/>
        <v>8</v>
      </c>
      <c r="M2401" s="71" t="str">
        <f>IFERROR(INDEX(KALENDER!$D$3:$D$132,MATCH(H2401,KALENDER!$A$3:$A$132,0)),"Di luar periode")</f>
        <v>Hari Kerja</v>
      </c>
      <c r="N2401" s="71">
        <f t="shared" si="334"/>
        <v>0</v>
      </c>
      <c r="O2401" s="71">
        <f t="shared" si="335"/>
        <v>1</v>
      </c>
      <c r="P2401" s="71">
        <f t="shared" si="336"/>
        <v>0</v>
      </c>
      <c r="Q2401" s="71">
        <f t="shared" si="337"/>
        <v>0</v>
      </c>
      <c r="R2401" s="71">
        <f t="shared" si="338"/>
        <v>0</v>
      </c>
      <c r="S2401" s="71">
        <f t="shared" si="339"/>
        <v>0</v>
      </c>
      <c r="T2401" s="71">
        <f t="shared" si="340"/>
        <v>0</v>
      </c>
      <c r="U2401" s="71">
        <f>IF(AND(N2401=1,V2401=1),IF(COUNTIFS(AKTIVITAS!$B$2:$B$3052,B2401,AKTIVITAS!$E$2:$E$3052,H2401)&gt;0,1,0),0)</f>
        <v>0</v>
      </c>
      <c r="V2401" s="71">
        <f>IFERROR(IF(AND(H2401&gt;=INDEX(PEMAGANG!$J$3:$J$36,MATCH(B2401,PEMAGANG!$C$3:$C$36,0)),H2401&lt;=INDEX(PEMAGANG!$K$3:$K$36,MATCH(B2401,PEMAGANG!$C$3:$C$36,0))),1,0),0)</f>
        <v>1</v>
      </c>
      <c r="W2401" s="71">
        <f t="shared" si="341"/>
        <v>0</v>
      </c>
    </row>
    <row r="2402" spans="1:23" x14ac:dyDescent="0.2">
      <c r="A2402" s="71" t="s">
        <v>216</v>
      </c>
      <c r="B2402" s="71" t="s">
        <v>217</v>
      </c>
      <c r="C2402" s="71" t="s">
        <v>187</v>
      </c>
      <c r="D2402" s="71" t="s">
        <v>215</v>
      </c>
      <c r="E2402" s="71" t="s">
        <v>54</v>
      </c>
      <c r="F2402" s="71" t="s">
        <v>298</v>
      </c>
      <c r="G2402" s="88">
        <v>46254.300277777802</v>
      </c>
      <c r="H2402" s="89">
        <v>46254</v>
      </c>
      <c r="I2402" s="71" t="s">
        <v>478</v>
      </c>
      <c r="J2402" s="71">
        <v>-18</v>
      </c>
      <c r="K2402" s="71" t="s">
        <v>302</v>
      </c>
      <c r="L2402" s="71">
        <f t="shared" si="333"/>
        <v>8</v>
      </c>
      <c r="M2402" s="71" t="str">
        <f>IFERROR(INDEX(KALENDER!$D$3:$D$132,MATCH(H2402,KALENDER!$A$3:$A$132,0)),"Di luar periode")</f>
        <v>Hari Kerja</v>
      </c>
      <c r="N2402" s="71">
        <f t="shared" si="334"/>
        <v>1</v>
      </c>
      <c r="O2402" s="71">
        <f t="shared" si="335"/>
        <v>1</v>
      </c>
      <c r="P2402" s="71">
        <f t="shared" si="336"/>
        <v>1</v>
      </c>
      <c r="Q2402" s="71">
        <f t="shared" si="337"/>
        <v>0</v>
      </c>
      <c r="R2402" s="71">
        <f t="shared" si="338"/>
        <v>0</v>
      </c>
      <c r="S2402" s="71">
        <f t="shared" si="339"/>
        <v>0</v>
      </c>
      <c r="T2402" s="71">
        <f t="shared" si="340"/>
        <v>0</v>
      </c>
      <c r="U2402" s="71">
        <f>IF(AND(N2402=1,V2402=1),IF(COUNTIFS(AKTIVITAS!$B$2:$B$3052,B2402,AKTIVITAS!$E$2:$E$3052,H2402)&gt;0,1,0),0)</f>
        <v>1</v>
      </c>
      <c r="V2402" s="71">
        <f>IFERROR(IF(AND(H2402&gt;=INDEX(PEMAGANG!$J$3:$J$36,MATCH(B2402,PEMAGANG!$C$3:$C$36,0)),H2402&lt;=INDEX(PEMAGANG!$K$3:$K$36,MATCH(B2402,PEMAGANG!$C$3:$C$36,0))),1,0),0)</f>
        <v>1</v>
      </c>
      <c r="W2402" s="71">
        <f t="shared" si="341"/>
        <v>1</v>
      </c>
    </row>
    <row r="2403" spans="1:23" x14ac:dyDescent="0.2">
      <c r="A2403" s="71" t="s">
        <v>216</v>
      </c>
      <c r="B2403" s="71" t="s">
        <v>217</v>
      </c>
      <c r="C2403" s="71" t="s">
        <v>187</v>
      </c>
      <c r="D2403" s="71" t="s">
        <v>215</v>
      </c>
      <c r="E2403" s="71" t="s">
        <v>54</v>
      </c>
      <c r="F2403" s="71" t="s">
        <v>300</v>
      </c>
      <c r="G2403" s="88">
        <v>46254.688634259299</v>
      </c>
      <c r="H2403" s="89">
        <v>46254</v>
      </c>
      <c r="I2403" s="71" t="s">
        <v>336</v>
      </c>
      <c r="J2403" s="71">
        <v>0</v>
      </c>
      <c r="K2403" s="71" t="s">
        <v>302</v>
      </c>
      <c r="L2403" s="71">
        <f t="shared" si="333"/>
        <v>8</v>
      </c>
      <c r="M2403" s="71" t="str">
        <f>IFERROR(INDEX(KALENDER!$D$3:$D$132,MATCH(H2403,KALENDER!$A$3:$A$132,0)),"Di luar periode")</f>
        <v>Hari Kerja</v>
      </c>
      <c r="N2403" s="71">
        <f t="shared" si="334"/>
        <v>0</v>
      </c>
      <c r="O2403" s="71">
        <f t="shared" si="335"/>
        <v>1</v>
      </c>
      <c r="P2403" s="71">
        <f t="shared" si="336"/>
        <v>0</v>
      </c>
      <c r="Q2403" s="71">
        <f t="shared" si="337"/>
        <v>0</v>
      </c>
      <c r="R2403" s="71">
        <f t="shared" si="338"/>
        <v>0</v>
      </c>
      <c r="S2403" s="71">
        <f t="shared" si="339"/>
        <v>0</v>
      </c>
      <c r="T2403" s="71">
        <f t="shared" si="340"/>
        <v>0</v>
      </c>
      <c r="U2403" s="71">
        <f>IF(AND(N2403=1,V2403=1),IF(COUNTIFS(AKTIVITAS!$B$2:$B$3052,B2403,AKTIVITAS!$E$2:$E$3052,H2403)&gt;0,1,0),0)</f>
        <v>0</v>
      </c>
      <c r="V2403" s="71">
        <f>IFERROR(IF(AND(H2403&gt;=INDEX(PEMAGANG!$J$3:$J$36,MATCH(B2403,PEMAGANG!$C$3:$C$36,0)),H2403&lt;=INDEX(PEMAGANG!$K$3:$K$36,MATCH(B2403,PEMAGANG!$C$3:$C$36,0))),1,0),0)</f>
        <v>1</v>
      </c>
      <c r="W2403" s="71">
        <f t="shared" si="341"/>
        <v>0</v>
      </c>
    </row>
    <row r="2404" spans="1:23" x14ac:dyDescent="0.2">
      <c r="A2404" s="71" t="s">
        <v>216</v>
      </c>
      <c r="B2404" s="71" t="s">
        <v>217</v>
      </c>
      <c r="C2404" s="71" t="s">
        <v>187</v>
      </c>
      <c r="D2404" s="71" t="s">
        <v>215</v>
      </c>
      <c r="E2404" s="71" t="s">
        <v>54</v>
      </c>
      <c r="F2404" s="71" t="s">
        <v>298</v>
      </c>
      <c r="G2404" s="88">
        <v>46255.429201388899</v>
      </c>
      <c r="H2404" s="89">
        <v>46255</v>
      </c>
      <c r="I2404" s="71" t="s">
        <v>489</v>
      </c>
      <c r="J2404" s="71">
        <v>138</v>
      </c>
      <c r="K2404" s="71" t="s">
        <v>293</v>
      </c>
      <c r="L2404" s="71">
        <f t="shared" si="333"/>
        <v>8</v>
      </c>
      <c r="M2404" s="71" t="str">
        <f>IFERROR(INDEX(KALENDER!$D$3:$D$132,MATCH(H2404,KALENDER!$A$3:$A$132,0)),"Di luar periode")</f>
        <v>Hari Kerja</v>
      </c>
      <c r="N2404" s="71">
        <f t="shared" si="334"/>
        <v>1</v>
      </c>
      <c r="O2404" s="71">
        <f t="shared" si="335"/>
        <v>1</v>
      </c>
      <c r="P2404" s="71">
        <f t="shared" si="336"/>
        <v>1</v>
      </c>
      <c r="Q2404" s="71">
        <f t="shared" si="337"/>
        <v>0</v>
      </c>
      <c r="R2404" s="71">
        <f t="shared" si="338"/>
        <v>1</v>
      </c>
      <c r="S2404" s="71">
        <f t="shared" si="339"/>
        <v>138</v>
      </c>
      <c r="T2404" s="71">
        <f t="shared" si="340"/>
        <v>0</v>
      </c>
      <c r="U2404" s="71">
        <f>IF(AND(N2404=1,V2404=1),IF(COUNTIFS(AKTIVITAS!$B$2:$B$3052,B2404,AKTIVITAS!$E$2:$E$3052,H2404)&gt;0,1,0),0)</f>
        <v>1</v>
      </c>
      <c r="V2404" s="71">
        <f>IFERROR(IF(AND(H2404&gt;=INDEX(PEMAGANG!$J$3:$J$36,MATCH(B2404,PEMAGANG!$C$3:$C$36,0)),H2404&lt;=INDEX(PEMAGANG!$K$3:$K$36,MATCH(B2404,PEMAGANG!$C$3:$C$36,0))),1,0),0)</f>
        <v>1</v>
      </c>
      <c r="W2404" s="71">
        <f t="shared" si="341"/>
        <v>1</v>
      </c>
    </row>
    <row r="2405" spans="1:23" x14ac:dyDescent="0.2">
      <c r="A2405" s="71" t="s">
        <v>216</v>
      </c>
      <c r="B2405" s="71" t="s">
        <v>217</v>
      </c>
      <c r="C2405" s="71" t="s">
        <v>187</v>
      </c>
      <c r="D2405" s="71" t="s">
        <v>215</v>
      </c>
      <c r="E2405" s="71" t="s">
        <v>54</v>
      </c>
      <c r="F2405" s="71" t="s">
        <v>300</v>
      </c>
      <c r="G2405" s="88">
        <v>46255.6898842593</v>
      </c>
      <c r="H2405" s="89">
        <v>46255</v>
      </c>
      <c r="I2405" s="71" t="s">
        <v>316</v>
      </c>
      <c r="J2405" s="71">
        <v>0</v>
      </c>
      <c r="K2405" s="71" t="s">
        <v>302</v>
      </c>
      <c r="L2405" s="71">
        <f t="shared" si="333"/>
        <v>8</v>
      </c>
      <c r="M2405" s="71" t="str">
        <f>IFERROR(INDEX(KALENDER!$D$3:$D$132,MATCH(H2405,KALENDER!$A$3:$A$132,0)),"Di luar periode")</f>
        <v>Hari Kerja</v>
      </c>
      <c r="N2405" s="71">
        <f t="shared" si="334"/>
        <v>0</v>
      </c>
      <c r="O2405" s="71">
        <f t="shared" si="335"/>
        <v>1</v>
      </c>
      <c r="P2405" s="71">
        <f t="shared" si="336"/>
        <v>0</v>
      </c>
      <c r="Q2405" s="71">
        <f t="shared" si="337"/>
        <v>0</v>
      </c>
      <c r="R2405" s="71">
        <f t="shared" si="338"/>
        <v>0</v>
      </c>
      <c r="S2405" s="71">
        <f t="shared" si="339"/>
        <v>0</v>
      </c>
      <c r="T2405" s="71">
        <f t="shared" si="340"/>
        <v>0</v>
      </c>
      <c r="U2405" s="71">
        <f>IF(AND(N2405=1,V2405=1),IF(COUNTIFS(AKTIVITAS!$B$2:$B$3052,B2405,AKTIVITAS!$E$2:$E$3052,H2405)&gt;0,1,0),0)</f>
        <v>0</v>
      </c>
      <c r="V2405" s="71">
        <f>IFERROR(IF(AND(H2405&gt;=INDEX(PEMAGANG!$J$3:$J$36,MATCH(B2405,PEMAGANG!$C$3:$C$36,0)),H2405&lt;=INDEX(PEMAGANG!$K$3:$K$36,MATCH(B2405,PEMAGANG!$C$3:$C$36,0))),1,0),0)</f>
        <v>1</v>
      </c>
      <c r="W2405" s="71">
        <f t="shared" si="341"/>
        <v>0</v>
      </c>
    </row>
    <row r="2406" spans="1:23" x14ac:dyDescent="0.2">
      <c r="A2406" s="71" t="s">
        <v>216</v>
      </c>
      <c r="B2406" s="71" t="s">
        <v>217</v>
      </c>
      <c r="C2406" s="71" t="s">
        <v>187</v>
      </c>
      <c r="D2406" s="71" t="s">
        <v>215</v>
      </c>
      <c r="E2406" s="71" t="s">
        <v>54</v>
      </c>
      <c r="F2406" s="71" t="s">
        <v>298</v>
      </c>
      <c r="G2406" s="88">
        <v>46258.300231481502</v>
      </c>
      <c r="H2406" s="89">
        <v>46258</v>
      </c>
      <c r="I2406" s="71" t="s">
        <v>478</v>
      </c>
      <c r="J2406" s="71">
        <v>-48</v>
      </c>
      <c r="K2406" s="71" t="s">
        <v>302</v>
      </c>
      <c r="L2406" s="71">
        <f t="shared" si="333"/>
        <v>8</v>
      </c>
      <c r="M2406" s="71" t="str">
        <f>IFERROR(INDEX(KALENDER!$D$3:$D$132,MATCH(H2406,KALENDER!$A$3:$A$132,0)),"Di luar periode")</f>
        <v>Hari Kerja</v>
      </c>
      <c r="N2406" s="71">
        <f t="shared" si="334"/>
        <v>1</v>
      </c>
      <c r="O2406" s="71">
        <f t="shared" si="335"/>
        <v>1</v>
      </c>
      <c r="P2406" s="71">
        <f t="shared" si="336"/>
        <v>1</v>
      </c>
      <c r="Q2406" s="71">
        <f t="shared" si="337"/>
        <v>0</v>
      </c>
      <c r="R2406" s="71">
        <f t="shared" si="338"/>
        <v>0</v>
      </c>
      <c r="S2406" s="71">
        <f t="shared" si="339"/>
        <v>0</v>
      </c>
      <c r="T2406" s="71">
        <f t="shared" si="340"/>
        <v>0</v>
      </c>
      <c r="U2406" s="71">
        <f>IF(AND(N2406=1,V2406=1),IF(COUNTIFS(AKTIVITAS!$B$2:$B$3052,B2406,AKTIVITAS!$E$2:$E$3052,H2406)&gt;0,1,0),0)</f>
        <v>1</v>
      </c>
      <c r="V2406" s="71">
        <f>IFERROR(IF(AND(H2406&gt;=INDEX(PEMAGANG!$J$3:$J$36,MATCH(B2406,PEMAGANG!$C$3:$C$36,0)),H2406&lt;=INDEX(PEMAGANG!$K$3:$K$36,MATCH(B2406,PEMAGANG!$C$3:$C$36,0))),1,0),0)</f>
        <v>1</v>
      </c>
      <c r="W2406" s="71">
        <f t="shared" si="341"/>
        <v>1</v>
      </c>
    </row>
    <row r="2407" spans="1:23" x14ac:dyDescent="0.2">
      <c r="A2407" s="71" t="s">
        <v>216</v>
      </c>
      <c r="B2407" s="71" t="s">
        <v>217</v>
      </c>
      <c r="C2407" s="71" t="s">
        <v>187</v>
      </c>
      <c r="D2407" s="71" t="s">
        <v>215</v>
      </c>
      <c r="E2407" s="71" t="s">
        <v>54</v>
      </c>
      <c r="F2407" s="71" t="s">
        <v>300</v>
      </c>
      <c r="G2407" s="88">
        <v>46258.689224537004</v>
      </c>
      <c r="H2407" s="89">
        <v>46258</v>
      </c>
      <c r="I2407" s="71" t="s">
        <v>306</v>
      </c>
      <c r="J2407" s="71">
        <v>0</v>
      </c>
      <c r="K2407" s="71" t="s">
        <v>302</v>
      </c>
      <c r="L2407" s="71">
        <f t="shared" si="333"/>
        <v>8</v>
      </c>
      <c r="M2407" s="71" t="str">
        <f>IFERROR(INDEX(KALENDER!$D$3:$D$132,MATCH(H2407,KALENDER!$A$3:$A$132,0)),"Di luar periode")</f>
        <v>Hari Kerja</v>
      </c>
      <c r="N2407" s="71">
        <f t="shared" si="334"/>
        <v>0</v>
      </c>
      <c r="O2407" s="71">
        <f t="shared" si="335"/>
        <v>1</v>
      </c>
      <c r="P2407" s="71">
        <f t="shared" si="336"/>
        <v>0</v>
      </c>
      <c r="Q2407" s="71">
        <f t="shared" si="337"/>
        <v>0</v>
      </c>
      <c r="R2407" s="71">
        <f t="shared" si="338"/>
        <v>0</v>
      </c>
      <c r="S2407" s="71">
        <f t="shared" si="339"/>
        <v>0</v>
      </c>
      <c r="T2407" s="71">
        <f t="shared" si="340"/>
        <v>0</v>
      </c>
      <c r="U2407" s="71">
        <f>IF(AND(N2407=1,V2407=1),IF(COUNTIFS(AKTIVITAS!$B$2:$B$3052,B2407,AKTIVITAS!$E$2:$E$3052,H2407)&gt;0,1,0),0)</f>
        <v>0</v>
      </c>
      <c r="V2407" s="71">
        <f>IFERROR(IF(AND(H2407&gt;=INDEX(PEMAGANG!$J$3:$J$36,MATCH(B2407,PEMAGANG!$C$3:$C$36,0)),H2407&lt;=INDEX(PEMAGANG!$K$3:$K$36,MATCH(B2407,PEMAGANG!$C$3:$C$36,0))),1,0),0)</f>
        <v>1</v>
      </c>
      <c r="W2407" s="71">
        <f t="shared" si="341"/>
        <v>0</v>
      </c>
    </row>
    <row r="2408" spans="1:23" x14ac:dyDescent="0.2">
      <c r="A2408" s="71" t="s">
        <v>216</v>
      </c>
      <c r="B2408" s="71" t="s">
        <v>217</v>
      </c>
      <c r="C2408" s="71" t="s">
        <v>187</v>
      </c>
      <c r="D2408" s="71" t="s">
        <v>215</v>
      </c>
      <c r="E2408" s="71" t="s">
        <v>54</v>
      </c>
      <c r="F2408" s="71" t="s">
        <v>298</v>
      </c>
      <c r="G2408" s="88">
        <v>46260.300497685203</v>
      </c>
      <c r="H2408" s="89">
        <v>46260</v>
      </c>
      <c r="I2408" s="71" t="s">
        <v>478</v>
      </c>
      <c r="J2408" s="71">
        <v>-48</v>
      </c>
      <c r="K2408" s="71" t="s">
        <v>302</v>
      </c>
      <c r="L2408" s="71">
        <f t="shared" si="333"/>
        <v>8</v>
      </c>
      <c r="M2408" s="71" t="str">
        <f>IFERROR(INDEX(KALENDER!$D$3:$D$132,MATCH(H2408,KALENDER!$A$3:$A$132,0)),"Di luar periode")</f>
        <v>Hari Kerja</v>
      </c>
      <c r="N2408" s="71">
        <f t="shared" si="334"/>
        <v>1</v>
      </c>
      <c r="O2408" s="71">
        <f t="shared" si="335"/>
        <v>1</v>
      </c>
      <c r="P2408" s="71">
        <f t="shared" si="336"/>
        <v>1</v>
      </c>
      <c r="Q2408" s="71">
        <f t="shared" si="337"/>
        <v>0</v>
      </c>
      <c r="R2408" s="71">
        <f t="shared" si="338"/>
        <v>0</v>
      </c>
      <c r="S2408" s="71">
        <f t="shared" si="339"/>
        <v>0</v>
      </c>
      <c r="T2408" s="71">
        <f t="shared" si="340"/>
        <v>0</v>
      </c>
      <c r="U2408" s="71">
        <f>IF(AND(N2408=1,V2408=1),IF(COUNTIFS(AKTIVITAS!$B$2:$B$3052,B2408,AKTIVITAS!$E$2:$E$3052,H2408)&gt;0,1,0),0)</f>
        <v>1</v>
      </c>
      <c r="V2408" s="71">
        <f>IFERROR(IF(AND(H2408&gt;=INDEX(PEMAGANG!$J$3:$J$36,MATCH(B2408,PEMAGANG!$C$3:$C$36,0)),H2408&lt;=INDEX(PEMAGANG!$K$3:$K$36,MATCH(B2408,PEMAGANG!$C$3:$C$36,0))),1,0),0)</f>
        <v>1</v>
      </c>
      <c r="W2408" s="71">
        <f t="shared" si="341"/>
        <v>1</v>
      </c>
    </row>
    <row r="2409" spans="1:23" x14ac:dyDescent="0.2">
      <c r="A2409" s="71" t="s">
        <v>216</v>
      </c>
      <c r="B2409" s="71" t="s">
        <v>217</v>
      </c>
      <c r="C2409" s="71" t="s">
        <v>187</v>
      </c>
      <c r="D2409" s="71" t="s">
        <v>215</v>
      </c>
      <c r="E2409" s="71" t="s">
        <v>54</v>
      </c>
      <c r="F2409" s="71" t="s">
        <v>300</v>
      </c>
      <c r="G2409" s="88">
        <v>46260.687986111101</v>
      </c>
      <c r="H2409" s="89">
        <v>46260</v>
      </c>
      <c r="I2409" s="71" t="s">
        <v>330</v>
      </c>
      <c r="J2409" s="71">
        <v>0</v>
      </c>
      <c r="K2409" s="71" t="s">
        <v>302</v>
      </c>
      <c r="L2409" s="71">
        <f t="shared" si="333"/>
        <v>8</v>
      </c>
      <c r="M2409" s="71" t="str">
        <f>IFERROR(INDEX(KALENDER!$D$3:$D$132,MATCH(H2409,KALENDER!$A$3:$A$132,0)),"Di luar periode")</f>
        <v>Hari Kerja</v>
      </c>
      <c r="N2409" s="71">
        <f t="shared" si="334"/>
        <v>0</v>
      </c>
      <c r="O2409" s="71">
        <f t="shared" si="335"/>
        <v>1</v>
      </c>
      <c r="P2409" s="71">
        <f t="shared" si="336"/>
        <v>0</v>
      </c>
      <c r="Q2409" s="71">
        <f t="shared" si="337"/>
        <v>0</v>
      </c>
      <c r="R2409" s="71">
        <f t="shared" si="338"/>
        <v>0</v>
      </c>
      <c r="S2409" s="71">
        <f t="shared" si="339"/>
        <v>0</v>
      </c>
      <c r="T2409" s="71">
        <f t="shared" si="340"/>
        <v>0</v>
      </c>
      <c r="U2409" s="71">
        <f>IF(AND(N2409=1,V2409=1),IF(COUNTIFS(AKTIVITAS!$B$2:$B$3052,B2409,AKTIVITAS!$E$2:$E$3052,H2409)&gt;0,1,0),0)</f>
        <v>0</v>
      </c>
      <c r="V2409" s="71">
        <f>IFERROR(IF(AND(H2409&gt;=INDEX(PEMAGANG!$J$3:$J$36,MATCH(B2409,PEMAGANG!$C$3:$C$36,0)),H2409&lt;=INDEX(PEMAGANG!$K$3:$K$36,MATCH(B2409,PEMAGANG!$C$3:$C$36,0))),1,0),0)</f>
        <v>1</v>
      </c>
      <c r="W2409" s="71">
        <f t="shared" si="341"/>
        <v>0</v>
      </c>
    </row>
    <row r="2410" spans="1:23" x14ac:dyDescent="0.2">
      <c r="A2410" s="71" t="s">
        <v>216</v>
      </c>
      <c r="B2410" s="71" t="s">
        <v>217</v>
      </c>
      <c r="C2410" s="71" t="s">
        <v>187</v>
      </c>
      <c r="D2410" s="71" t="s">
        <v>215</v>
      </c>
      <c r="E2410" s="71" t="s">
        <v>54</v>
      </c>
      <c r="F2410" s="71" t="s">
        <v>298</v>
      </c>
      <c r="G2410" s="88">
        <v>46261.293981481504</v>
      </c>
      <c r="H2410" s="89">
        <v>46261</v>
      </c>
      <c r="I2410" s="71" t="s">
        <v>483</v>
      </c>
      <c r="J2410" s="71">
        <v>-57</v>
      </c>
      <c r="K2410" s="71" t="s">
        <v>302</v>
      </c>
      <c r="L2410" s="71">
        <f t="shared" si="333"/>
        <v>8</v>
      </c>
      <c r="M2410" s="71" t="str">
        <f>IFERROR(INDEX(KALENDER!$D$3:$D$132,MATCH(H2410,KALENDER!$A$3:$A$132,0)),"Di luar periode")</f>
        <v>Hari Kerja</v>
      </c>
      <c r="N2410" s="71">
        <f t="shared" si="334"/>
        <v>1</v>
      </c>
      <c r="O2410" s="71">
        <f t="shared" si="335"/>
        <v>1</v>
      </c>
      <c r="P2410" s="71">
        <f t="shared" si="336"/>
        <v>1</v>
      </c>
      <c r="Q2410" s="71">
        <f t="shared" si="337"/>
        <v>0</v>
      </c>
      <c r="R2410" s="71">
        <f t="shared" si="338"/>
        <v>0</v>
      </c>
      <c r="S2410" s="71">
        <f t="shared" si="339"/>
        <v>0</v>
      </c>
      <c r="T2410" s="71">
        <f t="shared" si="340"/>
        <v>0</v>
      </c>
      <c r="U2410" s="71">
        <f>IF(AND(N2410=1,V2410=1),IF(COUNTIFS(AKTIVITAS!$B$2:$B$3052,B2410,AKTIVITAS!$E$2:$E$3052,H2410)&gt;0,1,0),0)</f>
        <v>1</v>
      </c>
      <c r="V2410" s="71">
        <f>IFERROR(IF(AND(H2410&gt;=INDEX(PEMAGANG!$J$3:$J$36,MATCH(B2410,PEMAGANG!$C$3:$C$36,0)),H2410&lt;=INDEX(PEMAGANG!$K$3:$K$36,MATCH(B2410,PEMAGANG!$C$3:$C$36,0))),1,0),0)</f>
        <v>1</v>
      </c>
      <c r="W2410" s="71">
        <f t="shared" si="341"/>
        <v>1</v>
      </c>
    </row>
    <row r="2411" spans="1:23" x14ac:dyDescent="0.2">
      <c r="A2411" s="71" t="s">
        <v>216</v>
      </c>
      <c r="B2411" s="71" t="s">
        <v>217</v>
      </c>
      <c r="C2411" s="71" t="s">
        <v>187</v>
      </c>
      <c r="D2411" s="71" t="s">
        <v>215</v>
      </c>
      <c r="E2411" s="71" t="s">
        <v>54</v>
      </c>
      <c r="F2411" s="71" t="s">
        <v>300</v>
      </c>
      <c r="G2411" s="88">
        <v>46261.688680555599</v>
      </c>
      <c r="H2411" s="89">
        <v>46261</v>
      </c>
      <c r="I2411" s="71" t="s">
        <v>336</v>
      </c>
      <c r="J2411" s="71">
        <v>0</v>
      </c>
      <c r="K2411" s="71" t="s">
        <v>302</v>
      </c>
      <c r="L2411" s="71">
        <f t="shared" si="333"/>
        <v>8</v>
      </c>
      <c r="M2411" s="71" t="str">
        <f>IFERROR(INDEX(KALENDER!$D$3:$D$132,MATCH(H2411,KALENDER!$A$3:$A$132,0)),"Di luar periode")</f>
        <v>Hari Kerja</v>
      </c>
      <c r="N2411" s="71">
        <f t="shared" si="334"/>
        <v>0</v>
      </c>
      <c r="O2411" s="71">
        <f t="shared" si="335"/>
        <v>1</v>
      </c>
      <c r="P2411" s="71">
        <f t="shared" si="336"/>
        <v>0</v>
      </c>
      <c r="Q2411" s="71">
        <f t="shared" si="337"/>
        <v>0</v>
      </c>
      <c r="R2411" s="71">
        <f t="shared" si="338"/>
        <v>0</v>
      </c>
      <c r="S2411" s="71">
        <f t="shared" si="339"/>
        <v>0</v>
      </c>
      <c r="T2411" s="71">
        <f t="shared" si="340"/>
        <v>0</v>
      </c>
      <c r="U2411" s="71">
        <f>IF(AND(N2411=1,V2411=1),IF(COUNTIFS(AKTIVITAS!$B$2:$B$3052,B2411,AKTIVITAS!$E$2:$E$3052,H2411)&gt;0,1,0),0)</f>
        <v>0</v>
      </c>
      <c r="V2411" s="71">
        <f>IFERROR(IF(AND(H2411&gt;=INDEX(PEMAGANG!$J$3:$J$36,MATCH(B2411,PEMAGANG!$C$3:$C$36,0)),H2411&lt;=INDEX(PEMAGANG!$K$3:$K$36,MATCH(B2411,PEMAGANG!$C$3:$C$36,0))),1,0),0)</f>
        <v>1</v>
      </c>
      <c r="W2411" s="71">
        <f t="shared" si="341"/>
        <v>0</v>
      </c>
    </row>
    <row r="2412" spans="1:23" x14ac:dyDescent="0.2">
      <c r="A2412" s="71" t="s">
        <v>216</v>
      </c>
      <c r="B2412" s="71" t="s">
        <v>217</v>
      </c>
      <c r="C2412" s="71" t="s">
        <v>187</v>
      </c>
      <c r="D2412" s="71" t="s">
        <v>215</v>
      </c>
      <c r="E2412" s="71" t="s">
        <v>54</v>
      </c>
      <c r="F2412" s="71" t="s">
        <v>298</v>
      </c>
      <c r="G2412" s="88">
        <v>46262.294606481497</v>
      </c>
      <c r="H2412" s="89">
        <v>46262</v>
      </c>
      <c r="I2412" s="71" t="s">
        <v>411</v>
      </c>
      <c r="J2412" s="71">
        <v>-56</v>
      </c>
      <c r="K2412" s="71" t="s">
        <v>302</v>
      </c>
      <c r="L2412" s="71">
        <f t="shared" si="333"/>
        <v>8</v>
      </c>
      <c r="M2412" s="71" t="str">
        <f>IFERROR(INDEX(KALENDER!$D$3:$D$132,MATCH(H2412,KALENDER!$A$3:$A$132,0)),"Di luar periode")</f>
        <v>Hari Kerja</v>
      </c>
      <c r="N2412" s="71">
        <f t="shared" si="334"/>
        <v>1</v>
      </c>
      <c r="O2412" s="71">
        <f t="shared" si="335"/>
        <v>1</v>
      </c>
      <c r="P2412" s="71">
        <f t="shared" si="336"/>
        <v>1</v>
      </c>
      <c r="Q2412" s="71">
        <f t="shared" si="337"/>
        <v>0</v>
      </c>
      <c r="R2412" s="71">
        <f t="shared" si="338"/>
        <v>0</v>
      </c>
      <c r="S2412" s="71">
        <f t="shared" si="339"/>
        <v>0</v>
      </c>
      <c r="T2412" s="71">
        <f t="shared" si="340"/>
        <v>0</v>
      </c>
      <c r="U2412" s="71">
        <f>IF(AND(N2412=1,V2412=1),IF(COUNTIFS(AKTIVITAS!$B$2:$B$3052,B2412,AKTIVITAS!$E$2:$E$3052,H2412)&gt;0,1,0),0)</f>
        <v>1</v>
      </c>
      <c r="V2412" s="71">
        <f>IFERROR(IF(AND(H2412&gt;=INDEX(PEMAGANG!$J$3:$J$36,MATCH(B2412,PEMAGANG!$C$3:$C$36,0)),H2412&lt;=INDEX(PEMAGANG!$K$3:$K$36,MATCH(B2412,PEMAGANG!$C$3:$C$36,0))),1,0),0)</f>
        <v>1</v>
      </c>
      <c r="W2412" s="71">
        <f t="shared" si="341"/>
        <v>1</v>
      </c>
    </row>
    <row r="2413" spans="1:23" x14ac:dyDescent="0.2">
      <c r="A2413" s="71" t="s">
        <v>216</v>
      </c>
      <c r="B2413" s="71" t="s">
        <v>217</v>
      </c>
      <c r="C2413" s="71" t="s">
        <v>187</v>
      </c>
      <c r="D2413" s="71" t="s">
        <v>215</v>
      </c>
      <c r="E2413" s="71" t="s">
        <v>54</v>
      </c>
      <c r="F2413" s="71" t="s">
        <v>300</v>
      </c>
      <c r="G2413" s="88">
        <v>46262.695532407401</v>
      </c>
      <c r="H2413" s="89">
        <v>46262</v>
      </c>
      <c r="I2413" s="71" t="s">
        <v>319</v>
      </c>
      <c r="J2413" s="71">
        <v>0</v>
      </c>
      <c r="K2413" s="71" t="s">
        <v>302</v>
      </c>
      <c r="L2413" s="71">
        <f t="shared" si="333"/>
        <v>8</v>
      </c>
      <c r="M2413" s="71" t="str">
        <f>IFERROR(INDEX(KALENDER!$D$3:$D$132,MATCH(H2413,KALENDER!$A$3:$A$132,0)),"Di luar periode")</f>
        <v>Hari Kerja</v>
      </c>
      <c r="N2413" s="71">
        <f t="shared" si="334"/>
        <v>0</v>
      </c>
      <c r="O2413" s="71">
        <f t="shared" si="335"/>
        <v>1</v>
      </c>
      <c r="P2413" s="71">
        <f t="shared" si="336"/>
        <v>0</v>
      </c>
      <c r="Q2413" s="71">
        <f t="shared" si="337"/>
        <v>0</v>
      </c>
      <c r="R2413" s="71">
        <f t="shared" si="338"/>
        <v>0</v>
      </c>
      <c r="S2413" s="71">
        <f t="shared" si="339"/>
        <v>0</v>
      </c>
      <c r="T2413" s="71">
        <f t="shared" si="340"/>
        <v>0</v>
      </c>
      <c r="U2413" s="71">
        <f>IF(AND(N2413=1,V2413=1),IF(COUNTIFS(AKTIVITAS!$B$2:$B$3052,B2413,AKTIVITAS!$E$2:$E$3052,H2413)&gt;0,1,0),0)</f>
        <v>0</v>
      </c>
      <c r="V2413" s="71">
        <f>IFERROR(IF(AND(H2413&gt;=INDEX(PEMAGANG!$J$3:$J$36,MATCH(B2413,PEMAGANG!$C$3:$C$36,0)),H2413&lt;=INDEX(PEMAGANG!$K$3:$K$36,MATCH(B2413,PEMAGANG!$C$3:$C$36,0))),1,0),0)</f>
        <v>1</v>
      </c>
      <c r="W2413" s="71">
        <f t="shared" si="341"/>
        <v>0</v>
      </c>
    </row>
    <row r="2414" spans="1:23" x14ac:dyDescent="0.2">
      <c r="A2414" s="71" t="s">
        <v>216</v>
      </c>
      <c r="B2414" s="71" t="s">
        <v>217</v>
      </c>
      <c r="C2414" s="71" t="s">
        <v>187</v>
      </c>
      <c r="D2414" s="71" t="s">
        <v>215</v>
      </c>
      <c r="E2414" s="71" t="s">
        <v>54</v>
      </c>
      <c r="F2414" s="71" t="s">
        <v>298</v>
      </c>
      <c r="G2414" s="88">
        <v>46265.301701388897</v>
      </c>
      <c r="H2414" s="89">
        <v>46265</v>
      </c>
      <c r="I2414" s="71" t="s">
        <v>416</v>
      </c>
      <c r="J2414" s="71">
        <v>-46</v>
      </c>
      <c r="K2414" s="71" t="s">
        <v>302</v>
      </c>
      <c r="L2414" s="71">
        <f t="shared" si="333"/>
        <v>8</v>
      </c>
      <c r="M2414" s="71" t="str">
        <f>IFERROR(INDEX(KALENDER!$D$3:$D$132,MATCH(H2414,KALENDER!$A$3:$A$132,0)),"Di luar periode")</f>
        <v>Hari Kerja</v>
      </c>
      <c r="N2414" s="71">
        <f t="shared" si="334"/>
        <v>1</v>
      </c>
      <c r="O2414" s="71">
        <f t="shared" si="335"/>
        <v>1</v>
      </c>
      <c r="P2414" s="71">
        <f t="shared" si="336"/>
        <v>1</v>
      </c>
      <c r="Q2414" s="71">
        <f t="shared" si="337"/>
        <v>0</v>
      </c>
      <c r="R2414" s="71">
        <f t="shared" si="338"/>
        <v>0</v>
      </c>
      <c r="S2414" s="71">
        <f t="shared" si="339"/>
        <v>0</v>
      </c>
      <c r="T2414" s="71">
        <f t="shared" si="340"/>
        <v>0</v>
      </c>
      <c r="U2414" s="71">
        <f>IF(AND(N2414=1,V2414=1),IF(COUNTIFS(AKTIVITAS!$B$2:$B$3052,B2414,AKTIVITAS!$E$2:$E$3052,H2414)&gt;0,1,0),0)</f>
        <v>1</v>
      </c>
      <c r="V2414" s="71">
        <f>IFERROR(IF(AND(H2414&gt;=INDEX(PEMAGANG!$J$3:$J$36,MATCH(B2414,PEMAGANG!$C$3:$C$36,0)),H2414&lt;=INDEX(PEMAGANG!$K$3:$K$36,MATCH(B2414,PEMAGANG!$C$3:$C$36,0))),1,0),0)</f>
        <v>1</v>
      </c>
      <c r="W2414" s="71">
        <f t="shared" si="341"/>
        <v>1</v>
      </c>
    </row>
    <row r="2415" spans="1:23" x14ac:dyDescent="0.2">
      <c r="A2415" s="71" t="s">
        <v>216</v>
      </c>
      <c r="B2415" s="71" t="s">
        <v>217</v>
      </c>
      <c r="C2415" s="71" t="s">
        <v>187</v>
      </c>
      <c r="D2415" s="71" t="s">
        <v>215</v>
      </c>
      <c r="E2415" s="71" t="s">
        <v>54</v>
      </c>
      <c r="F2415" s="71" t="s">
        <v>300</v>
      </c>
      <c r="G2415" s="88">
        <v>46265.689675925903</v>
      </c>
      <c r="H2415" s="89">
        <v>46265</v>
      </c>
      <c r="I2415" s="71" t="s">
        <v>316</v>
      </c>
      <c r="J2415" s="71">
        <v>0</v>
      </c>
      <c r="K2415" s="71" t="s">
        <v>302</v>
      </c>
      <c r="L2415" s="71">
        <f t="shared" si="333"/>
        <v>8</v>
      </c>
      <c r="M2415" s="71" t="str">
        <f>IFERROR(INDEX(KALENDER!$D$3:$D$132,MATCH(H2415,KALENDER!$A$3:$A$132,0)),"Di luar periode")</f>
        <v>Hari Kerja</v>
      </c>
      <c r="N2415" s="71">
        <f t="shared" si="334"/>
        <v>0</v>
      </c>
      <c r="O2415" s="71">
        <f t="shared" si="335"/>
        <v>1</v>
      </c>
      <c r="P2415" s="71">
        <f t="shared" si="336"/>
        <v>0</v>
      </c>
      <c r="Q2415" s="71">
        <f t="shared" si="337"/>
        <v>0</v>
      </c>
      <c r="R2415" s="71">
        <f t="shared" si="338"/>
        <v>0</v>
      </c>
      <c r="S2415" s="71">
        <f t="shared" si="339"/>
        <v>0</v>
      </c>
      <c r="T2415" s="71">
        <f t="shared" si="340"/>
        <v>0</v>
      </c>
      <c r="U2415" s="71">
        <f>IF(AND(N2415=1,V2415=1),IF(COUNTIFS(AKTIVITAS!$B$2:$B$3052,B2415,AKTIVITAS!$E$2:$E$3052,H2415)&gt;0,1,0),0)</f>
        <v>0</v>
      </c>
      <c r="V2415" s="71">
        <f>IFERROR(IF(AND(H2415&gt;=INDEX(PEMAGANG!$J$3:$J$36,MATCH(B2415,PEMAGANG!$C$3:$C$36,0)),H2415&lt;=INDEX(PEMAGANG!$K$3:$K$36,MATCH(B2415,PEMAGANG!$C$3:$C$36,0))),1,0),0)</f>
        <v>1</v>
      </c>
      <c r="W2415" s="71">
        <f t="shared" si="341"/>
        <v>0</v>
      </c>
    </row>
    <row r="2416" spans="1:23" x14ac:dyDescent="0.2">
      <c r="A2416" s="71" t="s">
        <v>216</v>
      </c>
      <c r="B2416" s="71" t="s">
        <v>217</v>
      </c>
      <c r="C2416" s="71" t="s">
        <v>187</v>
      </c>
      <c r="D2416" s="71" t="s">
        <v>215</v>
      </c>
      <c r="E2416" s="71" t="s">
        <v>54</v>
      </c>
      <c r="F2416" s="71" t="s">
        <v>298</v>
      </c>
      <c r="G2416" s="88">
        <v>46266.302106481497</v>
      </c>
      <c r="H2416" s="89">
        <v>46266</v>
      </c>
      <c r="I2416" s="71" t="s">
        <v>370</v>
      </c>
      <c r="J2416" s="71">
        <v>-45</v>
      </c>
      <c r="K2416" s="71" t="s">
        <v>302</v>
      </c>
      <c r="L2416" s="71">
        <f t="shared" si="333"/>
        <v>9</v>
      </c>
      <c r="M2416" s="71" t="str">
        <f>IFERROR(INDEX(KALENDER!$D$3:$D$132,MATCH(H2416,KALENDER!$A$3:$A$132,0)),"Di luar periode")</f>
        <v>Hari Kerja</v>
      </c>
      <c r="N2416" s="71">
        <f t="shared" si="334"/>
        <v>1</v>
      </c>
      <c r="O2416" s="71">
        <f t="shared" si="335"/>
        <v>1</v>
      </c>
      <c r="P2416" s="71">
        <f t="shared" si="336"/>
        <v>1</v>
      </c>
      <c r="Q2416" s="71">
        <f t="shared" si="337"/>
        <v>0</v>
      </c>
      <c r="R2416" s="71">
        <f t="shared" si="338"/>
        <v>0</v>
      </c>
      <c r="S2416" s="71">
        <f t="shared" si="339"/>
        <v>0</v>
      </c>
      <c r="T2416" s="71">
        <f t="shared" si="340"/>
        <v>0</v>
      </c>
      <c r="U2416" s="71">
        <f>IF(AND(N2416=1,V2416=1),IF(COUNTIFS(AKTIVITAS!$B$2:$B$3052,B2416,AKTIVITAS!$E$2:$E$3052,H2416)&gt;0,1,0),0)</f>
        <v>1</v>
      </c>
      <c r="V2416" s="71">
        <f>IFERROR(IF(AND(H2416&gt;=INDEX(PEMAGANG!$J$3:$J$36,MATCH(B2416,PEMAGANG!$C$3:$C$36,0)),H2416&lt;=INDEX(PEMAGANG!$K$3:$K$36,MATCH(B2416,PEMAGANG!$C$3:$C$36,0))),1,0),0)</f>
        <v>1</v>
      </c>
      <c r="W2416" s="71">
        <f t="shared" si="341"/>
        <v>1</v>
      </c>
    </row>
    <row r="2417" spans="1:23" x14ac:dyDescent="0.2">
      <c r="A2417" s="71" t="s">
        <v>216</v>
      </c>
      <c r="B2417" s="71" t="s">
        <v>217</v>
      </c>
      <c r="C2417" s="71" t="s">
        <v>187</v>
      </c>
      <c r="D2417" s="71" t="s">
        <v>215</v>
      </c>
      <c r="E2417" s="71" t="s">
        <v>54</v>
      </c>
      <c r="F2417" s="71" t="s">
        <v>300</v>
      </c>
      <c r="G2417" s="88">
        <v>46266.6898842593</v>
      </c>
      <c r="H2417" s="89">
        <v>46266</v>
      </c>
      <c r="I2417" s="71" t="s">
        <v>316</v>
      </c>
      <c r="J2417" s="71">
        <v>0</v>
      </c>
      <c r="K2417" s="71" t="s">
        <v>302</v>
      </c>
      <c r="L2417" s="71">
        <f t="shared" si="333"/>
        <v>9</v>
      </c>
      <c r="M2417" s="71" t="str">
        <f>IFERROR(INDEX(KALENDER!$D$3:$D$132,MATCH(H2417,KALENDER!$A$3:$A$132,0)),"Di luar periode")</f>
        <v>Hari Kerja</v>
      </c>
      <c r="N2417" s="71">
        <f t="shared" si="334"/>
        <v>0</v>
      </c>
      <c r="O2417" s="71">
        <f t="shared" si="335"/>
        <v>1</v>
      </c>
      <c r="P2417" s="71">
        <f t="shared" si="336"/>
        <v>0</v>
      </c>
      <c r="Q2417" s="71">
        <f t="shared" si="337"/>
        <v>0</v>
      </c>
      <c r="R2417" s="71">
        <f t="shared" si="338"/>
        <v>0</v>
      </c>
      <c r="S2417" s="71">
        <f t="shared" si="339"/>
        <v>0</v>
      </c>
      <c r="T2417" s="71">
        <f t="shared" si="340"/>
        <v>0</v>
      </c>
      <c r="U2417" s="71">
        <f>IF(AND(N2417=1,V2417=1),IF(COUNTIFS(AKTIVITAS!$B$2:$B$3052,B2417,AKTIVITAS!$E$2:$E$3052,H2417)&gt;0,1,0),0)</f>
        <v>0</v>
      </c>
      <c r="V2417" s="71">
        <f>IFERROR(IF(AND(H2417&gt;=INDEX(PEMAGANG!$J$3:$J$36,MATCH(B2417,PEMAGANG!$C$3:$C$36,0)),H2417&lt;=INDEX(PEMAGANG!$K$3:$K$36,MATCH(B2417,PEMAGANG!$C$3:$C$36,0))),1,0),0)</f>
        <v>1</v>
      </c>
      <c r="W2417" s="71">
        <f t="shared" si="341"/>
        <v>0</v>
      </c>
    </row>
    <row r="2418" spans="1:23" x14ac:dyDescent="0.2">
      <c r="A2418" s="71" t="s">
        <v>216</v>
      </c>
      <c r="B2418" s="71" t="s">
        <v>217</v>
      </c>
      <c r="C2418" s="71" t="s">
        <v>187</v>
      </c>
      <c r="D2418" s="71" t="s">
        <v>215</v>
      </c>
      <c r="E2418" s="71" t="s">
        <v>54</v>
      </c>
      <c r="F2418" s="71" t="s">
        <v>298</v>
      </c>
      <c r="G2418" s="88">
        <v>46267.301493055602</v>
      </c>
      <c r="H2418" s="89">
        <v>46267</v>
      </c>
      <c r="I2418" s="71" t="s">
        <v>416</v>
      </c>
      <c r="J2418" s="71">
        <v>-46</v>
      </c>
      <c r="K2418" s="71" t="s">
        <v>302</v>
      </c>
      <c r="L2418" s="71">
        <f t="shared" si="333"/>
        <v>9</v>
      </c>
      <c r="M2418" s="71" t="str">
        <f>IFERROR(INDEX(KALENDER!$D$3:$D$132,MATCH(H2418,KALENDER!$A$3:$A$132,0)),"Di luar periode")</f>
        <v>Hari Kerja</v>
      </c>
      <c r="N2418" s="71">
        <f t="shared" si="334"/>
        <v>1</v>
      </c>
      <c r="O2418" s="71">
        <f t="shared" si="335"/>
        <v>1</v>
      </c>
      <c r="P2418" s="71">
        <f t="shared" si="336"/>
        <v>1</v>
      </c>
      <c r="Q2418" s="71">
        <f t="shared" si="337"/>
        <v>0</v>
      </c>
      <c r="R2418" s="71">
        <f t="shared" si="338"/>
        <v>0</v>
      </c>
      <c r="S2418" s="71">
        <f t="shared" si="339"/>
        <v>0</v>
      </c>
      <c r="T2418" s="71">
        <f t="shared" si="340"/>
        <v>0</v>
      </c>
      <c r="U2418" s="71">
        <f>IF(AND(N2418=1,V2418=1),IF(COUNTIFS(AKTIVITAS!$B$2:$B$3052,B2418,AKTIVITAS!$E$2:$E$3052,H2418)&gt;0,1,0),0)</f>
        <v>1</v>
      </c>
      <c r="V2418" s="71">
        <f>IFERROR(IF(AND(H2418&gt;=INDEX(PEMAGANG!$J$3:$J$36,MATCH(B2418,PEMAGANG!$C$3:$C$36,0)),H2418&lt;=INDEX(PEMAGANG!$K$3:$K$36,MATCH(B2418,PEMAGANG!$C$3:$C$36,0))),1,0),0)</f>
        <v>1</v>
      </c>
      <c r="W2418" s="71">
        <f t="shared" si="341"/>
        <v>1</v>
      </c>
    </row>
    <row r="2419" spans="1:23" x14ac:dyDescent="0.2">
      <c r="A2419" s="71" t="s">
        <v>216</v>
      </c>
      <c r="B2419" s="71" t="s">
        <v>217</v>
      </c>
      <c r="C2419" s="71" t="s">
        <v>187</v>
      </c>
      <c r="D2419" s="71" t="s">
        <v>215</v>
      </c>
      <c r="E2419" s="71" t="s">
        <v>54</v>
      </c>
      <c r="F2419" s="71" t="s">
        <v>300</v>
      </c>
      <c r="G2419" s="88">
        <v>46267.688611111102</v>
      </c>
      <c r="H2419" s="89">
        <v>46267</v>
      </c>
      <c r="I2419" s="71" t="s">
        <v>336</v>
      </c>
      <c r="J2419" s="71">
        <v>0</v>
      </c>
      <c r="K2419" s="71" t="s">
        <v>302</v>
      </c>
      <c r="L2419" s="71">
        <f t="shared" si="333"/>
        <v>9</v>
      </c>
      <c r="M2419" s="71" t="str">
        <f>IFERROR(INDEX(KALENDER!$D$3:$D$132,MATCH(H2419,KALENDER!$A$3:$A$132,0)),"Di luar periode")</f>
        <v>Hari Kerja</v>
      </c>
      <c r="N2419" s="71">
        <f t="shared" si="334"/>
        <v>0</v>
      </c>
      <c r="O2419" s="71">
        <f t="shared" si="335"/>
        <v>1</v>
      </c>
      <c r="P2419" s="71">
        <f t="shared" si="336"/>
        <v>0</v>
      </c>
      <c r="Q2419" s="71">
        <f t="shared" si="337"/>
        <v>0</v>
      </c>
      <c r="R2419" s="71">
        <f t="shared" si="338"/>
        <v>0</v>
      </c>
      <c r="S2419" s="71">
        <f t="shared" si="339"/>
        <v>0</v>
      </c>
      <c r="T2419" s="71">
        <f t="shared" si="340"/>
        <v>0</v>
      </c>
      <c r="U2419" s="71">
        <f>IF(AND(N2419=1,V2419=1),IF(COUNTIFS(AKTIVITAS!$B$2:$B$3052,B2419,AKTIVITAS!$E$2:$E$3052,H2419)&gt;0,1,0),0)</f>
        <v>0</v>
      </c>
      <c r="V2419" s="71">
        <f>IFERROR(IF(AND(H2419&gt;=INDEX(PEMAGANG!$J$3:$J$36,MATCH(B2419,PEMAGANG!$C$3:$C$36,0)),H2419&lt;=INDEX(PEMAGANG!$K$3:$K$36,MATCH(B2419,PEMAGANG!$C$3:$C$36,0))),1,0),0)</f>
        <v>1</v>
      </c>
      <c r="W2419" s="71">
        <f t="shared" si="341"/>
        <v>0</v>
      </c>
    </row>
    <row r="2420" spans="1:23" x14ac:dyDescent="0.2">
      <c r="A2420" s="71" t="s">
        <v>216</v>
      </c>
      <c r="B2420" s="71" t="s">
        <v>217</v>
      </c>
      <c r="C2420" s="71" t="s">
        <v>187</v>
      </c>
      <c r="D2420" s="71" t="s">
        <v>215</v>
      </c>
      <c r="E2420" s="71" t="s">
        <v>54</v>
      </c>
      <c r="F2420" s="71" t="s">
        <v>298</v>
      </c>
      <c r="G2420" s="88">
        <v>46268.300960648201</v>
      </c>
      <c r="H2420" s="89">
        <v>46268</v>
      </c>
      <c r="I2420" s="71" t="s">
        <v>475</v>
      </c>
      <c r="J2420" s="71">
        <v>-47</v>
      </c>
      <c r="K2420" s="71" t="s">
        <v>302</v>
      </c>
      <c r="L2420" s="71">
        <f t="shared" si="333"/>
        <v>9</v>
      </c>
      <c r="M2420" s="71" t="str">
        <f>IFERROR(INDEX(KALENDER!$D$3:$D$132,MATCH(H2420,KALENDER!$A$3:$A$132,0)),"Di luar periode")</f>
        <v>Hari Kerja</v>
      </c>
      <c r="N2420" s="71">
        <f t="shared" si="334"/>
        <v>1</v>
      </c>
      <c r="O2420" s="71">
        <f t="shared" si="335"/>
        <v>1</v>
      </c>
      <c r="P2420" s="71">
        <f t="shared" si="336"/>
        <v>1</v>
      </c>
      <c r="Q2420" s="71">
        <f t="shared" si="337"/>
        <v>0</v>
      </c>
      <c r="R2420" s="71">
        <f t="shared" si="338"/>
        <v>0</v>
      </c>
      <c r="S2420" s="71">
        <f t="shared" si="339"/>
        <v>0</v>
      </c>
      <c r="T2420" s="71">
        <f t="shared" si="340"/>
        <v>0</v>
      </c>
      <c r="U2420" s="71">
        <f>IF(AND(N2420=1,V2420=1),IF(COUNTIFS(AKTIVITAS!$B$2:$B$3052,B2420,AKTIVITAS!$E$2:$E$3052,H2420)&gt;0,1,0),0)</f>
        <v>1</v>
      </c>
      <c r="V2420" s="71">
        <f>IFERROR(IF(AND(H2420&gt;=INDEX(PEMAGANG!$J$3:$J$36,MATCH(B2420,PEMAGANG!$C$3:$C$36,0)),H2420&lt;=INDEX(PEMAGANG!$K$3:$K$36,MATCH(B2420,PEMAGANG!$C$3:$C$36,0))),1,0),0)</f>
        <v>1</v>
      </c>
      <c r="W2420" s="71">
        <f t="shared" si="341"/>
        <v>1</v>
      </c>
    </row>
    <row r="2421" spans="1:23" x14ac:dyDescent="0.2">
      <c r="A2421" s="71" t="s">
        <v>216</v>
      </c>
      <c r="B2421" s="71" t="s">
        <v>217</v>
      </c>
      <c r="C2421" s="71" t="s">
        <v>187</v>
      </c>
      <c r="D2421" s="71" t="s">
        <v>215</v>
      </c>
      <c r="E2421" s="71" t="s">
        <v>54</v>
      </c>
      <c r="F2421" s="71" t="s">
        <v>300</v>
      </c>
      <c r="G2421" s="88">
        <v>46268.688460648198</v>
      </c>
      <c r="H2421" s="89">
        <v>46268</v>
      </c>
      <c r="I2421" s="71" t="s">
        <v>336</v>
      </c>
      <c r="J2421" s="71">
        <v>0</v>
      </c>
      <c r="K2421" s="71" t="s">
        <v>302</v>
      </c>
      <c r="L2421" s="71">
        <f t="shared" si="333"/>
        <v>9</v>
      </c>
      <c r="M2421" s="71" t="str">
        <f>IFERROR(INDEX(KALENDER!$D$3:$D$132,MATCH(H2421,KALENDER!$A$3:$A$132,0)),"Di luar periode")</f>
        <v>Hari Kerja</v>
      </c>
      <c r="N2421" s="71">
        <f t="shared" si="334"/>
        <v>0</v>
      </c>
      <c r="O2421" s="71">
        <f t="shared" si="335"/>
        <v>1</v>
      </c>
      <c r="P2421" s="71">
        <f t="shared" si="336"/>
        <v>0</v>
      </c>
      <c r="Q2421" s="71">
        <f t="shared" si="337"/>
        <v>0</v>
      </c>
      <c r="R2421" s="71">
        <f t="shared" si="338"/>
        <v>0</v>
      </c>
      <c r="S2421" s="71">
        <f t="shared" si="339"/>
        <v>0</v>
      </c>
      <c r="T2421" s="71">
        <f t="shared" si="340"/>
        <v>0</v>
      </c>
      <c r="U2421" s="71">
        <f>IF(AND(N2421=1,V2421=1),IF(COUNTIFS(AKTIVITAS!$B$2:$B$3052,B2421,AKTIVITAS!$E$2:$E$3052,H2421)&gt;0,1,0),0)</f>
        <v>0</v>
      </c>
      <c r="V2421" s="71">
        <f>IFERROR(IF(AND(H2421&gt;=INDEX(PEMAGANG!$J$3:$J$36,MATCH(B2421,PEMAGANG!$C$3:$C$36,0)),H2421&lt;=INDEX(PEMAGANG!$K$3:$K$36,MATCH(B2421,PEMAGANG!$C$3:$C$36,0))),1,0),0)</f>
        <v>1</v>
      </c>
      <c r="W2421" s="71">
        <f t="shared" si="341"/>
        <v>0</v>
      </c>
    </row>
    <row r="2422" spans="1:23" x14ac:dyDescent="0.2">
      <c r="A2422" s="71" t="s">
        <v>216</v>
      </c>
      <c r="B2422" s="71" t="s">
        <v>217</v>
      </c>
      <c r="C2422" s="71" t="s">
        <v>187</v>
      </c>
      <c r="D2422" s="71" t="s">
        <v>215</v>
      </c>
      <c r="E2422" s="71" t="s">
        <v>54</v>
      </c>
      <c r="F2422" s="71" t="s">
        <v>300</v>
      </c>
      <c r="G2422" s="88">
        <v>46269.688483796301</v>
      </c>
      <c r="H2422" s="89">
        <v>46269</v>
      </c>
      <c r="I2422" s="71" t="s">
        <v>336</v>
      </c>
      <c r="J2422" s="71">
        <v>0</v>
      </c>
      <c r="K2422" s="71" t="s">
        <v>302</v>
      </c>
      <c r="L2422" s="71">
        <f t="shared" si="333"/>
        <v>9</v>
      </c>
      <c r="M2422" s="71" t="str">
        <f>IFERROR(INDEX(KALENDER!$D$3:$D$132,MATCH(H2422,KALENDER!$A$3:$A$132,0)),"Di luar periode")</f>
        <v>Hari Kerja</v>
      </c>
      <c r="N2422" s="71">
        <f t="shared" si="334"/>
        <v>1</v>
      </c>
      <c r="O2422" s="71">
        <f t="shared" si="335"/>
        <v>0</v>
      </c>
      <c r="P2422" s="71">
        <f t="shared" si="336"/>
        <v>1</v>
      </c>
      <c r="Q2422" s="71">
        <f t="shared" si="337"/>
        <v>0</v>
      </c>
      <c r="R2422" s="71">
        <f t="shared" si="338"/>
        <v>0</v>
      </c>
      <c r="S2422" s="71">
        <f t="shared" si="339"/>
        <v>0</v>
      </c>
      <c r="T2422" s="71">
        <f t="shared" si="340"/>
        <v>0</v>
      </c>
      <c r="U2422" s="71">
        <f>IF(AND(N2422=1,V2422=1),IF(COUNTIFS(AKTIVITAS!$B$2:$B$3052,B2422,AKTIVITAS!$E$2:$E$3052,H2422)&gt;0,1,0),0)</f>
        <v>1</v>
      </c>
      <c r="V2422" s="71">
        <f>IFERROR(IF(AND(H2422&gt;=INDEX(PEMAGANG!$J$3:$J$36,MATCH(B2422,PEMAGANG!$C$3:$C$36,0)),H2422&lt;=INDEX(PEMAGANG!$K$3:$K$36,MATCH(B2422,PEMAGANG!$C$3:$C$36,0))),1,0),0)</f>
        <v>1</v>
      </c>
      <c r="W2422" s="71">
        <f t="shared" si="341"/>
        <v>1</v>
      </c>
    </row>
    <row r="2423" spans="1:23" x14ac:dyDescent="0.2">
      <c r="A2423" s="71" t="s">
        <v>216</v>
      </c>
      <c r="B2423" s="71" t="s">
        <v>217</v>
      </c>
      <c r="C2423" s="71" t="s">
        <v>187</v>
      </c>
      <c r="D2423" s="71" t="s">
        <v>215</v>
      </c>
      <c r="E2423" s="71" t="s">
        <v>54</v>
      </c>
      <c r="F2423" s="71" t="s">
        <v>298</v>
      </c>
      <c r="G2423" s="88">
        <v>46272.289930555598</v>
      </c>
      <c r="H2423" s="89">
        <v>46272</v>
      </c>
      <c r="I2423" s="71" t="s">
        <v>477</v>
      </c>
      <c r="J2423" s="71">
        <v>-62.999999999999901</v>
      </c>
      <c r="K2423" s="71" t="s">
        <v>302</v>
      </c>
      <c r="L2423" s="71">
        <f t="shared" si="333"/>
        <v>9</v>
      </c>
      <c r="M2423" s="71" t="str">
        <f>IFERROR(INDEX(KALENDER!$D$3:$D$132,MATCH(H2423,KALENDER!$A$3:$A$132,0)),"Di luar periode")</f>
        <v>Hari Kerja</v>
      </c>
      <c r="N2423" s="71">
        <f t="shared" si="334"/>
        <v>1</v>
      </c>
      <c r="O2423" s="71">
        <f t="shared" si="335"/>
        <v>1</v>
      </c>
      <c r="P2423" s="71">
        <f t="shared" si="336"/>
        <v>1</v>
      </c>
      <c r="Q2423" s="71">
        <f t="shared" si="337"/>
        <v>0</v>
      </c>
      <c r="R2423" s="71">
        <f t="shared" si="338"/>
        <v>0</v>
      </c>
      <c r="S2423" s="71">
        <f t="shared" si="339"/>
        <v>0</v>
      </c>
      <c r="T2423" s="71">
        <f t="shared" si="340"/>
        <v>0</v>
      </c>
      <c r="U2423" s="71">
        <f>IF(AND(N2423=1,V2423=1),IF(COUNTIFS(AKTIVITAS!$B$2:$B$3052,B2423,AKTIVITAS!$E$2:$E$3052,H2423)&gt;0,1,0),0)</f>
        <v>1</v>
      </c>
      <c r="V2423" s="71">
        <f>IFERROR(IF(AND(H2423&gt;=INDEX(PEMAGANG!$J$3:$J$36,MATCH(B2423,PEMAGANG!$C$3:$C$36,0)),H2423&lt;=INDEX(PEMAGANG!$K$3:$K$36,MATCH(B2423,PEMAGANG!$C$3:$C$36,0))),1,0),0)</f>
        <v>1</v>
      </c>
      <c r="W2423" s="71">
        <f t="shared" si="341"/>
        <v>1</v>
      </c>
    </row>
    <row r="2424" spans="1:23" x14ac:dyDescent="0.2">
      <c r="A2424" s="71" t="s">
        <v>216</v>
      </c>
      <c r="B2424" s="71" t="s">
        <v>217</v>
      </c>
      <c r="C2424" s="71" t="s">
        <v>187</v>
      </c>
      <c r="D2424" s="71" t="s">
        <v>215</v>
      </c>
      <c r="E2424" s="71" t="s">
        <v>54</v>
      </c>
      <c r="F2424" s="71" t="s">
        <v>300</v>
      </c>
      <c r="G2424" s="88">
        <v>46272.689490740697</v>
      </c>
      <c r="H2424" s="89">
        <v>46272</v>
      </c>
      <c r="I2424" s="71" t="s">
        <v>306</v>
      </c>
      <c r="J2424" s="71">
        <v>0</v>
      </c>
      <c r="K2424" s="71" t="s">
        <v>302</v>
      </c>
      <c r="L2424" s="71">
        <f t="shared" si="333"/>
        <v>9</v>
      </c>
      <c r="M2424" s="71" t="str">
        <f>IFERROR(INDEX(KALENDER!$D$3:$D$132,MATCH(H2424,KALENDER!$A$3:$A$132,0)),"Di luar periode")</f>
        <v>Hari Kerja</v>
      </c>
      <c r="N2424" s="71">
        <f t="shared" si="334"/>
        <v>0</v>
      </c>
      <c r="O2424" s="71">
        <f t="shared" si="335"/>
        <v>1</v>
      </c>
      <c r="P2424" s="71">
        <f t="shared" si="336"/>
        <v>0</v>
      </c>
      <c r="Q2424" s="71">
        <f t="shared" si="337"/>
        <v>0</v>
      </c>
      <c r="R2424" s="71">
        <f t="shared" si="338"/>
        <v>0</v>
      </c>
      <c r="S2424" s="71">
        <f t="shared" si="339"/>
        <v>0</v>
      </c>
      <c r="T2424" s="71">
        <f t="shared" si="340"/>
        <v>0</v>
      </c>
      <c r="U2424" s="71">
        <f>IF(AND(N2424=1,V2424=1),IF(COUNTIFS(AKTIVITAS!$B$2:$B$3052,B2424,AKTIVITAS!$E$2:$E$3052,H2424)&gt;0,1,0),0)</f>
        <v>0</v>
      </c>
      <c r="V2424" s="71">
        <f>IFERROR(IF(AND(H2424&gt;=INDEX(PEMAGANG!$J$3:$J$36,MATCH(B2424,PEMAGANG!$C$3:$C$36,0)),H2424&lt;=INDEX(PEMAGANG!$K$3:$K$36,MATCH(B2424,PEMAGANG!$C$3:$C$36,0))),1,0),0)</f>
        <v>1</v>
      </c>
      <c r="W2424" s="71">
        <f t="shared" si="341"/>
        <v>0</v>
      </c>
    </row>
    <row r="2425" spans="1:23" x14ac:dyDescent="0.2">
      <c r="A2425" s="71" t="s">
        <v>216</v>
      </c>
      <c r="B2425" s="71" t="s">
        <v>217</v>
      </c>
      <c r="C2425" s="71" t="s">
        <v>187</v>
      </c>
      <c r="D2425" s="71" t="s">
        <v>215</v>
      </c>
      <c r="E2425" s="71" t="s">
        <v>54</v>
      </c>
      <c r="F2425" s="71" t="s">
        <v>298</v>
      </c>
      <c r="G2425" s="88">
        <v>46273.308888888903</v>
      </c>
      <c r="H2425" s="89">
        <v>46273</v>
      </c>
      <c r="I2425" s="71" t="s">
        <v>303</v>
      </c>
      <c r="J2425" s="71">
        <v>-36</v>
      </c>
      <c r="K2425" s="71" t="s">
        <v>302</v>
      </c>
      <c r="L2425" s="71">
        <f t="shared" si="333"/>
        <v>9</v>
      </c>
      <c r="M2425" s="71" t="str">
        <f>IFERROR(INDEX(KALENDER!$D$3:$D$132,MATCH(H2425,KALENDER!$A$3:$A$132,0)),"Di luar periode")</f>
        <v>Hari Kerja</v>
      </c>
      <c r="N2425" s="71">
        <f t="shared" si="334"/>
        <v>1</v>
      </c>
      <c r="O2425" s="71">
        <f t="shared" si="335"/>
        <v>1</v>
      </c>
      <c r="P2425" s="71">
        <f t="shared" si="336"/>
        <v>1</v>
      </c>
      <c r="Q2425" s="71">
        <f t="shared" si="337"/>
        <v>0</v>
      </c>
      <c r="R2425" s="71">
        <f t="shared" si="338"/>
        <v>0</v>
      </c>
      <c r="S2425" s="71">
        <f t="shared" si="339"/>
        <v>0</v>
      </c>
      <c r="T2425" s="71">
        <f t="shared" si="340"/>
        <v>0</v>
      </c>
      <c r="U2425" s="71">
        <f>IF(AND(N2425=1,V2425=1),IF(COUNTIFS(AKTIVITAS!$B$2:$B$3052,B2425,AKTIVITAS!$E$2:$E$3052,H2425)&gt;0,1,0),0)</f>
        <v>1</v>
      </c>
      <c r="V2425" s="71">
        <f>IFERROR(IF(AND(H2425&gt;=INDEX(PEMAGANG!$J$3:$J$36,MATCH(B2425,PEMAGANG!$C$3:$C$36,0)),H2425&lt;=INDEX(PEMAGANG!$K$3:$K$36,MATCH(B2425,PEMAGANG!$C$3:$C$36,0))),1,0),0)</f>
        <v>1</v>
      </c>
      <c r="W2425" s="71">
        <f t="shared" si="341"/>
        <v>1</v>
      </c>
    </row>
    <row r="2426" spans="1:23" x14ac:dyDescent="0.2">
      <c r="A2426" s="71" t="s">
        <v>216</v>
      </c>
      <c r="B2426" s="71" t="s">
        <v>217</v>
      </c>
      <c r="C2426" s="71" t="s">
        <v>187</v>
      </c>
      <c r="D2426" s="71" t="s">
        <v>215</v>
      </c>
      <c r="E2426" s="71" t="s">
        <v>54</v>
      </c>
      <c r="F2426" s="71" t="s">
        <v>300</v>
      </c>
      <c r="G2426" s="88">
        <v>46273.689039351899</v>
      </c>
      <c r="H2426" s="89">
        <v>46273</v>
      </c>
      <c r="I2426" s="71" t="s">
        <v>306</v>
      </c>
      <c r="J2426" s="71">
        <v>0</v>
      </c>
      <c r="K2426" s="71" t="s">
        <v>302</v>
      </c>
      <c r="L2426" s="71">
        <f t="shared" si="333"/>
        <v>9</v>
      </c>
      <c r="M2426" s="71" t="str">
        <f>IFERROR(INDEX(KALENDER!$D$3:$D$132,MATCH(H2426,KALENDER!$A$3:$A$132,0)),"Di luar periode")</f>
        <v>Hari Kerja</v>
      </c>
      <c r="N2426" s="71">
        <f t="shared" si="334"/>
        <v>0</v>
      </c>
      <c r="O2426" s="71">
        <f t="shared" si="335"/>
        <v>1</v>
      </c>
      <c r="P2426" s="71">
        <f t="shared" si="336"/>
        <v>0</v>
      </c>
      <c r="Q2426" s="71">
        <f t="shared" si="337"/>
        <v>0</v>
      </c>
      <c r="R2426" s="71">
        <f t="shared" si="338"/>
        <v>0</v>
      </c>
      <c r="S2426" s="71">
        <f t="shared" si="339"/>
        <v>0</v>
      </c>
      <c r="T2426" s="71">
        <f t="shared" si="340"/>
        <v>0</v>
      </c>
      <c r="U2426" s="71">
        <f>IF(AND(N2426=1,V2426=1),IF(COUNTIFS(AKTIVITAS!$B$2:$B$3052,B2426,AKTIVITAS!$E$2:$E$3052,H2426)&gt;0,1,0),0)</f>
        <v>0</v>
      </c>
      <c r="V2426" s="71">
        <f>IFERROR(IF(AND(H2426&gt;=INDEX(PEMAGANG!$J$3:$J$36,MATCH(B2426,PEMAGANG!$C$3:$C$36,0)),H2426&lt;=INDEX(PEMAGANG!$K$3:$K$36,MATCH(B2426,PEMAGANG!$C$3:$C$36,0))),1,0),0)</f>
        <v>1</v>
      </c>
      <c r="W2426" s="71">
        <f t="shared" si="341"/>
        <v>0</v>
      </c>
    </row>
    <row r="2427" spans="1:23" x14ac:dyDescent="0.2">
      <c r="A2427" s="71" t="s">
        <v>216</v>
      </c>
      <c r="B2427" s="71" t="s">
        <v>217</v>
      </c>
      <c r="C2427" s="71" t="s">
        <v>187</v>
      </c>
      <c r="D2427" s="71" t="s">
        <v>215</v>
      </c>
      <c r="E2427" s="71" t="s">
        <v>54</v>
      </c>
      <c r="F2427" s="71" t="s">
        <v>298</v>
      </c>
      <c r="G2427" s="88">
        <v>46274.298078703701</v>
      </c>
      <c r="H2427" s="89">
        <v>46274</v>
      </c>
      <c r="I2427" s="71" t="s">
        <v>479</v>
      </c>
      <c r="J2427" s="71">
        <v>-51</v>
      </c>
      <c r="K2427" s="71" t="s">
        <v>302</v>
      </c>
      <c r="L2427" s="71">
        <f t="shared" si="333"/>
        <v>9</v>
      </c>
      <c r="M2427" s="71" t="str">
        <f>IFERROR(INDEX(KALENDER!$D$3:$D$132,MATCH(H2427,KALENDER!$A$3:$A$132,0)),"Di luar periode")</f>
        <v>Hari Kerja</v>
      </c>
      <c r="N2427" s="71">
        <f t="shared" si="334"/>
        <v>1</v>
      </c>
      <c r="O2427" s="71">
        <f t="shared" si="335"/>
        <v>1</v>
      </c>
      <c r="P2427" s="71">
        <f t="shared" si="336"/>
        <v>1</v>
      </c>
      <c r="Q2427" s="71">
        <f t="shared" si="337"/>
        <v>0</v>
      </c>
      <c r="R2427" s="71">
        <f t="shared" si="338"/>
        <v>0</v>
      </c>
      <c r="S2427" s="71">
        <f t="shared" si="339"/>
        <v>0</v>
      </c>
      <c r="T2427" s="71">
        <f t="shared" si="340"/>
        <v>0</v>
      </c>
      <c r="U2427" s="71">
        <f>IF(AND(N2427=1,V2427=1),IF(COUNTIFS(AKTIVITAS!$B$2:$B$3052,B2427,AKTIVITAS!$E$2:$E$3052,H2427)&gt;0,1,0),0)</f>
        <v>1</v>
      </c>
      <c r="V2427" s="71">
        <f>IFERROR(IF(AND(H2427&gt;=INDEX(PEMAGANG!$J$3:$J$36,MATCH(B2427,PEMAGANG!$C$3:$C$36,0)),H2427&lt;=INDEX(PEMAGANG!$K$3:$K$36,MATCH(B2427,PEMAGANG!$C$3:$C$36,0))),1,0),0)</f>
        <v>1</v>
      </c>
      <c r="W2427" s="71">
        <f t="shared" si="341"/>
        <v>1</v>
      </c>
    </row>
    <row r="2428" spans="1:23" x14ac:dyDescent="0.2">
      <c r="A2428" s="71" t="s">
        <v>216</v>
      </c>
      <c r="B2428" s="71" t="s">
        <v>217</v>
      </c>
      <c r="C2428" s="71" t="s">
        <v>187</v>
      </c>
      <c r="D2428" s="71" t="s">
        <v>215</v>
      </c>
      <c r="E2428" s="71" t="s">
        <v>54</v>
      </c>
      <c r="F2428" s="71" t="s">
        <v>300</v>
      </c>
      <c r="G2428" s="88">
        <v>46274.6879976852</v>
      </c>
      <c r="H2428" s="89">
        <v>46274</v>
      </c>
      <c r="I2428" s="71" t="s">
        <v>330</v>
      </c>
      <c r="J2428" s="71">
        <v>0</v>
      </c>
      <c r="K2428" s="71" t="s">
        <v>302</v>
      </c>
      <c r="L2428" s="71">
        <f t="shared" si="333"/>
        <v>9</v>
      </c>
      <c r="M2428" s="71" t="str">
        <f>IFERROR(INDEX(KALENDER!$D$3:$D$132,MATCH(H2428,KALENDER!$A$3:$A$132,0)),"Di luar periode")</f>
        <v>Hari Kerja</v>
      </c>
      <c r="N2428" s="71">
        <f t="shared" si="334"/>
        <v>0</v>
      </c>
      <c r="O2428" s="71">
        <f t="shared" si="335"/>
        <v>1</v>
      </c>
      <c r="P2428" s="71">
        <f t="shared" si="336"/>
        <v>0</v>
      </c>
      <c r="Q2428" s="71">
        <f t="shared" si="337"/>
        <v>0</v>
      </c>
      <c r="R2428" s="71">
        <f t="shared" si="338"/>
        <v>0</v>
      </c>
      <c r="S2428" s="71">
        <f t="shared" si="339"/>
        <v>0</v>
      </c>
      <c r="T2428" s="71">
        <f t="shared" si="340"/>
        <v>0</v>
      </c>
      <c r="U2428" s="71">
        <f>IF(AND(N2428=1,V2428=1),IF(COUNTIFS(AKTIVITAS!$B$2:$B$3052,B2428,AKTIVITAS!$E$2:$E$3052,H2428)&gt;0,1,0),0)</f>
        <v>0</v>
      </c>
      <c r="V2428" s="71">
        <f>IFERROR(IF(AND(H2428&gt;=INDEX(PEMAGANG!$J$3:$J$36,MATCH(B2428,PEMAGANG!$C$3:$C$36,0)),H2428&lt;=INDEX(PEMAGANG!$K$3:$K$36,MATCH(B2428,PEMAGANG!$C$3:$C$36,0))),1,0),0)</f>
        <v>1</v>
      </c>
      <c r="W2428" s="71">
        <f t="shared" si="341"/>
        <v>0</v>
      </c>
    </row>
    <row r="2429" spans="1:23" x14ac:dyDescent="0.2">
      <c r="A2429" s="71" t="s">
        <v>216</v>
      </c>
      <c r="B2429" s="71" t="s">
        <v>217</v>
      </c>
      <c r="C2429" s="71" t="s">
        <v>187</v>
      </c>
      <c r="D2429" s="71" t="s">
        <v>215</v>
      </c>
      <c r="E2429" s="71" t="s">
        <v>490</v>
      </c>
      <c r="F2429" s="71" t="s">
        <v>300</v>
      </c>
      <c r="G2429" s="88">
        <v>46274.6879976852</v>
      </c>
      <c r="H2429" s="89">
        <v>46274</v>
      </c>
      <c r="I2429" s="71" t="s">
        <v>330</v>
      </c>
      <c r="J2429" s="71">
        <v>0</v>
      </c>
      <c r="K2429" s="71" t="s">
        <v>302</v>
      </c>
      <c r="L2429" s="71">
        <f t="shared" si="333"/>
        <v>9</v>
      </c>
      <c r="M2429" s="71" t="str">
        <f>IFERROR(INDEX(KALENDER!$D$3:$D$132,MATCH(H2429,KALENDER!$A$3:$A$132,0)),"Di luar periode")</f>
        <v>Hari Kerja</v>
      </c>
      <c r="N2429" s="71">
        <f t="shared" si="334"/>
        <v>0</v>
      </c>
      <c r="O2429" s="71">
        <f t="shared" si="335"/>
        <v>1</v>
      </c>
      <c r="P2429" s="71">
        <f t="shared" si="336"/>
        <v>0</v>
      </c>
      <c r="Q2429" s="71">
        <f t="shared" si="337"/>
        <v>0</v>
      </c>
      <c r="R2429" s="71">
        <f t="shared" si="338"/>
        <v>0</v>
      </c>
      <c r="S2429" s="71">
        <f t="shared" si="339"/>
        <v>0</v>
      </c>
      <c r="T2429" s="71">
        <f t="shared" si="340"/>
        <v>0</v>
      </c>
      <c r="U2429" s="71">
        <f>IF(AND(N2429=1,V2429=1),IF(COUNTIFS(AKTIVITAS!$B$2:$B$3052,B2429,AKTIVITAS!$E$2:$E$3052,H2429)&gt;0,1,0),0)</f>
        <v>0</v>
      </c>
      <c r="V2429" s="71">
        <f>IFERROR(IF(AND(H2429&gt;=INDEX(PEMAGANG!$J$3:$J$36,MATCH(B2429,PEMAGANG!$C$3:$C$36,0)),H2429&lt;=INDEX(PEMAGANG!$K$3:$K$36,MATCH(B2429,PEMAGANG!$C$3:$C$36,0))),1,0),0)</f>
        <v>1</v>
      </c>
      <c r="W2429" s="71">
        <f t="shared" si="341"/>
        <v>0</v>
      </c>
    </row>
    <row r="2430" spans="1:23" x14ac:dyDescent="0.2">
      <c r="A2430" s="71" t="s">
        <v>216</v>
      </c>
      <c r="B2430" s="71" t="s">
        <v>217</v>
      </c>
      <c r="C2430" s="71" t="s">
        <v>187</v>
      </c>
      <c r="D2430" s="71" t="s">
        <v>215</v>
      </c>
      <c r="E2430" s="71" t="s">
        <v>54</v>
      </c>
      <c r="F2430" s="71" t="s">
        <v>298</v>
      </c>
      <c r="G2430" s="88">
        <v>46275.294062499997</v>
      </c>
      <c r="H2430" s="89">
        <v>46275</v>
      </c>
      <c r="I2430" s="71" t="s">
        <v>483</v>
      </c>
      <c r="J2430" s="71">
        <v>-57</v>
      </c>
      <c r="K2430" s="71" t="s">
        <v>302</v>
      </c>
      <c r="L2430" s="71">
        <f t="shared" si="333"/>
        <v>9</v>
      </c>
      <c r="M2430" s="71" t="str">
        <f>IFERROR(INDEX(KALENDER!$D$3:$D$132,MATCH(H2430,KALENDER!$A$3:$A$132,0)),"Di luar periode")</f>
        <v>Hari Kerja</v>
      </c>
      <c r="N2430" s="71">
        <f t="shared" si="334"/>
        <v>1</v>
      </c>
      <c r="O2430" s="71">
        <f t="shared" si="335"/>
        <v>1</v>
      </c>
      <c r="P2430" s="71">
        <f t="shared" si="336"/>
        <v>1</v>
      </c>
      <c r="Q2430" s="71">
        <f t="shared" si="337"/>
        <v>0</v>
      </c>
      <c r="R2430" s="71">
        <f t="shared" si="338"/>
        <v>0</v>
      </c>
      <c r="S2430" s="71">
        <f t="shared" si="339"/>
        <v>0</v>
      </c>
      <c r="T2430" s="71">
        <f t="shared" si="340"/>
        <v>0</v>
      </c>
      <c r="U2430" s="71">
        <f>IF(AND(N2430=1,V2430=1),IF(COUNTIFS(AKTIVITAS!$B$2:$B$3052,B2430,AKTIVITAS!$E$2:$E$3052,H2430)&gt;0,1,0),0)</f>
        <v>1</v>
      </c>
      <c r="V2430" s="71">
        <f>IFERROR(IF(AND(H2430&gt;=INDEX(PEMAGANG!$J$3:$J$36,MATCH(B2430,PEMAGANG!$C$3:$C$36,0)),H2430&lt;=INDEX(PEMAGANG!$K$3:$K$36,MATCH(B2430,PEMAGANG!$C$3:$C$36,0))),1,0),0)</f>
        <v>1</v>
      </c>
      <c r="W2430" s="71">
        <f t="shared" si="341"/>
        <v>1</v>
      </c>
    </row>
    <row r="2431" spans="1:23" x14ac:dyDescent="0.2">
      <c r="A2431" s="71" t="s">
        <v>216</v>
      </c>
      <c r="B2431" s="71" t="s">
        <v>217</v>
      </c>
      <c r="C2431" s="71" t="s">
        <v>187</v>
      </c>
      <c r="D2431" s="71" t="s">
        <v>215</v>
      </c>
      <c r="E2431" s="71" t="s">
        <v>490</v>
      </c>
      <c r="F2431" s="71" t="s">
        <v>298</v>
      </c>
      <c r="G2431" s="88">
        <v>46275.294062499997</v>
      </c>
      <c r="H2431" s="89">
        <v>46275</v>
      </c>
      <c r="I2431" s="71" t="s">
        <v>483</v>
      </c>
      <c r="J2431" s="71">
        <v>-27</v>
      </c>
      <c r="K2431" s="71" t="s">
        <v>302</v>
      </c>
      <c r="L2431" s="71">
        <f t="shared" si="333"/>
        <v>9</v>
      </c>
      <c r="M2431" s="71" t="str">
        <f>IFERROR(INDEX(KALENDER!$D$3:$D$132,MATCH(H2431,KALENDER!$A$3:$A$132,0)),"Di luar periode")</f>
        <v>Hari Kerja</v>
      </c>
      <c r="N2431" s="71">
        <f t="shared" si="334"/>
        <v>0</v>
      </c>
      <c r="O2431" s="71">
        <f t="shared" si="335"/>
        <v>2</v>
      </c>
      <c r="P2431" s="71">
        <f t="shared" si="336"/>
        <v>0</v>
      </c>
      <c r="Q2431" s="71">
        <f t="shared" si="337"/>
        <v>0</v>
      </c>
      <c r="R2431" s="71">
        <f t="shared" si="338"/>
        <v>0</v>
      </c>
      <c r="S2431" s="71">
        <f t="shared" si="339"/>
        <v>0</v>
      </c>
      <c r="T2431" s="71">
        <f t="shared" si="340"/>
        <v>0</v>
      </c>
      <c r="U2431" s="71">
        <f>IF(AND(N2431=1,V2431=1),IF(COUNTIFS(AKTIVITAS!$B$2:$B$3052,B2431,AKTIVITAS!$E$2:$E$3052,H2431)&gt;0,1,0),0)</f>
        <v>0</v>
      </c>
      <c r="V2431" s="71">
        <f>IFERROR(IF(AND(H2431&gt;=INDEX(PEMAGANG!$J$3:$J$36,MATCH(B2431,PEMAGANG!$C$3:$C$36,0)),H2431&lt;=INDEX(PEMAGANG!$K$3:$K$36,MATCH(B2431,PEMAGANG!$C$3:$C$36,0))),1,0),0)</f>
        <v>1</v>
      </c>
      <c r="W2431" s="71">
        <f t="shared" si="341"/>
        <v>0</v>
      </c>
    </row>
    <row r="2432" spans="1:23" x14ac:dyDescent="0.2">
      <c r="A2432" s="71" t="s">
        <v>216</v>
      </c>
      <c r="B2432" s="71" t="s">
        <v>217</v>
      </c>
      <c r="C2432" s="71" t="s">
        <v>187</v>
      </c>
      <c r="D2432" s="71" t="s">
        <v>215</v>
      </c>
      <c r="E2432" s="71" t="s">
        <v>54</v>
      </c>
      <c r="F2432" s="71" t="s">
        <v>300</v>
      </c>
      <c r="G2432" s="88">
        <v>46275.688541666699</v>
      </c>
      <c r="H2432" s="89">
        <v>46275</v>
      </c>
      <c r="I2432" s="71" t="s">
        <v>336</v>
      </c>
      <c r="J2432" s="71">
        <v>0</v>
      </c>
      <c r="K2432" s="71" t="s">
        <v>302</v>
      </c>
      <c r="L2432" s="71">
        <f t="shared" si="333"/>
        <v>9</v>
      </c>
      <c r="M2432" s="71" t="str">
        <f>IFERROR(INDEX(KALENDER!$D$3:$D$132,MATCH(H2432,KALENDER!$A$3:$A$132,0)),"Di luar periode")</f>
        <v>Hari Kerja</v>
      </c>
      <c r="N2432" s="71">
        <f t="shared" si="334"/>
        <v>0</v>
      </c>
      <c r="O2432" s="71">
        <f t="shared" si="335"/>
        <v>2</v>
      </c>
      <c r="P2432" s="71">
        <f t="shared" si="336"/>
        <v>0</v>
      </c>
      <c r="Q2432" s="71">
        <f t="shared" si="337"/>
        <v>0</v>
      </c>
      <c r="R2432" s="71">
        <f t="shared" si="338"/>
        <v>0</v>
      </c>
      <c r="S2432" s="71">
        <f t="shared" si="339"/>
        <v>0</v>
      </c>
      <c r="T2432" s="71">
        <f t="shared" si="340"/>
        <v>0</v>
      </c>
      <c r="U2432" s="71">
        <f>IF(AND(N2432=1,V2432=1),IF(COUNTIFS(AKTIVITAS!$B$2:$B$3052,B2432,AKTIVITAS!$E$2:$E$3052,H2432)&gt;0,1,0),0)</f>
        <v>0</v>
      </c>
      <c r="V2432" s="71">
        <f>IFERROR(IF(AND(H2432&gt;=INDEX(PEMAGANG!$J$3:$J$36,MATCH(B2432,PEMAGANG!$C$3:$C$36,0)),H2432&lt;=INDEX(PEMAGANG!$K$3:$K$36,MATCH(B2432,PEMAGANG!$C$3:$C$36,0))),1,0),0)</f>
        <v>1</v>
      </c>
      <c r="W2432" s="71">
        <f t="shared" si="341"/>
        <v>0</v>
      </c>
    </row>
    <row r="2433" spans="1:23" x14ac:dyDescent="0.2">
      <c r="A2433" s="71" t="s">
        <v>216</v>
      </c>
      <c r="B2433" s="71" t="s">
        <v>217</v>
      </c>
      <c r="C2433" s="71" t="s">
        <v>187</v>
      </c>
      <c r="D2433" s="71" t="s">
        <v>215</v>
      </c>
      <c r="E2433" s="71" t="s">
        <v>490</v>
      </c>
      <c r="F2433" s="71" t="s">
        <v>300</v>
      </c>
      <c r="G2433" s="88">
        <v>46275.688541666699</v>
      </c>
      <c r="H2433" s="89">
        <v>46275</v>
      </c>
      <c r="I2433" s="71" t="s">
        <v>336</v>
      </c>
      <c r="J2433" s="71">
        <v>0</v>
      </c>
      <c r="K2433" s="71" t="s">
        <v>302</v>
      </c>
      <c r="L2433" s="71">
        <f t="shared" si="333"/>
        <v>9</v>
      </c>
      <c r="M2433" s="71" t="str">
        <f>IFERROR(INDEX(KALENDER!$D$3:$D$132,MATCH(H2433,KALENDER!$A$3:$A$132,0)),"Di luar periode")</f>
        <v>Hari Kerja</v>
      </c>
      <c r="N2433" s="71">
        <f t="shared" si="334"/>
        <v>0</v>
      </c>
      <c r="O2433" s="71">
        <f t="shared" si="335"/>
        <v>2</v>
      </c>
      <c r="P2433" s="71">
        <f t="shared" si="336"/>
        <v>0</v>
      </c>
      <c r="Q2433" s="71">
        <f t="shared" si="337"/>
        <v>0</v>
      </c>
      <c r="R2433" s="71">
        <f t="shared" si="338"/>
        <v>0</v>
      </c>
      <c r="S2433" s="71">
        <f t="shared" si="339"/>
        <v>0</v>
      </c>
      <c r="T2433" s="71">
        <f t="shared" si="340"/>
        <v>0</v>
      </c>
      <c r="U2433" s="71">
        <f>IF(AND(N2433=1,V2433=1),IF(COUNTIFS(AKTIVITAS!$B$2:$B$3052,B2433,AKTIVITAS!$E$2:$E$3052,H2433)&gt;0,1,0),0)</f>
        <v>0</v>
      </c>
      <c r="V2433" s="71">
        <f>IFERROR(IF(AND(H2433&gt;=INDEX(PEMAGANG!$J$3:$J$36,MATCH(B2433,PEMAGANG!$C$3:$C$36,0)),H2433&lt;=INDEX(PEMAGANG!$K$3:$K$36,MATCH(B2433,PEMAGANG!$C$3:$C$36,0))),1,0),0)</f>
        <v>1</v>
      </c>
      <c r="W2433" s="71">
        <f t="shared" si="341"/>
        <v>0</v>
      </c>
    </row>
    <row r="2434" spans="1:23" x14ac:dyDescent="0.2">
      <c r="A2434" s="71" t="s">
        <v>216</v>
      </c>
      <c r="B2434" s="71" t="s">
        <v>217</v>
      </c>
      <c r="C2434" s="71" t="s">
        <v>187</v>
      </c>
      <c r="D2434" s="71" t="s">
        <v>215</v>
      </c>
      <c r="E2434" s="71" t="s">
        <v>54</v>
      </c>
      <c r="F2434" s="71" t="s">
        <v>298</v>
      </c>
      <c r="G2434" s="88">
        <v>46276.311412037001</v>
      </c>
      <c r="H2434" s="89">
        <v>46276</v>
      </c>
      <c r="I2434" s="71" t="s">
        <v>377</v>
      </c>
      <c r="J2434" s="71">
        <v>-1.99999999999999</v>
      </c>
      <c r="K2434" s="71" t="s">
        <v>302</v>
      </c>
      <c r="L2434" s="71">
        <f t="shared" ref="L2434:L2497" si="342">MONTH(H2434)</f>
        <v>9</v>
      </c>
      <c r="M2434" s="71" t="str">
        <f>IFERROR(INDEX(KALENDER!$D$3:$D$132,MATCH(H2434,KALENDER!$A$3:$A$132,0)),"Di luar periode")</f>
        <v>Hari Kerja</v>
      </c>
      <c r="N2434" s="71">
        <f t="shared" ref="N2434:N2497" si="343">IF(AND(B2434=B2433,H2434=H2433),0,1)</f>
        <v>1</v>
      </c>
      <c r="O2434" s="71">
        <f t="shared" ref="O2434:O2497" si="344">IF(N2434=1,0,O2433)+IF(F2434="MASUK",1,0)</f>
        <v>1</v>
      </c>
      <c r="P2434" s="71">
        <f t="shared" ref="P2434:P2497" si="345">IF(AND(N2434=1,M2434="Hari Kerja",V2434=1),1,0)</f>
        <v>1</v>
      </c>
      <c r="Q2434" s="71">
        <f t="shared" ref="Q2434:Q2497" si="346">IF(AND(N2434=1,OR(M2434&lt;&gt;"Hari Kerja",V2434=0)),1,0)</f>
        <v>0</v>
      </c>
      <c r="R2434" s="71">
        <f t="shared" ref="R2434:R2497" si="347">IF(AND(F2434="MASUK",O2434=1,N(J2434)&gt;0,V2434=1),1,0)</f>
        <v>0</v>
      </c>
      <c r="S2434" s="71">
        <f t="shared" ref="S2434:S2497" si="348">R2434*N(J2434)</f>
        <v>0</v>
      </c>
      <c r="T2434" s="71">
        <f t="shared" ref="T2434:T2497" si="349">IF(AND(N2434=1,V2434=1),IF(AND(COUNTIFS($B$2:$B$4094,B2434,$H$2:$H$4094,H2434,$F$2:$F$4094,"MASUK")&gt;0,COUNTIFS($B$2:$B$4094,B2434,$H$2:$H$4094,H2434,$F$2:$F$4094,"PULANG")=0),1,0),0)</f>
        <v>1</v>
      </c>
      <c r="U2434" s="71">
        <f>IF(AND(N2434=1,V2434=1),IF(COUNTIFS(AKTIVITAS!$B$2:$B$3052,B2434,AKTIVITAS!$E$2:$E$3052,H2434)&gt;0,1,0),0)</f>
        <v>1</v>
      </c>
      <c r="V2434" s="71">
        <f>IFERROR(IF(AND(H2434&gt;=INDEX(PEMAGANG!$J$3:$J$36,MATCH(B2434,PEMAGANG!$C$3:$C$36,0)),H2434&lt;=INDEX(PEMAGANG!$K$3:$K$36,MATCH(B2434,PEMAGANG!$C$3:$C$36,0))),1,0),0)</f>
        <v>1</v>
      </c>
      <c r="W2434" s="71">
        <f t="shared" ref="W2434:W2497" si="350">N2434*V2434</f>
        <v>1</v>
      </c>
    </row>
    <row r="2435" spans="1:23" x14ac:dyDescent="0.2">
      <c r="A2435" s="71" t="s">
        <v>216</v>
      </c>
      <c r="B2435" s="71" t="s">
        <v>217</v>
      </c>
      <c r="C2435" s="71" t="s">
        <v>187</v>
      </c>
      <c r="D2435" s="71" t="s">
        <v>215</v>
      </c>
      <c r="E2435" s="71" t="s">
        <v>490</v>
      </c>
      <c r="F2435" s="71" t="s">
        <v>298</v>
      </c>
      <c r="G2435" s="88">
        <v>46276.311412037001</v>
      </c>
      <c r="H2435" s="89">
        <v>46276</v>
      </c>
      <c r="I2435" s="71" t="s">
        <v>377</v>
      </c>
      <c r="J2435" s="71">
        <v>-1.99999999999999</v>
      </c>
      <c r="K2435" s="71" t="s">
        <v>302</v>
      </c>
      <c r="L2435" s="71">
        <f t="shared" si="342"/>
        <v>9</v>
      </c>
      <c r="M2435" s="71" t="str">
        <f>IFERROR(INDEX(KALENDER!$D$3:$D$132,MATCH(H2435,KALENDER!$A$3:$A$132,0)),"Di luar periode")</f>
        <v>Hari Kerja</v>
      </c>
      <c r="N2435" s="71">
        <f t="shared" si="343"/>
        <v>0</v>
      </c>
      <c r="O2435" s="71">
        <f t="shared" si="344"/>
        <v>2</v>
      </c>
      <c r="P2435" s="71">
        <f t="shared" si="345"/>
        <v>0</v>
      </c>
      <c r="Q2435" s="71">
        <f t="shared" si="346"/>
        <v>0</v>
      </c>
      <c r="R2435" s="71">
        <f t="shared" si="347"/>
        <v>0</v>
      </c>
      <c r="S2435" s="71">
        <f t="shared" si="348"/>
        <v>0</v>
      </c>
      <c r="T2435" s="71">
        <f t="shared" si="349"/>
        <v>0</v>
      </c>
      <c r="U2435" s="71">
        <f>IF(AND(N2435=1,V2435=1),IF(COUNTIFS(AKTIVITAS!$B$2:$B$3052,B2435,AKTIVITAS!$E$2:$E$3052,H2435)&gt;0,1,0),0)</f>
        <v>0</v>
      </c>
      <c r="V2435" s="71">
        <f>IFERROR(IF(AND(H2435&gt;=INDEX(PEMAGANG!$J$3:$J$36,MATCH(B2435,PEMAGANG!$C$3:$C$36,0)),H2435&lt;=INDEX(PEMAGANG!$K$3:$K$36,MATCH(B2435,PEMAGANG!$C$3:$C$36,0))),1,0),0)</f>
        <v>1</v>
      </c>
      <c r="W2435" s="71">
        <f t="shared" si="350"/>
        <v>0</v>
      </c>
    </row>
    <row r="2436" spans="1:23" x14ac:dyDescent="0.2">
      <c r="A2436" s="71" t="s">
        <v>216</v>
      </c>
      <c r="B2436" s="71" t="s">
        <v>217</v>
      </c>
      <c r="C2436" s="71" t="s">
        <v>187</v>
      </c>
      <c r="D2436" s="71" t="s">
        <v>215</v>
      </c>
      <c r="E2436" s="71" t="s">
        <v>54</v>
      </c>
      <c r="F2436" s="71" t="s">
        <v>298</v>
      </c>
      <c r="G2436" s="88">
        <v>46279.311354166697</v>
      </c>
      <c r="H2436" s="89">
        <v>46279</v>
      </c>
      <c r="I2436" s="71" t="s">
        <v>377</v>
      </c>
      <c r="J2436" s="71">
        <v>-1.99999999999999</v>
      </c>
      <c r="K2436" s="71" t="s">
        <v>302</v>
      </c>
      <c r="L2436" s="71">
        <f t="shared" si="342"/>
        <v>9</v>
      </c>
      <c r="M2436" s="71" t="str">
        <f>IFERROR(INDEX(KALENDER!$D$3:$D$132,MATCH(H2436,KALENDER!$A$3:$A$132,0)),"Di luar periode")</f>
        <v>Hari Kerja</v>
      </c>
      <c r="N2436" s="71">
        <f t="shared" si="343"/>
        <v>1</v>
      </c>
      <c r="O2436" s="71">
        <f t="shared" si="344"/>
        <v>1</v>
      </c>
      <c r="P2436" s="71">
        <f t="shared" si="345"/>
        <v>1</v>
      </c>
      <c r="Q2436" s="71">
        <f t="shared" si="346"/>
        <v>0</v>
      </c>
      <c r="R2436" s="71">
        <f t="shared" si="347"/>
        <v>0</v>
      </c>
      <c r="S2436" s="71">
        <f t="shared" si="348"/>
        <v>0</v>
      </c>
      <c r="T2436" s="71">
        <f t="shared" si="349"/>
        <v>0</v>
      </c>
      <c r="U2436" s="71">
        <f>IF(AND(N2436=1,V2436=1),IF(COUNTIFS(AKTIVITAS!$B$2:$B$3052,B2436,AKTIVITAS!$E$2:$E$3052,H2436)&gt;0,1,0),0)</f>
        <v>1</v>
      </c>
      <c r="V2436" s="71">
        <f>IFERROR(IF(AND(H2436&gt;=INDEX(PEMAGANG!$J$3:$J$36,MATCH(B2436,PEMAGANG!$C$3:$C$36,0)),H2436&lt;=INDEX(PEMAGANG!$K$3:$K$36,MATCH(B2436,PEMAGANG!$C$3:$C$36,0))),1,0),0)</f>
        <v>1</v>
      </c>
      <c r="W2436" s="71">
        <f t="shared" si="350"/>
        <v>1</v>
      </c>
    </row>
    <row r="2437" spans="1:23" x14ac:dyDescent="0.2">
      <c r="A2437" s="71" t="s">
        <v>216</v>
      </c>
      <c r="B2437" s="71" t="s">
        <v>217</v>
      </c>
      <c r="C2437" s="71" t="s">
        <v>187</v>
      </c>
      <c r="D2437" s="71" t="s">
        <v>215</v>
      </c>
      <c r="E2437" s="71" t="s">
        <v>490</v>
      </c>
      <c r="F2437" s="71" t="s">
        <v>298</v>
      </c>
      <c r="G2437" s="88">
        <v>46279.311354166697</v>
      </c>
      <c r="H2437" s="89">
        <v>46279</v>
      </c>
      <c r="I2437" s="71" t="s">
        <v>377</v>
      </c>
      <c r="J2437" s="71">
        <v>-1.99999999999999</v>
      </c>
      <c r="K2437" s="71" t="s">
        <v>302</v>
      </c>
      <c r="L2437" s="71">
        <f t="shared" si="342"/>
        <v>9</v>
      </c>
      <c r="M2437" s="71" t="str">
        <f>IFERROR(INDEX(KALENDER!$D$3:$D$132,MATCH(H2437,KALENDER!$A$3:$A$132,0)),"Di luar periode")</f>
        <v>Hari Kerja</v>
      </c>
      <c r="N2437" s="71">
        <f t="shared" si="343"/>
        <v>0</v>
      </c>
      <c r="O2437" s="71">
        <f t="shared" si="344"/>
        <v>2</v>
      </c>
      <c r="P2437" s="71">
        <f t="shared" si="345"/>
        <v>0</v>
      </c>
      <c r="Q2437" s="71">
        <f t="shared" si="346"/>
        <v>0</v>
      </c>
      <c r="R2437" s="71">
        <f t="shared" si="347"/>
        <v>0</v>
      </c>
      <c r="S2437" s="71">
        <f t="shared" si="348"/>
        <v>0</v>
      </c>
      <c r="T2437" s="71">
        <f t="shared" si="349"/>
        <v>0</v>
      </c>
      <c r="U2437" s="71">
        <f>IF(AND(N2437=1,V2437=1),IF(COUNTIFS(AKTIVITAS!$B$2:$B$3052,B2437,AKTIVITAS!$E$2:$E$3052,H2437)&gt;0,1,0),0)</f>
        <v>0</v>
      </c>
      <c r="V2437" s="71">
        <f>IFERROR(IF(AND(H2437&gt;=INDEX(PEMAGANG!$J$3:$J$36,MATCH(B2437,PEMAGANG!$C$3:$C$36,0)),H2437&lt;=INDEX(PEMAGANG!$K$3:$K$36,MATCH(B2437,PEMAGANG!$C$3:$C$36,0))),1,0),0)</f>
        <v>1</v>
      </c>
      <c r="W2437" s="71">
        <f t="shared" si="350"/>
        <v>0</v>
      </c>
    </row>
    <row r="2438" spans="1:23" x14ac:dyDescent="0.2">
      <c r="A2438" s="71" t="s">
        <v>216</v>
      </c>
      <c r="B2438" s="71" t="s">
        <v>217</v>
      </c>
      <c r="C2438" s="71" t="s">
        <v>187</v>
      </c>
      <c r="D2438" s="71" t="s">
        <v>215</v>
      </c>
      <c r="E2438" s="71" t="s">
        <v>54</v>
      </c>
      <c r="F2438" s="71" t="s">
        <v>300</v>
      </c>
      <c r="G2438" s="88">
        <v>46279.688425925902</v>
      </c>
      <c r="H2438" s="89">
        <v>46279</v>
      </c>
      <c r="I2438" s="71" t="s">
        <v>336</v>
      </c>
      <c r="J2438" s="71">
        <v>0</v>
      </c>
      <c r="K2438" s="71" t="s">
        <v>302</v>
      </c>
      <c r="L2438" s="71">
        <f t="shared" si="342"/>
        <v>9</v>
      </c>
      <c r="M2438" s="71" t="str">
        <f>IFERROR(INDEX(KALENDER!$D$3:$D$132,MATCH(H2438,KALENDER!$A$3:$A$132,0)),"Di luar periode")</f>
        <v>Hari Kerja</v>
      </c>
      <c r="N2438" s="71">
        <f t="shared" si="343"/>
        <v>0</v>
      </c>
      <c r="O2438" s="71">
        <f t="shared" si="344"/>
        <v>2</v>
      </c>
      <c r="P2438" s="71">
        <f t="shared" si="345"/>
        <v>0</v>
      </c>
      <c r="Q2438" s="71">
        <f t="shared" si="346"/>
        <v>0</v>
      </c>
      <c r="R2438" s="71">
        <f t="shared" si="347"/>
        <v>0</v>
      </c>
      <c r="S2438" s="71">
        <f t="shared" si="348"/>
        <v>0</v>
      </c>
      <c r="T2438" s="71">
        <f t="shared" si="349"/>
        <v>0</v>
      </c>
      <c r="U2438" s="71">
        <f>IF(AND(N2438=1,V2438=1),IF(COUNTIFS(AKTIVITAS!$B$2:$B$3052,B2438,AKTIVITAS!$E$2:$E$3052,H2438)&gt;0,1,0),0)</f>
        <v>0</v>
      </c>
      <c r="V2438" s="71">
        <f>IFERROR(IF(AND(H2438&gt;=INDEX(PEMAGANG!$J$3:$J$36,MATCH(B2438,PEMAGANG!$C$3:$C$36,0)),H2438&lt;=INDEX(PEMAGANG!$K$3:$K$36,MATCH(B2438,PEMAGANG!$C$3:$C$36,0))),1,0),0)</f>
        <v>1</v>
      </c>
      <c r="W2438" s="71">
        <f t="shared" si="350"/>
        <v>0</v>
      </c>
    </row>
    <row r="2439" spans="1:23" x14ac:dyDescent="0.2">
      <c r="A2439" s="71" t="s">
        <v>216</v>
      </c>
      <c r="B2439" s="71" t="s">
        <v>217</v>
      </c>
      <c r="C2439" s="71" t="s">
        <v>187</v>
      </c>
      <c r="D2439" s="71" t="s">
        <v>215</v>
      </c>
      <c r="E2439" s="71" t="s">
        <v>490</v>
      </c>
      <c r="F2439" s="71" t="s">
        <v>300</v>
      </c>
      <c r="G2439" s="88">
        <v>46279.688425925902</v>
      </c>
      <c r="H2439" s="89">
        <v>46279</v>
      </c>
      <c r="I2439" s="71" t="s">
        <v>336</v>
      </c>
      <c r="J2439" s="71">
        <v>0</v>
      </c>
      <c r="K2439" s="71" t="s">
        <v>302</v>
      </c>
      <c r="L2439" s="71">
        <f t="shared" si="342"/>
        <v>9</v>
      </c>
      <c r="M2439" s="71" t="str">
        <f>IFERROR(INDEX(KALENDER!$D$3:$D$132,MATCH(H2439,KALENDER!$A$3:$A$132,0)),"Di luar periode")</f>
        <v>Hari Kerja</v>
      </c>
      <c r="N2439" s="71">
        <f t="shared" si="343"/>
        <v>0</v>
      </c>
      <c r="O2439" s="71">
        <f t="shared" si="344"/>
        <v>2</v>
      </c>
      <c r="P2439" s="71">
        <f t="shared" si="345"/>
        <v>0</v>
      </c>
      <c r="Q2439" s="71">
        <f t="shared" si="346"/>
        <v>0</v>
      </c>
      <c r="R2439" s="71">
        <f t="shared" si="347"/>
        <v>0</v>
      </c>
      <c r="S2439" s="71">
        <f t="shared" si="348"/>
        <v>0</v>
      </c>
      <c r="T2439" s="71">
        <f t="shared" si="349"/>
        <v>0</v>
      </c>
      <c r="U2439" s="71">
        <f>IF(AND(N2439=1,V2439=1),IF(COUNTIFS(AKTIVITAS!$B$2:$B$3052,B2439,AKTIVITAS!$E$2:$E$3052,H2439)&gt;0,1,0),0)</f>
        <v>0</v>
      </c>
      <c r="V2439" s="71">
        <f>IFERROR(IF(AND(H2439&gt;=INDEX(PEMAGANG!$J$3:$J$36,MATCH(B2439,PEMAGANG!$C$3:$C$36,0)),H2439&lt;=INDEX(PEMAGANG!$K$3:$K$36,MATCH(B2439,PEMAGANG!$C$3:$C$36,0))),1,0),0)</f>
        <v>1</v>
      </c>
      <c r="W2439" s="71">
        <f t="shared" si="350"/>
        <v>0</v>
      </c>
    </row>
    <row r="2440" spans="1:23" x14ac:dyDescent="0.2">
      <c r="A2440" s="71" t="s">
        <v>216</v>
      </c>
      <c r="B2440" s="71" t="s">
        <v>217</v>
      </c>
      <c r="C2440" s="71" t="s">
        <v>187</v>
      </c>
      <c r="D2440" s="71" t="s">
        <v>215</v>
      </c>
      <c r="E2440" s="71" t="s">
        <v>54</v>
      </c>
      <c r="F2440" s="71" t="s">
        <v>298</v>
      </c>
      <c r="G2440" s="88">
        <v>46280.3033796296</v>
      </c>
      <c r="H2440" s="89">
        <v>46280</v>
      </c>
      <c r="I2440" s="71" t="s">
        <v>327</v>
      </c>
      <c r="J2440" s="71">
        <v>-14</v>
      </c>
      <c r="K2440" s="71" t="s">
        <v>302</v>
      </c>
      <c r="L2440" s="71">
        <f t="shared" si="342"/>
        <v>9</v>
      </c>
      <c r="M2440" s="71" t="str">
        <f>IFERROR(INDEX(KALENDER!$D$3:$D$132,MATCH(H2440,KALENDER!$A$3:$A$132,0)),"Di luar periode")</f>
        <v>Hari Kerja</v>
      </c>
      <c r="N2440" s="71">
        <f t="shared" si="343"/>
        <v>1</v>
      </c>
      <c r="O2440" s="71">
        <f t="shared" si="344"/>
        <v>1</v>
      </c>
      <c r="P2440" s="71">
        <f t="shared" si="345"/>
        <v>1</v>
      </c>
      <c r="Q2440" s="71">
        <f t="shared" si="346"/>
        <v>0</v>
      </c>
      <c r="R2440" s="71">
        <f t="shared" si="347"/>
        <v>0</v>
      </c>
      <c r="S2440" s="71">
        <f t="shared" si="348"/>
        <v>0</v>
      </c>
      <c r="T2440" s="71">
        <f t="shared" si="349"/>
        <v>0</v>
      </c>
      <c r="U2440" s="71">
        <f>IF(AND(N2440=1,V2440=1),IF(COUNTIFS(AKTIVITAS!$B$2:$B$3052,B2440,AKTIVITAS!$E$2:$E$3052,H2440)&gt;0,1,0),0)</f>
        <v>1</v>
      </c>
      <c r="V2440" s="71">
        <f>IFERROR(IF(AND(H2440&gt;=INDEX(PEMAGANG!$J$3:$J$36,MATCH(B2440,PEMAGANG!$C$3:$C$36,0)),H2440&lt;=INDEX(PEMAGANG!$K$3:$K$36,MATCH(B2440,PEMAGANG!$C$3:$C$36,0))),1,0),0)</f>
        <v>1</v>
      </c>
      <c r="W2440" s="71">
        <f t="shared" si="350"/>
        <v>1</v>
      </c>
    </row>
    <row r="2441" spans="1:23" x14ac:dyDescent="0.2">
      <c r="A2441" s="71" t="s">
        <v>216</v>
      </c>
      <c r="B2441" s="71" t="s">
        <v>217</v>
      </c>
      <c r="C2441" s="71" t="s">
        <v>187</v>
      </c>
      <c r="D2441" s="71" t="s">
        <v>215</v>
      </c>
      <c r="E2441" s="71" t="s">
        <v>490</v>
      </c>
      <c r="F2441" s="71" t="s">
        <v>298</v>
      </c>
      <c r="G2441" s="88">
        <v>46280.3033796296</v>
      </c>
      <c r="H2441" s="89">
        <v>46280</v>
      </c>
      <c r="I2441" s="71" t="s">
        <v>327</v>
      </c>
      <c r="J2441" s="71">
        <v>-14</v>
      </c>
      <c r="K2441" s="71" t="s">
        <v>302</v>
      </c>
      <c r="L2441" s="71">
        <f t="shared" si="342"/>
        <v>9</v>
      </c>
      <c r="M2441" s="71" t="str">
        <f>IFERROR(INDEX(KALENDER!$D$3:$D$132,MATCH(H2441,KALENDER!$A$3:$A$132,0)),"Di luar periode")</f>
        <v>Hari Kerja</v>
      </c>
      <c r="N2441" s="71">
        <f t="shared" si="343"/>
        <v>0</v>
      </c>
      <c r="O2441" s="71">
        <f t="shared" si="344"/>
        <v>2</v>
      </c>
      <c r="P2441" s="71">
        <f t="shared" si="345"/>
        <v>0</v>
      </c>
      <c r="Q2441" s="71">
        <f t="shared" si="346"/>
        <v>0</v>
      </c>
      <c r="R2441" s="71">
        <f t="shared" si="347"/>
        <v>0</v>
      </c>
      <c r="S2441" s="71">
        <f t="shared" si="348"/>
        <v>0</v>
      </c>
      <c r="T2441" s="71">
        <f t="shared" si="349"/>
        <v>0</v>
      </c>
      <c r="U2441" s="71">
        <f>IF(AND(N2441=1,V2441=1),IF(COUNTIFS(AKTIVITAS!$B$2:$B$3052,B2441,AKTIVITAS!$E$2:$E$3052,H2441)&gt;0,1,0),0)</f>
        <v>0</v>
      </c>
      <c r="V2441" s="71">
        <f>IFERROR(IF(AND(H2441&gt;=INDEX(PEMAGANG!$J$3:$J$36,MATCH(B2441,PEMAGANG!$C$3:$C$36,0)),H2441&lt;=INDEX(PEMAGANG!$K$3:$K$36,MATCH(B2441,PEMAGANG!$C$3:$C$36,0))),1,0),0)</f>
        <v>1</v>
      </c>
      <c r="W2441" s="71">
        <f t="shared" si="350"/>
        <v>0</v>
      </c>
    </row>
    <row r="2442" spans="1:23" x14ac:dyDescent="0.2">
      <c r="A2442" s="71" t="s">
        <v>216</v>
      </c>
      <c r="B2442" s="71" t="s">
        <v>217</v>
      </c>
      <c r="C2442" s="71" t="s">
        <v>187</v>
      </c>
      <c r="D2442" s="71" t="s">
        <v>215</v>
      </c>
      <c r="E2442" s="71" t="s">
        <v>54</v>
      </c>
      <c r="F2442" s="71" t="s">
        <v>300</v>
      </c>
      <c r="G2442" s="88">
        <v>46280.688379629602</v>
      </c>
      <c r="H2442" s="89">
        <v>46280</v>
      </c>
      <c r="I2442" s="71" t="s">
        <v>336</v>
      </c>
      <c r="J2442" s="71">
        <v>0</v>
      </c>
      <c r="K2442" s="71" t="s">
        <v>302</v>
      </c>
      <c r="L2442" s="71">
        <f t="shared" si="342"/>
        <v>9</v>
      </c>
      <c r="M2442" s="71" t="str">
        <f>IFERROR(INDEX(KALENDER!$D$3:$D$132,MATCH(H2442,KALENDER!$A$3:$A$132,0)),"Di luar periode")</f>
        <v>Hari Kerja</v>
      </c>
      <c r="N2442" s="71">
        <f t="shared" si="343"/>
        <v>0</v>
      </c>
      <c r="O2442" s="71">
        <f t="shared" si="344"/>
        <v>2</v>
      </c>
      <c r="P2442" s="71">
        <f t="shared" si="345"/>
        <v>0</v>
      </c>
      <c r="Q2442" s="71">
        <f t="shared" si="346"/>
        <v>0</v>
      </c>
      <c r="R2442" s="71">
        <f t="shared" si="347"/>
        <v>0</v>
      </c>
      <c r="S2442" s="71">
        <f t="shared" si="348"/>
        <v>0</v>
      </c>
      <c r="T2442" s="71">
        <f t="shared" si="349"/>
        <v>0</v>
      </c>
      <c r="U2442" s="71">
        <f>IF(AND(N2442=1,V2442=1),IF(COUNTIFS(AKTIVITAS!$B$2:$B$3052,B2442,AKTIVITAS!$E$2:$E$3052,H2442)&gt;0,1,0),0)</f>
        <v>0</v>
      </c>
      <c r="V2442" s="71">
        <f>IFERROR(IF(AND(H2442&gt;=INDEX(PEMAGANG!$J$3:$J$36,MATCH(B2442,PEMAGANG!$C$3:$C$36,0)),H2442&lt;=INDEX(PEMAGANG!$K$3:$K$36,MATCH(B2442,PEMAGANG!$C$3:$C$36,0))),1,0),0)</f>
        <v>1</v>
      </c>
      <c r="W2442" s="71">
        <f t="shared" si="350"/>
        <v>0</v>
      </c>
    </row>
    <row r="2443" spans="1:23" x14ac:dyDescent="0.2">
      <c r="A2443" s="71" t="s">
        <v>216</v>
      </c>
      <c r="B2443" s="71" t="s">
        <v>217</v>
      </c>
      <c r="C2443" s="71" t="s">
        <v>187</v>
      </c>
      <c r="D2443" s="71" t="s">
        <v>215</v>
      </c>
      <c r="E2443" s="71" t="s">
        <v>490</v>
      </c>
      <c r="F2443" s="71" t="s">
        <v>300</v>
      </c>
      <c r="G2443" s="88">
        <v>46280.688379629602</v>
      </c>
      <c r="H2443" s="89">
        <v>46280</v>
      </c>
      <c r="I2443" s="71" t="s">
        <v>336</v>
      </c>
      <c r="J2443" s="71">
        <v>0</v>
      </c>
      <c r="K2443" s="71" t="s">
        <v>302</v>
      </c>
      <c r="L2443" s="71">
        <f t="shared" si="342"/>
        <v>9</v>
      </c>
      <c r="M2443" s="71" t="str">
        <f>IFERROR(INDEX(KALENDER!$D$3:$D$132,MATCH(H2443,KALENDER!$A$3:$A$132,0)),"Di luar periode")</f>
        <v>Hari Kerja</v>
      </c>
      <c r="N2443" s="71">
        <f t="shared" si="343"/>
        <v>0</v>
      </c>
      <c r="O2443" s="71">
        <f t="shared" si="344"/>
        <v>2</v>
      </c>
      <c r="P2443" s="71">
        <f t="shared" si="345"/>
        <v>0</v>
      </c>
      <c r="Q2443" s="71">
        <f t="shared" si="346"/>
        <v>0</v>
      </c>
      <c r="R2443" s="71">
        <f t="shared" si="347"/>
        <v>0</v>
      </c>
      <c r="S2443" s="71">
        <f t="shared" si="348"/>
        <v>0</v>
      </c>
      <c r="T2443" s="71">
        <f t="shared" si="349"/>
        <v>0</v>
      </c>
      <c r="U2443" s="71">
        <f>IF(AND(N2443=1,V2443=1),IF(COUNTIFS(AKTIVITAS!$B$2:$B$3052,B2443,AKTIVITAS!$E$2:$E$3052,H2443)&gt;0,1,0),0)</f>
        <v>0</v>
      </c>
      <c r="V2443" s="71">
        <f>IFERROR(IF(AND(H2443&gt;=INDEX(PEMAGANG!$J$3:$J$36,MATCH(B2443,PEMAGANG!$C$3:$C$36,0)),H2443&lt;=INDEX(PEMAGANG!$K$3:$K$36,MATCH(B2443,PEMAGANG!$C$3:$C$36,0))),1,0),0)</f>
        <v>1</v>
      </c>
      <c r="W2443" s="71">
        <f t="shared" si="350"/>
        <v>0</v>
      </c>
    </row>
    <row r="2444" spans="1:23" x14ac:dyDescent="0.2">
      <c r="A2444" s="71" t="s">
        <v>216</v>
      </c>
      <c r="B2444" s="71" t="s">
        <v>217</v>
      </c>
      <c r="C2444" s="71" t="s">
        <v>187</v>
      </c>
      <c r="D2444" s="71" t="s">
        <v>215</v>
      </c>
      <c r="E2444" s="71" t="s">
        <v>54</v>
      </c>
      <c r="F2444" s="71" t="s">
        <v>298</v>
      </c>
      <c r="G2444" s="88">
        <v>46281.292592592603</v>
      </c>
      <c r="H2444" s="89">
        <v>46281</v>
      </c>
      <c r="I2444" s="71" t="s">
        <v>491</v>
      </c>
      <c r="J2444" s="71">
        <v>-29</v>
      </c>
      <c r="K2444" s="71" t="s">
        <v>302</v>
      </c>
      <c r="L2444" s="71">
        <f t="shared" si="342"/>
        <v>9</v>
      </c>
      <c r="M2444" s="71" t="str">
        <f>IFERROR(INDEX(KALENDER!$D$3:$D$132,MATCH(H2444,KALENDER!$A$3:$A$132,0)),"Di luar periode")</f>
        <v>Hari Kerja</v>
      </c>
      <c r="N2444" s="71">
        <f t="shared" si="343"/>
        <v>1</v>
      </c>
      <c r="O2444" s="71">
        <f t="shared" si="344"/>
        <v>1</v>
      </c>
      <c r="P2444" s="71">
        <f t="shared" si="345"/>
        <v>1</v>
      </c>
      <c r="Q2444" s="71">
        <f t="shared" si="346"/>
        <v>0</v>
      </c>
      <c r="R2444" s="71">
        <f t="shared" si="347"/>
        <v>0</v>
      </c>
      <c r="S2444" s="71">
        <f t="shared" si="348"/>
        <v>0</v>
      </c>
      <c r="T2444" s="71">
        <f t="shared" si="349"/>
        <v>0</v>
      </c>
      <c r="U2444" s="71">
        <f>IF(AND(N2444=1,V2444=1),IF(COUNTIFS(AKTIVITAS!$B$2:$B$3052,B2444,AKTIVITAS!$E$2:$E$3052,H2444)&gt;0,1,0),0)</f>
        <v>1</v>
      </c>
      <c r="V2444" s="71">
        <f>IFERROR(IF(AND(H2444&gt;=INDEX(PEMAGANG!$J$3:$J$36,MATCH(B2444,PEMAGANG!$C$3:$C$36,0)),H2444&lt;=INDEX(PEMAGANG!$K$3:$K$36,MATCH(B2444,PEMAGANG!$C$3:$C$36,0))),1,0),0)</f>
        <v>1</v>
      </c>
      <c r="W2444" s="71">
        <f t="shared" si="350"/>
        <v>1</v>
      </c>
    </row>
    <row r="2445" spans="1:23" x14ac:dyDescent="0.2">
      <c r="A2445" s="71" t="s">
        <v>216</v>
      </c>
      <c r="B2445" s="71" t="s">
        <v>217</v>
      </c>
      <c r="C2445" s="71" t="s">
        <v>187</v>
      </c>
      <c r="D2445" s="71" t="s">
        <v>215</v>
      </c>
      <c r="E2445" s="71" t="s">
        <v>490</v>
      </c>
      <c r="F2445" s="71" t="s">
        <v>298</v>
      </c>
      <c r="G2445" s="88">
        <v>46281.292592592603</v>
      </c>
      <c r="H2445" s="89">
        <v>46281</v>
      </c>
      <c r="I2445" s="71" t="s">
        <v>491</v>
      </c>
      <c r="J2445" s="71">
        <v>-29</v>
      </c>
      <c r="K2445" s="71" t="s">
        <v>302</v>
      </c>
      <c r="L2445" s="71">
        <f t="shared" si="342"/>
        <v>9</v>
      </c>
      <c r="M2445" s="71" t="str">
        <f>IFERROR(INDEX(KALENDER!$D$3:$D$132,MATCH(H2445,KALENDER!$A$3:$A$132,0)),"Di luar periode")</f>
        <v>Hari Kerja</v>
      </c>
      <c r="N2445" s="71">
        <f t="shared" si="343"/>
        <v>0</v>
      </c>
      <c r="O2445" s="71">
        <f t="shared" si="344"/>
        <v>2</v>
      </c>
      <c r="P2445" s="71">
        <f t="shared" si="345"/>
        <v>0</v>
      </c>
      <c r="Q2445" s="71">
        <f t="shared" si="346"/>
        <v>0</v>
      </c>
      <c r="R2445" s="71">
        <f t="shared" si="347"/>
        <v>0</v>
      </c>
      <c r="S2445" s="71">
        <f t="shared" si="348"/>
        <v>0</v>
      </c>
      <c r="T2445" s="71">
        <f t="shared" si="349"/>
        <v>0</v>
      </c>
      <c r="U2445" s="71">
        <f>IF(AND(N2445=1,V2445=1),IF(COUNTIFS(AKTIVITAS!$B$2:$B$3052,B2445,AKTIVITAS!$E$2:$E$3052,H2445)&gt;0,1,0),0)</f>
        <v>0</v>
      </c>
      <c r="V2445" s="71">
        <f>IFERROR(IF(AND(H2445&gt;=INDEX(PEMAGANG!$J$3:$J$36,MATCH(B2445,PEMAGANG!$C$3:$C$36,0)),H2445&lt;=INDEX(PEMAGANG!$K$3:$K$36,MATCH(B2445,PEMAGANG!$C$3:$C$36,0))),1,0),0)</f>
        <v>1</v>
      </c>
      <c r="W2445" s="71">
        <f t="shared" si="350"/>
        <v>0</v>
      </c>
    </row>
    <row r="2446" spans="1:23" x14ac:dyDescent="0.2">
      <c r="A2446" s="71" t="s">
        <v>216</v>
      </c>
      <c r="B2446" s="71" t="s">
        <v>217</v>
      </c>
      <c r="C2446" s="71" t="s">
        <v>187</v>
      </c>
      <c r="D2446" s="71" t="s">
        <v>215</v>
      </c>
      <c r="E2446" s="71" t="s">
        <v>54</v>
      </c>
      <c r="F2446" s="71" t="s">
        <v>300</v>
      </c>
      <c r="G2446" s="88">
        <v>46281.6903356482</v>
      </c>
      <c r="H2446" s="89">
        <v>46281</v>
      </c>
      <c r="I2446" s="71" t="s">
        <v>314</v>
      </c>
      <c r="J2446" s="71">
        <v>0</v>
      </c>
      <c r="K2446" s="71" t="s">
        <v>302</v>
      </c>
      <c r="L2446" s="71">
        <f t="shared" si="342"/>
        <v>9</v>
      </c>
      <c r="M2446" s="71" t="str">
        <f>IFERROR(INDEX(KALENDER!$D$3:$D$132,MATCH(H2446,KALENDER!$A$3:$A$132,0)),"Di luar periode")</f>
        <v>Hari Kerja</v>
      </c>
      <c r="N2446" s="71">
        <f t="shared" si="343"/>
        <v>0</v>
      </c>
      <c r="O2446" s="71">
        <f t="shared" si="344"/>
        <v>2</v>
      </c>
      <c r="P2446" s="71">
        <f t="shared" si="345"/>
        <v>0</v>
      </c>
      <c r="Q2446" s="71">
        <f t="shared" si="346"/>
        <v>0</v>
      </c>
      <c r="R2446" s="71">
        <f t="shared" si="347"/>
        <v>0</v>
      </c>
      <c r="S2446" s="71">
        <f t="shared" si="348"/>
        <v>0</v>
      </c>
      <c r="T2446" s="71">
        <f t="shared" si="349"/>
        <v>0</v>
      </c>
      <c r="U2446" s="71">
        <f>IF(AND(N2446=1,V2446=1),IF(COUNTIFS(AKTIVITAS!$B$2:$B$3052,B2446,AKTIVITAS!$E$2:$E$3052,H2446)&gt;0,1,0),0)</f>
        <v>0</v>
      </c>
      <c r="V2446" s="71">
        <f>IFERROR(IF(AND(H2446&gt;=INDEX(PEMAGANG!$J$3:$J$36,MATCH(B2446,PEMAGANG!$C$3:$C$36,0)),H2446&lt;=INDEX(PEMAGANG!$K$3:$K$36,MATCH(B2446,PEMAGANG!$C$3:$C$36,0))),1,0),0)</f>
        <v>1</v>
      </c>
      <c r="W2446" s="71">
        <f t="shared" si="350"/>
        <v>0</v>
      </c>
    </row>
    <row r="2447" spans="1:23" x14ac:dyDescent="0.2">
      <c r="A2447" s="71" t="s">
        <v>216</v>
      </c>
      <c r="B2447" s="71" t="s">
        <v>217</v>
      </c>
      <c r="C2447" s="71" t="s">
        <v>187</v>
      </c>
      <c r="D2447" s="71" t="s">
        <v>215</v>
      </c>
      <c r="E2447" s="71" t="s">
        <v>490</v>
      </c>
      <c r="F2447" s="71" t="s">
        <v>300</v>
      </c>
      <c r="G2447" s="88">
        <v>46281.6903356482</v>
      </c>
      <c r="H2447" s="89">
        <v>46281</v>
      </c>
      <c r="I2447" s="71" t="s">
        <v>314</v>
      </c>
      <c r="J2447" s="71">
        <v>0</v>
      </c>
      <c r="K2447" s="71" t="s">
        <v>302</v>
      </c>
      <c r="L2447" s="71">
        <f t="shared" si="342"/>
        <v>9</v>
      </c>
      <c r="M2447" s="71" t="str">
        <f>IFERROR(INDEX(KALENDER!$D$3:$D$132,MATCH(H2447,KALENDER!$A$3:$A$132,0)),"Di luar periode")</f>
        <v>Hari Kerja</v>
      </c>
      <c r="N2447" s="71">
        <f t="shared" si="343"/>
        <v>0</v>
      </c>
      <c r="O2447" s="71">
        <f t="shared" si="344"/>
        <v>2</v>
      </c>
      <c r="P2447" s="71">
        <f t="shared" si="345"/>
        <v>0</v>
      </c>
      <c r="Q2447" s="71">
        <f t="shared" si="346"/>
        <v>0</v>
      </c>
      <c r="R2447" s="71">
        <f t="shared" si="347"/>
        <v>0</v>
      </c>
      <c r="S2447" s="71">
        <f t="shared" si="348"/>
        <v>0</v>
      </c>
      <c r="T2447" s="71">
        <f t="shared" si="349"/>
        <v>0</v>
      </c>
      <c r="U2447" s="71">
        <f>IF(AND(N2447=1,V2447=1),IF(COUNTIFS(AKTIVITAS!$B$2:$B$3052,B2447,AKTIVITAS!$E$2:$E$3052,H2447)&gt;0,1,0),0)</f>
        <v>0</v>
      </c>
      <c r="V2447" s="71">
        <f>IFERROR(IF(AND(H2447&gt;=INDEX(PEMAGANG!$J$3:$J$36,MATCH(B2447,PEMAGANG!$C$3:$C$36,0)),H2447&lt;=INDEX(PEMAGANG!$K$3:$K$36,MATCH(B2447,PEMAGANG!$C$3:$C$36,0))),1,0),0)</f>
        <v>1</v>
      </c>
      <c r="W2447" s="71">
        <f t="shared" si="350"/>
        <v>0</v>
      </c>
    </row>
    <row r="2448" spans="1:23" x14ac:dyDescent="0.2">
      <c r="A2448" s="71" t="s">
        <v>216</v>
      </c>
      <c r="B2448" s="71" t="s">
        <v>217</v>
      </c>
      <c r="C2448" s="71" t="s">
        <v>187</v>
      </c>
      <c r="D2448" s="71" t="s">
        <v>215</v>
      </c>
      <c r="E2448" s="71" t="s">
        <v>54</v>
      </c>
      <c r="F2448" s="71" t="s">
        <v>298</v>
      </c>
      <c r="G2448" s="88">
        <v>46282.311631944503</v>
      </c>
      <c r="H2448" s="89">
        <v>46282</v>
      </c>
      <c r="I2448" s="71" t="s">
        <v>377</v>
      </c>
      <c r="J2448" s="71">
        <v>-1.99999999999999</v>
      </c>
      <c r="K2448" s="71" t="s">
        <v>302</v>
      </c>
      <c r="L2448" s="71">
        <f t="shared" si="342"/>
        <v>9</v>
      </c>
      <c r="M2448" s="71" t="str">
        <f>IFERROR(INDEX(KALENDER!$D$3:$D$132,MATCH(H2448,KALENDER!$A$3:$A$132,0)),"Di luar periode")</f>
        <v>Hari Kerja</v>
      </c>
      <c r="N2448" s="71">
        <f t="shared" si="343"/>
        <v>1</v>
      </c>
      <c r="O2448" s="71">
        <f t="shared" si="344"/>
        <v>1</v>
      </c>
      <c r="P2448" s="71">
        <f t="shared" si="345"/>
        <v>1</v>
      </c>
      <c r="Q2448" s="71">
        <f t="shared" si="346"/>
        <v>0</v>
      </c>
      <c r="R2448" s="71">
        <f t="shared" si="347"/>
        <v>0</v>
      </c>
      <c r="S2448" s="71">
        <f t="shared" si="348"/>
        <v>0</v>
      </c>
      <c r="T2448" s="71">
        <f t="shared" si="349"/>
        <v>0</v>
      </c>
      <c r="U2448" s="71">
        <f>IF(AND(N2448=1,V2448=1),IF(COUNTIFS(AKTIVITAS!$B$2:$B$3052,B2448,AKTIVITAS!$E$2:$E$3052,H2448)&gt;0,1,0),0)</f>
        <v>1</v>
      </c>
      <c r="V2448" s="71">
        <f>IFERROR(IF(AND(H2448&gt;=INDEX(PEMAGANG!$J$3:$J$36,MATCH(B2448,PEMAGANG!$C$3:$C$36,0)),H2448&lt;=INDEX(PEMAGANG!$K$3:$K$36,MATCH(B2448,PEMAGANG!$C$3:$C$36,0))),1,0),0)</f>
        <v>1</v>
      </c>
      <c r="W2448" s="71">
        <f t="shared" si="350"/>
        <v>1</v>
      </c>
    </row>
    <row r="2449" spans="1:23" x14ac:dyDescent="0.2">
      <c r="A2449" s="71" t="s">
        <v>216</v>
      </c>
      <c r="B2449" s="71" t="s">
        <v>217</v>
      </c>
      <c r="C2449" s="71" t="s">
        <v>187</v>
      </c>
      <c r="D2449" s="71" t="s">
        <v>215</v>
      </c>
      <c r="E2449" s="71" t="s">
        <v>490</v>
      </c>
      <c r="F2449" s="71" t="s">
        <v>298</v>
      </c>
      <c r="G2449" s="88">
        <v>46282.311631944503</v>
      </c>
      <c r="H2449" s="89">
        <v>46282</v>
      </c>
      <c r="I2449" s="71" t="s">
        <v>377</v>
      </c>
      <c r="J2449" s="71">
        <v>-1.99999999999999</v>
      </c>
      <c r="K2449" s="71" t="s">
        <v>302</v>
      </c>
      <c r="L2449" s="71">
        <f t="shared" si="342"/>
        <v>9</v>
      </c>
      <c r="M2449" s="71" t="str">
        <f>IFERROR(INDEX(KALENDER!$D$3:$D$132,MATCH(H2449,KALENDER!$A$3:$A$132,0)),"Di luar periode")</f>
        <v>Hari Kerja</v>
      </c>
      <c r="N2449" s="71">
        <f t="shared" si="343"/>
        <v>0</v>
      </c>
      <c r="O2449" s="71">
        <f t="shared" si="344"/>
        <v>2</v>
      </c>
      <c r="P2449" s="71">
        <f t="shared" si="345"/>
        <v>0</v>
      </c>
      <c r="Q2449" s="71">
        <f t="shared" si="346"/>
        <v>0</v>
      </c>
      <c r="R2449" s="71">
        <f t="shared" si="347"/>
        <v>0</v>
      </c>
      <c r="S2449" s="71">
        <f t="shared" si="348"/>
        <v>0</v>
      </c>
      <c r="T2449" s="71">
        <f t="shared" si="349"/>
        <v>0</v>
      </c>
      <c r="U2449" s="71">
        <f>IF(AND(N2449=1,V2449=1),IF(COUNTIFS(AKTIVITAS!$B$2:$B$3052,B2449,AKTIVITAS!$E$2:$E$3052,H2449)&gt;0,1,0),0)</f>
        <v>0</v>
      </c>
      <c r="V2449" s="71">
        <f>IFERROR(IF(AND(H2449&gt;=INDEX(PEMAGANG!$J$3:$J$36,MATCH(B2449,PEMAGANG!$C$3:$C$36,0)),H2449&lt;=INDEX(PEMAGANG!$K$3:$K$36,MATCH(B2449,PEMAGANG!$C$3:$C$36,0))),1,0),0)</f>
        <v>1</v>
      </c>
      <c r="W2449" s="71">
        <f t="shared" si="350"/>
        <v>0</v>
      </c>
    </row>
    <row r="2450" spans="1:23" x14ac:dyDescent="0.2">
      <c r="A2450" s="71" t="s">
        <v>216</v>
      </c>
      <c r="B2450" s="71" t="s">
        <v>217</v>
      </c>
      <c r="C2450" s="71" t="s">
        <v>187</v>
      </c>
      <c r="D2450" s="71" t="s">
        <v>215</v>
      </c>
      <c r="E2450" s="71" t="s">
        <v>54</v>
      </c>
      <c r="F2450" s="71" t="s">
        <v>300</v>
      </c>
      <c r="G2450" s="88">
        <v>46282.688680555599</v>
      </c>
      <c r="H2450" s="89">
        <v>46282</v>
      </c>
      <c r="I2450" s="71" t="s">
        <v>336</v>
      </c>
      <c r="J2450" s="71">
        <v>0</v>
      </c>
      <c r="K2450" s="71" t="s">
        <v>302</v>
      </c>
      <c r="L2450" s="71">
        <f t="shared" si="342"/>
        <v>9</v>
      </c>
      <c r="M2450" s="71" t="str">
        <f>IFERROR(INDEX(KALENDER!$D$3:$D$132,MATCH(H2450,KALENDER!$A$3:$A$132,0)),"Di luar periode")</f>
        <v>Hari Kerja</v>
      </c>
      <c r="N2450" s="71">
        <f t="shared" si="343"/>
        <v>0</v>
      </c>
      <c r="O2450" s="71">
        <f t="shared" si="344"/>
        <v>2</v>
      </c>
      <c r="P2450" s="71">
        <f t="shared" si="345"/>
        <v>0</v>
      </c>
      <c r="Q2450" s="71">
        <f t="shared" si="346"/>
        <v>0</v>
      </c>
      <c r="R2450" s="71">
        <f t="shared" si="347"/>
        <v>0</v>
      </c>
      <c r="S2450" s="71">
        <f t="shared" si="348"/>
        <v>0</v>
      </c>
      <c r="T2450" s="71">
        <f t="shared" si="349"/>
        <v>0</v>
      </c>
      <c r="U2450" s="71">
        <f>IF(AND(N2450=1,V2450=1),IF(COUNTIFS(AKTIVITAS!$B$2:$B$3052,B2450,AKTIVITAS!$E$2:$E$3052,H2450)&gt;0,1,0),0)</f>
        <v>0</v>
      </c>
      <c r="V2450" s="71">
        <f>IFERROR(IF(AND(H2450&gt;=INDEX(PEMAGANG!$J$3:$J$36,MATCH(B2450,PEMAGANG!$C$3:$C$36,0)),H2450&lt;=INDEX(PEMAGANG!$K$3:$K$36,MATCH(B2450,PEMAGANG!$C$3:$C$36,0))),1,0),0)</f>
        <v>1</v>
      </c>
      <c r="W2450" s="71">
        <f t="shared" si="350"/>
        <v>0</v>
      </c>
    </row>
    <row r="2451" spans="1:23" x14ac:dyDescent="0.2">
      <c r="A2451" s="71" t="s">
        <v>216</v>
      </c>
      <c r="B2451" s="71" t="s">
        <v>217</v>
      </c>
      <c r="C2451" s="71" t="s">
        <v>187</v>
      </c>
      <c r="D2451" s="71" t="s">
        <v>215</v>
      </c>
      <c r="E2451" s="71" t="s">
        <v>490</v>
      </c>
      <c r="F2451" s="71" t="s">
        <v>300</v>
      </c>
      <c r="G2451" s="88">
        <v>46282.688680555599</v>
      </c>
      <c r="H2451" s="89">
        <v>46282</v>
      </c>
      <c r="I2451" s="71" t="s">
        <v>336</v>
      </c>
      <c r="J2451" s="71">
        <v>0</v>
      </c>
      <c r="K2451" s="71" t="s">
        <v>302</v>
      </c>
      <c r="L2451" s="71">
        <f t="shared" si="342"/>
        <v>9</v>
      </c>
      <c r="M2451" s="71" t="str">
        <f>IFERROR(INDEX(KALENDER!$D$3:$D$132,MATCH(H2451,KALENDER!$A$3:$A$132,0)),"Di luar periode")</f>
        <v>Hari Kerja</v>
      </c>
      <c r="N2451" s="71">
        <f t="shared" si="343"/>
        <v>0</v>
      </c>
      <c r="O2451" s="71">
        <f t="shared" si="344"/>
        <v>2</v>
      </c>
      <c r="P2451" s="71">
        <f t="shared" si="345"/>
        <v>0</v>
      </c>
      <c r="Q2451" s="71">
        <f t="shared" si="346"/>
        <v>0</v>
      </c>
      <c r="R2451" s="71">
        <f t="shared" si="347"/>
        <v>0</v>
      </c>
      <c r="S2451" s="71">
        <f t="shared" si="348"/>
        <v>0</v>
      </c>
      <c r="T2451" s="71">
        <f t="shared" si="349"/>
        <v>0</v>
      </c>
      <c r="U2451" s="71">
        <f>IF(AND(N2451=1,V2451=1),IF(COUNTIFS(AKTIVITAS!$B$2:$B$3052,B2451,AKTIVITAS!$E$2:$E$3052,H2451)&gt;0,1,0),0)</f>
        <v>0</v>
      </c>
      <c r="V2451" s="71">
        <f>IFERROR(IF(AND(H2451&gt;=INDEX(PEMAGANG!$J$3:$J$36,MATCH(B2451,PEMAGANG!$C$3:$C$36,0)),H2451&lt;=INDEX(PEMAGANG!$K$3:$K$36,MATCH(B2451,PEMAGANG!$C$3:$C$36,0))),1,0),0)</f>
        <v>1</v>
      </c>
      <c r="W2451" s="71">
        <f t="shared" si="350"/>
        <v>0</v>
      </c>
    </row>
    <row r="2452" spans="1:23" x14ac:dyDescent="0.2">
      <c r="A2452" s="71" t="s">
        <v>216</v>
      </c>
      <c r="B2452" s="71" t="s">
        <v>217</v>
      </c>
      <c r="C2452" s="71" t="s">
        <v>187</v>
      </c>
      <c r="D2452" s="71" t="s">
        <v>215</v>
      </c>
      <c r="E2452" s="71" t="s">
        <v>54</v>
      </c>
      <c r="F2452" s="71" t="s">
        <v>298</v>
      </c>
      <c r="G2452" s="88">
        <v>46283.294768518499</v>
      </c>
      <c r="H2452" s="89">
        <v>46283</v>
      </c>
      <c r="I2452" s="71" t="s">
        <v>411</v>
      </c>
      <c r="J2452" s="71">
        <v>-26</v>
      </c>
      <c r="K2452" s="71" t="s">
        <v>302</v>
      </c>
      <c r="L2452" s="71">
        <f t="shared" si="342"/>
        <v>9</v>
      </c>
      <c r="M2452" s="71" t="str">
        <f>IFERROR(INDEX(KALENDER!$D$3:$D$132,MATCH(H2452,KALENDER!$A$3:$A$132,0)),"Di luar periode")</f>
        <v>Hari Kerja</v>
      </c>
      <c r="N2452" s="71">
        <f t="shared" si="343"/>
        <v>1</v>
      </c>
      <c r="O2452" s="71">
        <f t="shared" si="344"/>
        <v>1</v>
      </c>
      <c r="P2452" s="71">
        <f t="shared" si="345"/>
        <v>1</v>
      </c>
      <c r="Q2452" s="71">
        <f t="shared" si="346"/>
        <v>0</v>
      </c>
      <c r="R2452" s="71">
        <f t="shared" si="347"/>
        <v>0</v>
      </c>
      <c r="S2452" s="71">
        <f t="shared" si="348"/>
        <v>0</v>
      </c>
      <c r="T2452" s="71">
        <f t="shared" si="349"/>
        <v>1</v>
      </c>
      <c r="U2452" s="71">
        <f>IF(AND(N2452=1,V2452=1),IF(COUNTIFS(AKTIVITAS!$B$2:$B$3052,B2452,AKTIVITAS!$E$2:$E$3052,H2452)&gt;0,1,0),0)</f>
        <v>1</v>
      </c>
      <c r="V2452" s="71">
        <f>IFERROR(IF(AND(H2452&gt;=INDEX(PEMAGANG!$J$3:$J$36,MATCH(B2452,PEMAGANG!$C$3:$C$36,0)),H2452&lt;=INDEX(PEMAGANG!$K$3:$K$36,MATCH(B2452,PEMAGANG!$C$3:$C$36,0))),1,0),0)</f>
        <v>1</v>
      </c>
      <c r="W2452" s="71">
        <f t="shared" si="350"/>
        <v>1</v>
      </c>
    </row>
    <row r="2453" spans="1:23" x14ac:dyDescent="0.2">
      <c r="A2453" s="71" t="s">
        <v>216</v>
      </c>
      <c r="B2453" s="71" t="s">
        <v>217</v>
      </c>
      <c r="C2453" s="71" t="s">
        <v>187</v>
      </c>
      <c r="D2453" s="71" t="s">
        <v>215</v>
      </c>
      <c r="E2453" s="71" t="s">
        <v>490</v>
      </c>
      <c r="F2453" s="71" t="s">
        <v>298</v>
      </c>
      <c r="G2453" s="88">
        <v>46283.294768518499</v>
      </c>
      <c r="H2453" s="89">
        <v>46283</v>
      </c>
      <c r="I2453" s="71" t="s">
        <v>411</v>
      </c>
      <c r="J2453" s="71">
        <v>-26</v>
      </c>
      <c r="K2453" s="71" t="s">
        <v>302</v>
      </c>
      <c r="L2453" s="71">
        <f t="shared" si="342"/>
        <v>9</v>
      </c>
      <c r="M2453" s="71" t="str">
        <f>IFERROR(INDEX(KALENDER!$D$3:$D$132,MATCH(H2453,KALENDER!$A$3:$A$132,0)),"Di luar periode")</f>
        <v>Hari Kerja</v>
      </c>
      <c r="N2453" s="71">
        <f t="shared" si="343"/>
        <v>0</v>
      </c>
      <c r="O2453" s="71">
        <f t="shared" si="344"/>
        <v>2</v>
      </c>
      <c r="P2453" s="71">
        <f t="shared" si="345"/>
        <v>0</v>
      </c>
      <c r="Q2453" s="71">
        <f t="shared" si="346"/>
        <v>0</v>
      </c>
      <c r="R2453" s="71">
        <f t="shared" si="347"/>
        <v>0</v>
      </c>
      <c r="S2453" s="71">
        <f t="shared" si="348"/>
        <v>0</v>
      </c>
      <c r="T2453" s="71">
        <f t="shared" si="349"/>
        <v>0</v>
      </c>
      <c r="U2453" s="71">
        <f>IF(AND(N2453=1,V2453=1),IF(COUNTIFS(AKTIVITAS!$B$2:$B$3052,B2453,AKTIVITAS!$E$2:$E$3052,H2453)&gt;0,1,0),0)</f>
        <v>0</v>
      </c>
      <c r="V2453" s="71">
        <f>IFERROR(IF(AND(H2453&gt;=INDEX(PEMAGANG!$J$3:$J$36,MATCH(B2453,PEMAGANG!$C$3:$C$36,0)),H2453&lt;=INDEX(PEMAGANG!$K$3:$K$36,MATCH(B2453,PEMAGANG!$C$3:$C$36,0))),1,0),0)</f>
        <v>1</v>
      </c>
      <c r="W2453" s="71">
        <f t="shared" si="350"/>
        <v>0</v>
      </c>
    </row>
    <row r="2454" spans="1:23" x14ac:dyDescent="0.2">
      <c r="A2454" s="71" t="s">
        <v>216</v>
      </c>
      <c r="B2454" s="71" t="s">
        <v>217</v>
      </c>
      <c r="C2454" s="71" t="s">
        <v>187</v>
      </c>
      <c r="D2454" s="71" t="s">
        <v>215</v>
      </c>
      <c r="E2454" s="71" t="s">
        <v>54</v>
      </c>
      <c r="F2454" s="71" t="s">
        <v>298</v>
      </c>
      <c r="G2454" s="88">
        <v>46286.3042824074</v>
      </c>
      <c r="H2454" s="89">
        <v>46286</v>
      </c>
      <c r="I2454" s="71" t="s">
        <v>326</v>
      </c>
      <c r="J2454" s="71">
        <v>-12</v>
      </c>
      <c r="K2454" s="71" t="s">
        <v>302</v>
      </c>
      <c r="L2454" s="71">
        <f t="shared" si="342"/>
        <v>9</v>
      </c>
      <c r="M2454" s="71" t="str">
        <f>IFERROR(INDEX(KALENDER!$D$3:$D$132,MATCH(H2454,KALENDER!$A$3:$A$132,0)),"Di luar periode")</f>
        <v>Hari Kerja</v>
      </c>
      <c r="N2454" s="71">
        <f t="shared" si="343"/>
        <v>1</v>
      </c>
      <c r="O2454" s="71">
        <f t="shared" si="344"/>
        <v>1</v>
      </c>
      <c r="P2454" s="71">
        <f t="shared" si="345"/>
        <v>1</v>
      </c>
      <c r="Q2454" s="71">
        <f t="shared" si="346"/>
        <v>0</v>
      </c>
      <c r="R2454" s="71">
        <f t="shared" si="347"/>
        <v>0</v>
      </c>
      <c r="S2454" s="71">
        <f t="shared" si="348"/>
        <v>0</v>
      </c>
      <c r="T2454" s="71">
        <f t="shared" si="349"/>
        <v>0</v>
      </c>
      <c r="U2454" s="71">
        <f>IF(AND(N2454=1,V2454=1),IF(COUNTIFS(AKTIVITAS!$B$2:$B$3052,B2454,AKTIVITAS!$E$2:$E$3052,H2454)&gt;0,1,0),0)</f>
        <v>1</v>
      </c>
      <c r="V2454" s="71">
        <f>IFERROR(IF(AND(H2454&gt;=INDEX(PEMAGANG!$J$3:$J$36,MATCH(B2454,PEMAGANG!$C$3:$C$36,0)),H2454&lt;=INDEX(PEMAGANG!$K$3:$K$36,MATCH(B2454,PEMAGANG!$C$3:$C$36,0))),1,0),0)</f>
        <v>1</v>
      </c>
      <c r="W2454" s="71">
        <f t="shared" si="350"/>
        <v>1</v>
      </c>
    </row>
    <row r="2455" spans="1:23" x14ac:dyDescent="0.2">
      <c r="A2455" s="71" t="s">
        <v>216</v>
      </c>
      <c r="B2455" s="71" t="s">
        <v>217</v>
      </c>
      <c r="C2455" s="71" t="s">
        <v>187</v>
      </c>
      <c r="D2455" s="71" t="s">
        <v>215</v>
      </c>
      <c r="E2455" s="71" t="s">
        <v>490</v>
      </c>
      <c r="F2455" s="71" t="s">
        <v>298</v>
      </c>
      <c r="G2455" s="88">
        <v>46286.3042824074</v>
      </c>
      <c r="H2455" s="89">
        <v>46286</v>
      </c>
      <c r="I2455" s="71" t="s">
        <v>326</v>
      </c>
      <c r="J2455" s="71">
        <v>-12</v>
      </c>
      <c r="K2455" s="71" t="s">
        <v>302</v>
      </c>
      <c r="L2455" s="71">
        <f t="shared" si="342"/>
        <v>9</v>
      </c>
      <c r="M2455" s="71" t="str">
        <f>IFERROR(INDEX(KALENDER!$D$3:$D$132,MATCH(H2455,KALENDER!$A$3:$A$132,0)),"Di luar periode")</f>
        <v>Hari Kerja</v>
      </c>
      <c r="N2455" s="71">
        <f t="shared" si="343"/>
        <v>0</v>
      </c>
      <c r="O2455" s="71">
        <f t="shared" si="344"/>
        <v>2</v>
      </c>
      <c r="P2455" s="71">
        <f t="shared" si="345"/>
        <v>0</v>
      </c>
      <c r="Q2455" s="71">
        <f t="shared" si="346"/>
        <v>0</v>
      </c>
      <c r="R2455" s="71">
        <f t="shared" si="347"/>
        <v>0</v>
      </c>
      <c r="S2455" s="71">
        <f t="shared" si="348"/>
        <v>0</v>
      </c>
      <c r="T2455" s="71">
        <f t="shared" si="349"/>
        <v>0</v>
      </c>
      <c r="U2455" s="71">
        <f>IF(AND(N2455=1,V2455=1),IF(COUNTIFS(AKTIVITAS!$B$2:$B$3052,B2455,AKTIVITAS!$E$2:$E$3052,H2455)&gt;0,1,0),0)</f>
        <v>0</v>
      </c>
      <c r="V2455" s="71">
        <f>IFERROR(IF(AND(H2455&gt;=INDEX(PEMAGANG!$J$3:$J$36,MATCH(B2455,PEMAGANG!$C$3:$C$36,0)),H2455&lt;=INDEX(PEMAGANG!$K$3:$K$36,MATCH(B2455,PEMAGANG!$C$3:$C$36,0))),1,0),0)</f>
        <v>1</v>
      </c>
      <c r="W2455" s="71">
        <f t="shared" si="350"/>
        <v>0</v>
      </c>
    </row>
    <row r="2456" spans="1:23" x14ac:dyDescent="0.2">
      <c r="A2456" s="71" t="s">
        <v>216</v>
      </c>
      <c r="B2456" s="71" t="s">
        <v>217</v>
      </c>
      <c r="C2456" s="71" t="s">
        <v>187</v>
      </c>
      <c r="D2456" s="71" t="s">
        <v>215</v>
      </c>
      <c r="E2456" s="71" t="s">
        <v>54</v>
      </c>
      <c r="F2456" s="71" t="s">
        <v>300</v>
      </c>
      <c r="G2456" s="88">
        <v>46286.699236111097</v>
      </c>
      <c r="H2456" s="89">
        <v>46286</v>
      </c>
      <c r="I2456" s="71" t="s">
        <v>488</v>
      </c>
      <c r="J2456" s="71">
        <v>0</v>
      </c>
      <c r="K2456" s="71" t="s">
        <v>302</v>
      </c>
      <c r="L2456" s="71">
        <f t="shared" si="342"/>
        <v>9</v>
      </c>
      <c r="M2456" s="71" t="str">
        <f>IFERROR(INDEX(KALENDER!$D$3:$D$132,MATCH(H2456,KALENDER!$A$3:$A$132,0)),"Di luar periode")</f>
        <v>Hari Kerja</v>
      </c>
      <c r="N2456" s="71">
        <f t="shared" si="343"/>
        <v>0</v>
      </c>
      <c r="O2456" s="71">
        <f t="shared" si="344"/>
        <v>2</v>
      </c>
      <c r="P2456" s="71">
        <f t="shared" si="345"/>
        <v>0</v>
      </c>
      <c r="Q2456" s="71">
        <f t="shared" si="346"/>
        <v>0</v>
      </c>
      <c r="R2456" s="71">
        <f t="shared" si="347"/>
        <v>0</v>
      </c>
      <c r="S2456" s="71">
        <f t="shared" si="348"/>
        <v>0</v>
      </c>
      <c r="T2456" s="71">
        <f t="shared" si="349"/>
        <v>0</v>
      </c>
      <c r="U2456" s="71">
        <f>IF(AND(N2456=1,V2456=1),IF(COUNTIFS(AKTIVITAS!$B$2:$B$3052,B2456,AKTIVITAS!$E$2:$E$3052,H2456)&gt;0,1,0),0)</f>
        <v>0</v>
      </c>
      <c r="V2456" s="71">
        <f>IFERROR(IF(AND(H2456&gt;=INDEX(PEMAGANG!$J$3:$J$36,MATCH(B2456,PEMAGANG!$C$3:$C$36,0)),H2456&lt;=INDEX(PEMAGANG!$K$3:$K$36,MATCH(B2456,PEMAGANG!$C$3:$C$36,0))),1,0),0)</f>
        <v>1</v>
      </c>
      <c r="W2456" s="71">
        <f t="shared" si="350"/>
        <v>0</v>
      </c>
    </row>
    <row r="2457" spans="1:23" x14ac:dyDescent="0.2">
      <c r="A2457" s="71" t="s">
        <v>216</v>
      </c>
      <c r="B2457" s="71" t="s">
        <v>217</v>
      </c>
      <c r="C2457" s="71" t="s">
        <v>187</v>
      </c>
      <c r="D2457" s="71" t="s">
        <v>215</v>
      </c>
      <c r="E2457" s="71" t="s">
        <v>490</v>
      </c>
      <c r="F2457" s="71" t="s">
        <v>300</v>
      </c>
      <c r="G2457" s="88">
        <v>46286.699236111097</v>
      </c>
      <c r="H2457" s="89">
        <v>46286</v>
      </c>
      <c r="I2457" s="71" t="s">
        <v>488</v>
      </c>
      <c r="J2457" s="71">
        <v>0</v>
      </c>
      <c r="K2457" s="71" t="s">
        <v>302</v>
      </c>
      <c r="L2457" s="71">
        <f t="shared" si="342"/>
        <v>9</v>
      </c>
      <c r="M2457" s="71" t="str">
        <f>IFERROR(INDEX(KALENDER!$D$3:$D$132,MATCH(H2457,KALENDER!$A$3:$A$132,0)),"Di luar periode")</f>
        <v>Hari Kerja</v>
      </c>
      <c r="N2457" s="71">
        <f t="shared" si="343"/>
        <v>0</v>
      </c>
      <c r="O2457" s="71">
        <f t="shared" si="344"/>
        <v>2</v>
      </c>
      <c r="P2457" s="71">
        <f t="shared" si="345"/>
        <v>0</v>
      </c>
      <c r="Q2457" s="71">
        <f t="shared" si="346"/>
        <v>0</v>
      </c>
      <c r="R2457" s="71">
        <f t="shared" si="347"/>
        <v>0</v>
      </c>
      <c r="S2457" s="71">
        <f t="shared" si="348"/>
        <v>0</v>
      </c>
      <c r="T2457" s="71">
        <f t="shared" si="349"/>
        <v>0</v>
      </c>
      <c r="U2457" s="71">
        <f>IF(AND(N2457=1,V2457=1),IF(COUNTIFS(AKTIVITAS!$B$2:$B$3052,B2457,AKTIVITAS!$E$2:$E$3052,H2457)&gt;0,1,0),0)</f>
        <v>0</v>
      </c>
      <c r="V2457" s="71">
        <f>IFERROR(IF(AND(H2457&gt;=INDEX(PEMAGANG!$J$3:$J$36,MATCH(B2457,PEMAGANG!$C$3:$C$36,0)),H2457&lt;=INDEX(PEMAGANG!$K$3:$K$36,MATCH(B2457,PEMAGANG!$C$3:$C$36,0))),1,0),0)</f>
        <v>1</v>
      </c>
      <c r="W2457" s="71">
        <f t="shared" si="350"/>
        <v>0</v>
      </c>
    </row>
    <row r="2458" spans="1:23" x14ac:dyDescent="0.2">
      <c r="A2458" s="71" t="s">
        <v>216</v>
      </c>
      <c r="B2458" s="71" t="s">
        <v>217</v>
      </c>
      <c r="C2458" s="71" t="s">
        <v>187</v>
      </c>
      <c r="D2458" s="71" t="s">
        <v>215</v>
      </c>
      <c r="E2458" s="71" t="s">
        <v>54</v>
      </c>
      <c r="F2458" s="71" t="s">
        <v>298</v>
      </c>
      <c r="G2458" s="88">
        <v>46287.298379629603</v>
      </c>
      <c r="H2458" s="89">
        <v>46287</v>
      </c>
      <c r="I2458" s="71" t="s">
        <v>479</v>
      </c>
      <c r="J2458" s="71">
        <v>-21</v>
      </c>
      <c r="K2458" s="71" t="s">
        <v>302</v>
      </c>
      <c r="L2458" s="71">
        <f t="shared" si="342"/>
        <v>9</v>
      </c>
      <c r="M2458" s="71" t="str">
        <f>IFERROR(INDEX(KALENDER!$D$3:$D$132,MATCH(H2458,KALENDER!$A$3:$A$132,0)),"Di luar periode")</f>
        <v>Hari Kerja</v>
      </c>
      <c r="N2458" s="71">
        <f t="shared" si="343"/>
        <v>1</v>
      </c>
      <c r="O2458" s="71">
        <f t="shared" si="344"/>
        <v>1</v>
      </c>
      <c r="P2458" s="71">
        <f t="shared" si="345"/>
        <v>1</v>
      </c>
      <c r="Q2458" s="71">
        <f t="shared" si="346"/>
        <v>0</v>
      </c>
      <c r="R2458" s="71">
        <f t="shared" si="347"/>
        <v>0</v>
      </c>
      <c r="S2458" s="71">
        <f t="shared" si="348"/>
        <v>0</v>
      </c>
      <c r="T2458" s="71">
        <f t="shared" si="349"/>
        <v>0</v>
      </c>
      <c r="U2458" s="71">
        <f>IF(AND(N2458=1,V2458=1),IF(COUNTIFS(AKTIVITAS!$B$2:$B$3052,B2458,AKTIVITAS!$E$2:$E$3052,H2458)&gt;0,1,0),0)</f>
        <v>1</v>
      </c>
      <c r="V2458" s="71">
        <f>IFERROR(IF(AND(H2458&gt;=INDEX(PEMAGANG!$J$3:$J$36,MATCH(B2458,PEMAGANG!$C$3:$C$36,0)),H2458&lt;=INDEX(PEMAGANG!$K$3:$K$36,MATCH(B2458,PEMAGANG!$C$3:$C$36,0))),1,0),0)</f>
        <v>1</v>
      </c>
      <c r="W2458" s="71">
        <f t="shared" si="350"/>
        <v>1</v>
      </c>
    </row>
    <row r="2459" spans="1:23" x14ac:dyDescent="0.2">
      <c r="A2459" s="71" t="s">
        <v>216</v>
      </c>
      <c r="B2459" s="71" t="s">
        <v>217</v>
      </c>
      <c r="C2459" s="71" t="s">
        <v>187</v>
      </c>
      <c r="D2459" s="71" t="s">
        <v>215</v>
      </c>
      <c r="E2459" s="71" t="s">
        <v>490</v>
      </c>
      <c r="F2459" s="71" t="s">
        <v>298</v>
      </c>
      <c r="G2459" s="88">
        <v>46287.298379629603</v>
      </c>
      <c r="H2459" s="89">
        <v>46287</v>
      </c>
      <c r="I2459" s="71" t="s">
        <v>479</v>
      </c>
      <c r="J2459" s="71">
        <v>-21</v>
      </c>
      <c r="K2459" s="71" t="s">
        <v>302</v>
      </c>
      <c r="L2459" s="71">
        <f t="shared" si="342"/>
        <v>9</v>
      </c>
      <c r="M2459" s="71" t="str">
        <f>IFERROR(INDEX(KALENDER!$D$3:$D$132,MATCH(H2459,KALENDER!$A$3:$A$132,0)),"Di luar periode")</f>
        <v>Hari Kerja</v>
      </c>
      <c r="N2459" s="71">
        <f t="shared" si="343"/>
        <v>0</v>
      </c>
      <c r="O2459" s="71">
        <f t="shared" si="344"/>
        <v>2</v>
      </c>
      <c r="P2459" s="71">
        <f t="shared" si="345"/>
        <v>0</v>
      </c>
      <c r="Q2459" s="71">
        <f t="shared" si="346"/>
        <v>0</v>
      </c>
      <c r="R2459" s="71">
        <f t="shared" si="347"/>
        <v>0</v>
      </c>
      <c r="S2459" s="71">
        <f t="shared" si="348"/>
        <v>0</v>
      </c>
      <c r="T2459" s="71">
        <f t="shared" si="349"/>
        <v>0</v>
      </c>
      <c r="U2459" s="71">
        <f>IF(AND(N2459=1,V2459=1),IF(COUNTIFS(AKTIVITAS!$B$2:$B$3052,B2459,AKTIVITAS!$E$2:$E$3052,H2459)&gt;0,1,0),0)</f>
        <v>0</v>
      </c>
      <c r="V2459" s="71">
        <f>IFERROR(IF(AND(H2459&gt;=INDEX(PEMAGANG!$J$3:$J$36,MATCH(B2459,PEMAGANG!$C$3:$C$36,0)),H2459&lt;=INDEX(PEMAGANG!$K$3:$K$36,MATCH(B2459,PEMAGANG!$C$3:$C$36,0))),1,0),0)</f>
        <v>1</v>
      </c>
      <c r="W2459" s="71">
        <f t="shared" si="350"/>
        <v>0</v>
      </c>
    </row>
    <row r="2460" spans="1:23" x14ac:dyDescent="0.2">
      <c r="A2460" s="71" t="s">
        <v>216</v>
      </c>
      <c r="B2460" s="71" t="s">
        <v>217</v>
      </c>
      <c r="C2460" s="71" t="s">
        <v>187</v>
      </c>
      <c r="D2460" s="71" t="s">
        <v>215</v>
      </c>
      <c r="E2460" s="71" t="s">
        <v>54</v>
      </c>
      <c r="F2460" s="71" t="s">
        <v>300</v>
      </c>
      <c r="G2460" s="88">
        <v>46287.689201388901</v>
      </c>
      <c r="H2460" s="89">
        <v>46287</v>
      </c>
      <c r="I2460" s="71" t="s">
        <v>306</v>
      </c>
      <c r="J2460" s="71">
        <v>0</v>
      </c>
      <c r="K2460" s="71" t="s">
        <v>302</v>
      </c>
      <c r="L2460" s="71">
        <f t="shared" si="342"/>
        <v>9</v>
      </c>
      <c r="M2460" s="71" t="str">
        <f>IFERROR(INDEX(KALENDER!$D$3:$D$132,MATCH(H2460,KALENDER!$A$3:$A$132,0)),"Di luar periode")</f>
        <v>Hari Kerja</v>
      </c>
      <c r="N2460" s="71">
        <f t="shared" si="343"/>
        <v>0</v>
      </c>
      <c r="O2460" s="71">
        <f t="shared" si="344"/>
        <v>2</v>
      </c>
      <c r="P2460" s="71">
        <f t="shared" si="345"/>
        <v>0</v>
      </c>
      <c r="Q2460" s="71">
        <f t="shared" si="346"/>
        <v>0</v>
      </c>
      <c r="R2460" s="71">
        <f t="shared" si="347"/>
        <v>0</v>
      </c>
      <c r="S2460" s="71">
        <f t="shared" si="348"/>
        <v>0</v>
      </c>
      <c r="T2460" s="71">
        <f t="shared" si="349"/>
        <v>0</v>
      </c>
      <c r="U2460" s="71">
        <f>IF(AND(N2460=1,V2460=1),IF(COUNTIFS(AKTIVITAS!$B$2:$B$3052,B2460,AKTIVITAS!$E$2:$E$3052,H2460)&gt;0,1,0),0)</f>
        <v>0</v>
      </c>
      <c r="V2460" s="71">
        <f>IFERROR(IF(AND(H2460&gt;=INDEX(PEMAGANG!$J$3:$J$36,MATCH(B2460,PEMAGANG!$C$3:$C$36,0)),H2460&lt;=INDEX(PEMAGANG!$K$3:$K$36,MATCH(B2460,PEMAGANG!$C$3:$C$36,0))),1,0),0)</f>
        <v>1</v>
      </c>
      <c r="W2460" s="71">
        <f t="shared" si="350"/>
        <v>0</v>
      </c>
    </row>
    <row r="2461" spans="1:23" x14ac:dyDescent="0.2">
      <c r="A2461" s="71" t="s">
        <v>216</v>
      </c>
      <c r="B2461" s="71" t="s">
        <v>217</v>
      </c>
      <c r="C2461" s="71" t="s">
        <v>187</v>
      </c>
      <c r="D2461" s="71" t="s">
        <v>215</v>
      </c>
      <c r="E2461" s="71" t="s">
        <v>490</v>
      </c>
      <c r="F2461" s="71" t="s">
        <v>300</v>
      </c>
      <c r="G2461" s="88">
        <v>46287.689201388901</v>
      </c>
      <c r="H2461" s="89">
        <v>46287</v>
      </c>
      <c r="I2461" s="71" t="s">
        <v>306</v>
      </c>
      <c r="J2461" s="71">
        <v>0</v>
      </c>
      <c r="K2461" s="71" t="s">
        <v>302</v>
      </c>
      <c r="L2461" s="71">
        <f t="shared" si="342"/>
        <v>9</v>
      </c>
      <c r="M2461" s="71" t="str">
        <f>IFERROR(INDEX(KALENDER!$D$3:$D$132,MATCH(H2461,KALENDER!$A$3:$A$132,0)),"Di luar periode")</f>
        <v>Hari Kerja</v>
      </c>
      <c r="N2461" s="71">
        <f t="shared" si="343"/>
        <v>0</v>
      </c>
      <c r="O2461" s="71">
        <f t="shared" si="344"/>
        <v>2</v>
      </c>
      <c r="P2461" s="71">
        <f t="shared" si="345"/>
        <v>0</v>
      </c>
      <c r="Q2461" s="71">
        <f t="shared" si="346"/>
        <v>0</v>
      </c>
      <c r="R2461" s="71">
        <f t="shared" si="347"/>
        <v>0</v>
      </c>
      <c r="S2461" s="71">
        <f t="shared" si="348"/>
        <v>0</v>
      </c>
      <c r="T2461" s="71">
        <f t="shared" si="349"/>
        <v>0</v>
      </c>
      <c r="U2461" s="71">
        <f>IF(AND(N2461=1,V2461=1),IF(COUNTIFS(AKTIVITAS!$B$2:$B$3052,B2461,AKTIVITAS!$E$2:$E$3052,H2461)&gt;0,1,0),0)</f>
        <v>0</v>
      </c>
      <c r="V2461" s="71">
        <f>IFERROR(IF(AND(H2461&gt;=INDEX(PEMAGANG!$J$3:$J$36,MATCH(B2461,PEMAGANG!$C$3:$C$36,0)),H2461&lt;=INDEX(PEMAGANG!$K$3:$K$36,MATCH(B2461,PEMAGANG!$C$3:$C$36,0))),1,0),0)</f>
        <v>1</v>
      </c>
      <c r="W2461" s="71">
        <f t="shared" si="350"/>
        <v>0</v>
      </c>
    </row>
    <row r="2462" spans="1:23" x14ac:dyDescent="0.2">
      <c r="A2462" s="71" t="s">
        <v>216</v>
      </c>
      <c r="B2462" s="71" t="s">
        <v>217</v>
      </c>
      <c r="C2462" s="71" t="s">
        <v>187</v>
      </c>
      <c r="D2462" s="71" t="s">
        <v>215</v>
      </c>
      <c r="E2462" s="71" t="s">
        <v>54</v>
      </c>
      <c r="F2462" s="71" t="s">
        <v>298</v>
      </c>
      <c r="G2462" s="88">
        <v>46288.300810185203</v>
      </c>
      <c r="H2462" s="89">
        <v>46288</v>
      </c>
      <c r="I2462" s="71" t="s">
        <v>475</v>
      </c>
      <c r="J2462" s="71">
        <v>-17</v>
      </c>
      <c r="K2462" s="71" t="s">
        <v>302</v>
      </c>
      <c r="L2462" s="71">
        <f t="shared" si="342"/>
        <v>9</v>
      </c>
      <c r="M2462" s="71" t="str">
        <f>IFERROR(INDEX(KALENDER!$D$3:$D$132,MATCH(H2462,KALENDER!$A$3:$A$132,0)),"Di luar periode")</f>
        <v>Hari Kerja</v>
      </c>
      <c r="N2462" s="71">
        <f t="shared" si="343"/>
        <v>1</v>
      </c>
      <c r="O2462" s="71">
        <f t="shared" si="344"/>
        <v>1</v>
      </c>
      <c r="P2462" s="71">
        <f t="shared" si="345"/>
        <v>1</v>
      </c>
      <c r="Q2462" s="71">
        <f t="shared" si="346"/>
        <v>0</v>
      </c>
      <c r="R2462" s="71">
        <f t="shared" si="347"/>
        <v>0</v>
      </c>
      <c r="S2462" s="71">
        <f t="shared" si="348"/>
        <v>0</v>
      </c>
      <c r="T2462" s="71">
        <f t="shared" si="349"/>
        <v>0</v>
      </c>
      <c r="U2462" s="71">
        <f>IF(AND(N2462=1,V2462=1),IF(COUNTIFS(AKTIVITAS!$B$2:$B$3052,B2462,AKTIVITAS!$E$2:$E$3052,H2462)&gt;0,1,0),0)</f>
        <v>1</v>
      </c>
      <c r="V2462" s="71">
        <f>IFERROR(IF(AND(H2462&gt;=INDEX(PEMAGANG!$J$3:$J$36,MATCH(B2462,PEMAGANG!$C$3:$C$36,0)),H2462&lt;=INDEX(PEMAGANG!$K$3:$K$36,MATCH(B2462,PEMAGANG!$C$3:$C$36,0))),1,0),0)</f>
        <v>1</v>
      </c>
      <c r="W2462" s="71">
        <f t="shared" si="350"/>
        <v>1</v>
      </c>
    </row>
    <row r="2463" spans="1:23" x14ac:dyDescent="0.2">
      <c r="A2463" s="71" t="s">
        <v>216</v>
      </c>
      <c r="B2463" s="71" t="s">
        <v>217</v>
      </c>
      <c r="C2463" s="71" t="s">
        <v>187</v>
      </c>
      <c r="D2463" s="71" t="s">
        <v>215</v>
      </c>
      <c r="E2463" s="71" t="s">
        <v>490</v>
      </c>
      <c r="F2463" s="71" t="s">
        <v>298</v>
      </c>
      <c r="G2463" s="88">
        <v>46288.300810185203</v>
      </c>
      <c r="H2463" s="89">
        <v>46288</v>
      </c>
      <c r="I2463" s="71" t="s">
        <v>475</v>
      </c>
      <c r="J2463" s="71">
        <v>-17</v>
      </c>
      <c r="K2463" s="71" t="s">
        <v>302</v>
      </c>
      <c r="L2463" s="71">
        <f t="shared" si="342"/>
        <v>9</v>
      </c>
      <c r="M2463" s="71" t="str">
        <f>IFERROR(INDEX(KALENDER!$D$3:$D$132,MATCH(H2463,KALENDER!$A$3:$A$132,0)),"Di luar periode")</f>
        <v>Hari Kerja</v>
      </c>
      <c r="N2463" s="71">
        <f t="shared" si="343"/>
        <v>0</v>
      </c>
      <c r="O2463" s="71">
        <f t="shared" si="344"/>
        <v>2</v>
      </c>
      <c r="P2463" s="71">
        <f t="shared" si="345"/>
        <v>0</v>
      </c>
      <c r="Q2463" s="71">
        <f t="shared" si="346"/>
        <v>0</v>
      </c>
      <c r="R2463" s="71">
        <f t="shared" si="347"/>
        <v>0</v>
      </c>
      <c r="S2463" s="71">
        <f t="shared" si="348"/>
        <v>0</v>
      </c>
      <c r="T2463" s="71">
        <f t="shared" si="349"/>
        <v>0</v>
      </c>
      <c r="U2463" s="71">
        <f>IF(AND(N2463=1,V2463=1),IF(COUNTIFS(AKTIVITAS!$B$2:$B$3052,B2463,AKTIVITAS!$E$2:$E$3052,H2463)&gt;0,1,0),0)</f>
        <v>0</v>
      </c>
      <c r="V2463" s="71">
        <f>IFERROR(IF(AND(H2463&gt;=INDEX(PEMAGANG!$J$3:$J$36,MATCH(B2463,PEMAGANG!$C$3:$C$36,0)),H2463&lt;=INDEX(PEMAGANG!$K$3:$K$36,MATCH(B2463,PEMAGANG!$C$3:$C$36,0))),1,0),0)</f>
        <v>1</v>
      </c>
      <c r="W2463" s="71">
        <f t="shared" si="350"/>
        <v>0</v>
      </c>
    </row>
    <row r="2464" spans="1:23" x14ac:dyDescent="0.2">
      <c r="A2464" s="71" t="s">
        <v>216</v>
      </c>
      <c r="B2464" s="71" t="s">
        <v>217</v>
      </c>
      <c r="C2464" s="71" t="s">
        <v>187</v>
      </c>
      <c r="D2464" s="71" t="s">
        <v>215</v>
      </c>
      <c r="E2464" s="71" t="s">
        <v>54</v>
      </c>
      <c r="F2464" s="71" t="s">
        <v>300</v>
      </c>
      <c r="G2464" s="88">
        <v>46288.688298611101</v>
      </c>
      <c r="H2464" s="89">
        <v>46288</v>
      </c>
      <c r="I2464" s="71" t="s">
        <v>336</v>
      </c>
      <c r="J2464" s="71">
        <v>0</v>
      </c>
      <c r="K2464" s="71" t="s">
        <v>302</v>
      </c>
      <c r="L2464" s="71">
        <f t="shared" si="342"/>
        <v>9</v>
      </c>
      <c r="M2464" s="71" t="str">
        <f>IFERROR(INDEX(KALENDER!$D$3:$D$132,MATCH(H2464,KALENDER!$A$3:$A$132,0)),"Di luar periode")</f>
        <v>Hari Kerja</v>
      </c>
      <c r="N2464" s="71">
        <f t="shared" si="343"/>
        <v>0</v>
      </c>
      <c r="O2464" s="71">
        <f t="shared" si="344"/>
        <v>2</v>
      </c>
      <c r="P2464" s="71">
        <f t="shared" si="345"/>
        <v>0</v>
      </c>
      <c r="Q2464" s="71">
        <f t="shared" si="346"/>
        <v>0</v>
      </c>
      <c r="R2464" s="71">
        <f t="shared" si="347"/>
        <v>0</v>
      </c>
      <c r="S2464" s="71">
        <f t="shared" si="348"/>
        <v>0</v>
      </c>
      <c r="T2464" s="71">
        <f t="shared" si="349"/>
        <v>0</v>
      </c>
      <c r="U2464" s="71">
        <f>IF(AND(N2464=1,V2464=1),IF(COUNTIFS(AKTIVITAS!$B$2:$B$3052,B2464,AKTIVITAS!$E$2:$E$3052,H2464)&gt;0,1,0),0)</f>
        <v>0</v>
      </c>
      <c r="V2464" s="71">
        <f>IFERROR(IF(AND(H2464&gt;=INDEX(PEMAGANG!$J$3:$J$36,MATCH(B2464,PEMAGANG!$C$3:$C$36,0)),H2464&lt;=INDEX(PEMAGANG!$K$3:$K$36,MATCH(B2464,PEMAGANG!$C$3:$C$36,0))),1,0),0)</f>
        <v>1</v>
      </c>
      <c r="W2464" s="71">
        <f t="shared" si="350"/>
        <v>0</v>
      </c>
    </row>
    <row r="2465" spans="1:23" x14ac:dyDescent="0.2">
      <c r="A2465" s="71" t="s">
        <v>216</v>
      </c>
      <c r="B2465" s="71" t="s">
        <v>217</v>
      </c>
      <c r="C2465" s="71" t="s">
        <v>187</v>
      </c>
      <c r="D2465" s="71" t="s">
        <v>215</v>
      </c>
      <c r="E2465" s="71" t="s">
        <v>490</v>
      </c>
      <c r="F2465" s="71" t="s">
        <v>300</v>
      </c>
      <c r="G2465" s="88">
        <v>46288.688298611101</v>
      </c>
      <c r="H2465" s="89">
        <v>46288</v>
      </c>
      <c r="I2465" s="71" t="s">
        <v>336</v>
      </c>
      <c r="J2465" s="71">
        <v>0</v>
      </c>
      <c r="K2465" s="71" t="s">
        <v>302</v>
      </c>
      <c r="L2465" s="71">
        <f t="shared" si="342"/>
        <v>9</v>
      </c>
      <c r="M2465" s="71" t="str">
        <f>IFERROR(INDEX(KALENDER!$D$3:$D$132,MATCH(H2465,KALENDER!$A$3:$A$132,0)),"Di luar periode")</f>
        <v>Hari Kerja</v>
      </c>
      <c r="N2465" s="71">
        <f t="shared" si="343"/>
        <v>0</v>
      </c>
      <c r="O2465" s="71">
        <f t="shared" si="344"/>
        <v>2</v>
      </c>
      <c r="P2465" s="71">
        <f t="shared" si="345"/>
        <v>0</v>
      </c>
      <c r="Q2465" s="71">
        <f t="shared" si="346"/>
        <v>0</v>
      </c>
      <c r="R2465" s="71">
        <f t="shared" si="347"/>
        <v>0</v>
      </c>
      <c r="S2465" s="71">
        <f t="shared" si="348"/>
        <v>0</v>
      </c>
      <c r="T2465" s="71">
        <f t="shared" si="349"/>
        <v>0</v>
      </c>
      <c r="U2465" s="71">
        <f>IF(AND(N2465=1,V2465=1),IF(COUNTIFS(AKTIVITAS!$B$2:$B$3052,B2465,AKTIVITAS!$E$2:$E$3052,H2465)&gt;0,1,0),0)</f>
        <v>0</v>
      </c>
      <c r="V2465" s="71">
        <f>IFERROR(IF(AND(H2465&gt;=INDEX(PEMAGANG!$J$3:$J$36,MATCH(B2465,PEMAGANG!$C$3:$C$36,0)),H2465&lt;=INDEX(PEMAGANG!$K$3:$K$36,MATCH(B2465,PEMAGANG!$C$3:$C$36,0))),1,0),0)</f>
        <v>1</v>
      </c>
      <c r="W2465" s="71">
        <f t="shared" si="350"/>
        <v>0</v>
      </c>
    </row>
    <row r="2466" spans="1:23" x14ac:dyDescent="0.2">
      <c r="A2466" s="71" t="s">
        <v>216</v>
      </c>
      <c r="B2466" s="71" t="s">
        <v>217</v>
      </c>
      <c r="C2466" s="71" t="s">
        <v>187</v>
      </c>
      <c r="D2466" s="71" t="s">
        <v>215</v>
      </c>
      <c r="E2466" s="71" t="s">
        <v>54</v>
      </c>
      <c r="F2466" s="71" t="s">
        <v>298</v>
      </c>
      <c r="G2466" s="88">
        <v>46289.299814814804</v>
      </c>
      <c r="H2466" s="89">
        <v>46289</v>
      </c>
      <c r="I2466" s="71" t="s">
        <v>402</v>
      </c>
      <c r="J2466" s="71">
        <v>-19</v>
      </c>
      <c r="K2466" s="71" t="s">
        <v>302</v>
      </c>
      <c r="L2466" s="71">
        <f t="shared" si="342"/>
        <v>9</v>
      </c>
      <c r="M2466" s="71" t="str">
        <f>IFERROR(INDEX(KALENDER!$D$3:$D$132,MATCH(H2466,KALENDER!$A$3:$A$132,0)),"Di luar periode")</f>
        <v>Hari Kerja</v>
      </c>
      <c r="N2466" s="71">
        <f t="shared" si="343"/>
        <v>1</v>
      </c>
      <c r="O2466" s="71">
        <f t="shared" si="344"/>
        <v>1</v>
      </c>
      <c r="P2466" s="71">
        <f t="shared" si="345"/>
        <v>1</v>
      </c>
      <c r="Q2466" s="71">
        <f t="shared" si="346"/>
        <v>0</v>
      </c>
      <c r="R2466" s="71">
        <f t="shared" si="347"/>
        <v>0</v>
      </c>
      <c r="S2466" s="71">
        <f t="shared" si="348"/>
        <v>0</v>
      </c>
      <c r="T2466" s="71">
        <f t="shared" si="349"/>
        <v>0</v>
      </c>
      <c r="U2466" s="71">
        <f>IF(AND(N2466=1,V2466=1),IF(COUNTIFS(AKTIVITAS!$B$2:$B$3052,B2466,AKTIVITAS!$E$2:$E$3052,H2466)&gt;0,1,0),0)</f>
        <v>1</v>
      </c>
      <c r="V2466" s="71">
        <f>IFERROR(IF(AND(H2466&gt;=INDEX(PEMAGANG!$J$3:$J$36,MATCH(B2466,PEMAGANG!$C$3:$C$36,0)),H2466&lt;=INDEX(PEMAGANG!$K$3:$K$36,MATCH(B2466,PEMAGANG!$C$3:$C$36,0))),1,0),0)</f>
        <v>1</v>
      </c>
      <c r="W2466" s="71">
        <f t="shared" si="350"/>
        <v>1</v>
      </c>
    </row>
    <row r="2467" spans="1:23" x14ac:dyDescent="0.2">
      <c r="A2467" s="71" t="s">
        <v>216</v>
      </c>
      <c r="B2467" s="71" t="s">
        <v>217</v>
      </c>
      <c r="C2467" s="71" t="s">
        <v>187</v>
      </c>
      <c r="D2467" s="71" t="s">
        <v>215</v>
      </c>
      <c r="E2467" s="71" t="s">
        <v>490</v>
      </c>
      <c r="F2467" s="71" t="s">
        <v>298</v>
      </c>
      <c r="G2467" s="88">
        <v>46289.299814814804</v>
      </c>
      <c r="H2467" s="89">
        <v>46289</v>
      </c>
      <c r="I2467" s="71" t="s">
        <v>402</v>
      </c>
      <c r="J2467" s="71">
        <v>-19</v>
      </c>
      <c r="K2467" s="71" t="s">
        <v>302</v>
      </c>
      <c r="L2467" s="71">
        <f t="shared" si="342"/>
        <v>9</v>
      </c>
      <c r="M2467" s="71" t="str">
        <f>IFERROR(INDEX(KALENDER!$D$3:$D$132,MATCH(H2467,KALENDER!$A$3:$A$132,0)),"Di luar periode")</f>
        <v>Hari Kerja</v>
      </c>
      <c r="N2467" s="71">
        <f t="shared" si="343"/>
        <v>0</v>
      </c>
      <c r="O2467" s="71">
        <f t="shared" si="344"/>
        <v>2</v>
      </c>
      <c r="P2467" s="71">
        <f t="shared" si="345"/>
        <v>0</v>
      </c>
      <c r="Q2467" s="71">
        <f t="shared" si="346"/>
        <v>0</v>
      </c>
      <c r="R2467" s="71">
        <f t="shared" si="347"/>
        <v>0</v>
      </c>
      <c r="S2467" s="71">
        <f t="shared" si="348"/>
        <v>0</v>
      </c>
      <c r="T2467" s="71">
        <f t="shared" si="349"/>
        <v>0</v>
      </c>
      <c r="U2467" s="71">
        <f>IF(AND(N2467=1,V2467=1),IF(COUNTIFS(AKTIVITAS!$B$2:$B$3052,B2467,AKTIVITAS!$E$2:$E$3052,H2467)&gt;0,1,0),0)</f>
        <v>0</v>
      </c>
      <c r="V2467" s="71">
        <f>IFERROR(IF(AND(H2467&gt;=INDEX(PEMAGANG!$J$3:$J$36,MATCH(B2467,PEMAGANG!$C$3:$C$36,0)),H2467&lt;=INDEX(PEMAGANG!$K$3:$K$36,MATCH(B2467,PEMAGANG!$C$3:$C$36,0))),1,0),0)</f>
        <v>1</v>
      </c>
      <c r="W2467" s="71">
        <f t="shared" si="350"/>
        <v>0</v>
      </c>
    </row>
    <row r="2468" spans="1:23" x14ac:dyDescent="0.2">
      <c r="A2468" s="71" t="s">
        <v>216</v>
      </c>
      <c r="B2468" s="71" t="s">
        <v>217</v>
      </c>
      <c r="C2468" s="71" t="s">
        <v>187</v>
      </c>
      <c r="D2468" s="71" t="s">
        <v>215</v>
      </c>
      <c r="E2468" s="71" t="s">
        <v>54</v>
      </c>
      <c r="F2468" s="71" t="s">
        <v>300</v>
      </c>
      <c r="G2468" s="88">
        <v>46289.6882175926</v>
      </c>
      <c r="H2468" s="89">
        <v>46289</v>
      </c>
      <c r="I2468" s="71" t="s">
        <v>336</v>
      </c>
      <c r="J2468" s="71">
        <v>0</v>
      </c>
      <c r="K2468" s="71" t="s">
        <v>302</v>
      </c>
      <c r="L2468" s="71">
        <f t="shared" si="342"/>
        <v>9</v>
      </c>
      <c r="M2468" s="71" t="str">
        <f>IFERROR(INDEX(KALENDER!$D$3:$D$132,MATCH(H2468,KALENDER!$A$3:$A$132,0)),"Di luar periode")</f>
        <v>Hari Kerja</v>
      </c>
      <c r="N2468" s="71">
        <f t="shared" si="343"/>
        <v>0</v>
      </c>
      <c r="O2468" s="71">
        <f t="shared" si="344"/>
        <v>2</v>
      </c>
      <c r="P2468" s="71">
        <f t="shared" si="345"/>
        <v>0</v>
      </c>
      <c r="Q2468" s="71">
        <f t="shared" si="346"/>
        <v>0</v>
      </c>
      <c r="R2468" s="71">
        <f t="shared" si="347"/>
        <v>0</v>
      </c>
      <c r="S2468" s="71">
        <f t="shared" si="348"/>
        <v>0</v>
      </c>
      <c r="T2468" s="71">
        <f t="shared" si="349"/>
        <v>0</v>
      </c>
      <c r="U2468" s="71">
        <f>IF(AND(N2468=1,V2468=1),IF(COUNTIFS(AKTIVITAS!$B$2:$B$3052,B2468,AKTIVITAS!$E$2:$E$3052,H2468)&gt;0,1,0),0)</f>
        <v>0</v>
      </c>
      <c r="V2468" s="71">
        <f>IFERROR(IF(AND(H2468&gt;=INDEX(PEMAGANG!$J$3:$J$36,MATCH(B2468,PEMAGANG!$C$3:$C$36,0)),H2468&lt;=INDEX(PEMAGANG!$K$3:$K$36,MATCH(B2468,PEMAGANG!$C$3:$C$36,0))),1,0),0)</f>
        <v>1</v>
      </c>
      <c r="W2468" s="71">
        <f t="shared" si="350"/>
        <v>0</v>
      </c>
    </row>
    <row r="2469" spans="1:23" x14ac:dyDescent="0.2">
      <c r="A2469" s="71" t="s">
        <v>216</v>
      </c>
      <c r="B2469" s="71" t="s">
        <v>217</v>
      </c>
      <c r="C2469" s="71" t="s">
        <v>187</v>
      </c>
      <c r="D2469" s="71" t="s">
        <v>215</v>
      </c>
      <c r="E2469" s="71" t="s">
        <v>490</v>
      </c>
      <c r="F2469" s="71" t="s">
        <v>300</v>
      </c>
      <c r="G2469" s="88">
        <v>46289.6882175926</v>
      </c>
      <c r="H2469" s="89">
        <v>46289</v>
      </c>
      <c r="I2469" s="71" t="s">
        <v>336</v>
      </c>
      <c r="J2469" s="71">
        <v>0</v>
      </c>
      <c r="K2469" s="71" t="s">
        <v>302</v>
      </c>
      <c r="L2469" s="71">
        <f t="shared" si="342"/>
        <v>9</v>
      </c>
      <c r="M2469" s="71" t="str">
        <f>IFERROR(INDEX(KALENDER!$D$3:$D$132,MATCH(H2469,KALENDER!$A$3:$A$132,0)),"Di luar periode")</f>
        <v>Hari Kerja</v>
      </c>
      <c r="N2469" s="71">
        <f t="shared" si="343"/>
        <v>0</v>
      </c>
      <c r="O2469" s="71">
        <f t="shared" si="344"/>
        <v>2</v>
      </c>
      <c r="P2469" s="71">
        <f t="shared" si="345"/>
        <v>0</v>
      </c>
      <c r="Q2469" s="71">
        <f t="shared" si="346"/>
        <v>0</v>
      </c>
      <c r="R2469" s="71">
        <f t="shared" si="347"/>
        <v>0</v>
      </c>
      <c r="S2469" s="71">
        <f t="shared" si="348"/>
        <v>0</v>
      </c>
      <c r="T2469" s="71">
        <f t="shared" si="349"/>
        <v>0</v>
      </c>
      <c r="U2469" s="71">
        <f>IF(AND(N2469=1,V2469=1),IF(COUNTIFS(AKTIVITAS!$B$2:$B$3052,B2469,AKTIVITAS!$E$2:$E$3052,H2469)&gt;0,1,0),0)</f>
        <v>0</v>
      </c>
      <c r="V2469" s="71">
        <f>IFERROR(IF(AND(H2469&gt;=INDEX(PEMAGANG!$J$3:$J$36,MATCH(B2469,PEMAGANG!$C$3:$C$36,0)),H2469&lt;=INDEX(PEMAGANG!$K$3:$K$36,MATCH(B2469,PEMAGANG!$C$3:$C$36,0))),1,0),0)</f>
        <v>1</v>
      </c>
      <c r="W2469" s="71">
        <f t="shared" si="350"/>
        <v>0</v>
      </c>
    </row>
    <row r="2470" spans="1:23" x14ac:dyDescent="0.2">
      <c r="A2470" s="71" t="s">
        <v>216</v>
      </c>
      <c r="B2470" s="71" t="s">
        <v>217</v>
      </c>
      <c r="C2470" s="71" t="s">
        <v>187</v>
      </c>
      <c r="D2470" s="71" t="s">
        <v>215</v>
      </c>
      <c r="E2470" s="71" t="s">
        <v>54</v>
      </c>
      <c r="F2470" s="71" t="s">
        <v>298</v>
      </c>
      <c r="G2470" s="88">
        <v>46290.300833333298</v>
      </c>
      <c r="H2470" s="89">
        <v>46290</v>
      </c>
      <c r="I2470" s="71" t="s">
        <v>475</v>
      </c>
      <c r="J2470" s="71">
        <v>-17</v>
      </c>
      <c r="K2470" s="71" t="s">
        <v>302</v>
      </c>
      <c r="L2470" s="71">
        <f t="shared" si="342"/>
        <v>9</v>
      </c>
      <c r="M2470" s="71" t="str">
        <f>IFERROR(INDEX(KALENDER!$D$3:$D$132,MATCH(H2470,KALENDER!$A$3:$A$132,0)),"Di luar periode")</f>
        <v>Hari Kerja</v>
      </c>
      <c r="N2470" s="71">
        <f t="shared" si="343"/>
        <v>1</v>
      </c>
      <c r="O2470" s="71">
        <f t="shared" si="344"/>
        <v>1</v>
      </c>
      <c r="P2470" s="71">
        <f t="shared" si="345"/>
        <v>1</v>
      </c>
      <c r="Q2470" s="71">
        <f t="shared" si="346"/>
        <v>0</v>
      </c>
      <c r="R2470" s="71">
        <f t="shared" si="347"/>
        <v>0</v>
      </c>
      <c r="S2470" s="71">
        <f t="shared" si="348"/>
        <v>0</v>
      </c>
      <c r="T2470" s="71">
        <f t="shared" si="349"/>
        <v>0</v>
      </c>
      <c r="U2470" s="71">
        <f>IF(AND(N2470=1,V2470=1),IF(COUNTIFS(AKTIVITAS!$B$2:$B$3052,B2470,AKTIVITAS!$E$2:$E$3052,H2470)&gt;0,1,0),0)</f>
        <v>1</v>
      </c>
      <c r="V2470" s="71">
        <f>IFERROR(IF(AND(H2470&gt;=INDEX(PEMAGANG!$J$3:$J$36,MATCH(B2470,PEMAGANG!$C$3:$C$36,0)),H2470&lt;=INDEX(PEMAGANG!$K$3:$K$36,MATCH(B2470,PEMAGANG!$C$3:$C$36,0))),1,0),0)</f>
        <v>1</v>
      </c>
      <c r="W2470" s="71">
        <f t="shared" si="350"/>
        <v>1</v>
      </c>
    </row>
    <row r="2471" spans="1:23" x14ac:dyDescent="0.2">
      <c r="A2471" s="71" t="s">
        <v>216</v>
      </c>
      <c r="B2471" s="71" t="s">
        <v>217</v>
      </c>
      <c r="C2471" s="71" t="s">
        <v>187</v>
      </c>
      <c r="D2471" s="71" t="s">
        <v>215</v>
      </c>
      <c r="E2471" s="71" t="s">
        <v>490</v>
      </c>
      <c r="F2471" s="71" t="s">
        <v>298</v>
      </c>
      <c r="G2471" s="88">
        <v>46290.300833333298</v>
      </c>
      <c r="H2471" s="89">
        <v>46290</v>
      </c>
      <c r="I2471" s="71" t="s">
        <v>475</v>
      </c>
      <c r="J2471" s="71">
        <v>-17</v>
      </c>
      <c r="K2471" s="71" t="s">
        <v>302</v>
      </c>
      <c r="L2471" s="71">
        <f t="shared" si="342"/>
        <v>9</v>
      </c>
      <c r="M2471" s="71" t="str">
        <f>IFERROR(INDEX(KALENDER!$D$3:$D$132,MATCH(H2471,KALENDER!$A$3:$A$132,0)),"Di luar periode")</f>
        <v>Hari Kerja</v>
      </c>
      <c r="N2471" s="71">
        <f t="shared" si="343"/>
        <v>0</v>
      </c>
      <c r="O2471" s="71">
        <f t="shared" si="344"/>
        <v>2</v>
      </c>
      <c r="P2471" s="71">
        <f t="shared" si="345"/>
        <v>0</v>
      </c>
      <c r="Q2471" s="71">
        <f t="shared" si="346"/>
        <v>0</v>
      </c>
      <c r="R2471" s="71">
        <f t="shared" si="347"/>
        <v>0</v>
      </c>
      <c r="S2471" s="71">
        <f t="shared" si="348"/>
        <v>0</v>
      </c>
      <c r="T2471" s="71">
        <f t="shared" si="349"/>
        <v>0</v>
      </c>
      <c r="U2471" s="71">
        <f>IF(AND(N2471=1,V2471=1),IF(COUNTIFS(AKTIVITAS!$B$2:$B$3052,B2471,AKTIVITAS!$E$2:$E$3052,H2471)&gt;0,1,0),0)</f>
        <v>0</v>
      </c>
      <c r="V2471" s="71">
        <f>IFERROR(IF(AND(H2471&gt;=INDEX(PEMAGANG!$J$3:$J$36,MATCH(B2471,PEMAGANG!$C$3:$C$36,0)),H2471&lt;=INDEX(PEMAGANG!$K$3:$K$36,MATCH(B2471,PEMAGANG!$C$3:$C$36,0))),1,0),0)</f>
        <v>1</v>
      </c>
      <c r="W2471" s="71">
        <f t="shared" si="350"/>
        <v>0</v>
      </c>
    </row>
    <row r="2472" spans="1:23" x14ac:dyDescent="0.2">
      <c r="A2472" s="71" t="s">
        <v>216</v>
      </c>
      <c r="B2472" s="71" t="s">
        <v>217</v>
      </c>
      <c r="C2472" s="71" t="s">
        <v>187</v>
      </c>
      <c r="D2472" s="71" t="s">
        <v>215</v>
      </c>
      <c r="E2472" s="71" t="s">
        <v>54</v>
      </c>
      <c r="F2472" s="71" t="s">
        <v>300</v>
      </c>
      <c r="G2472" s="88">
        <v>46290.688495370399</v>
      </c>
      <c r="H2472" s="89">
        <v>46290</v>
      </c>
      <c r="I2472" s="71" t="s">
        <v>336</v>
      </c>
      <c r="J2472" s="71">
        <v>0</v>
      </c>
      <c r="K2472" s="71" t="s">
        <v>302</v>
      </c>
      <c r="L2472" s="71">
        <f t="shared" si="342"/>
        <v>9</v>
      </c>
      <c r="M2472" s="71" t="str">
        <f>IFERROR(INDEX(KALENDER!$D$3:$D$132,MATCH(H2472,KALENDER!$A$3:$A$132,0)),"Di luar periode")</f>
        <v>Hari Kerja</v>
      </c>
      <c r="N2472" s="71">
        <f t="shared" si="343"/>
        <v>0</v>
      </c>
      <c r="O2472" s="71">
        <f t="shared" si="344"/>
        <v>2</v>
      </c>
      <c r="P2472" s="71">
        <f t="shared" si="345"/>
        <v>0</v>
      </c>
      <c r="Q2472" s="71">
        <f t="shared" si="346"/>
        <v>0</v>
      </c>
      <c r="R2472" s="71">
        <f t="shared" si="347"/>
        <v>0</v>
      </c>
      <c r="S2472" s="71">
        <f t="shared" si="348"/>
        <v>0</v>
      </c>
      <c r="T2472" s="71">
        <f t="shared" si="349"/>
        <v>0</v>
      </c>
      <c r="U2472" s="71">
        <f>IF(AND(N2472=1,V2472=1),IF(COUNTIFS(AKTIVITAS!$B$2:$B$3052,B2472,AKTIVITAS!$E$2:$E$3052,H2472)&gt;0,1,0),0)</f>
        <v>0</v>
      </c>
      <c r="V2472" s="71">
        <f>IFERROR(IF(AND(H2472&gt;=INDEX(PEMAGANG!$J$3:$J$36,MATCH(B2472,PEMAGANG!$C$3:$C$36,0)),H2472&lt;=INDEX(PEMAGANG!$K$3:$K$36,MATCH(B2472,PEMAGANG!$C$3:$C$36,0))),1,0),0)</f>
        <v>1</v>
      </c>
      <c r="W2472" s="71">
        <f t="shared" si="350"/>
        <v>0</v>
      </c>
    </row>
    <row r="2473" spans="1:23" x14ac:dyDescent="0.2">
      <c r="A2473" s="71" t="s">
        <v>216</v>
      </c>
      <c r="B2473" s="71" t="s">
        <v>217</v>
      </c>
      <c r="C2473" s="71" t="s">
        <v>187</v>
      </c>
      <c r="D2473" s="71" t="s">
        <v>215</v>
      </c>
      <c r="E2473" s="71" t="s">
        <v>490</v>
      </c>
      <c r="F2473" s="71" t="s">
        <v>300</v>
      </c>
      <c r="G2473" s="88">
        <v>46290.688495370399</v>
      </c>
      <c r="H2473" s="89">
        <v>46290</v>
      </c>
      <c r="I2473" s="71" t="s">
        <v>336</v>
      </c>
      <c r="J2473" s="71">
        <v>0</v>
      </c>
      <c r="K2473" s="71" t="s">
        <v>302</v>
      </c>
      <c r="L2473" s="71">
        <f t="shared" si="342"/>
        <v>9</v>
      </c>
      <c r="M2473" s="71" t="str">
        <f>IFERROR(INDEX(KALENDER!$D$3:$D$132,MATCH(H2473,KALENDER!$A$3:$A$132,0)),"Di luar periode")</f>
        <v>Hari Kerja</v>
      </c>
      <c r="N2473" s="71">
        <f t="shared" si="343"/>
        <v>0</v>
      </c>
      <c r="O2473" s="71">
        <f t="shared" si="344"/>
        <v>2</v>
      </c>
      <c r="P2473" s="71">
        <f t="shared" si="345"/>
        <v>0</v>
      </c>
      <c r="Q2473" s="71">
        <f t="shared" si="346"/>
        <v>0</v>
      </c>
      <c r="R2473" s="71">
        <f t="shared" si="347"/>
        <v>0</v>
      </c>
      <c r="S2473" s="71">
        <f t="shared" si="348"/>
        <v>0</v>
      </c>
      <c r="T2473" s="71">
        <f t="shared" si="349"/>
        <v>0</v>
      </c>
      <c r="U2473" s="71">
        <f>IF(AND(N2473=1,V2473=1),IF(COUNTIFS(AKTIVITAS!$B$2:$B$3052,B2473,AKTIVITAS!$E$2:$E$3052,H2473)&gt;0,1,0),0)</f>
        <v>0</v>
      </c>
      <c r="V2473" s="71">
        <f>IFERROR(IF(AND(H2473&gt;=INDEX(PEMAGANG!$J$3:$J$36,MATCH(B2473,PEMAGANG!$C$3:$C$36,0)),H2473&lt;=INDEX(PEMAGANG!$K$3:$K$36,MATCH(B2473,PEMAGANG!$C$3:$C$36,0))),1,0),0)</f>
        <v>1</v>
      </c>
      <c r="W2473" s="71">
        <f t="shared" si="350"/>
        <v>0</v>
      </c>
    </row>
    <row r="2474" spans="1:23" x14ac:dyDescent="0.2">
      <c r="A2474" s="71" t="s">
        <v>193</v>
      </c>
      <c r="B2474" s="71" t="s">
        <v>194</v>
      </c>
      <c r="C2474" s="71" t="s">
        <v>187</v>
      </c>
      <c r="D2474" s="71" t="s">
        <v>185</v>
      </c>
      <c r="E2474" s="71" t="s">
        <v>47</v>
      </c>
      <c r="F2474" s="71" t="s">
        <v>298</v>
      </c>
      <c r="G2474" s="88">
        <v>46175.313634259299</v>
      </c>
      <c r="H2474" s="89">
        <v>46175</v>
      </c>
      <c r="I2474" s="71" t="s">
        <v>392</v>
      </c>
      <c r="J2474" s="71">
        <v>0.999999999999996</v>
      </c>
      <c r="K2474" s="71" t="s">
        <v>293</v>
      </c>
      <c r="L2474" s="71">
        <f t="shared" si="342"/>
        <v>6</v>
      </c>
      <c r="M2474" s="71" t="str">
        <f>IFERROR(INDEX(KALENDER!$D$3:$D$132,MATCH(H2474,KALENDER!$A$3:$A$132,0)),"Di luar periode")</f>
        <v>Hari Kerja</v>
      </c>
      <c r="N2474" s="71">
        <f t="shared" si="343"/>
        <v>1</v>
      </c>
      <c r="O2474" s="71">
        <f t="shared" si="344"/>
        <v>1</v>
      </c>
      <c r="P2474" s="71">
        <f t="shared" si="345"/>
        <v>1</v>
      </c>
      <c r="Q2474" s="71">
        <f t="shared" si="346"/>
        <v>0</v>
      </c>
      <c r="R2474" s="71">
        <f t="shared" si="347"/>
        <v>1</v>
      </c>
      <c r="S2474" s="71">
        <f t="shared" si="348"/>
        <v>0.999999999999996</v>
      </c>
      <c r="T2474" s="71">
        <f t="shared" si="349"/>
        <v>0</v>
      </c>
      <c r="U2474" s="71">
        <f>IF(AND(N2474=1,V2474=1),IF(COUNTIFS(AKTIVITAS!$B$2:$B$3052,B2474,AKTIVITAS!$E$2:$E$3052,H2474)&gt;0,1,0),0)</f>
        <v>1</v>
      </c>
      <c r="V2474" s="71">
        <f>IFERROR(IF(AND(H2474&gt;=INDEX(PEMAGANG!$J$3:$J$36,MATCH(B2474,PEMAGANG!$C$3:$C$36,0)),H2474&lt;=INDEX(PEMAGANG!$K$3:$K$36,MATCH(B2474,PEMAGANG!$C$3:$C$36,0))),1,0),0)</f>
        <v>1</v>
      </c>
      <c r="W2474" s="71">
        <f t="shared" si="350"/>
        <v>1</v>
      </c>
    </row>
    <row r="2475" spans="1:23" x14ac:dyDescent="0.2">
      <c r="A2475" s="71" t="s">
        <v>193</v>
      </c>
      <c r="B2475" s="71" t="s">
        <v>194</v>
      </c>
      <c r="C2475" s="71" t="s">
        <v>187</v>
      </c>
      <c r="D2475" s="71" t="s">
        <v>185</v>
      </c>
      <c r="E2475" s="71" t="s">
        <v>47</v>
      </c>
      <c r="F2475" s="71" t="s">
        <v>300</v>
      </c>
      <c r="G2475" s="88">
        <v>46175.691678240699</v>
      </c>
      <c r="H2475" s="89">
        <v>46175</v>
      </c>
      <c r="I2475" s="71" t="s">
        <v>344</v>
      </c>
      <c r="J2475" s="71">
        <v>0</v>
      </c>
      <c r="K2475" s="71" t="s">
        <v>302</v>
      </c>
      <c r="L2475" s="71">
        <f t="shared" si="342"/>
        <v>6</v>
      </c>
      <c r="M2475" s="71" t="str">
        <f>IFERROR(INDEX(KALENDER!$D$3:$D$132,MATCH(H2475,KALENDER!$A$3:$A$132,0)),"Di luar periode")</f>
        <v>Hari Kerja</v>
      </c>
      <c r="N2475" s="71">
        <f t="shared" si="343"/>
        <v>0</v>
      </c>
      <c r="O2475" s="71">
        <f t="shared" si="344"/>
        <v>1</v>
      </c>
      <c r="P2475" s="71">
        <f t="shared" si="345"/>
        <v>0</v>
      </c>
      <c r="Q2475" s="71">
        <f t="shared" si="346"/>
        <v>0</v>
      </c>
      <c r="R2475" s="71">
        <f t="shared" si="347"/>
        <v>0</v>
      </c>
      <c r="S2475" s="71">
        <f t="shared" si="348"/>
        <v>0</v>
      </c>
      <c r="T2475" s="71">
        <f t="shared" si="349"/>
        <v>0</v>
      </c>
      <c r="U2475" s="71">
        <f>IF(AND(N2475=1,V2475=1),IF(COUNTIFS(AKTIVITAS!$B$2:$B$3052,B2475,AKTIVITAS!$E$2:$E$3052,H2475)&gt;0,1,0),0)</f>
        <v>0</v>
      </c>
      <c r="V2475" s="71">
        <f>IFERROR(IF(AND(H2475&gt;=INDEX(PEMAGANG!$J$3:$J$36,MATCH(B2475,PEMAGANG!$C$3:$C$36,0)),H2475&lt;=INDEX(PEMAGANG!$K$3:$K$36,MATCH(B2475,PEMAGANG!$C$3:$C$36,0))),1,0),0)</f>
        <v>1</v>
      </c>
      <c r="W2475" s="71">
        <f t="shared" si="350"/>
        <v>0</v>
      </c>
    </row>
    <row r="2476" spans="1:23" x14ac:dyDescent="0.2">
      <c r="A2476" s="71" t="s">
        <v>193</v>
      </c>
      <c r="B2476" s="71" t="s">
        <v>194</v>
      </c>
      <c r="C2476" s="71" t="s">
        <v>187</v>
      </c>
      <c r="D2476" s="71" t="s">
        <v>185</v>
      </c>
      <c r="E2476" s="71" t="s">
        <v>47</v>
      </c>
      <c r="F2476" s="71" t="s">
        <v>298</v>
      </c>
      <c r="G2476" s="88">
        <v>46176.307106481501</v>
      </c>
      <c r="H2476" s="89">
        <v>46176</v>
      </c>
      <c r="I2476" s="71" t="s">
        <v>313</v>
      </c>
      <c r="J2476" s="71">
        <v>-8.0000000000000497</v>
      </c>
      <c r="K2476" s="71" t="s">
        <v>302</v>
      </c>
      <c r="L2476" s="71">
        <f t="shared" si="342"/>
        <v>6</v>
      </c>
      <c r="M2476" s="71" t="str">
        <f>IFERROR(INDEX(KALENDER!$D$3:$D$132,MATCH(H2476,KALENDER!$A$3:$A$132,0)),"Di luar periode")</f>
        <v>WFH</v>
      </c>
      <c r="N2476" s="71">
        <f t="shared" si="343"/>
        <v>1</v>
      </c>
      <c r="O2476" s="71">
        <f t="shared" si="344"/>
        <v>1</v>
      </c>
      <c r="P2476" s="71">
        <f t="shared" si="345"/>
        <v>0</v>
      </c>
      <c r="Q2476" s="71">
        <f t="shared" si="346"/>
        <v>1</v>
      </c>
      <c r="R2476" s="71">
        <f t="shared" si="347"/>
        <v>0</v>
      </c>
      <c r="S2476" s="71">
        <f t="shared" si="348"/>
        <v>0</v>
      </c>
      <c r="T2476" s="71">
        <f t="shared" si="349"/>
        <v>0</v>
      </c>
      <c r="U2476" s="71">
        <f>IF(AND(N2476=1,V2476=1),IF(COUNTIFS(AKTIVITAS!$B$2:$B$3052,B2476,AKTIVITAS!$E$2:$E$3052,H2476)&gt;0,1,0),0)</f>
        <v>1</v>
      </c>
      <c r="V2476" s="71">
        <f>IFERROR(IF(AND(H2476&gt;=INDEX(PEMAGANG!$J$3:$J$36,MATCH(B2476,PEMAGANG!$C$3:$C$36,0)),H2476&lt;=INDEX(PEMAGANG!$K$3:$K$36,MATCH(B2476,PEMAGANG!$C$3:$C$36,0))),1,0),0)</f>
        <v>1</v>
      </c>
      <c r="W2476" s="71">
        <f t="shared" si="350"/>
        <v>1</v>
      </c>
    </row>
    <row r="2477" spans="1:23" x14ac:dyDescent="0.2">
      <c r="A2477" s="71" t="s">
        <v>193</v>
      </c>
      <c r="B2477" s="71" t="s">
        <v>194</v>
      </c>
      <c r="C2477" s="71" t="s">
        <v>187</v>
      </c>
      <c r="D2477" s="71" t="s">
        <v>185</v>
      </c>
      <c r="E2477" s="71" t="s">
        <v>47</v>
      </c>
      <c r="F2477" s="71" t="s">
        <v>300</v>
      </c>
      <c r="G2477" s="88">
        <v>46176.749398148197</v>
      </c>
      <c r="H2477" s="89">
        <v>46176</v>
      </c>
      <c r="I2477" s="71" t="s">
        <v>414</v>
      </c>
      <c r="J2477" s="71">
        <v>0</v>
      </c>
      <c r="K2477" s="71" t="s">
        <v>302</v>
      </c>
      <c r="L2477" s="71">
        <f t="shared" si="342"/>
        <v>6</v>
      </c>
      <c r="M2477" s="71" t="str">
        <f>IFERROR(INDEX(KALENDER!$D$3:$D$132,MATCH(H2477,KALENDER!$A$3:$A$132,0)),"Di luar periode")</f>
        <v>WFH</v>
      </c>
      <c r="N2477" s="71">
        <f t="shared" si="343"/>
        <v>0</v>
      </c>
      <c r="O2477" s="71">
        <f t="shared" si="344"/>
        <v>1</v>
      </c>
      <c r="P2477" s="71">
        <f t="shared" si="345"/>
        <v>0</v>
      </c>
      <c r="Q2477" s="71">
        <f t="shared" si="346"/>
        <v>0</v>
      </c>
      <c r="R2477" s="71">
        <f t="shared" si="347"/>
        <v>0</v>
      </c>
      <c r="S2477" s="71">
        <f t="shared" si="348"/>
        <v>0</v>
      </c>
      <c r="T2477" s="71">
        <f t="shared" si="349"/>
        <v>0</v>
      </c>
      <c r="U2477" s="71">
        <f>IF(AND(N2477=1,V2477=1),IF(COUNTIFS(AKTIVITAS!$B$2:$B$3052,B2477,AKTIVITAS!$E$2:$E$3052,H2477)&gt;0,1,0),0)</f>
        <v>0</v>
      </c>
      <c r="V2477" s="71">
        <f>IFERROR(IF(AND(H2477&gt;=INDEX(PEMAGANG!$J$3:$J$36,MATCH(B2477,PEMAGANG!$C$3:$C$36,0)),H2477&lt;=INDEX(PEMAGANG!$K$3:$K$36,MATCH(B2477,PEMAGANG!$C$3:$C$36,0))),1,0),0)</f>
        <v>1</v>
      </c>
      <c r="W2477" s="71">
        <f t="shared" si="350"/>
        <v>0</v>
      </c>
    </row>
    <row r="2478" spans="1:23" x14ac:dyDescent="0.2">
      <c r="A2478" s="71" t="s">
        <v>193</v>
      </c>
      <c r="B2478" s="71" t="s">
        <v>194</v>
      </c>
      <c r="C2478" s="71" t="s">
        <v>187</v>
      </c>
      <c r="D2478" s="71" t="s">
        <v>185</v>
      </c>
      <c r="E2478" s="71" t="s">
        <v>47</v>
      </c>
      <c r="F2478" s="71" t="s">
        <v>298</v>
      </c>
      <c r="G2478" s="88">
        <v>46177.308888888903</v>
      </c>
      <c r="H2478" s="89">
        <v>46177</v>
      </c>
      <c r="I2478" s="71" t="s">
        <v>303</v>
      </c>
      <c r="J2478" s="71">
        <v>-5.9999999999999796</v>
      </c>
      <c r="K2478" s="71" t="s">
        <v>302</v>
      </c>
      <c r="L2478" s="71">
        <f t="shared" si="342"/>
        <v>6</v>
      </c>
      <c r="M2478" s="71" t="str">
        <f>IFERROR(INDEX(KALENDER!$D$3:$D$132,MATCH(H2478,KALENDER!$A$3:$A$132,0)),"Di luar periode")</f>
        <v>Hari Kerja</v>
      </c>
      <c r="N2478" s="71">
        <f t="shared" si="343"/>
        <v>1</v>
      </c>
      <c r="O2478" s="71">
        <f t="shared" si="344"/>
        <v>1</v>
      </c>
      <c r="P2478" s="71">
        <f t="shared" si="345"/>
        <v>1</v>
      </c>
      <c r="Q2478" s="71">
        <f t="shared" si="346"/>
        <v>0</v>
      </c>
      <c r="R2478" s="71">
        <f t="shared" si="347"/>
        <v>0</v>
      </c>
      <c r="S2478" s="71">
        <f t="shared" si="348"/>
        <v>0</v>
      </c>
      <c r="T2478" s="71">
        <f t="shared" si="349"/>
        <v>0</v>
      </c>
      <c r="U2478" s="71">
        <f>IF(AND(N2478=1,V2478=1),IF(COUNTIFS(AKTIVITAS!$B$2:$B$3052,B2478,AKTIVITAS!$E$2:$E$3052,H2478)&gt;0,1,0),0)</f>
        <v>1</v>
      </c>
      <c r="V2478" s="71">
        <f>IFERROR(IF(AND(H2478&gt;=INDEX(PEMAGANG!$J$3:$J$36,MATCH(B2478,PEMAGANG!$C$3:$C$36,0)),H2478&lt;=INDEX(PEMAGANG!$K$3:$K$36,MATCH(B2478,PEMAGANG!$C$3:$C$36,0))),1,0),0)</f>
        <v>1</v>
      </c>
      <c r="W2478" s="71">
        <f t="shared" si="350"/>
        <v>1</v>
      </c>
    </row>
    <row r="2479" spans="1:23" x14ac:dyDescent="0.2">
      <c r="A2479" s="71" t="s">
        <v>193</v>
      </c>
      <c r="B2479" s="71" t="s">
        <v>194</v>
      </c>
      <c r="C2479" s="71" t="s">
        <v>187</v>
      </c>
      <c r="D2479" s="71" t="s">
        <v>185</v>
      </c>
      <c r="E2479" s="71" t="s">
        <v>47</v>
      </c>
      <c r="F2479" s="71" t="s">
        <v>300</v>
      </c>
      <c r="G2479" s="88">
        <v>46177.722523148201</v>
      </c>
      <c r="H2479" s="89">
        <v>46177</v>
      </c>
      <c r="I2479" s="71" t="s">
        <v>407</v>
      </c>
      <c r="J2479" s="71">
        <v>0</v>
      </c>
      <c r="K2479" s="71" t="s">
        <v>302</v>
      </c>
      <c r="L2479" s="71">
        <f t="shared" si="342"/>
        <v>6</v>
      </c>
      <c r="M2479" s="71" t="str">
        <f>IFERROR(INDEX(KALENDER!$D$3:$D$132,MATCH(H2479,KALENDER!$A$3:$A$132,0)),"Di luar periode")</f>
        <v>Hari Kerja</v>
      </c>
      <c r="N2479" s="71">
        <f t="shared" si="343"/>
        <v>0</v>
      </c>
      <c r="O2479" s="71">
        <f t="shared" si="344"/>
        <v>1</v>
      </c>
      <c r="P2479" s="71">
        <f t="shared" si="345"/>
        <v>0</v>
      </c>
      <c r="Q2479" s="71">
        <f t="shared" si="346"/>
        <v>0</v>
      </c>
      <c r="R2479" s="71">
        <f t="shared" si="347"/>
        <v>0</v>
      </c>
      <c r="S2479" s="71">
        <f t="shared" si="348"/>
        <v>0</v>
      </c>
      <c r="T2479" s="71">
        <f t="shared" si="349"/>
        <v>0</v>
      </c>
      <c r="U2479" s="71">
        <f>IF(AND(N2479=1,V2479=1),IF(COUNTIFS(AKTIVITAS!$B$2:$B$3052,B2479,AKTIVITAS!$E$2:$E$3052,H2479)&gt;0,1,0),0)</f>
        <v>0</v>
      </c>
      <c r="V2479" s="71">
        <f>IFERROR(IF(AND(H2479&gt;=INDEX(PEMAGANG!$J$3:$J$36,MATCH(B2479,PEMAGANG!$C$3:$C$36,0)),H2479&lt;=INDEX(PEMAGANG!$K$3:$K$36,MATCH(B2479,PEMAGANG!$C$3:$C$36,0))),1,0),0)</f>
        <v>1</v>
      </c>
      <c r="W2479" s="71">
        <f t="shared" si="350"/>
        <v>0</v>
      </c>
    </row>
    <row r="2480" spans="1:23" x14ac:dyDescent="0.2">
      <c r="A2480" s="71" t="s">
        <v>193</v>
      </c>
      <c r="B2480" s="71" t="s">
        <v>194</v>
      </c>
      <c r="C2480" s="71" t="s">
        <v>187</v>
      </c>
      <c r="D2480" s="71" t="s">
        <v>185</v>
      </c>
      <c r="E2480" s="71" t="s">
        <v>47</v>
      </c>
      <c r="F2480" s="71" t="s">
        <v>298</v>
      </c>
      <c r="G2480" s="88">
        <v>46178.307141203702</v>
      </c>
      <c r="H2480" s="89">
        <v>46178</v>
      </c>
      <c r="I2480" s="71" t="s">
        <v>313</v>
      </c>
      <c r="J2480" s="71">
        <v>-8.0000000000000497</v>
      </c>
      <c r="K2480" s="71" t="s">
        <v>302</v>
      </c>
      <c r="L2480" s="71">
        <f t="shared" si="342"/>
        <v>6</v>
      </c>
      <c r="M2480" s="71" t="str">
        <f>IFERROR(INDEX(KALENDER!$D$3:$D$132,MATCH(H2480,KALENDER!$A$3:$A$132,0)),"Di luar periode")</f>
        <v>Hari Kerja</v>
      </c>
      <c r="N2480" s="71">
        <f t="shared" si="343"/>
        <v>1</v>
      </c>
      <c r="O2480" s="71">
        <f t="shared" si="344"/>
        <v>1</v>
      </c>
      <c r="P2480" s="71">
        <f t="shared" si="345"/>
        <v>1</v>
      </c>
      <c r="Q2480" s="71">
        <f t="shared" si="346"/>
        <v>0</v>
      </c>
      <c r="R2480" s="71">
        <f t="shared" si="347"/>
        <v>0</v>
      </c>
      <c r="S2480" s="71">
        <f t="shared" si="348"/>
        <v>0</v>
      </c>
      <c r="T2480" s="71">
        <f t="shared" si="349"/>
        <v>0</v>
      </c>
      <c r="U2480" s="71">
        <f>IF(AND(N2480=1,V2480=1),IF(COUNTIFS(AKTIVITAS!$B$2:$B$3052,B2480,AKTIVITAS!$E$2:$E$3052,H2480)&gt;0,1,0),0)</f>
        <v>1</v>
      </c>
      <c r="V2480" s="71">
        <f>IFERROR(IF(AND(H2480&gt;=INDEX(PEMAGANG!$J$3:$J$36,MATCH(B2480,PEMAGANG!$C$3:$C$36,0)),H2480&lt;=INDEX(PEMAGANG!$K$3:$K$36,MATCH(B2480,PEMAGANG!$C$3:$C$36,0))),1,0),0)</f>
        <v>1</v>
      </c>
      <c r="W2480" s="71">
        <f t="shared" si="350"/>
        <v>1</v>
      </c>
    </row>
    <row r="2481" spans="1:23" x14ac:dyDescent="0.2">
      <c r="A2481" s="71" t="s">
        <v>193</v>
      </c>
      <c r="B2481" s="71" t="s">
        <v>194</v>
      </c>
      <c r="C2481" s="71" t="s">
        <v>187</v>
      </c>
      <c r="D2481" s="71" t="s">
        <v>185</v>
      </c>
      <c r="E2481" s="71" t="s">
        <v>47</v>
      </c>
      <c r="F2481" s="71" t="s">
        <v>300</v>
      </c>
      <c r="G2481" s="88">
        <v>46178.7018634259</v>
      </c>
      <c r="H2481" s="89">
        <v>46178</v>
      </c>
      <c r="I2481" s="71" t="s">
        <v>334</v>
      </c>
      <c r="J2481" s="71">
        <v>0</v>
      </c>
      <c r="K2481" s="71" t="s">
        <v>302</v>
      </c>
      <c r="L2481" s="71">
        <f t="shared" si="342"/>
        <v>6</v>
      </c>
      <c r="M2481" s="71" t="str">
        <f>IFERROR(INDEX(KALENDER!$D$3:$D$132,MATCH(H2481,KALENDER!$A$3:$A$132,0)),"Di luar periode")</f>
        <v>Hari Kerja</v>
      </c>
      <c r="N2481" s="71">
        <f t="shared" si="343"/>
        <v>0</v>
      </c>
      <c r="O2481" s="71">
        <f t="shared" si="344"/>
        <v>1</v>
      </c>
      <c r="P2481" s="71">
        <f t="shared" si="345"/>
        <v>0</v>
      </c>
      <c r="Q2481" s="71">
        <f t="shared" si="346"/>
        <v>0</v>
      </c>
      <c r="R2481" s="71">
        <f t="shared" si="347"/>
        <v>0</v>
      </c>
      <c r="S2481" s="71">
        <f t="shared" si="348"/>
        <v>0</v>
      </c>
      <c r="T2481" s="71">
        <f t="shared" si="349"/>
        <v>0</v>
      </c>
      <c r="U2481" s="71">
        <f>IF(AND(N2481=1,V2481=1),IF(COUNTIFS(AKTIVITAS!$B$2:$B$3052,B2481,AKTIVITAS!$E$2:$E$3052,H2481)&gt;0,1,0),0)</f>
        <v>0</v>
      </c>
      <c r="V2481" s="71">
        <f>IFERROR(IF(AND(H2481&gt;=INDEX(PEMAGANG!$J$3:$J$36,MATCH(B2481,PEMAGANG!$C$3:$C$36,0)),H2481&lt;=INDEX(PEMAGANG!$K$3:$K$36,MATCH(B2481,PEMAGANG!$C$3:$C$36,0))),1,0),0)</f>
        <v>1</v>
      </c>
      <c r="W2481" s="71">
        <f t="shared" si="350"/>
        <v>0</v>
      </c>
    </row>
    <row r="2482" spans="1:23" x14ac:dyDescent="0.2">
      <c r="A2482" s="71" t="s">
        <v>193</v>
      </c>
      <c r="B2482" s="71" t="s">
        <v>194</v>
      </c>
      <c r="C2482" s="71" t="s">
        <v>187</v>
      </c>
      <c r="D2482" s="71" t="s">
        <v>185</v>
      </c>
      <c r="E2482" s="71" t="s">
        <v>47</v>
      </c>
      <c r="F2482" s="71" t="s">
        <v>298</v>
      </c>
      <c r="G2482" s="88">
        <v>46181.3051388889</v>
      </c>
      <c r="H2482" s="89">
        <v>46181</v>
      </c>
      <c r="I2482" s="71" t="s">
        <v>321</v>
      </c>
      <c r="J2482" s="71">
        <v>-11</v>
      </c>
      <c r="K2482" s="71" t="s">
        <v>302</v>
      </c>
      <c r="L2482" s="71">
        <f t="shared" si="342"/>
        <v>6</v>
      </c>
      <c r="M2482" s="71" t="str">
        <f>IFERROR(INDEX(KALENDER!$D$3:$D$132,MATCH(H2482,KALENDER!$A$3:$A$132,0)),"Di luar periode")</f>
        <v>Hari Kerja</v>
      </c>
      <c r="N2482" s="71">
        <f t="shared" si="343"/>
        <v>1</v>
      </c>
      <c r="O2482" s="71">
        <f t="shared" si="344"/>
        <v>1</v>
      </c>
      <c r="P2482" s="71">
        <f t="shared" si="345"/>
        <v>1</v>
      </c>
      <c r="Q2482" s="71">
        <f t="shared" si="346"/>
        <v>0</v>
      </c>
      <c r="R2482" s="71">
        <f t="shared" si="347"/>
        <v>0</v>
      </c>
      <c r="S2482" s="71">
        <f t="shared" si="348"/>
        <v>0</v>
      </c>
      <c r="T2482" s="71">
        <f t="shared" si="349"/>
        <v>0</v>
      </c>
      <c r="U2482" s="71">
        <f>IF(AND(N2482=1,V2482=1),IF(COUNTIFS(AKTIVITAS!$B$2:$B$3052,B2482,AKTIVITAS!$E$2:$E$3052,H2482)&gt;0,1,0),0)</f>
        <v>1</v>
      </c>
      <c r="V2482" s="71">
        <f>IFERROR(IF(AND(H2482&gt;=INDEX(PEMAGANG!$J$3:$J$36,MATCH(B2482,PEMAGANG!$C$3:$C$36,0)),H2482&lt;=INDEX(PEMAGANG!$K$3:$K$36,MATCH(B2482,PEMAGANG!$C$3:$C$36,0))),1,0),0)</f>
        <v>1</v>
      </c>
      <c r="W2482" s="71">
        <f t="shared" si="350"/>
        <v>1</v>
      </c>
    </row>
    <row r="2483" spans="1:23" x14ac:dyDescent="0.2">
      <c r="A2483" s="71" t="s">
        <v>193</v>
      </c>
      <c r="B2483" s="71" t="s">
        <v>194</v>
      </c>
      <c r="C2483" s="71" t="s">
        <v>187</v>
      </c>
      <c r="D2483" s="71" t="s">
        <v>185</v>
      </c>
      <c r="E2483" s="71" t="s">
        <v>47</v>
      </c>
      <c r="F2483" s="71" t="s">
        <v>300</v>
      </c>
      <c r="G2483" s="88">
        <v>46181.691319444399</v>
      </c>
      <c r="H2483" s="89">
        <v>46181</v>
      </c>
      <c r="I2483" s="71" t="s">
        <v>310</v>
      </c>
      <c r="J2483" s="71">
        <v>0</v>
      </c>
      <c r="K2483" s="71" t="s">
        <v>302</v>
      </c>
      <c r="L2483" s="71">
        <f t="shared" si="342"/>
        <v>6</v>
      </c>
      <c r="M2483" s="71" t="str">
        <f>IFERROR(INDEX(KALENDER!$D$3:$D$132,MATCH(H2483,KALENDER!$A$3:$A$132,0)),"Di luar periode")</f>
        <v>Hari Kerja</v>
      </c>
      <c r="N2483" s="71">
        <f t="shared" si="343"/>
        <v>0</v>
      </c>
      <c r="O2483" s="71">
        <f t="shared" si="344"/>
        <v>1</v>
      </c>
      <c r="P2483" s="71">
        <f t="shared" si="345"/>
        <v>0</v>
      </c>
      <c r="Q2483" s="71">
        <f t="shared" si="346"/>
        <v>0</v>
      </c>
      <c r="R2483" s="71">
        <f t="shared" si="347"/>
        <v>0</v>
      </c>
      <c r="S2483" s="71">
        <f t="shared" si="348"/>
        <v>0</v>
      </c>
      <c r="T2483" s="71">
        <f t="shared" si="349"/>
        <v>0</v>
      </c>
      <c r="U2483" s="71">
        <f>IF(AND(N2483=1,V2483=1),IF(COUNTIFS(AKTIVITAS!$B$2:$B$3052,B2483,AKTIVITAS!$E$2:$E$3052,H2483)&gt;0,1,0),0)</f>
        <v>0</v>
      </c>
      <c r="V2483" s="71">
        <f>IFERROR(IF(AND(H2483&gt;=INDEX(PEMAGANG!$J$3:$J$36,MATCH(B2483,PEMAGANG!$C$3:$C$36,0)),H2483&lt;=INDEX(PEMAGANG!$K$3:$K$36,MATCH(B2483,PEMAGANG!$C$3:$C$36,0))),1,0),0)</f>
        <v>1</v>
      </c>
      <c r="W2483" s="71">
        <f t="shared" si="350"/>
        <v>0</v>
      </c>
    </row>
    <row r="2484" spans="1:23" x14ac:dyDescent="0.2">
      <c r="A2484" s="71" t="s">
        <v>193</v>
      </c>
      <c r="B2484" s="71" t="s">
        <v>194</v>
      </c>
      <c r="C2484" s="71" t="s">
        <v>187</v>
      </c>
      <c r="D2484" s="71" t="s">
        <v>185</v>
      </c>
      <c r="E2484" s="71" t="s">
        <v>47</v>
      </c>
      <c r="F2484" s="71" t="s">
        <v>298</v>
      </c>
      <c r="G2484" s="88">
        <v>46182.305879629603</v>
      </c>
      <c r="H2484" s="89">
        <v>46182</v>
      </c>
      <c r="I2484" s="71" t="s">
        <v>329</v>
      </c>
      <c r="J2484" s="71">
        <v>-10</v>
      </c>
      <c r="K2484" s="71" t="s">
        <v>302</v>
      </c>
      <c r="L2484" s="71">
        <f t="shared" si="342"/>
        <v>6</v>
      </c>
      <c r="M2484" s="71" t="str">
        <f>IFERROR(INDEX(KALENDER!$D$3:$D$132,MATCH(H2484,KALENDER!$A$3:$A$132,0)),"Di luar periode")</f>
        <v>Hari Kerja</v>
      </c>
      <c r="N2484" s="71">
        <f t="shared" si="343"/>
        <v>1</v>
      </c>
      <c r="O2484" s="71">
        <f t="shared" si="344"/>
        <v>1</v>
      </c>
      <c r="P2484" s="71">
        <f t="shared" si="345"/>
        <v>1</v>
      </c>
      <c r="Q2484" s="71">
        <f t="shared" si="346"/>
        <v>0</v>
      </c>
      <c r="R2484" s="71">
        <f t="shared" si="347"/>
        <v>0</v>
      </c>
      <c r="S2484" s="71">
        <f t="shared" si="348"/>
        <v>0</v>
      </c>
      <c r="T2484" s="71">
        <f t="shared" si="349"/>
        <v>0</v>
      </c>
      <c r="U2484" s="71">
        <f>IF(AND(N2484=1,V2484=1),IF(COUNTIFS(AKTIVITAS!$B$2:$B$3052,B2484,AKTIVITAS!$E$2:$E$3052,H2484)&gt;0,1,0),0)</f>
        <v>1</v>
      </c>
      <c r="V2484" s="71">
        <f>IFERROR(IF(AND(H2484&gt;=INDEX(PEMAGANG!$J$3:$J$36,MATCH(B2484,PEMAGANG!$C$3:$C$36,0)),H2484&lt;=INDEX(PEMAGANG!$K$3:$K$36,MATCH(B2484,PEMAGANG!$C$3:$C$36,0))),1,0),0)</f>
        <v>1</v>
      </c>
      <c r="W2484" s="71">
        <f t="shared" si="350"/>
        <v>1</v>
      </c>
    </row>
    <row r="2485" spans="1:23" x14ac:dyDescent="0.2">
      <c r="A2485" s="71" t="s">
        <v>193</v>
      </c>
      <c r="B2485" s="71" t="s">
        <v>194</v>
      </c>
      <c r="C2485" s="71" t="s">
        <v>187</v>
      </c>
      <c r="D2485" s="71" t="s">
        <v>185</v>
      </c>
      <c r="E2485" s="71" t="s">
        <v>47</v>
      </c>
      <c r="F2485" s="71" t="s">
        <v>300</v>
      </c>
      <c r="G2485" s="88">
        <v>46182.6942361111</v>
      </c>
      <c r="H2485" s="89">
        <v>46182</v>
      </c>
      <c r="I2485" s="71" t="s">
        <v>308</v>
      </c>
      <c r="J2485" s="71">
        <v>0</v>
      </c>
      <c r="K2485" s="71" t="s">
        <v>302</v>
      </c>
      <c r="L2485" s="71">
        <f t="shared" si="342"/>
        <v>6</v>
      </c>
      <c r="M2485" s="71" t="str">
        <f>IFERROR(INDEX(KALENDER!$D$3:$D$132,MATCH(H2485,KALENDER!$A$3:$A$132,0)),"Di luar periode")</f>
        <v>Hari Kerja</v>
      </c>
      <c r="N2485" s="71">
        <f t="shared" si="343"/>
        <v>0</v>
      </c>
      <c r="O2485" s="71">
        <f t="shared" si="344"/>
        <v>1</v>
      </c>
      <c r="P2485" s="71">
        <f t="shared" si="345"/>
        <v>0</v>
      </c>
      <c r="Q2485" s="71">
        <f t="shared" si="346"/>
        <v>0</v>
      </c>
      <c r="R2485" s="71">
        <f t="shared" si="347"/>
        <v>0</v>
      </c>
      <c r="S2485" s="71">
        <f t="shared" si="348"/>
        <v>0</v>
      </c>
      <c r="T2485" s="71">
        <f t="shared" si="349"/>
        <v>0</v>
      </c>
      <c r="U2485" s="71">
        <f>IF(AND(N2485=1,V2485=1),IF(COUNTIFS(AKTIVITAS!$B$2:$B$3052,B2485,AKTIVITAS!$E$2:$E$3052,H2485)&gt;0,1,0),0)</f>
        <v>0</v>
      </c>
      <c r="V2485" s="71">
        <f>IFERROR(IF(AND(H2485&gt;=INDEX(PEMAGANG!$J$3:$J$36,MATCH(B2485,PEMAGANG!$C$3:$C$36,0)),H2485&lt;=INDEX(PEMAGANG!$K$3:$K$36,MATCH(B2485,PEMAGANG!$C$3:$C$36,0))),1,0),0)</f>
        <v>1</v>
      </c>
      <c r="W2485" s="71">
        <f t="shared" si="350"/>
        <v>0</v>
      </c>
    </row>
    <row r="2486" spans="1:23" x14ac:dyDescent="0.2">
      <c r="A2486" s="71" t="s">
        <v>193</v>
      </c>
      <c r="B2486" s="71" t="s">
        <v>194</v>
      </c>
      <c r="C2486" s="71" t="s">
        <v>187</v>
      </c>
      <c r="D2486" s="71" t="s">
        <v>185</v>
      </c>
      <c r="E2486" s="71" t="s">
        <v>47</v>
      </c>
      <c r="F2486" s="71" t="s">
        <v>298</v>
      </c>
      <c r="G2486" s="88">
        <v>46183.307800925897</v>
      </c>
      <c r="H2486" s="89">
        <v>46183</v>
      </c>
      <c r="I2486" s="71" t="s">
        <v>311</v>
      </c>
      <c r="J2486" s="71">
        <v>-6.9999999999999796</v>
      </c>
      <c r="K2486" s="71" t="s">
        <v>302</v>
      </c>
      <c r="L2486" s="71">
        <f t="shared" si="342"/>
        <v>6</v>
      </c>
      <c r="M2486" s="71" t="str">
        <f>IFERROR(INDEX(KALENDER!$D$3:$D$132,MATCH(H2486,KALENDER!$A$3:$A$132,0)),"Di luar periode")</f>
        <v>WFH</v>
      </c>
      <c r="N2486" s="71">
        <f t="shared" si="343"/>
        <v>1</v>
      </c>
      <c r="O2486" s="71">
        <f t="shared" si="344"/>
        <v>1</v>
      </c>
      <c r="P2486" s="71">
        <f t="shared" si="345"/>
        <v>0</v>
      </c>
      <c r="Q2486" s="71">
        <f t="shared" si="346"/>
        <v>1</v>
      </c>
      <c r="R2486" s="71">
        <f t="shared" si="347"/>
        <v>0</v>
      </c>
      <c r="S2486" s="71">
        <f t="shared" si="348"/>
        <v>0</v>
      </c>
      <c r="T2486" s="71">
        <f t="shared" si="349"/>
        <v>0</v>
      </c>
      <c r="U2486" s="71">
        <f>IF(AND(N2486=1,V2486=1),IF(COUNTIFS(AKTIVITAS!$B$2:$B$3052,B2486,AKTIVITAS!$E$2:$E$3052,H2486)&gt;0,1,0),0)</f>
        <v>1</v>
      </c>
      <c r="V2486" s="71">
        <f>IFERROR(IF(AND(H2486&gt;=INDEX(PEMAGANG!$J$3:$J$36,MATCH(B2486,PEMAGANG!$C$3:$C$36,0)),H2486&lt;=INDEX(PEMAGANG!$K$3:$K$36,MATCH(B2486,PEMAGANG!$C$3:$C$36,0))),1,0),0)</f>
        <v>1</v>
      </c>
      <c r="W2486" s="71">
        <f t="shared" si="350"/>
        <v>1</v>
      </c>
    </row>
    <row r="2487" spans="1:23" x14ac:dyDescent="0.2">
      <c r="A2487" s="71" t="s">
        <v>193</v>
      </c>
      <c r="B2487" s="71" t="s">
        <v>194</v>
      </c>
      <c r="C2487" s="71" t="s">
        <v>187</v>
      </c>
      <c r="D2487" s="71" t="s">
        <v>185</v>
      </c>
      <c r="E2487" s="71" t="s">
        <v>47</v>
      </c>
      <c r="F2487" s="71" t="s">
        <v>300</v>
      </c>
      <c r="G2487" s="88">
        <v>46183.689641203702</v>
      </c>
      <c r="H2487" s="89">
        <v>46183</v>
      </c>
      <c r="I2487" s="71" t="s">
        <v>316</v>
      </c>
      <c r="J2487" s="71">
        <v>0</v>
      </c>
      <c r="K2487" s="71" t="s">
        <v>302</v>
      </c>
      <c r="L2487" s="71">
        <f t="shared" si="342"/>
        <v>6</v>
      </c>
      <c r="M2487" s="71" t="str">
        <f>IFERROR(INDEX(KALENDER!$D$3:$D$132,MATCH(H2487,KALENDER!$A$3:$A$132,0)),"Di luar periode")</f>
        <v>WFH</v>
      </c>
      <c r="N2487" s="71">
        <f t="shared" si="343"/>
        <v>0</v>
      </c>
      <c r="O2487" s="71">
        <f t="shared" si="344"/>
        <v>1</v>
      </c>
      <c r="P2487" s="71">
        <f t="shared" si="345"/>
        <v>0</v>
      </c>
      <c r="Q2487" s="71">
        <f t="shared" si="346"/>
        <v>0</v>
      </c>
      <c r="R2487" s="71">
        <f t="shared" si="347"/>
        <v>0</v>
      </c>
      <c r="S2487" s="71">
        <f t="shared" si="348"/>
        <v>0</v>
      </c>
      <c r="T2487" s="71">
        <f t="shared" si="349"/>
        <v>0</v>
      </c>
      <c r="U2487" s="71">
        <f>IF(AND(N2487=1,V2487=1),IF(COUNTIFS(AKTIVITAS!$B$2:$B$3052,B2487,AKTIVITAS!$E$2:$E$3052,H2487)&gt;0,1,0),0)</f>
        <v>0</v>
      </c>
      <c r="V2487" s="71">
        <f>IFERROR(IF(AND(H2487&gt;=INDEX(PEMAGANG!$J$3:$J$36,MATCH(B2487,PEMAGANG!$C$3:$C$36,0)),H2487&lt;=INDEX(PEMAGANG!$K$3:$K$36,MATCH(B2487,PEMAGANG!$C$3:$C$36,0))),1,0),0)</f>
        <v>1</v>
      </c>
      <c r="W2487" s="71">
        <f t="shared" si="350"/>
        <v>0</v>
      </c>
    </row>
    <row r="2488" spans="1:23" x14ac:dyDescent="0.2">
      <c r="A2488" s="71" t="s">
        <v>193</v>
      </c>
      <c r="B2488" s="71" t="s">
        <v>194</v>
      </c>
      <c r="C2488" s="71" t="s">
        <v>187</v>
      </c>
      <c r="D2488" s="71" t="s">
        <v>185</v>
      </c>
      <c r="E2488" s="71" t="s">
        <v>47</v>
      </c>
      <c r="F2488" s="71" t="s">
        <v>298</v>
      </c>
      <c r="G2488" s="88">
        <v>46184.306701388901</v>
      </c>
      <c r="H2488" s="89">
        <v>46184</v>
      </c>
      <c r="I2488" s="71" t="s">
        <v>305</v>
      </c>
      <c r="J2488" s="71">
        <v>-9.0000000000000497</v>
      </c>
      <c r="K2488" s="71" t="s">
        <v>302</v>
      </c>
      <c r="L2488" s="71">
        <f t="shared" si="342"/>
        <v>6</v>
      </c>
      <c r="M2488" s="71" t="str">
        <f>IFERROR(INDEX(KALENDER!$D$3:$D$132,MATCH(H2488,KALENDER!$A$3:$A$132,0)),"Di luar periode")</f>
        <v>Hari Kerja</v>
      </c>
      <c r="N2488" s="71">
        <f t="shared" si="343"/>
        <v>1</v>
      </c>
      <c r="O2488" s="71">
        <f t="shared" si="344"/>
        <v>1</v>
      </c>
      <c r="P2488" s="71">
        <f t="shared" si="345"/>
        <v>1</v>
      </c>
      <c r="Q2488" s="71">
        <f t="shared" si="346"/>
        <v>0</v>
      </c>
      <c r="R2488" s="71">
        <f t="shared" si="347"/>
        <v>0</v>
      </c>
      <c r="S2488" s="71">
        <f t="shared" si="348"/>
        <v>0</v>
      </c>
      <c r="T2488" s="71">
        <f t="shared" si="349"/>
        <v>0</v>
      </c>
      <c r="U2488" s="71">
        <f>IF(AND(N2488=1,V2488=1),IF(COUNTIFS(AKTIVITAS!$B$2:$B$3052,B2488,AKTIVITAS!$E$2:$E$3052,H2488)&gt;0,1,0),0)</f>
        <v>1</v>
      </c>
      <c r="V2488" s="71">
        <f>IFERROR(IF(AND(H2488&gt;=INDEX(PEMAGANG!$J$3:$J$36,MATCH(B2488,PEMAGANG!$C$3:$C$36,0)),H2488&lt;=INDEX(PEMAGANG!$K$3:$K$36,MATCH(B2488,PEMAGANG!$C$3:$C$36,0))),1,0),0)</f>
        <v>1</v>
      </c>
      <c r="W2488" s="71">
        <f t="shared" si="350"/>
        <v>1</v>
      </c>
    </row>
    <row r="2489" spans="1:23" x14ac:dyDescent="0.2">
      <c r="A2489" s="71" t="s">
        <v>193</v>
      </c>
      <c r="B2489" s="71" t="s">
        <v>194</v>
      </c>
      <c r="C2489" s="71" t="s">
        <v>187</v>
      </c>
      <c r="D2489" s="71" t="s">
        <v>185</v>
      </c>
      <c r="E2489" s="71" t="s">
        <v>47</v>
      </c>
      <c r="F2489" s="71" t="s">
        <v>300</v>
      </c>
      <c r="G2489" s="88">
        <v>46184.7203703704</v>
      </c>
      <c r="H2489" s="89">
        <v>46184</v>
      </c>
      <c r="I2489" s="71" t="s">
        <v>405</v>
      </c>
      <c r="J2489" s="71">
        <v>0</v>
      </c>
      <c r="K2489" s="71" t="s">
        <v>302</v>
      </c>
      <c r="L2489" s="71">
        <f t="shared" si="342"/>
        <v>6</v>
      </c>
      <c r="M2489" s="71" t="str">
        <f>IFERROR(INDEX(KALENDER!$D$3:$D$132,MATCH(H2489,KALENDER!$A$3:$A$132,0)),"Di luar periode")</f>
        <v>Hari Kerja</v>
      </c>
      <c r="N2489" s="71">
        <f t="shared" si="343"/>
        <v>0</v>
      </c>
      <c r="O2489" s="71">
        <f t="shared" si="344"/>
        <v>1</v>
      </c>
      <c r="P2489" s="71">
        <f t="shared" si="345"/>
        <v>0</v>
      </c>
      <c r="Q2489" s="71">
        <f t="shared" si="346"/>
        <v>0</v>
      </c>
      <c r="R2489" s="71">
        <f t="shared" si="347"/>
        <v>0</v>
      </c>
      <c r="S2489" s="71">
        <f t="shared" si="348"/>
        <v>0</v>
      </c>
      <c r="T2489" s="71">
        <f t="shared" si="349"/>
        <v>0</v>
      </c>
      <c r="U2489" s="71">
        <f>IF(AND(N2489=1,V2489=1),IF(COUNTIFS(AKTIVITAS!$B$2:$B$3052,B2489,AKTIVITAS!$E$2:$E$3052,H2489)&gt;0,1,0),0)</f>
        <v>0</v>
      </c>
      <c r="V2489" s="71">
        <f>IFERROR(IF(AND(H2489&gt;=INDEX(PEMAGANG!$J$3:$J$36,MATCH(B2489,PEMAGANG!$C$3:$C$36,0)),H2489&lt;=INDEX(PEMAGANG!$K$3:$K$36,MATCH(B2489,PEMAGANG!$C$3:$C$36,0))),1,0),0)</f>
        <v>1</v>
      </c>
      <c r="W2489" s="71">
        <f t="shared" si="350"/>
        <v>0</v>
      </c>
    </row>
    <row r="2490" spans="1:23" x14ac:dyDescent="0.2">
      <c r="A2490" s="71" t="s">
        <v>193</v>
      </c>
      <c r="B2490" s="71" t="s">
        <v>194</v>
      </c>
      <c r="C2490" s="71" t="s">
        <v>187</v>
      </c>
      <c r="D2490" s="71" t="s">
        <v>185</v>
      </c>
      <c r="E2490" s="71" t="s">
        <v>47</v>
      </c>
      <c r="F2490" s="71" t="s">
        <v>298</v>
      </c>
      <c r="G2490" s="88">
        <v>46185.315393518496</v>
      </c>
      <c r="H2490" s="89">
        <v>46185</v>
      </c>
      <c r="I2490" s="71" t="s">
        <v>373</v>
      </c>
      <c r="J2490" s="71">
        <v>3.9999999999999898</v>
      </c>
      <c r="K2490" s="71" t="s">
        <v>293</v>
      </c>
      <c r="L2490" s="71">
        <f t="shared" si="342"/>
        <v>6</v>
      </c>
      <c r="M2490" s="71" t="str">
        <f>IFERROR(INDEX(KALENDER!$D$3:$D$132,MATCH(H2490,KALENDER!$A$3:$A$132,0)),"Di luar periode")</f>
        <v>Hari Kerja</v>
      </c>
      <c r="N2490" s="71">
        <f t="shared" si="343"/>
        <v>1</v>
      </c>
      <c r="O2490" s="71">
        <f t="shared" si="344"/>
        <v>1</v>
      </c>
      <c r="P2490" s="71">
        <f t="shared" si="345"/>
        <v>1</v>
      </c>
      <c r="Q2490" s="71">
        <f t="shared" si="346"/>
        <v>0</v>
      </c>
      <c r="R2490" s="71">
        <f t="shared" si="347"/>
        <v>1</v>
      </c>
      <c r="S2490" s="71">
        <f t="shared" si="348"/>
        <v>3.9999999999999898</v>
      </c>
      <c r="T2490" s="71">
        <f t="shared" si="349"/>
        <v>0</v>
      </c>
      <c r="U2490" s="71">
        <f>IF(AND(N2490=1,V2490=1),IF(COUNTIFS(AKTIVITAS!$B$2:$B$3052,B2490,AKTIVITAS!$E$2:$E$3052,H2490)&gt;0,1,0),0)</f>
        <v>1</v>
      </c>
      <c r="V2490" s="71">
        <f>IFERROR(IF(AND(H2490&gt;=INDEX(PEMAGANG!$J$3:$J$36,MATCH(B2490,PEMAGANG!$C$3:$C$36,0)),H2490&lt;=INDEX(PEMAGANG!$K$3:$K$36,MATCH(B2490,PEMAGANG!$C$3:$C$36,0))),1,0),0)</f>
        <v>1</v>
      </c>
      <c r="W2490" s="71">
        <f t="shared" si="350"/>
        <v>1</v>
      </c>
    </row>
    <row r="2491" spans="1:23" x14ac:dyDescent="0.2">
      <c r="A2491" s="71" t="s">
        <v>193</v>
      </c>
      <c r="B2491" s="71" t="s">
        <v>194</v>
      </c>
      <c r="C2491" s="71" t="s">
        <v>187</v>
      </c>
      <c r="D2491" s="71" t="s">
        <v>185</v>
      </c>
      <c r="E2491" s="71" t="s">
        <v>47</v>
      </c>
      <c r="F2491" s="71" t="s">
        <v>300</v>
      </c>
      <c r="G2491" s="88">
        <v>46185.707164351901</v>
      </c>
      <c r="H2491" s="89">
        <v>46185</v>
      </c>
      <c r="I2491" s="71" t="s">
        <v>579</v>
      </c>
      <c r="J2491" s="71">
        <v>0</v>
      </c>
      <c r="K2491" s="71" t="s">
        <v>302</v>
      </c>
      <c r="L2491" s="71">
        <f t="shared" si="342"/>
        <v>6</v>
      </c>
      <c r="M2491" s="71" t="str">
        <f>IFERROR(INDEX(KALENDER!$D$3:$D$132,MATCH(H2491,KALENDER!$A$3:$A$132,0)),"Di luar periode")</f>
        <v>Hari Kerja</v>
      </c>
      <c r="N2491" s="71">
        <f t="shared" si="343"/>
        <v>0</v>
      </c>
      <c r="O2491" s="71">
        <f t="shared" si="344"/>
        <v>1</v>
      </c>
      <c r="P2491" s="71">
        <f t="shared" si="345"/>
        <v>0</v>
      </c>
      <c r="Q2491" s="71">
        <f t="shared" si="346"/>
        <v>0</v>
      </c>
      <c r="R2491" s="71">
        <f t="shared" si="347"/>
        <v>0</v>
      </c>
      <c r="S2491" s="71">
        <f t="shared" si="348"/>
        <v>0</v>
      </c>
      <c r="T2491" s="71">
        <f t="shared" si="349"/>
        <v>0</v>
      </c>
      <c r="U2491" s="71">
        <f>IF(AND(N2491=1,V2491=1),IF(COUNTIFS(AKTIVITAS!$B$2:$B$3052,B2491,AKTIVITAS!$E$2:$E$3052,H2491)&gt;0,1,0),0)</f>
        <v>0</v>
      </c>
      <c r="V2491" s="71">
        <f>IFERROR(IF(AND(H2491&gt;=INDEX(PEMAGANG!$J$3:$J$36,MATCH(B2491,PEMAGANG!$C$3:$C$36,0)),H2491&lt;=INDEX(PEMAGANG!$K$3:$K$36,MATCH(B2491,PEMAGANG!$C$3:$C$36,0))),1,0),0)</f>
        <v>1</v>
      </c>
      <c r="W2491" s="71">
        <f t="shared" si="350"/>
        <v>0</v>
      </c>
    </row>
    <row r="2492" spans="1:23" x14ac:dyDescent="0.2">
      <c r="A2492" s="71" t="s">
        <v>193</v>
      </c>
      <c r="B2492" s="71" t="s">
        <v>194</v>
      </c>
      <c r="C2492" s="71" t="s">
        <v>187</v>
      </c>
      <c r="D2492" s="71" t="s">
        <v>185</v>
      </c>
      <c r="E2492" s="71" t="s">
        <v>47</v>
      </c>
      <c r="F2492" s="71" t="s">
        <v>298</v>
      </c>
      <c r="G2492" s="88">
        <v>46188.307754629597</v>
      </c>
      <c r="H2492" s="89">
        <v>46188</v>
      </c>
      <c r="I2492" s="71" t="s">
        <v>311</v>
      </c>
      <c r="J2492" s="71">
        <v>-6.9999999999999796</v>
      </c>
      <c r="K2492" s="71" t="s">
        <v>302</v>
      </c>
      <c r="L2492" s="71">
        <f t="shared" si="342"/>
        <v>6</v>
      </c>
      <c r="M2492" s="71" t="str">
        <f>IFERROR(INDEX(KALENDER!$D$3:$D$132,MATCH(H2492,KALENDER!$A$3:$A$132,0)),"Di luar periode")</f>
        <v>Hari Kerja</v>
      </c>
      <c r="N2492" s="71">
        <f t="shared" si="343"/>
        <v>1</v>
      </c>
      <c r="O2492" s="71">
        <f t="shared" si="344"/>
        <v>1</v>
      </c>
      <c r="P2492" s="71">
        <f t="shared" si="345"/>
        <v>1</v>
      </c>
      <c r="Q2492" s="71">
        <f t="shared" si="346"/>
        <v>0</v>
      </c>
      <c r="R2492" s="71">
        <f t="shared" si="347"/>
        <v>0</v>
      </c>
      <c r="S2492" s="71">
        <f t="shared" si="348"/>
        <v>0</v>
      </c>
      <c r="T2492" s="71">
        <f t="shared" si="349"/>
        <v>0</v>
      </c>
      <c r="U2492" s="71">
        <f>IF(AND(N2492=1,V2492=1),IF(COUNTIFS(AKTIVITAS!$B$2:$B$3052,B2492,AKTIVITAS!$E$2:$E$3052,H2492)&gt;0,1,0),0)</f>
        <v>1</v>
      </c>
      <c r="V2492" s="71">
        <f>IFERROR(IF(AND(H2492&gt;=INDEX(PEMAGANG!$J$3:$J$36,MATCH(B2492,PEMAGANG!$C$3:$C$36,0)),H2492&lt;=INDEX(PEMAGANG!$K$3:$K$36,MATCH(B2492,PEMAGANG!$C$3:$C$36,0))),1,0),0)</f>
        <v>1</v>
      </c>
      <c r="W2492" s="71">
        <f t="shared" si="350"/>
        <v>1</v>
      </c>
    </row>
    <row r="2493" spans="1:23" x14ac:dyDescent="0.2">
      <c r="A2493" s="71" t="s">
        <v>193</v>
      </c>
      <c r="B2493" s="71" t="s">
        <v>194</v>
      </c>
      <c r="C2493" s="71" t="s">
        <v>187</v>
      </c>
      <c r="D2493" s="71" t="s">
        <v>185</v>
      </c>
      <c r="E2493" s="71" t="s">
        <v>47</v>
      </c>
      <c r="F2493" s="71" t="s">
        <v>300</v>
      </c>
      <c r="G2493" s="88">
        <v>46188.695960648198</v>
      </c>
      <c r="H2493" s="89">
        <v>46188</v>
      </c>
      <c r="I2493" s="71" t="s">
        <v>320</v>
      </c>
      <c r="J2493" s="71">
        <v>0</v>
      </c>
      <c r="K2493" s="71" t="s">
        <v>302</v>
      </c>
      <c r="L2493" s="71">
        <f t="shared" si="342"/>
        <v>6</v>
      </c>
      <c r="M2493" s="71" t="str">
        <f>IFERROR(INDEX(KALENDER!$D$3:$D$132,MATCH(H2493,KALENDER!$A$3:$A$132,0)),"Di luar periode")</f>
        <v>Hari Kerja</v>
      </c>
      <c r="N2493" s="71">
        <f t="shared" si="343"/>
        <v>0</v>
      </c>
      <c r="O2493" s="71">
        <f t="shared" si="344"/>
        <v>1</v>
      </c>
      <c r="P2493" s="71">
        <f t="shared" si="345"/>
        <v>0</v>
      </c>
      <c r="Q2493" s="71">
        <f t="shared" si="346"/>
        <v>0</v>
      </c>
      <c r="R2493" s="71">
        <f t="shared" si="347"/>
        <v>0</v>
      </c>
      <c r="S2493" s="71">
        <f t="shared" si="348"/>
        <v>0</v>
      </c>
      <c r="T2493" s="71">
        <f t="shared" si="349"/>
        <v>0</v>
      </c>
      <c r="U2493" s="71">
        <f>IF(AND(N2493=1,V2493=1),IF(COUNTIFS(AKTIVITAS!$B$2:$B$3052,B2493,AKTIVITAS!$E$2:$E$3052,H2493)&gt;0,1,0),0)</f>
        <v>0</v>
      </c>
      <c r="V2493" s="71">
        <f>IFERROR(IF(AND(H2493&gt;=INDEX(PEMAGANG!$J$3:$J$36,MATCH(B2493,PEMAGANG!$C$3:$C$36,0)),H2493&lt;=INDEX(PEMAGANG!$K$3:$K$36,MATCH(B2493,PEMAGANG!$C$3:$C$36,0))),1,0),0)</f>
        <v>1</v>
      </c>
      <c r="W2493" s="71">
        <f t="shared" si="350"/>
        <v>0</v>
      </c>
    </row>
    <row r="2494" spans="1:23" x14ac:dyDescent="0.2">
      <c r="A2494" s="71" t="s">
        <v>193</v>
      </c>
      <c r="B2494" s="71" t="s">
        <v>194</v>
      </c>
      <c r="C2494" s="71" t="s">
        <v>187</v>
      </c>
      <c r="D2494" s="71" t="s">
        <v>185</v>
      </c>
      <c r="E2494" s="71" t="s">
        <v>47</v>
      </c>
      <c r="F2494" s="71" t="s">
        <v>298</v>
      </c>
      <c r="G2494" s="88">
        <v>46190.308194444398</v>
      </c>
      <c r="H2494" s="89">
        <v>46190</v>
      </c>
      <c r="I2494" s="71" t="s">
        <v>311</v>
      </c>
      <c r="J2494" s="71">
        <v>-6.9999999999999796</v>
      </c>
      <c r="K2494" s="71" t="s">
        <v>302</v>
      </c>
      <c r="L2494" s="71">
        <f t="shared" si="342"/>
        <v>6</v>
      </c>
      <c r="M2494" s="71" t="str">
        <f>IFERROR(INDEX(KALENDER!$D$3:$D$132,MATCH(H2494,KALENDER!$A$3:$A$132,0)),"Di luar periode")</f>
        <v>WFH</v>
      </c>
      <c r="N2494" s="71">
        <f t="shared" si="343"/>
        <v>1</v>
      </c>
      <c r="O2494" s="71">
        <f t="shared" si="344"/>
        <v>1</v>
      </c>
      <c r="P2494" s="71">
        <f t="shared" si="345"/>
        <v>0</v>
      </c>
      <c r="Q2494" s="71">
        <f t="shared" si="346"/>
        <v>1</v>
      </c>
      <c r="R2494" s="71">
        <f t="shared" si="347"/>
        <v>0</v>
      </c>
      <c r="S2494" s="71">
        <f t="shared" si="348"/>
        <v>0</v>
      </c>
      <c r="T2494" s="71">
        <f t="shared" si="349"/>
        <v>0</v>
      </c>
      <c r="U2494" s="71">
        <f>IF(AND(N2494=1,V2494=1),IF(COUNTIFS(AKTIVITAS!$B$2:$B$3052,B2494,AKTIVITAS!$E$2:$E$3052,H2494)&gt;0,1,0),0)</f>
        <v>1</v>
      </c>
      <c r="V2494" s="71">
        <f>IFERROR(IF(AND(H2494&gt;=INDEX(PEMAGANG!$J$3:$J$36,MATCH(B2494,PEMAGANG!$C$3:$C$36,0)),H2494&lt;=INDEX(PEMAGANG!$K$3:$K$36,MATCH(B2494,PEMAGANG!$C$3:$C$36,0))),1,0),0)</f>
        <v>1</v>
      </c>
      <c r="W2494" s="71">
        <f t="shared" si="350"/>
        <v>1</v>
      </c>
    </row>
    <row r="2495" spans="1:23" x14ac:dyDescent="0.2">
      <c r="A2495" s="71" t="s">
        <v>193</v>
      </c>
      <c r="B2495" s="71" t="s">
        <v>194</v>
      </c>
      <c r="C2495" s="71" t="s">
        <v>187</v>
      </c>
      <c r="D2495" s="71" t="s">
        <v>185</v>
      </c>
      <c r="E2495" s="71" t="s">
        <v>47</v>
      </c>
      <c r="F2495" s="71" t="s">
        <v>300</v>
      </c>
      <c r="G2495" s="88">
        <v>46190.694803240702</v>
      </c>
      <c r="H2495" s="89">
        <v>46190</v>
      </c>
      <c r="I2495" s="71" t="s">
        <v>343</v>
      </c>
      <c r="J2495" s="71">
        <v>0</v>
      </c>
      <c r="K2495" s="71" t="s">
        <v>302</v>
      </c>
      <c r="L2495" s="71">
        <f t="shared" si="342"/>
        <v>6</v>
      </c>
      <c r="M2495" s="71" t="str">
        <f>IFERROR(INDEX(KALENDER!$D$3:$D$132,MATCH(H2495,KALENDER!$A$3:$A$132,0)),"Di luar periode")</f>
        <v>WFH</v>
      </c>
      <c r="N2495" s="71">
        <f t="shared" si="343"/>
        <v>0</v>
      </c>
      <c r="O2495" s="71">
        <f t="shared" si="344"/>
        <v>1</v>
      </c>
      <c r="P2495" s="71">
        <f t="shared" si="345"/>
        <v>0</v>
      </c>
      <c r="Q2495" s="71">
        <f t="shared" si="346"/>
        <v>0</v>
      </c>
      <c r="R2495" s="71">
        <f t="shared" si="347"/>
        <v>0</v>
      </c>
      <c r="S2495" s="71">
        <f t="shared" si="348"/>
        <v>0</v>
      </c>
      <c r="T2495" s="71">
        <f t="shared" si="349"/>
        <v>0</v>
      </c>
      <c r="U2495" s="71">
        <f>IF(AND(N2495=1,V2495=1),IF(COUNTIFS(AKTIVITAS!$B$2:$B$3052,B2495,AKTIVITAS!$E$2:$E$3052,H2495)&gt;0,1,0),0)</f>
        <v>0</v>
      </c>
      <c r="V2495" s="71">
        <f>IFERROR(IF(AND(H2495&gt;=INDEX(PEMAGANG!$J$3:$J$36,MATCH(B2495,PEMAGANG!$C$3:$C$36,0)),H2495&lt;=INDEX(PEMAGANG!$K$3:$K$36,MATCH(B2495,PEMAGANG!$C$3:$C$36,0))),1,0),0)</f>
        <v>1</v>
      </c>
      <c r="W2495" s="71">
        <f t="shared" si="350"/>
        <v>0</v>
      </c>
    </row>
    <row r="2496" spans="1:23" x14ac:dyDescent="0.2">
      <c r="A2496" s="71" t="s">
        <v>193</v>
      </c>
      <c r="B2496" s="71" t="s">
        <v>194</v>
      </c>
      <c r="C2496" s="71" t="s">
        <v>187</v>
      </c>
      <c r="D2496" s="71" t="s">
        <v>185</v>
      </c>
      <c r="E2496" s="71" t="s">
        <v>47</v>
      </c>
      <c r="F2496" s="71" t="s">
        <v>298</v>
      </c>
      <c r="G2496" s="88">
        <v>46191.302233796298</v>
      </c>
      <c r="H2496" s="89">
        <v>46191</v>
      </c>
      <c r="I2496" s="71" t="s">
        <v>370</v>
      </c>
      <c r="J2496" s="71">
        <v>-15</v>
      </c>
      <c r="K2496" s="71" t="s">
        <v>302</v>
      </c>
      <c r="L2496" s="71">
        <f t="shared" si="342"/>
        <v>6</v>
      </c>
      <c r="M2496" s="71" t="str">
        <f>IFERROR(INDEX(KALENDER!$D$3:$D$132,MATCH(H2496,KALENDER!$A$3:$A$132,0)),"Di luar periode")</f>
        <v>Hari Kerja</v>
      </c>
      <c r="N2496" s="71">
        <f t="shared" si="343"/>
        <v>1</v>
      </c>
      <c r="O2496" s="71">
        <f t="shared" si="344"/>
        <v>1</v>
      </c>
      <c r="P2496" s="71">
        <f t="shared" si="345"/>
        <v>1</v>
      </c>
      <c r="Q2496" s="71">
        <f t="shared" si="346"/>
        <v>0</v>
      </c>
      <c r="R2496" s="71">
        <f t="shared" si="347"/>
        <v>0</v>
      </c>
      <c r="S2496" s="71">
        <f t="shared" si="348"/>
        <v>0</v>
      </c>
      <c r="T2496" s="71">
        <f t="shared" si="349"/>
        <v>0</v>
      </c>
      <c r="U2496" s="71">
        <f>IF(AND(N2496=1,V2496=1),IF(COUNTIFS(AKTIVITAS!$B$2:$B$3052,B2496,AKTIVITAS!$E$2:$E$3052,H2496)&gt;0,1,0),0)</f>
        <v>1</v>
      </c>
      <c r="V2496" s="71">
        <f>IFERROR(IF(AND(H2496&gt;=INDEX(PEMAGANG!$J$3:$J$36,MATCH(B2496,PEMAGANG!$C$3:$C$36,0)),H2496&lt;=INDEX(PEMAGANG!$K$3:$K$36,MATCH(B2496,PEMAGANG!$C$3:$C$36,0))),1,0),0)</f>
        <v>1</v>
      </c>
      <c r="W2496" s="71">
        <f t="shared" si="350"/>
        <v>1</v>
      </c>
    </row>
    <row r="2497" spans="1:23" x14ac:dyDescent="0.2">
      <c r="A2497" s="71" t="s">
        <v>193</v>
      </c>
      <c r="B2497" s="71" t="s">
        <v>194</v>
      </c>
      <c r="C2497" s="71" t="s">
        <v>187</v>
      </c>
      <c r="D2497" s="71" t="s">
        <v>185</v>
      </c>
      <c r="E2497" s="71" t="s">
        <v>47</v>
      </c>
      <c r="F2497" s="71" t="s">
        <v>300</v>
      </c>
      <c r="G2497" s="88">
        <v>46191.711620370399</v>
      </c>
      <c r="H2497" s="89">
        <v>46191</v>
      </c>
      <c r="I2497" s="71" t="s">
        <v>378</v>
      </c>
      <c r="J2497" s="71">
        <v>0</v>
      </c>
      <c r="K2497" s="71" t="s">
        <v>302</v>
      </c>
      <c r="L2497" s="71">
        <f t="shared" si="342"/>
        <v>6</v>
      </c>
      <c r="M2497" s="71" t="str">
        <f>IFERROR(INDEX(KALENDER!$D$3:$D$132,MATCH(H2497,KALENDER!$A$3:$A$132,0)),"Di luar periode")</f>
        <v>Hari Kerja</v>
      </c>
      <c r="N2497" s="71">
        <f t="shared" si="343"/>
        <v>0</v>
      </c>
      <c r="O2497" s="71">
        <f t="shared" si="344"/>
        <v>1</v>
      </c>
      <c r="P2497" s="71">
        <f t="shared" si="345"/>
        <v>0</v>
      </c>
      <c r="Q2497" s="71">
        <f t="shared" si="346"/>
        <v>0</v>
      </c>
      <c r="R2497" s="71">
        <f t="shared" si="347"/>
        <v>0</v>
      </c>
      <c r="S2497" s="71">
        <f t="shared" si="348"/>
        <v>0</v>
      </c>
      <c r="T2497" s="71">
        <f t="shared" si="349"/>
        <v>0</v>
      </c>
      <c r="U2497" s="71">
        <f>IF(AND(N2497=1,V2497=1),IF(COUNTIFS(AKTIVITAS!$B$2:$B$3052,B2497,AKTIVITAS!$E$2:$E$3052,H2497)&gt;0,1,0),0)</f>
        <v>0</v>
      </c>
      <c r="V2497" s="71">
        <f>IFERROR(IF(AND(H2497&gt;=INDEX(PEMAGANG!$J$3:$J$36,MATCH(B2497,PEMAGANG!$C$3:$C$36,0)),H2497&lt;=INDEX(PEMAGANG!$K$3:$K$36,MATCH(B2497,PEMAGANG!$C$3:$C$36,0))),1,0),0)</f>
        <v>1</v>
      </c>
      <c r="W2497" s="71">
        <f t="shared" si="350"/>
        <v>0</v>
      </c>
    </row>
    <row r="2498" spans="1:23" x14ac:dyDescent="0.2">
      <c r="A2498" s="71" t="s">
        <v>193</v>
      </c>
      <c r="B2498" s="71" t="s">
        <v>194</v>
      </c>
      <c r="C2498" s="71" t="s">
        <v>187</v>
      </c>
      <c r="D2498" s="71" t="s">
        <v>185</v>
      </c>
      <c r="E2498" s="71" t="s">
        <v>47</v>
      </c>
      <c r="F2498" s="71" t="s">
        <v>298</v>
      </c>
      <c r="G2498" s="88">
        <v>46192.303194444401</v>
      </c>
      <c r="H2498" s="89">
        <v>46192</v>
      </c>
      <c r="I2498" s="71" t="s">
        <v>327</v>
      </c>
      <c r="J2498" s="71">
        <v>-14</v>
      </c>
      <c r="K2498" s="71" t="s">
        <v>302</v>
      </c>
      <c r="L2498" s="71">
        <f t="shared" ref="L2498:L2561" si="351">MONTH(H2498)</f>
        <v>6</v>
      </c>
      <c r="M2498" s="71" t="str">
        <f>IFERROR(INDEX(KALENDER!$D$3:$D$132,MATCH(H2498,KALENDER!$A$3:$A$132,0)),"Di luar periode")</f>
        <v>Hari Kerja</v>
      </c>
      <c r="N2498" s="71">
        <f t="shared" ref="N2498:N2561" si="352">IF(AND(B2498=B2497,H2498=H2497),0,1)</f>
        <v>1</v>
      </c>
      <c r="O2498" s="71">
        <f t="shared" ref="O2498:O2561" si="353">IF(N2498=1,0,O2497)+IF(F2498="MASUK",1,0)</f>
        <v>1</v>
      </c>
      <c r="P2498" s="71">
        <f t="shared" ref="P2498:P2561" si="354">IF(AND(N2498=1,M2498="Hari Kerja",V2498=1),1,0)</f>
        <v>1</v>
      </c>
      <c r="Q2498" s="71">
        <f t="shared" ref="Q2498:Q2561" si="355">IF(AND(N2498=1,OR(M2498&lt;&gt;"Hari Kerja",V2498=0)),1,0)</f>
        <v>0</v>
      </c>
      <c r="R2498" s="71">
        <f t="shared" ref="R2498:R2561" si="356">IF(AND(F2498="MASUK",O2498=1,N(J2498)&gt;0,V2498=1),1,0)</f>
        <v>0</v>
      </c>
      <c r="S2498" s="71">
        <f t="shared" ref="S2498:S2561" si="357">R2498*N(J2498)</f>
        <v>0</v>
      </c>
      <c r="T2498" s="71">
        <f t="shared" ref="T2498:T2561" si="358">IF(AND(N2498=1,V2498=1),IF(AND(COUNTIFS($B$2:$B$4094,B2498,$H$2:$H$4094,H2498,$F$2:$F$4094,"MASUK")&gt;0,COUNTIFS($B$2:$B$4094,B2498,$H$2:$H$4094,H2498,$F$2:$F$4094,"PULANG")=0),1,0),0)</f>
        <v>0</v>
      </c>
      <c r="U2498" s="71">
        <f>IF(AND(N2498=1,V2498=1),IF(COUNTIFS(AKTIVITAS!$B$2:$B$3052,B2498,AKTIVITAS!$E$2:$E$3052,H2498)&gt;0,1,0),0)</f>
        <v>1</v>
      </c>
      <c r="V2498" s="71">
        <f>IFERROR(IF(AND(H2498&gt;=INDEX(PEMAGANG!$J$3:$J$36,MATCH(B2498,PEMAGANG!$C$3:$C$36,0)),H2498&lt;=INDEX(PEMAGANG!$K$3:$K$36,MATCH(B2498,PEMAGANG!$C$3:$C$36,0))),1,0),0)</f>
        <v>1</v>
      </c>
      <c r="W2498" s="71">
        <f t="shared" ref="W2498:W2561" si="359">N2498*V2498</f>
        <v>1</v>
      </c>
    </row>
    <row r="2499" spans="1:23" x14ac:dyDescent="0.2">
      <c r="A2499" s="71" t="s">
        <v>193</v>
      </c>
      <c r="B2499" s="71" t="s">
        <v>194</v>
      </c>
      <c r="C2499" s="71" t="s">
        <v>187</v>
      </c>
      <c r="D2499" s="71" t="s">
        <v>185</v>
      </c>
      <c r="E2499" s="71" t="s">
        <v>47</v>
      </c>
      <c r="F2499" s="71" t="s">
        <v>300</v>
      </c>
      <c r="G2499" s="88">
        <v>46192.6880439815</v>
      </c>
      <c r="H2499" s="89">
        <v>46192</v>
      </c>
      <c r="I2499" s="71" t="s">
        <v>330</v>
      </c>
      <c r="J2499" s="71">
        <v>0</v>
      </c>
      <c r="K2499" s="71" t="s">
        <v>302</v>
      </c>
      <c r="L2499" s="71">
        <f t="shared" si="351"/>
        <v>6</v>
      </c>
      <c r="M2499" s="71" t="str">
        <f>IFERROR(INDEX(KALENDER!$D$3:$D$132,MATCH(H2499,KALENDER!$A$3:$A$132,0)),"Di luar periode")</f>
        <v>Hari Kerja</v>
      </c>
      <c r="N2499" s="71">
        <f t="shared" si="352"/>
        <v>0</v>
      </c>
      <c r="O2499" s="71">
        <f t="shared" si="353"/>
        <v>1</v>
      </c>
      <c r="P2499" s="71">
        <f t="shared" si="354"/>
        <v>0</v>
      </c>
      <c r="Q2499" s="71">
        <f t="shared" si="355"/>
        <v>0</v>
      </c>
      <c r="R2499" s="71">
        <f t="shared" si="356"/>
        <v>0</v>
      </c>
      <c r="S2499" s="71">
        <f t="shared" si="357"/>
        <v>0</v>
      </c>
      <c r="T2499" s="71">
        <f t="shared" si="358"/>
        <v>0</v>
      </c>
      <c r="U2499" s="71">
        <f>IF(AND(N2499=1,V2499=1),IF(COUNTIFS(AKTIVITAS!$B$2:$B$3052,B2499,AKTIVITAS!$E$2:$E$3052,H2499)&gt;0,1,0),0)</f>
        <v>0</v>
      </c>
      <c r="V2499" s="71">
        <f>IFERROR(IF(AND(H2499&gt;=INDEX(PEMAGANG!$J$3:$J$36,MATCH(B2499,PEMAGANG!$C$3:$C$36,0)),H2499&lt;=INDEX(PEMAGANG!$K$3:$K$36,MATCH(B2499,PEMAGANG!$C$3:$C$36,0))),1,0),0)</f>
        <v>1</v>
      </c>
      <c r="W2499" s="71">
        <f t="shared" si="359"/>
        <v>0</v>
      </c>
    </row>
    <row r="2500" spans="1:23" x14ac:dyDescent="0.2">
      <c r="A2500" s="71" t="s">
        <v>193</v>
      </c>
      <c r="B2500" s="71" t="s">
        <v>194</v>
      </c>
      <c r="C2500" s="71" t="s">
        <v>187</v>
      </c>
      <c r="D2500" s="71" t="s">
        <v>185</v>
      </c>
      <c r="E2500" s="71" t="s">
        <v>47</v>
      </c>
      <c r="F2500" s="71" t="s">
        <v>298</v>
      </c>
      <c r="G2500" s="88">
        <v>46195.309652777803</v>
      </c>
      <c r="H2500" s="89">
        <v>46195</v>
      </c>
      <c r="I2500" s="71" t="s">
        <v>307</v>
      </c>
      <c r="J2500" s="71">
        <v>-4.9999999999999796</v>
      </c>
      <c r="K2500" s="71" t="s">
        <v>302</v>
      </c>
      <c r="L2500" s="71">
        <f t="shared" si="351"/>
        <v>6</v>
      </c>
      <c r="M2500" s="71" t="str">
        <f>IFERROR(INDEX(KALENDER!$D$3:$D$132,MATCH(H2500,KALENDER!$A$3:$A$132,0)),"Di luar periode")</f>
        <v>Hari Kerja</v>
      </c>
      <c r="N2500" s="71">
        <f t="shared" si="352"/>
        <v>1</v>
      </c>
      <c r="O2500" s="71">
        <f t="shared" si="353"/>
        <v>1</v>
      </c>
      <c r="P2500" s="71">
        <f t="shared" si="354"/>
        <v>1</v>
      </c>
      <c r="Q2500" s="71">
        <f t="shared" si="355"/>
        <v>0</v>
      </c>
      <c r="R2500" s="71">
        <f t="shared" si="356"/>
        <v>0</v>
      </c>
      <c r="S2500" s="71">
        <f t="shared" si="357"/>
        <v>0</v>
      </c>
      <c r="T2500" s="71">
        <f t="shared" si="358"/>
        <v>0</v>
      </c>
      <c r="U2500" s="71">
        <f>IF(AND(N2500=1,V2500=1),IF(COUNTIFS(AKTIVITAS!$B$2:$B$3052,B2500,AKTIVITAS!$E$2:$E$3052,H2500)&gt;0,1,0),0)</f>
        <v>1</v>
      </c>
      <c r="V2500" s="71">
        <f>IFERROR(IF(AND(H2500&gt;=INDEX(PEMAGANG!$J$3:$J$36,MATCH(B2500,PEMAGANG!$C$3:$C$36,0)),H2500&lt;=INDEX(PEMAGANG!$K$3:$K$36,MATCH(B2500,PEMAGANG!$C$3:$C$36,0))),1,0),0)</f>
        <v>1</v>
      </c>
      <c r="W2500" s="71">
        <f t="shared" si="359"/>
        <v>1</v>
      </c>
    </row>
    <row r="2501" spans="1:23" x14ac:dyDescent="0.2">
      <c r="A2501" s="71" t="s">
        <v>193</v>
      </c>
      <c r="B2501" s="71" t="s">
        <v>194</v>
      </c>
      <c r="C2501" s="71" t="s">
        <v>187</v>
      </c>
      <c r="D2501" s="71" t="s">
        <v>185</v>
      </c>
      <c r="E2501" s="71" t="s">
        <v>47</v>
      </c>
      <c r="F2501" s="71" t="s">
        <v>300</v>
      </c>
      <c r="G2501" s="88">
        <v>46195.689155092601</v>
      </c>
      <c r="H2501" s="89">
        <v>46195</v>
      </c>
      <c r="I2501" s="71" t="s">
        <v>306</v>
      </c>
      <c r="J2501" s="71">
        <v>0</v>
      </c>
      <c r="K2501" s="71" t="s">
        <v>302</v>
      </c>
      <c r="L2501" s="71">
        <f t="shared" si="351"/>
        <v>6</v>
      </c>
      <c r="M2501" s="71" t="str">
        <f>IFERROR(INDEX(KALENDER!$D$3:$D$132,MATCH(H2501,KALENDER!$A$3:$A$132,0)),"Di luar periode")</f>
        <v>Hari Kerja</v>
      </c>
      <c r="N2501" s="71">
        <f t="shared" si="352"/>
        <v>0</v>
      </c>
      <c r="O2501" s="71">
        <f t="shared" si="353"/>
        <v>1</v>
      </c>
      <c r="P2501" s="71">
        <f t="shared" si="354"/>
        <v>0</v>
      </c>
      <c r="Q2501" s="71">
        <f t="shared" si="355"/>
        <v>0</v>
      </c>
      <c r="R2501" s="71">
        <f t="shared" si="356"/>
        <v>0</v>
      </c>
      <c r="S2501" s="71">
        <f t="shared" si="357"/>
        <v>0</v>
      </c>
      <c r="T2501" s="71">
        <f t="shared" si="358"/>
        <v>0</v>
      </c>
      <c r="U2501" s="71">
        <f>IF(AND(N2501=1,V2501=1),IF(COUNTIFS(AKTIVITAS!$B$2:$B$3052,B2501,AKTIVITAS!$E$2:$E$3052,H2501)&gt;0,1,0),0)</f>
        <v>0</v>
      </c>
      <c r="V2501" s="71">
        <f>IFERROR(IF(AND(H2501&gt;=INDEX(PEMAGANG!$J$3:$J$36,MATCH(B2501,PEMAGANG!$C$3:$C$36,0)),H2501&lt;=INDEX(PEMAGANG!$K$3:$K$36,MATCH(B2501,PEMAGANG!$C$3:$C$36,0))),1,0),0)</f>
        <v>1</v>
      </c>
      <c r="W2501" s="71">
        <f t="shared" si="359"/>
        <v>0</v>
      </c>
    </row>
    <row r="2502" spans="1:23" x14ac:dyDescent="0.2">
      <c r="A2502" s="71" t="s">
        <v>193</v>
      </c>
      <c r="B2502" s="71" t="s">
        <v>194</v>
      </c>
      <c r="C2502" s="71" t="s">
        <v>187</v>
      </c>
      <c r="D2502" s="71" t="s">
        <v>185</v>
      </c>
      <c r="E2502" s="71" t="s">
        <v>47</v>
      </c>
      <c r="F2502" s="71" t="s">
        <v>298</v>
      </c>
      <c r="G2502" s="88">
        <v>46196.310497685197</v>
      </c>
      <c r="H2502" s="89">
        <v>46196</v>
      </c>
      <c r="I2502" s="71" t="s">
        <v>309</v>
      </c>
      <c r="J2502" s="71">
        <v>-2.9999999999999898</v>
      </c>
      <c r="K2502" s="71" t="s">
        <v>302</v>
      </c>
      <c r="L2502" s="71">
        <f t="shared" si="351"/>
        <v>6</v>
      </c>
      <c r="M2502" s="71" t="str">
        <f>IFERROR(INDEX(KALENDER!$D$3:$D$132,MATCH(H2502,KALENDER!$A$3:$A$132,0)),"Di luar periode")</f>
        <v>Hari Kerja</v>
      </c>
      <c r="N2502" s="71">
        <f t="shared" si="352"/>
        <v>1</v>
      </c>
      <c r="O2502" s="71">
        <f t="shared" si="353"/>
        <v>1</v>
      </c>
      <c r="P2502" s="71">
        <f t="shared" si="354"/>
        <v>1</v>
      </c>
      <c r="Q2502" s="71">
        <f t="shared" si="355"/>
        <v>0</v>
      </c>
      <c r="R2502" s="71">
        <f t="shared" si="356"/>
        <v>0</v>
      </c>
      <c r="S2502" s="71">
        <f t="shared" si="357"/>
        <v>0</v>
      </c>
      <c r="T2502" s="71">
        <f t="shared" si="358"/>
        <v>0</v>
      </c>
      <c r="U2502" s="71">
        <f>IF(AND(N2502=1,V2502=1),IF(COUNTIFS(AKTIVITAS!$B$2:$B$3052,B2502,AKTIVITAS!$E$2:$E$3052,H2502)&gt;0,1,0),0)</f>
        <v>1</v>
      </c>
      <c r="V2502" s="71">
        <f>IFERROR(IF(AND(H2502&gt;=INDEX(PEMAGANG!$J$3:$J$36,MATCH(B2502,PEMAGANG!$C$3:$C$36,0)),H2502&lt;=INDEX(PEMAGANG!$K$3:$K$36,MATCH(B2502,PEMAGANG!$C$3:$C$36,0))),1,0),0)</f>
        <v>1</v>
      </c>
      <c r="W2502" s="71">
        <f t="shared" si="359"/>
        <v>1</v>
      </c>
    </row>
    <row r="2503" spans="1:23" x14ac:dyDescent="0.2">
      <c r="A2503" s="71" t="s">
        <v>193</v>
      </c>
      <c r="B2503" s="71" t="s">
        <v>194</v>
      </c>
      <c r="C2503" s="71" t="s">
        <v>187</v>
      </c>
      <c r="D2503" s="71" t="s">
        <v>185</v>
      </c>
      <c r="E2503" s="71" t="s">
        <v>47</v>
      </c>
      <c r="F2503" s="71" t="s">
        <v>300</v>
      </c>
      <c r="G2503" s="88">
        <v>46196.7015972222</v>
      </c>
      <c r="H2503" s="89">
        <v>46196</v>
      </c>
      <c r="I2503" s="71" t="s">
        <v>334</v>
      </c>
      <c r="J2503" s="71">
        <v>0</v>
      </c>
      <c r="K2503" s="71" t="s">
        <v>302</v>
      </c>
      <c r="L2503" s="71">
        <f t="shared" si="351"/>
        <v>6</v>
      </c>
      <c r="M2503" s="71" t="str">
        <f>IFERROR(INDEX(KALENDER!$D$3:$D$132,MATCH(H2503,KALENDER!$A$3:$A$132,0)),"Di luar periode")</f>
        <v>Hari Kerja</v>
      </c>
      <c r="N2503" s="71">
        <f t="shared" si="352"/>
        <v>0</v>
      </c>
      <c r="O2503" s="71">
        <f t="shared" si="353"/>
        <v>1</v>
      </c>
      <c r="P2503" s="71">
        <f t="shared" si="354"/>
        <v>0</v>
      </c>
      <c r="Q2503" s="71">
        <f t="shared" si="355"/>
        <v>0</v>
      </c>
      <c r="R2503" s="71">
        <f t="shared" si="356"/>
        <v>0</v>
      </c>
      <c r="S2503" s="71">
        <f t="shared" si="357"/>
        <v>0</v>
      </c>
      <c r="T2503" s="71">
        <f t="shared" si="358"/>
        <v>0</v>
      </c>
      <c r="U2503" s="71">
        <f>IF(AND(N2503=1,V2503=1),IF(COUNTIFS(AKTIVITAS!$B$2:$B$3052,B2503,AKTIVITAS!$E$2:$E$3052,H2503)&gt;0,1,0),0)</f>
        <v>0</v>
      </c>
      <c r="V2503" s="71">
        <f>IFERROR(IF(AND(H2503&gt;=INDEX(PEMAGANG!$J$3:$J$36,MATCH(B2503,PEMAGANG!$C$3:$C$36,0)),H2503&lt;=INDEX(PEMAGANG!$K$3:$K$36,MATCH(B2503,PEMAGANG!$C$3:$C$36,0))),1,0),0)</f>
        <v>1</v>
      </c>
      <c r="W2503" s="71">
        <f t="shared" si="359"/>
        <v>0</v>
      </c>
    </row>
    <row r="2504" spans="1:23" x14ac:dyDescent="0.2">
      <c r="A2504" s="71" t="s">
        <v>193</v>
      </c>
      <c r="B2504" s="71" t="s">
        <v>194</v>
      </c>
      <c r="C2504" s="71" t="s">
        <v>187</v>
      </c>
      <c r="D2504" s="71" t="s">
        <v>185</v>
      </c>
      <c r="E2504" s="71" t="s">
        <v>47</v>
      </c>
      <c r="F2504" s="71" t="s">
        <v>298</v>
      </c>
      <c r="G2504" s="88">
        <v>46197.305983796301</v>
      </c>
      <c r="H2504" s="89">
        <v>46197</v>
      </c>
      <c r="I2504" s="71" t="s">
        <v>329</v>
      </c>
      <c r="J2504" s="71">
        <v>-10</v>
      </c>
      <c r="K2504" s="71" t="s">
        <v>302</v>
      </c>
      <c r="L2504" s="71">
        <f t="shared" si="351"/>
        <v>6</v>
      </c>
      <c r="M2504" s="71" t="str">
        <f>IFERROR(INDEX(KALENDER!$D$3:$D$132,MATCH(H2504,KALENDER!$A$3:$A$132,0)),"Di luar periode")</f>
        <v>WFH</v>
      </c>
      <c r="N2504" s="71">
        <f t="shared" si="352"/>
        <v>1</v>
      </c>
      <c r="O2504" s="71">
        <f t="shared" si="353"/>
        <v>1</v>
      </c>
      <c r="P2504" s="71">
        <f t="shared" si="354"/>
        <v>0</v>
      </c>
      <c r="Q2504" s="71">
        <f t="shared" si="355"/>
        <v>1</v>
      </c>
      <c r="R2504" s="71">
        <f t="shared" si="356"/>
        <v>0</v>
      </c>
      <c r="S2504" s="71">
        <f t="shared" si="357"/>
        <v>0</v>
      </c>
      <c r="T2504" s="71">
        <f t="shared" si="358"/>
        <v>0</v>
      </c>
      <c r="U2504" s="71">
        <f>IF(AND(N2504=1,V2504=1),IF(COUNTIFS(AKTIVITAS!$B$2:$B$3052,B2504,AKTIVITAS!$E$2:$E$3052,H2504)&gt;0,1,0),0)</f>
        <v>1</v>
      </c>
      <c r="V2504" s="71">
        <f>IFERROR(IF(AND(H2504&gt;=INDEX(PEMAGANG!$J$3:$J$36,MATCH(B2504,PEMAGANG!$C$3:$C$36,0)),H2504&lt;=INDEX(PEMAGANG!$K$3:$K$36,MATCH(B2504,PEMAGANG!$C$3:$C$36,0))),1,0),0)</f>
        <v>1</v>
      </c>
      <c r="W2504" s="71">
        <f t="shared" si="359"/>
        <v>1</v>
      </c>
    </row>
    <row r="2505" spans="1:23" x14ac:dyDescent="0.2">
      <c r="A2505" s="71" t="s">
        <v>193</v>
      </c>
      <c r="B2505" s="71" t="s">
        <v>194</v>
      </c>
      <c r="C2505" s="71" t="s">
        <v>187</v>
      </c>
      <c r="D2505" s="71" t="s">
        <v>185</v>
      </c>
      <c r="E2505" s="71" t="s">
        <v>47</v>
      </c>
      <c r="F2505" s="71" t="s">
        <v>300</v>
      </c>
      <c r="G2505" s="88">
        <v>46197.692824074104</v>
      </c>
      <c r="H2505" s="89">
        <v>46197</v>
      </c>
      <c r="I2505" s="71" t="s">
        <v>328</v>
      </c>
      <c r="J2505" s="71">
        <v>0</v>
      </c>
      <c r="K2505" s="71" t="s">
        <v>302</v>
      </c>
      <c r="L2505" s="71">
        <f t="shared" si="351"/>
        <v>6</v>
      </c>
      <c r="M2505" s="71" t="str">
        <f>IFERROR(INDEX(KALENDER!$D$3:$D$132,MATCH(H2505,KALENDER!$A$3:$A$132,0)),"Di luar periode")</f>
        <v>WFH</v>
      </c>
      <c r="N2505" s="71">
        <f t="shared" si="352"/>
        <v>0</v>
      </c>
      <c r="O2505" s="71">
        <f t="shared" si="353"/>
        <v>1</v>
      </c>
      <c r="P2505" s="71">
        <f t="shared" si="354"/>
        <v>0</v>
      </c>
      <c r="Q2505" s="71">
        <f t="shared" si="355"/>
        <v>0</v>
      </c>
      <c r="R2505" s="71">
        <f t="shared" si="356"/>
        <v>0</v>
      </c>
      <c r="S2505" s="71">
        <f t="shared" si="357"/>
        <v>0</v>
      </c>
      <c r="T2505" s="71">
        <f t="shared" si="358"/>
        <v>0</v>
      </c>
      <c r="U2505" s="71">
        <f>IF(AND(N2505=1,V2505=1),IF(COUNTIFS(AKTIVITAS!$B$2:$B$3052,B2505,AKTIVITAS!$E$2:$E$3052,H2505)&gt;0,1,0),0)</f>
        <v>0</v>
      </c>
      <c r="V2505" s="71">
        <f>IFERROR(IF(AND(H2505&gt;=INDEX(PEMAGANG!$J$3:$J$36,MATCH(B2505,PEMAGANG!$C$3:$C$36,0)),H2505&lt;=INDEX(PEMAGANG!$K$3:$K$36,MATCH(B2505,PEMAGANG!$C$3:$C$36,0))),1,0),0)</f>
        <v>1</v>
      </c>
      <c r="W2505" s="71">
        <f t="shared" si="359"/>
        <v>0</v>
      </c>
    </row>
    <row r="2506" spans="1:23" x14ac:dyDescent="0.2">
      <c r="A2506" s="71" t="s">
        <v>193</v>
      </c>
      <c r="B2506" s="71" t="s">
        <v>194</v>
      </c>
      <c r="C2506" s="71" t="s">
        <v>187</v>
      </c>
      <c r="D2506" s="71" t="s">
        <v>185</v>
      </c>
      <c r="E2506" s="71" t="s">
        <v>47</v>
      </c>
      <c r="F2506" s="71" t="s">
        <v>298</v>
      </c>
      <c r="G2506" s="88">
        <v>46198.303229166697</v>
      </c>
      <c r="H2506" s="89">
        <v>46198</v>
      </c>
      <c r="I2506" s="71" t="s">
        <v>327</v>
      </c>
      <c r="J2506" s="71">
        <v>-14</v>
      </c>
      <c r="K2506" s="71" t="s">
        <v>302</v>
      </c>
      <c r="L2506" s="71">
        <f t="shared" si="351"/>
        <v>6</v>
      </c>
      <c r="M2506" s="71" t="str">
        <f>IFERROR(INDEX(KALENDER!$D$3:$D$132,MATCH(H2506,KALENDER!$A$3:$A$132,0)),"Di luar periode")</f>
        <v>Hari Kerja</v>
      </c>
      <c r="N2506" s="71">
        <f t="shared" si="352"/>
        <v>1</v>
      </c>
      <c r="O2506" s="71">
        <f t="shared" si="353"/>
        <v>1</v>
      </c>
      <c r="P2506" s="71">
        <f t="shared" si="354"/>
        <v>1</v>
      </c>
      <c r="Q2506" s="71">
        <f t="shared" si="355"/>
        <v>0</v>
      </c>
      <c r="R2506" s="71">
        <f t="shared" si="356"/>
        <v>0</v>
      </c>
      <c r="S2506" s="71">
        <f t="shared" si="357"/>
        <v>0</v>
      </c>
      <c r="T2506" s="71">
        <f t="shared" si="358"/>
        <v>0</v>
      </c>
      <c r="U2506" s="71">
        <f>IF(AND(N2506=1,V2506=1),IF(COUNTIFS(AKTIVITAS!$B$2:$B$3052,B2506,AKTIVITAS!$E$2:$E$3052,H2506)&gt;0,1,0),0)</f>
        <v>1</v>
      </c>
      <c r="V2506" s="71">
        <f>IFERROR(IF(AND(H2506&gt;=INDEX(PEMAGANG!$J$3:$J$36,MATCH(B2506,PEMAGANG!$C$3:$C$36,0)),H2506&lt;=INDEX(PEMAGANG!$K$3:$K$36,MATCH(B2506,PEMAGANG!$C$3:$C$36,0))),1,0),0)</f>
        <v>1</v>
      </c>
      <c r="W2506" s="71">
        <f t="shared" si="359"/>
        <v>1</v>
      </c>
    </row>
    <row r="2507" spans="1:23" x14ac:dyDescent="0.2">
      <c r="A2507" s="71" t="s">
        <v>193</v>
      </c>
      <c r="B2507" s="71" t="s">
        <v>194</v>
      </c>
      <c r="C2507" s="71" t="s">
        <v>187</v>
      </c>
      <c r="D2507" s="71" t="s">
        <v>185</v>
      </c>
      <c r="E2507" s="71" t="s">
        <v>47</v>
      </c>
      <c r="F2507" s="71" t="s">
        <v>300</v>
      </c>
      <c r="G2507" s="88">
        <v>46198.688506944498</v>
      </c>
      <c r="H2507" s="89">
        <v>46198</v>
      </c>
      <c r="I2507" s="71" t="s">
        <v>336</v>
      </c>
      <c r="J2507" s="71">
        <v>0</v>
      </c>
      <c r="K2507" s="71" t="s">
        <v>302</v>
      </c>
      <c r="L2507" s="71">
        <f t="shared" si="351"/>
        <v>6</v>
      </c>
      <c r="M2507" s="71" t="str">
        <f>IFERROR(INDEX(KALENDER!$D$3:$D$132,MATCH(H2507,KALENDER!$A$3:$A$132,0)),"Di luar periode")</f>
        <v>Hari Kerja</v>
      </c>
      <c r="N2507" s="71">
        <f t="shared" si="352"/>
        <v>0</v>
      </c>
      <c r="O2507" s="71">
        <f t="shared" si="353"/>
        <v>1</v>
      </c>
      <c r="P2507" s="71">
        <f t="shared" si="354"/>
        <v>0</v>
      </c>
      <c r="Q2507" s="71">
        <f t="shared" si="355"/>
        <v>0</v>
      </c>
      <c r="R2507" s="71">
        <f t="shared" si="356"/>
        <v>0</v>
      </c>
      <c r="S2507" s="71">
        <f t="shared" si="357"/>
        <v>0</v>
      </c>
      <c r="T2507" s="71">
        <f t="shared" si="358"/>
        <v>0</v>
      </c>
      <c r="U2507" s="71">
        <f>IF(AND(N2507=1,V2507=1),IF(COUNTIFS(AKTIVITAS!$B$2:$B$3052,B2507,AKTIVITAS!$E$2:$E$3052,H2507)&gt;0,1,0),0)</f>
        <v>0</v>
      </c>
      <c r="V2507" s="71">
        <f>IFERROR(IF(AND(H2507&gt;=INDEX(PEMAGANG!$J$3:$J$36,MATCH(B2507,PEMAGANG!$C$3:$C$36,0)),H2507&lt;=INDEX(PEMAGANG!$K$3:$K$36,MATCH(B2507,PEMAGANG!$C$3:$C$36,0))),1,0),0)</f>
        <v>1</v>
      </c>
      <c r="W2507" s="71">
        <f t="shared" si="359"/>
        <v>0</v>
      </c>
    </row>
    <row r="2508" spans="1:23" x14ac:dyDescent="0.2">
      <c r="A2508" s="71" t="s">
        <v>193</v>
      </c>
      <c r="B2508" s="71" t="s">
        <v>194</v>
      </c>
      <c r="C2508" s="71" t="s">
        <v>187</v>
      </c>
      <c r="D2508" s="71" t="s">
        <v>185</v>
      </c>
      <c r="E2508" s="71" t="s">
        <v>47</v>
      </c>
      <c r="F2508" s="71" t="s">
        <v>298</v>
      </c>
      <c r="G2508" s="88">
        <v>46199.3133564815</v>
      </c>
      <c r="H2508" s="89">
        <v>46199</v>
      </c>
      <c r="I2508" s="71" t="s">
        <v>392</v>
      </c>
      <c r="J2508" s="71">
        <v>0.999999999999996</v>
      </c>
      <c r="K2508" s="71" t="s">
        <v>293</v>
      </c>
      <c r="L2508" s="71">
        <f t="shared" si="351"/>
        <v>6</v>
      </c>
      <c r="M2508" s="71" t="str">
        <f>IFERROR(INDEX(KALENDER!$D$3:$D$132,MATCH(H2508,KALENDER!$A$3:$A$132,0)),"Di luar periode")</f>
        <v>Hari Kerja</v>
      </c>
      <c r="N2508" s="71">
        <f t="shared" si="352"/>
        <v>1</v>
      </c>
      <c r="O2508" s="71">
        <f t="shared" si="353"/>
        <v>1</v>
      </c>
      <c r="P2508" s="71">
        <f t="shared" si="354"/>
        <v>1</v>
      </c>
      <c r="Q2508" s="71">
        <f t="shared" si="355"/>
        <v>0</v>
      </c>
      <c r="R2508" s="71">
        <f t="shared" si="356"/>
        <v>1</v>
      </c>
      <c r="S2508" s="71">
        <f t="shared" si="357"/>
        <v>0.999999999999996</v>
      </c>
      <c r="T2508" s="71">
        <f t="shared" si="358"/>
        <v>0</v>
      </c>
      <c r="U2508" s="71">
        <f>IF(AND(N2508=1,V2508=1),IF(COUNTIFS(AKTIVITAS!$B$2:$B$3052,B2508,AKTIVITAS!$E$2:$E$3052,H2508)&gt;0,1,0),0)</f>
        <v>1</v>
      </c>
      <c r="V2508" s="71">
        <f>IFERROR(IF(AND(H2508&gt;=INDEX(PEMAGANG!$J$3:$J$36,MATCH(B2508,PEMAGANG!$C$3:$C$36,0)),H2508&lt;=INDEX(PEMAGANG!$K$3:$K$36,MATCH(B2508,PEMAGANG!$C$3:$C$36,0))),1,0),0)</f>
        <v>1</v>
      </c>
      <c r="W2508" s="71">
        <f t="shared" si="359"/>
        <v>1</v>
      </c>
    </row>
    <row r="2509" spans="1:23" x14ac:dyDescent="0.2">
      <c r="A2509" s="71" t="s">
        <v>193</v>
      </c>
      <c r="B2509" s="71" t="s">
        <v>194</v>
      </c>
      <c r="C2509" s="71" t="s">
        <v>187</v>
      </c>
      <c r="D2509" s="71" t="s">
        <v>185</v>
      </c>
      <c r="E2509" s="71" t="s">
        <v>47</v>
      </c>
      <c r="F2509" s="71" t="s">
        <v>300</v>
      </c>
      <c r="G2509" s="88">
        <v>46199.694826388899</v>
      </c>
      <c r="H2509" s="89">
        <v>46199</v>
      </c>
      <c r="I2509" s="71" t="s">
        <v>343</v>
      </c>
      <c r="J2509" s="71">
        <v>0</v>
      </c>
      <c r="K2509" s="71" t="s">
        <v>302</v>
      </c>
      <c r="L2509" s="71">
        <f t="shared" si="351"/>
        <v>6</v>
      </c>
      <c r="M2509" s="71" t="str">
        <f>IFERROR(INDEX(KALENDER!$D$3:$D$132,MATCH(H2509,KALENDER!$A$3:$A$132,0)),"Di luar periode")</f>
        <v>Hari Kerja</v>
      </c>
      <c r="N2509" s="71">
        <f t="shared" si="352"/>
        <v>0</v>
      </c>
      <c r="O2509" s="71">
        <f t="shared" si="353"/>
        <v>1</v>
      </c>
      <c r="P2509" s="71">
        <f t="shared" si="354"/>
        <v>0</v>
      </c>
      <c r="Q2509" s="71">
        <f t="shared" si="355"/>
        <v>0</v>
      </c>
      <c r="R2509" s="71">
        <f t="shared" si="356"/>
        <v>0</v>
      </c>
      <c r="S2509" s="71">
        <f t="shared" si="357"/>
        <v>0</v>
      </c>
      <c r="T2509" s="71">
        <f t="shared" si="358"/>
        <v>0</v>
      </c>
      <c r="U2509" s="71">
        <f>IF(AND(N2509=1,V2509=1),IF(COUNTIFS(AKTIVITAS!$B$2:$B$3052,B2509,AKTIVITAS!$E$2:$E$3052,H2509)&gt;0,1,0),0)</f>
        <v>0</v>
      </c>
      <c r="V2509" s="71">
        <f>IFERROR(IF(AND(H2509&gt;=INDEX(PEMAGANG!$J$3:$J$36,MATCH(B2509,PEMAGANG!$C$3:$C$36,0)),H2509&lt;=INDEX(PEMAGANG!$K$3:$K$36,MATCH(B2509,PEMAGANG!$C$3:$C$36,0))),1,0),0)</f>
        <v>1</v>
      </c>
      <c r="W2509" s="71">
        <f t="shared" si="359"/>
        <v>0</v>
      </c>
    </row>
    <row r="2510" spans="1:23" x14ac:dyDescent="0.2">
      <c r="A2510" s="71" t="s">
        <v>193</v>
      </c>
      <c r="B2510" s="71" t="s">
        <v>194</v>
      </c>
      <c r="C2510" s="71" t="s">
        <v>187</v>
      </c>
      <c r="D2510" s="71" t="s">
        <v>185</v>
      </c>
      <c r="E2510" s="71" t="s">
        <v>47</v>
      </c>
      <c r="F2510" s="71" t="s">
        <v>298</v>
      </c>
      <c r="G2510" s="88">
        <v>46202.309814814798</v>
      </c>
      <c r="H2510" s="89">
        <v>46202</v>
      </c>
      <c r="I2510" s="71" t="s">
        <v>315</v>
      </c>
      <c r="J2510" s="71">
        <v>-3.9999999999999898</v>
      </c>
      <c r="K2510" s="71" t="s">
        <v>302</v>
      </c>
      <c r="L2510" s="71">
        <f t="shared" si="351"/>
        <v>6</v>
      </c>
      <c r="M2510" s="71" t="str">
        <f>IFERROR(INDEX(KALENDER!$D$3:$D$132,MATCH(H2510,KALENDER!$A$3:$A$132,0)),"Di luar periode")</f>
        <v>Hari Kerja</v>
      </c>
      <c r="N2510" s="71">
        <f t="shared" si="352"/>
        <v>1</v>
      </c>
      <c r="O2510" s="71">
        <f t="shared" si="353"/>
        <v>1</v>
      </c>
      <c r="P2510" s="71">
        <f t="shared" si="354"/>
        <v>1</v>
      </c>
      <c r="Q2510" s="71">
        <f t="shared" si="355"/>
        <v>0</v>
      </c>
      <c r="R2510" s="71">
        <f t="shared" si="356"/>
        <v>0</v>
      </c>
      <c r="S2510" s="71">
        <f t="shared" si="357"/>
        <v>0</v>
      </c>
      <c r="T2510" s="71">
        <f t="shared" si="358"/>
        <v>0</v>
      </c>
      <c r="U2510" s="71">
        <f>IF(AND(N2510=1,V2510=1),IF(COUNTIFS(AKTIVITAS!$B$2:$B$3052,B2510,AKTIVITAS!$E$2:$E$3052,H2510)&gt;0,1,0),0)</f>
        <v>1</v>
      </c>
      <c r="V2510" s="71">
        <f>IFERROR(IF(AND(H2510&gt;=INDEX(PEMAGANG!$J$3:$J$36,MATCH(B2510,PEMAGANG!$C$3:$C$36,0)),H2510&lt;=INDEX(PEMAGANG!$K$3:$K$36,MATCH(B2510,PEMAGANG!$C$3:$C$36,0))),1,0),0)</f>
        <v>1</v>
      </c>
      <c r="W2510" s="71">
        <f t="shared" si="359"/>
        <v>1</v>
      </c>
    </row>
    <row r="2511" spans="1:23" x14ac:dyDescent="0.2">
      <c r="A2511" s="71" t="s">
        <v>193</v>
      </c>
      <c r="B2511" s="71" t="s">
        <v>194</v>
      </c>
      <c r="C2511" s="71" t="s">
        <v>187</v>
      </c>
      <c r="D2511" s="71" t="s">
        <v>185</v>
      </c>
      <c r="E2511" s="71" t="s">
        <v>47</v>
      </c>
      <c r="F2511" s="71" t="s">
        <v>300</v>
      </c>
      <c r="G2511" s="88">
        <v>46202.688368055598</v>
      </c>
      <c r="H2511" s="89">
        <v>46202</v>
      </c>
      <c r="I2511" s="71" t="s">
        <v>336</v>
      </c>
      <c r="J2511" s="71">
        <v>0</v>
      </c>
      <c r="K2511" s="71" t="s">
        <v>302</v>
      </c>
      <c r="L2511" s="71">
        <f t="shared" si="351"/>
        <v>6</v>
      </c>
      <c r="M2511" s="71" t="str">
        <f>IFERROR(INDEX(KALENDER!$D$3:$D$132,MATCH(H2511,KALENDER!$A$3:$A$132,0)),"Di luar periode")</f>
        <v>Hari Kerja</v>
      </c>
      <c r="N2511" s="71">
        <f t="shared" si="352"/>
        <v>0</v>
      </c>
      <c r="O2511" s="71">
        <f t="shared" si="353"/>
        <v>1</v>
      </c>
      <c r="P2511" s="71">
        <f t="shared" si="354"/>
        <v>0</v>
      </c>
      <c r="Q2511" s="71">
        <f t="shared" si="355"/>
        <v>0</v>
      </c>
      <c r="R2511" s="71">
        <f t="shared" si="356"/>
        <v>0</v>
      </c>
      <c r="S2511" s="71">
        <f t="shared" si="357"/>
        <v>0</v>
      </c>
      <c r="T2511" s="71">
        <f t="shared" si="358"/>
        <v>0</v>
      </c>
      <c r="U2511" s="71">
        <f>IF(AND(N2511=1,V2511=1),IF(COUNTIFS(AKTIVITAS!$B$2:$B$3052,B2511,AKTIVITAS!$E$2:$E$3052,H2511)&gt;0,1,0),0)</f>
        <v>0</v>
      </c>
      <c r="V2511" s="71">
        <f>IFERROR(IF(AND(H2511&gt;=INDEX(PEMAGANG!$J$3:$J$36,MATCH(B2511,PEMAGANG!$C$3:$C$36,0)),H2511&lt;=INDEX(PEMAGANG!$K$3:$K$36,MATCH(B2511,PEMAGANG!$C$3:$C$36,0))),1,0),0)</f>
        <v>1</v>
      </c>
      <c r="W2511" s="71">
        <f t="shared" si="359"/>
        <v>0</v>
      </c>
    </row>
    <row r="2512" spans="1:23" x14ac:dyDescent="0.2">
      <c r="A2512" s="71" t="s">
        <v>193</v>
      </c>
      <c r="B2512" s="71" t="s">
        <v>194</v>
      </c>
      <c r="C2512" s="71" t="s">
        <v>187</v>
      </c>
      <c r="D2512" s="71" t="s">
        <v>185</v>
      </c>
      <c r="E2512" s="71" t="s">
        <v>47</v>
      </c>
      <c r="F2512" s="71" t="s">
        <v>298</v>
      </c>
      <c r="G2512" s="88">
        <v>46203.309861111098</v>
      </c>
      <c r="H2512" s="89">
        <v>46203</v>
      </c>
      <c r="I2512" s="71" t="s">
        <v>315</v>
      </c>
      <c r="J2512" s="71">
        <v>-3.9999999999999898</v>
      </c>
      <c r="K2512" s="71" t="s">
        <v>302</v>
      </c>
      <c r="L2512" s="71">
        <f t="shared" si="351"/>
        <v>6</v>
      </c>
      <c r="M2512" s="71" t="str">
        <f>IFERROR(INDEX(KALENDER!$D$3:$D$132,MATCH(H2512,KALENDER!$A$3:$A$132,0)),"Di luar periode")</f>
        <v>Hari Kerja</v>
      </c>
      <c r="N2512" s="71">
        <f t="shared" si="352"/>
        <v>1</v>
      </c>
      <c r="O2512" s="71">
        <f t="shared" si="353"/>
        <v>1</v>
      </c>
      <c r="P2512" s="71">
        <f t="shared" si="354"/>
        <v>1</v>
      </c>
      <c r="Q2512" s="71">
        <f t="shared" si="355"/>
        <v>0</v>
      </c>
      <c r="R2512" s="71">
        <f t="shared" si="356"/>
        <v>0</v>
      </c>
      <c r="S2512" s="71">
        <f t="shared" si="357"/>
        <v>0</v>
      </c>
      <c r="T2512" s="71">
        <f t="shared" si="358"/>
        <v>1</v>
      </c>
      <c r="U2512" s="71">
        <f>IF(AND(N2512=1,V2512=1),IF(COUNTIFS(AKTIVITAS!$B$2:$B$3052,B2512,AKTIVITAS!$E$2:$E$3052,H2512)&gt;0,1,0),0)</f>
        <v>0</v>
      </c>
      <c r="V2512" s="71">
        <f>IFERROR(IF(AND(H2512&gt;=INDEX(PEMAGANG!$J$3:$J$36,MATCH(B2512,PEMAGANG!$C$3:$C$36,0)),H2512&lt;=INDEX(PEMAGANG!$K$3:$K$36,MATCH(B2512,PEMAGANG!$C$3:$C$36,0))),1,0),0)</f>
        <v>1</v>
      </c>
      <c r="W2512" s="71">
        <f t="shared" si="359"/>
        <v>1</v>
      </c>
    </row>
    <row r="2513" spans="1:23" x14ac:dyDescent="0.2">
      <c r="A2513" s="71" t="s">
        <v>193</v>
      </c>
      <c r="B2513" s="71" t="s">
        <v>194</v>
      </c>
      <c r="C2513" s="71" t="s">
        <v>187</v>
      </c>
      <c r="D2513" s="71" t="s">
        <v>185</v>
      </c>
      <c r="E2513" s="71" t="s">
        <v>47</v>
      </c>
      <c r="F2513" s="71" t="s">
        <v>298</v>
      </c>
      <c r="G2513" s="88">
        <v>46204.305335648198</v>
      </c>
      <c r="H2513" s="89">
        <v>46204</v>
      </c>
      <c r="I2513" s="71" t="s">
        <v>321</v>
      </c>
      <c r="J2513" s="71">
        <v>-11</v>
      </c>
      <c r="K2513" s="71" t="s">
        <v>302</v>
      </c>
      <c r="L2513" s="71">
        <f t="shared" si="351"/>
        <v>7</v>
      </c>
      <c r="M2513" s="71" t="str">
        <f>IFERROR(INDEX(KALENDER!$D$3:$D$132,MATCH(H2513,KALENDER!$A$3:$A$132,0)),"Di luar periode")</f>
        <v>WFH</v>
      </c>
      <c r="N2513" s="71">
        <f t="shared" si="352"/>
        <v>1</v>
      </c>
      <c r="O2513" s="71">
        <f t="shared" si="353"/>
        <v>1</v>
      </c>
      <c r="P2513" s="71">
        <f t="shared" si="354"/>
        <v>0</v>
      </c>
      <c r="Q2513" s="71">
        <f t="shared" si="355"/>
        <v>1</v>
      </c>
      <c r="R2513" s="71">
        <f t="shared" si="356"/>
        <v>0</v>
      </c>
      <c r="S2513" s="71">
        <f t="shared" si="357"/>
        <v>0</v>
      </c>
      <c r="T2513" s="71">
        <f t="shared" si="358"/>
        <v>0</v>
      </c>
      <c r="U2513" s="71">
        <f>IF(AND(N2513=1,V2513=1),IF(COUNTIFS(AKTIVITAS!$B$2:$B$3052,B2513,AKTIVITAS!$E$2:$E$3052,H2513)&gt;0,1,0),0)</f>
        <v>1</v>
      </c>
      <c r="V2513" s="71">
        <f>IFERROR(IF(AND(H2513&gt;=INDEX(PEMAGANG!$J$3:$J$36,MATCH(B2513,PEMAGANG!$C$3:$C$36,0)),H2513&lt;=INDEX(PEMAGANG!$K$3:$K$36,MATCH(B2513,PEMAGANG!$C$3:$C$36,0))),1,0),0)</f>
        <v>1</v>
      </c>
      <c r="W2513" s="71">
        <f t="shared" si="359"/>
        <v>1</v>
      </c>
    </row>
    <row r="2514" spans="1:23" x14ac:dyDescent="0.2">
      <c r="A2514" s="71" t="s">
        <v>193</v>
      </c>
      <c r="B2514" s="71" t="s">
        <v>194</v>
      </c>
      <c r="C2514" s="71" t="s">
        <v>187</v>
      </c>
      <c r="D2514" s="71" t="s">
        <v>185</v>
      </c>
      <c r="E2514" s="71" t="s">
        <v>47</v>
      </c>
      <c r="F2514" s="71" t="s">
        <v>300</v>
      </c>
      <c r="G2514" s="88">
        <v>46204.687881944497</v>
      </c>
      <c r="H2514" s="89">
        <v>46204</v>
      </c>
      <c r="I2514" s="71" t="s">
        <v>330</v>
      </c>
      <c r="J2514" s="71">
        <v>0</v>
      </c>
      <c r="K2514" s="71" t="s">
        <v>302</v>
      </c>
      <c r="L2514" s="71">
        <f t="shared" si="351"/>
        <v>7</v>
      </c>
      <c r="M2514" s="71" t="str">
        <f>IFERROR(INDEX(KALENDER!$D$3:$D$132,MATCH(H2514,KALENDER!$A$3:$A$132,0)),"Di luar periode")</f>
        <v>WFH</v>
      </c>
      <c r="N2514" s="71">
        <f t="shared" si="352"/>
        <v>0</v>
      </c>
      <c r="O2514" s="71">
        <f t="shared" si="353"/>
        <v>1</v>
      </c>
      <c r="P2514" s="71">
        <f t="shared" si="354"/>
        <v>0</v>
      </c>
      <c r="Q2514" s="71">
        <f t="shared" si="355"/>
        <v>0</v>
      </c>
      <c r="R2514" s="71">
        <f t="shared" si="356"/>
        <v>0</v>
      </c>
      <c r="S2514" s="71">
        <f t="shared" si="357"/>
        <v>0</v>
      </c>
      <c r="T2514" s="71">
        <f t="shared" si="358"/>
        <v>0</v>
      </c>
      <c r="U2514" s="71">
        <f>IF(AND(N2514=1,V2514=1),IF(COUNTIFS(AKTIVITAS!$B$2:$B$3052,B2514,AKTIVITAS!$E$2:$E$3052,H2514)&gt;0,1,0),0)</f>
        <v>0</v>
      </c>
      <c r="V2514" s="71">
        <f>IFERROR(IF(AND(H2514&gt;=INDEX(PEMAGANG!$J$3:$J$36,MATCH(B2514,PEMAGANG!$C$3:$C$36,0)),H2514&lt;=INDEX(PEMAGANG!$K$3:$K$36,MATCH(B2514,PEMAGANG!$C$3:$C$36,0))),1,0),0)</f>
        <v>1</v>
      </c>
      <c r="W2514" s="71">
        <f t="shared" si="359"/>
        <v>0</v>
      </c>
    </row>
    <row r="2515" spans="1:23" x14ac:dyDescent="0.2">
      <c r="A2515" s="71" t="s">
        <v>193</v>
      </c>
      <c r="B2515" s="71" t="s">
        <v>194</v>
      </c>
      <c r="C2515" s="71" t="s">
        <v>187</v>
      </c>
      <c r="D2515" s="71" t="s">
        <v>185</v>
      </c>
      <c r="E2515" s="71" t="s">
        <v>47</v>
      </c>
      <c r="F2515" s="71" t="s">
        <v>298</v>
      </c>
      <c r="G2515" s="88">
        <v>46205.305034722202</v>
      </c>
      <c r="H2515" s="89">
        <v>46205</v>
      </c>
      <c r="I2515" s="71" t="s">
        <v>321</v>
      </c>
      <c r="J2515" s="71">
        <v>-11</v>
      </c>
      <c r="K2515" s="71" t="s">
        <v>302</v>
      </c>
      <c r="L2515" s="71">
        <f t="shared" si="351"/>
        <v>7</v>
      </c>
      <c r="M2515" s="71" t="str">
        <f>IFERROR(INDEX(KALENDER!$D$3:$D$132,MATCH(H2515,KALENDER!$A$3:$A$132,0)),"Di luar periode")</f>
        <v>Hari Kerja</v>
      </c>
      <c r="N2515" s="71">
        <f t="shared" si="352"/>
        <v>1</v>
      </c>
      <c r="O2515" s="71">
        <f t="shared" si="353"/>
        <v>1</v>
      </c>
      <c r="P2515" s="71">
        <f t="shared" si="354"/>
        <v>1</v>
      </c>
      <c r="Q2515" s="71">
        <f t="shared" si="355"/>
        <v>0</v>
      </c>
      <c r="R2515" s="71">
        <f t="shared" si="356"/>
        <v>0</v>
      </c>
      <c r="S2515" s="71">
        <f t="shared" si="357"/>
        <v>0</v>
      </c>
      <c r="T2515" s="71">
        <f t="shared" si="358"/>
        <v>0</v>
      </c>
      <c r="U2515" s="71">
        <f>IF(AND(N2515=1,V2515=1),IF(COUNTIFS(AKTIVITAS!$B$2:$B$3052,B2515,AKTIVITAS!$E$2:$E$3052,H2515)&gt;0,1,0),0)</f>
        <v>1</v>
      </c>
      <c r="V2515" s="71">
        <f>IFERROR(IF(AND(H2515&gt;=INDEX(PEMAGANG!$J$3:$J$36,MATCH(B2515,PEMAGANG!$C$3:$C$36,0)),H2515&lt;=INDEX(PEMAGANG!$K$3:$K$36,MATCH(B2515,PEMAGANG!$C$3:$C$36,0))),1,0),0)</f>
        <v>1</v>
      </c>
      <c r="W2515" s="71">
        <f t="shared" si="359"/>
        <v>1</v>
      </c>
    </row>
    <row r="2516" spans="1:23" x14ac:dyDescent="0.2">
      <c r="A2516" s="71" t="s">
        <v>193</v>
      </c>
      <c r="B2516" s="71" t="s">
        <v>194</v>
      </c>
      <c r="C2516" s="71" t="s">
        <v>187</v>
      </c>
      <c r="D2516" s="71" t="s">
        <v>185</v>
      </c>
      <c r="E2516" s="71" t="s">
        <v>47</v>
      </c>
      <c r="F2516" s="71" t="s">
        <v>300</v>
      </c>
      <c r="G2516" s="88">
        <v>46205.713564814803</v>
      </c>
      <c r="H2516" s="89">
        <v>46205</v>
      </c>
      <c r="I2516" s="71" t="s">
        <v>324</v>
      </c>
      <c r="J2516" s="71">
        <v>0</v>
      </c>
      <c r="K2516" s="71" t="s">
        <v>302</v>
      </c>
      <c r="L2516" s="71">
        <f t="shared" si="351"/>
        <v>7</v>
      </c>
      <c r="M2516" s="71" t="str">
        <f>IFERROR(INDEX(KALENDER!$D$3:$D$132,MATCH(H2516,KALENDER!$A$3:$A$132,0)),"Di luar periode")</f>
        <v>Hari Kerja</v>
      </c>
      <c r="N2516" s="71">
        <f t="shared" si="352"/>
        <v>0</v>
      </c>
      <c r="O2516" s="71">
        <f t="shared" si="353"/>
        <v>1</v>
      </c>
      <c r="P2516" s="71">
        <f t="shared" si="354"/>
        <v>0</v>
      </c>
      <c r="Q2516" s="71">
        <f t="shared" si="355"/>
        <v>0</v>
      </c>
      <c r="R2516" s="71">
        <f t="shared" si="356"/>
        <v>0</v>
      </c>
      <c r="S2516" s="71">
        <f t="shared" si="357"/>
        <v>0</v>
      </c>
      <c r="T2516" s="71">
        <f t="shared" si="358"/>
        <v>0</v>
      </c>
      <c r="U2516" s="71">
        <f>IF(AND(N2516=1,V2516=1),IF(COUNTIFS(AKTIVITAS!$B$2:$B$3052,B2516,AKTIVITAS!$E$2:$E$3052,H2516)&gt;0,1,0),0)</f>
        <v>0</v>
      </c>
      <c r="V2516" s="71">
        <f>IFERROR(IF(AND(H2516&gt;=INDEX(PEMAGANG!$J$3:$J$36,MATCH(B2516,PEMAGANG!$C$3:$C$36,0)),H2516&lt;=INDEX(PEMAGANG!$K$3:$K$36,MATCH(B2516,PEMAGANG!$C$3:$C$36,0))),1,0),0)</f>
        <v>1</v>
      </c>
      <c r="W2516" s="71">
        <f t="shared" si="359"/>
        <v>0</v>
      </c>
    </row>
    <row r="2517" spans="1:23" x14ac:dyDescent="0.2">
      <c r="A2517" s="71" t="s">
        <v>193</v>
      </c>
      <c r="B2517" s="71" t="s">
        <v>194</v>
      </c>
      <c r="C2517" s="71" t="s">
        <v>187</v>
      </c>
      <c r="D2517" s="71" t="s">
        <v>185</v>
      </c>
      <c r="E2517" s="71" t="s">
        <v>47</v>
      </c>
      <c r="F2517" s="71" t="s">
        <v>298</v>
      </c>
      <c r="G2517" s="88">
        <v>46206.309305555602</v>
      </c>
      <c r="H2517" s="89">
        <v>46206</v>
      </c>
      <c r="I2517" s="71" t="s">
        <v>307</v>
      </c>
      <c r="J2517" s="71">
        <v>-4.9999999999999796</v>
      </c>
      <c r="K2517" s="71" t="s">
        <v>302</v>
      </c>
      <c r="L2517" s="71">
        <f t="shared" si="351"/>
        <v>7</v>
      </c>
      <c r="M2517" s="71" t="str">
        <f>IFERROR(INDEX(KALENDER!$D$3:$D$132,MATCH(H2517,KALENDER!$A$3:$A$132,0)),"Di luar periode")</f>
        <v>Hari Kerja</v>
      </c>
      <c r="N2517" s="71">
        <f t="shared" si="352"/>
        <v>1</v>
      </c>
      <c r="O2517" s="71">
        <f t="shared" si="353"/>
        <v>1</v>
      </c>
      <c r="P2517" s="71">
        <f t="shared" si="354"/>
        <v>1</v>
      </c>
      <c r="Q2517" s="71">
        <f t="shared" si="355"/>
        <v>0</v>
      </c>
      <c r="R2517" s="71">
        <f t="shared" si="356"/>
        <v>0</v>
      </c>
      <c r="S2517" s="71">
        <f t="shared" si="357"/>
        <v>0</v>
      </c>
      <c r="T2517" s="71">
        <f t="shared" si="358"/>
        <v>0</v>
      </c>
      <c r="U2517" s="71">
        <f>IF(AND(N2517=1,V2517=1),IF(COUNTIFS(AKTIVITAS!$B$2:$B$3052,B2517,AKTIVITAS!$E$2:$E$3052,H2517)&gt;0,1,0),0)</f>
        <v>1</v>
      </c>
      <c r="V2517" s="71">
        <f>IFERROR(IF(AND(H2517&gt;=INDEX(PEMAGANG!$J$3:$J$36,MATCH(B2517,PEMAGANG!$C$3:$C$36,0)),H2517&lt;=INDEX(PEMAGANG!$K$3:$K$36,MATCH(B2517,PEMAGANG!$C$3:$C$36,0))),1,0),0)</f>
        <v>1</v>
      </c>
      <c r="W2517" s="71">
        <f t="shared" si="359"/>
        <v>1</v>
      </c>
    </row>
    <row r="2518" spans="1:23" x14ac:dyDescent="0.2">
      <c r="A2518" s="71" t="s">
        <v>193</v>
      </c>
      <c r="B2518" s="71" t="s">
        <v>194</v>
      </c>
      <c r="C2518" s="71" t="s">
        <v>187</v>
      </c>
      <c r="D2518" s="71" t="s">
        <v>185</v>
      </c>
      <c r="E2518" s="71" t="s">
        <v>47</v>
      </c>
      <c r="F2518" s="71" t="s">
        <v>300</v>
      </c>
      <c r="G2518" s="88">
        <v>46206.694201388898</v>
      </c>
      <c r="H2518" s="89">
        <v>46206</v>
      </c>
      <c r="I2518" s="71" t="s">
        <v>308</v>
      </c>
      <c r="J2518" s="71">
        <v>0</v>
      </c>
      <c r="K2518" s="71" t="s">
        <v>302</v>
      </c>
      <c r="L2518" s="71">
        <f t="shared" si="351"/>
        <v>7</v>
      </c>
      <c r="M2518" s="71" t="str">
        <f>IFERROR(INDEX(KALENDER!$D$3:$D$132,MATCH(H2518,KALENDER!$A$3:$A$132,0)),"Di luar periode")</f>
        <v>Hari Kerja</v>
      </c>
      <c r="N2518" s="71">
        <f t="shared" si="352"/>
        <v>0</v>
      </c>
      <c r="O2518" s="71">
        <f t="shared" si="353"/>
        <v>1</v>
      </c>
      <c r="P2518" s="71">
        <f t="shared" si="354"/>
        <v>0</v>
      </c>
      <c r="Q2518" s="71">
        <f t="shared" si="355"/>
        <v>0</v>
      </c>
      <c r="R2518" s="71">
        <f t="shared" si="356"/>
        <v>0</v>
      </c>
      <c r="S2518" s="71">
        <f t="shared" si="357"/>
        <v>0</v>
      </c>
      <c r="T2518" s="71">
        <f t="shared" si="358"/>
        <v>0</v>
      </c>
      <c r="U2518" s="71">
        <f>IF(AND(N2518=1,V2518=1),IF(COUNTIFS(AKTIVITAS!$B$2:$B$3052,B2518,AKTIVITAS!$E$2:$E$3052,H2518)&gt;0,1,0),0)</f>
        <v>0</v>
      </c>
      <c r="V2518" s="71">
        <f>IFERROR(IF(AND(H2518&gt;=INDEX(PEMAGANG!$J$3:$J$36,MATCH(B2518,PEMAGANG!$C$3:$C$36,0)),H2518&lt;=INDEX(PEMAGANG!$K$3:$K$36,MATCH(B2518,PEMAGANG!$C$3:$C$36,0))),1,0),0)</f>
        <v>1</v>
      </c>
      <c r="W2518" s="71">
        <f t="shared" si="359"/>
        <v>0</v>
      </c>
    </row>
    <row r="2519" spans="1:23" x14ac:dyDescent="0.2">
      <c r="A2519" s="71" t="s">
        <v>193</v>
      </c>
      <c r="B2519" s="71" t="s">
        <v>194</v>
      </c>
      <c r="C2519" s="71" t="s">
        <v>187</v>
      </c>
      <c r="D2519" s="71" t="s">
        <v>185</v>
      </c>
      <c r="E2519" s="71" t="s">
        <v>47</v>
      </c>
      <c r="F2519" s="71" t="s">
        <v>298</v>
      </c>
      <c r="G2519" s="88">
        <v>46209.300277777802</v>
      </c>
      <c r="H2519" s="89">
        <v>46209</v>
      </c>
      <c r="I2519" s="71" t="s">
        <v>478</v>
      </c>
      <c r="J2519" s="71">
        <v>-18</v>
      </c>
      <c r="K2519" s="71" t="s">
        <v>302</v>
      </c>
      <c r="L2519" s="71">
        <f t="shared" si="351"/>
        <v>7</v>
      </c>
      <c r="M2519" s="71" t="str">
        <f>IFERROR(INDEX(KALENDER!$D$3:$D$132,MATCH(H2519,KALENDER!$A$3:$A$132,0)),"Di luar periode")</f>
        <v>Hari Kerja</v>
      </c>
      <c r="N2519" s="71">
        <f t="shared" si="352"/>
        <v>1</v>
      </c>
      <c r="O2519" s="71">
        <f t="shared" si="353"/>
        <v>1</v>
      </c>
      <c r="P2519" s="71">
        <f t="shared" si="354"/>
        <v>1</v>
      </c>
      <c r="Q2519" s="71">
        <f t="shared" si="355"/>
        <v>0</v>
      </c>
      <c r="R2519" s="71">
        <f t="shared" si="356"/>
        <v>0</v>
      </c>
      <c r="S2519" s="71">
        <f t="shared" si="357"/>
        <v>0</v>
      </c>
      <c r="T2519" s="71">
        <f t="shared" si="358"/>
        <v>0</v>
      </c>
      <c r="U2519" s="71">
        <f>IF(AND(N2519=1,V2519=1),IF(COUNTIFS(AKTIVITAS!$B$2:$B$3052,B2519,AKTIVITAS!$E$2:$E$3052,H2519)&gt;0,1,0),0)</f>
        <v>1</v>
      </c>
      <c r="V2519" s="71">
        <f>IFERROR(IF(AND(H2519&gt;=INDEX(PEMAGANG!$J$3:$J$36,MATCH(B2519,PEMAGANG!$C$3:$C$36,0)),H2519&lt;=INDEX(PEMAGANG!$K$3:$K$36,MATCH(B2519,PEMAGANG!$C$3:$C$36,0))),1,0),0)</f>
        <v>1</v>
      </c>
      <c r="W2519" s="71">
        <f t="shared" si="359"/>
        <v>1</v>
      </c>
    </row>
    <row r="2520" spans="1:23" x14ac:dyDescent="0.2">
      <c r="A2520" s="71" t="s">
        <v>193</v>
      </c>
      <c r="B2520" s="71" t="s">
        <v>194</v>
      </c>
      <c r="C2520" s="71" t="s">
        <v>187</v>
      </c>
      <c r="D2520" s="71" t="s">
        <v>185</v>
      </c>
      <c r="E2520" s="71" t="s">
        <v>47</v>
      </c>
      <c r="F2520" s="71" t="s">
        <v>300</v>
      </c>
      <c r="G2520" s="88">
        <v>46209.688090277799</v>
      </c>
      <c r="H2520" s="89">
        <v>46209</v>
      </c>
      <c r="I2520" s="71" t="s">
        <v>330</v>
      </c>
      <c r="J2520" s="71">
        <v>0</v>
      </c>
      <c r="K2520" s="71" t="s">
        <v>302</v>
      </c>
      <c r="L2520" s="71">
        <f t="shared" si="351"/>
        <v>7</v>
      </c>
      <c r="M2520" s="71" t="str">
        <f>IFERROR(INDEX(KALENDER!$D$3:$D$132,MATCH(H2520,KALENDER!$A$3:$A$132,0)),"Di luar periode")</f>
        <v>Hari Kerja</v>
      </c>
      <c r="N2520" s="71">
        <f t="shared" si="352"/>
        <v>0</v>
      </c>
      <c r="O2520" s="71">
        <f t="shared" si="353"/>
        <v>1</v>
      </c>
      <c r="P2520" s="71">
        <f t="shared" si="354"/>
        <v>0</v>
      </c>
      <c r="Q2520" s="71">
        <f t="shared" si="355"/>
        <v>0</v>
      </c>
      <c r="R2520" s="71">
        <f t="shared" si="356"/>
        <v>0</v>
      </c>
      <c r="S2520" s="71">
        <f t="shared" si="357"/>
        <v>0</v>
      </c>
      <c r="T2520" s="71">
        <f t="shared" si="358"/>
        <v>0</v>
      </c>
      <c r="U2520" s="71">
        <f>IF(AND(N2520=1,V2520=1),IF(COUNTIFS(AKTIVITAS!$B$2:$B$3052,B2520,AKTIVITAS!$E$2:$E$3052,H2520)&gt;0,1,0),0)</f>
        <v>0</v>
      </c>
      <c r="V2520" s="71">
        <f>IFERROR(IF(AND(H2520&gt;=INDEX(PEMAGANG!$J$3:$J$36,MATCH(B2520,PEMAGANG!$C$3:$C$36,0)),H2520&lt;=INDEX(PEMAGANG!$K$3:$K$36,MATCH(B2520,PEMAGANG!$C$3:$C$36,0))),1,0),0)</f>
        <v>1</v>
      </c>
      <c r="W2520" s="71">
        <f t="shared" si="359"/>
        <v>0</v>
      </c>
    </row>
    <row r="2521" spans="1:23" x14ac:dyDescent="0.2">
      <c r="A2521" s="71" t="s">
        <v>193</v>
      </c>
      <c r="B2521" s="71" t="s">
        <v>194</v>
      </c>
      <c r="C2521" s="71" t="s">
        <v>187</v>
      </c>
      <c r="D2521" s="71" t="s">
        <v>185</v>
      </c>
      <c r="E2521" s="71" t="s">
        <v>47</v>
      </c>
      <c r="F2521" s="71" t="s">
        <v>298</v>
      </c>
      <c r="G2521" s="88">
        <v>46210.3062152778</v>
      </c>
      <c r="H2521" s="89">
        <v>46210</v>
      </c>
      <c r="I2521" s="71" t="s">
        <v>329</v>
      </c>
      <c r="J2521" s="71">
        <v>-10</v>
      </c>
      <c r="K2521" s="71" t="s">
        <v>302</v>
      </c>
      <c r="L2521" s="71">
        <f t="shared" si="351"/>
        <v>7</v>
      </c>
      <c r="M2521" s="71" t="str">
        <f>IFERROR(INDEX(KALENDER!$D$3:$D$132,MATCH(H2521,KALENDER!$A$3:$A$132,0)),"Di luar periode")</f>
        <v>Hari Kerja</v>
      </c>
      <c r="N2521" s="71">
        <f t="shared" si="352"/>
        <v>1</v>
      </c>
      <c r="O2521" s="71">
        <f t="shared" si="353"/>
        <v>1</v>
      </c>
      <c r="P2521" s="71">
        <f t="shared" si="354"/>
        <v>1</v>
      </c>
      <c r="Q2521" s="71">
        <f t="shared" si="355"/>
        <v>0</v>
      </c>
      <c r="R2521" s="71">
        <f t="shared" si="356"/>
        <v>0</v>
      </c>
      <c r="S2521" s="71">
        <f t="shared" si="357"/>
        <v>0</v>
      </c>
      <c r="T2521" s="71">
        <f t="shared" si="358"/>
        <v>0</v>
      </c>
      <c r="U2521" s="71">
        <f>IF(AND(N2521=1,V2521=1),IF(COUNTIFS(AKTIVITAS!$B$2:$B$3052,B2521,AKTIVITAS!$E$2:$E$3052,H2521)&gt;0,1,0),0)</f>
        <v>1</v>
      </c>
      <c r="V2521" s="71">
        <f>IFERROR(IF(AND(H2521&gt;=INDEX(PEMAGANG!$J$3:$J$36,MATCH(B2521,PEMAGANG!$C$3:$C$36,0)),H2521&lt;=INDEX(PEMAGANG!$K$3:$K$36,MATCH(B2521,PEMAGANG!$C$3:$C$36,0))),1,0),0)</f>
        <v>1</v>
      </c>
      <c r="W2521" s="71">
        <f t="shared" si="359"/>
        <v>1</v>
      </c>
    </row>
    <row r="2522" spans="1:23" x14ac:dyDescent="0.2">
      <c r="A2522" s="71" t="s">
        <v>193</v>
      </c>
      <c r="B2522" s="71" t="s">
        <v>194</v>
      </c>
      <c r="C2522" s="71" t="s">
        <v>187</v>
      </c>
      <c r="D2522" s="71" t="s">
        <v>185</v>
      </c>
      <c r="E2522" s="71" t="s">
        <v>47</v>
      </c>
      <c r="F2522" s="71" t="s">
        <v>300</v>
      </c>
      <c r="G2522" s="88">
        <v>46210.704641203702</v>
      </c>
      <c r="H2522" s="89">
        <v>46210</v>
      </c>
      <c r="I2522" s="71" t="s">
        <v>394</v>
      </c>
      <c r="J2522" s="71">
        <v>0</v>
      </c>
      <c r="K2522" s="71" t="s">
        <v>302</v>
      </c>
      <c r="L2522" s="71">
        <f t="shared" si="351"/>
        <v>7</v>
      </c>
      <c r="M2522" s="71" t="str">
        <f>IFERROR(INDEX(KALENDER!$D$3:$D$132,MATCH(H2522,KALENDER!$A$3:$A$132,0)),"Di luar periode")</f>
        <v>Hari Kerja</v>
      </c>
      <c r="N2522" s="71">
        <f t="shared" si="352"/>
        <v>0</v>
      </c>
      <c r="O2522" s="71">
        <f t="shared" si="353"/>
        <v>1</v>
      </c>
      <c r="P2522" s="71">
        <f t="shared" si="354"/>
        <v>0</v>
      </c>
      <c r="Q2522" s="71">
        <f t="shared" si="355"/>
        <v>0</v>
      </c>
      <c r="R2522" s="71">
        <f t="shared" si="356"/>
        <v>0</v>
      </c>
      <c r="S2522" s="71">
        <f t="shared" si="357"/>
        <v>0</v>
      </c>
      <c r="T2522" s="71">
        <f t="shared" si="358"/>
        <v>0</v>
      </c>
      <c r="U2522" s="71">
        <f>IF(AND(N2522=1,V2522=1),IF(COUNTIFS(AKTIVITAS!$B$2:$B$3052,B2522,AKTIVITAS!$E$2:$E$3052,H2522)&gt;0,1,0),0)</f>
        <v>0</v>
      </c>
      <c r="V2522" s="71">
        <f>IFERROR(IF(AND(H2522&gt;=INDEX(PEMAGANG!$J$3:$J$36,MATCH(B2522,PEMAGANG!$C$3:$C$36,0)),H2522&lt;=INDEX(PEMAGANG!$K$3:$K$36,MATCH(B2522,PEMAGANG!$C$3:$C$36,0))),1,0),0)</f>
        <v>1</v>
      </c>
      <c r="W2522" s="71">
        <f t="shared" si="359"/>
        <v>0</v>
      </c>
    </row>
    <row r="2523" spans="1:23" x14ac:dyDescent="0.2">
      <c r="A2523" s="71" t="s">
        <v>193</v>
      </c>
      <c r="B2523" s="71" t="s">
        <v>194</v>
      </c>
      <c r="C2523" s="71" t="s">
        <v>187</v>
      </c>
      <c r="D2523" s="71" t="s">
        <v>185</v>
      </c>
      <c r="E2523" s="71" t="s">
        <v>47</v>
      </c>
      <c r="F2523" s="71" t="s">
        <v>298</v>
      </c>
      <c r="G2523" s="88">
        <v>46211.2969212963</v>
      </c>
      <c r="H2523" s="89">
        <v>46211</v>
      </c>
      <c r="I2523" s="71" t="s">
        <v>487</v>
      </c>
      <c r="J2523" s="71">
        <v>-23</v>
      </c>
      <c r="K2523" s="71" t="s">
        <v>302</v>
      </c>
      <c r="L2523" s="71">
        <f t="shared" si="351"/>
        <v>7</v>
      </c>
      <c r="M2523" s="71" t="str">
        <f>IFERROR(INDEX(KALENDER!$D$3:$D$132,MATCH(H2523,KALENDER!$A$3:$A$132,0)),"Di luar periode")</f>
        <v>WFH</v>
      </c>
      <c r="N2523" s="71">
        <f t="shared" si="352"/>
        <v>1</v>
      </c>
      <c r="O2523" s="71">
        <f t="shared" si="353"/>
        <v>1</v>
      </c>
      <c r="P2523" s="71">
        <f t="shared" si="354"/>
        <v>0</v>
      </c>
      <c r="Q2523" s="71">
        <f t="shared" si="355"/>
        <v>1</v>
      </c>
      <c r="R2523" s="71">
        <f t="shared" si="356"/>
        <v>0</v>
      </c>
      <c r="S2523" s="71">
        <f t="shared" si="357"/>
        <v>0</v>
      </c>
      <c r="T2523" s="71">
        <f t="shared" si="358"/>
        <v>0</v>
      </c>
      <c r="U2523" s="71">
        <f>IF(AND(N2523=1,V2523=1),IF(COUNTIFS(AKTIVITAS!$B$2:$B$3052,B2523,AKTIVITAS!$E$2:$E$3052,H2523)&gt;0,1,0),0)</f>
        <v>1</v>
      </c>
      <c r="V2523" s="71">
        <f>IFERROR(IF(AND(H2523&gt;=INDEX(PEMAGANG!$J$3:$J$36,MATCH(B2523,PEMAGANG!$C$3:$C$36,0)),H2523&lt;=INDEX(PEMAGANG!$K$3:$K$36,MATCH(B2523,PEMAGANG!$C$3:$C$36,0))),1,0),0)</f>
        <v>1</v>
      </c>
      <c r="W2523" s="71">
        <f t="shared" si="359"/>
        <v>1</v>
      </c>
    </row>
    <row r="2524" spans="1:23" x14ac:dyDescent="0.2">
      <c r="A2524" s="71" t="s">
        <v>193</v>
      </c>
      <c r="B2524" s="71" t="s">
        <v>194</v>
      </c>
      <c r="C2524" s="71" t="s">
        <v>187</v>
      </c>
      <c r="D2524" s="71" t="s">
        <v>185</v>
      </c>
      <c r="E2524" s="71" t="s">
        <v>47</v>
      </c>
      <c r="F2524" s="71" t="s">
        <v>300</v>
      </c>
      <c r="G2524" s="88">
        <v>46211.688854166699</v>
      </c>
      <c r="H2524" s="89">
        <v>46211</v>
      </c>
      <c r="I2524" s="71" t="s">
        <v>336</v>
      </c>
      <c r="J2524" s="71">
        <v>0</v>
      </c>
      <c r="K2524" s="71" t="s">
        <v>302</v>
      </c>
      <c r="L2524" s="71">
        <f t="shared" si="351"/>
        <v>7</v>
      </c>
      <c r="M2524" s="71" t="str">
        <f>IFERROR(INDEX(KALENDER!$D$3:$D$132,MATCH(H2524,KALENDER!$A$3:$A$132,0)),"Di luar periode")</f>
        <v>WFH</v>
      </c>
      <c r="N2524" s="71">
        <f t="shared" si="352"/>
        <v>0</v>
      </c>
      <c r="O2524" s="71">
        <f t="shared" si="353"/>
        <v>1</v>
      </c>
      <c r="P2524" s="71">
        <f t="shared" si="354"/>
        <v>0</v>
      </c>
      <c r="Q2524" s="71">
        <f t="shared" si="355"/>
        <v>0</v>
      </c>
      <c r="R2524" s="71">
        <f t="shared" si="356"/>
        <v>0</v>
      </c>
      <c r="S2524" s="71">
        <f t="shared" si="357"/>
        <v>0</v>
      </c>
      <c r="T2524" s="71">
        <f t="shared" si="358"/>
        <v>0</v>
      </c>
      <c r="U2524" s="71">
        <f>IF(AND(N2524=1,V2524=1),IF(COUNTIFS(AKTIVITAS!$B$2:$B$3052,B2524,AKTIVITAS!$E$2:$E$3052,H2524)&gt;0,1,0),0)</f>
        <v>0</v>
      </c>
      <c r="V2524" s="71">
        <f>IFERROR(IF(AND(H2524&gt;=INDEX(PEMAGANG!$J$3:$J$36,MATCH(B2524,PEMAGANG!$C$3:$C$36,0)),H2524&lt;=INDEX(PEMAGANG!$K$3:$K$36,MATCH(B2524,PEMAGANG!$C$3:$C$36,0))),1,0),0)</f>
        <v>1</v>
      </c>
      <c r="W2524" s="71">
        <f t="shared" si="359"/>
        <v>0</v>
      </c>
    </row>
    <row r="2525" spans="1:23" x14ac:dyDescent="0.2">
      <c r="A2525" s="71" t="s">
        <v>193</v>
      </c>
      <c r="B2525" s="71" t="s">
        <v>194</v>
      </c>
      <c r="C2525" s="71" t="s">
        <v>187</v>
      </c>
      <c r="D2525" s="71" t="s">
        <v>185</v>
      </c>
      <c r="E2525" s="71" t="s">
        <v>47</v>
      </c>
      <c r="F2525" s="71" t="s">
        <v>298</v>
      </c>
      <c r="G2525" s="88">
        <v>46212.296851851897</v>
      </c>
      <c r="H2525" s="89">
        <v>46212</v>
      </c>
      <c r="I2525" s="71" t="s">
        <v>487</v>
      </c>
      <c r="J2525" s="71">
        <v>-23</v>
      </c>
      <c r="K2525" s="71" t="s">
        <v>302</v>
      </c>
      <c r="L2525" s="71">
        <f t="shared" si="351"/>
        <v>7</v>
      </c>
      <c r="M2525" s="71" t="str">
        <f>IFERROR(INDEX(KALENDER!$D$3:$D$132,MATCH(H2525,KALENDER!$A$3:$A$132,0)),"Di luar periode")</f>
        <v>Hari Kerja</v>
      </c>
      <c r="N2525" s="71">
        <f t="shared" si="352"/>
        <v>1</v>
      </c>
      <c r="O2525" s="71">
        <f t="shared" si="353"/>
        <v>1</v>
      </c>
      <c r="P2525" s="71">
        <f t="shared" si="354"/>
        <v>1</v>
      </c>
      <c r="Q2525" s="71">
        <f t="shared" si="355"/>
        <v>0</v>
      </c>
      <c r="R2525" s="71">
        <f t="shared" si="356"/>
        <v>0</v>
      </c>
      <c r="S2525" s="71">
        <f t="shared" si="357"/>
        <v>0</v>
      </c>
      <c r="T2525" s="71">
        <f t="shared" si="358"/>
        <v>0</v>
      </c>
      <c r="U2525" s="71">
        <f>IF(AND(N2525=1,V2525=1),IF(COUNTIFS(AKTIVITAS!$B$2:$B$3052,B2525,AKTIVITAS!$E$2:$E$3052,H2525)&gt;0,1,0),0)</f>
        <v>1</v>
      </c>
      <c r="V2525" s="71">
        <f>IFERROR(IF(AND(H2525&gt;=INDEX(PEMAGANG!$J$3:$J$36,MATCH(B2525,PEMAGANG!$C$3:$C$36,0)),H2525&lt;=INDEX(PEMAGANG!$K$3:$K$36,MATCH(B2525,PEMAGANG!$C$3:$C$36,0))),1,0),0)</f>
        <v>1</v>
      </c>
      <c r="W2525" s="71">
        <f t="shared" si="359"/>
        <v>1</v>
      </c>
    </row>
    <row r="2526" spans="1:23" x14ac:dyDescent="0.2">
      <c r="A2526" s="71" t="s">
        <v>193</v>
      </c>
      <c r="B2526" s="71" t="s">
        <v>194</v>
      </c>
      <c r="C2526" s="71" t="s">
        <v>187</v>
      </c>
      <c r="D2526" s="71" t="s">
        <v>185</v>
      </c>
      <c r="E2526" s="71" t="s">
        <v>47</v>
      </c>
      <c r="F2526" s="71" t="s">
        <v>300</v>
      </c>
      <c r="G2526" s="88">
        <v>46212.705497685201</v>
      </c>
      <c r="H2526" s="89">
        <v>46212</v>
      </c>
      <c r="I2526" s="71" t="s">
        <v>585</v>
      </c>
      <c r="J2526" s="71">
        <v>0</v>
      </c>
      <c r="K2526" s="71" t="s">
        <v>302</v>
      </c>
      <c r="L2526" s="71">
        <f t="shared" si="351"/>
        <v>7</v>
      </c>
      <c r="M2526" s="71" t="str">
        <f>IFERROR(INDEX(KALENDER!$D$3:$D$132,MATCH(H2526,KALENDER!$A$3:$A$132,0)),"Di luar periode")</f>
        <v>Hari Kerja</v>
      </c>
      <c r="N2526" s="71">
        <f t="shared" si="352"/>
        <v>0</v>
      </c>
      <c r="O2526" s="71">
        <f t="shared" si="353"/>
        <v>1</v>
      </c>
      <c r="P2526" s="71">
        <f t="shared" si="354"/>
        <v>0</v>
      </c>
      <c r="Q2526" s="71">
        <f t="shared" si="355"/>
        <v>0</v>
      </c>
      <c r="R2526" s="71">
        <f t="shared" si="356"/>
        <v>0</v>
      </c>
      <c r="S2526" s="71">
        <f t="shared" si="357"/>
        <v>0</v>
      </c>
      <c r="T2526" s="71">
        <f t="shared" si="358"/>
        <v>0</v>
      </c>
      <c r="U2526" s="71">
        <f>IF(AND(N2526=1,V2526=1),IF(COUNTIFS(AKTIVITAS!$B$2:$B$3052,B2526,AKTIVITAS!$E$2:$E$3052,H2526)&gt;0,1,0),0)</f>
        <v>0</v>
      </c>
      <c r="V2526" s="71">
        <f>IFERROR(IF(AND(H2526&gt;=INDEX(PEMAGANG!$J$3:$J$36,MATCH(B2526,PEMAGANG!$C$3:$C$36,0)),H2526&lt;=INDEX(PEMAGANG!$K$3:$K$36,MATCH(B2526,PEMAGANG!$C$3:$C$36,0))),1,0),0)</f>
        <v>1</v>
      </c>
      <c r="W2526" s="71">
        <f t="shared" si="359"/>
        <v>0</v>
      </c>
    </row>
    <row r="2527" spans="1:23" x14ac:dyDescent="0.2">
      <c r="A2527" s="71" t="s">
        <v>193</v>
      </c>
      <c r="B2527" s="71" t="s">
        <v>194</v>
      </c>
      <c r="C2527" s="71" t="s">
        <v>187</v>
      </c>
      <c r="D2527" s="71" t="s">
        <v>185</v>
      </c>
      <c r="E2527" s="71" t="s">
        <v>47</v>
      </c>
      <c r="F2527" s="71" t="s">
        <v>298</v>
      </c>
      <c r="G2527" s="88">
        <v>46213.299884259301</v>
      </c>
      <c r="H2527" s="89">
        <v>46213</v>
      </c>
      <c r="I2527" s="71" t="s">
        <v>402</v>
      </c>
      <c r="J2527" s="71">
        <v>-19</v>
      </c>
      <c r="K2527" s="71" t="s">
        <v>302</v>
      </c>
      <c r="L2527" s="71">
        <f t="shared" si="351"/>
        <v>7</v>
      </c>
      <c r="M2527" s="71" t="str">
        <f>IFERROR(INDEX(KALENDER!$D$3:$D$132,MATCH(H2527,KALENDER!$A$3:$A$132,0)),"Di luar periode")</f>
        <v>Hari Kerja</v>
      </c>
      <c r="N2527" s="71">
        <f t="shared" si="352"/>
        <v>1</v>
      </c>
      <c r="O2527" s="71">
        <f t="shared" si="353"/>
        <v>1</v>
      </c>
      <c r="P2527" s="71">
        <f t="shared" si="354"/>
        <v>1</v>
      </c>
      <c r="Q2527" s="71">
        <f t="shared" si="355"/>
        <v>0</v>
      </c>
      <c r="R2527" s="71">
        <f t="shared" si="356"/>
        <v>0</v>
      </c>
      <c r="S2527" s="71">
        <f t="shared" si="357"/>
        <v>0</v>
      </c>
      <c r="T2527" s="71">
        <f t="shared" si="358"/>
        <v>0</v>
      </c>
      <c r="U2527" s="71">
        <f>IF(AND(N2527=1,V2527=1),IF(COUNTIFS(AKTIVITAS!$B$2:$B$3052,B2527,AKTIVITAS!$E$2:$E$3052,H2527)&gt;0,1,0),0)</f>
        <v>1</v>
      </c>
      <c r="V2527" s="71">
        <f>IFERROR(IF(AND(H2527&gt;=INDEX(PEMAGANG!$J$3:$J$36,MATCH(B2527,PEMAGANG!$C$3:$C$36,0)),H2527&lt;=INDEX(PEMAGANG!$K$3:$K$36,MATCH(B2527,PEMAGANG!$C$3:$C$36,0))),1,0),0)</f>
        <v>1</v>
      </c>
      <c r="W2527" s="71">
        <f t="shared" si="359"/>
        <v>1</v>
      </c>
    </row>
    <row r="2528" spans="1:23" x14ac:dyDescent="0.2">
      <c r="A2528" s="71" t="s">
        <v>193</v>
      </c>
      <c r="B2528" s="71" t="s">
        <v>194</v>
      </c>
      <c r="C2528" s="71" t="s">
        <v>187</v>
      </c>
      <c r="D2528" s="71" t="s">
        <v>185</v>
      </c>
      <c r="E2528" s="71" t="s">
        <v>47</v>
      </c>
      <c r="F2528" s="71" t="s">
        <v>300</v>
      </c>
      <c r="G2528" s="88">
        <v>46213.692291666703</v>
      </c>
      <c r="H2528" s="89">
        <v>46213</v>
      </c>
      <c r="I2528" s="71" t="s">
        <v>344</v>
      </c>
      <c r="J2528" s="71">
        <v>0</v>
      </c>
      <c r="K2528" s="71" t="s">
        <v>302</v>
      </c>
      <c r="L2528" s="71">
        <f t="shared" si="351"/>
        <v>7</v>
      </c>
      <c r="M2528" s="71" t="str">
        <f>IFERROR(INDEX(KALENDER!$D$3:$D$132,MATCH(H2528,KALENDER!$A$3:$A$132,0)),"Di luar periode")</f>
        <v>Hari Kerja</v>
      </c>
      <c r="N2528" s="71">
        <f t="shared" si="352"/>
        <v>0</v>
      </c>
      <c r="O2528" s="71">
        <f t="shared" si="353"/>
        <v>1</v>
      </c>
      <c r="P2528" s="71">
        <f t="shared" si="354"/>
        <v>0</v>
      </c>
      <c r="Q2528" s="71">
        <f t="shared" si="355"/>
        <v>0</v>
      </c>
      <c r="R2528" s="71">
        <f t="shared" si="356"/>
        <v>0</v>
      </c>
      <c r="S2528" s="71">
        <f t="shared" si="357"/>
        <v>0</v>
      </c>
      <c r="T2528" s="71">
        <f t="shared" si="358"/>
        <v>0</v>
      </c>
      <c r="U2528" s="71">
        <f>IF(AND(N2528=1,V2528=1),IF(COUNTIFS(AKTIVITAS!$B$2:$B$3052,B2528,AKTIVITAS!$E$2:$E$3052,H2528)&gt;0,1,0),0)</f>
        <v>0</v>
      </c>
      <c r="V2528" s="71">
        <f>IFERROR(IF(AND(H2528&gt;=INDEX(PEMAGANG!$J$3:$J$36,MATCH(B2528,PEMAGANG!$C$3:$C$36,0)),H2528&lt;=INDEX(PEMAGANG!$K$3:$K$36,MATCH(B2528,PEMAGANG!$C$3:$C$36,0))),1,0),0)</f>
        <v>1</v>
      </c>
      <c r="W2528" s="71">
        <f t="shared" si="359"/>
        <v>0</v>
      </c>
    </row>
    <row r="2529" spans="1:23" x14ac:dyDescent="0.2">
      <c r="A2529" s="71" t="s">
        <v>193</v>
      </c>
      <c r="B2529" s="71" t="s">
        <v>194</v>
      </c>
      <c r="C2529" s="71" t="s">
        <v>187</v>
      </c>
      <c r="D2529" s="71" t="s">
        <v>185</v>
      </c>
      <c r="E2529" s="71" t="s">
        <v>47</v>
      </c>
      <c r="F2529" s="71" t="s">
        <v>298</v>
      </c>
      <c r="G2529" s="88">
        <v>46216.300925925898</v>
      </c>
      <c r="H2529" s="89">
        <v>46216</v>
      </c>
      <c r="I2529" s="71" t="s">
        <v>475</v>
      </c>
      <c r="J2529" s="71">
        <v>-17</v>
      </c>
      <c r="K2529" s="71" t="s">
        <v>302</v>
      </c>
      <c r="L2529" s="71">
        <f t="shared" si="351"/>
        <v>7</v>
      </c>
      <c r="M2529" s="71" t="str">
        <f>IFERROR(INDEX(KALENDER!$D$3:$D$132,MATCH(H2529,KALENDER!$A$3:$A$132,0)),"Di luar periode")</f>
        <v>Hari Kerja</v>
      </c>
      <c r="N2529" s="71">
        <f t="shared" si="352"/>
        <v>1</v>
      </c>
      <c r="O2529" s="71">
        <f t="shared" si="353"/>
        <v>1</v>
      </c>
      <c r="P2529" s="71">
        <f t="shared" si="354"/>
        <v>1</v>
      </c>
      <c r="Q2529" s="71">
        <f t="shared" si="355"/>
        <v>0</v>
      </c>
      <c r="R2529" s="71">
        <f t="shared" si="356"/>
        <v>0</v>
      </c>
      <c r="S2529" s="71">
        <f t="shared" si="357"/>
        <v>0</v>
      </c>
      <c r="T2529" s="71">
        <f t="shared" si="358"/>
        <v>0</v>
      </c>
      <c r="U2529" s="71">
        <f>IF(AND(N2529=1,V2529=1),IF(COUNTIFS(AKTIVITAS!$B$2:$B$3052,B2529,AKTIVITAS!$E$2:$E$3052,H2529)&gt;0,1,0),0)</f>
        <v>1</v>
      </c>
      <c r="V2529" s="71">
        <f>IFERROR(IF(AND(H2529&gt;=INDEX(PEMAGANG!$J$3:$J$36,MATCH(B2529,PEMAGANG!$C$3:$C$36,0)),H2529&lt;=INDEX(PEMAGANG!$K$3:$K$36,MATCH(B2529,PEMAGANG!$C$3:$C$36,0))),1,0),0)</f>
        <v>1</v>
      </c>
      <c r="W2529" s="71">
        <f t="shared" si="359"/>
        <v>1</v>
      </c>
    </row>
    <row r="2530" spans="1:23" x14ac:dyDescent="0.2">
      <c r="A2530" s="71" t="s">
        <v>193</v>
      </c>
      <c r="B2530" s="71" t="s">
        <v>194</v>
      </c>
      <c r="C2530" s="71" t="s">
        <v>187</v>
      </c>
      <c r="D2530" s="71" t="s">
        <v>185</v>
      </c>
      <c r="E2530" s="71" t="s">
        <v>47</v>
      </c>
      <c r="F2530" s="71" t="s">
        <v>300</v>
      </c>
      <c r="G2530" s="88">
        <v>46216.703240740702</v>
      </c>
      <c r="H2530" s="89">
        <v>46216</v>
      </c>
      <c r="I2530" s="71" t="s">
        <v>325</v>
      </c>
      <c r="J2530" s="71">
        <v>0</v>
      </c>
      <c r="K2530" s="71" t="s">
        <v>302</v>
      </c>
      <c r="L2530" s="71">
        <f t="shared" si="351"/>
        <v>7</v>
      </c>
      <c r="M2530" s="71" t="str">
        <f>IFERROR(INDEX(KALENDER!$D$3:$D$132,MATCH(H2530,KALENDER!$A$3:$A$132,0)),"Di luar periode")</f>
        <v>Hari Kerja</v>
      </c>
      <c r="N2530" s="71">
        <f t="shared" si="352"/>
        <v>0</v>
      </c>
      <c r="O2530" s="71">
        <f t="shared" si="353"/>
        <v>1</v>
      </c>
      <c r="P2530" s="71">
        <f t="shared" si="354"/>
        <v>0</v>
      </c>
      <c r="Q2530" s="71">
        <f t="shared" si="355"/>
        <v>0</v>
      </c>
      <c r="R2530" s="71">
        <f t="shared" si="356"/>
        <v>0</v>
      </c>
      <c r="S2530" s="71">
        <f t="shared" si="357"/>
        <v>0</v>
      </c>
      <c r="T2530" s="71">
        <f t="shared" si="358"/>
        <v>0</v>
      </c>
      <c r="U2530" s="71">
        <f>IF(AND(N2530=1,V2530=1),IF(COUNTIFS(AKTIVITAS!$B$2:$B$3052,B2530,AKTIVITAS!$E$2:$E$3052,H2530)&gt;0,1,0),0)</f>
        <v>0</v>
      </c>
      <c r="V2530" s="71">
        <f>IFERROR(IF(AND(H2530&gt;=INDEX(PEMAGANG!$J$3:$J$36,MATCH(B2530,PEMAGANG!$C$3:$C$36,0)),H2530&lt;=INDEX(PEMAGANG!$K$3:$K$36,MATCH(B2530,PEMAGANG!$C$3:$C$36,0))),1,0),0)</f>
        <v>1</v>
      </c>
      <c r="W2530" s="71">
        <f t="shared" si="359"/>
        <v>0</v>
      </c>
    </row>
    <row r="2531" spans="1:23" x14ac:dyDescent="0.2">
      <c r="A2531" s="71" t="s">
        <v>193</v>
      </c>
      <c r="B2531" s="71" t="s">
        <v>194</v>
      </c>
      <c r="C2531" s="71" t="s">
        <v>187</v>
      </c>
      <c r="D2531" s="71" t="s">
        <v>185</v>
      </c>
      <c r="E2531" s="71" t="s">
        <v>47</v>
      </c>
      <c r="F2531" s="71" t="s">
        <v>298</v>
      </c>
      <c r="G2531" s="88">
        <v>46217.302812499998</v>
      </c>
      <c r="H2531" s="89">
        <v>46217</v>
      </c>
      <c r="I2531" s="71" t="s">
        <v>327</v>
      </c>
      <c r="J2531" s="71">
        <v>-14</v>
      </c>
      <c r="K2531" s="71" t="s">
        <v>302</v>
      </c>
      <c r="L2531" s="71">
        <f t="shared" si="351"/>
        <v>7</v>
      </c>
      <c r="M2531" s="71" t="str">
        <f>IFERROR(INDEX(KALENDER!$D$3:$D$132,MATCH(H2531,KALENDER!$A$3:$A$132,0)),"Di luar periode")</f>
        <v>Hari Kerja</v>
      </c>
      <c r="N2531" s="71">
        <f t="shared" si="352"/>
        <v>1</v>
      </c>
      <c r="O2531" s="71">
        <f t="shared" si="353"/>
        <v>1</v>
      </c>
      <c r="P2531" s="71">
        <f t="shared" si="354"/>
        <v>1</v>
      </c>
      <c r="Q2531" s="71">
        <f t="shared" si="355"/>
        <v>0</v>
      </c>
      <c r="R2531" s="71">
        <f t="shared" si="356"/>
        <v>0</v>
      </c>
      <c r="S2531" s="71">
        <f t="shared" si="357"/>
        <v>0</v>
      </c>
      <c r="T2531" s="71">
        <f t="shared" si="358"/>
        <v>0</v>
      </c>
      <c r="U2531" s="71">
        <f>IF(AND(N2531=1,V2531=1),IF(COUNTIFS(AKTIVITAS!$B$2:$B$3052,B2531,AKTIVITAS!$E$2:$E$3052,H2531)&gt;0,1,0),0)</f>
        <v>1</v>
      </c>
      <c r="V2531" s="71">
        <f>IFERROR(IF(AND(H2531&gt;=INDEX(PEMAGANG!$J$3:$J$36,MATCH(B2531,PEMAGANG!$C$3:$C$36,0)),H2531&lt;=INDEX(PEMAGANG!$K$3:$K$36,MATCH(B2531,PEMAGANG!$C$3:$C$36,0))),1,0),0)</f>
        <v>1</v>
      </c>
      <c r="W2531" s="71">
        <f t="shared" si="359"/>
        <v>1</v>
      </c>
    </row>
    <row r="2532" spans="1:23" x14ac:dyDescent="0.2">
      <c r="A2532" s="71" t="s">
        <v>193</v>
      </c>
      <c r="B2532" s="71" t="s">
        <v>194</v>
      </c>
      <c r="C2532" s="71" t="s">
        <v>187</v>
      </c>
      <c r="D2532" s="71" t="s">
        <v>185</v>
      </c>
      <c r="E2532" s="71" t="s">
        <v>47</v>
      </c>
      <c r="F2532" s="71" t="s">
        <v>300</v>
      </c>
      <c r="G2532" s="88">
        <v>46217.7054166667</v>
      </c>
      <c r="H2532" s="89">
        <v>46217</v>
      </c>
      <c r="I2532" s="71" t="s">
        <v>585</v>
      </c>
      <c r="J2532" s="71">
        <v>0</v>
      </c>
      <c r="K2532" s="71" t="s">
        <v>302</v>
      </c>
      <c r="L2532" s="71">
        <f t="shared" si="351"/>
        <v>7</v>
      </c>
      <c r="M2532" s="71" t="str">
        <f>IFERROR(INDEX(KALENDER!$D$3:$D$132,MATCH(H2532,KALENDER!$A$3:$A$132,0)),"Di luar periode")</f>
        <v>Hari Kerja</v>
      </c>
      <c r="N2532" s="71">
        <f t="shared" si="352"/>
        <v>0</v>
      </c>
      <c r="O2532" s="71">
        <f t="shared" si="353"/>
        <v>1</v>
      </c>
      <c r="P2532" s="71">
        <f t="shared" si="354"/>
        <v>0</v>
      </c>
      <c r="Q2532" s="71">
        <f t="shared" si="355"/>
        <v>0</v>
      </c>
      <c r="R2532" s="71">
        <f t="shared" si="356"/>
        <v>0</v>
      </c>
      <c r="S2532" s="71">
        <f t="shared" si="357"/>
        <v>0</v>
      </c>
      <c r="T2532" s="71">
        <f t="shared" si="358"/>
        <v>0</v>
      </c>
      <c r="U2532" s="71">
        <f>IF(AND(N2532=1,V2532=1),IF(COUNTIFS(AKTIVITAS!$B$2:$B$3052,B2532,AKTIVITAS!$E$2:$E$3052,H2532)&gt;0,1,0),0)</f>
        <v>0</v>
      </c>
      <c r="V2532" s="71">
        <f>IFERROR(IF(AND(H2532&gt;=INDEX(PEMAGANG!$J$3:$J$36,MATCH(B2532,PEMAGANG!$C$3:$C$36,0)),H2532&lt;=INDEX(PEMAGANG!$K$3:$K$36,MATCH(B2532,PEMAGANG!$C$3:$C$36,0))),1,0),0)</f>
        <v>1</v>
      </c>
      <c r="W2532" s="71">
        <f t="shared" si="359"/>
        <v>0</v>
      </c>
    </row>
    <row r="2533" spans="1:23" x14ac:dyDescent="0.2">
      <c r="A2533" s="71" t="s">
        <v>193</v>
      </c>
      <c r="B2533" s="71" t="s">
        <v>194</v>
      </c>
      <c r="C2533" s="71" t="s">
        <v>187</v>
      </c>
      <c r="D2533" s="71" t="s">
        <v>185</v>
      </c>
      <c r="E2533" s="71" t="s">
        <v>47</v>
      </c>
      <c r="F2533" s="71" t="s">
        <v>298</v>
      </c>
      <c r="G2533" s="88">
        <v>46218.308240740698</v>
      </c>
      <c r="H2533" s="89">
        <v>46218</v>
      </c>
      <c r="I2533" s="71" t="s">
        <v>311</v>
      </c>
      <c r="J2533" s="71">
        <v>-6.9999999999999796</v>
      </c>
      <c r="K2533" s="71" t="s">
        <v>302</v>
      </c>
      <c r="L2533" s="71">
        <f t="shared" si="351"/>
        <v>7</v>
      </c>
      <c r="M2533" s="71" t="str">
        <f>IFERROR(INDEX(KALENDER!$D$3:$D$132,MATCH(H2533,KALENDER!$A$3:$A$132,0)),"Di luar periode")</f>
        <v>WFH</v>
      </c>
      <c r="N2533" s="71">
        <f t="shared" si="352"/>
        <v>1</v>
      </c>
      <c r="O2533" s="71">
        <f t="shared" si="353"/>
        <v>1</v>
      </c>
      <c r="P2533" s="71">
        <f t="shared" si="354"/>
        <v>0</v>
      </c>
      <c r="Q2533" s="71">
        <f t="shared" si="355"/>
        <v>1</v>
      </c>
      <c r="R2533" s="71">
        <f t="shared" si="356"/>
        <v>0</v>
      </c>
      <c r="S2533" s="71">
        <f t="shared" si="357"/>
        <v>0</v>
      </c>
      <c r="T2533" s="71">
        <f t="shared" si="358"/>
        <v>0</v>
      </c>
      <c r="U2533" s="71">
        <f>IF(AND(N2533=1,V2533=1),IF(COUNTIFS(AKTIVITAS!$B$2:$B$3052,B2533,AKTIVITAS!$E$2:$E$3052,H2533)&gt;0,1,0),0)</f>
        <v>1</v>
      </c>
      <c r="V2533" s="71">
        <f>IFERROR(IF(AND(H2533&gt;=INDEX(PEMAGANG!$J$3:$J$36,MATCH(B2533,PEMAGANG!$C$3:$C$36,0)),H2533&lt;=INDEX(PEMAGANG!$K$3:$K$36,MATCH(B2533,PEMAGANG!$C$3:$C$36,0))),1,0),0)</f>
        <v>1</v>
      </c>
      <c r="W2533" s="71">
        <f t="shared" si="359"/>
        <v>1</v>
      </c>
    </row>
    <row r="2534" spans="1:23" x14ac:dyDescent="0.2">
      <c r="A2534" s="71" t="s">
        <v>193</v>
      </c>
      <c r="B2534" s="71" t="s">
        <v>194</v>
      </c>
      <c r="C2534" s="71" t="s">
        <v>187</v>
      </c>
      <c r="D2534" s="71" t="s">
        <v>185</v>
      </c>
      <c r="E2534" s="71" t="s">
        <v>47</v>
      </c>
      <c r="F2534" s="71" t="s">
        <v>300</v>
      </c>
      <c r="G2534" s="88">
        <v>46218.691782407397</v>
      </c>
      <c r="H2534" s="89">
        <v>46218</v>
      </c>
      <c r="I2534" s="71" t="s">
        <v>344</v>
      </c>
      <c r="J2534" s="71">
        <v>0</v>
      </c>
      <c r="K2534" s="71" t="s">
        <v>302</v>
      </c>
      <c r="L2534" s="71">
        <f t="shared" si="351"/>
        <v>7</v>
      </c>
      <c r="M2534" s="71" t="str">
        <f>IFERROR(INDEX(KALENDER!$D$3:$D$132,MATCH(H2534,KALENDER!$A$3:$A$132,0)),"Di luar periode")</f>
        <v>WFH</v>
      </c>
      <c r="N2534" s="71">
        <f t="shared" si="352"/>
        <v>0</v>
      </c>
      <c r="O2534" s="71">
        <f t="shared" si="353"/>
        <v>1</v>
      </c>
      <c r="P2534" s="71">
        <f t="shared" si="354"/>
        <v>0</v>
      </c>
      <c r="Q2534" s="71">
        <f t="shared" si="355"/>
        <v>0</v>
      </c>
      <c r="R2534" s="71">
        <f t="shared" si="356"/>
        <v>0</v>
      </c>
      <c r="S2534" s="71">
        <f t="shared" si="357"/>
        <v>0</v>
      </c>
      <c r="T2534" s="71">
        <f t="shared" si="358"/>
        <v>0</v>
      </c>
      <c r="U2534" s="71">
        <f>IF(AND(N2534=1,V2534=1),IF(COUNTIFS(AKTIVITAS!$B$2:$B$3052,B2534,AKTIVITAS!$E$2:$E$3052,H2534)&gt;0,1,0),0)</f>
        <v>0</v>
      </c>
      <c r="V2534" s="71">
        <f>IFERROR(IF(AND(H2534&gt;=INDEX(PEMAGANG!$J$3:$J$36,MATCH(B2534,PEMAGANG!$C$3:$C$36,0)),H2534&lt;=INDEX(PEMAGANG!$K$3:$K$36,MATCH(B2534,PEMAGANG!$C$3:$C$36,0))),1,0),0)</f>
        <v>1</v>
      </c>
      <c r="W2534" s="71">
        <f t="shared" si="359"/>
        <v>0</v>
      </c>
    </row>
    <row r="2535" spans="1:23" x14ac:dyDescent="0.2">
      <c r="A2535" s="71" t="s">
        <v>193</v>
      </c>
      <c r="B2535" s="71" t="s">
        <v>194</v>
      </c>
      <c r="C2535" s="71" t="s">
        <v>187</v>
      </c>
      <c r="D2535" s="71" t="s">
        <v>185</v>
      </c>
      <c r="E2535" s="71" t="s">
        <v>47</v>
      </c>
      <c r="F2535" s="71" t="s">
        <v>298</v>
      </c>
      <c r="G2535" s="88">
        <v>46219.297974537003</v>
      </c>
      <c r="H2535" s="89">
        <v>46219</v>
      </c>
      <c r="I2535" s="71" t="s">
        <v>479</v>
      </c>
      <c r="J2535" s="71">
        <v>-21</v>
      </c>
      <c r="K2535" s="71" t="s">
        <v>302</v>
      </c>
      <c r="L2535" s="71">
        <f t="shared" si="351"/>
        <v>7</v>
      </c>
      <c r="M2535" s="71" t="str">
        <f>IFERROR(INDEX(KALENDER!$D$3:$D$132,MATCH(H2535,KALENDER!$A$3:$A$132,0)),"Di luar periode")</f>
        <v>Hari Kerja</v>
      </c>
      <c r="N2535" s="71">
        <f t="shared" si="352"/>
        <v>1</v>
      </c>
      <c r="O2535" s="71">
        <f t="shared" si="353"/>
        <v>1</v>
      </c>
      <c r="P2535" s="71">
        <f t="shared" si="354"/>
        <v>1</v>
      </c>
      <c r="Q2535" s="71">
        <f t="shared" si="355"/>
        <v>0</v>
      </c>
      <c r="R2535" s="71">
        <f t="shared" si="356"/>
        <v>0</v>
      </c>
      <c r="S2535" s="71">
        <f t="shared" si="357"/>
        <v>0</v>
      </c>
      <c r="T2535" s="71">
        <f t="shared" si="358"/>
        <v>0</v>
      </c>
      <c r="U2535" s="71">
        <f>IF(AND(N2535=1,V2535=1),IF(COUNTIFS(AKTIVITAS!$B$2:$B$3052,B2535,AKTIVITAS!$E$2:$E$3052,H2535)&gt;0,1,0),0)</f>
        <v>1</v>
      </c>
      <c r="V2535" s="71">
        <f>IFERROR(IF(AND(H2535&gt;=INDEX(PEMAGANG!$J$3:$J$36,MATCH(B2535,PEMAGANG!$C$3:$C$36,0)),H2535&lt;=INDEX(PEMAGANG!$K$3:$K$36,MATCH(B2535,PEMAGANG!$C$3:$C$36,0))),1,0),0)</f>
        <v>1</v>
      </c>
      <c r="W2535" s="71">
        <f t="shared" si="359"/>
        <v>1</v>
      </c>
    </row>
    <row r="2536" spans="1:23" x14ac:dyDescent="0.2">
      <c r="A2536" s="71" t="s">
        <v>193</v>
      </c>
      <c r="B2536" s="71" t="s">
        <v>194</v>
      </c>
      <c r="C2536" s="71" t="s">
        <v>187</v>
      </c>
      <c r="D2536" s="71" t="s">
        <v>185</v>
      </c>
      <c r="E2536" s="71" t="s">
        <v>47</v>
      </c>
      <c r="F2536" s="71" t="s">
        <v>300</v>
      </c>
      <c r="G2536" s="88">
        <v>46219.713900463001</v>
      </c>
      <c r="H2536" s="89">
        <v>46219</v>
      </c>
      <c r="I2536" s="71" t="s">
        <v>401</v>
      </c>
      <c r="J2536" s="71">
        <v>0</v>
      </c>
      <c r="K2536" s="71" t="s">
        <v>302</v>
      </c>
      <c r="L2536" s="71">
        <f t="shared" si="351"/>
        <v>7</v>
      </c>
      <c r="M2536" s="71" t="str">
        <f>IFERROR(INDEX(KALENDER!$D$3:$D$132,MATCH(H2536,KALENDER!$A$3:$A$132,0)),"Di luar periode")</f>
        <v>Hari Kerja</v>
      </c>
      <c r="N2536" s="71">
        <f t="shared" si="352"/>
        <v>0</v>
      </c>
      <c r="O2536" s="71">
        <f t="shared" si="353"/>
        <v>1</v>
      </c>
      <c r="P2536" s="71">
        <f t="shared" si="354"/>
        <v>0</v>
      </c>
      <c r="Q2536" s="71">
        <f t="shared" si="355"/>
        <v>0</v>
      </c>
      <c r="R2536" s="71">
        <f t="shared" si="356"/>
        <v>0</v>
      </c>
      <c r="S2536" s="71">
        <f t="shared" si="357"/>
        <v>0</v>
      </c>
      <c r="T2536" s="71">
        <f t="shared" si="358"/>
        <v>0</v>
      </c>
      <c r="U2536" s="71">
        <f>IF(AND(N2536=1,V2536=1),IF(COUNTIFS(AKTIVITAS!$B$2:$B$3052,B2536,AKTIVITAS!$E$2:$E$3052,H2536)&gt;0,1,0),0)</f>
        <v>0</v>
      </c>
      <c r="V2536" s="71">
        <f>IFERROR(IF(AND(H2536&gt;=INDEX(PEMAGANG!$J$3:$J$36,MATCH(B2536,PEMAGANG!$C$3:$C$36,0)),H2536&lt;=INDEX(PEMAGANG!$K$3:$K$36,MATCH(B2536,PEMAGANG!$C$3:$C$36,0))),1,0),0)</f>
        <v>1</v>
      </c>
      <c r="W2536" s="71">
        <f t="shared" si="359"/>
        <v>0</v>
      </c>
    </row>
    <row r="2537" spans="1:23" x14ac:dyDescent="0.2">
      <c r="A2537" s="71" t="s">
        <v>193</v>
      </c>
      <c r="B2537" s="71" t="s">
        <v>194</v>
      </c>
      <c r="C2537" s="71" t="s">
        <v>187</v>
      </c>
      <c r="D2537" s="71" t="s">
        <v>185</v>
      </c>
      <c r="E2537" s="71" t="s">
        <v>47</v>
      </c>
      <c r="F2537" s="71" t="s">
        <v>298</v>
      </c>
      <c r="G2537" s="88">
        <v>46220.310127314799</v>
      </c>
      <c r="H2537" s="89">
        <v>46220</v>
      </c>
      <c r="I2537" s="71" t="s">
        <v>315</v>
      </c>
      <c r="J2537" s="71">
        <v>-3.9999999999999898</v>
      </c>
      <c r="K2537" s="71" t="s">
        <v>302</v>
      </c>
      <c r="L2537" s="71">
        <f t="shared" si="351"/>
        <v>7</v>
      </c>
      <c r="M2537" s="71" t="str">
        <f>IFERROR(INDEX(KALENDER!$D$3:$D$132,MATCH(H2537,KALENDER!$A$3:$A$132,0)),"Di luar periode")</f>
        <v>Hari Kerja</v>
      </c>
      <c r="N2537" s="71">
        <f t="shared" si="352"/>
        <v>1</v>
      </c>
      <c r="O2537" s="71">
        <f t="shared" si="353"/>
        <v>1</v>
      </c>
      <c r="P2537" s="71">
        <f t="shared" si="354"/>
        <v>1</v>
      </c>
      <c r="Q2537" s="71">
        <f t="shared" si="355"/>
        <v>0</v>
      </c>
      <c r="R2537" s="71">
        <f t="shared" si="356"/>
        <v>0</v>
      </c>
      <c r="S2537" s="71">
        <f t="shared" si="357"/>
        <v>0</v>
      </c>
      <c r="T2537" s="71">
        <f t="shared" si="358"/>
        <v>0</v>
      </c>
      <c r="U2537" s="71">
        <f>IF(AND(N2537=1,V2537=1),IF(COUNTIFS(AKTIVITAS!$B$2:$B$3052,B2537,AKTIVITAS!$E$2:$E$3052,H2537)&gt;0,1,0),0)</f>
        <v>1</v>
      </c>
      <c r="V2537" s="71">
        <f>IFERROR(IF(AND(H2537&gt;=INDEX(PEMAGANG!$J$3:$J$36,MATCH(B2537,PEMAGANG!$C$3:$C$36,0)),H2537&lt;=INDEX(PEMAGANG!$K$3:$K$36,MATCH(B2537,PEMAGANG!$C$3:$C$36,0))),1,0),0)</f>
        <v>1</v>
      </c>
      <c r="W2537" s="71">
        <f t="shared" si="359"/>
        <v>1</v>
      </c>
    </row>
    <row r="2538" spans="1:23" x14ac:dyDescent="0.2">
      <c r="A2538" s="71" t="s">
        <v>193</v>
      </c>
      <c r="B2538" s="71" t="s">
        <v>194</v>
      </c>
      <c r="C2538" s="71" t="s">
        <v>187</v>
      </c>
      <c r="D2538" s="71" t="s">
        <v>185</v>
      </c>
      <c r="E2538" s="71" t="s">
        <v>47</v>
      </c>
      <c r="F2538" s="71" t="s">
        <v>300</v>
      </c>
      <c r="G2538" s="88">
        <v>46220.714837963002</v>
      </c>
      <c r="H2538" s="89">
        <v>46220</v>
      </c>
      <c r="I2538" s="71" t="s">
        <v>573</v>
      </c>
      <c r="J2538" s="71">
        <v>0</v>
      </c>
      <c r="K2538" s="71" t="s">
        <v>302</v>
      </c>
      <c r="L2538" s="71">
        <f t="shared" si="351"/>
        <v>7</v>
      </c>
      <c r="M2538" s="71" t="str">
        <f>IFERROR(INDEX(KALENDER!$D$3:$D$132,MATCH(H2538,KALENDER!$A$3:$A$132,0)),"Di luar periode")</f>
        <v>Hari Kerja</v>
      </c>
      <c r="N2538" s="71">
        <f t="shared" si="352"/>
        <v>0</v>
      </c>
      <c r="O2538" s="71">
        <f t="shared" si="353"/>
        <v>1</v>
      </c>
      <c r="P2538" s="71">
        <f t="shared" si="354"/>
        <v>0</v>
      </c>
      <c r="Q2538" s="71">
        <f t="shared" si="355"/>
        <v>0</v>
      </c>
      <c r="R2538" s="71">
        <f t="shared" si="356"/>
        <v>0</v>
      </c>
      <c r="S2538" s="71">
        <f t="shared" si="357"/>
        <v>0</v>
      </c>
      <c r="T2538" s="71">
        <f t="shared" si="358"/>
        <v>0</v>
      </c>
      <c r="U2538" s="71">
        <f>IF(AND(N2538=1,V2538=1),IF(COUNTIFS(AKTIVITAS!$B$2:$B$3052,B2538,AKTIVITAS!$E$2:$E$3052,H2538)&gt;0,1,0),0)</f>
        <v>0</v>
      </c>
      <c r="V2538" s="71">
        <f>IFERROR(IF(AND(H2538&gt;=INDEX(PEMAGANG!$J$3:$J$36,MATCH(B2538,PEMAGANG!$C$3:$C$36,0)),H2538&lt;=INDEX(PEMAGANG!$K$3:$K$36,MATCH(B2538,PEMAGANG!$C$3:$C$36,0))),1,0),0)</f>
        <v>1</v>
      </c>
      <c r="W2538" s="71">
        <f t="shared" si="359"/>
        <v>0</v>
      </c>
    </row>
    <row r="2539" spans="1:23" x14ac:dyDescent="0.2">
      <c r="A2539" s="71" t="s">
        <v>193</v>
      </c>
      <c r="B2539" s="71" t="s">
        <v>194</v>
      </c>
      <c r="C2539" s="71" t="s">
        <v>187</v>
      </c>
      <c r="D2539" s="71" t="s">
        <v>185</v>
      </c>
      <c r="E2539" s="71" t="s">
        <v>47</v>
      </c>
      <c r="F2539" s="71" t="s">
        <v>298</v>
      </c>
      <c r="G2539" s="88">
        <v>46223.298564814802</v>
      </c>
      <c r="H2539" s="89">
        <v>46223</v>
      </c>
      <c r="I2539" s="71" t="s">
        <v>479</v>
      </c>
      <c r="J2539" s="71">
        <v>-21</v>
      </c>
      <c r="K2539" s="71" t="s">
        <v>302</v>
      </c>
      <c r="L2539" s="71">
        <f t="shared" si="351"/>
        <v>7</v>
      </c>
      <c r="M2539" s="71" t="str">
        <f>IFERROR(INDEX(KALENDER!$D$3:$D$132,MATCH(H2539,KALENDER!$A$3:$A$132,0)),"Di luar periode")</f>
        <v>Hari Kerja</v>
      </c>
      <c r="N2539" s="71">
        <f t="shared" si="352"/>
        <v>1</v>
      </c>
      <c r="O2539" s="71">
        <f t="shared" si="353"/>
        <v>1</v>
      </c>
      <c r="P2539" s="71">
        <f t="shared" si="354"/>
        <v>1</v>
      </c>
      <c r="Q2539" s="71">
        <f t="shared" si="355"/>
        <v>0</v>
      </c>
      <c r="R2539" s="71">
        <f t="shared" si="356"/>
        <v>0</v>
      </c>
      <c r="S2539" s="71">
        <f t="shared" si="357"/>
        <v>0</v>
      </c>
      <c r="T2539" s="71">
        <f t="shared" si="358"/>
        <v>0</v>
      </c>
      <c r="U2539" s="71">
        <f>IF(AND(N2539=1,V2539=1),IF(COUNTIFS(AKTIVITAS!$B$2:$B$3052,B2539,AKTIVITAS!$E$2:$E$3052,H2539)&gt;0,1,0),0)</f>
        <v>1</v>
      </c>
      <c r="V2539" s="71">
        <f>IFERROR(IF(AND(H2539&gt;=INDEX(PEMAGANG!$J$3:$J$36,MATCH(B2539,PEMAGANG!$C$3:$C$36,0)),H2539&lt;=INDEX(PEMAGANG!$K$3:$K$36,MATCH(B2539,PEMAGANG!$C$3:$C$36,0))),1,0),0)</f>
        <v>1</v>
      </c>
      <c r="W2539" s="71">
        <f t="shared" si="359"/>
        <v>1</v>
      </c>
    </row>
    <row r="2540" spans="1:23" x14ac:dyDescent="0.2">
      <c r="A2540" s="71" t="s">
        <v>193</v>
      </c>
      <c r="B2540" s="71" t="s">
        <v>194</v>
      </c>
      <c r="C2540" s="71" t="s">
        <v>187</v>
      </c>
      <c r="D2540" s="71" t="s">
        <v>185</v>
      </c>
      <c r="E2540" s="71" t="s">
        <v>47</v>
      </c>
      <c r="F2540" s="71" t="s">
        <v>300</v>
      </c>
      <c r="G2540" s="88">
        <v>46223.697476851899</v>
      </c>
      <c r="H2540" s="89">
        <v>46223</v>
      </c>
      <c r="I2540" s="71" t="s">
        <v>312</v>
      </c>
      <c r="J2540" s="71">
        <v>0</v>
      </c>
      <c r="K2540" s="71" t="s">
        <v>302</v>
      </c>
      <c r="L2540" s="71">
        <f t="shared" si="351"/>
        <v>7</v>
      </c>
      <c r="M2540" s="71" t="str">
        <f>IFERROR(INDEX(KALENDER!$D$3:$D$132,MATCH(H2540,KALENDER!$A$3:$A$132,0)),"Di luar periode")</f>
        <v>Hari Kerja</v>
      </c>
      <c r="N2540" s="71">
        <f t="shared" si="352"/>
        <v>0</v>
      </c>
      <c r="O2540" s="71">
        <f t="shared" si="353"/>
        <v>1</v>
      </c>
      <c r="P2540" s="71">
        <f t="shared" si="354"/>
        <v>0</v>
      </c>
      <c r="Q2540" s="71">
        <f t="shared" si="355"/>
        <v>0</v>
      </c>
      <c r="R2540" s="71">
        <f t="shared" si="356"/>
        <v>0</v>
      </c>
      <c r="S2540" s="71">
        <f t="shared" si="357"/>
        <v>0</v>
      </c>
      <c r="T2540" s="71">
        <f t="shared" si="358"/>
        <v>0</v>
      </c>
      <c r="U2540" s="71">
        <f>IF(AND(N2540=1,V2540=1),IF(COUNTIFS(AKTIVITAS!$B$2:$B$3052,B2540,AKTIVITAS!$E$2:$E$3052,H2540)&gt;0,1,0),0)</f>
        <v>0</v>
      </c>
      <c r="V2540" s="71">
        <f>IFERROR(IF(AND(H2540&gt;=INDEX(PEMAGANG!$J$3:$J$36,MATCH(B2540,PEMAGANG!$C$3:$C$36,0)),H2540&lt;=INDEX(PEMAGANG!$K$3:$K$36,MATCH(B2540,PEMAGANG!$C$3:$C$36,0))),1,0),0)</f>
        <v>1</v>
      </c>
      <c r="W2540" s="71">
        <f t="shared" si="359"/>
        <v>0</v>
      </c>
    </row>
    <row r="2541" spans="1:23" x14ac:dyDescent="0.2">
      <c r="A2541" s="71" t="s">
        <v>193</v>
      </c>
      <c r="B2541" s="71" t="s">
        <v>194</v>
      </c>
      <c r="C2541" s="71" t="s">
        <v>187</v>
      </c>
      <c r="D2541" s="71" t="s">
        <v>185</v>
      </c>
      <c r="E2541" s="71" t="s">
        <v>47</v>
      </c>
      <c r="F2541" s="71" t="s">
        <v>298</v>
      </c>
      <c r="G2541" s="88">
        <v>46224.3121412037</v>
      </c>
      <c r="H2541" s="89">
        <v>46224</v>
      </c>
      <c r="I2541" s="71" t="s">
        <v>365</v>
      </c>
      <c r="J2541" s="71">
        <v>-0.999999999999996</v>
      </c>
      <c r="K2541" s="71" t="s">
        <v>302</v>
      </c>
      <c r="L2541" s="71">
        <f t="shared" si="351"/>
        <v>7</v>
      </c>
      <c r="M2541" s="71" t="str">
        <f>IFERROR(INDEX(KALENDER!$D$3:$D$132,MATCH(H2541,KALENDER!$A$3:$A$132,0)),"Di luar periode")</f>
        <v>Hari Kerja</v>
      </c>
      <c r="N2541" s="71">
        <f t="shared" si="352"/>
        <v>1</v>
      </c>
      <c r="O2541" s="71">
        <f t="shared" si="353"/>
        <v>1</v>
      </c>
      <c r="P2541" s="71">
        <f t="shared" si="354"/>
        <v>1</v>
      </c>
      <c r="Q2541" s="71">
        <f t="shared" si="355"/>
        <v>0</v>
      </c>
      <c r="R2541" s="71">
        <f t="shared" si="356"/>
        <v>0</v>
      </c>
      <c r="S2541" s="71">
        <f t="shared" si="357"/>
        <v>0</v>
      </c>
      <c r="T2541" s="71">
        <f t="shared" si="358"/>
        <v>0</v>
      </c>
      <c r="U2541" s="71">
        <f>IF(AND(N2541=1,V2541=1),IF(COUNTIFS(AKTIVITAS!$B$2:$B$3052,B2541,AKTIVITAS!$E$2:$E$3052,H2541)&gt;0,1,0),0)</f>
        <v>1</v>
      </c>
      <c r="V2541" s="71">
        <f>IFERROR(IF(AND(H2541&gt;=INDEX(PEMAGANG!$J$3:$J$36,MATCH(B2541,PEMAGANG!$C$3:$C$36,0)),H2541&lt;=INDEX(PEMAGANG!$K$3:$K$36,MATCH(B2541,PEMAGANG!$C$3:$C$36,0))),1,0),0)</f>
        <v>1</v>
      </c>
      <c r="W2541" s="71">
        <f t="shared" si="359"/>
        <v>1</v>
      </c>
    </row>
    <row r="2542" spans="1:23" x14ac:dyDescent="0.2">
      <c r="A2542" s="71" t="s">
        <v>193</v>
      </c>
      <c r="B2542" s="71" t="s">
        <v>194</v>
      </c>
      <c r="C2542" s="71" t="s">
        <v>187</v>
      </c>
      <c r="D2542" s="71" t="s">
        <v>185</v>
      </c>
      <c r="E2542" s="71" t="s">
        <v>47</v>
      </c>
      <c r="F2542" s="71" t="s">
        <v>300</v>
      </c>
      <c r="G2542" s="88">
        <v>46224.7130555556</v>
      </c>
      <c r="H2542" s="89">
        <v>46224</v>
      </c>
      <c r="I2542" s="71" t="s">
        <v>371</v>
      </c>
      <c r="J2542" s="71">
        <v>0</v>
      </c>
      <c r="K2542" s="71" t="s">
        <v>302</v>
      </c>
      <c r="L2542" s="71">
        <f t="shared" si="351"/>
        <v>7</v>
      </c>
      <c r="M2542" s="71" t="str">
        <f>IFERROR(INDEX(KALENDER!$D$3:$D$132,MATCH(H2542,KALENDER!$A$3:$A$132,0)),"Di luar periode")</f>
        <v>Hari Kerja</v>
      </c>
      <c r="N2542" s="71">
        <f t="shared" si="352"/>
        <v>0</v>
      </c>
      <c r="O2542" s="71">
        <f t="shared" si="353"/>
        <v>1</v>
      </c>
      <c r="P2542" s="71">
        <f t="shared" si="354"/>
        <v>0</v>
      </c>
      <c r="Q2542" s="71">
        <f t="shared" si="355"/>
        <v>0</v>
      </c>
      <c r="R2542" s="71">
        <f t="shared" si="356"/>
        <v>0</v>
      </c>
      <c r="S2542" s="71">
        <f t="shared" si="357"/>
        <v>0</v>
      </c>
      <c r="T2542" s="71">
        <f t="shared" si="358"/>
        <v>0</v>
      </c>
      <c r="U2542" s="71">
        <f>IF(AND(N2542=1,V2542=1),IF(COUNTIFS(AKTIVITAS!$B$2:$B$3052,B2542,AKTIVITAS!$E$2:$E$3052,H2542)&gt;0,1,0),0)</f>
        <v>0</v>
      </c>
      <c r="V2542" s="71">
        <f>IFERROR(IF(AND(H2542&gt;=INDEX(PEMAGANG!$J$3:$J$36,MATCH(B2542,PEMAGANG!$C$3:$C$36,0)),H2542&lt;=INDEX(PEMAGANG!$K$3:$K$36,MATCH(B2542,PEMAGANG!$C$3:$C$36,0))),1,0),0)</f>
        <v>1</v>
      </c>
      <c r="W2542" s="71">
        <f t="shared" si="359"/>
        <v>0</v>
      </c>
    </row>
    <row r="2543" spans="1:23" x14ac:dyDescent="0.2">
      <c r="A2543" s="71" t="s">
        <v>193</v>
      </c>
      <c r="B2543" s="71" t="s">
        <v>194</v>
      </c>
      <c r="C2543" s="71" t="s">
        <v>187</v>
      </c>
      <c r="D2543" s="71" t="s">
        <v>185</v>
      </c>
      <c r="E2543" s="71" t="s">
        <v>47</v>
      </c>
      <c r="F2543" s="71" t="s">
        <v>298</v>
      </c>
      <c r="G2543" s="88">
        <v>46225.308136574102</v>
      </c>
      <c r="H2543" s="89">
        <v>46225</v>
      </c>
      <c r="I2543" s="71" t="s">
        <v>311</v>
      </c>
      <c r="J2543" s="71">
        <v>-6.9999999999999796</v>
      </c>
      <c r="K2543" s="71" t="s">
        <v>302</v>
      </c>
      <c r="L2543" s="71">
        <f t="shared" si="351"/>
        <v>7</v>
      </c>
      <c r="M2543" s="71" t="str">
        <f>IFERROR(INDEX(KALENDER!$D$3:$D$132,MATCH(H2543,KALENDER!$A$3:$A$132,0)),"Di luar periode")</f>
        <v>WFH</v>
      </c>
      <c r="N2543" s="71">
        <f t="shared" si="352"/>
        <v>1</v>
      </c>
      <c r="O2543" s="71">
        <f t="shared" si="353"/>
        <v>1</v>
      </c>
      <c r="P2543" s="71">
        <f t="shared" si="354"/>
        <v>0</v>
      </c>
      <c r="Q2543" s="71">
        <f t="shared" si="355"/>
        <v>1</v>
      </c>
      <c r="R2543" s="71">
        <f t="shared" si="356"/>
        <v>0</v>
      </c>
      <c r="S2543" s="71">
        <f t="shared" si="357"/>
        <v>0</v>
      </c>
      <c r="T2543" s="71">
        <f t="shared" si="358"/>
        <v>0</v>
      </c>
      <c r="U2543" s="71">
        <f>IF(AND(N2543=1,V2543=1),IF(COUNTIFS(AKTIVITAS!$B$2:$B$3052,B2543,AKTIVITAS!$E$2:$E$3052,H2543)&gt;0,1,0),0)</f>
        <v>1</v>
      </c>
      <c r="V2543" s="71">
        <f>IFERROR(IF(AND(H2543&gt;=INDEX(PEMAGANG!$J$3:$J$36,MATCH(B2543,PEMAGANG!$C$3:$C$36,0)),H2543&lt;=INDEX(PEMAGANG!$K$3:$K$36,MATCH(B2543,PEMAGANG!$C$3:$C$36,0))),1,0),0)</f>
        <v>1</v>
      </c>
      <c r="W2543" s="71">
        <f t="shared" si="359"/>
        <v>1</v>
      </c>
    </row>
    <row r="2544" spans="1:23" x14ac:dyDescent="0.2">
      <c r="A2544" s="71" t="s">
        <v>193</v>
      </c>
      <c r="B2544" s="71" t="s">
        <v>194</v>
      </c>
      <c r="C2544" s="71" t="s">
        <v>187</v>
      </c>
      <c r="D2544" s="71" t="s">
        <v>185</v>
      </c>
      <c r="E2544" s="71" t="s">
        <v>47</v>
      </c>
      <c r="F2544" s="71" t="s">
        <v>300</v>
      </c>
      <c r="G2544" s="88">
        <v>46225.714548611097</v>
      </c>
      <c r="H2544" s="89">
        <v>46225</v>
      </c>
      <c r="I2544" s="71" t="s">
        <v>401</v>
      </c>
      <c r="J2544" s="71">
        <v>0</v>
      </c>
      <c r="K2544" s="71" t="s">
        <v>302</v>
      </c>
      <c r="L2544" s="71">
        <f t="shared" si="351"/>
        <v>7</v>
      </c>
      <c r="M2544" s="71" t="str">
        <f>IFERROR(INDEX(KALENDER!$D$3:$D$132,MATCH(H2544,KALENDER!$A$3:$A$132,0)),"Di luar periode")</f>
        <v>WFH</v>
      </c>
      <c r="N2544" s="71">
        <f t="shared" si="352"/>
        <v>0</v>
      </c>
      <c r="O2544" s="71">
        <f t="shared" si="353"/>
        <v>1</v>
      </c>
      <c r="P2544" s="71">
        <f t="shared" si="354"/>
        <v>0</v>
      </c>
      <c r="Q2544" s="71">
        <f t="shared" si="355"/>
        <v>0</v>
      </c>
      <c r="R2544" s="71">
        <f t="shared" si="356"/>
        <v>0</v>
      </c>
      <c r="S2544" s="71">
        <f t="shared" si="357"/>
        <v>0</v>
      </c>
      <c r="T2544" s="71">
        <f t="shared" si="358"/>
        <v>0</v>
      </c>
      <c r="U2544" s="71">
        <f>IF(AND(N2544=1,V2544=1),IF(COUNTIFS(AKTIVITAS!$B$2:$B$3052,B2544,AKTIVITAS!$E$2:$E$3052,H2544)&gt;0,1,0),0)</f>
        <v>0</v>
      </c>
      <c r="V2544" s="71">
        <f>IFERROR(IF(AND(H2544&gt;=INDEX(PEMAGANG!$J$3:$J$36,MATCH(B2544,PEMAGANG!$C$3:$C$36,0)),H2544&lt;=INDEX(PEMAGANG!$K$3:$K$36,MATCH(B2544,PEMAGANG!$C$3:$C$36,0))),1,0),0)</f>
        <v>1</v>
      </c>
      <c r="W2544" s="71">
        <f t="shared" si="359"/>
        <v>0</v>
      </c>
    </row>
    <row r="2545" spans="1:23" x14ac:dyDescent="0.2">
      <c r="A2545" s="71" t="s">
        <v>193</v>
      </c>
      <c r="B2545" s="71" t="s">
        <v>194</v>
      </c>
      <c r="C2545" s="71" t="s">
        <v>187</v>
      </c>
      <c r="D2545" s="71" t="s">
        <v>185</v>
      </c>
      <c r="E2545" s="71" t="s">
        <v>47</v>
      </c>
      <c r="F2545" s="71" t="s">
        <v>298</v>
      </c>
      <c r="G2545" s="88">
        <v>46226.308437500003</v>
      </c>
      <c r="H2545" s="89">
        <v>46226</v>
      </c>
      <c r="I2545" s="71" t="s">
        <v>303</v>
      </c>
      <c r="J2545" s="71">
        <v>-5.9999999999999796</v>
      </c>
      <c r="K2545" s="71" t="s">
        <v>302</v>
      </c>
      <c r="L2545" s="71">
        <f t="shared" si="351"/>
        <v>7</v>
      </c>
      <c r="M2545" s="71" t="str">
        <f>IFERROR(INDEX(KALENDER!$D$3:$D$132,MATCH(H2545,KALENDER!$A$3:$A$132,0)),"Di luar periode")</f>
        <v>Hari Kerja</v>
      </c>
      <c r="N2545" s="71">
        <f t="shared" si="352"/>
        <v>1</v>
      </c>
      <c r="O2545" s="71">
        <f t="shared" si="353"/>
        <v>1</v>
      </c>
      <c r="P2545" s="71">
        <f t="shared" si="354"/>
        <v>1</v>
      </c>
      <c r="Q2545" s="71">
        <f t="shared" si="355"/>
        <v>0</v>
      </c>
      <c r="R2545" s="71">
        <f t="shared" si="356"/>
        <v>0</v>
      </c>
      <c r="S2545" s="71">
        <f t="shared" si="357"/>
        <v>0</v>
      </c>
      <c r="T2545" s="71">
        <f t="shared" si="358"/>
        <v>0</v>
      </c>
      <c r="U2545" s="71">
        <f>IF(AND(N2545=1,V2545=1),IF(COUNTIFS(AKTIVITAS!$B$2:$B$3052,B2545,AKTIVITAS!$E$2:$E$3052,H2545)&gt;0,1,0),0)</f>
        <v>1</v>
      </c>
      <c r="V2545" s="71">
        <f>IFERROR(IF(AND(H2545&gt;=INDEX(PEMAGANG!$J$3:$J$36,MATCH(B2545,PEMAGANG!$C$3:$C$36,0)),H2545&lt;=INDEX(PEMAGANG!$K$3:$K$36,MATCH(B2545,PEMAGANG!$C$3:$C$36,0))),1,0),0)</f>
        <v>1</v>
      </c>
      <c r="W2545" s="71">
        <f t="shared" si="359"/>
        <v>1</v>
      </c>
    </row>
    <row r="2546" spans="1:23" x14ac:dyDescent="0.2">
      <c r="A2546" s="71" t="s">
        <v>193</v>
      </c>
      <c r="B2546" s="71" t="s">
        <v>194</v>
      </c>
      <c r="C2546" s="71" t="s">
        <v>187</v>
      </c>
      <c r="D2546" s="71" t="s">
        <v>185</v>
      </c>
      <c r="E2546" s="71" t="s">
        <v>47</v>
      </c>
      <c r="F2546" s="71" t="s">
        <v>300</v>
      </c>
      <c r="G2546" s="88">
        <v>46226.710567129601</v>
      </c>
      <c r="H2546" s="89">
        <v>46226</v>
      </c>
      <c r="I2546" s="71" t="s">
        <v>450</v>
      </c>
      <c r="J2546" s="71">
        <v>0</v>
      </c>
      <c r="K2546" s="71" t="s">
        <v>302</v>
      </c>
      <c r="L2546" s="71">
        <f t="shared" si="351"/>
        <v>7</v>
      </c>
      <c r="M2546" s="71" t="str">
        <f>IFERROR(INDEX(KALENDER!$D$3:$D$132,MATCH(H2546,KALENDER!$A$3:$A$132,0)),"Di luar periode")</f>
        <v>Hari Kerja</v>
      </c>
      <c r="N2546" s="71">
        <f t="shared" si="352"/>
        <v>0</v>
      </c>
      <c r="O2546" s="71">
        <f t="shared" si="353"/>
        <v>1</v>
      </c>
      <c r="P2546" s="71">
        <f t="shared" si="354"/>
        <v>0</v>
      </c>
      <c r="Q2546" s="71">
        <f t="shared" si="355"/>
        <v>0</v>
      </c>
      <c r="R2546" s="71">
        <f t="shared" si="356"/>
        <v>0</v>
      </c>
      <c r="S2546" s="71">
        <f t="shared" si="357"/>
        <v>0</v>
      </c>
      <c r="T2546" s="71">
        <f t="shared" si="358"/>
        <v>0</v>
      </c>
      <c r="U2546" s="71">
        <f>IF(AND(N2546=1,V2546=1),IF(COUNTIFS(AKTIVITAS!$B$2:$B$3052,B2546,AKTIVITAS!$E$2:$E$3052,H2546)&gt;0,1,0),0)</f>
        <v>0</v>
      </c>
      <c r="V2546" s="71">
        <f>IFERROR(IF(AND(H2546&gt;=INDEX(PEMAGANG!$J$3:$J$36,MATCH(B2546,PEMAGANG!$C$3:$C$36,0)),H2546&lt;=INDEX(PEMAGANG!$K$3:$K$36,MATCH(B2546,PEMAGANG!$C$3:$C$36,0))),1,0),0)</f>
        <v>1</v>
      </c>
      <c r="W2546" s="71">
        <f t="shared" si="359"/>
        <v>0</v>
      </c>
    </row>
    <row r="2547" spans="1:23" x14ac:dyDescent="0.2">
      <c r="A2547" s="71" t="s">
        <v>193</v>
      </c>
      <c r="B2547" s="71" t="s">
        <v>194</v>
      </c>
      <c r="C2547" s="71" t="s">
        <v>187</v>
      </c>
      <c r="D2547" s="71" t="s">
        <v>185</v>
      </c>
      <c r="E2547" s="71" t="s">
        <v>47</v>
      </c>
      <c r="F2547" s="71" t="s">
        <v>298</v>
      </c>
      <c r="G2547" s="88">
        <v>46227.307974536998</v>
      </c>
      <c r="H2547" s="89">
        <v>46227</v>
      </c>
      <c r="I2547" s="71" t="s">
        <v>311</v>
      </c>
      <c r="J2547" s="71">
        <v>-6.9999999999999796</v>
      </c>
      <c r="K2547" s="71" t="s">
        <v>302</v>
      </c>
      <c r="L2547" s="71">
        <f t="shared" si="351"/>
        <v>7</v>
      </c>
      <c r="M2547" s="71" t="str">
        <f>IFERROR(INDEX(KALENDER!$D$3:$D$132,MATCH(H2547,KALENDER!$A$3:$A$132,0)),"Di luar periode")</f>
        <v>Hari Kerja</v>
      </c>
      <c r="N2547" s="71">
        <f t="shared" si="352"/>
        <v>1</v>
      </c>
      <c r="O2547" s="71">
        <f t="shared" si="353"/>
        <v>1</v>
      </c>
      <c r="P2547" s="71">
        <f t="shared" si="354"/>
        <v>1</v>
      </c>
      <c r="Q2547" s="71">
        <f t="shared" si="355"/>
        <v>0</v>
      </c>
      <c r="R2547" s="71">
        <f t="shared" si="356"/>
        <v>0</v>
      </c>
      <c r="S2547" s="71">
        <f t="shared" si="357"/>
        <v>0</v>
      </c>
      <c r="T2547" s="71">
        <f t="shared" si="358"/>
        <v>0</v>
      </c>
      <c r="U2547" s="71">
        <f>IF(AND(N2547=1,V2547=1),IF(COUNTIFS(AKTIVITAS!$B$2:$B$3052,B2547,AKTIVITAS!$E$2:$E$3052,H2547)&gt;0,1,0),0)</f>
        <v>1</v>
      </c>
      <c r="V2547" s="71">
        <f>IFERROR(IF(AND(H2547&gt;=INDEX(PEMAGANG!$J$3:$J$36,MATCH(B2547,PEMAGANG!$C$3:$C$36,0)),H2547&lt;=INDEX(PEMAGANG!$K$3:$K$36,MATCH(B2547,PEMAGANG!$C$3:$C$36,0))),1,0),0)</f>
        <v>1</v>
      </c>
      <c r="W2547" s="71">
        <f t="shared" si="359"/>
        <v>1</v>
      </c>
    </row>
    <row r="2548" spans="1:23" x14ac:dyDescent="0.2">
      <c r="A2548" s="71" t="s">
        <v>193</v>
      </c>
      <c r="B2548" s="71" t="s">
        <v>194</v>
      </c>
      <c r="C2548" s="71" t="s">
        <v>187</v>
      </c>
      <c r="D2548" s="71" t="s">
        <v>185</v>
      </c>
      <c r="E2548" s="71" t="s">
        <v>47</v>
      </c>
      <c r="F2548" s="71" t="s">
        <v>300</v>
      </c>
      <c r="G2548" s="88">
        <v>46227.710810185199</v>
      </c>
      <c r="H2548" s="89">
        <v>46227</v>
      </c>
      <c r="I2548" s="71" t="s">
        <v>450</v>
      </c>
      <c r="J2548" s="71">
        <v>0</v>
      </c>
      <c r="K2548" s="71" t="s">
        <v>302</v>
      </c>
      <c r="L2548" s="71">
        <f t="shared" si="351"/>
        <v>7</v>
      </c>
      <c r="M2548" s="71" t="str">
        <f>IFERROR(INDEX(KALENDER!$D$3:$D$132,MATCH(H2548,KALENDER!$A$3:$A$132,0)),"Di luar periode")</f>
        <v>Hari Kerja</v>
      </c>
      <c r="N2548" s="71">
        <f t="shared" si="352"/>
        <v>0</v>
      </c>
      <c r="O2548" s="71">
        <f t="shared" si="353"/>
        <v>1</v>
      </c>
      <c r="P2548" s="71">
        <f t="shared" si="354"/>
        <v>0</v>
      </c>
      <c r="Q2548" s="71">
        <f t="shared" si="355"/>
        <v>0</v>
      </c>
      <c r="R2548" s="71">
        <f t="shared" si="356"/>
        <v>0</v>
      </c>
      <c r="S2548" s="71">
        <f t="shared" si="357"/>
        <v>0</v>
      </c>
      <c r="T2548" s="71">
        <f t="shared" si="358"/>
        <v>0</v>
      </c>
      <c r="U2548" s="71">
        <f>IF(AND(N2548=1,V2548=1),IF(COUNTIFS(AKTIVITAS!$B$2:$B$3052,B2548,AKTIVITAS!$E$2:$E$3052,H2548)&gt;0,1,0),0)</f>
        <v>0</v>
      </c>
      <c r="V2548" s="71">
        <f>IFERROR(IF(AND(H2548&gt;=INDEX(PEMAGANG!$J$3:$J$36,MATCH(B2548,PEMAGANG!$C$3:$C$36,0)),H2548&lt;=INDEX(PEMAGANG!$K$3:$K$36,MATCH(B2548,PEMAGANG!$C$3:$C$36,0))),1,0),0)</f>
        <v>1</v>
      </c>
      <c r="W2548" s="71">
        <f t="shared" si="359"/>
        <v>0</v>
      </c>
    </row>
    <row r="2549" spans="1:23" x14ac:dyDescent="0.2">
      <c r="A2549" s="71" t="s">
        <v>193</v>
      </c>
      <c r="B2549" s="71" t="s">
        <v>194</v>
      </c>
      <c r="C2549" s="71" t="s">
        <v>187</v>
      </c>
      <c r="D2549" s="71" t="s">
        <v>185</v>
      </c>
      <c r="E2549" s="71" t="s">
        <v>47</v>
      </c>
      <c r="F2549" s="71" t="s">
        <v>298</v>
      </c>
      <c r="G2549" s="88">
        <v>46230.299745370401</v>
      </c>
      <c r="H2549" s="89">
        <v>46230</v>
      </c>
      <c r="I2549" s="71" t="s">
        <v>402</v>
      </c>
      <c r="J2549" s="71">
        <v>-19</v>
      </c>
      <c r="K2549" s="71" t="s">
        <v>302</v>
      </c>
      <c r="L2549" s="71">
        <f t="shared" si="351"/>
        <v>7</v>
      </c>
      <c r="M2549" s="71" t="str">
        <f>IFERROR(INDEX(KALENDER!$D$3:$D$132,MATCH(H2549,KALENDER!$A$3:$A$132,0)),"Di luar periode")</f>
        <v>Hari Kerja</v>
      </c>
      <c r="N2549" s="71">
        <f t="shared" si="352"/>
        <v>1</v>
      </c>
      <c r="O2549" s="71">
        <f t="shared" si="353"/>
        <v>1</v>
      </c>
      <c r="P2549" s="71">
        <f t="shared" si="354"/>
        <v>1</v>
      </c>
      <c r="Q2549" s="71">
        <f t="shared" si="355"/>
        <v>0</v>
      </c>
      <c r="R2549" s="71">
        <f t="shared" si="356"/>
        <v>0</v>
      </c>
      <c r="S2549" s="71">
        <f t="shared" si="357"/>
        <v>0</v>
      </c>
      <c r="T2549" s="71">
        <f t="shared" si="358"/>
        <v>0</v>
      </c>
      <c r="U2549" s="71">
        <f>IF(AND(N2549=1,V2549=1),IF(COUNTIFS(AKTIVITAS!$B$2:$B$3052,B2549,AKTIVITAS!$E$2:$E$3052,H2549)&gt;0,1,0),0)</f>
        <v>1</v>
      </c>
      <c r="V2549" s="71">
        <f>IFERROR(IF(AND(H2549&gt;=INDEX(PEMAGANG!$J$3:$J$36,MATCH(B2549,PEMAGANG!$C$3:$C$36,0)),H2549&lt;=INDEX(PEMAGANG!$K$3:$K$36,MATCH(B2549,PEMAGANG!$C$3:$C$36,0))),1,0),0)</f>
        <v>1</v>
      </c>
      <c r="W2549" s="71">
        <f t="shared" si="359"/>
        <v>1</v>
      </c>
    </row>
    <row r="2550" spans="1:23" x14ac:dyDescent="0.2">
      <c r="A2550" s="71" t="s">
        <v>193</v>
      </c>
      <c r="B2550" s="71" t="s">
        <v>194</v>
      </c>
      <c r="C2550" s="71" t="s">
        <v>187</v>
      </c>
      <c r="D2550" s="71" t="s">
        <v>185</v>
      </c>
      <c r="E2550" s="71" t="s">
        <v>47</v>
      </c>
      <c r="F2550" s="71" t="s">
        <v>300</v>
      </c>
      <c r="G2550" s="88">
        <v>46230.690312500003</v>
      </c>
      <c r="H2550" s="89">
        <v>46230</v>
      </c>
      <c r="I2550" s="71" t="s">
        <v>314</v>
      </c>
      <c r="J2550" s="71">
        <v>0</v>
      </c>
      <c r="K2550" s="71" t="s">
        <v>302</v>
      </c>
      <c r="L2550" s="71">
        <f t="shared" si="351"/>
        <v>7</v>
      </c>
      <c r="M2550" s="71" t="str">
        <f>IFERROR(INDEX(KALENDER!$D$3:$D$132,MATCH(H2550,KALENDER!$A$3:$A$132,0)),"Di luar periode")</f>
        <v>Hari Kerja</v>
      </c>
      <c r="N2550" s="71">
        <f t="shared" si="352"/>
        <v>0</v>
      </c>
      <c r="O2550" s="71">
        <f t="shared" si="353"/>
        <v>1</v>
      </c>
      <c r="P2550" s="71">
        <f t="shared" si="354"/>
        <v>0</v>
      </c>
      <c r="Q2550" s="71">
        <f t="shared" si="355"/>
        <v>0</v>
      </c>
      <c r="R2550" s="71">
        <f t="shared" si="356"/>
        <v>0</v>
      </c>
      <c r="S2550" s="71">
        <f t="shared" si="357"/>
        <v>0</v>
      </c>
      <c r="T2550" s="71">
        <f t="shared" si="358"/>
        <v>0</v>
      </c>
      <c r="U2550" s="71">
        <f>IF(AND(N2550=1,V2550=1),IF(COUNTIFS(AKTIVITAS!$B$2:$B$3052,B2550,AKTIVITAS!$E$2:$E$3052,H2550)&gt;0,1,0),0)</f>
        <v>0</v>
      </c>
      <c r="V2550" s="71">
        <f>IFERROR(IF(AND(H2550&gt;=INDEX(PEMAGANG!$J$3:$J$36,MATCH(B2550,PEMAGANG!$C$3:$C$36,0)),H2550&lt;=INDEX(PEMAGANG!$K$3:$K$36,MATCH(B2550,PEMAGANG!$C$3:$C$36,0))),1,0),0)</f>
        <v>1</v>
      </c>
      <c r="W2550" s="71">
        <f t="shared" si="359"/>
        <v>0</v>
      </c>
    </row>
    <row r="2551" spans="1:23" x14ac:dyDescent="0.2">
      <c r="A2551" s="71" t="s">
        <v>193</v>
      </c>
      <c r="B2551" s="71" t="s">
        <v>194</v>
      </c>
      <c r="C2551" s="71" t="s">
        <v>187</v>
      </c>
      <c r="D2551" s="71" t="s">
        <v>185</v>
      </c>
      <c r="E2551" s="71" t="s">
        <v>47</v>
      </c>
      <c r="F2551" s="71" t="s">
        <v>298</v>
      </c>
      <c r="G2551" s="88">
        <v>46231.3066203704</v>
      </c>
      <c r="H2551" s="89">
        <v>46231</v>
      </c>
      <c r="I2551" s="71" t="s">
        <v>305</v>
      </c>
      <c r="J2551" s="71">
        <v>-9.0000000000000497</v>
      </c>
      <c r="K2551" s="71" t="s">
        <v>302</v>
      </c>
      <c r="L2551" s="71">
        <f t="shared" si="351"/>
        <v>7</v>
      </c>
      <c r="M2551" s="71" t="str">
        <f>IFERROR(INDEX(KALENDER!$D$3:$D$132,MATCH(H2551,KALENDER!$A$3:$A$132,0)),"Di luar periode")</f>
        <v>Hari Kerja</v>
      </c>
      <c r="N2551" s="71">
        <f t="shared" si="352"/>
        <v>1</v>
      </c>
      <c r="O2551" s="71">
        <f t="shared" si="353"/>
        <v>1</v>
      </c>
      <c r="P2551" s="71">
        <f t="shared" si="354"/>
        <v>1</v>
      </c>
      <c r="Q2551" s="71">
        <f t="shared" si="355"/>
        <v>0</v>
      </c>
      <c r="R2551" s="71">
        <f t="shared" si="356"/>
        <v>0</v>
      </c>
      <c r="S2551" s="71">
        <f t="shared" si="357"/>
        <v>0</v>
      </c>
      <c r="T2551" s="71">
        <f t="shared" si="358"/>
        <v>0</v>
      </c>
      <c r="U2551" s="71">
        <f>IF(AND(N2551=1,V2551=1),IF(COUNTIFS(AKTIVITAS!$B$2:$B$3052,B2551,AKTIVITAS!$E$2:$E$3052,H2551)&gt;0,1,0),0)</f>
        <v>1</v>
      </c>
      <c r="V2551" s="71">
        <f>IFERROR(IF(AND(H2551&gt;=INDEX(PEMAGANG!$J$3:$J$36,MATCH(B2551,PEMAGANG!$C$3:$C$36,0)),H2551&lt;=INDEX(PEMAGANG!$K$3:$K$36,MATCH(B2551,PEMAGANG!$C$3:$C$36,0))),1,0),0)</f>
        <v>1</v>
      </c>
      <c r="W2551" s="71">
        <f t="shared" si="359"/>
        <v>1</v>
      </c>
    </row>
    <row r="2552" spans="1:23" x14ac:dyDescent="0.2">
      <c r="A2552" s="71" t="s">
        <v>193</v>
      </c>
      <c r="B2552" s="71" t="s">
        <v>194</v>
      </c>
      <c r="C2552" s="71" t="s">
        <v>187</v>
      </c>
      <c r="D2552" s="71" t="s">
        <v>185</v>
      </c>
      <c r="E2552" s="71" t="s">
        <v>47</v>
      </c>
      <c r="F2552" s="71" t="s">
        <v>300</v>
      </c>
      <c r="G2552" s="88">
        <v>46231.7128703704</v>
      </c>
      <c r="H2552" s="89">
        <v>46231</v>
      </c>
      <c r="I2552" s="71" t="s">
        <v>371</v>
      </c>
      <c r="J2552" s="71">
        <v>0</v>
      </c>
      <c r="K2552" s="71" t="s">
        <v>302</v>
      </c>
      <c r="L2552" s="71">
        <f t="shared" si="351"/>
        <v>7</v>
      </c>
      <c r="M2552" s="71" t="str">
        <f>IFERROR(INDEX(KALENDER!$D$3:$D$132,MATCH(H2552,KALENDER!$A$3:$A$132,0)),"Di luar periode")</f>
        <v>Hari Kerja</v>
      </c>
      <c r="N2552" s="71">
        <f t="shared" si="352"/>
        <v>0</v>
      </c>
      <c r="O2552" s="71">
        <f t="shared" si="353"/>
        <v>1</v>
      </c>
      <c r="P2552" s="71">
        <f t="shared" si="354"/>
        <v>0</v>
      </c>
      <c r="Q2552" s="71">
        <f t="shared" si="355"/>
        <v>0</v>
      </c>
      <c r="R2552" s="71">
        <f t="shared" si="356"/>
        <v>0</v>
      </c>
      <c r="S2552" s="71">
        <f t="shared" si="357"/>
        <v>0</v>
      </c>
      <c r="T2552" s="71">
        <f t="shared" si="358"/>
        <v>0</v>
      </c>
      <c r="U2552" s="71">
        <f>IF(AND(N2552=1,V2552=1),IF(COUNTIFS(AKTIVITAS!$B$2:$B$3052,B2552,AKTIVITAS!$E$2:$E$3052,H2552)&gt;0,1,0),0)</f>
        <v>0</v>
      </c>
      <c r="V2552" s="71">
        <f>IFERROR(IF(AND(H2552&gt;=INDEX(PEMAGANG!$J$3:$J$36,MATCH(B2552,PEMAGANG!$C$3:$C$36,0)),H2552&lt;=INDEX(PEMAGANG!$K$3:$K$36,MATCH(B2552,PEMAGANG!$C$3:$C$36,0))),1,0),0)</f>
        <v>1</v>
      </c>
      <c r="W2552" s="71">
        <f t="shared" si="359"/>
        <v>0</v>
      </c>
    </row>
    <row r="2553" spans="1:23" x14ac:dyDescent="0.2">
      <c r="A2553" s="71" t="s">
        <v>193</v>
      </c>
      <c r="B2553" s="71" t="s">
        <v>194</v>
      </c>
      <c r="C2553" s="71" t="s">
        <v>187</v>
      </c>
      <c r="D2553" s="71" t="s">
        <v>185</v>
      </c>
      <c r="E2553" s="71" t="s">
        <v>47</v>
      </c>
      <c r="F2553" s="71" t="s">
        <v>298</v>
      </c>
      <c r="G2553" s="88">
        <v>46232.308402777802</v>
      </c>
      <c r="H2553" s="89">
        <v>46232</v>
      </c>
      <c r="I2553" s="71" t="s">
        <v>303</v>
      </c>
      <c r="J2553" s="71">
        <v>-5.9999999999999796</v>
      </c>
      <c r="K2553" s="71" t="s">
        <v>302</v>
      </c>
      <c r="L2553" s="71">
        <f t="shared" si="351"/>
        <v>7</v>
      </c>
      <c r="M2553" s="71" t="str">
        <f>IFERROR(INDEX(KALENDER!$D$3:$D$132,MATCH(H2553,KALENDER!$A$3:$A$132,0)),"Di luar periode")</f>
        <v>WFH</v>
      </c>
      <c r="N2553" s="71">
        <f t="shared" si="352"/>
        <v>1</v>
      </c>
      <c r="O2553" s="71">
        <f t="shared" si="353"/>
        <v>1</v>
      </c>
      <c r="P2553" s="71">
        <f t="shared" si="354"/>
        <v>0</v>
      </c>
      <c r="Q2553" s="71">
        <f t="shared" si="355"/>
        <v>1</v>
      </c>
      <c r="R2553" s="71">
        <f t="shared" si="356"/>
        <v>0</v>
      </c>
      <c r="S2553" s="71">
        <f t="shared" si="357"/>
        <v>0</v>
      </c>
      <c r="T2553" s="71">
        <f t="shared" si="358"/>
        <v>0</v>
      </c>
      <c r="U2553" s="71">
        <f>IF(AND(N2553=1,V2553=1),IF(COUNTIFS(AKTIVITAS!$B$2:$B$3052,B2553,AKTIVITAS!$E$2:$E$3052,H2553)&gt;0,1,0),0)</f>
        <v>1</v>
      </c>
      <c r="V2553" s="71">
        <f>IFERROR(IF(AND(H2553&gt;=INDEX(PEMAGANG!$J$3:$J$36,MATCH(B2553,PEMAGANG!$C$3:$C$36,0)),H2553&lt;=INDEX(PEMAGANG!$K$3:$K$36,MATCH(B2553,PEMAGANG!$C$3:$C$36,0))),1,0),0)</f>
        <v>1</v>
      </c>
      <c r="W2553" s="71">
        <f t="shared" si="359"/>
        <v>1</v>
      </c>
    </row>
    <row r="2554" spans="1:23" x14ac:dyDescent="0.2">
      <c r="A2554" s="71" t="s">
        <v>193</v>
      </c>
      <c r="B2554" s="71" t="s">
        <v>194</v>
      </c>
      <c r="C2554" s="71" t="s">
        <v>187</v>
      </c>
      <c r="D2554" s="71" t="s">
        <v>185</v>
      </c>
      <c r="E2554" s="71" t="s">
        <v>47</v>
      </c>
      <c r="F2554" s="71" t="s">
        <v>300</v>
      </c>
      <c r="G2554" s="88">
        <v>46232.709791666697</v>
      </c>
      <c r="H2554" s="89">
        <v>46232</v>
      </c>
      <c r="I2554" s="71" t="s">
        <v>436</v>
      </c>
      <c r="J2554" s="71">
        <v>0</v>
      </c>
      <c r="K2554" s="71" t="s">
        <v>302</v>
      </c>
      <c r="L2554" s="71">
        <f t="shared" si="351"/>
        <v>7</v>
      </c>
      <c r="M2554" s="71" t="str">
        <f>IFERROR(INDEX(KALENDER!$D$3:$D$132,MATCH(H2554,KALENDER!$A$3:$A$132,0)),"Di luar periode")</f>
        <v>WFH</v>
      </c>
      <c r="N2554" s="71">
        <f t="shared" si="352"/>
        <v>0</v>
      </c>
      <c r="O2554" s="71">
        <f t="shared" si="353"/>
        <v>1</v>
      </c>
      <c r="P2554" s="71">
        <f t="shared" si="354"/>
        <v>0</v>
      </c>
      <c r="Q2554" s="71">
        <f t="shared" si="355"/>
        <v>0</v>
      </c>
      <c r="R2554" s="71">
        <f t="shared" si="356"/>
        <v>0</v>
      </c>
      <c r="S2554" s="71">
        <f t="shared" si="357"/>
        <v>0</v>
      </c>
      <c r="T2554" s="71">
        <f t="shared" si="358"/>
        <v>0</v>
      </c>
      <c r="U2554" s="71">
        <f>IF(AND(N2554=1,V2554=1),IF(COUNTIFS(AKTIVITAS!$B$2:$B$3052,B2554,AKTIVITAS!$E$2:$E$3052,H2554)&gt;0,1,0),0)</f>
        <v>0</v>
      </c>
      <c r="V2554" s="71">
        <f>IFERROR(IF(AND(H2554&gt;=INDEX(PEMAGANG!$J$3:$J$36,MATCH(B2554,PEMAGANG!$C$3:$C$36,0)),H2554&lt;=INDEX(PEMAGANG!$K$3:$K$36,MATCH(B2554,PEMAGANG!$C$3:$C$36,0))),1,0),0)</f>
        <v>1</v>
      </c>
      <c r="W2554" s="71">
        <f t="shared" si="359"/>
        <v>0</v>
      </c>
    </row>
    <row r="2555" spans="1:23" x14ac:dyDescent="0.2">
      <c r="A2555" s="71" t="s">
        <v>193</v>
      </c>
      <c r="B2555" s="71" t="s">
        <v>194</v>
      </c>
      <c r="C2555" s="71" t="s">
        <v>187</v>
      </c>
      <c r="D2555" s="71" t="s">
        <v>185</v>
      </c>
      <c r="E2555" s="71" t="s">
        <v>47</v>
      </c>
      <c r="F2555" s="71" t="s">
        <v>298</v>
      </c>
      <c r="G2555" s="88">
        <v>46233.311608796299</v>
      </c>
      <c r="H2555" s="89">
        <v>46233</v>
      </c>
      <c r="I2555" s="71" t="s">
        <v>377</v>
      </c>
      <c r="J2555" s="71">
        <v>-1.99999999999999</v>
      </c>
      <c r="K2555" s="71" t="s">
        <v>302</v>
      </c>
      <c r="L2555" s="71">
        <f t="shared" si="351"/>
        <v>7</v>
      </c>
      <c r="M2555" s="71" t="str">
        <f>IFERROR(INDEX(KALENDER!$D$3:$D$132,MATCH(H2555,KALENDER!$A$3:$A$132,0)),"Di luar periode")</f>
        <v>Hari Kerja</v>
      </c>
      <c r="N2555" s="71">
        <f t="shared" si="352"/>
        <v>1</v>
      </c>
      <c r="O2555" s="71">
        <f t="shared" si="353"/>
        <v>1</v>
      </c>
      <c r="P2555" s="71">
        <f t="shared" si="354"/>
        <v>1</v>
      </c>
      <c r="Q2555" s="71">
        <f t="shared" si="355"/>
        <v>0</v>
      </c>
      <c r="R2555" s="71">
        <f t="shared" si="356"/>
        <v>0</v>
      </c>
      <c r="S2555" s="71">
        <f t="shared" si="357"/>
        <v>0</v>
      </c>
      <c r="T2555" s="71">
        <f t="shared" si="358"/>
        <v>0</v>
      </c>
      <c r="U2555" s="71">
        <f>IF(AND(N2555=1,V2555=1),IF(COUNTIFS(AKTIVITAS!$B$2:$B$3052,B2555,AKTIVITAS!$E$2:$E$3052,H2555)&gt;0,1,0),0)</f>
        <v>1</v>
      </c>
      <c r="V2555" s="71">
        <f>IFERROR(IF(AND(H2555&gt;=INDEX(PEMAGANG!$J$3:$J$36,MATCH(B2555,PEMAGANG!$C$3:$C$36,0)),H2555&lt;=INDEX(PEMAGANG!$K$3:$K$36,MATCH(B2555,PEMAGANG!$C$3:$C$36,0))),1,0),0)</f>
        <v>1</v>
      </c>
      <c r="W2555" s="71">
        <f t="shared" si="359"/>
        <v>1</v>
      </c>
    </row>
    <row r="2556" spans="1:23" x14ac:dyDescent="0.2">
      <c r="A2556" s="71" t="s">
        <v>193</v>
      </c>
      <c r="B2556" s="71" t="s">
        <v>194</v>
      </c>
      <c r="C2556" s="71" t="s">
        <v>187</v>
      </c>
      <c r="D2556" s="71" t="s">
        <v>185</v>
      </c>
      <c r="E2556" s="71" t="s">
        <v>47</v>
      </c>
      <c r="F2556" s="71" t="s">
        <v>300</v>
      </c>
      <c r="G2556" s="88">
        <v>46233.706805555601</v>
      </c>
      <c r="H2556" s="89">
        <v>46233</v>
      </c>
      <c r="I2556" s="71" t="s">
        <v>671</v>
      </c>
      <c r="J2556" s="71">
        <v>0</v>
      </c>
      <c r="K2556" s="71" t="s">
        <v>302</v>
      </c>
      <c r="L2556" s="71">
        <f t="shared" si="351"/>
        <v>7</v>
      </c>
      <c r="M2556" s="71" t="str">
        <f>IFERROR(INDEX(KALENDER!$D$3:$D$132,MATCH(H2556,KALENDER!$A$3:$A$132,0)),"Di luar periode")</f>
        <v>Hari Kerja</v>
      </c>
      <c r="N2556" s="71">
        <f t="shared" si="352"/>
        <v>0</v>
      </c>
      <c r="O2556" s="71">
        <f t="shared" si="353"/>
        <v>1</v>
      </c>
      <c r="P2556" s="71">
        <f t="shared" si="354"/>
        <v>0</v>
      </c>
      <c r="Q2556" s="71">
        <f t="shared" si="355"/>
        <v>0</v>
      </c>
      <c r="R2556" s="71">
        <f t="shared" si="356"/>
        <v>0</v>
      </c>
      <c r="S2556" s="71">
        <f t="shared" si="357"/>
        <v>0</v>
      </c>
      <c r="T2556" s="71">
        <f t="shared" si="358"/>
        <v>0</v>
      </c>
      <c r="U2556" s="71">
        <f>IF(AND(N2556=1,V2556=1),IF(COUNTIFS(AKTIVITAS!$B$2:$B$3052,B2556,AKTIVITAS!$E$2:$E$3052,H2556)&gt;0,1,0),0)</f>
        <v>0</v>
      </c>
      <c r="V2556" s="71">
        <f>IFERROR(IF(AND(H2556&gt;=INDEX(PEMAGANG!$J$3:$J$36,MATCH(B2556,PEMAGANG!$C$3:$C$36,0)),H2556&lt;=INDEX(PEMAGANG!$K$3:$K$36,MATCH(B2556,PEMAGANG!$C$3:$C$36,0))),1,0),0)</f>
        <v>1</v>
      </c>
      <c r="W2556" s="71">
        <f t="shared" si="359"/>
        <v>0</v>
      </c>
    </row>
    <row r="2557" spans="1:23" x14ac:dyDescent="0.2">
      <c r="A2557" s="71" t="s">
        <v>193</v>
      </c>
      <c r="B2557" s="71" t="s">
        <v>194</v>
      </c>
      <c r="C2557" s="71" t="s">
        <v>187</v>
      </c>
      <c r="D2557" s="71" t="s">
        <v>185</v>
      </c>
      <c r="E2557" s="71" t="s">
        <v>47</v>
      </c>
      <c r="F2557" s="71" t="s">
        <v>298</v>
      </c>
      <c r="G2557" s="88">
        <v>46234.311840277798</v>
      </c>
      <c r="H2557" s="89">
        <v>46234</v>
      </c>
      <c r="I2557" s="71" t="s">
        <v>365</v>
      </c>
      <c r="J2557" s="71">
        <v>-0.999999999999996</v>
      </c>
      <c r="K2557" s="71" t="s">
        <v>302</v>
      </c>
      <c r="L2557" s="71">
        <f t="shared" si="351"/>
        <v>7</v>
      </c>
      <c r="M2557" s="71" t="str">
        <f>IFERROR(INDEX(KALENDER!$D$3:$D$132,MATCH(H2557,KALENDER!$A$3:$A$132,0)),"Di luar periode")</f>
        <v>Hari Kerja</v>
      </c>
      <c r="N2557" s="71">
        <f t="shared" si="352"/>
        <v>1</v>
      </c>
      <c r="O2557" s="71">
        <f t="shared" si="353"/>
        <v>1</v>
      </c>
      <c r="P2557" s="71">
        <f t="shared" si="354"/>
        <v>1</v>
      </c>
      <c r="Q2557" s="71">
        <f t="shared" si="355"/>
        <v>0</v>
      </c>
      <c r="R2557" s="71">
        <f t="shared" si="356"/>
        <v>0</v>
      </c>
      <c r="S2557" s="71">
        <f t="shared" si="357"/>
        <v>0</v>
      </c>
      <c r="T2557" s="71">
        <f t="shared" si="358"/>
        <v>0</v>
      </c>
      <c r="U2557" s="71">
        <f>IF(AND(N2557=1,V2557=1),IF(COUNTIFS(AKTIVITAS!$B$2:$B$3052,B2557,AKTIVITAS!$E$2:$E$3052,H2557)&gt;0,1,0),0)</f>
        <v>1</v>
      </c>
      <c r="V2557" s="71">
        <f>IFERROR(IF(AND(H2557&gt;=INDEX(PEMAGANG!$J$3:$J$36,MATCH(B2557,PEMAGANG!$C$3:$C$36,0)),H2557&lt;=INDEX(PEMAGANG!$K$3:$K$36,MATCH(B2557,PEMAGANG!$C$3:$C$36,0))),1,0),0)</f>
        <v>1</v>
      </c>
      <c r="W2557" s="71">
        <f t="shared" si="359"/>
        <v>1</v>
      </c>
    </row>
    <row r="2558" spans="1:23" x14ac:dyDescent="0.2">
      <c r="A2558" s="71" t="s">
        <v>193</v>
      </c>
      <c r="B2558" s="71" t="s">
        <v>194</v>
      </c>
      <c r="C2558" s="71" t="s">
        <v>187</v>
      </c>
      <c r="D2558" s="71" t="s">
        <v>185</v>
      </c>
      <c r="E2558" s="71" t="s">
        <v>47</v>
      </c>
      <c r="F2558" s="71" t="s">
        <v>300</v>
      </c>
      <c r="G2558" s="88">
        <v>46234.692986111098</v>
      </c>
      <c r="H2558" s="89">
        <v>46234</v>
      </c>
      <c r="I2558" s="71" t="s">
        <v>328</v>
      </c>
      <c r="J2558" s="71">
        <v>0</v>
      </c>
      <c r="K2558" s="71" t="s">
        <v>302</v>
      </c>
      <c r="L2558" s="71">
        <f t="shared" si="351"/>
        <v>7</v>
      </c>
      <c r="M2558" s="71" t="str">
        <f>IFERROR(INDEX(KALENDER!$D$3:$D$132,MATCH(H2558,KALENDER!$A$3:$A$132,0)),"Di luar periode")</f>
        <v>Hari Kerja</v>
      </c>
      <c r="N2558" s="71">
        <f t="shared" si="352"/>
        <v>0</v>
      </c>
      <c r="O2558" s="71">
        <f t="shared" si="353"/>
        <v>1</v>
      </c>
      <c r="P2558" s="71">
        <f t="shared" si="354"/>
        <v>0</v>
      </c>
      <c r="Q2558" s="71">
        <f t="shared" si="355"/>
        <v>0</v>
      </c>
      <c r="R2558" s="71">
        <f t="shared" si="356"/>
        <v>0</v>
      </c>
      <c r="S2558" s="71">
        <f t="shared" si="357"/>
        <v>0</v>
      </c>
      <c r="T2558" s="71">
        <f t="shared" si="358"/>
        <v>0</v>
      </c>
      <c r="U2558" s="71">
        <f>IF(AND(N2558=1,V2558=1),IF(COUNTIFS(AKTIVITAS!$B$2:$B$3052,B2558,AKTIVITAS!$E$2:$E$3052,H2558)&gt;0,1,0),0)</f>
        <v>0</v>
      </c>
      <c r="V2558" s="71">
        <f>IFERROR(IF(AND(H2558&gt;=INDEX(PEMAGANG!$J$3:$J$36,MATCH(B2558,PEMAGANG!$C$3:$C$36,0)),H2558&lt;=INDEX(PEMAGANG!$K$3:$K$36,MATCH(B2558,PEMAGANG!$C$3:$C$36,0))),1,0),0)</f>
        <v>1</v>
      </c>
      <c r="W2558" s="71">
        <f t="shared" si="359"/>
        <v>0</v>
      </c>
    </row>
    <row r="2559" spans="1:23" x14ac:dyDescent="0.2">
      <c r="A2559" s="71" t="s">
        <v>193</v>
      </c>
      <c r="B2559" s="71" t="s">
        <v>194</v>
      </c>
      <c r="C2559" s="71" t="s">
        <v>187</v>
      </c>
      <c r="D2559" s="71" t="s">
        <v>185</v>
      </c>
      <c r="E2559" s="71" t="s">
        <v>47</v>
      </c>
      <c r="F2559" s="71" t="s">
        <v>298</v>
      </c>
      <c r="G2559" s="88">
        <v>46237.310995370397</v>
      </c>
      <c r="H2559" s="89">
        <v>46237</v>
      </c>
      <c r="I2559" s="71" t="s">
        <v>309</v>
      </c>
      <c r="J2559" s="71">
        <v>-2.9999999999999898</v>
      </c>
      <c r="K2559" s="71" t="s">
        <v>302</v>
      </c>
      <c r="L2559" s="71">
        <f t="shared" si="351"/>
        <v>8</v>
      </c>
      <c r="M2559" s="71" t="str">
        <f>IFERROR(INDEX(KALENDER!$D$3:$D$132,MATCH(H2559,KALENDER!$A$3:$A$132,0)),"Di luar periode")</f>
        <v>Hari Kerja</v>
      </c>
      <c r="N2559" s="71">
        <f t="shared" si="352"/>
        <v>1</v>
      </c>
      <c r="O2559" s="71">
        <f t="shared" si="353"/>
        <v>1</v>
      </c>
      <c r="P2559" s="71">
        <f t="shared" si="354"/>
        <v>1</v>
      </c>
      <c r="Q2559" s="71">
        <f t="shared" si="355"/>
        <v>0</v>
      </c>
      <c r="R2559" s="71">
        <f t="shared" si="356"/>
        <v>0</v>
      </c>
      <c r="S2559" s="71">
        <f t="shared" si="357"/>
        <v>0</v>
      </c>
      <c r="T2559" s="71">
        <f t="shared" si="358"/>
        <v>0</v>
      </c>
      <c r="U2559" s="71">
        <f>IF(AND(N2559=1,V2559=1),IF(COUNTIFS(AKTIVITAS!$B$2:$B$3052,B2559,AKTIVITAS!$E$2:$E$3052,H2559)&gt;0,1,0),0)</f>
        <v>1</v>
      </c>
      <c r="V2559" s="71">
        <f>IFERROR(IF(AND(H2559&gt;=INDEX(PEMAGANG!$J$3:$J$36,MATCH(B2559,PEMAGANG!$C$3:$C$36,0)),H2559&lt;=INDEX(PEMAGANG!$K$3:$K$36,MATCH(B2559,PEMAGANG!$C$3:$C$36,0))),1,0),0)</f>
        <v>1</v>
      </c>
      <c r="W2559" s="71">
        <f t="shared" si="359"/>
        <v>1</v>
      </c>
    </row>
    <row r="2560" spans="1:23" x14ac:dyDescent="0.2">
      <c r="A2560" s="71" t="s">
        <v>193</v>
      </c>
      <c r="B2560" s="71" t="s">
        <v>194</v>
      </c>
      <c r="C2560" s="71" t="s">
        <v>187</v>
      </c>
      <c r="D2560" s="71" t="s">
        <v>185</v>
      </c>
      <c r="E2560" s="71" t="s">
        <v>47</v>
      </c>
      <c r="F2560" s="71" t="s">
        <v>300</v>
      </c>
      <c r="G2560" s="88">
        <v>46237.698657407404</v>
      </c>
      <c r="H2560" s="89">
        <v>46237</v>
      </c>
      <c r="I2560" s="71" t="s">
        <v>488</v>
      </c>
      <c r="J2560" s="71">
        <v>0</v>
      </c>
      <c r="K2560" s="71" t="s">
        <v>302</v>
      </c>
      <c r="L2560" s="71">
        <f t="shared" si="351"/>
        <v>8</v>
      </c>
      <c r="M2560" s="71" t="str">
        <f>IFERROR(INDEX(KALENDER!$D$3:$D$132,MATCH(H2560,KALENDER!$A$3:$A$132,0)),"Di luar periode")</f>
        <v>Hari Kerja</v>
      </c>
      <c r="N2560" s="71">
        <f t="shared" si="352"/>
        <v>0</v>
      </c>
      <c r="O2560" s="71">
        <f t="shared" si="353"/>
        <v>1</v>
      </c>
      <c r="P2560" s="71">
        <f t="shared" si="354"/>
        <v>0</v>
      </c>
      <c r="Q2560" s="71">
        <f t="shared" si="355"/>
        <v>0</v>
      </c>
      <c r="R2560" s="71">
        <f t="shared" si="356"/>
        <v>0</v>
      </c>
      <c r="S2560" s="71">
        <f t="shared" si="357"/>
        <v>0</v>
      </c>
      <c r="T2560" s="71">
        <f t="shared" si="358"/>
        <v>0</v>
      </c>
      <c r="U2560" s="71">
        <f>IF(AND(N2560=1,V2560=1),IF(COUNTIFS(AKTIVITAS!$B$2:$B$3052,B2560,AKTIVITAS!$E$2:$E$3052,H2560)&gt;0,1,0),0)</f>
        <v>0</v>
      </c>
      <c r="V2560" s="71">
        <f>IFERROR(IF(AND(H2560&gt;=INDEX(PEMAGANG!$J$3:$J$36,MATCH(B2560,PEMAGANG!$C$3:$C$36,0)),H2560&lt;=INDEX(PEMAGANG!$K$3:$K$36,MATCH(B2560,PEMAGANG!$C$3:$C$36,0))),1,0),0)</f>
        <v>1</v>
      </c>
      <c r="W2560" s="71">
        <f t="shared" si="359"/>
        <v>0</v>
      </c>
    </row>
    <row r="2561" spans="1:23" x14ac:dyDescent="0.2">
      <c r="A2561" s="71" t="s">
        <v>193</v>
      </c>
      <c r="B2561" s="71" t="s">
        <v>194</v>
      </c>
      <c r="C2561" s="71" t="s">
        <v>187</v>
      </c>
      <c r="D2561" s="71" t="s">
        <v>185</v>
      </c>
      <c r="E2561" s="71" t="s">
        <v>47</v>
      </c>
      <c r="F2561" s="71" t="s">
        <v>298</v>
      </c>
      <c r="G2561" s="88">
        <v>46238.3112847222</v>
      </c>
      <c r="H2561" s="89">
        <v>46238</v>
      </c>
      <c r="I2561" s="71" t="s">
        <v>377</v>
      </c>
      <c r="J2561" s="71">
        <v>-1.99999999999999</v>
      </c>
      <c r="K2561" s="71" t="s">
        <v>302</v>
      </c>
      <c r="L2561" s="71">
        <f t="shared" si="351"/>
        <v>8</v>
      </c>
      <c r="M2561" s="71" t="str">
        <f>IFERROR(INDEX(KALENDER!$D$3:$D$132,MATCH(H2561,KALENDER!$A$3:$A$132,0)),"Di luar periode")</f>
        <v>Hari Kerja</v>
      </c>
      <c r="N2561" s="71">
        <f t="shared" si="352"/>
        <v>1</v>
      </c>
      <c r="O2561" s="71">
        <f t="shared" si="353"/>
        <v>1</v>
      </c>
      <c r="P2561" s="71">
        <f t="shared" si="354"/>
        <v>1</v>
      </c>
      <c r="Q2561" s="71">
        <f t="shared" si="355"/>
        <v>0</v>
      </c>
      <c r="R2561" s="71">
        <f t="shared" si="356"/>
        <v>0</v>
      </c>
      <c r="S2561" s="71">
        <f t="shared" si="357"/>
        <v>0</v>
      </c>
      <c r="T2561" s="71">
        <f t="shared" si="358"/>
        <v>0</v>
      </c>
      <c r="U2561" s="71">
        <f>IF(AND(N2561=1,V2561=1),IF(COUNTIFS(AKTIVITAS!$B$2:$B$3052,B2561,AKTIVITAS!$E$2:$E$3052,H2561)&gt;0,1,0),0)</f>
        <v>1</v>
      </c>
      <c r="V2561" s="71">
        <f>IFERROR(IF(AND(H2561&gt;=INDEX(PEMAGANG!$J$3:$J$36,MATCH(B2561,PEMAGANG!$C$3:$C$36,0)),H2561&lt;=INDEX(PEMAGANG!$K$3:$K$36,MATCH(B2561,PEMAGANG!$C$3:$C$36,0))),1,0),0)</f>
        <v>1</v>
      </c>
      <c r="W2561" s="71">
        <f t="shared" si="359"/>
        <v>1</v>
      </c>
    </row>
    <row r="2562" spans="1:23" x14ac:dyDescent="0.2">
      <c r="A2562" s="71" t="s">
        <v>193</v>
      </c>
      <c r="B2562" s="71" t="s">
        <v>194</v>
      </c>
      <c r="C2562" s="71" t="s">
        <v>187</v>
      </c>
      <c r="D2562" s="71" t="s">
        <v>185</v>
      </c>
      <c r="E2562" s="71" t="s">
        <v>47</v>
      </c>
      <c r="F2562" s="71" t="s">
        <v>300</v>
      </c>
      <c r="G2562" s="88">
        <v>46238.716909722199</v>
      </c>
      <c r="H2562" s="89">
        <v>46238</v>
      </c>
      <c r="I2562" s="71" t="s">
        <v>301</v>
      </c>
      <c r="J2562" s="71">
        <v>0</v>
      </c>
      <c r="K2562" s="71" t="s">
        <v>302</v>
      </c>
      <c r="L2562" s="71">
        <f t="shared" ref="L2562:L2625" si="360">MONTH(H2562)</f>
        <v>8</v>
      </c>
      <c r="M2562" s="71" t="str">
        <f>IFERROR(INDEX(KALENDER!$D$3:$D$132,MATCH(H2562,KALENDER!$A$3:$A$132,0)),"Di luar periode")</f>
        <v>Hari Kerja</v>
      </c>
      <c r="N2562" s="71">
        <f t="shared" ref="N2562:N2625" si="361">IF(AND(B2562=B2561,H2562=H2561),0,1)</f>
        <v>0</v>
      </c>
      <c r="O2562" s="71">
        <f t="shared" ref="O2562:O2625" si="362">IF(N2562=1,0,O2561)+IF(F2562="MASUK",1,0)</f>
        <v>1</v>
      </c>
      <c r="P2562" s="71">
        <f t="shared" ref="P2562:P2625" si="363">IF(AND(N2562=1,M2562="Hari Kerja",V2562=1),1,0)</f>
        <v>0</v>
      </c>
      <c r="Q2562" s="71">
        <f t="shared" ref="Q2562:Q2625" si="364">IF(AND(N2562=1,OR(M2562&lt;&gt;"Hari Kerja",V2562=0)),1,0)</f>
        <v>0</v>
      </c>
      <c r="R2562" s="71">
        <f t="shared" ref="R2562:R2625" si="365">IF(AND(F2562="MASUK",O2562=1,N(J2562)&gt;0,V2562=1),1,0)</f>
        <v>0</v>
      </c>
      <c r="S2562" s="71">
        <f t="shared" ref="S2562:S2625" si="366">R2562*N(J2562)</f>
        <v>0</v>
      </c>
      <c r="T2562" s="71">
        <f t="shared" ref="T2562:T2625" si="367">IF(AND(N2562=1,V2562=1),IF(AND(COUNTIFS($B$2:$B$4094,B2562,$H$2:$H$4094,H2562,$F$2:$F$4094,"MASUK")&gt;0,COUNTIFS($B$2:$B$4094,B2562,$H$2:$H$4094,H2562,$F$2:$F$4094,"PULANG")=0),1,0),0)</f>
        <v>0</v>
      </c>
      <c r="U2562" s="71">
        <f>IF(AND(N2562=1,V2562=1),IF(COUNTIFS(AKTIVITAS!$B$2:$B$3052,B2562,AKTIVITAS!$E$2:$E$3052,H2562)&gt;0,1,0),0)</f>
        <v>0</v>
      </c>
      <c r="V2562" s="71">
        <f>IFERROR(IF(AND(H2562&gt;=INDEX(PEMAGANG!$J$3:$J$36,MATCH(B2562,PEMAGANG!$C$3:$C$36,0)),H2562&lt;=INDEX(PEMAGANG!$K$3:$K$36,MATCH(B2562,PEMAGANG!$C$3:$C$36,0))),1,0),0)</f>
        <v>1</v>
      </c>
      <c r="W2562" s="71">
        <f t="shared" ref="W2562:W2625" si="368">N2562*V2562</f>
        <v>0</v>
      </c>
    </row>
    <row r="2563" spans="1:23" x14ac:dyDescent="0.2">
      <c r="A2563" s="71" t="s">
        <v>193</v>
      </c>
      <c r="B2563" s="71" t="s">
        <v>194</v>
      </c>
      <c r="C2563" s="71" t="s">
        <v>187</v>
      </c>
      <c r="D2563" s="71" t="s">
        <v>185</v>
      </c>
      <c r="E2563" s="71" t="s">
        <v>47</v>
      </c>
      <c r="F2563" s="71" t="s">
        <v>298</v>
      </c>
      <c r="G2563" s="88">
        <v>46239.306863425903</v>
      </c>
      <c r="H2563" s="89">
        <v>46239</v>
      </c>
      <c r="I2563" s="71" t="s">
        <v>305</v>
      </c>
      <c r="J2563" s="71">
        <v>-9.0000000000000497</v>
      </c>
      <c r="K2563" s="71" t="s">
        <v>302</v>
      </c>
      <c r="L2563" s="71">
        <f t="shared" si="360"/>
        <v>8</v>
      </c>
      <c r="M2563" s="71" t="str">
        <f>IFERROR(INDEX(KALENDER!$D$3:$D$132,MATCH(H2563,KALENDER!$A$3:$A$132,0)),"Di luar periode")</f>
        <v>Hari Kerja</v>
      </c>
      <c r="N2563" s="71">
        <f t="shared" si="361"/>
        <v>1</v>
      </c>
      <c r="O2563" s="71">
        <f t="shared" si="362"/>
        <v>1</v>
      </c>
      <c r="P2563" s="71">
        <f t="shared" si="363"/>
        <v>1</v>
      </c>
      <c r="Q2563" s="71">
        <f t="shared" si="364"/>
        <v>0</v>
      </c>
      <c r="R2563" s="71">
        <f t="shared" si="365"/>
        <v>0</v>
      </c>
      <c r="S2563" s="71">
        <f t="shared" si="366"/>
        <v>0</v>
      </c>
      <c r="T2563" s="71">
        <f t="shared" si="367"/>
        <v>0</v>
      </c>
      <c r="U2563" s="71">
        <f>IF(AND(N2563=1,V2563=1),IF(COUNTIFS(AKTIVITAS!$B$2:$B$3052,B2563,AKTIVITAS!$E$2:$E$3052,H2563)&gt;0,1,0),0)</f>
        <v>1</v>
      </c>
      <c r="V2563" s="71">
        <f>IFERROR(IF(AND(H2563&gt;=INDEX(PEMAGANG!$J$3:$J$36,MATCH(B2563,PEMAGANG!$C$3:$C$36,0)),H2563&lt;=INDEX(PEMAGANG!$K$3:$K$36,MATCH(B2563,PEMAGANG!$C$3:$C$36,0))),1,0),0)</f>
        <v>1</v>
      </c>
      <c r="W2563" s="71">
        <f t="shared" si="368"/>
        <v>1</v>
      </c>
    </row>
    <row r="2564" spans="1:23" x14ac:dyDescent="0.2">
      <c r="A2564" s="71" t="s">
        <v>193</v>
      </c>
      <c r="B2564" s="71" t="s">
        <v>194</v>
      </c>
      <c r="C2564" s="71" t="s">
        <v>187</v>
      </c>
      <c r="D2564" s="71" t="s">
        <v>185</v>
      </c>
      <c r="E2564" s="71" t="s">
        <v>47</v>
      </c>
      <c r="F2564" s="71" t="s">
        <v>300</v>
      </c>
      <c r="G2564" s="88">
        <v>46239.690983796303</v>
      </c>
      <c r="H2564" s="89">
        <v>46239</v>
      </c>
      <c r="I2564" s="71" t="s">
        <v>310</v>
      </c>
      <c r="J2564" s="71">
        <v>0</v>
      </c>
      <c r="K2564" s="71" t="s">
        <v>302</v>
      </c>
      <c r="L2564" s="71">
        <f t="shared" si="360"/>
        <v>8</v>
      </c>
      <c r="M2564" s="71" t="str">
        <f>IFERROR(INDEX(KALENDER!$D$3:$D$132,MATCH(H2564,KALENDER!$A$3:$A$132,0)),"Di luar periode")</f>
        <v>Hari Kerja</v>
      </c>
      <c r="N2564" s="71">
        <f t="shared" si="361"/>
        <v>0</v>
      </c>
      <c r="O2564" s="71">
        <f t="shared" si="362"/>
        <v>1</v>
      </c>
      <c r="P2564" s="71">
        <f t="shared" si="363"/>
        <v>0</v>
      </c>
      <c r="Q2564" s="71">
        <f t="shared" si="364"/>
        <v>0</v>
      </c>
      <c r="R2564" s="71">
        <f t="shared" si="365"/>
        <v>0</v>
      </c>
      <c r="S2564" s="71">
        <f t="shared" si="366"/>
        <v>0</v>
      </c>
      <c r="T2564" s="71">
        <f t="shared" si="367"/>
        <v>0</v>
      </c>
      <c r="U2564" s="71">
        <f>IF(AND(N2564=1,V2564=1),IF(COUNTIFS(AKTIVITAS!$B$2:$B$3052,B2564,AKTIVITAS!$E$2:$E$3052,H2564)&gt;0,1,0),0)</f>
        <v>0</v>
      </c>
      <c r="V2564" s="71">
        <f>IFERROR(IF(AND(H2564&gt;=INDEX(PEMAGANG!$J$3:$J$36,MATCH(B2564,PEMAGANG!$C$3:$C$36,0)),H2564&lt;=INDEX(PEMAGANG!$K$3:$K$36,MATCH(B2564,PEMAGANG!$C$3:$C$36,0))),1,0),0)</f>
        <v>1</v>
      </c>
      <c r="W2564" s="71">
        <f t="shared" si="368"/>
        <v>0</v>
      </c>
    </row>
    <row r="2565" spans="1:23" x14ac:dyDescent="0.2">
      <c r="A2565" s="71" t="s">
        <v>193</v>
      </c>
      <c r="B2565" s="71" t="s">
        <v>194</v>
      </c>
      <c r="C2565" s="71" t="s">
        <v>187</v>
      </c>
      <c r="D2565" s="71" t="s">
        <v>185</v>
      </c>
      <c r="E2565" s="71" t="s">
        <v>47</v>
      </c>
      <c r="F2565" s="71" t="s">
        <v>298</v>
      </c>
      <c r="G2565" s="88">
        <v>46240.305752314802</v>
      </c>
      <c r="H2565" s="89">
        <v>46240</v>
      </c>
      <c r="I2565" s="71" t="s">
        <v>329</v>
      </c>
      <c r="J2565" s="71">
        <v>-10</v>
      </c>
      <c r="K2565" s="71" t="s">
        <v>302</v>
      </c>
      <c r="L2565" s="71">
        <f t="shared" si="360"/>
        <v>8</v>
      </c>
      <c r="M2565" s="71" t="str">
        <f>IFERROR(INDEX(KALENDER!$D$3:$D$132,MATCH(H2565,KALENDER!$A$3:$A$132,0)),"Di luar periode")</f>
        <v>Hari Kerja</v>
      </c>
      <c r="N2565" s="71">
        <f t="shared" si="361"/>
        <v>1</v>
      </c>
      <c r="O2565" s="71">
        <f t="shared" si="362"/>
        <v>1</v>
      </c>
      <c r="P2565" s="71">
        <f t="shared" si="363"/>
        <v>1</v>
      </c>
      <c r="Q2565" s="71">
        <f t="shared" si="364"/>
        <v>0</v>
      </c>
      <c r="R2565" s="71">
        <f t="shared" si="365"/>
        <v>0</v>
      </c>
      <c r="S2565" s="71">
        <f t="shared" si="366"/>
        <v>0</v>
      </c>
      <c r="T2565" s="71">
        <f t="shared" si="367"/>
        <v>0</v>
      </c>
      <c r="U2565" s="71">
        <f>IF(AND(N2565=1,V2565=1),IF(COUNTIFS(AKTIVITAS!$B$2:$B$3052,B2565,AKTIVITAS!$E$2:$E$3052,H2565)&gt;0,1,0),0)</f>
        <v>1</v>
      </c>
      <c r="V2565" s="71">
        <f>IFERROR(IF(AND(H2565&gt;=INDEX(PEMAGANG!$J$3:$J$36,MATCH(B2565,PEMAGANG!$C$3:$C$36,0)),H2565&lt;=INDEX(PEMAGANG!$K$3:$K$36,MATCH(B2565,PEMAGANG!$C$3:$C$36,0))),1,0),0)</f>
        <v>1</v>
      </c>
      <c r="W2565" s="71">
        <f t="shared" si="368"/>
        <v>1</v>
      </c>
    </row>
    <row r="2566" spans="1:23" x14ac:dyDescent="0.2">
      <c r="A2566" s="71" t="s">
        <v>193</v>
      </c>
      <c r="B2566" s="71" t="s">
        <v>194</v>
      </c>
      <c r="C2566" s="71" t="s">
        <v>187</v>
      </c>
      <c r="D2566" s="71" t="s">
        <v>185</v>
      </c>
      <c r="E2566" s="71" t="s">
        <v>47</v>
      </c>
      <c r="F2566" s="71" t="s">
        <v>300</v>
      </c>
      <c r="G2566" s="88">
        <v>46240.706099536997</v>
      </c>
      <c r="H2566" s="89">
        <v>46240</v>
      </c>
      <c r="I2566" s="71" t="s">
        <v>474</v>
      </c>
      <c r="J2566" s="71">
        <v>0</v>
      </c>
      <c r="K2566" s="71" t="s">
        <v>302</v>
      </c>
      <c r="L2566" s="71">
        <f t="shared" si="360"/>
        <v>8</v>
      </c>
      <c r="M2566" s="71" t="str">
        <f>IFERROR(INDEX(KALENDER!$D$3:$D$132,MATCH(H2566,KALENDER!$A$3:$A$132,0)),"Di luar periode")</f>
        <v>Hari Kerja</v>
      </c>
      <c r="N2566" s="71">
        <f t="shared" si="361"/>
        <v>0</v>
      </c>
      <c r="O2566" s="71">
        <f t="shared" si="362"/>
        <v>1</v>
      </c>
      <c r="P2566" s="71">
        <f t="shared" si="363"/>
        <v>0</v>
      </c>
      <c r="Q2566" s="71">
        <f t="shared" si="364"/>
        <v>0</v>
      </c>
      <c r="R2566" s="71">
        <f t="shared" si="365"/>
        <v>0</v>
      </c>
      <c r="S2566" s="71">
        <f t="shared" si="366"/>
        <v>0</v>
      </c>
      <c r="T2566" s="71">
        <f t="shared" si="367"/>
        <v>0</v>
      </c>
      <c r="U2566" s="71">
        <f>IF(AND(N2566=1,V2566=1),IF(COUNTIFS(AKTIVITAS!$B$2:$B$3052,B2566,AKTIVITAS!$E$2:$E$3052,H2566)&gt;0,1,0),0)</f>
        <v>0</v>
      </c>
      <c r="V2566" s="71">
        <f>IFERROR(IF(AND(H2566&gt;=INDEX(PEMAGANG!$J$3:$J$36,MATCH(B2566,PEMAGANG!$C$3:$C$36,0)),H2566&lt;=INDEX(PEMAGANG!$K$3:$K$36,MATCH(B2566,PEMAGANG!$C$3:$C$36,0))),1,0),0)</f>
        <v>1</v>
      </c>
      <c r="W2566" s="71">
        <f t="shared" si="368"/>
        <v>0</v>
      </c>
    </row>
    <row r="2567" spans="1:23" x14ac:dyDescent="0.2">
      <c r="A2567" s="71" t="s">
        <v>193</v>
      </c>
      <c r="B2567" s="71" t="s">
        <v>194</v>
      </c>
      <c r="C2567" s="71" t="s">
        <v>187</v>
      </c>
      <c r="D2567" s="71" t="s">
        <v>185</v>
      </c>
      <c r="E2567" s="71" t="s">
        <v>47</v>
      </c>
      <c r="F2567" s="71" t="s">
        <v>298</v>
      </c>
      <c r="G2567" s="88">
        <v>46241.303252314799</v>
      </c>
      <c r="H2567" s="89">
        <v>46241</v>
      </c>
      <c r="I2567" s="71" t="s">
        <v>327</v>
      </c>
      <c r="J2567" s="71">
        <v>-14</v>
      </c>
      <c r="K2567" s="71" t="s">
        <v>302</v>
      </c>
      <c r="L2567" s="71">
        <f t="shared" si="360"/>
        <v>8</v>
      </c>
      <c r="M2567" s="71" t="str">
        <f>IFERROR(INDEX(KALENDER!$D$3:$D$132,MATCH(H2567,KALENDER!$A$3:$A$132,0)),"Di luar periode")</f>
        <v>Hari Kerja</v>
      </c>
      <c r="N2567" s="71">
        <f t="shared" si="361"/>
        <v>1</v>
      </c>
      <c r="O2567" s="71">
        <f t="shared" si="362"/>
        <v>1</v>
      </c>
      <c r="P2567" s="71">
        <f t="shared" si="363"/>
        <v>1</v>
      </c>
      <c r="Q2567" s="71">
        <f t="shared" si="364"/>
        <v>0</v>
      </c>
      <c r="R2567" s="71">
        <f t="shared" si="365"/>
        <v>0</v>
      </c>
      <c r="S2567" s="71">
        <f t="shared" si="366"/>
        <v>0</v>
      </c>
      <c r="T2567" s="71">
        <f t="shared" si="367"/>
        <v>0</v>
      </c>
      <c r="U2567" s="71">
        <f>IF(AND(N2567=1,V2567=1),IF(COUNTIFS(AKTIVITAS!$B$2:$B$3052,B2567,AKTIVITAS!$E$2:$E$3052,H2567)&gt;0,1,0),0)</f>
        <v>1</v>
      </c>
      <c r="V2567" s="71">
        <f>IFERROR(IF(AND(H2567&gt;=INDEX(PEMAGANG!$J$3:$J$36,MATCH(B2567,PEMAGANG!$C$3:$C$36,0)),H2567&lt;=INDEX(PEMAGANG!$K$3:$K$36,MATCH(B2567,PEMAGANG!$C$3:$C$36,0))),1,0),0)</f>
        <v>1</v>
      </c>
      <c r="W2567" s="71">
        <f t="shared" si="368"/>
        <v>1</v>
      </c>
    </row>
    <row r="2568" spans="1:23" x14ac:dyDescent="0.2">
      <c r="A2568" s="71" t="s">
        <v>193</v>
      </c>
      <c r="B2568" s="71" t="s">
        <v>194</v>
      </c>
      <c r="C2568" s="71" t="s">
        <v>187</v>
      </c>
      <c r="D2568" s="71" t="s">
        <v>185</v>
      </c>
      <c r="E2568" s="71" t="s">
        <v>47</v>
      </c>
      <c r="F2568" s="71" t="s">
        <v>300</v>
      </c>
      <c r="G2568" s="88">
        <v>46241.711886574099</v>
      </c>
      <c r="H2568" s="89">
        <v>46241</v>
      </c>
      <c r="I2568" s="71" t="s">
        <v>362</v>
      </c>
      <c r="J2568" s="71">
        <v>0</v>
      </c>
      <c r="K2568" s="71" t="s">
        <v>302</v>
      </c>
      <c r="L2568" s="71">
        <f t="shared" si="360"/>
        <v>8</v>
      </c>
      <c r="M2568" s="71" t="str">
        <f>IFERROR(INDEX(KALENDER!$D$3:$D$132,MATCH(H2568,KALENDER!$A$3:$A$132,0)),"Di luar periode")</f>
        <v>Hari Kerja</v>
      </c>
      <c r="N2568" s="71">
        <f t="shared" si="361"/>
        <v>0</v>
      </c>
      <c r="O2568" s="71">
        <f t="shared" si="362"/>
        <v>1</v>
      </c>
      <c r="P2568" s="71">
        <f t="shared" si="363"/>
        <v>0</v>
      </c>
      <c r="Q2568" s="71">
        <f t="shared" si="364"/>
        <v>0</v>
      </c>
      <c r="R2568" s="71">
        <f t="shared" si="365"/>
        <v>0</v>
      </c>
      <c r="S2568" s="71">
        <f t="shared" si="366"/>
        <v>0</v>
      </c>
      <c r="T2568" s="71">
        <f t="shared" si="367"/>
        <v>0</v>
      </c>
      <c r="U2568" s="71">
        <f>IF(AND(N2568=1,V2568=1),IF(COUNTIFS(AKTIVITAS!$B$2:$B$3052,B2568,AKTIVITAS!$E$2:$E$3052,H2568)&gt;0,1,0),0)</f>
        <v>0</v>
      </c>
      <c r="V2568" s="71">
        <f>IFERROR(IF(AND(H2568&gt;=INDEX(PEMAGANG!$J$3:$J$36,MATCH(B2568,PEMAGANG!$C$3:$C$36,0)),H2568&lt;=INDEX(PEMAGANG!$K$3:$K$36,MATCH(B2568,PEMAGANG!$C$3:$C$36,0))),1,0),0)</f>
        <v>1</v>
      </c>
      <c r="W2568" s="71">
        <f t="shared" si="368"/>
        <v>0</v>
      </c>
    </row>
    <row r="2569" spans="1:23" x14ac:dyDescent="0.2">
      <c r="A2569" s="71" t="s">
        <v>193</v>
      </c>
      <c r="B2569" s="71" t="s">
        <v>194</v>
      </c>
      <c r="C2569" s="71" t="s">
        <v>187</v>
      </c>
      <c r="D2569" s="71" t="s">
        <v>185</v>
      </c>
      <c r="E2569" s="71" t="s">
        <v>47</v>
      </c>
      <c r="F2569" s="71" t="s">
        <v>298</v>
      </c>
      <c r="G2569" s="88">
        <v>46244.307534722197</v>
      </c>
      <c r="H2569" s="89">
        <v>46244</v>
      </c>
      <c r="I2569" s="71" t="s">
        <v>313</v>
      </c>
      <c r="J2569" s="71">
        <v>-8.0000000000000497</v>
      </c>
      <c r="K2569" s="71" t="s">
        <v>302</v>
      </c>
      <c r="L2569" s="71">
        <f t="shared" si="360"/>
        <v>8</v>
      </c>
      <c r="M2569" s="71" t="str">
        <f>IFERROR(INDEX(KALENDER!$D$3:$D$132,MATCH(H2569,KALENDER!$A$3:$A$132,0)),"Di luar periode")</f>
        <v>Hari Kerja</v>
      </c>
      <c r="N2569" s="71">
        <f t="shared" si="361"/>
        <v>1</v>
      </c>
      <c r="O2569" s="71">
        <f t="shared" si="362"/>
        <v>1</v>
      </c>
      <c r="P2569" s="71">
        <f t="shared" si="363"/>
        <v>1</v>
      </c>
      <c r="Q2569" s="71">
        <f t="shared" si="364"/>
        <v>0</v>
      </c>
      <c r="R2569" s="71">
        <f t="shared" si="365"/>
        <v>0</v>
      </c>
      <c r="S2569" s="71">
        <f t="shared" si="366"/>
        <v>0</v>
      </c>
      <c r="T2569" s="71">
        <f t="shared" si="367"/>
        <v>0</v>
      </c>
      <c r="U2569" s="71">
        <f>IF(AND(N2569=1,V2569=1),IF(COUNTIFS(AKTIVITAS!$B$2:$B$3052,B2569,AKTIVITAS!$E$2:$E$3052,H2569)&gt;0,1,0),0)</f>
        <v>1</v>
      </c>
      <c r="V2569" s="71">
        <f>IFERROR(IF(AND(H2569&gt;=INDEX(PEMAGANG!$J$3:$J$36,MATCH(B2569,PEMAGANG!$C$3:$C$36,0)),H2569&lt;=INDEX(PEMAGANG!$K$3:$K$36,MATCH(B2569,PEMAGANG!$C$3:$C$36,0))),1,0),0)</f>
        <v>1</v>
      </c>
      <c r="W2569" s="71">
        <f t="shared" si="368"/>
        <v>1</v>
      </c>
    </row>
    <row r="2570" spans="1:23" x14ac:dyDescent="0.2">
      <c r="A2570" s="71" t="s">
        <v>193</v>
      </c>
      <c r="B2570" s="71" t="s">
        <v>194</v>
      </c>
      <c r="C2570" s="71" t="s">
        <v>187</v>
      </c>
      <c r="D2570" s="71" t="s">
        <v>185</v>
      </c>
      <c r="E2570" s="71" t="s">
        <v>47</v>
      </c>
      <c r="F2570" s="71" t="s">
        <v>300</v>
      </c>
      <c r="G2570" s="88">
        <v>46244.890914351898</v>
      </c>
      <c r="H2570" s="89">
        <v>46244</v>
      </c>
      <c r="I2570" s="71" t="s">
        <v>672</v>
      </c>
      <c r="J2570" s="71">
        <v>0</v>
      </c>
      <c r="K2570" s="71" t="s">
        <v>302</v>
      </c>
      <c r="L2570" s="71">
        <f t="shared" si="360"/>
        <v>8</v>
      </c>
      <c r="M2570" s="71" t="str">
        <f>IFERROR(INDEX(KALENDER!$D$3:$D$132,MATCH(H2570,KALENDER!$A$3:$A$132,0)),"Di luar periode")</f>
        <v>Hari Kerja</v>
      </c>
      <c r="N2570" s="71">
        <f t="shared" si="361"/>
        <v>0</v>
      </c>
      <c r="O2570" s="71">
        <f t="shared" si="362"/>
        <v>1</v>
      </c>
      <c r="P2570" s="71">
        <f t="shared" si="363"/>
        <v>0</v>
      </c>
      <c r="Q2570" s="71">
        <f t="shared" si="364"/>
        <v>0</v>
      </c>
      <c r="R2570" s="71">
        <f t="shared" si="365"/>
        <v>0</v>
      </c>
      <c r="S2570" s="71">
        <f t="shared" si="366"/>
        <v>0</v>
      </c>
      <c r="T2570" s="71">
        <f t="shared" si="367"/>
        <v>0</v>
      </c>
      <c r="U2570" s="71">
        <f>IF(AND(N2570=1,V2570=1),IF(COUNTIFS(AKTIVITAS!$B$2:$B$3052,B2570,AKTIVITAS!$E$2:$E$3052,H2570)&gt;0,1,0),0)</f>
        <v>0</v>
      </c>
      <c r="V2570" s="71">
        <f>IFERROR(IF(AND(H2570&gt;=INDEX(PEMAGANG!$J$3:$J$36,MATCH(B2570,PEMAGANG!$C$3:$C$36,0)),H2570&lt;=INDEX(PEMAGANG!$K$3:$K$36,MATCH(B2570,PEMAGANG!$C$3:$C$36,0))),1,0),0)</f>
        <v>1</v>
      </c>
      <c r="W2570" s="71">
        <f t="shared" si="368"/>
        <v>0</v>
      </c>
    </row>
    <row r="2571" spans="1:23" x14ac:dyDescent="0.2">
      <c r="A2571" s="71" t="s">
        <v>193</v>
      </c>
      <c r="B2571" s="71" t="s">
        <v>194</v>
      </c>
      <c r="C2571" s="71" t="s">
        <v>187</v>
      </c>
      <c r="D2571" s="71" t="s">
        <v>185</v>
      </c>
      <c r="E2571" s="71" t="s">
        <v>47</v>
      </c>
      <c r="F2571" s="71" t="s">
        <v>298</v>
      </c>
      <c r="G2571" s="88">
        <v>46245.314444444499</v>
      </c>
      <c r="H2571" s="89">
        <v>46245</v>
      </c>
      <c r="I2571" s="71" t="s">
        <v>338</v>
      </c>
      <c r="J2571" s="71">
        <v>1.99999999999999</v>
      </c>
      <c r="K2571" s="71" t="s">
        <v>293</v>
      </c>
      <c r="L2571" s="71">
        <f t="shared" si="360"/>
        <v>8</v>
      </c>
      <c r="M2571" s="71" t="str">
        <f>IFERROR(INDEX(KALENDER!$D$3:$D$132,MATCH(H2571,KALENDER!$A$3:$A$132,0)),"Di luar periode")</f>
        <v>Hari Kerja</v>
      </c>
      <c r="N2571" s="71">
        <f t="shared" si="361"/>
        <v>1</v>
      </c>
      <c r="O2571" s="71">
        <f t="shared" si="362"/>
        <v>1</v>
      </c>
      <c r="P2571" s="71">
        <f t="shared" si="363"/>
        <v>1</v>
      </c>
      <c r="Q2571" s="71">
        <f t="shared" si="364"/>
        <v>0</v>
      </c>
      <c r="R2571" s="71">
        <f t="shared" si="365"/>
        <v>1</v>
      </c>
      <c r="S2571" s="71">
        <f t="shared" si="366"/>
        <v>1.99999999999999</v>
      </c>
      <c r="T2571" s="71">
        <f t="shared" si="367"/>
        <v>0</v>
      </c>
      <c r="U2571" s="71">
        <f>IF(AND(N2571=1,V2571=1),IF(COUNTIFS(AKTIVITAS!$B$2:$B$3052,B2571,AKTIVITAS!$E$2:$E$3052,H2571)&gt;0,1,0),0)</f>
        <v>1</v>
      </c>
      <c r="V2571" s="71">
        <f>IFERROR(IF(AND(H2571&gt;=INDEX(PEMAGANG!$J$3:$J$36,MATCH(B2571,PEMAGANG!$C$3:$C$36,0)),H2571&lt;=INDEX(PEMAGANG!$K$3:$K$36,MATCH(B2571,PEMAGANG!$C$3:$C$36,0))),1,0),0)</f>
        <v>1</v>
      </c>
      <c r="W2571" s="71">
        <f t="shared" si="368"/>
        <v>1</v>
      </c>
    </row>
    <row r="2572" spans="1:23" x14ac:dyDescent="0.2">
      <c r="A2572" s="71" t="s">
        <v>193</v>
      </c>
      <c r="B2572" s="71" t="s">
        <v>194</v>
      </c>
      <c r="C2572" s="71" t="s">
        <v>187</v>
      </c>
      <c r="D2572" s="71" t="s">
        <v>185</v>
      </c>
      <c r="E2572" s="71" t="s">
        <v>47</v>
      </c>
      <c r="F2572" s="71" t="s">
        <v>300</v>
      </c>
      <c r="G2572" s="88">
        <v>46245.705798611103</v>
      </c>
      <c r="H2572" s="89">
        <v>46245</v>
      </c>
      <c r="I2572" s="71" t="s">
        <v>474</v>
      </c>
      <c r="J2572" s="71">
        <v>0</v>
      </c>
      <c r="K2572" s="71" t="s">
        <v>302</v>
      </c>
      <c r="L2572" s="71">
        <f t="shared" si="360"/>
        <v>8</v>
      </c>
      <c r="M2572" s="71" t="str">
        <f>IFERROR(INDEX(KALENDER!$D$3:$D$132,MATCH(H2572,KALENDER!$A$3:$A$132,0)),"Di luar periode")</f>
        <v>Hari Kerja</v>
      </c>
      <c r="N2572" s="71">
        <f t="shared" si="361"/>
        <v>0</v>
      </c>
      <c r="O2572" s="71">
        <f t="shared" si="362"/>
        <v>1</v>
      </c>
      <c r="P2572" s="71">
        <f t="shared" si="363"/>
        <v>0</v>
      </c>
      <c r="Q2572" s="71">
        <f t="shared" si="364"/>
        <v>0</v>
      </c>
      <c r="R2572" s="71">
        <f t="shared" si="365"/>
        <v>0</v>
      </c>
      <c r="S2572" s="71">
        <f t="shared" si="366"/>
        <v>0</v>
      </c>
      <c r="T2572" s="71">
        <f t="shared" si="367"/>
        <v>0</v>
      </c>
      <c r="U2572" s="71">
        <f>IF(AND(N2572=1,V2572=1),IF(COUNTIFS(AKTIVITAS!$B$2:$B$3052,B2572,AKTIVITAS!$E$2:$E$3052,H2572)&gt;0,1,0),0)</f>
        <v>0</v>
      </c>
      <c r="V2572" s="71">
        <f>IFERROR(IF(AND(H2572&gt;=INDEX(PEMAGANG!$J$3:$J$36,MATCH(B2572,PEMAGANG!$C$3:$C$36,0)),H2572&lt;=INDEX(PEMAGANG!$K$3:$K$36,MATCH(B2572,PEMAGANG!$C$3:$C$36,0))),1,0),0)</f>
        <v>1</v>
      </c>
      <c r="W2572" s="71">
        <f t="shared" si="368"/>
        <v>0</v>
      </c>
    </row>
    <row r="2573" spans="1:23" x14ac:dyDescent="0.2">
      <c r="A2573" s="71" t="s">
        <v>193</v>
      </c>
      <c r="B2573" s="71" t="s">
        <v>194</v>
      </c>
      <c r="C2573" s="71" t="s">
        <v>187</v>
      </c>
      <c r="D2573" s="71" t="s">
        <v>185</v>
      </c>
      <c r="E2573" s="71" t="s">
        <v>47</v>
      </c>
      <c r="F2573" s="71" t="s">
        <v>298</v>
      </c>
      <c r="G2573" s="88">
        <v>46246.310138888897</v>
      </c>
      <c r="H2573" s="89">
        <v>46246</v>
      </c>
      <c r="I2573" s="71" t="s">
        <v>315</v>
      </c>
      <c r="J2573" s="71">
        <v>-3.9999999999999898</v>
      </c>
      <c r="K2573" s="71" t="s">
        <v>302</v>
      </c>
      <c r="L2573" s="71">
        <f t="shared" si="360"/>
        <v>8</v>
      </c>
      <c r="M2573" s="71" t="str">
        <f>IFERROR(INDEX(KALENDER!$D$3:$D$132,MATCH(H2573,KALENDER!$A$3:$A$132,0)),"Di luar periode")</f>
        <v>Hari Kerja</v>
      </c>
      <c r="N2573" s="71">
        <f t="shared" si="361"/>
        <v>1</v>
      </c>
      <c r="O2573" s="71">
        <f t="shared" si="362"/>
        <v>1</v>
      </c>
      <c r="P2573" s="71">
        <f t="shared" si="363"/>
        <v>1</v>
      </c>
      <c r="Q2573" s="71">
        <f t="shared" si="364"/>
        <v>0</v>
      </c>
      <c r="R2573" s="71">
        <f t="shared" si="365"/>
        <v>0</v>
      </c>
      <c r="S2573" s="71">
        <f t="shared" si="366"/>
        <v>0</v>
      </c>
      <c r="T2573" s="71">
        <f t="shared" si="367"/>
        <v>0</v>
      </c>
      <c r="U2573" s="71">
        <f>IF(AND(N2573=1,V2573=1),IF(COUNTIFS(AKTIVITAS!$B$2:$B$3052,B2573,AKTIVITAS!$E$2:$E$3052,H2573)&gt;0,1,0),0)</f>
        <v>1</v>
      </c>
      <c r="V2573" s="71">
        <f>IFERROR(IF(AND(H2573&gt;=INDEX(PEMAGANG!$J$3:$J$36,MATCH(B2573,PEMAGANG!$C$3:$C$36,0)),H2573&lt;=INDEX(PEMAGANG!$K$3:$K$36,MATCH(B2573,PEMAGANG!$C$3:$C$36,0))),1,0),0)</f>
        <v>1</v>
      </c>
      <c r="W2573" s="71">
        <f t="shared" si="368"/>
        <v>1</v>
      </c>
    </row>
    <row r="2574" spans="1:23" x14ac:dyDescent="0.2">
      <c r="A2574" s="71" t="s">
        <v>193</v>
      </c>
      <c r="B2574" s="71" t="s">
        <v>194</v>
      </c>
      <c r="C2574" s="71" t="s">
        <v>187</v>
      </c>
      <c r="D2574" s="71" t="s">
        <v>185</v>
      </c>
      <c r="E2574" s="71" t="s">
        <v>47</v>
      </c>
      <c r="F2574" s="71" t="s">
        <v>300</v>
      </c>
      <c r="G2574" s="88">
        <v>46246.710625</v>
      </c>
      <c r="H2574" s="89">
        <v>46246</v>
      </c>
      <c r="I2574" s="71" t="s">
        <v>450</v>
      </c>
      <c r="J2574" s="71">
        <v>0</v>
      </c>
      <c r="K2574" s="71" t="s">
        <v>302</v>
      </c>
      <c r="L2574" s="71">
        <f t="shared" si="360"/>
        <v>8</v>
      </c>
      <c r="M2574" s="71" t="str">
        <f>IFERROR(INDEX(KALENDER!$D$3:$D$132,MATCH(H2574,KALENDER!$A$3:$A$132,0)),"Di luar periode")</f>
        <v>Hari Kerja</v>
      </c>
      <c r="N2574" s="71">
        <f t="shared" si="361"/>
        <v>0</v>
      </c>
      <c r="O2574" s="71">
        <f t="shared" si="362"/>
        <v>1</v>
      </c>
      <c r="P2574" s="71">
        <f t="shared" si="363"/>
        <v>0</v>
      </c>
      <c r="Q2574" s="71">
        <f t="shared" si="364"/>
        <v>0</v>
      </c>
      <c r="R2574" s="71">
        <f t="shared" si="365"/>
        <v>0</v>
      </c>
      <c r="S2574" s="71">
        <f t="shared" si="366"/>
        <v>0</v>
      </c>
      <c r="T2574" s="71">
        <f t="shared" si="367"/>
        <v>0</v>
      </c>
      <c r="U2574" s="71">
        <f>IF(AND(N2574=1,V2574=1),IF(COUNTIFS(AKTIVITAS!$B$2:$B$3052,B2574,AKTIVITAS!$E$2:$E$3052,H2574)&gt;0,1,0),0)</f>
        <v>0</v>
      </c>
      <c r="V2574" s="71">
        <f>IFERROR(IF(AND(H2574&gt;=INDEX(PEMAGANG!$J$3:$J$36,MATCH(B2574,PEMAGANG!$C$3:$C$36,0)),H2574&lt;=INDEX(PEMAGANG!$K$3:$K$36,MATCH(B2574,PEMAGANG!$C$3:$C$36,0))),1,0),0)</f>
        <v>1</v>
      </c>
      <c r="W2574" s="71">
        <f t="shared" si="368"/>
        <v>0</v>
      </c>
    </row>
    <row r="2575" spans="1:23" x14ac:dyDescent="0.2">
      <c r="A2575" s="71" t="s">
        <v>193</v>
      </c>
      <c r="B2575" s="71" t="s">
        <v>194</v>
      </c>
      <c r="C2575" s="71" t="s">
        <v>187</v>
      </c>
      <c r="D2575" s="71" t="s">
        <v>185</v>
      </c>
      <c r="E2575" s="71" t="s">
        <v>47</v>
      </c>
      <c r="F2575" s="71" t="s">
        <v>298</v>
      </c>
      <c r="G2575" s="88">
        <v>46247.308009259301</v>
      </c>
      <c r="H2575" s="89">
        <v>46247</v>
      </c>
      <c r="I2575" s="71" t="s">
        <v>311</v>
      </c>
      <c r="J2575" s="71">
        <v>-6.9999999999999796</v>
      </c>
      <c r="K2575" s="71" t="s">
        <v>302</v>
      </c>
      <c r="L2575" s="71">
        <f t="shared" si="360"/>
        <v>8</v>
      </c>
      <c r="M2575" s="71" t="str">
        <f>IFERROR(INDEX(KALENDER!$D$3:$D$132,MATCH(H2575,KALENDER!$A$3:$A$132,0)),"Di luar periode")</f>
        <v>Hari Kerja</v>
      </c>
      <c r="N2575" s="71">
        <f t="shared" si="361"/>
        <v>1</v>
      </c>
      <c r="O2575" s="71">
        <f t="shared" si="362"/>
        <v>1</v>
      </c>
      <c r="P2575" s="71">
        <f t="shared" si="363"/>
        <v>1</v>
      </c>
      <c r="Q2575" s="71">
        <f t="shared" si="364"/>
        <v>0</v>
      </c>
      <c r="R2575" s="71">
        <f t="shared" si="365"/>
        <v>0</v>
      </c>
      <c r="S2575" s="71">
        <f t="shared" si="366"/>
        <v>0</v>
      </c>
      <c r="T2575" s="71">
        <f t="shared" si="367"/>
        <v>0</v>
      </c>
      <c r="U2575" s="71">
        <f>IF(AND(N2575=1,V2575=1),IF(COUNTIFS(AKTIVITAS!$B$2:$B$3052,B2575,AKTIVITAS!$E$2:$E$3052,H2575)&gt;0,1,0),0)</f>
        <v>1</v>
      </c>
      <c r="V2575" s="71">
        <f>IFERROR(IF(AND(H2575&gt;=INDEX(PEMAGANG!$J$3:$J$36,MATCH(B2575,PEMAGANG!$C$3:$C$36,0)),H2575&lt;=INDEX(PEMAGANG!$K$3:$K$36,MATCH(B2575,PEMAGANG!$C$3:$C$36,0))),1,0),0)</f>
        <v>1</v>
      </c>
      <c r="W2575" s="71">
        <f t="shared" si="368"/>
        <v>1</v>
      </c>
    </row>
    <row r="2576" spans="1:23" x14ac:dyDescent="0.2">
      <c r="A2576" s="71" t="s">
        <v>193</v>
      </c>
      <c r="B2576" s="71" t="s">
        <v>194</v>
      </c>
      <c r="C2576" s="71" t="s">
        <v>187</v>
      </c>
      <c r="D2576" s="71" t="s">
        <v>185</v>
      </c>
      <c r="E2576" s="71" t="s">
        <v>47</v>
      </c>
      <c r="F2576" s="71" t="s">
        <v>300</v>
      </c>
      <c r="G2576" s="88">
        <v>46247.707615740699</v>
      </c>
      <c r="H2576" s="89">
        <v>46247</v>
      </c>
      <c r="I2576" s="71" t="s">
        <v>579</v>
      </c>
      <c r="J2576" s="71">
        <v>0</v>
      </c>
      <c r="K2576" s="71" t="s">
        <v>302</v>
      </c>
      <c r="L2576" s="71">
        <f t="shared" si="360"/>
        <v>8</v>
      </c>
      <c r="M2576" s="71" t="str">
        <f>IFERROR(INDEX(KALENDER!$D$3:$D$132,MATCH(H2576,KALENDER!$A$3:$A$132,0)),"Di luar periode")</f>
        <v>Hari Kerja</v>
      </c>
      <c r="N2576" s="71">
        <f t="shared" si="361"/>
        <v>0</v>
      </c>
      <c r="O2576" s="71">
        <f t="shared" si="362"/>
        <v>1</v>
      </c>
      <c r="P2576" s="71">
        <f t="shared" si="363"/>
        <v>0</v>
      </c>
      <c r="Q2576" s="71">
        <f t="shared" si="364"/>
        <v>0</v>
      </c>
      <c r="R2576" s="71">
        <f t="shared" si="365"/>
        <v>0</v>
      </c>
      <c r="S2576" s="71">
        <f t="shared" si="366"/>
        <v>0</v>
      </c>
      <c r="T2576" s="71">
        <f t="shared" si="367"/>
        <v>0</v>
      </c>
      <c r="U2576" s="71">
        <f>IF(AND(N2576=1,V2576=1),IF(COUNTIFS(AKTIVITAS!$B$2:$B$3052,B2576,AKTIVITAS!$E$2:$E$3052,H2576)&gt;0,1,0),0)</f>
        <v>0</v>
      </c>
      <c r="V2576" s="71">
        <f>IFERROR(IF(AND(H2576&gt;=INDEX(PEMAGANG!$J$3:$J$36,MATCH(B2576,PEMAGANG!$C$3:$C$36,0)),H2576&lt;=INDEX(PEMAGANG!$K$3:$K$36,MATCH(B2576,PEMAGANG!$C$3:$C$36,0))),1,0),0)</f>
        <v>1</v>
      </c>
      <c r="W2576" s="71">
        <f t="shared" si="368"/>
        <v>0</v>
      </c>
    </row>
    <row r="2577" spans="1:23" x14ac:dyDescent="0.2">
      <c r="A2577" s="71" t="s">
        <v>193</v>
      </c>
      <c r="B2577" s="71" t="s">
        <v>194</v>
      </c>
      <c r="C2577" s="71" t="s">
        <v>187</v>
      </c>
      <c r="D2577" s="71" t="s">
        <v>185</v>
      </c>
      <c r="E2577" s="71" t="s">
        <v>47</v>
      </c>
      <c r="F2577" s="71" t="s">
        <v>298</v>
      </c>
      <c r="G2577" s="88">
        <v>46248.311840277798</v>
      </c>
      <c r="H2577" s="89">
        <v>46248</v>
      </c>
      <c r="I2577" s="71" t="s">
        <v>365</v>
      </c>
      <c r="J2577" s="71">
        <v>-0.999999999999996</v>
      </c>
      <c r="K2577" s="71" t="s">
        <v>302</v>
      </c>
      <c r="L2577" s="71">
        <f t="shared" si="360"/>
        <v>8</v>
      </c>
      <c r="M2577" s="71" t="str">
        <f>IFERROR(INDEX(KALENDER!$D$3:$D$132,MATCH(H2577,KALENDER!$A$3:$A$132,0)),"Di luar periode")</f>
        <v>Hari Kerja</v>
      </c>
      <c r="N2577" s="71">
        <f t="shared" si="361"/>
        <v>1</v>
      </c>
      <c r="O2577" s="71">
        <f t="shared" si="362"/>
        <v>1</v>
      </c>
      <c r="P2577" s="71">
        <f t="shared" si="363"/>
        <v>1</v>
      </c>
      <c r="Q2577" s="71">
        <f t="shared" si="364"/>
        <v>0</v>
      </c>
      <c r="R2577" s="71">
        <f t="shared" si="365"/>
        <v>0</v>
      </c>
      <c r="S2577" s="71">
        <f t="shared" si="366"/>
        <v>0</v>
      </c>
      <c r="T2577" s="71">
        <f t="shared" si="367"/>
        <v>0</v>
      </c>
      <c r="U2577" s="71">
        <f>IF(AND(N2577=1,V2577=1),IF(COUNTIFS(AKTIVITAS!$B$2:$B$3052,B2577,AKTIVITAS!$E$2:$E$3052,H2577)&gt;0,1,0),0)</f>
        <v>1</v>
      </c>
      <c r="V2577" s="71">
        <f>IFERROR(IF(AND(H2577&gt;=INDEX(PEMAGANG!$J$3:$J$36,MATCH(B2577,PEMAGANG!$C$3:$C$36,0)),H2577&lt;=INDEX(PEMAGANG!$K$3:$K$36,MATCH(B2577,PEMAGANG!$C$3:$C$36,0))),1,0),0)</f>
        <v>1</v>
      </c>
      <c r="W2577" s="71">
        <f t="shared" si="368"/>
        <v>1</v>
      </c>
    </row>
    <row r="2578" spans="1:23" x14ac:dyDescent="0.2">
      <c r="A2578" s="71" t="s">
        <v>193</v>
      </c>
      <c r="B2578" s="71" t="s">
        <v>194</v>
      </c>
      <c r="C2578" s="71" t="s">
        <v>187</v>
      </c>
      <c r="D2578" s="71" t="s">
        <v>185</v>
      </c>
      <c r="E2578" s="71" t="s">
        <v>47</v>
      </c>
      <c r="F2578" s="71" t="s">
        <v>300</v>
      </c>
      <c r="G2578" s="88">
        <v>46248.6894328704</v>
      </c>
      <c r="H2578" s="89">
        <v>46248</v>
      </c>
      <c r="I2578" s="71" t="s">
        <v>306</v>
      </c>
      <c r="J2578" s="71">
        <v>0</v>
      </c>
      <c r="K2578" s="71" t="s">
        <v>302</v>
      </c>
      <c r="L2578" s="71">
        <f t="shared" si="360"/>
        <v>8</v>
      </c>
      <c r="M2578" s="71" t="str">
        <f>IFERROR(INDEX(KALENDER!$D$3:$D$132,MATCH(H2578,KALENDER!$A$3:$A$132,0)),"Di luar periode")</f>
        <v>Hari Kerja</v>
      </c>
      <c r="N2578" s="71">
        <f t="shared" si="361"/>
        <v>0</v>
      </c>
      <c r="O2578" s="71">
        <f t="shared" si="362"/>
        <v>1</v>
      </c>
      <c r="P2578" s="71">
        <f t="shared" si="363"/>
        <v>0</v>
      </c>
      <c r="Q2578" s="71">
        <f t="shared" si="364"/>
        <v>0</v>
      </c>
      <c r="R2578" s="71">
        <f t="shared" si="365"/>
        <v>0</v>
      </c>
      <c r="S2578" s="71">
        <f t="shared" si="366"/>
        <v>0</v>
      </c>
      <c r="T2578" s="71">
        <f t="shared" si="367"/>
        <v>0</v>
      </c>
      <c r="U2578" s="71">
        <f>IF(AND(N2578=1,V2578=1),IF(COUNTIFS(AKTIVITAS!$B$2:$B$3052,B2578,AKTIVITAS!$E$2:$E$3052,H2578)&gt;0,1,0),0)</f>
        <v>0</v>
      </c>
      <c r="V2578" s="71">
        <f>IFERROR(IF(AND(H2578&gt;=INDEX(PEMAGANG!$J$3:$J$36,MATCH(B2578,PEMAGANG!$C$3:$C$36,0)),H2578&lt;=INDEX(PEMAGANG!$K$3:$K$36,MATCH(B2578,PEMAGANG!$C$3:$C$36,0))),1,0),0)</f>
        <v>1</v>
      </c>
      <c r="W2578" s="71">
        <f t="shared" si="368"/>
        <v>0</v>
      </c>
    </row>
    <row r="2579" spans="1:23" x14ac:dyDescent="0.2">
      <c r="A2579" s="71" t="s">
        <v>193</v>
      </c>
      <c r="B2579" s="71" t="s">
        <v>194</v>
      </c>
      <c r="C2579" s="71" t="s">
        <v>187</v>
      </c>
      <c r="D2579" s="71" t="s">
        <v>185</v>
      </c>
      <c r="E2579" s="71" t="s">
        <v>47</v>
      </c>
      <c r="F2579" s="71" t="s">
        <v>298</v>
      </c>
      <c r="G2579" s="88">
        <v>46252.307905092603</v>
      </c>
      <c r="H2579" s="89">
        <v>46252</v>
      </c>
      <c r="I2579" s="71" t="s">
        <v>311</v>
      </c>
      <c r="J2579" s="71">
        <v>-6.9999999999999796</v>
      </c>
      <c r="K2579" s="71" t="s">
        <v>302</v>
      </c>
      <c r="L2579" s="71">
        <f t="shared" si="360"/>
        <v>8</v>
      </c>
      <c r="M2579" s="71" t="str">
        <f>IFERROR(INDEX(KALENDER!$D$3:$D$132,MATCH(H2579,KALENDER!$A$3:$A$132,0)),"Di luar periode")</f>
        <v>Hari Kerja</v>
      </c>
      <c r="N2579" s="71">
        <f t="shared" si="361"/>
        <v>1</v>
      </c>
      <c r="O2579" s="71">
        <f t="shared" si="362"/>
        <v>1</v>
      </c>
      <c r="P2579" s="71">
        <f t="shared" si="363"/>
        <v>1</v>
      </c>
      <c r="Q2579" s="71">
        <f t="shared" si="364"/>
        <v>0</v>
      </c>
      <c r="R2579" s="71">
        <f t="shared" si="365"/>
        <v>0</v>
      </c>
      <c r="S2579" s="71">
        <f t="shared" si="366"/>
        <v>0</v>
      </c>
      <c r="T2579" s="71">
        <f t="shared" si="367"/>
        <v>0</v>
      </c>
      <c r="U2579" s="71">
        <f>IF(AND(N2579=1,V2579=1),IF(COUNTIFS(AKTIVITAS!$B$2:$B$3052,B2579,AKTIVITAS!$E$2:$E$3052,H2579)&gt;0,1,0),0)</f>
        <v>1</v>
      </c>
      <c r="V2579" s="71">
        <f>IFERROR(IF(AND(H2579&gt;=INDEX(PEMAGANG!$J$3:$J$36,MATCH(B2579,PEMAGANG!$C$3:$C$36,0)),H2579&lt;=INDEX(PEMAGANG!$K$3:$K$36,MATCH(B2579,PEMAGANG!$C$3:$C$36,0))),1,0),0)</f>
        <v>1</v>
      </c>
      <c r="W2579" s="71">
        <f t="shared" si="368"/>
        <v>1</v>
      </c>
    </row>
    <row r="2580" spans="1:23" x14ac:dyDescent="0.2">
      <c r="A2580" s="71" t="s">
        <v>193</v>
      </c>
      <c r="B2580" s="71" t="s">
        <v>194</v>
      </c>
      <c r="C2580" s="71" t="s">
        <v>187</v>
      </c>
      <c r="D2580" s="71" t="s">
        <v>185</v>
      </c>
      <c r="E2580" s="71" t="s">
        <v>47</v>
      </c>
      <c r="F2580" s="71" t="s">
        <v>300</v>
      </c>
      <c r="G2580" s="88">
        <v>46252.709826388898</v>
      </c>
      <c r="H2580" s="89">
        <v>46252</v>
      </c>
      <c r="I2580" s="71" t="s">
        <v>436</v>
      </c>
      <c r="J2580" s="71">
        <v>0</v>
      </c>
      <c r="K2580" s="71" t="s">
        <v>302</v>
      </c>
      <c r="L2580" s="71">
        <f t="shared" si="360"/>
        <v>8</v>
      </c>
      <c r="M2580" s="71" t="str">
        <f>IFERROR(INDEX(KALENDER!$D$3:$D$132,MATCH(H2580,KALENDER!$A$3:$A$132,0)),"Di luar periode")</f>
        <v>Hari Kerja</v>
      </c>
      <c r="N2580" s="71">
        <f t="shared" si="361"/>
        <v>0</v>
      </c>
      <c r="O2580" s="71">
        <f t="shared" si="362"/>
        <v>1</v>
      </c>
      <c r="P2580" s="71">
        <f t="shared" si="363"/>
        <v>0</v>
      </c>
      <c r="Q2580" s="71">
        <f t="shared" si="364"/>
        <v>0</v>
      </c>
      <c r="R2580" s="71">
        <f t="shared" si="365"/>
        <v>0</v>
      </c>
      <c r="S2580" s="71">
        <f t="shared" si="366"/>
        <v>0</v>
      </c>
      <c r="T2580" s="71">
        <f t="shared" si="367"/>
        <v>0</v>
      </c>
      <c r="U2580" s="71">
        <f>IF(AND(N2580=1,V2580=1),IF(COUNTIFS(AKTIVITAS!$B$2:$B$3052,B2580,AKTIVITAS!$E$2:$E$3052,H2580)&gt;0,1,0),0)</f>
        <v>0</v>
      </c>
      <c r="V2580" s="71">
        <f>IFERROR(IF(AND(H2580&gt;=INDEX(PEMAGANG!$J$3:$J$36,MATCH(B2580,PEMAGANG!$C$3:$C$36,0)),H2580&lt;=INDEX(PEMAGANG!$K$3:$K$36,MATCH(B2580,PEMAGANG!$C$3:$C$36,0))),1,0),0)</f>
        <v>1</v>
      </c>
      <c r="W2580" s="71">
        <f t="shared" si="368"/>
        <v>0</v>
      </c>
    </row>
    <row r="2581" spans="1:23" x14ac:dyDescent="0.2">
      <c r="A2581" s="71" t="s">
        <v>193</v>
      </c>
      <c r="B2581" s="71" t="s">
        <v>194</v>
      </c>
      <c r="C2581" s="71" t="s">
        <v>187</v>
      </c>
      <c r="D2581" s="71" t="s">
        <v>185</v>
      </c>
      <c r="E2581" s="71" t="s">
        <v>47</v>
      </c>
      <c r="F2581" s="71" t="s">
        <v>298</v>
      </c>
      <c r="G2581" s="88">
        <v>46253.297476851898</v>
      </c>
      <c r="H2581" s="89">
        <v>46253</v>
      </c>
      <c r="I2581" s="71" t="s">
        <v>486</v>
      </c>
      <c r="J2581" s="71">
        <v>-22</v>
      </c>
      <c r="K2581" s="71" t="s">
        <v>302</v>
      </c>
      <c r="L2581" s="71">
        <f t="shared" si="360"/>
        <v>8</v>
      </c>
      <c r="M2581" s="71" t="str">
        <f>IFERROR(INDEX(KALENDER!$D$3:$D$132,MATCH(H2581,KALENDER!$A$3:$A$132,0)),"Di luar periode")</f>
        <v>Hari Kerja</v>
      </c>
      <c r="N2581" s="71">
        <f t="shared" si="361"/>
        <v>1</v>
      </c>
      <c r="O2581" s="71">
        <f t="shared" si="362"/>
        <v>1</v>
      </c>
      <c r="P2581" s="71">
        <f t="shared" si="363"/>
        <v>1</v>
      </c>
      <c r="Q2581" s="71">
        <f t="shared" si="364"/>
        <v>0</v>
      </c>
      <c r="R2581" s="71">
        <f t="shared" si="365"/>
        <v>0</v>
      </c>
      <c r="S2581" s="71">
        <f t="shared" si="366"/>
        <v>0</v>
      </c>
      <c r="T2581" s="71">
        <f t="shared" si="367"/>
        <v>0</v>
      </c>
      <c r="U2581" s="71">
        <f>IF(AND(N2581=1,V2581=1),IF(COUNTIFS(AKTIVITAS!$B$2:$B$3052,B2581,AKTIVITAS!$E$2:$E$3052,H2581)&gt;0,1,0),0)</f>
        <v>1</v>
      </c>
      <c r="V2581" s="71">
        <f>IFERROR(IF(AND(H2581&gt;=INDEX(PEMAGANG!$J$3:$J$36,MATCH(B2581,PEMAGANG!$C$3:$C$36,0)),H2581&lt;=INDEX(PEMAGANG!$K$3:$K$36,MATCH(B2581,PEMAGANG!$C$3:$C$36,0))),1,0),0)</f>
        <v>1</v>
      </c>
      <c r="W2581" s="71">
        <f t="shared" si="368"/>
        <v>1</v>
      </c>
    </row>
    <row r="2582" spans="1:23" x14ac:dyDescent="0.2">
      <c r="A2582" s="71" t="s">
        <v>193</v>
      </c>
      <c r="B2582" s="71" t="s">
        <v>194</v>
      </c>
      <c r="C2582" s="71" t="s">
        <v>187</v>
      </c>
      <c r="D2582" s="71" t="s">
        <v>185</v>
      </c>
      <c r="E2582" s="71" t="s">
        <v>47</v>
      </c>
      <c r="F2582" s="71" t="s">
        <v>300</v>
      </c>
      <c r="G2582" s="88">
        <v>46253.708807870396</v>
      </c>
      <c r="H2582" s="89">
        <v>46253</v>
      </c>
      <c r="I2582" s="71" t="s">
        <v>350</v>
      </c>
      <c r="J2582" s="71">
        <v>0</v>
      </c>
      <c r="K2582" s="71" t="s">
        <v>302</v>
      </c>
      <c r="L2582" s="71">
        <f t="shared" si="360"/>
        <v>8</v>
      </c>
      <c r="M2582" s="71" t="str">
        <f>IFERROR(INDEX(KALENDER!$D$3:$D$132,MATCH(H2582,KALENDER!$A$3:$A$132,0)),"Di luar periode")</f>
        <v>Hari Kerja</v>
      </c>
      <c r="N2582" s="71">
        <f t="shared" si="361"/>
        <v>0</v>
      </c>
      <c r="O2582" s="71">
        <f t="shared" si="362"/>
        <v>1</v>
      </c>
      <c r="P2582" s="71">
        <f t="shared" si="363"/>
        <v>0</v>
      </c>
      <c r="Q2582" s="71">
        <f t="shared" si="364"/>
        <v>0</v>
      </c>
      <c r="R2582" s="71">
        <f t="shared" si="365"/>
        <v>0</v>
      </c>
      <c r="S2582" s="71">
        <f t="shared" si="366"/>
        <v>0</v>
      </c>
      <c r="T2582" s="71">
        <f t="shared" si="367"/>
        <v>0</v>
      </c>
      <c r="U2582" s="71">
        <f>IF(AND(N2582=1,V2582=1),IF(COUNTIFS(AKTIVITAS!$B$2:$B$3052,B2582,AKTIVITAS!$E$2:$E$3052,H2582)&gt;0,1,0),0)</f>
        <v>0</v>
      </c>
      <c r="V2582" s="71">
        <f>IFERROR(IF(AND(H2582&gt;=INDEX(PEMAGANG!$J$3:$J$36,MATCH(B2582,PEMAGANG!$C$3:$C$36,0)),H2582&lt;=INDEX(PEMAGANG!$K$3:$K$36,MATCH(B2582,PEMAGANG!$C$3:$C$36,0))),1,0),0)</f>
        <v>1</v>
      </c>
      <c r="W2582" s="71">
        <f t="shared" si="368"/>
        <v>0</v>
      </c>
    </row>
    <row r="2583" spans="1:23" x14ac:dyDescent="0.2">
      <c r="A2583" s="71" t="s">
        <v>193</v>
      </c>
      <c r="B2583" s="71" t="s">
        <v>194</v>
      </c>
      <c r="C2583" s="71" t="s">
        <v>187</v>
      </c>
      <c r="D2583" s="71" t="s">
        <v>185</v>
      </c>
      <c r="E2583" s="71" t="s">
        <v>47</v>
      </c>
      <c r="F2583" s="71" t="s">
        <v>298</v>
      </c>
      <c r="G2583" s="88">
        <v>46254.306539351899</v>
      </c>
      <c r="H2583" s="89">
        <v>46254</v>
      </c>
      <c r="I2583" s="71" t="s">
        <v>305</v>
      </c>
      <c r="J2583" s="71">
        <v>-9.0000000000000497</v>
      </c>
      <c r="K2583" s="71" t="s">
        <v>302</v>
      </c>
      <c r="L2583" s="71">
        <f t="shared" si="360"/>
        <v>8</v>
      </c>
      <c r="M2583" s="71" t="str">
        <f>IFERROR(INDEX(KALENDER!$D$3:$D$132,MATCH(H2583,KALENDER!$A$3:$A$132,0)),"Di luar periode")</f>
        <v>Hari Kerja</v>
      </c>
      <c r="N2583" s="71">
        <f t="shared" si="361"/>
        <v>1</v>
      </c>
      <c r="O2583" s="71">
        <f t="shared" si="362"/>
        <v>1</v>
      </c>
      <c r="P2583" s="71">
        <f t="shared" si="363"/>
        <v>1</v>
      </c>
      <c r="Q2583" s="71">
        <f t="shared" si="364"/>
        <v>0</v>
      </c>
      <c r="R2583" s="71">
        <f t="shared" si="365"/>
        <v>0</v>
      </c>
      <c r="S2583" s="71">
        <f t="shared" si="366"/>
        <v>0</v>
      </c>
      <c r="T2583" s="71">
        <f t="shared" si="367"/>
        <v>0</v>
      </c>
      <c r="U2583" s="71">
        <f>IF(AND(N2583=1,V2583=1),IF(COUNTIFS(AKTIVITAS!$B$2:$B$3052,B2583,AKTIVITAS!$E$2:$E$3052,H2583)&gt;0,1,0),0)</f>
        <v>1</v>
      </c>
      <c r="V2583" s="71">
        <f>IFERROR(IF(AND(H2583&gt;=INDEX(PEMAGANG!$J$3:$J$36,MATCH(B2583,PEMAGANG!$C$3:$C$36,0)),H2583&lt;=INDEX(PEMAGANG!$K$3:$K$36,MATCH(B2583,PEMAGANG!$C$3:$C$36,0))),1,0),0)</f>
        <v>1</v>
      </c>
      <c r="W2583" s="71">
        <f t="shared" si="368"/>
        <v>1</v>
      </c>
    </row>
    <row r="2584" spans="1:23" x14ac:dyDescent="0.2">
      <c r="A2584" s="71" t="s">
        <v>193</v>
      </c>
      <c r="B2584" s="71" t="s">
        <v>194</v>
      </c>
      <c r="C2584" s="71" t="s">
        <v>187</v>
      </c>
      <c r="D2584" s="71" t="s">
        <v>185</v>
      </c>
      <c r="E2584" s="71" t="s">
        <v>47</v>
      </c>
      <c r="F2584" s="71" t="s">
        <v>300</v>
      </c>
      <c r="G2584" s="88">
        <v>46254.708171296297</v>
      </c>
      <c r="H2584" s="89">
        <v>46254</v>
      </c>
      <c r="I2584" s="71" t="s">
        <v>364</v>
      </c>
      <c r="J2584" s="71">
        <v>0</v>
      </c>
      <c r="K2584" s="71" t="s">
        <v>302</v>
      </c>
      <c r="L2584" s="71">
        <f t="shared" si="360"/>
        <v>8</v>
      </c>
      <c r="M2584" s="71" t="str">
        <f>IFERROR(INDEX(KALENDER!$D$3:$D$132,MATCH(H2584,KALENDER!$A$3:$A$132,0)),"Di luar periode")</f>
        <v>Hari Kerja</v>
      </c>
      <c r="N2584" s="71">
        <f t="shared" si="361"/>
        <v>0</v>
      </c>
      <c r="O2584" s="71">
        <f t="shared" si="362"/>
        <v>1</v>
      </c>
      <c r="P2584" s="71">
        <f t="shared" si="363"/>
        <v>0</v>
      </c>
      <c r="Q2584" s="71">
        <f t="shared" si="364"/>
        <v>0</v>
      </c>
      <c r="R2584" s="71">
        <f t="shared" si="365"/>
        <v>0</v>
      </c>
      <c r="S2584" s="71">
        <f t="shared" si="366"/>
        <v>0</v>
      </c>
      <c r="T2584" s="71">
        <f t="shared" si="367"/>
        <v>0</v>
      </c>
      <c r="U2584" s="71">
        <f>IF(AND(N2584=1,V2584=1),IF(COUNTIFS(AKTIVITAS!$B$2:$B$3052,B2584,AKTIVITAS!$E$2:$E$3052,H2584)&gt;0,1,0),0)</f>
        <v>0</v>
      </c>
      <c r="V2584" s="71">
        <f>IFERROR(IF(AND(H2584&gt;=INDEX(PEMAGANG!$J$3:$J$36,MATCH(B2584,PEMAGANG!$C$3:$C$36,0)),H2584&lt;=INDEX(PEMAGANG!$K$3:$K$36,MATCH(B2584,PEMAGANG!$C$3:$C$36,0))),1,0),0)</f>
        <v>1</v>
      </c>
      <c r="W2584" s="71">
        <f t="shared" si="368"/>
        <v>0</v>
      </c>
    </row>
    <row r="2585" spans="1:23" x14ac:dyDescent="0.2">
      <c r="A2585" s="71" t="s">
        <v>193</v>
      </c>
      <c r="B2585" s="71" t="s">
        <v>194</v>
      </c>
      <c r="C2585" s="71" t="s">
        <v>187</v>
      </c>
      <c r="D2585" s="71" t="s">
        <v>185</v>
      </c>
      <c r="E2585" s="71" t="s">
        <v>47</v>
      </c>
      <c r="F2585" s="71" t="s">
        <v>298</v>
      </c>
      <c r="G2585" s="88">
        <v>46255.307997685202</v>
      </c>
      <c r="H2585" s="89">
        <v>46255</v>
      </c>
      <c r="I2585" s="71" t="s">
        <v>311</v>
      </c>
      <c r="J2585" s="71">
        <v>-37</v>
      </c>
      <c r="K2585" s="71" t="s">
        <v>302</v>
      </c>
      <c r="L2585" s="71">
        <f t="shared" si="360"/>
        <v>8</v>
      </c>
      <c r="M2585" s="71" t="str">
        <f>IFERROR(INDEX(KALENDER!$D$3:$D$132,MATCH(H2585,KALENDER!$A$3:$A$132,0)),"Di luar periode")</f>
        <v>Hari Kerja</v>
      </c>
      <c r="N2585" s="71">
        <f t="shared" si="361"/>
        <v>1</v>
      </c>
      <c r="O2585" s="71">
        <f t="shared" si="362"/>
        <v>1</v>
      </c>
      <c r="P2585" s="71">
        <f t="shared" si="363"/>
        <v>1</v>
      </c>
      <c r="Q2585" s="71">
        <f t="shared" si="364"/>
        <v>0</v>
      </c>
      <c r="R2585" s="71">
        <f t="shared" si="365"/>
        <v>0</v>
      </c>
      <c r="S2585" s="71">
        <f t="shared" si="366"/>
        <v>0</v>
      </c>
      <c r="T2585" s="71">
        <f t="shared" si="367"/>
        <v>0</v>
      </c>
      <c r="U2585" s="71">
        <f>IF(AND(N2585=1,V2585=1),IF(COUNTIFS(AKTIVITAS!$B$2:$B$3052,B2585,AKTIVITAS!$E$2:$E$3052,H2585)&gt;0,1,0),0)</f>
        <v>1</v>
      </c>
      <c r="V2585" s="71">
        <f>IFERROR(IF(AND(H2585&gt;=INDEX(PEMAGANG!$J$3:$J$36,MATCH(B2585,PEMAGANG!$C$3:$C$36,0)),H2585&lt;=INDEX(PEMAGANG!$K$3:$K$36,MATCH(B2585,PEMAGANG!$C$3:$C$36,0))),1,0),0)</f>
        <v>1</v>
      </c>
      <c r="W2585" s="71">
        <f t="shared" si="368"/>
        <v>1</v>
      </c>
    </row>
    <row r="2586" spans="1:23" x14ac:dyDescent="0.2">
      <c r="A2586" s="71" t="s">
        <v>193</v>
      </c>
      <c r="B2586" s="71" t="s">
        <v>194</v>
      </c>
      <c r="C2586" s="71" t="s">
        <v>187</v>
      </c>
      <c r="D2586" s="71" t="s">
        <v>185</v>
      </c>
      <c r="E2586" s="71" t="s">
        <v>47</v>
      </c>
      <c r="F2586" s="71" t="s">
        <v>300</v>
      </c>
      <c r="G2586" s="88">
        <v>46255.717569444401</v>
      </c>
      <c r="H2586" s="89">
        <v>46255</v>
      </c>
      <c r="I2586" s="71" t="s">
        <v>369</v>
      </c>
      <c r="J2586" s="71">
        <v>0</v>
      </c>
      <c r="K2586" s="71" t="s">
        <v>302</v>
      </c>
      <c r="L2586" s="71">
        <f t="shared" si="360"/>
        <v>8</v>
      </c>
      <c r="M2586" s="71" t="str">
        <f>IFERROR(INDEX(KALENDER!$D$3:$D$132,MATCH(H2586,KALENDER!$A$3:$A$132,0)),"Di luar periode")</f>
        <v>Hari Kerja</v>
      </c>
      <c r="N2586" s="71">
        <f t="shared" si="361"/>
        <v>0</v>
      </c>
      <c r="O2586" s="71">
        <f t="shared" si="362"/>
        <v>1</v>
      </c>
      <c r="P2586" s="71">
        <f t="shared" si="363"/>
        <v>0</v>
      </c>
      <c r="Q2586" s="71">
        <f t="shared" si="364"/>
        <v>0</v>
      </c>
      <c r="R2586" s="71">
        <f t="shared" si="365"/>
        <v>0</v>
      </c>
      <c r="S2586" s="71">
        <f t="shared" si="366"/>
        <v>0</v>
      </c>
      <c r="T2586" s="71">
        <f t="shared" si="367"/>
        <v>0</v>
      </c>
      <c r="U2586" s="71">
        <f>IF(AND(N2586=1,V2586=1),IF(COUNTIFS(AKTIVITAS!$B$2:$B$3052,B2586,AKTIVITAS!$E$2:$E$3052,H2586)&gt;0,1,0),0)</f>
        <v>0</v>
      </c>
      <c r="V2586" s="71">
        <f>IFERROR(IF(AND(H2586&gt;=INDEX(PEMAGANG!$J$3:$J$36,MATCH(B2586,PEMAGANG!$C$3:$C$36,0)),H2586&lt;=INDEX(PEMAGANG!$K$3:$K$36,MATCH(B2586,PEMAGANG!$C$3:$C$36,0))),1,0),0)</f>
        <v>1</v>
      </c>
      <c r="W2586" s="71">
        <f t="shared" si="368"/>
        <v>0</v>
      </c>
    </row>
    <row r="2587" spans="1:23" x14ac:dyDescent="0.2">
      <c r="A2587" s="71" t="s">
        <v>193</v>
      </c>
      <c r="B2587" s="71" t="s">
        <v>194</v>
      </c>
      <c r="C2587" s="71" t="s">
        <v>187</v>
      </c>
      <c r="D2587" s="71" t="s">
        <v>185</v>
      </c>
      <c r="E2587" s="71" t="s">
        <v>47</v>
      </c>
      <c r="F2587" s="71" t="s">
        <v>298</v>
      </c>
      <c r="G2587" s="88">
        <v>46258.305798611102</v>
      </c>
      <c r="H2587" s="89">
        <v>46258</v>
      </c>
      <c r="I2587" s="71" t="s">
        <v>329</v>
      </c>
      <c r="J2587" s="71">
        <v>-40</v>
      </c>
      <c r="K2587" s="71" t="s">
        <v>302</v>
      </c>
      <c r="L2587" s="71">
        <f t="shared" si="360"/>
        <v>8</v>
      </c>
      <c r="M2587" s="71" t="str">
        <f>IFERROR(INDEX(KALENDER!$D$3:$D$132,MATCH(H2587,KALENDER!$A$3:$A$132,0)),"Di luar periode")</f>
        <v>Hari Kerja</v>
      </c>
      <c r="N2587" s="71">
        <f t="shared" si="361"/>
        <v>1</v>
      </c>
      <c r="O2587" s="71">
        <f t="shared" si="362"/>
        <v>1</v>
      </c>
      <c r="P2587" s="71">
        <f t="shared" si="363"/>
        <v>1</v>
      </c>
      <c r="Q2587" s="71">
        <f t="shared" si="364"/>
        <v>0</v>
      </c>
      <c r="R2587" s="71">
        <f t="shared" si="365"/>
        <v>0</v>
      </c>
      <c r="S2587" s="71">
        <f t="shared" si="366"/>
        <v>0</v>
      </c>
      <c r="T2587" s="71">
        <f t="shared" si="367"/>
        <v>0</v>
      </c>
      <c r="U2587" s="71">
        <f>IF(AND(N2587=1,V2587=1),IF(COUNTIFS(AKTIVITAS!$B$2:$B$3052,B2587,AKTIVITAS!$E$2:$E$3052,H2587)&gt;0,1,0),0)</f>
        <v>1</v>
      </c>
      <c r="V2587" s="71">
        <f>IFERROR(IF(AND(H2587&gt;=INDEX(PEMAGANG!$J$3:$J$36,MATCH(B2587,PEMAGANG!$C$3:$C$36,0)),H2587&lt;=INDEX(PEMAGANG!$K$3:$K$36,MATCH(B2587,PEMAGANG!$C$3:$C$36,0))),1,0),0)</f>
        <v>1</v>
      </c>
      <c r="W2587" s="71">
        <f t="shared" si="368"/>
        <v>1</v>
      </c>
    </row>
    <row r="2588" spans="1:23" x14ac:dyDescent="0.2">
      <c r="A2588" s="71" t="s">
        <v>193</v>
      </c>
      <c r="B2588" s="71" t="s">
        <v>194</v>
      </c>
      <c r="C2588" s="71" t="s">
        <v>187</v>
      </c>
      <c r="D2588" s="71" t="s">
        <v>185</v>
      </c>
      <c r="E2588" s="71" t="s">
        <v>47</v>
      </c>
      <c r="F2588" s="71" t="s">
        <v>300</v>
      </c>
      <c r="G2588" s="88">
        <v>46258.724814814799</v>
      </c>
      <c r="H2588" s="89">
        <v>46258</v>
      </c>
      <c r="I2588" s="71" t="s">
        <v>357</v>
      </c>
      <c r="J2588" s="71">
        <v>0</v>
      </c>
      <c r="K2588" s="71" t="s">
        <v>302</v>
      </c>
      <c r="L2588" s="71">
        <f t="shared" si="360"/>
        <v>8</v>
      </c>
      <c r="M2588" s="71" t="str">
        <f>IFERROR(INDEX(KALENDER!$D$3:$D$132,MATCH(H2588,KALENDER!$A$3:$A$132,0)),"Di luar periode")</f>
        <v>Hari Kerja</v>
      </c>
      <c r="N2588" s="71">
        <f t="shared" si="361"/>
        <v>0</v>
      </c>
      <c r="O2588" s="71">
        <f t="shared" si="362"/>
        <v>1</v>
      </c>
      <c r="P2588" s="71">
        <f t="shared" si="363"/>
        <v>0</v>
      </c>
      <c r="Q2588" s="71">
        <f t="shared" si="364"/>
        <v>0</v>
      </c>
      <c r="R2588" s="71">
        <f t="shared" si="365"/>
        <v>0</v>
      </c>
      <c r="S2588" s="71">
        <f t="shared" si="366"/>
        <v>0</v>
      </c>
      <c r="T2588" s="71">
        <f t="shared" si="367"/>
        <v>0</v>
      </c>
      <c r="U2588" s="71">
        <f>IF(AND(N2588=1,V2588=1),IF(COUNTIFS(AKTIVITAS!$B$2:$B$3052,B2588,AKTIVITAS!$E$2:$E$3052,H2588)&gt;0,1,0),0)</f>
        <v>0</v>
      </c>
      <c r="V2588" s="71">
        <f>IFERROR(IF(AND(H2588&gt;=INDEX(PEMAGANG!$J$3:$J$36,MATCH(B2588,PEMAGANG!$C$3:$C$36,0)),H2588&lt;=INDEX(PEMAGANG!$K$3:$K$36,MATCH(B2588,PEMAGANG!$C$3:$C$36,0))),1,0),0)</f>
        <v>1</v>
      </c>
      <c r="W2588" s="71">
        <f t="shared" si="368"/>
        <v>0</v>
      </c>
    </row>
    <row r="2589" spans="1:23" x14ac:dyDescent="0.2">
      <c r="A2589" s="71" t="s">
        <v>193</v>
      </c>
      <c r="B2589" s="71" t="s">
        <v>194</v>
      </c>
      <c r="C2589" s="71" t="s">
        <v>187</v>
      </c>
      <c r="D2589" s="71" t="s">
        <v>185</v>
      </c>
      <c r="E2589" s="71" t="s">
        <v>47</v>
      </c>
      <c r="F2589" s="71" t="s">
        <v>298</v>
      </c>
      <c r="G2589" s="88">
        <v>46260.303807870398</v>
      </c>
      <c r="H2589" s="89">
        <v>46260</v>
      </c>
      <c r="I2589" s="71" t="s">
        <v>331</v>
      </c>
      <c r="J2589" s="71">
        <v>-43</v>
      </c>
      <c r="K2589" s="71" t="s">
        <v>302</v>
      </c>
      <c r="L2589" s="71">
        <f t="shared" si="360"/>
        <v>8</v>
      </c>
      <c r="M2589" s="71" t="str">
        <f>IFERROR(INDEX(KALENDER!$D$3:$D$132,MATCH(H2589,KALENDER!$A$3:$A$132,0)),"Di luar periode")</f>
        <v>Hari Kerja</v>
      </c>
      <c r="N2589" s="71">
        <f t="shared" si="361"/>
        <v>1</v>
      </c>
      <c r="O2589" s="71">
        <f t="shared" si="362"/>
        <v>1</v>
      </c>
      <c r="P2589" s="71">
        <f t="shared" si="363"/>
        <v>1</v>
      </c>
      <c r="Q2589" s="71">
        <f t="shared" si="364"/>
        <v>0</v>
      </c>
      <c r="R2589" s="71">
        <f t="shared" si="365"/>
        <v>0</v>
      </c>
      <c r="S2589" s="71">
        <f t="shared" si="366"/>
        <v>0</v>
      </c>
      <c r="T2589" s="71">
        <f t="shared" si="367"/>
        <v>0</v>
      </c>
      <c r="U2589" s="71">
        <f>IF(AND(N2589=1,V2589=1),IF(COUNTIFS(AKTIVITAS!$B$2:$B$3052,B2589,AKTIVITAS!$E$2:$E$3052,H2589)&gt;0,1,0),0)</f>
        <v>1</v>
      </c>
      <c r="V2589" s="71">
        <f>IFERROR(IF(AND(H2589&gt;=INDEX(PEMAGANG!$J$3:$J$36,MATCH(B2589,PEMAGANG!$C$3:$C$36,0)),H2589&lt;=INDEX(PEMAGANG!$K$3:$K$36,MATCH(B2589,PEMAGANG!$C$3:$C$36,0))),1,0),0)</f>
        <v>1</v>
      </c>
      <c r="W2589" s="71">
        <f t="shared" si="368"/>
        <v>1</v>
      </c>
    </row>
    <row r="2590" spans="1:23" x14ac:dyDescent="0.2">
      <c r="A2590" s="71" t="s">
        <v>193</v>
      </c>
      <c r="B2590" s="71" t="s">
        <v>194</v>
      </c>
      <c r="C2590" s="71" t="s">
        <v>187</v>
      </c>
      <c r="D2590" s="71" t="s">
        <v>185</v>
      </c>
      <c r="E2590" s="71" t="s">
        <v>47</v>
      </c>
      <c r="F2590" s="71" t="s">
        <v>300</v>
      </c>
      <c r="G2590" s="88">
        <v>46260.710243055597</v>
      </c>
      <c r="H2590" s="89">
        <v>46260</v>
      </c>
      <c r="I2590" s="71" t="s">
        <v>436</v>
      </c>
      <c r="J2590" s="71">
        <v>0</v>
      </c>
      <c r="K2590" s="71" t="s">
        <v>302</v>
      </c>
      <c r="L2590" s="71">
        <f t="shared" si="360"/>
        <v>8</v>
      </c>
      <c r="M2590" s="71" t="str">
        <f>IFERROR(INDEX(KALENDER!$D$3:$D$132,MATCH(H2590,KALENDER!$A$3:$A$132,0)),"Di luar periode")</f>
        <v>Hari Kerja</v>
      </c>
      <c r="N2590" s="71">
        <f t="shared" si="361"/>
        <v>0</v>
      </c>
      <c r="O2590" s="71">
        <f t="shared" si="362"/>
        <v>1</v>
      </c>
      <c r="P2590" s="71">
        <f t="shared" si="363"/>
        <v>0</v>
      </c>
      <c r="Q2590" s="71">
        <f t="shared" si="364"/>
        <v>0</v>
      </c>
      <c r="R2590" s="71">
        <f t="shared" si="365"/>
        <v>0</v>
      </c>
      <c r="S2590" s="71">
        <f t="shared" si="366"/>
        <v>0</v>
      </c>
      <c r="T2590" s="71">
        <f t="shared" si="367"/>
        <v>0</v>
      </c>
      <c r="U2590" s="71">
        <f>IF(AND(N2590=1,V2590=1),IF(COUNTIFS(AKTIVITAS!$B$2:$B$3052,B2590,AKTIVITAS!$E$2:$E$3052,H2590)&gt;0,1,0),0)</f>
        <v>0</v>
      </c>
      <c r="V2590" s="71">
        <f>IFERROR(IF(AND(H2590&gt;=INDEX(PEMAGANG!$J$3:$J$36,MATCH(B2590,PEMAGANG!$C$3:$C$36,0)),H2590&lt;=INDEX(PEMAGANG!$K$3:$K$36,MATCH(B2590,PEMAGANG!$C$3:$C$36,0))),1,0),0)</f>
        <v>1</v>
      </c>
      <c r="W2590" s="71">
        <f t="shared" si="368"/>
        <v>0</v>
      </c>
    </row>
    <row r="2591" spans="1:23" x14ac:dyDescent="0.2">
      <c r="A2591" s="71" t="s">
        <v>193</v>
      </c>
      <c r="B2591" s="71" t="s">
        <v>194</v>
      </c>
      <c r="C2591" s="71" t="s">
        <v>187</v>
      </c>
      <c r="D2591" s="71" t="s">
        <v>185</v>
      </c>
      <c r="E2591" s="71" t="s">
        <v>47</v>
      </c>
      <c r="F2591" s="71" t="s">
        <v>298</v>
      </c>
      <c r="G2591" s="88">
        <v>46261.306539351899</v>
      </c>
      <c r="H2591" s="89">
        <v>46261</v>
      </c>
      <c r="I2591" s="71" t="s">
        <v>305</v>
      </c>
      <c r="J2591" s="71">
        <v>-39</v>
      </c>
      <c r="K2591" s="71" t="s">
        <v>302</v>
      </c>
      <c r="L2591" s="71">
        <f t="shared" si="360"/>
        <v>8</v>
      </c>
      <c r="M2591" s="71" t="str">
        <f>IFERROR(INDEX(KALENDER!$D$3:$D$132,MATCH(H2591,KALENDER!$A$3:$A$132,0)),"Di luar periode")</f>
        <v>Hari Kerja</v>
      </c>
      <c r="N2591" s="71">
        <f t="shared" si="361"/>
        <v>1</v>
      </c>
      <c r="O2591" s="71">
        <f t="shared" si="362"/>
        <v>1</v>
      </c>
      <c r="P2591" s="71">
        <f t="shared" si="363"/>
        <v>1</v>
      </c>
      <c r="Q2591" s="71">
        <f t="shared" si="364"/>
        <v>0</v>
      </c>
      <c r="R2591" s="71">
        <f t="shared" si="365"/>
        <v>0</v>
      </c>
      <c r="S2591" s="71">
        <f t="shared" si="366"/>
        <v>0</v>
      </c>
      <c r="T2591" s="71">
        <f t="shared" si="367"/>
        <v>0</v>
      </c>
      <c r="U2591" s="71">
        <f>IF(AND(N2591=1,V2591=1),IF(COUNTIFS(AKTIVITAS!$B$2:$B$3052,B2591,AKTIVITAS!$E$2:$E$3052,H2591)&gt;0,1,0),0)</f>
        <v>1</v>
      </c>
      <c r="V2591" s="71">
        <f>IFERROR(IF(AND(H2591&gt;=INDEX(PEMAGANG!$J$3:$J$36,MATCH(B2591,PEMAGANG!$C$3:$C$36,0)),H2591&lt;=INDEX(PEMAGANG!$K$3:$K$36,MATCH(B2591,PEMAGANG!$C$3:$C$36,0))),1,0),0)</f>
        <v>1</v>
      </c>
      <c r="W2591" s="71">
        <f t="shared" si="368"/>
        <v>1</v>
      </c>
    </row>
    <row r="2592" spans="1:23" x14ac:dyDescent="0.2">
      <c r="A2592" s="71" t="s">
        <v>193</v>
      </c>
      <c r="B2592" s="71" t="s">
        <v>194</v>
      </c>
      <c r="C2592" s="71" t="s">
        <v>187</v>
      </c>
      <c r="D2592" s="71" t="s">
        <v>185</v>
      </c>
      <c r="E2592" s="71" t="s">
        <v>47</v>
      </c>
      <c r="F2592" s="71" t="s">
        <v>300</v>
      </c>
      <c r="G2592" s="88">
        <v>46261.717256944401</v>
      </c>
      <c r="H2592" s="89">
        <v>46261</v>
      </c>
      <c r="I2592" s="71" t="s">
        <v>301</v>
      </c>
      <c r="J2592" s="71">
        <v>0</v>
      </c>
      <c r="K2592" s="71" t="s">
        <v>302</v>
      </c>
      <c r="L2592" s="71">
        <f t="shared" si="360"/>
        <v>8</v>
      </c>
      <c r="M2592" s="71" t="str">
        <f>IFERROR(INDEX(KALENDER!$D$3:$D$132,MATCH(H2592,KALENDER!$A$3:$A$132,0)),"Di luar periode")</f>
        <v>Hari Kerja</v>
      </c>
      <c r="N2592" s="71">
        <f t="shared" si="361"/>
        <v>0</v>
      </c>
      <c r="O2592" s="71">
        <f t="shared" si="362"/>
        <v>1</v>
      </c>
      <c r="P2592" s="71">
        <f t="shared" si="363"/>
        <v>0</v>
      </c>
      <c r="Q2592" s="71">
        <f t="shared" si="364"/>
        <v>0</v>
      </c>
      <c r="R2592" s="71">
        <f t="shared" si="365"/>
        <v>0</v>
      </c>
      <c r="S2592" s="71">
        <f t="shared" si="366"/>
        <v>0</v>
      </c>
      <c r="T2592" s="71">
        <f t="shared" si="367"/>
        <v>0</v>
      </c>
      <c r="U2592" s="71">
        <f>IF(AND(N2592=1,V2592=1),IF(COUNTIFS(AKTIVITAS!$B$2:$B$3052,B2592,AKTIVITAS!$E$2:$E$3052,H2592)&gt;0,1,0),0)</f>
        <v>0</v>
      </c>
      <c r="V2592" s="71">
        <f>IFERROR(IF(AND(H2592&gt;=INDEX(PEMAGANG!$J$3:$J$36,MATCH(B2592,PEMAGANG!$C$3:$C$36,0)),H2592&lt;=INDEX(PEMAGANG!$K$3:$K$36,MATCH(B2592,PEMAGANG!$C$3:$C$36,0))),1,0),0)</f>
        <v>1</v>
      </c>
      <c r="W2592" s="71">
        <f t="shared" si="368"/>
        <v>0</v>
      </c>
    </row>
    <row r="2593" spans="1:23" x14ac:dyDescent="0.2">
      <c r="A2593" s="71" t="s">
        <v>193</v>
      </c>
      <c r="B2593" s="71" t="s">
        <v>194</v>
      </c>
      <c r="C2593" s="71" t="s">
        <v>187</v>
      </c>
      <c r="D2593" s="71" t="s">
        <v>185</v>
      </c>
      <c r="E2593" s="71" t="s">
        <v>47</v>
      </c>
      <c r="F2593" s="71" t="s">
        <v>298</v>
      </c>
      <c r="G2593" s="88">
        <v>46262.306226851899</v>
      </c>
      <c r="H2593" s="89">
        <v>46262</v>
      </c>
      <c r="I2593" s="71" t="s">
        <v>329</v>
      </c>
      <c r="J2593" s="71">
        <v>-40</v>
      </c>
      <c r="K2593" s="71" t="s">
        <v>302</v>
      </c>
      <c r="L2593" s="71">
        <f t="shared" si="360"/>
        <v>8</v>
      </c>
      <c r="M2593" s="71" t="str">
        <f>IFERROR(INDEX(KALENDER!$D$3:$D$132,MATCH(H2593,KALENDER!$A$3:$A$132,0)),"Di luar periode")</f>
        <v>Hari Kerja</v>
      </c>
      <c r="N2593" s="71">
        <f t="shared" si="361"/>
        <v>1</v>
      </c>
      <c r="O2593" s="71">
        <f t="shared" si="362"/>
        <v>1</v>
      </c>
      <c r="P2593" s="71">
        <f t="shared" si="363"/>
        <v>1</v>
      </c>
      <c r="Q2593" s="71">
        <f t="shared" si="364"/>
        <v>0</v>
      </c>
      <c r="R2593" s="71">
        <f t="shared" si="365"/>
        <v>0</v>
      </c>
      <c r="S2593" s="71">
        <f t="shared" si="366"/>
        <v>0</v>
      </c>
      <c r="T2593" s="71">
        <f t="shared" si="367"/>
        <v>0</v>
      </c>
      <c r="U2593" s="71">
        <f>IF(AND(N2593=1,V2593=1),IF(COUNTIFS(AKTIVITAS!$B$2:$B$3052,B2593,AKTIVITAS!$E$2:$E$3052,H2593)&gt;0,1,0),0)</f>
        <v>1</v>
      </c>
      <c r="V2593" s="71">
        <f>IFERROR(IF(AND(H2593&gt;=INDEX(PEMAGANG!$J$3:$J$36,MATCH(B2593,PEMAGANG!$C$3:$C$36,0)),H2593&lt;=INDEX(PEMAGANG!$K$3:$K$36,MATCH(B2593,PEMAGANG!$C$3:$C$36,0))),1,0),0)</f>
        <v>1</v>
      </c>
      <c r="W2593" s="71">
        <f t="shared" si="368"/>
        <v>1</v>
      </c>
    </row>
    <row r="2594" spans="1:23" x14ac:dyDescent="0.2">
      <c r="A2594" s="71" t="s">
        <v>193</v>
      </c>
      <c r="B2594" s="71" t="s">
        <v>194</v>
      </c>
      <c r="C2594" s="71" t="s">
        <v>187</v>
      </c>
      <c r="D2594" s="71" t="s">
        <v>185</v>
      </c>
      <c r="E2594" s="71" t="s">
        <v>47</v>
      </c>
      <c r="F2594" s="71" t="s">
        <v>300</v>
      </c>
      <c r="G2594" s="88">
        <v>46262.701620370397</v>
      </c>
      <c r="H2594" s="89">
        <v>46262</v>
      </c>
      <c r="I2594" s="71" t="s">
        <v>334</v>
      </c>
      <c r="J2594" s="71">
        <v>0</v>
      </c>
      <c r="K2594" s="71" t="s">
        <v>302</v>
      </c>
      <c r="L2594" s="71">
        <f t="shared" si="360"/>
        <v>8</v>
      </c>
      <c r="M2594" s="71" t="str">
        <f>IFERROR(INDEX(KALENDER!$D$3:$D$132,MATCH(H2594,KALENDER!$A$3:$A$132,0)),"Di luar periode")</f>
        <v>Hari Kerja</v>
      </c>
      <c r="N2594" s="71">
        <f t="shared" si="361"/>
        <v>0</v>
      </c>
      <c r="O2594" s="71">
        <f t="shared" si="362"/>
        <v>1</v>
      </c>
      <c r="P2594" s="71">
        <f t="shared" si="363"/>
        <v>0</v>
      </c>
      <c r="Q2594" s="71">
        <f t="shared" si="364"/>
        <v>0</v>
      </c>
      <c r="R2594" s="71">
        <f t="shared" si="365"/>
        <v>0</v>
      </c>
      <c r="S2594" s="71">
        <f t="shared" si="366"/>
        <v>0</v>
      </c>
      <c r="T2594" s="71">
        <f t="shared" si="367"/>
        <v>0</v>
      </c>
      <c r="U2594" s="71">
        <f>IF(AND(N2594=1,V2594=1),IF(COUNTIFS(AKTIVITAS!$B$2:$B$3052,B2594,AKTIVITAS!$E$2:$E$3052,H2594)&gt;0,1,0),0)</f>
        <v>0</v>
      </c>
      <c r="V2594" s="71">
        <f>IFERROR(IF(AND(H2594&gt;=INDEX(PEMAGANG!$J$3:$J$36,MATCH(B2594,PEMAGANG!$C$3:$C$36,0)),H2594&lt;=INDEX(PEMAGANG!$K$3:$K$36,MATCH(B2594,PEMAGANG!$C$3:$C$36,0))),1,0),0)</f>
        <v>1</v>
      </c>
      <c r="W2594" s="71">
        <f t="shared" si="368"/>
        <v>0</v>
      </c>
    </row>
    <row r="2595" spans="1:23" x14ac:dyDescent="0.2">
      <c r="A2595" s="71" t="s">
        <v>193</v>
      </c>
      <c r="B2595" s="71" t="s">
        <v>194</v>
      </c>
      <c r="C2595" s="71" t="s">
        <v>187</v>
      </c>
      <c r="D2595" s="71" t="s">
        <v>185</v>
      </c>
      <c r="E2595" s="71" t="s">
        <v>47</v>
      </c>
      <c r="F2595" s="71" t="s">
        <v>298</v>
      </c>
      <c r="G2595" s="88">
        <v>46265.301273148201</v>
      </c>
      <c r="H2595" s="89">
        <v>46265</v>
      </c>
      <c r="I2595" s="71" t="s">
        <v>475</v>
      </c>
      <c r="J2595" s="71">
        <v>-47</v>
      </c>
      <c r="K2595" s="71" t="s">
        <v>302</v>
      </c>
      <c r="L2595" s="71">
        <f t="shared" si="360"/>
        <v>8</v>
      </c>
      <c r="M2595" s="71" t="str">
        <f>IFERROR(INDEX(KALENDER!$D$3:$D$132,MATCH(H2595,KALENDER!$A$3:$A$132,0)),"Di luar periode")</f>
        <v>Hari Kerja</v>
      </c>
      <c r="N2595" s="71">
        <f t="shared" si="361"/>
        <v>1</v>
      </c>
      <c r="O2595" s="71">
        <f t="shared" si="362"/>
        <v>1</v>
      </c>
      <c r="P2595" s="71">
        <f t="shared" si="363"/>
        <v>1</v>
      </c>
      <c r="Q2595" s="71">
        <f t="shared" si="364"/>
        <v>0</v>
      </c>
      <c r="R2595" s="71">
        <f t="shared" si="365"/>
        <v>0</v>
      </c>
      <c r="S2595" s="71">
        <f t="shared" si="366"/>
        <v>0</v>
      </c>
      <c r="T2595" s="71">
        <f t="shared" si="367"/>
        <v>0</v>
      </c>
      <c r="U2595" s="71">
        <f>IF(AND(N2595=1,V2595=1),IF(COUNTIFS(AKTIVITAS!$B$2:$B$3052,B2595,AKTIVITAS!$E$2:$E$3052,H2595)&gt;0,1,0),0)</f>
        <v>1</v>
      </c>
      <c r="V2595" s="71">
        <f>IFERROR(IF(AND(H2595&gt;=INDEX(PEMAGANG!$J$3:$J$36,MATCH(B2595,PEMAGANG!$C$3:$C$36,0)),H2595&lt;=INDEX(PEMAGANG!$K$3:$K$36,MATCH(B2595,PEMAGANG!$C$3:$C$36,0))),1,0),0)</f>
        <v>1</v>
      </c>
      <c r="W2595" s="71">
        <f t="shared" si="368"/>
        <v>1</v>
      </c>
    </row>
    <row r="2596" spans="1:23" x14ac:dyDescent="0.2">
      <c r="A2596" s="71" t="s">
        <v>193</v>
      </c>
      <c r="B2596" s="71" t="s">
        <v>194</v>
      </c>
      <c r="C2596" s="71" t="s">
        <v>187</v>
      </c>
      <c r="D2596" s="71" t="s">
        <v>185</v>
      </c>
      <c r="E2596" s="71" t="s">
        <v>47</v>
      </c>
      <c r="F2596" s="71" t="s">
        <v>300</v>
      </c>
      <c r="G2596" s="88">
        <v>46265.689525463</v>
      </c>
      <c r="H2596" s="89">
        <v>46265</v>
      </c>
      <c r="I2596" s="71" t="s">
        <v>306</v>
      </c>
      <c r="J2596" s="71">
        <v>0</v>
      </c>
      <c r="K2596" s="71" t="s">
        <v>302</v>
      </c>
      <c r="L2596" s="71">
        <f t="shared" si="360"/>
        <v>8</v>
      </c>
      <c r="M2596" s="71" t="str">
        <f>IFERROR(INDEX(KALENDER!$D$3:$D$132,MATCH(H2596,KALENDER!$A$3:$A$132,0)),"Di luar periode")</f>
        <v>Hari Kerja</v>
      </c>
      <c r="N2596" s="71">
        <f t="shared" si="361"/>
        <v>0</v>
      </c>
      <c r="O2596" s="71">
        <f t="shared" si="362"/>
        <v>1</v>
      </c>
      <c r="P2596" s="71">
        <f t="shared" si="363"/>
        <v>0</v>
      </c>
      <c r="Q2596" s="71">
        <f t="shared" si="364"/>
        <v>0</v>
      </c>
      <c r="R2596" s="71">
        <f t="shared" si="365"/>
        <v>0</v>
      </c>
      <c r="S2596" s="71">
        <f t="shared" si="366"/>
        <v>0</v>
      </c>
      <c r="T2596" s="71">
        <f t="shared" si="367"/>
        <v>0</v>
      </c>
      <c r="U2596" s="71">
        <f>IF(AND(N2596=1,V2596=1),IF(COUNTIFS(AKTIVITAS!$B$2:$B$3052,B2596,AKTIVITAS!$E$2:$E$3052,H2596)&gt;0,1,0),0)</f>
        <v>0</v>
      </c>
      <c r="V2596" s="71">
        <f>IFERROR(IF(AND(H2596&gt;=INDEX(PEMAGANG!$J$3:$J$36,MATCH(B2596,PEMAGANG!$C$3:$C$36,0)),H2596&lt;=INDEX(PEMAGANG!$K$3:$K$36,MATCH(B2596,PEMAGANG!$C$3:$C$36,0))),1,0),0)</f>
        <v>1</v>
      </c>
      <c r="W2596" s="71">
        <f t="shared" si="368"/>
        <v>0</v>
      </c>
    </row>
    <row r="2597" spans="1:23" x14ac:dyDescent="0.2">
      <c r="A2597" s="71" t="s">
        <v>193</v>
      </c>
      <c r="B2597" s="71" t="s">
        <v>194</v>
      </c>
      <c r="C2597" s="71" t="s">
        <v>187</v>
      </c>
      <c r="D2597" s="71" t="s">
        <v>185</v>
      </c>
      <c r="E2597" s="71" t="s">
        <v>47</v>
      </c>
      <c r="F2597" s="71" t="s">
        <v>298</v>
      </c>
      <c r="G2597" s="88">
        <v>46266.307372685202</v>
      </c>
      <c r="H2597" s="89">
        <v>46266</v>
      </c>
      <c r="I2597" s="71" t="s">
        <v>313</v>
      </c>
      <c r="J2597" s="71">
        <v>-38</v>
      </c>
      <c r="K2597" s="71" t="s">
        <v>302</v>
      </c>
      <c r="L2597" s="71">
        <f t="shared" si="360"/>
        <v>9</v>
      </c>
      <c r="M2597" s="71" t="str">
        <f>IFERROR(INDEX(KALENDER!$D$3:$D$132,MATCH(H2597,KALENDER!$A$3:$A$132,0)),"Di luar periode")</f>
        <v>Hari Kerja</v>
      </c>
      <c r="N2597" s="71">
        <f t="shared" si="361"/>
        <v>1</v>
      </c>
      <c r="O2597" s="71">
        <f t="shared" si="362"/>
        <v>1</v>
      </c>
      <c r="P2597" s="71">
        <f t="shared" si="363"/>
        <v>1</v>
      </c>
      <c r="Q2597" s="71">
        <f t="shared" si="364"/>
        <v>0</v>
      </c>
      <c r="R2597" s="71">
        <f t="shared" si="365"/>
        <v>0</v>
      </c>
      <c r="S2597" s="71">
        <f t="shared" si="366"/>
        <v>0</v>
      </c>
      <c r="T2597" s="71">
        <f t="shared" si="367"/>
        <v>0</v>
      </c>
      <c r="U2597" s="71">
        <f>IF(AND(N2597=1,V2597=1),IF(COUNTIFS(AKTIVITAS!$B$2:$B$3052,B2597,AKTIVITAS!$E$2:$E$3052,H2597)&gt;0,1,0),0)</f>
        <v>1</v>
      </c>
      <c r="V2597" s="71">
        <f>IFERROR(IF(AND(H2597&gt;=INDEX(PEMAGANG!$J$3:$J$36,MATCH(B2597,PEMAGANG!$C$3:$C$36,0)),H2597&lt;=INDEX(PEMAGANG!$K$3:$K$36,MATCH(B2597,PEMAGANG!$C$3:$C$36,0))),1,0),0)</f>
        <v>1</v>
      </c>
      <c r="W2597" s="71">
        <f t="shared" si="368"/>
        <v>1</v>
      </c>
    </row>
    <row r="2598" spans="1:23" x14ac:dyDescent="0.2">
      <c r="A2598" s="71" t="s">
        <v>193</v>
      </c>
      <c r="B2598" s="71" t="s">
        <v>194</v>
      </c>
      <c r="C2598" s="71" t="s">
        <v>187</v>
      </c>
      <c r="D2598" s="71" t="s">
        <v>185</v>
      </c>
      <c r="E2598" s="71" t="s">
        <v>47</v>
      </c>
      <c r="F2598" s="71" t="s">
        <v>300</v>
      </c>
      <c r="G2598" s="88">
        <v>46266.709652777798</v>
      </c>
      <c r="H2598" s="89">
        <v>46266</v>
      </c>
      <c r="I2598" s="71" t="s">
        <v>333</v>
      </c>
      <c r="J2598" s="71">
        <v>0</v>
      </c>
      <c r="K2598" s="71" t="s">
        <v>302</v>
      </c>
      <c r="L2598" s="71">
        <f t="shared" si="360"/>
        <v>9</v>
      </c>
      <c r="M2598" s="71" t="str">
        <f>IFERROR(INDEX(KALENDER!$D$3:$D$132,MATCH(H2598,KALENDER!$A$3:$A$132,0)),"Di luar periode")</f>
        <v>Hari Kerja</v>
      </c>
      <c r="N2598" s="71">
        <f t="shared" si="361"/>
        <v>0</v>
      </c>
      <c r="O2598" s="71">
        <f t="shared" si="362"/>
        <v>1</v>
      </c>
      <c r="P2598" s="71">
        <f t="shared" si="363"/>
        <v>0</v>
      </c>
      <c r="Q2598" s="71">
        <f t="shared" si="364"/>
        <v>0</v>
      </c>
      <c r="R2598" s="71">
        <f t="shared" si="365"/>
        <v>0</v>
      </c>
      <c r="S2598" s="71">
        <f t="shared" si="366"/>
        <v>0</v>
      </c>
      <c r="T2598" s="71">
        <f t="shared" si="367"/>
        <v>0</v>
      </c>
      <c r="U2598" s="71">
        <f>IF(AND(N2598=1,V2598=1),IF(COUNTIFS(AKTIVITAS!$B$2:$B$3052,B2598,AKTIVITAS!$E$2:$E$3052,H2598)&gt;0,1,0),0)</f>
        <v>0</v>
      </c>
      <c r="V2598" s="71">
        <f>IFERROR(IF(AND(H2598&gt;=INDEX(PEMAGANG!$J$3:$J$36,MATCH(B2598,PEMAGANG!$C$3:$C$36,0)),H2598&lt;=INDEX(PEMAGANG!$K$3:$K$36,MATCH(B2598,PEMAGANG!$C$3:$C$36,0))),1,0),0)</f>
        <v>1</v>
      </c>
      <c r="W2598" s="71">
        <f t="shared" si="368"/>
        <v>0</v>
      </c>
    </row>
    <row r="2599" spans="1:23" x14ac:dyDescent="0.2">
      <c r="A2599" s="71" t="s">
        <v>193</v>
      </c>
      <c r="B2599" s="71" t="s">
        <v>194</v>
      </c>
      <c r="C2599" s="71" t="s">
        <v>187</v>
      </c>
      <c r="D2599" s="71" t="s">
        <v>185</v>
      </c>
      <c r="E2599" s="71" t="s">
        <v>47</v>
      </c>
      <c r="F2599" s="71" t="s">
        <v>298</v>
      </c>
      <c r="G2599" s="88">
        <v>46267.3042361111</v>
      </c>
      <c r="H2599" s="89">
        <v>46267</v>
      </c>
      <c r="I2599" s="71" t="s">
        <v>326</v>
      </c>
      <c r="J2599" s="71">
        <v>-42</v>
      </c>
      <c r="K2599" s="71" t="s">
        <v>302</v>
      </c>
      <c r="L2599" s="71">
        <f t="shared" si="360"/>
        <v>9</v>
      </c>
      <c r="M2599" s="71" t="str">
        <f>IFERROR(INDEX(KALENDER!$D$3:$D$132,MATCH(H2599,KALENDER!$A$3:$A$132,0)),"Di luar periode")</f>
        <v>Hari Kerja</v>
      </c>
      <c r="N2599" s="71">
        <f t="shared" si="361"/>
        <v>1</v>
      </c>
      <c r="O2599" s="71">
        <f t="shared" si="362"/>
        <v>1</v>
      </c>
      <c r="P2599" s="71">
        <f t="shared" si="363"/>
        <v>1</v>
      </c>
      <c r="Q2599" s="71">
        <f t="shared" si="364"/>
        <v>0</v>
      </c>
      <c r="R2599" s="71">
        <f t="shared" si="365"/>
        <v>0</v>
      </c>
      <c r="S2599" s="71">
        <f t="shared" si="366"/>
        <v>0</v>
      </c>
      <c r="T2599" s="71">
        <f t="shared" si="367"/>
        <v>0</v>
      </c>
      <c r="U2599" s="71">
        <f>IF(AND(N2599=1,V2599=1),IF(COUNTIFS(AKTIVITAS!$B$2:$B$3052,B2599,AKTIVITAS!$E$2:$E$3052,H2599)&gt;0,1,0),0)</f>
        <v>1</v>
      </c>
      <c r="V2599" s="71">
        <f>IFERROR(IF(AND(H2599&gt;=INDEX(PEMAGANG!$J$3:$J$36,MATCH(B2599,PEMAGANG!$C$3:$C$36,0)),H2599&lt;=INDEX(PEMAGANG!$K$3:$K$36,MATCH(B2599,PEMAGANG!$C$3:$C$36,0))),1,0),0)</f>
        <v>1</v>
      </c>
      <c r="W2599" s="71">
        <f t="shared" si="368"/>
        <v>1</v>
      </c>
    </row>
    <row r="2600" spans="1:23" x14ac:dyDescent="0.2">
      <c r="A2600" s="71" t="s">
        <v>193</v>
      </c>
      <c r="B2600" s="71" t="s">
        <v>194</v>
      </c>
      <c r="C2600" s="71" t="s">
        <v>187</v>
      </c>
      <c r="D2600" s="71" t="s">
        <v>185</v>
      </c>
      <c r="E2600" s="71" t="s">
        <v>47</v>
      </c>
      <c r="F2600" s="71" t="s">
        <v>300</v>
      </c>
      <c r="G2600" s="88">
        <v>46267.709166666697</v>
      </c>
      <c r="H2600" s="89">
        <v>46267</v>
      </c>
      <c r="I2600" s="71" t="s">
        <v>333</v>
      </c>
      <c r="J2600" s="71">
        <v>0</v>
      </c>
      <c r="K2600" s="71" t="s">
        <v>302</v>
      </c>
      <c r="L2600" s="71">
        <f t="shared" si="360"/>
        <v>9</v>
      </c>
      <c r="M2600" s="71" t="str">
        <f>IFERROR(INDEX(KALENDER!$D$3:$D$132,MATCH(H2600,KALENDER!$A$3:$A$132,0)),"Di luar periode")</f>
        <v>Hari Kerja</v>
      </c>
      <c r="N2600" s="71">
        <f t="shared" si="361"/>
        <v>0</v>
      </c>
      <c r="O2600" s="71">
        <f t="shared" si="362"/>
        <v>1</v>
      </c>
      <c r="P2600" s="71">
        <f t="shared" si="363"/>
        <v>0</v>
      </c>
      <c r="Q2600" s="71">
        <f t="shared" si="364"/>
        <v>0</v>
      </c>
      <c r="R2600" s="71">
        <f t="shared" si="365"/>
        <v>0</v>
      </c>
      <c r="S2600" s="71">
        <f t="shared" si="366"/>
        <v>0</v>
      </c>
      <c r="T2600" s="71">
        <f t="shared" si="367"/>
        <v>0</v>
      </c>
      <c r="U2600" s="71">
        <f>IF(AND(N2600=1,V2600=1),IF(COUNTIFS(AKTIVITAS!$B$2:$B$3052,B2600,AKTIVITAS!$E$2:$E$3052,H2600)&gt;0,1,0),0)</f>
        <v>0</v>
      </c>
      <c r="V2600" s="71">
        <f>IFERROR(IF(AND(H2600&gt;=INDEX(PEMAGANG!$J$3:$J$36,MATCH(B2600,PEMAGANG!$C$3:$C$36,0)),H2600&lt;=INDEX(PEMAGANG!$K$3:$K$36,MATCH(B2600,PEMAGANG!$C$3:$C$36,0))),1,0),0)</f>
        <v>1</v>
      </c>
      <c r="W2600" s="71">
        <f t="shared" si="368"/>
        <v>0</v>
      </c>
    </row>
    <row r="2601" spans="1:23" x14ac:dyDescent="0.2">
      <c r="A2601" s="71" t="s">
        <v>193</v>
      </c>
      <c r="B2601" s="71" t="s">
        <v>194</v>
      </c>
      <c r="C2601" s="71" t="s">
        <v>187</v>
      </c>
      <c r="D2601" s="71" t="s">
        <v>185</v>
      </c>
      <c r="E2601" s="71" t="s">
        <v>47</v>
      </c>
      <c r="F2601" s="71" t="s">
        <v>298</v>
      </c>
      <c r="G2601" s="88">
        <v>46268.306238425903</v>
      </c>
      <c r="H2601" s="89">
        <v>46268</v>
      </c>
      <c r="I2601" s="71" t="s">
        <v>329</v>
      </c>
      <c r="J2601" s="71">
        <v>-40</v>
      </c>
      <c r="K2601" s="71" t="s">
        <v>302</v>
      </c>
      <c r="L2601" s="71">
        <f t="shared" si="360"/>
        <v>9</v>
      </c>
      <c r="M2601" s="71" t="str">
        <f>IFERROR(INDEX(KALENDER!$D$3:$D$132,MATCH(H2601,KALENDER!$A$3:$A$132,0)),"Di luar periode")</f>
        <v>Hari Kerja</v>
      </c>
      <c r="N2601" s="71">
        <f t="shared" si="361"/>
        <v>1</v>
      </c>
      <c r="O2601" s="71">
        <f t="shared" si="362"/>
        <v>1</v>
      </c>
      <c r="P2601" s="71">
        <f t="shared" si="363"/>
        <v>1</v>
      </c>
      <c r="Q2601" s="71">
        <f t="shared" si="364"/>
        <v>0</v>
      </c>
      <c r="R2601" s="71">
        <f t="shared" si="365"/>
        <v>0</v>
      </c>
      <c r="S2601" s="71">
        <f t="shared" si="366"/>
        <v>0</v>
      </c>
      <c r="T2601" s="71">
        <f t="shared" si="367"/>
        <v>0</v>
      </c>
      <c r="U2601" s="71">
        <f>IF(AND(N2601=1,V2601=1),IF(COUNTIFS(AKTIVITAS!$B$2:$B$3052,B2601,AKTIVITAS!$E$2:$E$3052,H2601)&gt;0,1,0),0)</f>
        <v>1</v>
      </c>
      <c r="V2601" s="71">
        <f>IFERROR(IF(AND(H2601&gt;=INDEX(PEMAGANG!$J$3:$J$36,MATCH(B2601,PEMAGANG!$C$3:$C$36,0)),H2601&lt;=INDEX(PEMAGANG!$K$3:$K$36,MATCH(B2601,PEMAGANG!$C$3:$C$36,0))),1,0),0)</f>
        <v>1</v>
      </c>
      <c r="W2601" s="71">
        <f t="shared" si="368"/>
        <v>1</v>
      </c>
    </row>
    <row r="2602" spans="1:23" x14ac:dyDescent="0.2">
      <c r="A2602" s="71" t="s">
        <v>193</v>
      </c>
      <c r="B2602" s="71" t="s">
        <v>194</v>
      </c>
      <c r="C2602" s="71" t="s">
        <v>187</v>
      </c>
      <c r="D2602" s="71" t="s">
        <v>185</v>
      </c>
      <c r="E2602" s="71" t="s">
        <v>47</v>
      </c>
      <c r="F2602" s="71" t="s">
        <v>300</v>
      </c>
      <c r="G2602" s="88">
        <v>46268.693981481498</v>
      </c>
      <c r="H2602" s="89">
        <v>46268</v>
      </c>
      <c r="I2602" s="71" t="s">
        <v>308</v>
      </c>
      <c r="J2602" s="71">
        <v>0</v>
      </c>
      <c r="K2602" s="71" t="s">
        <v>302</v>
      </c>
      <c r="L2602" s="71">
        <f t="shared" si="360"/>
        <v>9</v>
      </c>
      <c r="M2602" s="71" t="str">
        <f>IFERROR(INDEX(KALENDER!$D$3:$D$132,MATCH(H2602,KALENDER!$A$3:$A$132,0)),"Di luar periode")</f>
        <v>Hari Kerja</v>
      </c>
      <c r="N2602" s="71">
        <f t="shared" si="361"/>
        <v>0</v>
      </c>
      <c r="O2602" s="71">
        <f t="shared" si="362"/>
        <v>1</v>
      </c>
      <c r="P2602" s="71">
        <f t="shared" si="363"/>
        <v>0</v>
      </c>
      <c r="Q2602" s="71">
        <f t="shared" si="364"/>
        <v>0</v>
      </c>
      <c r="R2602" s="71">
        <f t="shared" si="365"/>
        <v>0</v>
      </c>
      <c r="S2602" s="71">
        <f t="shared" si="366"/>
        <v>0</v>
      </c>
      <c r="T2602" s="71">
        <f t="shared" si="367"/>
        <v>0</v>
      </c>
      <c r="U2602" s="71">
        <f>IF(AND(N2602=1,V2602=1),IF(COUNTIFS(AKTIVITAS!$B$2:$B$3052,B2602,AKTIVITAS!$E$2:$E$3052,H2602)&gt;0,1,0),0)</f>
        <v>0</v>
      </c>
      <c r="V2602" s="71">
        <f>IFERROR(IF(AND(H2602&gt;=INDEX(PEMAGANG!$J$3:$J$36,MATCH(B2602,PEMAGANG!$C$3:$C$36,0)),H2602&lt;=INDEX(PEMAGANG!$K$3:$K$36,MATCH(B2602,PEMAGANG!$C$3:$C$36,0))),1,0),0)</f>
        <v>1</v>
      </c>
      <c r="W2602" s="71">
        <f t="shared" si="368"/>
        <v>0</v>
      </c>
    </row>
    <row r="2603" spans="1:23" x14ac:dyDescent="0.2">
      <c r="A2603" s="71" t="s">
        <v>193</v>
      </c>
      <c r="B2603" s="71" t="s">
        <v>194</v>
      </c>
      <c r="C2603" s="71" t="s">
        <v>187</v>
      </c>
      <c r="D2603" s="71" t="s">
        <v>185</v>
      </c>
      <c r="E2603" s="71" t="s">
        <v>47</v>
      </c>
      <c r="F2603" s="71" t="s">
        <v>300</v>
      </c>
      <c r="G2603" s="88">
        <v>46269.711134259298</v>
      </c>
      <c r="H2603" s="89">
        <v>46269</v>
      </c>
      <c r="I2603" s="71" t="s">
        <v>378</v>
      </c>
      <c r="J2603" s="71">
        <v>0</v>
      </c>
      <c r="K2603" s="71" t="s">
        <v>302</v>
      </c>
      <c r="L2603" s="71">
        <f t="shared" si="360"/>
        <v>9</v>
      </c>
      <c r="M2603" s="71" t="str">
        <f>IFERROR(INDEX(KALENDER!$D$3:$D$132,MATCH(H2603,KALENDER!$A$3:$A$132,0)),"Di luar periode")</f>
        <v>Hari Kerja</v>
      </c>
      <c r="N2603" s="71">
        <f t="shared" si="361"/>
        <v>1</v>
      </c>
      <c r="O2603" s="71">
        <f t="shared" si="362"/>
        <v>0</v>
      </c>
      <c r="P2603" s="71">
        <f t="shared" si="363"/>
        <v>1</v>
      </c>
      <c r="Q2603" s="71">
        <f t="shared" si="364"/>
        <v>0</v>
      </c>
      <c r="R2603" s="71">
        <f t="shared" si="365"/>
        <v>0</v>
      </c>
      <c r="S2603" s="71">
        <f t="shared" si="366"/>
        <v>0</v>
      </c>
      <c r="T2603" s="71">
        <f t="shared" si="367"/>
        <v>0</v>
      </c>
      <c r="U2603" s="71">
        <f>IF(AND(N2603=1,V2603=1),IF(COUNTIFS(AKTIVITAS!$B$2:$B$3052,B2603,AKTIVITAS!$E$2:$E$3052,H2603)&gt;0,1,0),0)</f>
        <v>1</v>
      </c>
      <c r="V2603" s="71">
        <f>IFERROR(IF(AND(H2603&gt;=INDEX(PEMAGANG!$J$3:$J$36,MATCH(B2603,PEMAGANG!$C$3:$C$36,0)),H2603&lt;=INDEX(PEMAGANG!$K$3:$K$36,MATCH(B2603,PEMAGANG!$C$3:$C$36,0))),1,0),0)</f>
        <v>1</v>
      </c>
      <c r="W2603" s="71">
        <f t="shared" si="368"/>
        <v>1</v>
      </c>
    </row>
    <row r="2604" spans="1:23" x14ac:dyDescent="0.2">
      <c r="A2604" s="71" t="s">
        <v>193</v>
      </c>
      <c r="B2604" s="71" t="s">
        <v>194</v>
      </c>
      <c r="C2604" s="71" t="s">
        <v>187</v>
      </c>
      <c r="D2604" s="71" t="s">
        <v>185</v>
      </c>
      <c r="E2604" s="71" t="s">
        <v>47</v>
      </c>
      <c r="F2604" s="71" t="s">
        <v>298</v>
      </c>
      <c r="G2604" s="88">
        <v>46272.276851851901</v>
      </c>
      <c r="H2604" s="89">
        <v>46272</v>
      </c>
      <c r="I2604" s="71" t="s">
        <v>500</v>
      </c>
      <c r="J2604" s="71">
        <v>-82</v>
      </c>
      <c r="K2604" s="71" t="s">
        <v>302</v>
      </c>
      <c r="L2604" s="71">
        <f t="shared" si="360"/>
        <v>9</v>
      </c>
      <c r="M2604" s="71" t="str">
        <f>IFERROR(INDEX(KALENDER!$D$3:$D$132,MATCH(H2604,KALENDER!$A$3:$A$132,0)),"Di luar periode")</f>
        <v>Hari Kerja</v>
      </c>
      <c r="N2604" s="71">
        <f t="shared" si="361"/>
        <v>1</v>
      </c>
      <c r="O2604" s="71">
        <f t="shared" si="362"/>
        <v>1</v>
      </c>
      <c r="P2604" s="71">
        <f t="shared" si="363"/>
        <v>1</v>
      </c>
      <c r="Q2604" s="71">
        <f t="shared" si="364"/>
        <v>0</v>
      </c>
      <c r="R2604" s="71">
        <f t="shared" si="365"/>
        <v>0</v>
      </c>
      <c r="S2604" s="71">
        <f t="shared" si="366"/>
        <v>0</v>
      </c>
      <c r="T2604" s="71">
        <f t="shared" si="367"/>
        <v>0</v>
      </c>
      <c r="U2604" s="71">
        <f>IF(AND(N2604=1,V2604=1),IF(COUNTIFS(AKTIVITAS!$B$2:$B$3052,B2604,AKTIVITAS!$E$2:$E$3052,H2604)&gt;0,1,0),0)</f>
        <v>1</v>
      </c>
      <c r="V2604" s="71">
        <f>IFERROR(IF(AND(H2604&gt;=INDEX(PEMAGANG!$J$3:$J$36,MATCH(B2604,PEMAGANG!$C$3:$C$36,0)),H2604&lt;=INDEX(PEMAGANG!$K$3:$K$36,MATCH(B2604,PEMAGANG!$C$3:$C$36,0))),1,0),0)</f>
        <v>1</v>
      </c>
      <c r="W2604" s="71">
        <f t="shared" si="368"/>
        <v>1</v>
      </c>
    </row>
    <row r="2605" spans="1:23" x14ac:dyDescent="0.2">
      <c r="A2605" s="71" t="s">
        <v>193</v>
      </c>
      <c r="B2605" s="71" t="s">
        <v>194</v>
      </c>
      <c r="C2605" s="71" t="s">
        <v>187</v>
      </c>
      <c r="D2605" s="71" t="s">
        <v>185</v>
      </c>
      <c r="E2605" s="71" t="s">
        <v>47</v>
      </c>
      <c r="F2605" s="71" t="s">
        <v>300</v>
      </c>
      <c r="G2605" s="88">
        <v>46272.714513888903</v>
      </c>
      <c r="H2605" s="89">
        <v>46272</v>
      </c>
      <c r="I2605" s="71" t="s">
        <v>401</v>
      </c>
      <c r="J2605" s="71">
        <v>0</v>
      </c>
      <c r="K2605" s="71" t="s">
        <v>302</v>
      </c>
      <c r="L2605" s="71">
        <f t="shared" si="360"/>
        <v>9</v>
      </c>
      <c r="M2605" s="71" t="str">
        <f>IFERROR(INDEX(KALENDER!$D$3:$D$132,MATCH(H2605,KALENDER!$A$3:$A$132,0)),"Di luar periode")</f>
        <v>Hari Kerja</v>
      </c>
      <c r="N2605" s="71">
        <f t="shared" si="361"/>
        <v>0</v>
      </c>
      <c r="O2605" s="71">
        <f t="shared" si="362"/>
        <v>1</v>
      </c>
      <c r="P2605" s="71">
        <f t="shared" si="363"/>
        <v>0</v>
      </c>
      <c r="Q2605" s="71">
        <f t="shared" si="364"/>
        <v>0</v>
      </c>
      <c r="R2605" s="71">
        <f t="shared" si="365"/>
        <v>0</v>
      </c>
      <c r="S2605" s="71">
        <f t="shared" si="366"/>
        <v>0</v>
      </c>
      <c r="T2605" s="71">
        <f t="shared" si="367"/>
        <v>0</v>
      </c>
      <c r="U2605" s="71">
        <f>IF(AND(N2605=1,V2605=1),IF(COUNTIFS(AKTIVITAS!$B$2:$B$3052,B2605,AKTIVITAS!$E$2:$E$3052,H2605)&gt;0,1,0),0)</f>
        <v>0</v>
      </c>
      <c r="V2605" s="71">
        <f>IFERROR(IF(AND(H2605&gt;=INDEX(PEMAGANG!$J$3:$J$36,MATCH(B2605,PEMAGANG!$C$3:$C$36,0)),H2605&lt;=INDEX(PEMAGANG!$K$3:$K$36,MATCH(B2605,PEMAGANG!$C$3:$C$36,0))),1,0),0)</f>
        <v>1</v>
      </c>
      <c r="W2605" s="71">
        <f t="shared" si="368"/>
        <v>0</v>
      </c>
    </row>
    <row r="2606" spans="1:23" x14ac:dyDescent="0.2">
      <c r="A2606" s="71" t="s">
        <v>193</v>
      </c>
      <c r="B2606" s="71" t="s">
        <v>194</v>
      </c>
      <c r="C2606" s="71" t="s">
        <v>187</v>
      </c>
      <c r="D2606" s="71" t="s">
        <v>185</v>
      </c>
      <c r="E2606" s="71" t="s">
        <v>47</v>
      </c>
      <c r="F2606" s="71" t="s">
        <v>298</v>
      </c>
      <c r="G2606" s="88">
        <v>46273.309409722198</v>
      </c>
      <c r="H2606" s="89">
        <v>46273</v>
      </c>
      <c r="I2606" s="71" t="s">
        <v>307</v>
      </c>
      <c r="J2606" s="71">
        <v>-35</v>
      </c>
      <c r="K2606" s="71" t="s">
        <v>302</v>
      </c>
      <c r="L2606" s="71">
        <f t="shared" si="360"/>
        <v>9</v>
      </c>
      <c r="M2606" s="71" t="str">
        <f>IFERROR(INDEX(KALENDER!$D$3:$D$132,MATCH(H2606,KALENDER!$A$3:$A$132,0)),"Di luar periode")</f>
        <v>Hari Kerja</v>
      </c>
      <c r="N2606" s="71">
        <f t="shared" si="361"/>
        <v>1</v>
      </c>
      <c r="O2606" s="71">
        <f t="shared" si="362"/>
        <v>1</v>
      </c>
      <c r="P2606" s="71">
        <f t="shared" si="363"/>
        <v>1</v>
      </c>
      <c r="Q2606" s="71">
        <f t="shared" si="364"/>
        <v>0</v>
      </c>
      <c r="R2606" s="71">
        <f t="shared" si="365"/>
        <v>0</v>
      </c>
      <c r="S2606" s="71">
        <f t="shared" si="366"/>
        <v>0</v>
      </c>
      <c r="T2606" s="71">
        <f t="shared" si="367"/>
        <v>0</v>
      </c>
      <c r="U2606" s="71">
        <f>IF(AND(N2606=1,V2606=1),IF(COUNTIFS(AKTIVITAS!$B$2:$B$3052,B2606,AKTIVITAS!$E$2:$E$3052,H2606)&gt;0,1,0),0)</f>
        <v>1</v>
      </c>
      <c r="V2606" s="71">
        <f>IFERROR(IF(AND(H2606&gt;=INDEX(PEMAGANG!$J$3:$J$36,MATCH(B2606,PEMAGANG!$C$3:$C$36,0)),H2606&lt;=INDEX(PEMAGANG!$K$3:$K$36,MATCH(B2606,PEMAGANG!$C$3:$C$36,0))),1,0),0)</f>
        <v>1</v>
      </c>
      <c r="W2606" s="71">
        <f t="shared" si="368"/>
        <v>1</v>
      </c>
    </row>
    <row r="2607" spans="1:23" x14ac:dyDescent="0.2">
      <c r="A2607" s="71" t="s">
        <v>193</v>
      </c>
      <c r="B2607" s="71" t="s">
        <v>194</v>
      </c>
      <c r="C2607" s="71" t="s">
        <v>187</v>
      </c>
      <c r="D2607" s="71" t="s">
        <v>185</v>
      </c>
      <c r="E2607" s="71" t="s">
        <v>47</v>
      </c>
      <c r="F2607" s="71" t="s">
        <v>300</v>
      </c>
      <c r="G2607" s="88">
        <v>46273.721261574101</v>
      </c>
      <c r="H2607" s="89">
        <v>46273</v>
      </c>
      <c r="I2607" s="71" t="s">
        <v>473</v>
      </c>
      <c r="J2607" s="71">
        <v>0</v>
      </c>
      <c r="K2607" s="71" t="s">
        <v>302</v>
      </c>
      <c r="L2607" s="71">
        <f t="shared" si="360"/>
        <v>9</v>
      </c>
      <c r="M2607" s="71" t="str">
        <f>IFERROR(INDEX(KALENDER!$D$3:$D$132,MATCH(H2607,KALENDER!$A$3:$A$132,0)),"Di luar periode")</f>
        <v>Hari Kerja</v>
      </c>
      <c r="N2607" s="71">
        <f t="shared" si="361"/>
        <v>0</v>
      </c>
      <c r="O2607" s="71">
        <f t="shared" si="362"/>
        <v>1</v>
      </c>
      <c r="P2607" s="71">
        <f t="shared" si="363"/>
        <v>0</v>
      </c>
      <c r="Q2607" s="71">
        <f t="shared" si="364"/>
        <v>0</v>
      </c>
      <c r="R2607" s="71">
        <f t="shared" si="365"/>
        <v>0</v>
      </c>
      <c r="S2607" s="71">
        <f t="shared" si="366"/>
        <v>0</v>
      </c>
      <c r="T2607" s="71">
        <f t="shared" si="367"/>
        <v>0</v>
      </c>
      <c r="U2607" s="71">
        <f>IF(AND(N2607=1,V2607=1),IF(COUNTIFS(AKTIVITAS!$B$2:$B$3052,B2607,AKTIVITAS!$E$2:$E$3052,H2607)&gt;0,1,0),0)</f>
        <v>0</v>
      </c>
      <c r="V2607" s="71">
        <f>IFERROR(IF(AND(H2607&gt;=INDEX(PEMAGANG!$J$3:$J$36,MATCH(B2607,PEMAGANG!$C$3:$C$36,0)),H2607&lt;=INDEX(PEMAGANG!$K$3:$K$36,MATCH(B2607,PEMAGANG!$C$3:$C$36,0))),1,0),0)</f>
        <v>1</v>
      </c>
      <c r="W2607" s="71">
        <f t="shared" si="368"/>
        <v>0</v>
      </c>
    </row>
    <row r="2608" spans="1:23" x14ac:dyDescent="0.2">
      <c r="A2608" s="71" t="s">
        <v>193</v>
      </c>
      <c r="B2608" s="71" t="s">
        <v>194</v>
      </c>
      <c r="C2608" s="71" t="s">
        <v>187</v>
      </c>
      <c r="D2608" s="71" t="s">
        <v>185</v>
      </c>
      <c r="E2608" s="71" t="s">
        <v>47</v>
      </c>
      <c r="F2608" s="71" t="s">
        <v>298</v>
      </c>
      <c r="G2608" s="88">
        <v>46274.281990740703</v>
      </c>
      <c r="H2608" s="89">
        <v>46274</v>
      </c>
      <c r="I2608" s="71" t="s">
        <v>509</v>
      </c>
      <c r="J2608" s="71">
        <v>-74</v>
      </c>
      <c r="K2608" s="71" t="s">
        <v>302</v>
      </c>
      <c r="L2608" s="71">
        <f t="shared" si="360"/>
        <v>9</v>
      </c>
      <c r="M2608" s="71" t="str">
        <f>IFERROR(INDEX(KALENDER!$D$3:$D$132,MATCH(H2608,KALENDER!$A$3:$A$132,0)),"Di luar periode")</f>
        <v>Hari Kerja</v>
      </c>
      <c r="N2608" s="71">
        <f t="shared" si="361"/>
        <v>1</v>
      </c>
      <c r="O2608" s="71">
        <f t="shared" si="362"/>
        <v>1</v>
      </c>
      <c r="P2608" s="71">
        <f t="shared" si="363"/>
        <v>1</v>
      </c>
      <c r="Q2608" s="71">
        <f t="shared" si="364"/>
        <v>0</v>
      </c>
      <c r="R2608" s="71">
        <f t="shared" si="365"/>
        <v>0</v>
      </c>
      <c r="S2608" s="71">
        <f t="shared" si="366"/>
        <v>0</v>
      </c>
      <c r="T2608" s="71">
        <f t="shared" si="367"/>
        <v>0</v>
      </c>
      <c r="U2608" s="71">
        <f>IF(AND(N2608=1,V2608=1),IF(COUNTIFS(AKTIVITAS!$B$2:$B$3052,B2608,AKTIVITAS!$E$2:$E$3052,H2608)&gt;0,1,0),0)</f>
        <v>1</v>
      </c>
      <c r="V2608" s="71">
        <f>IFERROR(IF(AND(H2608&gt;=INDEX(PEMAGANG!$J$3:$J$36,MATCH(B2608,PEMAGANG!$C$3:$C$36,0)),H2608&lt;=INDEX(PEMAGANG!$K$3:$K$36,MATCH(B2608,PEMAGANG!$C$3:$C$36,0))),1,0),0)</f>
        <v>1</v>
      </c>
      <c r="W2608" s="71">
        <f t="shared" si="368"/>
        <v>1</v>
      </c>
    </row>
    <row r="2609" spans="1:23" x14ac:dyDescent="0.2">
      <c r="A2609" s="71" t="s">
        <v>193</v>
      </c>
      <c r="B2609" s="71" t="s">
        <v>194</v>
      </c>
      <c r="C2609" s="71" t="s">
        <v>187</v>
      </c>
      <c r="D2609" s="71" t="s">
        <v>185</v>
      </c>
      <c r="E2609" s="71" t="s">
        <v>47</v>
      </c>
      <c r="F2609" s="71" t="s">
        <v>300</v>
      </c>
      <c r="G2609" s="88">
        <v>46274.709386574097</v>
      </c>
      <c r="H2609" s="89">
        <v>46274</v>
      </c>
      <c r="I2609" s="71" t="s">
        <v>333</v>
      </c>
      <c r="J2609" s="71">
        <v>0</v>
      </c>
      <c r="K2609" s="71" t="s">
        <v>302</v>
      </c>
      <c r="L2609" s="71">
        <f t="shared" si="360"/>
        <v>9</v>
      </c>
      <c r="M2609" s="71" t="str">
        <f>IFERROR(INDEX(KALENDER!$D$3:$D$132,MATCH(H2609,KALENDER!$A$3:$A$132,0)),"Di luar periode")</f>
        <v>Hari Kerja</v>
      </c>
      <c r="N2609" s="71">
        <f t="shared" si="361"/>
        <v>0</v>
      </c>
      <c r="O2609" s="71">
        <f t="shared" si="362"/>
        <v>1</v>
      </c>
      <c r="P2609" s="71">
        <f t="shared" si="363"/>
        <v>0</v>
      </c>
      <c r="Q2609" s="71">
        <f t="shared" si="364"/>
        <v>0</v>
      </c>
      <c r="R2609" s="71">
        <f t="shared" si="365"/>
        <v>0</v>
      </c>
      <c r="S2609" s="71">
        <f t="shared" si="366"/>
        <v>0</v>
      </c>
      <c r="T2609" s="71">
        <f t="shared" si="367"/>
        <v>0</v>
      </c>
      <c r="U2609" s="71">
        <f>IF(AND(N2609=1,V2609=1),IF(COUNTIFS(AKTIVITAS!$B$2:$B$3052,B2609,AKTIVITAS!$E$2:$E$3052,H2609)&gt;0,1,0),0)</f>
        <v>0</v>
      </c>
      <c r="V2609" s="71">
        <f>IFERROR(IF(AND(H2609&gt;=INDEX(PEMAGANG!$J$3:$J$36,MATCH(B2609,PEMAGANG!$C$3:$C$36,0)),H2609&lt;=INDEX(PEMAGANG!$K$3:$K$36,MATCH(B2609,PEMAGANG!$C$3:$C$36,0))),1,0),0)</f>
        <v>1</v>
      </c>
      <c r="W2609" s="71">
        <f t="shared" si="368"/>
        <v>0</v>
      </c>
    </row>
    <row r="2610" spans="1:23" x14ac:dyDescent="0.2">
      <c r="A2610" s="71" t="s">
        <v>193</v>
      </c>
      <c r="B2610" s="71" t="s">
        <v>194</v>
      </c>
      <c r="C2610" s="71" t="s">
        <v>187</v>
      </c>
      <c r="D2610" s="71" t="s">
        <v>185</v>
      </c>
      <c r="E2610" s="71" t="s">
        <v>47</v>
      </c>
      <c r="F2610" s="71" t="s">
        <v>298</v>
      </c>
      <c r="G2610" s="88">
        <v>46275.293229166702</v>
      </c>
      <c r="H2610" s="89">
        <v>46275</v>
      </c>
      <c r="I2610" s="71" t="s">
        <v>492</v>
      </c>
      <c r="J2610" s="71">
        <v>-58</v>
      </c>
      <c r="K2610" s="71" t="s">
        <v>302</v>
      </c>
      <c r="L2610" s="71">
        <f t="shared" si="360"/>
        <v>9</v>
      </c>
      <c r="M2610" s="71" t="str">
        <f>IFERROR(INDEX(KALENDER!$D$3:$D$132,MATCH(H2610,KALENDER!$A$3:$A$132,0)),"Di luar periode")</f>
        <v>Hari Kerja</v>
      </c>
      <c r="N2610" s="71">
        <f t="shared" si="361"/>
        <v>1</v>
      </c>
      <c r="O2610" s="71">
        <f t="shared" si="362"/>
        <v>1</v>
      </c>
      <c r="P2610" s="71">
        <f t="shared" si="363"/>
        <v>1</v>
      </c>
      <c r="Q2610" s="71">
        <f t="shared" si="364"/>
        <v>0</v>
      </c>
      <c r="R2610" s="71">
        <f t="shared" si="365"/>
        <v>0</v>
      </c>
      <c r="S2610" s="71">
        <f t="shared" si="366"/>
        <v>0</v>
      </c>
      <c r="T2610" s="71">
        <f t="shared" si="367"/>
        <v>0</v>
      </c>
      <c r="U2610" s="71">
        <f>IF(AND(N2610=1,V2610=1),IF(COUNTIFS(AKTIVITAS!$B$2:$B$3052,B2610,AKTIVITAS!$E$2:$E$3052,H2610)&gt;0,1,0),0)</f>
        <v>1</v>
      </c>
      <c r="V2610" s="71">
        <f>IFERROR(IF(AND(H2610&gt;=INDEX(PEMAGANG!$J$3:$J$36,MATCH(B2610,PEMAGANG!$C$3:$C$36,0)),H2610&lt;=INDEX(PEMAGANG!$K$3:$K$36,MATCH(B2610,PEMAGANG!$C$3:$C$36,0))),1,0),0)</f>
        <v>1</v>
      </c>
      <c r="W2610" s="71">
        <f t="shared" si="368"/>
        <v>1</v>
      </c>
    </row>
    <row r="2611" spans="1:23" x14ac:dyDescent="0.2">
      <c r="A2611" s="71" t="s">
        <v>193</v>
      </c>
      <c r="B2611" s="71" t="s">
        <v>194</v>
      </c>
      <c r="C2611" s="71" t="s">
        <v>187</v>
      </c>
      <c r="D2611" s="71" t="s">
        <v>185</v>
      </c>
      <c r="E2611" s="71" t="s">
        <v>47</v>
      </c>
      <c r="F2611" s="71" t="s">
        <v>298</v>
      </c>
      <c r="G2611" s="88">
        <v>46275.293229166702</v>
      </c>
      <c r="H2611" s="89">
        <v>46275</v>
      </c>
      <c r="I2611" s="71" t="s">
        <v>492</v>
      </c>
      <c r="J2611" s="71">
        <v>-28</v>
      </c>
      <c r="K2611" s="71" t="s">
        <v>302</v>
      </c>
      <c r="L2611" s="71">
        <f t="shared" si="360"/>
        <v>9</v>
      </c>
      <c r="M2611" s="71" t="str">
        <f>IFERROR(INDEX(KALENDER!$D$3:$D$132,MATCH(H2611,KALENDER!$A$3:$A$132,0)),"Di luar periode")</f>
        <v>Hari Kerja</v>
      </c>
      <c r="N2611" s="71">
        <f t="shared" si="361"/>
        <v>0</v>
      </c>
      <c r="O2611" s="71">
        <f t="shared" si="362"/>
        <v>2</v>
      </c>
      <c r="P2611" s="71">
        <f t="shared" si="363"/>
        <v>0</v>
      </c>
      <c r="Q2611" s="71">
        <f t="shared" si="364"/>
        <v>0</v>
      </c>
      <c r="R2611" s="71">
        <f t="shared" si="365"/>
        <v>0</v>
      </c>
      <c r="S2611" s="71">
        <f t="shared" si="366"/>
        <v>0</v>
      </c>
      <c r="T2611" s="71">
        <f t="shared" si="367"/>
        <v>0</v>
      </c>
      <c r="U2611" s="71">
        <f>IF(AND(N2611=1,V2611=1),IF(COUNTIFS(AKTIVITAS!$B$2:$B$3052,B2611,AKTIVITAS!$E$2:$E$3052,H2611)&gt;0,1,0),0)</f>
        <v>0</v>
      </c>
      <c r="V2611" s="71">
        <f>IFERROR(IF(AND(H2611&gt;=INDEX(PEMAGANG!$J$3:$J$36,MATCH(B2611,PEMAGANG!$C$3:$C$36,0)),H2611&lt;=INDEX(PEMAGANG!$K$3:$K$36,MATCH(B2611,PEMAGANG!$C$3:$C$36,0))),1,0),0)</f>
        <v>1</v>
      </c>
      <c r="W2611" s="71">
        <f t="shared" si="368"/>
        <v>0</v>
      </c>
    </row>
    <row r="2612" spans="1:23" x14ac:dyDescent="0.2">
      <c r="A2612" s="71" t="s">
        <v>193</v>
      </c>
      <c r="B2612" s="71" t="s">
        <v>194</v>
      </c>
      <c r="C2612" s="71" t="s">
        <v>187</v>
      </c>
      <c r="D2612" s="71" t="s">
        <v>185</v>
      </c>
      <c r="E2612" s="71" t="s">
        <v>47</v>
      </c>
      <c r="F2612" s="71" t="s">
        <v>300</v>
      </c>
      <c r="G2612" s="88">
        <v>46275.718854166698</v>
      </c>
      <c r="H2612" s="89">
        <v>46275</v>
      </c>
      <c r="I2612" s="71" t="s">
        <v>399</v>
      </c>
      <c r="J2612" s="71">
        <v>0</v>
      </c>
      <c r="K2612" s="71" t="s">
        <v>302</v>
      </c>
      <c r="L2612" s="71">
        <f t="shared" si="360"/>
        <v>9</v>
      </c>
      <c r="M2612" s="71" t="str">
        <f>IFERROR(INDEX(KALENDER!$D$3:$D$132,MATCH(H2612,KALENDER!$A$3:$A$132,0)),"Di luar periode")</f>
        <v>Hari Kerja</v>
      </c>
      <c r="N2612" s="71">
        <f t="shared" si="361"/>
        <v>0</v>
      </c>
      <c r="O2612" s="71">
        <f t="shared" si="362"/>
        <v>2</v>
      </c>
      <c r="P2612" s="71">
        <f t="shared" si="363"/>
        <v>0</v>
      </c>
      <c r="Q2612" s="71">
        <f t="shared" si="364"/>
        <v>0</v>
      </c>
      <c r="R2612" s="71">
        <f t="shared" si="365"/>
        <v>0</v>
      </c>
      <c r="S2612" s="71">
        <f t="shared" si="366"/>
        <v>0</v>
      </c>
      <c r="T2612" s="71">
        <f t="shared" si="367"/>
        <v>0</v>
      </c>
      <c r="U2612" s="71">
        <f>IF(AND(N2612=1,V2612=1),IF(COUNTIFS(AKTIVITAS!$B$2:$B$3052,B2612,AKTIVITAS!$E$2:$E$3052,H2612)&gt;0,1,0),0)</f>
        <v>0</v>
      </c>
      <c r="V2612" s="71">
        <f>IFERROR(IF(AND(H2612&gt;=INDEX(PEMAGANG!$J$3:$J$36,MATCH(B2612,PEMAGANG!$C$3:$C$36,0)),H2612&lt;=INDEX(PEMAGANG!$K$3:$K$36,MATCH(B2612,PEMAGANG!$C$3:$C$36,0))),1,0),0)</f>
        <v>1</v>
      </c>
      <c r="W2612" s="71">
        <f t="shared" si="368"/>
        <v>0</v>
      </c>
    </row>
    <row r="2613" spans="1:23" x14ac:dyDescent="0.2">
      <c r="A2613" s="71" t="s">
        <v>193</v>
      </c>
      <c r="B2613" s="71" t="s">
        <v>194</v>
      </c>
      <c r="C2613" s="71" t="s">
        <v>187</v>
      </c>
      <c r="D2613" s="71" t="s">
        <v>185</v>
      </c>
      <c r="E2613" s="71" t="s">
        <v>47</v>
      </c>
      <c r="F2613" s="71" t="s">
        <v>298</v>
      </c>
      <c r="G2613" s="88">
        <v>46276.304872685199</v>
      </c>
      <c r="H2613" s="89">
        <v>46276</v>
      </c>
      <c r="I2613" s="71" t="s">
        <v>321</v>
      </c>
      <c r="J2613" s="71">
        <v>-11</v>
      </c>
      <c r="K2613" s="71" t="s">
        <v>302</v>
      </c>
      <c r="L2613" s="71">
        <f t="shared" si="360"/>
        <v>9</v>
      </c>
      <c r="M2613" s="71" t="str">
        <f>IFERROR(INDEX(KALENDER!$D$3:$D$132,MATCH(H2613,KALENDER!$A$3:$A$132,0)),"Di luar periode")</f>
        <v>Hari Kerja</v>
      </c>
      <c r="N2613" s="71">
        <f t="shared" si="361"/>
        <v>1</v>
      </c>
      <c r="O2613" s="71">
        <f t="shared" si="362"/>
        <v>1</v>
      </c>
      <c r="P2613" s="71">
        <f t="shared" si="363"/>
        <v>1</v>
      </c>
      <c r="Q2613" s="71">
        <f t="shared" si="364"/>
        <v>0</v>
      </c>
      <c r="R2613" s="71">
        <f t="shared" si="365"/>
        <v>0</v>
      </c>
      <c r="S2613" s="71">
        <f t="shared" si="366"/>
        <v>0</v>
      </c>
      <c r="T2613" s="71">
        <f t="shared" si="367"/>
        <v>0</v>
      </c>
      <c r="U2613" s="71">
        <f>IF(AND(N2613=1,V2613=1),IF(COUNTIFS(AKTIVITAS!$B$2:$B$3052,B2613,AKTIVITAS!$E$2:$E$3052,H2613)&gt;0,1,0),0)</f>
        <v>1</v>
      </c>
      <c r="V2613" s="71">
        <f>IFERROR(IF(AND(H2613&gt;=INDEX(PEMAGANG!$J$3:$J$36,MATCH(B2613,PEMAGANG!$C$3:$C$36,0)),H2613&lt;=INDEX(PEMAGANG!$K$3:$K$36,MATCH(B2613,PEMAGANG!$C$3:$C$36,0))),1,0),0)</f>
        <v>1</v>
      </c>
      <c r="W2613" s="71">
        <f t="shared" si="368"/>
        <v>1</v>
      </c>
    </row>
    <row r="2614" spans="1:23" x14ac:dyDescent="0.2">
      <c r="A2614" s="71" t="s">
        <v>193</v>
      </c>
      <c r="B2614" s="71" t="s">
        <v>194</v>
      </c>
      <c r="C2614" s="71" t="s">
        <v>187</v>
      </c>
      <c r="D2614" s="71" t="s">
        <v>185</v>
      </c>
      <c r="E2614" s="71" t="s">
        <v>47</v>
      </c>
      <c r="F2614" s="71" t="s">
        <v>300</v>
      </c>
      <c r="G2614" s="88">
        <v>46276.7258912037</v>
      </c>
      <c r="H2614" s="89">
        <v>46276</v>
      </c>
      <c r="I2614" s="71" t="s">
        <v>612</v>
      </c>
      <c r="J2614" s="71">
        <v>0</v>
      </c>
      <c r="K2614" s="71" t="s">
        <v>302</v>
      </c>
      <c r="L2614" s="71">
        <f t="shared" si="360"/>
        <v>9</v>
      </c>
      <c r="M2614" s="71" t="str">
        <f>IFERROR(INDEX(KALENDER!$D$3:$D$132,MATCH(H2614,KALENDER!$A$3:$A$132,0)),"Di luar periode")</f>
        <v>Hari Kerja</v>
      </c>
      <c r="N2614" s="71">
        <f t="shared" si="361"/>
        <v>0</v>
      </c>
      <c r="O2614" s="71">
        <f t="shared" si="362"/>
        <v>1</v>
      </c>
      <c r="P2614" s="71">
        <f t="shared" si="363"/>
        <v>0</v>
      </c>
      <c r="Q2614" s="71">
        <f t="shared" si="364"/>
        <v>0</v>
      </c>
      <c r="R2614" s="71">
        <f t="shared" si="365"/>
        <v>0</v>
      </c>
      <c r="S2614" s="71">
        <f t="shared" si="366"/>
        <v>0</v>
      </c>
      <c r="T2614" s="71">
        <f t="shared" si="367"/>
        <v>0</v>
      </c>
      <c r="U2614" s="71">
        <f>IF(AND(N2614=1,V2614=1),IF(COUNTIFS(AKTIVITAS!$B$2:$B$3052,B2614,AKTIVITAS!$E$2:$E$3052,H2614)&gt;0,1,0),0)</f>
        <v>0</v>
      </c>
      <c r="V2614" s="71">
        <f>IFERROR(IF(AND(H2614&gt;=INDEX(PEMAGANG!$J$3:$J$36,MATCH(B2614,PEMAGANG!$C$3:$C$36,0)),H2614&lt;=INDEX(PEMAGANG!$K$3:$K$36,MATCH(B2614,PEMAGANG!$C$3:$C$36,0))),1,0),0)</f>
        <v>1</v>
      </c>
      <c r="W2614" s="71">
        <f t="shared" si="368"/>
        <v>0</v>
      </c>
    </row>
    <row r="2615" spans="1:23" x14ac:dyDescent="0.2">
      <c r="A2615" s="71" t="s">
        <v>193</v>
      </c>
      <c r="B2615" s="71" t="s">
        <v>194</v>
      </c>
      <c r="C2615" s="71" t="s">
        <v>187</v>
      </c>
      <c r="D2615" s="71" t="s">
        <v>185</v>
      </c>
      <c r="E2615" s="71" t="s">
        <v>47</v>
      </c>
      <c r="F2615" s="71" t="s">
        <v>298</v>
      </c>
      <c r="G2615" s="88">
        <v>46279.275578703702</v>
      </c>
      <c r="H2615" s="89">
        <v>46279</v>
      </c>
      <c r="I2615" s="71" t="s">
        <v>497</v>
      </c>
      <c r="J2615" s="71">
        <v>-54.000000000000099</v>
      </c>
      <c r="K2615" s="71" t="s">
        <v>302</v>
      </c>
      <c r="L2615" s="71">
        <f t="shared" si="360"/>
        <v>9</v>
      </c>
      <c r="M2615" s="71" t="str">
        <f>IFERROR(INDEX(KALENDER!$D$3:$D$132,MATCH(H2615,KALENDER!$A$3:$A$132,0)),"Di luar periode")</f>
        <v>Hari Kerja</v>
      </c>
      <c r="N2615" s="71">
        <f t="shared" si="361"/>
        <v>1</v>
      </c>
      <c r="O2615" s="71">
        <f t="shared" si="362"/>
        <v>1</v>
      </c>
      <c r="P2615" s="71">
        <f t="shared" si="363"/>
        <v>1</v>
      </c>
      <c r="Q2615" s="71">
        <f t="shared" si="364"/>
        <v>0</v>
      </c>
      <c r="R2615" s="71">
        <f t="shared" si="365"/>
        <v>0</v>
      </c>
      <c r="S2615" s="71">
        <f t="shared" si="366"/>
        <v>0</v>
      </c>
      <c r="T2615" s="71">
        <f t="shared" si="367"/>
        <v>0</v>
      </c>
      <c r="U2615" s="71">
        <f>IF(AND(N2615=1,V2615=1),IF(COUNTIFS(AKTIVITAS!$B$2:$B$3052,B2615,AKTIVITAS!$E$2:$E$3052,H2615)&gt;0,1,0),0)</f>
        <v>1</v>
      </c>
      <c r="V2615" s="71">
        <f>IFERROR(IF(AND(H2615&gt;=INDEX(PEMAGANG!$J$3:$J$36,MATCH(B2615,PEMAGANG!$C$3:$C$36,0)),H2615&lt;=INDEX(PEMAGANG!$K$3:$K$36,MATCH(B2615,PEMAGANG!$C$3:$C$36,0))),1,0),0)</f>
        <v>1</v>
      </c>
      <c r="W2615" s="71">
        <f t="shared" si="368"/>
        <v>1</v>
      </c>
    </row>
    <row r="2616" spans="1:23" x14ac:dyDescent="0.2">
      <c r="A2616" s="71" t="s">
        <v>193</v>
      </c>
      <c r="B2616" s="71" t="s">
        <v>194</v>
      </c>
      <c r="C2616" s="71" t="s">
        <v>187</v>
      </c>
      <c r="D2616" s="71" t="s">
        <v>185</v>
      </c>
      <c r="E2616" s="71" t="s">
        <v>47</v>
      </c>
      <c r="F2616" s="71" t="s">
        <v>300</v>
      </c>
      <c r="G2616" s="88">
        <v>46279.6929282407</v>
      </c>
      <c r="H2616" s="89">
        <v>46279</v>
      </c>
      <c r="I2616" s="71" t="s">
        <v>328</v>
      </c>
      <c r="J2616" s="71">
        <v>0</v>
      </c>
      <c r="K2616" s="71" t="s">
        <v>302</v>
      </c>
      <c r="L2616" s="71">
        <f t="shared" si="360"/>
        <v>9</v>
      </c>
      <c r="M2616" s="71" t="str">
        <f>IFERROR(INDEX(KALENDER!$D$3:$D$132,MATCH(H2616,KALENDER!$A$3:$A$132,0)),"Di luar periode")</f>
        <v>Hari Kerja</v>
      </c>
      <c r="N2616" s="71">
        <f t="shared" si="361"/>
        <v>0</v>
      </c>
      <c r="O2616" s="71">
        <f t="shared" si="362"/>
        <v>1</v>
      </c>
      <c r="P2616" s="71">
        <f t="shared" si="363"/>
        <v>0</v>
      </c>
      <c r="Q2616" s="71">
        <f t="shared" si="364"/>
        <v>0</v>
      </c>
      <c r="R2616" s="71">
        <f t="shared" si="365"/>
        <v>0</v>
      </c>
      <c r="S2616" s="71">
        <f t="shared" si="366"/>
        <v>0</v>
      </c>
      <c r="T2616" s="71">
        <f t="shared" si="367"/>
        <v>0</v>
      </c>
      <c r="U2616" s="71">
        <f>IF(AND(N2616=1,V2616=1),IF(COUNTIFS(AKTIVITAS!$B$2:$B$3052,B2616,AKTIVITAS!$E$2:$E$3052,H2616)&gt;0,1,0),0)</f>
        <v>0</v>
      </c>
      <c r="V2616" s="71">
        <f>IFERROR(IF(AND(H2616&gt;=INDEX(PEMAGANG!$J$3:$J$36,MATCH(B2616,PEMAGANG!$C$3:$C$36,0)),H2616&lt;=INDEX(PEMAGANG!$K$3:$K$36,MATCH(B2616,PEMAGANG!$C$3:$C$36,0))),1,0),0)</f>
        <v>1</v>
      </c>
      <c r="W2616" s="71">
        <f t="shared" si="368"/>
        <v>0</v>
      </c>
    </row>
    <row r="2617" spans="1:23" x14ac:dyDescent="0.2">
      <c r="A2617" s="71" t="s">
        <v>193</v>
      </c>
      <c r="B2617" s="71" t="s">
        <v>194</v>
      </c>
      <c r="C2617" s="71" t="s">
        <v>187</v>
      </c>
      <c r="D2617" s="71" t="s">
        <v>185</v>
      </c>
      <c r="E2617" s="71" t="s">
        <v>47</v>
      </c>
      <c r="F2617" s="71" t="s">
        <v>298</v>
      </c>
      <c r="G2617" s="88">
        <v>46280.297060185199</v>
      </c>
      <c r="H2617" s="89">
        <v>46280</v>
      </c>
      <c r="I2617" s="71" t="s">
        <v>487</v>
      </c>
      <c r="J2617" s="71">
        <v>-23</v>
      </c>
      <c r="K2617" s="71" t="s">
        <v>302</v>
      </c>
      <c r="L2617" s="71">
        <f t="shared" si="360"/>
        <v>9</v>
      </c>
      <c r="M2617" s="71" t="str">
        <f>IFERROR(INDEX(KALENDER!$D$3:$D$132,MATCH(H2617,KALENDER!$A$3:$A$132,0)),"Di luar periode")</f>
        <v>Hari Kerja</v>
      </c>
      <c r="N2617" s="71">
        <f t="shared" si="361"/>
        <v>1</v>
      </c>
      <c r="O2617" s="71">
        <f t="shared" si="362"/>
        <v>1</v>
      </c>
      <c r="P2617" s="71">
        <f t="shared" si="363"/>
        <v>1</v>
      </c>
      <c r="Q2617" s="71">
        <f t="shared" si="364"/>
        <v>0</v>
      </c>
      <c r="R2617" s="71">
        <f t="shared" si="365"/>
        <v>0</v>
      </c>
      <c r="S2617" s="71">
        <f t="shared" si="366"/>
        <v>0</v>
      </c>
      <c r="T2617" s="71">
        <f t="shared" si="367"/>
        <v>0</v>
      </c>
      <c r="U2617" s="71">
        <f>IF(AND(N2617=1,V2617=1),IF(COUNTIFS(AKTIVITAS!$B$2:$B$3052,B2617,AKTIVITAS!$E$2:$E$3052,H2617)&gt;0,1,0),0)</f>
        <v>1</v>
      </c>
      <c r="V2617" s="71">
        <f>IFERROR(IF(AND(H2617&gt;=INDEX(PEMAGANG!$J$3:$J$36,MATCH(B2617,PEMAGANG!$C$3:$C$36,0)),H2617&lt;=INDEX(PEMAGANG!$K$3:$K$36,MATCH(B2617,PEMAGANG!$C$3:$C$36,0))),1,0),0)</f>
        <v>1</v>
      </c>
      <c r="W2617" s="71">
        <f t="shared" si="368"/>
        <v>1</v>
      </c>
    </row>
    <row r="2618" spans="1:23" x14ac:dyDescent="0.2">
      <c r="A2618" s="71" t="s">
        <v>193</v>
      </c>
      <c r="B2618" s="71" t="s">
        <v>194</v>
      </c>
      <c r="C2618" s="71" t="s">
        <v>187</v>
      </c>
      <c r="D2618" s="71" t="s">
        <v>185</v>
      </c>
      <c r="E2618" s="71" t="s">
        <v>47</v>
      </c>
      <c r="F2618" s="71" t="s">
        <v>300</v>
      </c>
      <c r="G2618" s="88">
        <v>46280.692673611098</v>
      </c>
      <c r="H2618" s="89">
        <v>46280</v>
      </c>
      <c r="I2618" s="71" t="s">
        <v>328</v>
      </c>
      <c r="J2618" s="71">
        <v>0</v>
      </c>
      <c r="K2618" s="71" t="s">
        <v>302</v>
      </c>
      <c r="L2618" s="71">
        <f t="shared" si="360"/>
        <v>9</v>
      </c>
      <c r="M2618" s="71" t="str">
        <f>IFERROR(INDEX(KALENDER!$D$3:$D$132,MATCH(H2618,KALENDER!$A$3:$A$132,0)),"Di luar periode")</f>
        <v>Hari Kerja</v>
      </c>
      <c r="N2618" s="71">
        <f t="shared" si="361"/>
        <v>0</v>
      </c>
      <c r="O2618" s="71">
        <f t="shared" si="362"/>
        <v>1</v>
      </c>
      <c r="P2618" s="71">
        <f t="shared" si="363"/>
        <v>0</v>
      </c>
      <c r="Q2618" s="71">
        <f t="shared" si="364"/>
        <v>0</v>
      </c>
      <c r="R2618" s="71">
        <f t="shared" si="365"/>
        <v>0</v>
      </c>
      <c r="S2618" s="71">
        <f t="shared" si="366"/>
        <v>0</v>
      </c>
      <c r="T2618" s="71">
        <f t="shared" si="367"/>
        <v>0</v>
      </c>
      <c r="U2618" s="71">
        <f>IF(AND(N2618=1,V2618=1),IF(COUNTIFS(AKTIVITAS!$B$2:$B$3052,B2618,AKTIVITAS!$E$2:$E$3052,H2618)&gt;0,1,0),0)</f>
        <v>0</v>
      </c>
      <c r="V2618" s="71">
        <f>IFERROR(IF(AND(H2618&gt;=INDEX(PEMAGANG!$J$3:$J$36,MATCH(B2618,PEMAGANG!$C$3:$C$36,0)),H2618&lt;=INDEX(PEMAGANG!$K$3:$K$36,MATCH(B2618,PEMAGANG!$C$3:$C$36,0))),1,0),0)</f>
        <v>1</v>
      </c>
      <c r="W2618" s="71">
        <f t="shared" si="368"/>
        <v>0</v>
      </c>
    </row>
    <row r="2619" spans="1:23" x14ac:dyDescent="0.2">
      <c r="A2619" s="71" t="s">
        <v>193</v>
      </c>
      <c r="B2619" s="71" t="s">
        <v>194</v>
      </c>
      <c r="C2619" s="71" t="s">
        <v>187</v>
      </c>
      <c r="D2619" s="71" t="s">
        <v>185</v>
      </c>
      <c r="E2619" s="71" t="s">
        <v>47</v>
      </c>
      <c r="F2619" s="71" t="s">
        <v>298</v>
      </c>
      <c r="G2619" s="88">
        <v>46281.301319444399</v>
      </c>
      <c r="H2619" s="89">
        <v>46281</v>
      </c>
      <c r="I2619" s="71" t="s">
        <v>475</v>
      </c>
      <c r="J2619" s="71">
        <v>-17</v>
      </c>
      <c r="K2619" s="71" t="s">
        <v>302</v>
      </c>
      <c r="L2619" s="71">
        <f t="shared" si="360"/>
        <v>9</v>
      </c>
      <c r="M2619" s="71" t="str">
        <f>IFERROR(INDEX(KALENDER!$D$3:$D$132,MATCH(H2619,KALENDER!$A$3:$A$132,0)),"Di luar periode")</f>
        <v>Hari Kerja</v>
      </c>
      <c r="N2619" s="71">
        <f t="shared" si="361"/>
        <v>1</v>
      </c>
      <c r="O2619" s="71">
        <f t="shared" si="362"/>
        <v>1</v>
      </c>
      <c r="P2619" s="71">
        <f t="shared" si="363"/>
        <v>1</v>
      </c>
      <c r="Q2619" s="71">
        <f t="shared" si="364"/>
        <v>0</v>
      </c>
      <c r="R2619" s="71">
        <f t="shared" si="365"/>
        <v>0</v>
      </c>
      <c r="S2619" s="71">
        <f t="shared" si="366"/>
        <v>0</v>
      </c>
      <c r="T2619" s="71">
        <f t="shared" si="367"/>
        <v>0</v>
      </c>
      <c r="U2619" s="71">
        <f>IF(AND(N2619=1,V2619=1),IF(COUNTIFS(AKTIVITAS!$B$2:$B$3052,B2619,AKTIVITAS!$E$2:$E$3052,H2619)&gt;0,1,0),0)</f>
        <v>1</v>
      </c>
      <c r="V2619" s="71">
        <f>IFERROR(IF(AND(H2619&gt;=INDEX(PEMAGANG!$J$3:$J$36,MATCH(B2619,PEMAGANG!$C$3:$C$36,0)),H2619&lt;=INDEX(PEMAGANG!$K$3:$K$36,MATCH(B2619,PEMAGANG!$C$3:$C$36,0))),1,0),0)</f>
        <v>1</v>
      </c>
      <c r="W2619" s="71">
        <f t="shared" si="368"/>
        <v>1</v>
      </c>
    </row>
    <row r="2620" spans="1:23" x14ac:dyDescent="0.2">
      <c r="A2620" s="71" t="s">
        <v>193</v>
      </c>
      <c r="B2620" s="71" t="s">
        <v>194</v>
      </c>
      <c r="C2620" s="71" t="s">
        <v>187</v>
      </c>
      <c r="D2620" s="71" t="s">
        <v>185</v>
      </c>
      <c r="E2620" s="71" t="s">
        <v>47</v>
      </c>
      <c r="F2620" s="71" t="s">
        <v>300</v>
      </c>
      <c r="G2620" s="88">
        <v>46281.6963888889</v>
      </c>
      <c r="H2620" s="89">
        <v>46281</v>
      </c>
      <c r="I2620" s="71" t="s">
        <v>320</v>
      </c>
      <c r="J2620" s="71">
        <v>0</v>
      </c>
      <c r="K2620" s="71" t="s">
        <v>302</v>
      </c>
      <c r="L2620" s="71">
        <f t="shared" si="360"/>
        <v>9</v>
      </c>
      <c r="M2620" s="71" t="str">
        <f>IFERROR(INDEX(KALENDER!$D$3:$D$132,MATCH(H2620,KALENDER!$A$3:$A$132,0)),"Di luar periode")</f>
        <v>Hari Kerja</v>
      </c>
      <c r="N2620" s="71">
        <f t="shared" si="361"/>
        <v>0</v>
      </c>
      <c r="O2620" s="71">
        <f t="shared" si="362"/>
        <v>1</v>
      </c>
      <c r="P2620" s="71">
        <f t="shared" si="363"/>
        <v>0</v>
      </c>
      <c r="Q2620" s="71">
        <f t="shared" si="364"/>
        <v>0</v>
      </c>
      <c r="R2620" s="71">
        <f t="shared" si="365"/>
        <v>0</v>
      </c>
      <c r="S2620" s="71">
        <f t="shared" si="366"/>
        <v>0</v>
      </c>
      <c r="T2620" s="71">
        <f t="shared" si="367"/>
        <v>0</v>
      </c>
      <c r="U2620" s="71">
        <f>IF(AND(N2620=1,V2620=1),IF(COUNTIFS(AKTIVITAS!$B$2:$B$3052,B2620,AKTIVITAS!$E$2:$E$3052,H2620)&gt;0,1,0),0)</f>
        <v>0</v>
      </c>
      <c r="V2620" s="71">
        <f>IFERROR(IF(AND(H2620&gt;=INDEX(PEMAGANG!$J$3:$J$36,MATCH(B2620,PEMAGANG!$C$3:$C$36,0)),H2620&lt;=INDEX(PEMAGANG!$K$3:$K$36,MATCH(B2620,PEMAGANG!$C$3:$C$36,0))),1,0),0)</f>
        <v>1</v>
      </c>
      <c r="W2620" s="71">
        <f t="shared" si="368"/>
        <v>0</v>
      </c>
    </row>
    <row r="2621" spans="1:23" x14ac:dyDescent="0.2">
      <c r="A2621" s="71" t="s">
        <v>193</v>
      </c>
      <c r="B2621" s="71" t="s">
        <v>194</v>
      </c>
      <c r="C2621" s="71" t="s">
        <v>187</v>
      </c>
      <c r="D2621" s="71" t="s">
        <v>185</v>
      </c>
      <c r="E2621" s="71" t="s">
        <v>47</v>
      </c>
      <c r="F2621" s="71" t="s">
        <v>298</v>
      </c>
      <c r="G2621" s="88">
        <v>46282.310983796298</v>
      </c>
      <c r="H2621" s="89">
        <v>46282</v>
      </c>
      <c r="I2621" s="71" t="s">
        <v>309</v>
      </c>
      <c r="J2621" s="71">
        <v>-2.9999999999999898</v>
      </c>
      <c r="K2621" s="71" t="s">
        <v>302</v>
      </c>
      <c r="L2621" s="71">
        <f t="shared" si="360"/>
        <v>9</v>
      </c>
      <c r="M2621" s="71" t="str">
        <f>IFERROR(INDEX(KALENDER!$D$3:$D$132,MATCH(H2621,KALENDER!$A$3:$A$132,0)),"Di luar periode")</f>
        <v>Hari Kerja</v>
      </c>
      <c r="N2621" s="71">
        <f t="shared" si="361"/>
        <v>1</v>
      </c>
      <c r="O2621" s="71">
        <f t="shared" si="362"/>
        <v>1</v>
      </c>
      <c r="P2621" s="71">
        <f t="shared" si="363"/>
        <v>1</v>
      </c>
      <c r="Q2621" s="71">
        <f t="shared" si="364"/>
        <v>0</v>
      </c>
      <c r="R2621" s="71">
        <f t="shared" si="365"/>
        <v>0</v>
      </c>
      <c r="S2621" s="71">
        <f t="shared" si="366"/>
        <v>0</v>
      </c>
      <c r="T2621" s="71">
        <f t="shared" si="367"/>
        <v>0</v>
      </c>
      <c r="U2621" s="71">
        <f>IF(AND(N2621=1,V2621=1),IF(COUNTIFS(AKTIVITAS!$B$2:$B$3052,B2621,AKTIVITAS!$E$2:$E$3052,H2621)&gt;0,1,0),0)</f>
        <v>1</v>
      </c>
      <c r="V2621" s="71">
        <f>IFERROR(IF(AND(H2621&gt;=INDEX(PEMAGANG!$J$3:$J$36,MATCH(B2621,PEMAGANG!$C$3:$C$36,0)),H2621&lt;=INDEX(PEMAGANG!$K$3:$K$36,MATCH(B2621,PEMAGANG!$C$3:$C$36,0))),1,0),0)</f>
        <v>1</v>
      </c>
      <c r="W2621" s="71">
        <f t="shared" si="368"/>
        <v>1</v>
      </c>
    </row>
    <row r="2622" spans="1:23" x14ac:dyDescent="0.2">
      <c r="A2622" s="71" t="s">
        <v>193</v>
      </c>
      <c r="B2622" s="71" t="s">
        <v>194</v>
      </c>
      <c r="C2622" s="71" t="s">
        <v>187</v>
      </c>
      <c r="D2622" s="71" t="s">
        <v>185</v>
      </c>
      <c r="E2622" s="71" t="s">
        <v>47</v>
      </c>
      <c r="F2622" s="71" t="s">
        <v>300</v>
      </c>
      <c r="G2622" s="88">
        <v>46282.6949074074</v>
      </c>
      <c r="H2622" s="89">
        <v>46282</v>
      </c>
      <c r="I2622" s="71" t="s">
        <v>343</v>
      </c>
      <c r="J2622" s="71">
        <v>0</v>
      </c>
      <c r="K2622" s="71" t="s">
        <v>302</v>
      </c>
      <c r="L2622" s="71">
        <f t="shared" si="360"/>
        <v>9</v>
      </c>
      <c r="M2622" s="71" t="str">
        <f>IFERROR(INDEX(KALENDER!$D$3:$D$132,MATCH(H2622,KALENDER!$A$3:$A$132,0)),"Di luar periode")</f>
        <v>Hari Kerja</v>
      </c>
      <c r="N2622" s="71">
        <f t="shared" si="361"/>
        <v>0</v>
      </c>
      <c r="O2622" s="71">
        <f t="shared" si="362"/>
        <v>1</v>
      </c>
      <c r="P2622" s="71">
        <f t="shared" si="363"/>
        <v>0</v>
      </c>
      <c r="Q2622" s="71">
        <f t="shared" si="364"/>
        <v>0</v>
      </c>
      <c r="R2622" s="71">
        <f t="shared" si="365"/>
        <v>0</v>
      </c>
      <c r="S2622" s="71">
        <f t="shared" si="366"/>
        <v>0</v>
      </c>
      <c r="T2622" s="71">
        <f t="shared" si="367"/>
        <v>0</v>
      </c>
      <c r="U2622" s="71">
        <f>IF(AND(N2622=1,V2622=1),IF(COUNTIFS(AKTIVITAS!$B$2:$B$3052,B2622,AKTIVITAS!$E$2:$E$3052,H2622)&gt;0,1,0),0)</f>
        <v>0</v>
      </c>
      <c r="V2622" s="71">
        <f>IFERROR(IF(AND(H2622&gt;=INDEX(PEMAGANG!$J$3:$J$36,MATCH(B2622,PEMAGANG!$C$3:$C$36,0)),H2622&lt;=INDEX(PEMAGANG!$K$3:$K$36,MATCH(B2622,PEMAGANG!$C$3:$C$36,0))),1,0),0)</f>
        <v>1</v>
      </c>
      <c r="W2622" s="71">
        <f t="shared" si="368"/>
        <v>0</v>
      </c>
    </row>
    <row r="2623" spans="1:23" x14ac:dyDescent="0.2">
      <c r="A2623" s="71" t="s">
        <v>193</v>
      </c>
      <c r="B2623" s="71" t="s">
        <v>194</v>
      </c>
      <c r="C2623" s="71" t="s">
        <v>187</v>
      </c>
      <c r="D2623" s="71" t="s">
        <v>185</v>
      </c>
      <c r="E2623" s="71" t="s">
        <v>47</v>
      </c>
      <c r="F2623" s="71" t="s">
        <v>298</v>
      </c>
      <c r="G2623" s="88">
        <v>46283.303032407399</v>
      </c>
      <c r="H2623" s="89">
        <v>46283</v>
      </c>
      <c r="I2623" s="71" t="s">
        <v>327</v>
      </c>
      <c r="J2623" s="71">
        <v>-14</v>
      </c>
      <c r="K2623" s="71" t="s">
        <v>302</v>
      </c>
      <c r="L2623" s="71">
        <f t="shared" si="360"/>
        <v>9</v>
      </c>
      <c r="M2623" s="71" t="str">
        <f>IFERROR(INDEX(KALENDER!$D$3:$D$132,MATCH(H2623,KALENDER!$A$3:$A$132,0)),"Di luar periode")</f>
        <v>Hari Kerja</v>
      </c>
      <c r="N2623" s="71">
        <f t="shared" si="361"/>
        <v>1</v>
      </c>
      <c r="O2623" s="71">
        <f t="shared" si="362"/>
        <v>1</v>
      </c>
      <c r="P2623" s="71">
        <f t="shared" si="363"/>
        <v>1</v>
      </c>
      <c r="Q2623" s="71">
        <f t="shared" si="364"/>
        <v>0</v>
      </c>
      <c r="R2623" s="71">
        <f t="shared" si="365"/>
        <v>0</v>
      </c>
      <c r="S2623" s="71">
        <f t="shared" si="366"/>
        <v>0</v>
      </c>
      <c r="T2623" s="71">
        <f t="shared" si="367"/>
        <v>0</v>
      </c>
      <c r="U2623" s="71">
        <f>IF(AND(N2623=1,V2623=1),IF(COUNTIFS(AKTIVITAS!$B$2:$B$3052,B2623,AKTIVITAS!$E$2:$E$3052,H2623)&gt;0,1,0),0)</f>
        <v>1</v>
      </c>
      <c r="V2623" s="71">
        <f>IFERROR(IF(AND(H2623&gt;=INDEX(PEMAGANG!$J$3:$J$36,MATCH(B2623,PEMAGANG!$C$3:$C$36,0)),H2623&lt;=INDEX(PEMAGANG!$K$3:$K$36,MATCH(B2623,PEMAGANG!$C$3:$C$36,0))),1,0),0)</f>
        <v>1</v>
      </c>
      <c r="W2623" s="71">
        <f t="shared" si="368"/>
        <v>1</v>
      </c>
    </row>
    <row r="2624" spans="1:23" x14ac:dyDescent="0.2">
      <c r="A2624" s="71" t="s">
        <v>193</v>
      </c>
      <c r="B2624" s="71" t="s">
        <v>194</v>
      </c>
      <c r="C2624" s="71" t="s">
        <v>187</v>
      </c>
      <c r="D2624" s="71" t="s">
        <v>185</v>
      </c>
      <c r="E2624" s="71" t="s">
        <v>47</v>
      </c>
      <c r="F2624" s="71" t="s">
        <v>300</v>
      </c>
      <c r="G2624" s="88">
        <v>46283.722048611096</v>
      </c>
      <c r="H2624" s="89">
        <v>46283</v>
      </c>
      <c r="I2624" s="71" t="s">
        <v>382</v>
      </c>
      <c r="J2624" s="71">
        <v>0</v>
      </c>
      <c r="K2624" s="71" t="s">
        <v>302</v>
      </c>
      <c r="L2624" s="71">
        <f t="shared" si="360"/>
        <v>9</v>
      </c>
      <c r="M2624" s="71" t="str">
        <f>IFERROR(INDEX(KALENDER!$D$3:$D$132,MATCH(H2624,KALENDER!$A$3:$A$132,0)),"Di luar periode")</f>
        <v>Hari Kerja</v>
      </c>
      <c r="N2624" s="71">
        <f t="shared" si="361"/>
        <v>0</v>
      </c>
      <c r="O2624" s="71">
        <f t="shared" si="362"/>
        <v>1</v>
      </c>
      <c r="P2624" s="71">
        <f t="shared" si="363"/>
        <v>0</v>
      </c>
      <c r="Q2624" s="71">
        <f t="shared" si="364"/>
        <v>0</v>
      </c>
      <c r="R2624" s="71">
        <f t="shared" si="365"/>
        <v>0</v>
      </c>
      <c r="S2624" s="71">
        <f t="shared" si="366"/>
        <v>0</v>
      </c>
      <c r="T2624" s="71">
        <f t="shared" si="367"/>
        <v>0</v>
      </c>
      <c r="U2624" s="71">
        <f>IF(AND(N2624=1,V2624=1),IF(COUNTIFS(AKTIVITAS!$B$2:$B$3052,B2624,AKTIVITAS!$E$2:$E$3052,H2624)&gt;0,1,0),0)</f>
        <v>0</v>
      </c>
      <c r="V2624" s="71">
        <f>IFERROR(IF(AND(H2624&gt;=INDEX(PEMAGANG!$J$3:$J$36,MATCH(B2624,PEMAGANG!$C$3:$C$36,0)),H2624&lt;=INDEX(PEMAGANG!$K$3:$K$36,MATCH(B2624,PEMAGANG!$C$3:$C$36,0))),1,0),0)</f>
        <v>1</v>
      </c>
      <c r="W2624" s="71">
        <f t="shared" si="368"/>
        <v>0</v>
      </c>
    </row>
    <row r="2625" spans="1:23" x14ac:dyDescent="0.2">
      <c r="A2625" s="71" t="s">
        <v>193</v>
      </c>
      <c r="B2625" s="71" t="s">
        <v>194</v>
      </c>
      <c r="C2625" s="71" t="s">
        <v>187</v>
      </c>
      <c r="D2625" s="71" t="s">
        <v>185</v>
      </c>
      <c r="E2625" s="71" t="s">
        <v>47</v>
      </c>
      <c r="F2625" s="71" t="s">
        <v>298</v>
      </c>
      <c r="G2625" s="88">
        <v>46286.283587963</v>
      </c>
      <c r="H2625" s="89">
        <v>46286</v>
      </c>
      <c r="I2625" s="71" t="s">
        <v>503</v>
      </c>
      <c r="J2625" s="71">
        <v>-42</v>
      </c>
      <c r="K2625" s="71" t="s">
        <v>302</v>
      </c>
      <c r="L2625" s="71">
        <f t="shared" si="360"/>
        <v>9</v>
      </c>
      <c r="M2625" s="71" t="str">
        <f>IFERROR(INDEX(KALENDER!$D$3:$D$132,MATCH(H2625,KALENDER!$A$3:$A$132,0)),"Di luar periode")</f>
        <v>Hari Kerja</v>
      </c>
      <c r="N2625" s="71">
        <f t="shared" si="361"/>
        <v>1</v>
      </c>
      <c r="O2625" s="71">
        <f t="shared" si="362"/>
        <v>1</v>
      </c>
      <c r="P2625" s="71">
        <f t="shared" si="363"/>
        <v>1</v>
      </c>
      <c r="Q2625" s="71">
        <f t="shared" si="364"/>
        <v>0</v>
      </c>
      <c r="R2625" s="71">
        <f t="shared" si="365"/>
        <v>0</v>
      </c>
      <c r="S2625" s="71">
        <f t="shared" si="366"/>
        <v>0</v>
      </c>
      <c r="T2625" s="71">
        <f t="shared" si="367"/>
        <v>0</v>
      </c>
      <c r="U2625" s="71">
        <f>IF(AND(N2625=1,V2625=1),IF(COUNTIFS(AKTIVITAS!$B$2:$B$3052,B2625,AKTIVITAS!$E$2:$E$3052,H2625)&gt;0,1,0),0)</f>
        <v>1</v>
      </c>
      <c r="V2625" s="71">
        <f>IFERROR(IF(AND(H2625&gt;=INDEX(PEMAGANG!$J$3:$J$36,MATCH(B2625,PEMAGANG!$C$3:$C$36,0)),H2625&lt;=INDEX(PEMAGANG!$K$3:$K$36,MATCH(B2625,PEMAGANG!$C$3:$C$36,0))),1,0),0)</f>
        <v>1</v>
      </c>
      <c r="W2625" s="71">
        <f t="shared" si="368"/>
        <v>1</v>
      </c>
    </row>
    <row r="2626" spans="1:23" x14ac:dyDescent="0.2">
      <c r="A2626" s="71" t="s">
        <v>193</v>
      </c>
      <c r="B2626" s="71" t="s">
        <v>194</v>
      </c>
      <c r="C2626" s="71" t="s">
        <v>187</v>
      </c>
      <c r="D2626" s="71" t="s">
        <v>185</v>
      </c>
      <c r="E2626" s="71" t="s">
        <v>47</v>
      </c>
      <c r="F2626" s="71" t="s">
        <v>300</v>
      </c>
      <c r="G2626" s="88">
        <v>46286.696909722203</v>
      </c>
      <c r="H2626" s="89">
        <v>46286</v>
      </c>
      <c r="I2626" s="71" t="s">
        <v>347</v>
      </c>
      <c r="J2626" s="71">
        <v>0</v>
      </c>
      <c r="K2626" s="71" t="s">
        <v>302</v>
      </c>
      <c r="L2626" s="71">
        <f t="shared" ref="L2626:L2689" si="369">MONTH(H2626)</f>
        <v>9</v>
      </c>
      <c r="M2626" s="71" t="str">
        <f>IFERROR(INDEX(KALENDER!$D$3:$D$132,MATCH(H2626,KALENDER!$A$3:$A$132,0)),"Di luar periode")</f>
        <v>Hari Kerja</v>
      </c>
      <c r="N2626" s="71">
        <f t="shared" ref="N2626:N2689" si="370">IF(AND(B2626=B2625,H2626=H2625),0,1)</f>
        <v>0</v>
      </c>
      <c r="O2626" s="71">
        <f t="shared" ref="O2626:O2689" si="371">IF(N2626=1,0,O2625)+IF(F2626="MASUK",1,0)</f>
        <v>1</v>
      </c>
      <c r="P2626" s="71">
        <f t="shared" ref="P2626:P2689" si="372">IF(AND(N2626=1,M2626="Hari Kerja",V2626=1),1,0)</f>
        <v>0</v>
      </c>
      <c r="Q2626" s="71">
        <f t="shared" ref="Q2626:Q2689" si="373">IF(AND(N2626=1,OR(M2626&lt;&gt;"Hari Kerja",V2626=0)),1,0)</f>
        <v>0</v>
      </c>
      <c r="R2626" s="71">
        <f t="shared" ref="R2626:R2689" si="374">IF(AND(F2626="MASUK",O2626=1,N(J2626)&gt;0,V2626=1),1,0)</f>
        <v>0</v>
      </c>
      <c r="S2626" s="71">
        <f t="shared" ref="S2626:S2689" si="375">R2626*N(J2626)</f>
        <v>0</v>
      </c>
      <c r="T2626" s="71">
        <f t="shared" ref="T2626:T2689" si="376">IF(AND(N2626=1,V2626=1),IF(AND(COUNTIFS($B$2:$B$4094,B2626,$H$2:$H$4094,H2626,$F$2:$F$4094,"MASUK")&gt;0,COUNTIFS($B$2:$B$4094,B2626,$H$2:$H$4094,H2626,$F$2:$F$4094,"PULANG")=0),1,0),0)</f>
        <v>0</v>
      </c>
      <c r="U2626" s="71">
        <f>IF(AND(N2626=1,V2626=1),IF(COUNTIFS(AKTIVITAS!$B$2:$B$3052,B2626,AKTIVITAS!$E$2:$E$3052,H2626)&gt;0,1,0),0)</f>
        <v>0</v>
      </c>
      <c r="V2626" s="71">
        <f>IFERROR(IF(AND(H2626&gt;=INDEX(PEMAGANG!$J$3:$J$36,MATCH(B2626,PEMAGANG!$C$3:$C$36,0)),H2626&lt;=INDEX(PEMAGANG!$K$3:$K$36,MATCH(B2626,PEMAGANG!$C$3:$C$36,0))),1,0),0)</f>
        <v>1</v>
      </c>
      <c r="W2626" s="71">
        <f t="shared" ref="W2626:W2689" si="377">N2626*V2626</f>
        <v>0</v>
      </c>
    </row>
    <row r="2627" spans="1:23" x14ac:dyDescent="0.2">
      <c r="A2627" s="71" t="s">
        <v>193</v>
      </c>
      <c r="B2627" s="71" t="s">
        <v>194</v>
      </c>
      <c r="C2627" s="71" t="s">
        <v>187</v>
      </c>
      <c r="D2627" s="71" t="s">
        <v>185</v>
      </c>
      <c r="E2627" s="71" t="s">
        <v>47</v>
      </c>
      <c r="F2627" s="71" t="s">
        <v>298</v>
      </c>
      <c r="G2627" s="88">
        <v>46287.3061689815</v>
      </c>
      <c r="H2627" s="89">
        <v>46287</v>
      </c>
      <c r="I2627" s="71" t="s">
        <v>329</v>
      </c>
      <c r="J2627" s="71">
        <v>-10</v>
      </c>
      <c r="K2627" s="71" t="s">
        <v>302</v>
      </c>
      <c r="L2627" s="71">
        <f t="shared" si="369"/>
        <v>9</v>
      </c>
      <c r="M2627" s="71" t="str">
        <f>IFERROR(INDEX(KALENDER!$D$3:$D$132,MATCH(H2627,KALENDER!$A$3:$A$132,0)),"Di luar periode")</f>
        <v>Hari Kerja</v>
      </c>
      <c r="N2627" s="71">
        <f t="shared" si="370"/>
        <v>1</v>
      </c>
      <c r="O2627" s="71">
        <f t="shared" si="371"/>
        <v>1</v>
      </c>
      <c r="P2627" s="71">
        <f t="shared" si="372"/>
        <v>1</v>
      </c>
      <c r="Q2627" s="71">
        <f t="shared" si="373"/>
        <v>0</v>
      </c>
      <c r="R2627" s="71">
        <f t="shared" si="374"/>
        <v>0</v>
      </c>
      <c r="S2627" s="71">
        <f t="shared" si="375"/>
        <v>0</v>
      </c>
      <c r="T2627" s="71">
        <f t="shared" si="376"/>
        <v>0</v>
      </c>
      <c r="U2627" s="71">
        <f>IF(AND(N2627=1,V2627=1),IF(COUNTIFS(AKTIVITAS!$B$2:$B$3052,B2627,AKTIVITAS!$E$2:$E$3052,H2627)&gt;0,1,0),0)</f>
        <v>1</v>
      </c>
      <c r="V2627" s="71">
        <f>IFERROR(IF(AND(H2627&gt;=INDEX(PEMAGANG!$J$3:$J$36,MATCH(B2627,PEMAGANG!$C$3:$C$36,0)),H2627&lt;=INDEX(PEMAGANG!$K$3:$K$36,MATCH(B2627,PEMAGANG!$C$3:$C$36,0))),1,0),0)</f>
        <v>1</v>
      </c>
      <c r="W2627" s="71">
        <f t="shared" si="377"/>
        <v>1</v>
      </c>
    </row>
    <row r="2628" spans="1:23" x14ac:dyDescent="0.2">
      <c r="A2628" s="71" t="s">
        <v>193</v>
      </c>
      <c r="B2628" s="71" t="s">
        <v>194</v>
      </c>
      <c r="C2628" s="71" t="s">
        <v>187</v>
      </c>
      <c r="D2628" s="71" t="s">
        <v>185</v>
      </c>
      <c r="E2628" s="71" t="s">
        <v>47</v>
      </c>
      <c r="F2628" s="71" t="s">
        <v>300</v>
      </c>
      <c r="G2628" s="88">
        <v>46287.6953125</v>
      </c>
      <c r="H2628" s="89">
        <v>46287</v>
      </c>
      <c r="I2628" s="71" t="s">
        <v>319</v>
      </c>
      <c r="J2628" s="71">
        <v>0</v>
      </c>
      <c r="K2628" s="71" t="s">
        <v>302</v>
      </c>
      <c r="L2628" s="71">
        <f t="shared" si="369"/>
        <v>9</v>
      </c>
      <c r="M2628" s="71" t="str">
        <f>IFERROR(INDEX(KALENDER!$D$3:$D$132,MATCH(H2628,KALENDER!$A$3:$A$132,0)),"Di luar periode")</f>
        <v>Hari Kerja</v>
      </c>
      <c r="N2628" s="71">
        <f t="shared" si="370"/>
        <v>0</v>
      </c>
      <c r="O2628" s="71">
        <f t="shared" si="371"/>
        <v>1</v>
      </c>
      <c r="P2628" s="71">
        <f t="shared" si="372"/>
        <v>0</v>
      </c>
      <c r="Q2628" s="71">
        <f t="shared" si="373"/>
        <v>0</v>
      </c>
      <c r="R2628" s="71">
        <f t="shared" si="374"/>
        <v>0</v>
      </c>
      <c r="S2628" s="71">
        <f t="shared" si="375"/>
        <v>0</v>
      </c>
      <c r="T2628" s="71">
        <f t="shared" si="376"/>
        <v>0</v>
      </c>
      <c r="U2628" s="71">
        <f>IF(AND(N2628=1,V2628=1),IF(COUNTIFS(AKTIVITAS!$B$2:$B$3052,B2628,AKTIVITAS!$E$2:$E$3052,H2628)&gt;0,1,0),0)</f>
        <v>0</v>
      </c>
      <c r="V2628" s="71">
        <f>IFERROR(IF(AND(H2628&gt;=INDEX(PEMAGANG!$J$3:$J$36,MATCH(B2628,PEMAGANG!$C$3:$C$36,0)),H2628&lt;=INDEX(PEMAGANG!$K$3:$K$36,MATCH(B2628,PEMAGANG!$C$3:$C$36,0))),1,0),0)</f>
        <v>1</v>
      </c>
      <c r="W2628" s="71">
        <f t="shared" si="377"/>
        <v>0</v>
      </c>
    </row>
    <row r="2629" spans="1:23" x14ac:dyDescent="0.2">
      <c r="A2629" s="71" t="s">
        <v>193</v>
      </c>
      <c r="B2629" s="71" t="s">
        <v>194</v>
      </c>
      <c r="C2629" s="71" t="s">
        <v>187</v>
      </c>
      <c r="D2629" s="71" t="s">
        <v>185</v>
      </c>
      <c r="E2629" s="71" t="s">
        <v>47</v>
      </c>
      <c r="F2629" s="71" t="s">
        <v>298</v>
      </c>
      <c r="G2629" s="88">
        <v>46288.306099537003</v>
      </c>
      <c r="H2629" s="89">
        <v>46288</v>
      </c>
      <c r="I2629" s="71" t="s">
        <v>329</v>
      </c>
      <c r="J2629" s="71">
        <v>-10</v>
      </c>
      <c r="K2629" s="71" t="s">
        <v>302</v>
      </c>
      <c r="L2629" s="71">
        <f t="shared" si="369"/>
        <v>9</v>
      </c>
      <c r="M2629" s="71" t="str">
        <f>IFERROR(INDEX(KALENDER!$D$3:$D$132,MATCH(H2629,KALENDER!$A$3:$A$132,0)),"Di luar periode")</f>
        <v>Hari Kerja</v>
      </c>
      <c r="N2629" s="71">
        <f t="shared" si="370"/>
        <v>1</v>
      </c>
      <c r="O2629" s="71">
        <f t="shared" si="371"/>
        <v>1</v>
      </c>
      <c r="P2629" s="71">
        <f t="shared" si="372"/>
        <v>1</v>
      </c>
      <c r="Q2629" s="71">
        <f t="shared" si="373"/>
        <v>0</v>
      </c>
      <c r="R2629" s="71">
        <f t="shared" si="374"/>
        <v>0</v>
      </c>
      <c r="S2629" s="71">
        <f t="shared" si="375"/>
        <v>0</v>
      </c>
      <c r="T2629" s="71">
        <f t="shared" si="376"/>
        <v>0</v>
      </c>
      <c r="U2629" s="71">
        <f>IF(AND(N2629=1,V2629=1),IF(COUNTIFS(AKTIVITAS!$B$2:$B$3052,B2629,AKTIVITAS!$E$2:$E$3052,H2629)&gt;0,1,0),0)</f>
        <v>1</v>
      </c>
      <c r="V2629" s="71">
        <f>IFERROR(IF(AND(H2629&gt;=INDEX(PEMAGANG!$J$3:$J$36,MATCH(B2629,PEMAGANG!$C$3:$C$36,0)),H2629&lt;=INDEX(PEMAGANG!$K$3:$K$36,MATCH(B2629,PEMAGANG!$C$3:$C$36,0))),1,0),0)</f>
        <v>1</v>
      </c>
      <c r="W2629" s="71">
        <f t="shared" si="377"/>
        <v>1</v>
      </c>
    </row>
    <row r="2630" spans="1:23" x14ac:dyDescent="0.2">
      <c r="A2630" s="71" t="s">
        <v>193</v>
      </c>
      <c r="B2630" s="71" t="s">
        <v>194</v>
      </c>
      <c r="C2630" s="71" t="s">
        <v>187</v>
      </c>
      <c r="D2630" s="71" t="s">
        <v>185</v>
      </c>
      <c r="E2630" s="71" t="s">
        <v>47</v>
      </c>
      <c r="F2630" s="71" t="s">
        <v>300</v>
      </c>
      <c r="G2630" s="88">
        <v>46288.700555555602</v>
      </c>
      <c r="H2630" s="89">
        <v>46288</v>
      </c>
      <c r="I2630" s="71" t="s">
        <v>346</v>
      </c>
      <c r="J2630" s="71">
        <v>0</v>
      </c>
      <c r="K2630" s="71" t="s">
        <v>302</v>
      </c>
      <c r="L2630" s="71">
        <f t="shared" si="369"/>
        <v>9</v>
      </c>
      <c r="M2630" s="71" t="str">
        <f>IFERROR(INDEX(KALENDER!$D$3:$D$132,MATCH(H2630,KALENDER!$A$3:$A$132,0)),"Di luar periode")</f>
        <v>Hari Kerja</v>
      </c>
      <c r="N2630" s="71">
        <f t="shared" si="370"/>
        <v>0</v>
      </c>
      <c r="O2630" s="71">
        <f t="shared" si="371"/>
        <v>1</v>
      </c>
      <c r="P2630" s="71">
        <f t="shared" si="372"/>
        <v>0</v>
      </c>
      <c r="Q2630" s="71">
        <f t="shared" si="373"/>
        <v>0</v>
      </c>
      <c r="R2630" s="71">
        <f t="shared" si="374"/>
        <v>0</v>
      </c>
      <c r="S2630" s="71">
        <f t="shared" si="375"/>
        <v>0</v>
      </c>
      <c r="T2630" s="71">
        <f t="shared" si="376"/>
        <v>0</v>
      </c>
      <c r="U2630" s="71">
        <f>IF(AND(N2630=1,V2630=1),IF(COUNTIFS(AKTIVITAS!$B$2:$B$3052,B2630,AKTIVITAS!$E$2:$E$3052,H2630)&gt;0,1,0),0)</f>
        <v>0</v>
      </c>
      <c r="V2630" s="71">
        <f>IFERROR(IF(AND(H2630&gt;=INDEX(PEMAGANG!$J$3:$J$36,MATCH(B2630,PEMAGANG!$C$3:$C$36,0)),H2630&lt;=INDEX(PEMAGANG!$K$3:$K$36,MATCH(B2630,PEMAGANG!$C$3:$C$36,0))),1,0),0)</f>
        <v>1</v>
      </c>
      <c r="W2630" s="71">
        <f t="shared" si="377"/>
        <v>0</v>
      </c>
    </row>
    <row r="2631" spans="1:23" x14ac:dyDescent="0.2">
      <c r="A2631" s="71" t="s">
        <v>193</v>
      </c>
      <c r="B2631" s="71" t="s">
        <v>194</v>
      </c>
      <c r="C2631" s="71" t="s">
        <v>187</v>
      </c>
      <c r="D2631" s="71" t="s">
        <v>185</v>
      </c>
      <c r="E2631" s="71" t="s">
        <v>47</v>
      </c>
      <c r="F2631" s="71" t="s">
        <v>298</v>
      </c>
      <c r="G2631" s="88">
        <v>46289.310104166703</v>
      </c>
      <c r="H2631" s="89">
        <v>46289</v>
      </c>
      <c r="I2631" s="71" t="s">
        <v>315</v>
      </c>
      <c r="J2631" s="71">
        <v>-3.9999999999999898</v>
      </c>
      <c r="K2631" s="71" t="s">
        <v>302</v>
      </c>
      <c r="L2631" s="71">
        <f t="shared" si="369"/>
        <v>9</v>
      </c>
      <c r="M2631" s="71" t="str">
        <f>IFERROR(INDEX(KALENDER!$D$3:$D$132,MATCH(H2631,KALENDER!$A$3:$A$132,0)),"Di luar periode")</f>
        <v>Hari Kerja</v>
      </c>
      <c r="N2631" s="71">
        <f t="shared" si="370"/>
        <v>1</v>
      </c>
      <c r="O2631" s="71">
        <f t="shared" si="371"/>
        <v>1</v>
      </c>
      <c r="P2631" s="71">
        <f t="shared" si="372"/>
        <v>1</v>
      </c>
      <c r="Q2631" s="71">
        <f t="shared" si="373"/>
        <v>0</v>
      </c>
      <c r="R2631" s="71">
        <f t="shared" si="374"/>
        <v>0</v>
      </c>
      <c r="S2631" s="71">
        <f t="shared" si="375"/>
        <v>0</v>
      </c>
      <c r="T2631" s="71">
        <f t="shared" si="376"/>
        <v>0</v>
      </c>
      <c r="U2631" s="71">
        <f>IF(AND(N2631=1,V2631=1),IF(COUNTIFS(AKTIVITAS!$B$2:$B$3052,B2631,AKTIVITAS!$E$2:$E$3052,H2631)&gt;0,1,0),0)</f>
        <v>1</v>
      </c>
      <c r="V2631" s="71">
        <f>IFERROR(IF(AND(H2631&gt;=INDEX(PEMAGANG!$J$3:$J$36,MATCH(B2631,PEMAGANG!$C$3:$C$36,0)),H2631&lt;=INDEX(PEMAGANG!$K$3:$K$36,MATCH(B2631,PEMAGANG!$C$3:$C$36,0))),1,0),0)</f>
        <v>1</v>
      </c>
      <c r="W2631" s="71">
        <f t="shared" si="377"/>
        <v>1</v>
      </c>
    </row>
    <row r="2632" spans="1:23" x14ac:dyDescent="0.2">
      <c r="A2632" s="71" t="s">
        <v>193</v>
      </c>
      <c r="B2632" s="71" t="s">
        <v>194</v>
      </c>
      <c r="C2632" s="71" t="s">
        <v>187</v>
      </c>
      <c r="D2632" s="71" t="s">
        <v>185</v>
      </c>
      <c r="E2632" s="71" t="s">
        <v>47</v>
      </c>
      <c r="F2632" s="71" t="s">
        <v>298</v>
      </c>
      <c r="G2632" s="88">
        <v>46289.310138888897</v>
      </c>
      <c r="H2632" s="89">
        <v>46289</v>
      </c>
      <c r="I2632" s="71" t="s">
        <v>315</v>
      </c>
      <c r="J2632" s="71">
        <v>-3.9999999999999898</v>
      </c>
      <c r="K2632" s="71" t="s">
        <v>302</v>
      </c>
      <c r="L2632" s="71">
        <f t="shared" si="369"/>
        <v>9</v>
      </c>
      <c r="M2632" s="71" t="str">
        <f>IFERROR(INDEX(KALENDER!$D$3:$D$132,MATCH(H2632,KALENDER!$A$3:$A$132,0)),"Di luar periode")</f>
        <v>Hari Kerja</v>
      </c>
      <c r="N2632" s="71">
        <f t="shared" si="370"/>
        <v>0</v>
      </c>
      <c r="O2632" s="71">
        <f t="shared" si="371"/>
        <v>2</v>
      </c>
      <c r="P2632" s="71">
        <f t="shared" si="372"/>
        <v>0</v>
      </c>
      <c r="Q2632" s="71">
        <f t="shared" si="373"/>
        <v>0</v>
      </c>
      <c r="R2632" s="71">
        <f t="shared" si="374"/>
        <v>0</v>
      </c>
      <c r="S2632" s="71">
        <f t="shared" si="375"/>
        <v>0</v>
      </c>
      <c r="T2632" s="71">
        <f t="shared" si="376"/>
        <v>0</v>
      </c>
      <c r="U2632" s="71">
        <f>IF(AND(N2632=1,V2632=1),IF(COUNTIFS(AKTIVITAS!$B$2:$B$3052,B2632,AKTIVITAS!$E$2:$E$3052,H2632)&gt;0,1,0),0)</f>
        <v>0</v>
      </c>
      <c r="V2632" s="71">
        <f>IFERROR(IF(AND(H2632&gt;=INDEX(PEMAGANG!$J$3:$J$36,MATCH(B2632,PEMAGANG!$C$3:$C$36,0)),H2632&lt;=INDEX(PEMAGANG!$K$3:$K$36,MATCH(B2632,PEMAGANG!$C$3:$C$36,0))),1,0),0)</f>
        <v>1</v>
      </c>
      <c r="W2632" s="71">
        <f t="shared" si="377"/>
        <v>0</v>
      </c>
    </row>
    <row r="2633" spans="1:23" x14ac:dyDescent="0.2">
      <c r="A2633" s="71" t="s">
        <v>193</v>
      </c>
      <c r="B2633" s="71" t="s">
        <v>194</v>
      </c>
      <c r="C2633" s="71" t="s">
        <v>187</v>
      </c>
      <c r="D2633" s="71" t="s">
        <v>185</v>
      </c>
      <c r="E2633" s="71" t="s">
        <v>47</v>
      </c>
      <c r="F2633" s="71" t="s">
        <v>300</v>
      </c>
      <c r="G2633" s="88">
        <v>46289.697083333303</v>
      </c>
      <c r="H2633" s="89">
        <v>46289</v>
      </c>
      <c r="I2633" s="71" t="s">
        <v>347</v>
      </c>
      <c r="J2633" s="71">
        <v>0</v>
      </c>
      <c r="K2633" s="71" t="s">
        <v>302</v>
      </c>
      <c r="L2633" s="71">
        <f t="shared" si="369"/>
        <v>9</v>
      </c>
      <c r="M2633" s="71" t="str">
        <f>IFERROR(INDEX(KALENDER!$D$3:$D$132,MATCH(H2633,KALENDER!$A$3:$A$132,0)),"Di luar periode")</f>
        <v>Hari Kerja</v>
      </c>
      <c r="N2633" s="71">
        <f t="shared" si="370"/>
        <v>0</v>
      </c>
      <c r="O2633" s="71">
        <f t="shared" si="371"/>
        <v>2</v>
      </c>
      <c r="P2633" s="71">
        <f t="shared" si="372"/>
        <v>0</v>
      </c>
      <c r="Q2633" s="71">
        <f t="shared" si="373"/>
        <v>0</v>
      </c>
      <c r="R2633" s="71">
        <f t="shared" si="374"/>
        <v>0</v>
      </c>
      <c r="S2633" s="71">
        <f t="shared" si="375"/>
        <v>0</v>
      </c>
      <c r="T2633" s="71">
        <f t="shared" si="376"/>
        <v>0</v>
      </c>
      <c r="U2633" s="71">
        <f>IF(AND(N2633=1,V2633=1),IF(COUNTIFS(AKTIVITAS!$B$2:$B$3052,B2633,AKTIVITAS!$E$2:$E$3052,H2633)&gt;0,1,0),0)</f>
        <v>0</v>
      </c>
      <c r="V2633" s="71">
        <f>IFERROR(IF(AND(H2633&gt;=INDEX(PEMAGANG!$J$3:$J$36,MATCH(B2633,PEMAGANG!$C$3:$C$36,0)),H2633&lt;=INDEX(PEMAGANG!$K$3:$K$36,MATCH(B2633,PEMAGANG!$C$3:$C$36,0))),1,0),0)</f>
        <v>1</v>
      </c>
      <c r="W2633" s="71">
        <f t="shared" si="377"/>
        <v>0</v>
      </c>
    </row>
    <row r="2634" spans="1:23" x14ac:dyDescent="0.2">
      <c r="A2634" s="71" t="s">
        <v>193</v>
      </c>
      <c r="B2634" s="71" t="s">
        <v>194</v>
      </c>
      <c r="C2634" s="71" t="s">
        <v>187</v>
      </c>
      <c r="D2634" s="71" t="s">
        <v>185</v>
      </c>
      <c r="E2634" s="71" t="s">
        <v>47</v>
      </c>
      <c r="F2634" s="71" t="s">
        <v>300</v>
      </c>
      <c r="G2634" s="88">
        <v>46289.697615740697</v>
      </c>
      <c r="H2634" s="89">
        <v>46289</v>
      </c>
      <c r="I2634" s="71" t="s">
        <v>312</v>
      </c>
      <c r="J2634" s="71">
        <v>0</v>
      </c>
      <c r="K2634" s="71" t="s">
        <v>302</v>
      </c>
      <c r="L2634" s="71">
        <f t="shared" si="369"/>
        <v>9</v>
      </c>
      <c r="M2634" s="71" t="str">
        <f>IFERROR(INDEX(KALENDER!$D$3:$D$132,MATCH(H2634,KALENDER!$A$3:$A$132,0)),"Di luar periode")</f>
        <v>Hari Kerja</v>
      </c>
      <c r="N2634" s="71">
        <f t="shared" si="370"/>
        <v>0</v>
      </c>
      <c r="O2634" s="71">
        <f t="shared" si="371"/>
        <v>2</v>
      </c>
      <c r="P2634" s="71">
        <f t="shared" si="372"/>
        <v>0</v>
      </c>
      <c r="Q2634" s="71">
        <f t="shared" si="373"/>
        <v>0</v>
      </c>
      <c r="R2634" s="71">
        <f t="shared" si="374"/>
        <v>0</v>
      </c>
      <c r="S2634" s="71">
        <f t="shared" si="375"/>
        <v>0</v>
      </c>
      <c r="T2634" s="71">
        <f t="shared" si="376"/>
        <v>0</v>
      </c>
      <c r="U2634" s="71">
        <f>IF(AND(N2634=1,V2634=1),IF(COUNTIFS(AKTIVITAS!$B$2:$B$3052,B2634,AKTIVITAS!$E$2:$E$3052,H2634)&gt;0,1,0),0)</f>
        <v>0</v>
      </c>
      <c r="V2634" s="71">
        <f>IFERROR(IF(AND(H2634&gt;=INDEX(PEMAGANG!$J$3:$J$36,MATCH(B2634,PEMAGANG!$C$3:$C$36,0)),H2634&lt;=INDEX(PEMAGANG!$K$3:$K$36,MATCH(B2634,PEMAGANG!$C$3:$C$36,0))),1,0),0)</f>
        <v>1</v>
      </c>
      <c r="W2634" s="71">
        <f t="shared" si="377"/>
        <v>0</v>
      </c>
    </row>
    <row r="2635" spans="1:23" x14ac:dyDescent="0.2">
      <c r="A2635" s="71" t="s">
        <v>193</v>
      </c>
      <c r="B2635" s="71" t="s">
        <v>194</v>
      </c>
      <c r="C2635" s="71" t="s">
        <v>187</v>
      </c>
      <c r="D2635" s="71" t="s">
        <v>185</v>
      </c>
      <c r="E2635" s="71" t="s">
        <v>47</v>
      </c>
      <c r="F2635" s="71" t="s">
        <v>298</v>
      </c>
      <c r="G2635" s="88">
        <v>46290.309537036999</v>
      </c>
      <c r="H2635" s="89">
        <v>46290</v>
      </c>
      <c r="I2635" s="71" t="s">
        <v>307</v>
      </c>
      <c r="J2635" s="71">
        <v>-4.9999999999999796</v>
      </c>
      <c r="K2635" s="71" t="s">
        <v>302</v>
      </c>
      <c r="L2635" s="71">
        <f t="shared" si="369"/>
        <v>9</v>
      </c>
      <c r="M2635" s="71" t="str">
        <f>IFERROR(INDEX(KALENDER!$D$3:$D$132,MATCH(H2635,KALENDER!$A$3:$A$132,0)),"Di luar periode")</f>
        <v>Hari Kerja</v>
      </c>
      <c r="N2635" s="71">
        <f t="shared" si="370"/>
        <v>1</v>
      </c>
      <c r="O2635" s="71">
        <f t="shared" si="371"/>
        <v>1</v>
      </c>
      <c r="P2635" s="71">
        <f t="shared" si="372"/>
        <v>1</v>
      </c>
      <c r="Q2635" s="71">
        <f t="shared" si="373"/>
        <v>0</v>
      </c>
      <c r="R2635" s="71">
        <f t="shared" si="374"/>
        <v>0</v>
      </c>
      <c r="S2635" s="71">
        <f t="shared" si="375"/>
        <v>0</v>
      </c>
      <c r="T2635" s="71">
        <f t="shared" si="376"/>
        <v>0</v>
      </c>
      <c r="U2635" s="71">
        <f>IF(AND(N2635=1,V2635=1),IF(COUNTIFS(AKTIVITAS!$B$2:$B$3052,B2635,AKTIVITAS!$E$2:$E$3052,H2635)&gt;0,1,0),0)</f>
        <v>1</v>
      </c>
      <c r="V2635" s="71">
        <f>IFERROR(IF(AND(H2635&gt;=INDEX(PEMAGANG!$J$3:$J$36,MATCH(B2635,PEMAGANG!$C$3:$C$36,0)),H2635&lt;=INDEX(PEMAGANG!$K$3:$K$36,MATCH(B2635,PEMAGANG!$C$3:$C$36,0))),1,0),0)</f>
        <v>1</v>
      </c>
      <c r="W2635" s="71">
        <f t="shared" si="377"/>
        <v>1</v>
      </c>
    </row>
    <row r="2636" spans="1:23" x14ac:dyDescent="0.2">
      <c r="A2636" s="71" t="s">
        <v>193</v>
      </c>
      <c r="B2636" s="71" t="s">
        <v>194</v>
      </c>
      <c r="C2636" s="71" t="s">
        <v>187</v>
      </c>
      <c r="D2636" s="71" t="s">
        <v>185</v>
      </c>
      <c r="E2636" s="71" t="s">
        <v>47</v>
      </c>
      <c r="F2636" s="71" t="s">
        <v>300</v>
      </c>
      <c r="G2636" s="88">
        <v>46290.710821759298</v>
      </c>
      <c r="H2636" s="89">
        <v>46290</v>
      </c>
      <c r="I2636" s="71" t="s">
        <v>450</v>
      </c>
      <c r="J2636" s="71">
        <v>0</v>
      </c>
      <c r="K2636" s="71" t="s">
        <v>302</v>
      </c>
      <c r="L2636" s="71">
        <f t="shared" si="369"/>
        <v>9</v>
      </c>
      <c r="M2636" s="71" t="str">
        <f>IFERROR(INDEX(KALENDER!$D$3:$D$132,MATCH(H2636,KALENDER!$A$3:$A$132,0)),"Di luar periode")</f>
        <v>Hari Kerja</v>
      </c>
      <c r="N2636" s="71">
        <f t="shared" si="370"/>
        <v>0</v>
      </c>
      <c r="O2636" s="71">
        <f t="shared" si="371"/>
        <v>1</v>
      </c>
      <c r="P2636" s="71">
        <f t="shared" si="372"/>
        <v>0</v>
      </c>
      <c r="Q2636" s="71">
        <f t="shared" si="373"/>
        <v>0</v>
      </c>
      <c r="R2636" s="71">
        <f t="shared" si="374"/>
        <v>0</v>
      </c>
      <c r="S2636" s="71">
        <f t="shared" si="375"/>
        <v>0</v>
      </c>
      <c r="T2636" s="71">
        <f t="shared" si="376"/>
        <v>0</v>
      </c>
      <c r="U2636" s="71">
        <f>IF(AND(N2636=1,V2636=1),IF(COUNTIFS(AKTIVITAS!$B$2:$B$3052,B2636,AKTIVITAS!$E$2:$E$3052,H2636)&gt;0,1,0),0)</f>
        <v>0</v>
      </c>
      <c r="V2636" s="71">
        <f>IFERROR(IF(AND(H2636&gt;=INDEX(PEMAGANG!$J$3:$J$36,MATCH(B2636,PEMAGANG!$C$3:$C$36,0)),H2636&lt;=INDEX(PEMAGANG!$K$3:$K$36,MATCH(B2636,PEMAGANG!$C$3:$C$36,0))),1,0),0)</f>
        <v>1</v>
      </c>
      <c r="W2636" s="71">
        <f t="shared" si="377"/>
        <v>0</v>
      </c>
    </row>
    <row r="2637" spans="1:23" x14ac:dyDescent="0.2">
      <c r="A2637" s="71" t="s">
        <v>193</v>
      </c>
      <c r="B2637" s="71" t="s">
        <v>194</v>
      </c>
      <c r="C2637" s="71" t="s">
        <v>187</v>
      </c>
      <c r="D2637" s="71" t="s">
        <v>185</v>
      </c>
      <c r="E2637" s="71" t="s">
        <v>47</v>
      </c>
      <c r="F2637" s="71" t="s">
        <v>298</v>
      </c>
      <c r="G2637" s="88">
        <v>46293.294247685197</v>
      </c>
      <c r="H2637" s="89">
        <v>46293</v>
      </c>
      <c r="I2637" s="71" t="s">
        <v>483</v>
      </c>
      <c r="J2637" s="71">
        <v>-27</v>
      </c>
      <c r="K2637" s="71" t="s">
        <v>302</v>
      </c>
      <c r="L2637" s="71">
        <f t="shared" si="369"/>
        <v>9</v>
      </c>
      <c r="M2637" s="71" t="str">
        <f>IFERROR(INDEX(KALENDER!$D$3:$D$132,MATCH(H2637,KALENDER!$A$3:$A$132,0)),"Di luar periode")</f>
        <v>Hari Kerja</v>
      </c>
      <c r="N2637" s="71">
        <f t="shared" si="370"/>
        <v>1</v>
      </c>
      <c r="O2637" s="71">
        <f t="shared" si="371"/>
        <v>1</v>
      </c>
      <c r="P2637" s="71">
        <f t="shared" si="372"/>
        <v>1</v>
      </c>
      <c r="Q2637" s="71">
        <f t="shared" si="373"/>
        <v>0</v>
      </c>
      <c r="R2637" s="71">
        <f t="shared" si="374"/>
        <v>0</v>
      </c>
      <c r="S2637" s="71">
        <f t="shared" si="375"/>
        <v>0</v>
      </c>
      <c r="T2637" s="71">
        <f t="shared" si="376"/>
        <v>0</v>
      </c>
      <c r="U2637" s="71">
        <f>IF(AND(N2637=1,V2637=1),IF(COUNTIFS(AKTIVITAS!$B$2:$B$3052,B2637,AKTIVITAS!$E$2:$E$3052,H2637)&gt;0,1,0),0)</f>
        <v>1</v>
      </c>
      <c r="V2637" s="71">
        <f>IFERROR(IF(AND(H2637&gt;=INDEX(PEMAGANG!$J$3:$J$36,MATCH(B2637,PEMAGANG!$C$3:$C$36,0)),H2637&lt;=INDEX(PEMAGANG!$K$3:$K$36,MATCH(B2637,PEMAGANG!$C$3:$C$36,0))),1,0),0)</f>
        <v>1</v>
      </c>
      <c r="W2637" s="71">
        <f t="shared" si="377"/>
        <v>1</v>
      </c>
    </row>
    <row r="2638" spans="1:23" x14ac:dyDescent="0.2">
      <c r="A2638" s="71" t="s">
        <v>193</v>
      </c>
      <c r="B2638" s="71" t="s">
        <v>194</v>
      </c>
      <c r="C2638" s="71" t="s">
        <v>187</v>
      </c>
      <c r="D2638" s="71" t="s">
        <v>185</v>
      </c>
      <c r="E2638" s="71" t="s">
        <v>47</v>
      </c>
      <c r="F2638" s="71" t="s">
        <v>300</v>
      </c>
      <c r="G2638" s="88">
        <v>46293.691967592596</v>
      </c>
      <c r="H2638" s="89">
        <v>46293</v>
      </c>
      <c r="I2638" s="71" t="s">
        <v>344</v>
      </c>
      <c r="J2638" s="71">
        <v>0</v>
      </c>
      <c r="K2638" s="71" t="s">
        <v>302</v>
      </c>
      <c r="L2638" s="71">
        <f t="shared" si="369"/>
        <v>9</v>
      </c>
      <c r="M2638" s="71" t="str">
        <f>IFERROR(INDEX(KALENDER!$D$3:$D$132,MATCH(H2638,KALENDER!$A$3:$A$132,0)),"Di luar periode")</f>
        <v>Hari Kerja</v>
      </c>
      <c r="N2638" s="71">
        <f t="shared" si="370"/>
        <v>0</v>
      </c>
      <c r="O2638" s="71">
        <f t="shared" si="371"/>
        <v>1</v>
      </c>
      <c r="P2638" s="71">
        <f t="shared" si="372"/>
        <v>0</v>
      </c>
      <c r="Q2638" s="71">
        <f t="shared" si="373"/>
        <v>0</v>
      </c>
      <c r="R2638" s="71">
        <f t="shared" si="374"/>
        <v>0</v>
      </c>
      <c r="S2638" s="71">
        <f t="shared" si="375"/>
        <v>0</v>
      </c>
      <c r="T2638" s="71">
        <f t="shared" si="376"/>
        <v>0</v>
      </c>
      <c r="U2638" s="71">
        <f>IF(AND(N2638=1,V2638=1),IF(COUNTIFS(AKTIVITAS!$B$2:$B$3052,B2638,AKTIVITAS!$E$2:$E$3052,H2638)&gt;0,1,0),0)</f>
        <v>0</v>
      </c>
      <c r="V2638" s="71">
        <f>IFERROR(IF(AND(H2638&gt;=INDEX(PEMAGANG!$J$3:$J$36,MATCH(B2638,PEMAGANG!$C$3:$C$36,0)),H2638&lt;=INDEX(PEMAGANG!$K$3:$K$36,MATCH(B2638,PEMAGANG!$C$3:$C$36,0))),1,0),0)</f>
        <v>1</v>
      </c>
      <c r="W2638" s="71">
        <f t="shared" si="377"/>
        <v>0</v>
      </c>
    </row>
    <row r="2639" spans="1:23" x14ac:dyDescent="0.2">
      <c r="A2639" s="71" t="s">
        <v>193</v>
      </c>
      <c r="B2639" s="71" t="s">
        <v>194</v>
      </c>
      <c r="C2639" s="71" t="s">
        <v>187</v>
      </c>
      <c r="D2639" s="71" t="s">
        <v>185</v>
      </c>
      <c r="E2639" s="71" t="s">
        <v>47</v>
      </c>
      <c r="F2639" s="71" t="s">
        <v>300</v>
      </c>
      <c r="G2639" s="88">
        <v>46293.692465277803</v>
      </c>
      <c r="H2639" s="89">
        <v>46293</v>
      </c>
      <c r="I2639" s="71" t="s">
        <v>328</v>
      </c>
      <c r="J2639" s="71">
        <v>0</v>
      </c>
      <c r="K2639" s="71" t="s">
        <v>302</v>
      </c>
      <c r="L2639" s="71">
        <f t="shared" si="369"/>
        <v>9</v>
      </c>
      <c r="M2639" s="71" t="str">
        <f>IFERROR(INDEX(KALENDER!$D$3:$D$132,MATCH(H2639,KALENDER!$A$3:$A$132,0)),"Di luar periode")</f>
        <v>Hari Kerja</v>
      </c>
      <c r="N2639" s="71">
        <f t="shared" si="370"/>
        <v>0</v>
      </c>
      <c r="O2639" s="71">
        <f t="shared" si="371"/>
        <v>1</v>
      </c>
      <c r="P2639" s="71">
        <f t="shared" si="372"/>
        <v>0</v>
      </c>
      <c r="Q2639" s="71">
        <f t="shared" si="373"/>
        <v>0</v>
      </c>
      <c r="R2639" s="71">
        <f t="shared" si="374"/>
        <v>0</v>
      </c>
      <c r="S2639" s="71">
        <f t="shared" si="375"/>
        <v>0</v>
      </c>
      <c r="T2639" s="71">
        <f t="shared" si="376"/>
        <v>0</v>
      </c>
      <c r="U2639" s="71">
        <f>IF(AND(N2639=1,V2639=1),IF(COUNTIFS(AKTIVITAS!$B$2:$B$3052,B2639,AKTIVITAS!$E$2:$E$3052,H2639)&gt;0,1,0),0)</f>
        <v>0</v>
      </c>
      <c r="V2639" s="71">
        <f>IFERROR(IF(AND(H2639&gt;=INDEX(PEMAGANG!$J$3:$J$36,MATCH(B2639,PEMAGANG!$C$3:$C$36,0)),H2639&lt;=INDEX(PEMAGANG!$K$3:$K$36,MATCH(B2639,PEMAGANG!$C$3:$C$36,0))),1,0),0)</f>
        <v>1</v>
      </c>
      <c r="W2639" s="71">
        <f t="shared" si="377"/>
        <v>0</v>
      </c>
    </row>
    <row r="2640" spans="1:23" x14ac:dyDescent="0.2">
      <c r="A2640" s="71" t="s">
        <v>193</v>
      </c>
      <c r="B2640" s="71" t="s">
        <v>194</v>
      </c>
      <c r="C2640" s="71" t="s">
        <v>187</v>
      </c>
      <c r="D2640" s="71" t="s">
        <v>185</v>
      </c>
      <c r="E2640" s="71" t="s">
        <v>47</v>
      </c>
      <c r="F2640" s="71" t="s">
        <v>298</v>
      </c>
      <c r="G2640" s="88">
        <v>46294.3061689815</v>
      </c>
      <c r="H2640" s="89">
        <v>46294</v>
      </c>
      <c r="I2640" s="71" t="s">
        <v>329</v>
      </c>
      <c r="J2640" s="71">
        <v>-10</v>
      </c>
      <c r="K2640" s="71" t="s">
        <v>302</v>
      </c>
      <c r="L2640" s="71">
        <f t="shared" si="369"/>
        <v>9</v>
      </c>
      <c r="M2640" s="71" t="str">
        <f>IFERROR(INDEX(KALENDER!$D$3:$D$132,MATCH(H2640,KALENDER!$A$3:$A$132,0)),"Di luar periode")</f>
        <v>Hari Kerja</v>
      </c>
      <c r="N2640" s="71">
        <f t="shared" si="370"/>
        <v>1</v>
      </c>
      <c r="O2640" s="71">
        <f t="shared" si="371"/>
        <v>1</v>
      </c>
      <c r="P2640" s="71">
        <f t="shared" si="372"/>
        <v>1</v>
      </c>
      <c r="Q2640" s="71">
        <f t="shared" si="373"/>
        <v>0</v>
      </c>
      <c r="R2640" s="71">
        <f t="shared" si="374"/>
        <v>0</v>
      </c>
      <c r="S2640" s="71">
        <f t="shared" si="375"/>
        <v>0</v>
      </c>
      <c r="T2640" s="71">
        <f t="shared" si="376"/>
        <v>0</v>
      </c>
      <c r="U2640" s="71">
        <f>IF(AND(N2640=1,V2640=1),IF(COUNTIFS(AKTIVITAS!$B$2:$B$3052,B2640,AKTIVITAS!$E$2:$E$3052,H2640)&gt;0,1,0),0)</f>
        <v>1</v>
      </c>
      <c r="V2640" s="71">
        <f>IFERROR(IF(AND(H2640&gt;=INDEX(PEMAGANG!$J$3:$J$36,MATCH(B2640,PEMAGANG!$C$3:$C$36,0)),H2640&lt;=INDEX(PEMAGANG!$K$3:$K$36,MATCH(B2640,PEMAGANG!$C$3:$C$36,0))),1,0),0)</f>
        <v>1</v>
      </c>
      <c r="W2640" s="71">
        <f t="shared" si="377"/>
        <v>1</v>
      </c>
    </row>
    <row r="2641" spans="1:23" x14ac:dyDescent="0.2">
      <c r="A2641" s="71" t="s">
        <v>193</v>
      </c>
      <c r="B2641" s="71" t="s">
        <v>194</v>
      </c>
      <c r="C2641" s="71" t="s">
        <v>187</v>
      </c>
      <c r="D2641" s="71" t="s">
        <v>185</v>
      </c>
      <c r="E2641" s="71" t="s">
        <v>47</v>
      </c>
      <c r="F2641" s="71" t="s">
        <v>300</v>
      </c>
      <c r="G2641" s="88">
        <v>46294.688518518502</v>
      </c>
      <c r="H2641" s="89">
        <v>46294</v>
      </c>
      <c r="I2641" s="71" t="s">
        <v>336</v>
      </c>
      <c r="J2641" s="71">
        <v>0</v>
      </c>
      <c r="K2641" s="71" t="s">
        <v>302</v>
      </c>
      <c r="L2641" s="71">
        <f t="shared" si="369"/>
        <v>9</v>
      </c>
      <c r="M2641" s="71" t="str">
        <f>IFERROR(INDEX(KALENDER!$D$3:$D$132,MATCH(H2641,KALENDER!$A$3:$A$132,0)),"Di luar periode")</f>
        <v>Hari Kerja</v>
      </c>
      <c r="N2641" s="71">
        <f t="shared" si="370"/>
        <v>0</v>
      </c>
      <c r="O2641" s="71">
        <f t="shared" si="371"/>
        <v>1</v>
      </c>
      <c r="P2641" s="71">
        <f t="shared" si="372"/>
        <v>0</v>
      </c>
      <c r="Q2641" s="71">
        <f t="shared" si="373"/>
        <v>0</v>
      </c>
      <c r="R2641" s="71">
        <f t="shared" si="374"/>
        <v>0</v>
      </c>
      <c r="S2641" s="71">
        <f t="shared" si="375"/>
        <v>0</v>
      </c>
      <c r="T2641" s="71">
        <f t="shared" si="376"/>
        <v>0</v>
      </c>
      <c r="U2641" s="71">
        <f>IF(AND(N2641=1,V2641=1),IF(COUNTIFS(AKTIVITAS!$B$2:$B$3052,B2641,AKTIVITAS!$E$2:$E$3052,H2641)&gt;0,1,0),0)</f>
        <v>0</v>
      </c>
      <c r="V2641" s="71">
        <f>IFERROR(IF(AND(H2641&gt;=INDEX(PEMAGANG!$J$3:$J$36,MATCH(B2641,PEMAGANG!$C$3:$C$36,0)),H2641&lt;=INDEX(PEMAGANG!$K$3:$K$36,MATCH(B2641,PEMAGANG!$C$3:$C$36,0))),1,0),0)</f>
        <v>1</v>
      </c>
      <c r="W2641" s="71">
        <f t="shared" si="377"/>
        <v>0</v>
      </c>
    </row>
    <row r="2642" spans="1:23" x14ac:dyDescent="0.2">
      <c r="A2642" s="71" t="s">
        <v>193</v>
      </c>
      <c r="B2642" s="71" t="s">
        <v>194</v>
      </c>
      <c r="C2642" s="71" t="s">
        <v>187</v>
      </c>
      <c r="D2642" s="71" t="s">
        <v>185</v>
      </c>
      <c r="E2642" s="71" t="s">
        <v>47</v>
      </c>
      <c r="F2642" s="71" t="s">
        <v>298</v>
      </c>
      <c r="G2642" s="88">
        <v>46295.302962962996</v>
      </c>
      <c r="H2642" s="89">
        <v>46295</v>
      </c>
      <c r="I2642" s="71" t="s">
        <v>327</v>
      </c>
      <c r="J2642" s="71">
        <v>-14</v>
      </c>
      <c r="K2642" s="71" t="s">
        <v>302</v>
      </c>
      <c r="L2642" s="71">
        <f t="shared" si="369"/>
        <v>9</v>
      </c>
      <c r="M2642" s="71" t="str">
        <f>IFERROR(INDEX(KALENDER!$D$3:$D$132,MATCH(H2642,KALENDER!$A$3:$A$132,0)),"Di luar periode")</f>
        <v>Hari Kerja</v>
      </c>
      <c r="N2642" s="71">
        <f t="shared" si="370"/>
        <v>1</v>
      </c>
      <c r="O2642" s="71">
        <f t="shared" si="371"/>
        <v>1</v>
      </c>
      <c r="P2642" s="71">
        <f t="shared" si="372"/>
        <v>1</v>
      </c>
      <c r="Q2642" s="71">
        <f t="shared" si="373"/>
        <v>0</v>
      </c>
      <c r="R2642" s="71">
        <f t="shared" si="374"/>
        <v>0</v>
      </c>
      <c r="S2642" s="71">
        <f t="shared" si="375"/>
        <v>0</v>
      </c>
      <c r="T2642" s="71">
        <f t="shared" si="376"/>
        <v>0</v>
      </c>
      <c r="U2642" s="71">
        <f>IF(AND(N2642=1,V2642=1),IF(COUNTIFS(AKTIVITAS!$B$2:$B$3052,B2642,AKTIVITAS!$E$2:$E$3052,H2642)&gt;0,1,0),0)</f>
        <v>1</v>
      </c>
      <c r="V2642" s="71">
        <f>IFERROR(IF(AND(H2642&gt;=INDEX(PEMAGANG!$J$3:$J$36,MATCH(B2642,PEMAGANG!$C$3:$C$36,0)),H2642&lt;=INDEX(PEMAGANG!$K$3:$K$36,MATCH(B2642,PEMAGANG!$C$3:$C$36,0))),1,0),0)</f>
        <v>1</v>
      </c>
      <c r="W2642" s="71">
        <f t="shared" si="377"/>
        <v>1</v>
      </c>
    </row>
    <row r="2643" spans="1:23" x14ac:dyDescent="0.2">
      <c r="A2643" s="71" t="s">
        <v>193</v>
      </c>
      <c r="B2643" s="71" t="s">
        <v>194</v>
      </c>
      <c r="C2643" s="71" t="s">
        <v>187</v>
      </c>
      <c r="D2643" s="71" t="s">
        <v>185</v>
      </c>
      <c r="E2643" s="71" t="s">
        <v>47</v>
      </c>
      <c r="F2643" s="71" t="s">
        <v>300</v>
      </c>
      <c r="G2643" s="88">
        <v>46295.690370370401</v>
      </c>
      <c r="H2643" s="89">
        <v>46295</v>
      </c>
      <c r="I2643" s="71" t="s">
        <v>314</v>
      </c>
      <c r="J2643" s="71">
        <v>0</v>
      </c>
      <c r="K2643" s="71" t="s">
        <v>302</v>
      </c>
      <c r="L2643" s="71">
        <f t="shared" si="369"/>
        <v>9</v>
      </c>
      <c r="M2643" s="71" t="str">
        <f>IFERROR(INDEX(KALENDER!$D$3:$D$132,MATCH(H2643,KALENDER!$A$3:$A$132,0)),"Di luar periode")</f>
        <v>Hari Kerja</v>
      </c>
      <c r="N2643" s="71">
        <f t="shared" si="370"/>
        <v>0</v>
      </c>
      <c r="O2643" s="71">
        <f t="shared" si="371"/>
        <v>1</v>
      </c>
      <c r="P2643" s="71">
        <f t="shared" si="372"/>
        <v>0</v>
      </c>
      <c r="Q2643" s="71">
        <f t="shared" si="373"/>
        <v>0</v>
      </c>
      <c r="R2643" s="71">
        <f t="shared" si="374"/>
        <v>0</v>
      </c>
      <c r="S2643" s="71">
        <f t="shared" si="375"/>
        <v>0</v>
      </c>
      <c r="T2643" s="71">
        <f t="shared" si="376"/>
        <v>0</v>
      </c>
      <c r="U2643" s="71">
        <f>IF(AND(N2643=1,V2643=1),IF(COUNTIFS(AKTIVITAS!$B$2:$B$3052,B2643,AKTIVITAS!$E$2:$E$3052,H2643)&gt;0,1,0),0)</f>
        <v>0</v>
      </c>
      <c r="V2643" s="71">
        <f>IFERROR(IF(AND(H2643&gt;=INDEX(PEMAGANG!$J$3:$J$36,MATCH(B2643,PEMAGANG!$C$3:$C$36,0)),H2643&lt;=INDEX(PEMAGANG!$K$3:$K$36,MATCH(B2643,PEMAGANG!$C$3:$C$36,0))),1,0),0)</f>
        <v>1</v>
      </c>
      <c r="W2643" s="71">
        <f t="shared" si="377"/>
        <v>0</v>
      </c>
    </row>
    <row r="2644" spans="1:23" x14ac:dyDescent="0.2">
      <c r="A2644" s="71" t="s">
        <v>673</v>
      </c>
      <c r="B2644" s="71" t="s">
        <v>674</v>
      </c>
      <c r="C2644" s="71" t="s">
        <v>187</v>
      </c>
      <c r="D2644" s="71" t="s">
        <v>421</v>
      </c>
      <c r="E2644" s="71" t="s">
        <v>422</v>
      </c>
      <c r="F2644" s="71" t="s">
        <v>300</v>
      </c>
      <c r="G2644" s="88">
        <v>46219.709374999999</v>
      </c>
      <c r="H2644" s="89">
        <v>46219</v>
      </c>
      <c r="I2644" s="71" t="s">
        <v>333</v>
      </c>
      <c r="J2644" s="71">
        <v>0</v>
      </c>
      <c r="K2644" s="71" t="s">
        <v>302</v>
      </c>
      <c r="L2644" s="71">
        <f t="shared" si="369"/>
        <v>7</v>
      </c>
      <c r="M2644" s="71" t="str">
        <f>IFERROR(INDEX(KALENDER!$D$3:$D$132,MATCH(H2644,KALENDER!$A$3:$A$132,0)),"Di luar periode")</f>
        <v>Hari Kerja</v>
      </c>
      <c r="N2644" s="71">
        <f t="shared" si="370"/>
        <v>1</v>
      </c>
      <c r="O2644" s="71">
        <f t="shared" si="371"/>
        <v>0</v>
      </c>
      <c r="P2644" s="71">
        <f t="shared" si="372"/>
        <v>0</v>
      </c>
      <c r="Q2644" s="71">
        <f t="shared" si="373"/>
        <v>1</v>
      </c>
      <c r="R2644" s="71">
        <f t="shared" si="374"/>
        <v>0</v>
      </c>
      <c r="S2644" s="71">
        <f t="shared" si="375"/>
        <v>0</v>
      </c>
      <c r="T2644" s="71">
        <f t="shared" si="376"/>
        <v>0</v>
      </c>
      <c r="U2644" s="71">
        <f>IF(AND(N2644=1,V2644=1),IF(COUNTIFS(AKTIVITAS!$B$2:$B$3052,B2644,AKTIVITAS!$E$2:$E$3052,H2644)&gt;0,1,0),0)</f>
        <v>0</v>
      </c>
      <c r="V2644" s="71">
        <f>IFERROR(IF(AND(H2644&gt;=INDEX(PEMAGANG!$J$3:$J$36,MATCH(B2644,PEMAGANG!$C$3:$C$36,0)),H2644&lt;=INDEX(PEMAGANG!$K$3:$K$36,MATCH(B2644,PEMAGANG!$C$3:$C$36,0))),1,0),0)</f>
        <v>0</v>
      </c>
      <c r="W2644" s="71">
        <f t="shared" si="377"/>
        <v>0</v>
      </c>
    </row>
    <row r="2645" spans="1:23" x14ac:dyDescent="0.2">
      <c r="A2645" s="71" t="s">
        <v>673</v>
      </c>
      <c r="B2645" s="71" t="s">
        <v>674</v>
      </c>
      <c r="C2645" s="71" t="s">
        <v>187</v>
      </c>
      <c r="D2645" s="71" t="s">
        <v>421</v>
      </c>
      <c r="E2645" s="71" t="s">
        <v>422</v>
      </c>
      <c r="F2645" s="71" t="s">
        <v>298</v>
      </c>
      <c r="G2645" s="88">
        <v>46220.244456018503</v>
      </c>
      <c r="H2645" s="89">
        <v>46220</v>
      </c>
      <c r="I2645" s="71" t="s">
        <v>446</v>
      </c>
      <c r="J2645" s="71">
        <v>-128</v>
      </c>
      <c r="K2645" s="71" t="s">
        <v>302</v>
      </c>
      <c r="L2645" s="71">
        <f t="shared" si="369"/>
        <v>7</v>
      </c>
      <c r="M2645" s="71" t="str">
        <f>IFERROR(INDEX(KALENDER!$D$3:$D$132,MATCH(H2645,KALENDER!$A$3:$A$132,0)),"Di luar periode")</f>
        <v>Hari Kerja</v>
      </c>
      <c r="N2645" s="71">
        <f t="shared" si="370"/>
        <v>1</v>
      </c>
      <c r="O2645" s="71">
        <f t="shared" si="371"/>
        <v>1</v>
      </c>
      <c r="P2645" s="71">
        <f t="shared" si="372"/>
        <v>0</v>
      </c>
      <c r="Q2645" s="71">
        <f t="shared" si="373"/>
        <v>1</v>
      </c>
      <c r="R2645" s="71">
        <f t="shared" si="374"/>
        <v>0</v>
      </c>
      <c r="S2645" s="71">
        <f t="shared" si="375"/>
        <v>0</v>
      </c>
      <c r="T2645" s="71">
        <f t="shared" si="376"/>
        <v>0</v>
      </c>
      <c r="U2645" s="71">
        <f>IF(AND(N2645=1,V2645=1),IF(COUNTIFS(AKTIVITAS!$B$2:$B$3052,B2645,AKTIVITAS!$E$2:$E$3052,H2645)&gt;0,1,0),0)</f>
        <v>0</v>
      </c>
      <c r="V2645" s="71">
        <f>IFERROR(IF(AND(H2645&gt;=INDEX(PEMAGANG!$J$3:$J$36,MATCH(B2645,PEMAGANG!$C$3:$C$36,0)),H2645&lt;=INDEX(PEMAGANG!$K$3:$K$36,MATCH(B2645,PEMAGANG!$C$3:$C$36,0))),1,0),0)</f>
        <v>0</v>
      </c>
      <c r="W2645" s="71">
        <f t="shared" si="377"/>
        <v>0</v>
      </c>
    </row>
    <row r="2646" spans="1:23" x14ac:dyDescent="0.2">
      <c r="A2646" s="71" t="s">
        <v>673</v>
      </c>
      <c r="B2646" s="71" t="s">
        <v>674</v>
      </c>
      <c r="C2646" s="71" t="s">
        <v>187</v>
      </c>
      <c r="D2646" s="71" t="s">
        <v>421</v>
      </c>
      <c r="E2646" s="71" t="s">
        <v>422</v>
      </c>
      <c r="F2646" s="71" t="s">
        <v>300</v>
      </c>
      <c r="G2646" s="88">
        <v>46220.7096759259</v>
      </c>
      <c r="H2646" s="89">
        <v>46220</v>
      </c>
      <c r="I2646" s="71" t="s">
        <v>333</v>
      </c>
      <c r="J2646" s="71">
        <v>0</v>
      </c>
      <c r="K2646" s="71" t="s">
        <v>302</v>
      </c>
      <c r="L2646" s="71">
        <f t="shared" si="369"/>
        <v>7</v>
      </c>
      <c r="M2646" s="71" t="str">
        <f>IFERROR(INDEX(KALENDER!$D$3:$D$132,MATCH(H2646,KALENDER!$A$3:$A$132,0)),"Di luar periode")</f>
        <v>Hari Kerja</v>
      </c>
      <c r="N2646" s="71">
        <f t="shared" si="370"/>
        <v>0</v>
      </c>
      <c r="O2646" s="71">
        <f t="shared" si="371"/>
        <v>1</v>
      </c>
      <c r="P2646" s="71">
        <f t="shared" si="372"/>
        <v>0</v>
      </c>
      <c r="Q2646" s="71">
        <f t="shared" si="373"/>
        <v>0</v>
      </c>
      <c r="R2646" s="71">
        <f t="shared" si="374"/>
        <v>0</v>
      </c>
      <c r="S2646" s="71">
        <f t="shared" si="375"/>
        <v>0</v>
      </c>
      <c r="T2646" s="71">
        <f t="shared" si="376"/>
        <v>0</v>
      </c>
      <c r="U2646" s="71">
        <f>IF(AND(N2646=1,V2646=1),IF(COUNTIFS(AKTIVITAS!$B$2:$B$3052,B2646,AKTIVITAS!$E$2:$E$3052,H2646)&gt;0,1,0),0)</f>
        <v>0</v>
      </c>
      <c r="V2646" s="71">
        <f>IFERROR(IF(AND(H2646&gt;=INDEX(PEMAGANG!$J$3:$J$36,MATCH(B2646,PEMAGANG!$C$3:$C$36,0)),H2646&lt;=INDEX(PEMAGANG!$K$3:$K$36,MATCH(B2646,PEMAGANG!$C$3:$C$36,0))),1,0),0)</f>
        <v>0</v>
      </c>
      <c r="W2646" s="71">
        <f t="shared" si="377"/>
        <v>0</v>
      </c>
    </row>
    <row r="2647" spans="1:23" x14ac:dyDescent="0.2">
      <c r="A2647" s="71" t="s">
        <v>673</v>
      </c>
      <c r="B2647" s="71" t="s">
        <v>674</v>
      </c>
      <c r="C2647" s="71" t="s">
        <v>187</v>
      </c>
      <c r="D2647" s="71" t="s">
        <v>421</v>
      </c>
      <c r="E2647" s="71" t="s">
        <v>422</v>
      </c>
      <c r="F2647" s="71" t="s">
        <v>298</v>
      </c>
      <c r="G2647" s="88">
        <v>46223.247037036999</v>
      </c>
      <c r="H2647" s="89">
        <v>46223</v>
      </c>
      <c r="I2647" s="71" t="s">
        <v>675</v>
      </c>
      <c r="J2647" s="71">
        <v>-125</v>
      </c>
      <c r="K2647" s="71" t="s">
        <v>302</v>
      </c>
      <c r="L2647" s="71">
        <f t="shared" si="369"/>
        <v>7</v>
      </c>
      <c r="M2647" s="71" t="str">
        <f>IFERROR(INDEX(KALENDER!$D$3:$D$132,MATCH(H2647,KALENDER!$A$3:$A$132,0)),"Di luar periode")</f>
        <v>Hari Kerja</v>
      </c>
      <c r="N2647" s="71">
        <f t="shared" si="370"/>
        <v>1</v>
      </c>
      <c r="O2647" s="71">
        <f t="shared" si="371"/>
        <v>1</v>
      </c>
      <c r="P2647" s="71">
        <f t="shared" si="372"/>
        <v>0</v>
      </c>
      <c r="Q2647" s="71">
        <f t="shared" si="373"/>
        <v>1</v>
      </c>
      <c r="R2647" s="71">
        <f t="shared" si="374"/>
        <v>0</v>
      </c>
      <c r="S2647" s="71">
        <f t="shared" si="375"/>
        <v>0</v>
      </c>
      <c r="T2647" s="71">
        <f t="shared" si="376"/>
        <v>0</v>
      </c>
      <c r="U2647" s="71">
        <f>IF(AND(N2647=1,V2647=1),IF(COUNTIFS(AKTIVITAS!$B$2:$B$3052,B2647,AKTIVITAS!$E$2:$E$3052,H2647)&gt;0,1,0),0)</f>
        <v>0</v>
      </c>
      <c r="V2647" s="71">
        <f>IFERROR(IF(AND(H2647&gt;=INDEX(PEMAGANG!$J$3:$J$36,MATCH(B2647,PEMAGANG!$C$3:$C$36,0)),H2647&lt;=INDEX(PEMAGANG!$K$3:$K$36,MATCH(B2647,PEMAGANG!$C$3:$C$36,0))),1,0),0)</f>
        <v>0</v>
      </c>
      <c r="W2647" s="71">
        <f t="shared" si="377"/>
        <v>0</v>
      </c>
    </row>
    <row r="2648" spans="1:23" x14ac:dyDescent="0.2">
      <c r="A2648" s="71" t="s">
        <v>673</v>
      </c>
      <c r="B2648" s="71" t="s">
        <v>674</v>
      </c>
      <c r="C2648" s="71" t="s">
        <v>187</v>
      </c>
      <c r="D2648" s="71" t="s">
        <v>421</v>
      </c>
      <c r="E2648" s="71" t="s">
        <v>422</v>
      </c>
      <c r="F2648" s="71" t="s">
        <v>300</v>
      </c>
      <c r="G2648" s="88">
        <v>46223.711111111101</v>
      </c>
      <c r="H2648" s="89">
        <v>46223</v>
      </c>
      <c r="I2648" s="71" t="s">
        <v>378</v>
      </c>
      <c r="J2648" s="71">
        <v>0</v>
      </c>
      <c r="K2648" s="71" t="s">
        <v>302</v>
      </c>
      <c r="L2648" s="71">
        <f t="shared" si="369"/>
        <v>7</v>
      </c>
      <c r="M2648" s="71" t="str">
        <f>IFERROR(INDEX(KALENDER!$D$3:$D$132,MATCH(H2648,KALENDER!$A$3:$A$132,0)),"Di luar periode")</f>
        <v>Hari Kerja</v>
      </c>
      <c r="N2648" s="71">
        <f t="shared" si="370"/>
        <v>0</v>
      </c>
      <c r="O2648" s="71">
        <f t="shared" si="371"/>
        <v>1</v>
      </c>
      <c r="P2648" s="71">
        <f t="shared" si="372"/>
        <v>0</v>
      </c>
      <c r="Q2648" s="71">
        <f t="shared" si="373"/>
        <v>0</v>
      </c>
      <c r="R2648" s="71">
        <f t="shared" si="374"/>
        <v>0</v>
      </c>
      <c r="S2648" s="71">
        <f t="shared" si="375"/>
        <v>0</v>
      </c>
      <c r="T2648" s="71">
        <f t="shared" si="376"/>
        <v>0</v>
      </c>
      <c r="U2648" s="71">
        <f>IF(AND(N2648=1,V2648=1),IF(COUNTIFS(AKTIVITAS!$B$2:$B$3052,B2648,AKTIVITAS!$E$2:$E$3052,H2648)&gt;0,1,0),0)</f>
        <v>0</v>
      </c>
      <c r="V2648" s="71">
        <f>IFERROR(IF(AND(H2648&gt;=INDEX(PEMAGANG!$J$3:$J$36,MATCH(B2648,PEMAGANG!$C$3:$C$36,0)),H2648&lt;=INDEX(PEMAGANG!$K$3:$K$36,MATCH(B2648,PEMAGANG!$C$3:$C$36,0))),1,0),0)</f>
        <v>0</v>
      </c>
      <c r="W2648" s="71">
        <f t="shared" si="377"/>
        <v>0</v>
      </c>
    </row>
    <row r="2649" spans="1:23" x14ac:dyDescent="0.2">
      <c r="A2649" s="71" t="s">
        <v>673</v>
      </c>
      <c r="B2649" s="71" t="s">
        <v>674</v>
      </c>
      <c r="C2649" s="71" t="s">
        <v>187</v>
      </c>
      <c r="D2649" s="71" t="s">
        <v>421</v>
      </c>
      <c r="E2649" s="71" t="s">
        <v>422</v>
      </c>
      <c r="F2649" s="71" t="s">
        <v>298</v>
      </c>
      <c r="G2649" s="88">
        <v>46224.245787036998</v>
      </c>
      <c r="H2649" s="89">
        <v>46224</v>
      </c>
      <c r="I2649" s="71" t="s">
        <v>676</v>
      </c>
      <c r="J2649" s="71">
        <v>-127</v>
      </c>
      <c r="K2649" s="71" t="s">
        <v>302</v>
      </c>
      <c r="L2649" s="71">
        <f t="shared" si="369"/>
        <v>7</v>
      </c>
      <c r="M2649" s="71" t="str">
        <f>IFERROR(INDEX(KALENDER!$D$3:$D$132,MATCH(H2649,KALENDER!$A$3:$A$132,0)),"Di luar periode")</f>
        <v>Hari Kerja</v>
      </c>
      <c r="N2649" s="71">
        <f t="shared" si="370"/>
        <v>1</v>
      </c>
      <c r="O2649" s="71">
        <f t="shared" si="371"/>
        <v>1</v>
      </c>
      <c r="P2649" s="71">
        <f t="shared" si="372"/>
        <v>0</v>
      </c>
      <c r="Q2649" s="71">
        <f t="shared" si="373"/>
        <v>1</v>
      </c>
      <c r="R2649" s="71">
        <f t="shared" si="374"/>
        <v>0</v>
      </c>
      <c r="S2649" s="71">
        <f t="shared" si="375"/>
        <v>0</v>
      </c>
      <c r="T2649" s="71">
        <f t="shared" si="376"/>
        <v>0</v>
      </c>
      <c r="U2649" s="71">
        <f>IF(AND(N2649=1,V2649=1),IF(COUNTIFS(AKTIVITAS!$B$2:$B$3052,B2649,AKTIVITAS!$E$2:$E$3052,H2649)&gt;0,1,0),0)</f>
        <v>0</v>
      </c>
      <c r="V2649" s="71">
        <f>IFERROR(IF(AND(H2649&gt;=INDEX(PEMAGANG!$J$3:$J$36,MATCH(B2649,PEMAGANG!$C$3:$C$36,0)),H2649&lt;=INDEX(PEMAGANG!$K$3:$K$36,MATCH(B2649,PEMAGANG!$C$3:$C$36,0))),1,0),0)</f>
        <v>0</v>
      </c>
      <c r="W2649" s="71">
        <f t="shared" si="377"/>
        <v>0</v>
      </c>
    </row>
    <row r="2650" spans="1:23" x14ac:dyDescent="0.2">
      <c r="A2650" s="71" t="s">
        <v>673</v>
      </c>
      <c r="B2650" s="71" t="s">
        <v>674</v>
      </c>
      <c r="C2650" s="71" t="s">
        <v>187</v>
      </c>
      <c r="D2650" s="71" t="s">
        <v>421</v>
      </c>
      <c r="E2650" s="71" t="s">
        <v>422</v>
      </c>
      <c r="F2650" s="71" t="s">
        <v>300</v>
      </c>
      <c r="G2650" s="88">
        <v>46224.710462962998</v>
      </c>
      <c r="H2650" s="89">
        <v>46224</v>
      </c>
      <c r="I2650" s="71" t="s">
        <v>450</v>
      </c>
      <c r="J2650" s="71">
        <v>0</v>
      </c>
      <c r="K2650" s="71" t="s">
        <v>302</v>
      </c>
      <c r="L2650" s="71">
        <f t="shared" si="369"/>
        <v>7</v>
      </c>
      <c r="M2650" s="71" t="str">
        <f>IFERROR(INDEX(KALENDER!$D$3:$D$132,MATCH(H2650,KALENDER!$A$3:$A$132,0)),"Di luar periode")</f>
        <v>Hari Kerja</v>
      </c>
      <c r="N2650" s="71">
        <f t="shared" si="370"/>
        <v>0</v>
      </c>
      <c r="O2650" s="71">
        <f t="shared" si="371"/>
        <v>1</v>
      </c>
      <c r="P2650" s="71">
        <f t="shared" si="372"/>
        <v>0</v>
      </c>
      <c r="Q2650" s="71">
        <f t="shared" si="373"/>
        <v>0</v>
      </c>
      <c r="R2650" s="71">
        <f t="shared" si="374"/>
        <v>0</v>
      </c>
      <c r="S2650" s="71">
        <f t="shared" si="375"/>
        <v>0</v>
      </c>
      <c r="T2650" s="71">
        <f t="shared" si="376"/>
        <v>0</v>
      </c>
      <c r="U2650" s="71">
        <f>IF(AND(N2650=1,V2650=1),IF(COUNTIFS(AKTIVITAS!$B$2:$B$3052,B2650,AKTIVITAS!$E$2:$E$3052,H2650)&gt;0,1,0),0)</f>
        <v>0</v>
      </c>
      <c r="V2650" s="71">
        <f>IFERROR(IF(AND(H2650&gt;=INDEX(PEMAGANG!$J$3:$J$36,MATCH(B2650,PEMAGANG!$C$3:$C$36,0)),H2650&lt;=INDEX(PEMAGANG!$K$3:$K$36,MATCH(B2650,PEMAGANG!$C$3:$C$36,0))),1,0),0)</f>
        <v>0</v>
      </c>
      <c r="W2650" s="71">
        <f t="shared" si="377"/>
        <v>0</v>
      </c>
    </row>
    <row r="2651" spans="1:23" x14ac:dyDescent="0.2">
      <c r="A2651" s="71" t="s">
        <v>673</v>
      </c>
      <c r="B2651" s="71" t="s">
        <v>674</v>
      </c>
      <c r="C2651" s="71" t="s">
        <v>187</v>
      </c>
      <c r="D2651" s="71" t="s">
        <v>421</v>
      </c>
      <c r="E2651" s="71" t="s">
        <v>422</v>
      </c>
      <c r="F2651" s="71" t="s">
        <v>298</v>
      </c>
      <c r="G2651" s="88">
        <v>46225.257962962998</v>
      </c>
      <c r="H2651" s="89">
        <v>46225</v>
      </c>
      <c r="I2651" s="71" t="s">
        <v>463</v>
      </c>
      <c r="J2651" s="71">
        <v>-109</v>
      </c>
      <c r="K2651" s="71" t="s">
        <v>302</v>
      </c>
      <c r="L2651" s="71">
        <f t="shared" si="369"/>
        <v>7</v>
      </c>
      <c r="M2651" s="71" t="str">
        <f>IFERROR(INDEX(KALENDER!$D$3:$D$132,MATCH(H2651,KALENDER!$A$3:$A$132,0)),"Di luar periode")</f>
        <v>WFH</v>
      </c>
      <c r="N2651" s="71">
        <f t="shared" si="370"/>
        <v>1</v>
      </c>
      <c r="O2651" s="71">
        <f t="shared" si="371"/>
        <v>1</v>
      </c>
      <c r="P2651" s="71">
        <f t="shared" si="372"/>
        <v>0</v>
      </c>
      <c r="Q2651" s="71">
        <f t="shared" si="373"/>
        <v>1</v>
      </c>
      <c r="R2651" s="71">
        <f t="shared" si="374"/>
        <v>0</v>
      </c>
      <c r="S2651" s="71">
        <f t="shared" si="375"/>
        <v>0</v>
      </c>
      <c r="T2651" s="71">
        <f t="shared" si="376"/>
        <v>0</v>
      </c>
      <c r="U2651" s="71">
        <f>IF(AND(N2651=1,V2651=1),IF(COUNTIFS(AKTIVITAS!$B$2:$B$3052,B2651,AKTIVITAS!$E$2:$E$3052,H2651)&gt;0,1,0),0)</f>
        <v>0</v>
      </c>
      <c r="V2651" s="71">
        <f>IFERROR(IF(AND(H2651&gt;=INDEX(PEMAGANG!$J$3:$J$36,MATCH(B2651,PEMAGANG!$C$3:$C$36,0)),H2651&lt;=INDEX(PEMAGANG!$K$3:$K$36,MATCH(B2651,PEMAGANG!$C$3:$C$36,0))),1,0),0)</f>
        <v>0</v>
      </c>
      <c r="W2651" s="71">
        <f t="shared" si="377"/>
        <v>0</v>
      </c>
    </row>
    <row r="2652" spans="1:23" x14ac:dyDescent="0.2">
      <c r="A2652" s="71" t="s">
        <v>673</v>
      </c>
      <c r="B2652" s="71" t="s">
        <v>674</v>
      </c>
      <c r="C2652" s="71" t="s">
        <v>187</v>
      </c>
      <c r="D2652" s="71" t="s">
        <v>421</v>
      </c>
      <c r="E2652" s="71" t="s">
        <v>422</v>
      </c>
      <c r="F2652" s="71" t="s">
        <v>300</v>
      </c>
      <c r="G2652" s="88">
        <v>46225.7136342593</v>
      </c>
      <c r="H2652" s="89">
        <v>46225</v>
      </c>
      <c r="I2652" s="71" t="s">
        <v>324</v>
      </c>
      <c r="J2652" s="71">
        <v>0</v>
      </c>
      <c r="K2652" s="71" t="s">
        <v>302</v>
      </c>
      <c r="L2652" s="71">
        <f t="shared" si="369"/>
        <v>7</v>
      </c>
      <c r="M2652" s="71" t="str">
        <f>IFERROR(INDEX(KALENDER!$D$3:$D$132,MATCH(H2652,KALENDER!$A$3:$A$132,0)),"Di luar periode")</f>
        <v>WFH</v>
      </c>
      <c r="N2652" s="71">
        <f t="shared" si="370"/>
        <v>0</v>
      </c>
      <c r="O2652" s="71">
        <f t="shared" si="371"/>
        <v>1</v>
      </c>
      <c r="P2652" s="71">
        <f t="shared" si="372"/>
        <v>0</v>
      </c>
      <c r="Q2652" s="71">
        <f t="shared" si="373"/>
        <v>0</v>
      </c>
      <c r="R2652" s="71">
        <f t="shared" si="374"/>
        <v>0</v>
      </c>
      <c r="S2652" s="71">
        <f t="shared" si="375"/>
        <v>0</v>
      </c>
      <c r="T2652" s="71">
        <f t="shared" si="376"/>
        <v>0</v>
      </c>
      <c r="U2652" s="71">
        <f>IF(AND(N2652=1,V2652=1),IF(COUNTIFS(AKTIVITAS!$B$2:$B$3052,B2652,AKTIVITAS!$E$2:$E$3052,H2652)&gt;0,1,0),0)</f>
        <v>0</v>
      </c>
      <c r="V2652" s="71">
        <f>IFERROR(IF(AND(H2652&gt;=INDEX(PEMAGANG!$J$3:$J$36,MATCH(B2652,PEMAGANG!$C$3:$C$36,0)),H2652&lt;=INDEX(PEMAGANG!$K$3:$K$36,MATCH(B2652,PEMAGANG!$C$3:$C$36,0))),1,0),0)</f>
        <v>0</v>
      </c>
      <c r="W2652" s="71">
        <f t="shared" si="377"/>
        <v>0</v>
      </c>
    </row>
    <row r="2653" spans="1:23" x14ac:dyDescent="0.2">
      <c r="A2653" s="71" t="s">
        <v>673</v>
      </c>
      <c r="B2653" s="71" t="s">
        <v>674</v>
      </c>
      <c r="C2653" s="71" t="s">
        <v>187</v>
      </c>
      <c r="D2653" s="71" t="s">
        <v>421</v>
      </c>
      <c r="E2653" s="71" t="s">
        <v>422</v>
      </c>
      <c r="F2653" s="71" t="s">
        <v>298</v>
      </c>
      <c r="G2653" s="88">
        <v>46226.2509027778</v>
      </c>
      <c r="H2653" s="89">
        <v>46226</v>
      </c>
      <c r="I2653" s="71" t="s">
        <v>470</v>
      </c>
      <c r="J2653" s="71">
        <v>-119</v>
      </c>
      <c r="K2653" s="71" t="s">
        <v>302</v>
      </c>
      <c r="L2653" s="71">
        <f t="shared" si="369"/>
        <v>7</v>
      </c>
      <c r="M2653" s="71" t="str">
        <f>IFERROR(INDEX(KALENDER!$D$3:$D$132,MATCH(H2653,KALENDER!$A$3:$A$132,0)),"Di luar periode")</f>
        <v>Hari Kerja</v>
      </c>
      <c r="N2653" s="71">
        <f t="shared" si="370"/>
        <v>1</v>
      </c>
      <c r="O2653" s="71">
        <f t="shared" si="371"/>
        <v>1</v>
      </c>
      <c r="P2653" s="71">
        <f t="shared" si="372"/>
        <v>0</v>
      </c>
      <c r="Q2653" s="71">
        <f t="shared" si="373"/>
        <v>1</v>
      </c>
      <c r="R2653" s="71">
        <f t="shared" si="374"/>
        <v>0</v>
      </c>
      <c r="S2653" s="71">
        <f t="shared" si="375"/>
        <v>0</v>
      </c>
      <c r="T2653" s="71">
        <f t="shared" si="376"/>
        <v>0</v>
      </c>
      <c r="U2653" s="71">
        <f>IF(AND(N2653=1,V2653=1),IF(COUNTIFS(AKTIVITAS!$B$2:$B$3052,B2653,AKTIVITAS!$E$2:$E$3052,H2653)&gt;0,1,0),0)</f>
        <v>0</v>
      </c>
      <c r="V2653" s="71">
        <f>IFERROR(IF(AND(H2653&gt;=INDEX(PEMAGANG!$J$3:$J$36,MATCH(B2653,PEMAGANG!$C$3:$C$36,0)),H2653&lt;=INDEX(PEMAGANG!$K$3:$K$36,MATCH(B2653,PEMAGANG!$C$3:$C$36,0))),1,0),0)</f>
        <v>0</v>
      </c>
      <c r="W2653" s="71">
        <f t="shared" si="377"/>
        <v>0</v>
      </c>
    </row>
    <row r="2654" spans="1:23" x14ac:dyDescent="0.2">
      <c r="A2654" s="71" t="s">
        <v>673</v>
      </c>
      <c r="B2654" s="71" t="s">
        <v>674</v>
      </c>
      <c r="C2654" s="71" t="s">
        <v>187</v>
      </c>
      <c r="D2654" s="71" t="s">
        <v>421</v>
      </c>
      <c r="E2654" s="71" t="s">
        <v>422</v>
      </c>
      <c r="F2654" s="71" t="s">
        <v>300</v>
      </c>
      <c r="G2654" s="88">
        <v>46226.708981481497</v>
      </c>
      <c r="H2654" s="89">
        <v>46226</v>
      </c>
      <c r="I2654" s="71" t="s">
        <v>350</v>
      </c>
      <c r="J2654" s="71">
        <v>0</v>
      </c>
      <c r="K2654" s="71" t="s">
        <v>302</v>
      </c>
      <c r="L2654" s="71">
        <f t="shared" si="369"/>
        <v>7</v>
      </c>
      <c r="M2654" s="71" t="str">
        <f>IFERROR(INDEX(KALENDER!$D$3:$D$132,MATCH(H2654,KALENDER!$A$3:$A$132,0)),"Di luar periode")</f>
        <v>Hari Kerja</v>
      </c>
      <c r="N2654" s="71">
        <f t="shared" si="370"/>
        <v>0</v>
      </c>
      <c r="O2654" s="71">
        <f t="shared" si="371"/>
        <v>1</v>
      </c>
      <c r="P2654" s="71">
        <f t="shared" si="372"/>
        <v>0</v>
      </c>
      <c r="Q2654" s="71">
        <f t="shared" si="373"/>
        <v>0</v>
      </c>
      <c r="R2654" s="71">
        <f t="shared" si="374"/>
        <v>0</v>
      </c>
      <c r="S2654" s="71">
        <f t="shared" si="375"/>
        <v>0</v>
      </c>
      <c r="T2654" s="71">
        <f t="shared" si="376"/>
        <v>0</v>
      </c>
      <c r="U2654" s="71">
        <f>IF(AND(N2654=1,V2654=1),IF(COUNTIFS(AKTIVITAS!$B$2:$B$3052,B2654,AKTIVITAS!$E$2:$E$3052,H2654)&gt;0,1,0),0)</f>
        <v>0</v>
      </c>
      <c r="V2654" s="71">
        <f>IFERROR(IF(AND(H2654&gt;=INDEX(PEMAGANG!$J$3:$J$36,MATCH(B2654,PEMAGANG!$C$3:$C$36,0)),H2654&lt;=INDEX(PEMAGANG!$K$3:$K$36,MATCH(B2654,PEMAGANG!$C$3:$C$36,0))),1,0),0)</f>
        <v>0</v>
      </c>
      <c r="W2654" s="71">
        <f t="shared" si="377"/>
        <v>0</v>
      </c>
    </row>
    <row r="2655" spans="1:23" x14ac:dyDescent="0.2">
      <c r="A2655" s="71" t="s">
        <v>673</v>
      </c>
      <c r="B2655" s="71" t="s">
        <v>674</v>
      </c>
      <c r="C2655" s="71" t="s">
        <v>187</v>
      </c>
      <c r="D2655" s="71" t="s">
        <v>421</v>
      </c>
      <c r="E2655" s="71" t="s">
        <v>422</v>
      </c>
      <c r="F2655" s="71" t="s">
        <v>298</v>
      </c>
      <c r="G2655" s="88">
        <v>46227.245312500003</v>
      </c>
      <c r="H2655" s="89">
        <v>46227</v>
      </c>
      <c r="I2655" s="71" t="s">
        <v>676</v>
      </c>
      <c r="J2655" s="71">
        <v>-127</v>
      </c>
      <c r="K2655" s="71" t="s">
        <v>302</v>
      </c>
      <c r="L2655" s="71">
        <f t="shared" si="369"/>
        <v>7</v>
      </c>
      <c r="M2655" s="71" t="str">
        <f>IFERROR(INDEX(KALENDER!$D$3:$D$132,MATCH(H2655,KALENDER!$A$3:$A$132,0)),"Di luar periode")</f>
        <v>Hari Kerja</v>
      </c>
      <c r="N2655" s="71">
        <f t="shared" si="370"/>
        <v>1</v>
      </c>
      <c r="O2655" s="71">
        <f t="shared" si="371"/>
        <v>1</v>
      </c>
      <c r="P2655" s="71">
        <f t="shared" si="372"/>
        <v>0</v>
      </c>
      <c r="Q2655" s="71">
        <f t="shared" si="373"/>
        <v>1</v>
      </c>
      <c r="R2655" s="71">
        <f t="shared" si="374"/>
        <v>0</v>
      </c>
      <c r="S2655" s="71">
        <f t="shared" si="375"/>
        <v>0</v>
      </c>
      <c r="T2655" s="71">
        <f t="shared" si="376"/>
        <v>0</v>
      </c>
      <c r="U2655" s="71">
        <f>IF(AND(N2655=1,V2655=1),IF(COUNTIFS(AKTIVITAS!$B$2:$B$3052,B2655,AKTIVITAS!$E$2:$E$3052,H2655)&gt;0,1,0),0)</f>
        <v>0</v>
      </c>
      <c r="V2655" s="71">
        <f>IFERROR(IF(AND(H2655&gt;=INDEX(PEMAGANG!$J$3:$J$36,MATCH(B2655,PEMAGANG!$C$3:$C$36,0)),H2655&lt;=INDEX(PEMAGANG!$K$3:$K$36,MATCH(B2655,PEMAGANG!$C$3:$C$36,0))),1,0),0)</f>
        <v>0</v>
      </c>
      <c r="W2655" s="71">
        <f t="shared" si="377"/>
        <v>0</v>
      </c>
    </row>
    <row r="2656" spans="1:23" x14ac:dyDescent="0.2">
      <c r="A2656" s="71" t="s">
        <v>673</v>
      </c>
      <c r="B2656" s="71" t="s">
        <v>674</v>
      </c>
      <c r="C2656" s="71" t="s">
        <v>187</v>
      </c>
      <c r="D2656" s="71" t="s">
        <v>421</v>
      </c>
      <c r="E2656" s="71" t="s">
        <v>422</v>
      </c>
      <c r="F2656" s="71" t="s">
        <v>300</v>
      </c>
      <c r="G2656" s="88">
        <v>46227.696261574099</v>
      </c>
      <c r="H2656" s="89">
        <v>46227</v>
      </c>
      <c r="I2656" s="71" t="s">
        <v>320</v>
      </c>
      <c r="J2656" s="71">
        <v>0</v>
      </c>
      <c r="K2656" s="71" t="s">
        <v>302</v>
      </c>
      <c r="L2656" s="71">
        <f t="shared" si="369"/>
        <v>7</v>
      </c>
      <c r="M2656" s="71" t="str">
        <f>IFERROR(INDEX(KALENDER!$D$3:$D$132,MATCH(H2656,KALENDER!$A$3:$A$132,0)),"Di luar periode")</f>
        <v>Hari Kerja</v>
      </c>
      <c r="N2656" s="71">
        <f t="shared" si="370"/>
        <v>0</v>
      </c>
      <c r="O2656" s="71">
        <f t="shared" si="371"/>
        <v>1</v>
      </c>
      <c r="P2656" s="71">
        <f t="shared" si="372"/>
        <v>0</v>
      </c>
      <c r="Q2656" s="71">
        <f t="shared" si="373"/>
        <v>0</v>
      </c>
      <c r="R2656" s="71">
        <f t="shared" si="374"/>
        <v>0</v>
      </c>
      <c r="S2656" s="71">
        <f t="shared" si="375"/>
        <v>0</v>
      </c>
      <c r="T2656" s="71">
        <f t="shared" si="376"/>
        <v>0</v>
      </c>
      <c r="U2656" s="71">
        <f>IF(AND(N2656=1,V2656=1),IF(COUNTIFS(AKTIVITAS!$B$2:$B$3052,B2656,AKTIVITAS!$E$2:$E$3052,H2656)&gt;0,1,0),0)</f>
        <v>0</v>
      </c>
      <c r="V2656" s="71">
        <f>IFERROR(IF(AND(H2656&gt;=INDEX(PEMAGANG!$J$3:$J$36,MATCH(B2656,PEMAGANG!$C$3:$C$36,0)),H2656&lt;=INDEX(PEMAGANG!$K$3:$K$36,MATCH(B2656,PEMAGANG!$C$3:$C$36,0))),1,0),0)</f>
        <v>0</v>
      </c>
      <c r="W2656" s="71">
        <f t="shared" si="377"/>
        <v>0</v>
      </c>
    </row>
    <row r="2657" spans="1:23" x14ac:dyDescent="0.2">
      <c r="A2657" s="71" t="s">
        <v>673</v>
      </c>
      <c r="B2657" s="71" t="s">
        <v>674</v>
      </c>
      <c r="C2657" s="71" t="s">
        <v>187</v>
      </c>
      <c r="D2657" s="71" t="s">
        <v>421</v>
      </c>
      <c r="E2657" s="71" t="s">
        <v>422</v>
      </c>
      <c r="F2657" s="71" t="s">
        <v>298</v>
      </c>
      <c r="G2657" s="88">
        <v>46230.247534722199</v>
      </c>
      <c r="H2657" s="89">
        <v>46230</v>
      </c>
      <c r="I2657" s="71" t="s">
        <v>677</v>
      </c>
      <c r="J2657" s="71">
        <v>-124</v>
      </c>
      <c r="K2657" s="71" t="s">
        <v>302</v>
      </c>
      <c r="L2657" s="71">
        <f t="shared" si="369"/>
        <v>7</v>
      </c>
      <c r="M2657" s="71" t="str">
        <f>IFERROR(INDEX(KALENDER!$D$3:$D$132,MATCH(H2657,KALENDER!$A$3:$A$132,0)),"Di luar periode")</f>
        <v>Hari Kerja</v>
      </c>
      <c r="N2657" s="71">
        <f t="shared" si="370"/>
        <v>1</v>
      </c>
      <c r="O2657" s="71">
        <f t="shared" si="371"/>
        <v>1</v>
      </c>
      <c r="P2657" s="71">
        <f t="shared" si="372"/>
        <v>0</v>
      </c>
      <c r="Q2657" s="71">
        <f t="shared" si="373"/>
        <v>1</v>
      </c>
      <c r="R2657" s="71">
        <f t="shared" si="374"/>
        <v>0</v>
      </c>
      <c r="S2657" s="71">
        <f t="shared" si="375"/>
        <v>0</v>
      </c>
      <c r="T2657" s="71">
        <f t="shared" si="376"/>
        <v>0</v>
      </c>
      <c r="U2657" s="71">
        <f>IF(AND(N2657=1,V2657=1),IF(COUNTIFS(AKTIVITAS!$B$2:$B$3052,B2657,AKTIVITAS!$E$2:$E$3052,H2657)&gt;0,1,0),0)</f>
        <v>0</v>
      </c>
      <c r="V2657" s="71">
        <f>IFERROR(IF(AND(H2657&gt;=INDEX(PEMAGANG!$J$3:$J$36,MATCH(B2657,PEMAGANG!$C$3:$C$36,0)),H2657&lt;=INDEX(PEMAGANG!$K$3:$K$36,MATCH(B2657,PEMAGANG!$C$3:$C$36,0))),1,0),0)</f>
        <v>0</v>
      </c>
      <c r="W2657" s="71">
        <f t="shared" si="377"/>
        <v>0</v>
      </c>
    </row>
    <row r="2658" spans="1:23" x14ac:dyDescent="0.2">
      <c r="A2658" s="71" t="s">
        <v>673</v>
      </c>
      <c r="B2658" s="71" t="s">
        <v>674</v>
      </c>
      <c r="C2658" s="71" t="s">
        <v>187</v>
      </c>
      <c r="D2658" s="71" t="s">
        <v>421</v>
      </c>
      <c r="E2658" s="71" t="s">
        <v>422</v>
      </c>
      <c r="F2658" s="71" t="s">
        <v>300</v>
      </c>
      <c r="G2658" s="88">
        <v>46230.716979166697</v>
      </c>
      <c r="H2658" s="89">
        <v>46230</v>
      </c>
      <c r="I2658" s="71" t="s">
        <v>301</v>
      </c>
      <c r="J2658" s="71">
        <v>0</v>
      </c>
      <c r="K2658" s="71" t="s">
        <v>302</v>
      </c>
      <c r="L2658" s="71">
        <f t="shared" si="369"/>
        <v>7</v>
      </c>
      <c r="M2658" s="71" t="str">
        <f>IFERROR(INDEX(KALENDER!$D$3:$D$132,MATCH(H2658,KALENDER!$A$3:$A$132,0)),"Di luar periode")</f>
        <v>Hari Kerja</v>
      </c>
      <c r="N2658" s="71">
        <f t="shared" si="370"/>
        <v>0</v>
      </c>
      <c r="O2658" s="71">
        <f t="shared" si="371"/>
        <v>1</v>
      </c>
      <c r="P2658" s="71">
        <f t="shared" si="372"/>
        <v>0</v>
      </c>
      <c r="Q2658" s="71">
        <f t="shared" si="373"/>
        <v>0</v>
      </c>
      <c r="R2658" s="71">
        <f t="shared" si="374"/>
        <v>0</v>
      </c>
      <c r="S2658" s="71">
        <f t="shared" si="375"/>
        <v>0</v>
      </c>
      <c r="T2658" s="71">
        <f t="shared" si="376"/>
        <v>0</v>
      </c>
      <c r="U2658" s="71">
        <f>IF(AND(N2658=1,V2658=1),IF(COUNTIFS(AKTIVITAS!$B$2:$B$3052,B2658,AKTIVITAS!$E$2:$E$3052,H2658)&gt;0,1,0),0)</f>
        <v>0</v>
      </c>
      <c r="V2658" s="71">
        <f>IFERROR(IF(AND(H2658&gt;=INDEX(PEMAGANG!$J$3:$J$36,MATCH(B2658,PEMAGANG!$C$3:$C$36,0)),H2658&lt;=INDEX(PEMAGANG!$K$3:$K$36,MATCH(B2658,PEMAGANG!$C$3:$C$36,0))),1,0),0)</f>
        <v>0</v>
      </c>
      <c r="W2658" s="71">
        <f t="shared" si="377"/>
        <v>0</v>
      </c>
    </row>
    <row r="2659" spans="1:23" x14ac:dyDescent="0.2">
      <c r="A2659" s="71" t="s">
        <v>673</v>
      </c>
      <c r="B2659" s="71" t="s">
        <v>674</v>
      </c>
      <c r="C2659" s="71" t="s">
        <v>187</v>
      </c>
      <c r="D2659" s="71" t="s">
        <v>421</v>
      </c>
      <c r="E2659" s="71" t="s">
        <v>422</v>
      </c>
      <c r="F2659" s="71" t="s">
        <v>298</v>
      </c>
      <c r="G2659" s="88">
        <v>46231.249386574098</v>
      </c>
      <c r="H2659" s="89">
        <v>46231</v>
      </c>
      <c r="I2659" s="71" t="s">
        <v>451</v>
      </c>
      <c r="J2659" s="71">
        <v>-121</v>
      </c>
      <c r="K2659" s="71" t="s">
        <v>302</v>
      </c>
      <c r="L2659" s="71">
        <f t="shared" si="369"/>
        <v>7</v>
      </c>
      <c r="M2659" s="71" t="str">
        <f>IFERROR(INDEX(KALENDER!$D$3:$D$132,MATCH(H2659,KALENDER!$A$3:$A$132,0)),"Di luar periode")</f>
        <v>Hari Kerja</v>
      </c>
      <c r="N2659" s="71">
        <f t="shared" si="370"/>
        <v>1</v>
      </c>
      <c r="O2659" s="71">
        <f t="shared" si="371"/>
        <v>1</v>
      </c>
      <c r="P2659" s="71">
        <f t="shared" si="372"/>
        <v>0</v>
      </c>
      <c r="Q2659" s="71">
        <f t="shared" si="373"/>
        <v>1</v>
      </c>
      <c r="R2659" s="71">
        <f t="shared" si="374"/>
        <v>0</v>
      </c>
      <c r="S2659" s="71">
        <f t="shared" si="375"/>
        <v>0</v>
      </c>
      <c r="T2659" s="71">
        <f t="shared" si="376"/>
        <v>0</v>
      </c>
      <c r="U2659" s="71">
        <f>IF(AND(N2659=1,V2659=1),IF(COUNTIFS(AKTIVITAS!$B$2:$B$3052,B2659,AKTIVITAS!$E$2:$E$3052,H2659)&gt;0,1,0),0)</f>
        <v>0</v>
      </c>
      <c r="V2659" s="71">
        <f>IFERROR(IF(AND(H2659&gt;=INDEX(PEMAGANG!$J$3:$J$36,MATCH(B2659,PEMAGANG!$C$3:$C$36,0)),H2659&lt;=INDEX(PEMAGANG!$K$3:$K$36,MATCH(B2659,PEMAGANG!$C$3:$C$36,0))),1,0),0)</f>
        <v>0</v>
      </c>
      <c r="W2659" s="71">
        <f t="shared" si="377"/>
        <v>0</v>
      </c>
    </row>
    <row r="2660" spans="1:23" x14ac:dyDescent="0.2">
      <c r="A2660" s="71" t="s">
        <v>673</v>
      </c>
      <c r="B2660" s="71" t="s">
        <v>674</v>
      </c>
      <c r="C2660" s="71" t="s">
        <v>187</v>
      </c>
      <c r="D2660" s="71" t="s">
        <v>421</v>
      </c>
      <c r="E2660" s="71" t="s">
        <v>422</v>
      </c>
      <c r="F2660" s="71" t="s">
        <v>300</v>
      </c>
      <c r="G2660" s="88">
        <v>46231.712997685201</v>
      </c>
      <c r="H2660" s="89">
        <v>46231</v>
      </c>
      <c r="I2660" s="71" t="s">
        <v>371</v>
      </c>
      <c r="J2660" s="71">
        <v>0</v>
      </c>
      <c r="K2660" s="71" t="s">
        <v>302</v>
      </c>
      <c r="L2660" s="71">
        <f t="shared" si="369"/>
        <v>7</v>
      </c>
      <c r="M2660" s="71" t="str">
        <f>IFERROR(INDEX(KALENDER!$D$3:$D$132,MATCH(H2660,KALENDER!$A$3:$A$132,0)),"Di luar periode")</f>
        <v>Hari Kerja</v>
      </c>
      <c r="N2660" s="71">
        <f t="shared" si="370"/>
        <v>0</v>
      </c>
      <c r="O2660" s="71">
        <f t="shared" si="371"/>
        <v>1</v>
      </c>
      <c r="P2660" s="71">
        <f t="shared" si="372"/>
        <v>0</v>
      </c>
      <c r="Q2660" s="71">
        <f t="shared" si="373"/>
        <v>0</v>
      </c>
      <c r="R2660" s="71">
        <f t="shared" si="374"/>
        <v>0</v>
      </c>
      <c r="S2660" s="71">
        <f t="shared" si="375"/>
        <v>0</v>
      </c>
      <c r="T2660" s="71">
        <f t="shared" si="376"/>
        <v>0</v>
      </c>
      <c r="U2660" s="71">
        <f>IF(AND(N2660=1,V2660=1),IF(COUNTIFS(AKTIVITAS!$B$2:$B$3052,B2660,AKTIVITAS!$E$2:$E$3052,H2660)&gt;0,1,0),0)</f>
        <v>0</v>
      </c>
      <c r="V2660" s="71">
        <f>IFERROR(IF(AND(H2660&gt;=INDEX(PEMAGANG!$J$3:$J$36,MATCH(B2660,PEMAGANG!$C$3:$C$36,0)),H2660&lt;=INDEX(PEMAGANG!$K$3:$K$36,MATCH(B2660,PEMAGANG!$C$3:$C$36,0))),1,0),0)</f>
        <v>0</v>
      </c>
      <c r="W2660" s="71">
        <f t="shared" si="377"/>
        <v>0</v>
      </c>
    </row>
    <row r="2661" spans="1:23" x14ac:dyDescent="0.2">
      <c r="A2661" s="71" t="s">
        <v>673</v>
      </c>
      <c r="B2661" s="71" t="s">
        <v>674</v>
      </c>
      <c r="C2661" s="71" t="s">
        <v>187</v>
      </c>
      <c r="D2661" s="71" t="s">
        <v>421</v>
      </c>
      <c r="E2661" s="71" t="s">
        <v>422</v>
      </c>
      <c r="F2661" s="71" t="s">
        <v>298</v>
      </c>
      <c r="G2661" s="88">
        <v>46232.250162037002</v>
      </c>
      <c r="H2661" s="89">
        <v>46232</v>
      </c>
      <c r="I2661" s="71" t="s">
        <v>433</v>
      </c>
      <c r="J2661" s="71">
        <v>-120</v>
      </c>
      <c r="K2661" s="71" t="s">
        <v>302</v>
      </c>
      <c r="L2661" s="71">
        <f t="shared" si="369"/>
        <v>7</v>
      </c>
      <c r="M2661" s="71" t="str">
        <f>IFERROR(INDEX(KALENDER!$D$3:$D$132,MATCH(H2661,KALENDER!$A$3:$A$132,0)),"Di luar periode")</f>
        <v>WFH</v>
      </c>
      <c r="N2661" s="71">
        <f t="shared" si="370"/>
        <v>1</v>
      </c>
      <c r="O2661" s="71">
        <f t="shared" si="371"/>
        <v>1</v>
      </c>
      <c r="P2661" s="71">
        <f t="shared" si="372"/>
        <v>0</v>
      </c>
      <c r="Q2661" s="71">
        <f t="shared" si="373"/>
        <v>1</v>
      </c>
      <c r="R2661" s="71">
        <f t="shared" si="374"/>
        <v>0</v>
      </c>
      <c r="S2661" s="71">
        <f t="shared" si="375"/>
        <v>0</v>
      </c>
      <c r="T2661" s="71">
        <f t="shared" si="376"/>
        <v>0</v>
      </c>
      <c r="U2661" s="71">
        <f>IF(AND(N2661=1,V2661=1),IF(COUNTIFS(AKTIVITAS!$B$2:$B$3052,B2661,AKTIVITAS!$E$2:$E$3052,H2661)&gt;0,1,0),0)</f>
        <v>0</v>
      </c>
      <c r="V2661" s="71">
        <f>IFERROR(IF(AND(H2661&gt;=INDEX(PEMAGANG!$J$3:$J$36,MATCH(B2661,PEMAGANG!$C$3:$C$36,0)),H2661&lt;=INDEX(PEMAGANG!$K$3:$K$36,MATCH(B2661,PEMAGANG!$C$3:$C$36,0))),1,0),0)</f>
        <v>0</v>
      </c>
      <c r="W2661" s="71">
        <f t="shared" si="377"/>
        <v>0</v>
      </c>
    </row>
    <row r="2662" spans="1:23" x14ac:dyDescent="0.2">
      <c r="A2662" s="71" t="s">
        <v>673</v>
      </c>
      <c r="B2662" s="71" t="s">
        <v>674</v>
      </c>
      <c r="C2662" s="71" t="s">
        <v>187</v>
      </c>
      <c r="D2662" s="71" t="s">
        <v>421</v>
      </c>
      <c r="E2662" s="71" t="s">
        <v>422</v>
      </c>
      <c r="F2662" s="71" t="s">
        <v>300</v>
      </c>
      <c r="G2662" s="88">
        <v>46232.713194444397</v>
      </c>
      <c r="H2662" s="89">
        <v>46232</v>
      </c>
      <c r="I2662" s="71" t="s">
        <v>324</v>
      </c>
      <c r="J2662" s="71">
        <v>0</v>
      </c>
      <c r="K2662" s="71" t="s">
        <v>302</v>
      </c>
      <c r="L2662" s="71">
        <f t="shared" si="369"/>
        <v>7</v>
      </c>
      <c r="M2662" s="71" t="str">
        <f>IFERROR(INDEX(KALENDER!$D$3:$D$132,MATCH(H2662,KALENDER!$A$3:$A$132,0)),"Di luar periode")</f>
        <v>WFH</v>
      </c>
      <c r="N2662" s="71">
        <f t="shared" si="370"/>
        <v>0</v>
      </c>
      <c r="O2662" s="71">
        <f t="shared" si="371"/>
        <v>1</v>
      </c>
      <c r="P2662" s="71">
        <f t="shared" si="372"/>
        <v>0</v>
      </c>
      <c r="Q2662" s="71">
        <f t="shared" si="373"/>
        <v>0</v>
      </c>
      <c r="R2662" s="71">
        <f t="shared" si="374"/>
        <v>0</v>
      </c>
      <c r="S2662" s="71">
        <f t="shared" si="375"/>
        <v>0</v>
      </c>
      <c r="T2662" s="71">
        <f t="shared" si="376"/>
        <v>0</v>
      </c>
      <c r="U2662" s="71">
        <f>IF(AND(N2662=1,V2662=1),IF(COUNTIFS(AKTIVITAS!$B$2:$B$3052,B2662,AKTIVITAS!$E$2:$E$3052,H2662)&gt;0,1,0),0)</f>
        <v>0</v>
      </c>
      <c r="V2662" s="71">
        <f>IFERROR(IF(AND(H2662&gt;=INDEX(PEMAGANG!$J$3:$J$36,MATCH(B2662,PEMAGANG!$C$3:$C$36,0)),H2662&lt;=INDEX(PEMAGANG!$K$3:$K$36,MATCH(B2662,PEMAGANG!$C$3:$C$36,0))),1,0),0)</f>
        <v>0</v>
      </c>
      <c r="W2662" s="71">
        <f t="shared" si="377"/>
        <v>0</v>
      </c>
    </row>
    <row r="2663" spans="1:23" x14ac:dyDescent="0.2">
      <c r="A2663" s="71" t="s">
        <v>673</v>
      </c>
      <c r="B2663" s="71" t="s">
        <v>674</v>
      </c>
      <c r="C2663" s="71" t="s">
        <v>187</v>
      </c>
      <c r="D2663" s="71" t="s">
        <v>421</v>
      </c>
      <c r="E2663" s="71" t="s">
        <v>422</v>
      </c>
      <c r="F2663" s="71" t="s">
        <v>298</v>
      </c>
      <c r="G2663" s="88">
        <v>46233.245706018497</v>
      </c>
      <c r="H2663" s="89">
        <v>46233</v>
      </c>
      <c r="I2663" s="71" t="s">
        <v>676</v>
      </c>
      <c r="J2663" s="71">
        <v>-127</v>
      </c>
      <c r="K2663" s="71" t="s">
        <v>302</v>
      </c>
      <c r="L2663" s="71">
        <f t="shared" si="369"/>
        <v>7</v>
      </c>
      <c r="M2663" s="71" t="str">
        <f>IFERROR(INDEX(KALENDER!$D$3:$D$132,MATCH(H2663,KALENDER!$A$3:$A$132,0)),"Di luar periode")</f>
        <v>Hari Kerja</v>
      </c>
      <c r="N2663" s="71">
        <f t="shared" si="370"/>
        <v>1</v>
      </c>
      <c r="O2663" s="71">
        <f t="shared" si="371"/>
        <v>1</v>
      </c>
      <c r="P2663" s="71">
        <f t="shared" si="372"/>
        <v>0</v>
      </c>
      <c r="Q2663" s="71">
        <f t="shared" si="373"/>
        <v>1</v>
      </c>
      <c r="R2663" s="71">
        <f t="shared" si="374"/>
        <v>0</v>
      </c>
      <c r="S2663" s="71">
        <f t="shared" si="375"/>
        <v>0</v>
      </c>
      <c r="T2663" s="71">
        <f t="shared" si="376"/>
        <v>0</v>
      </c>
      <c r="U2663" s="71">
        <f>IF(AND(N2663=1,V2663=1),IF(COUNTIFS(AKTIVITAS!$B$2:$B$3052,B2663,AKTIVITAS!$E$2:$E$3052,H2663)&gt;0,1,0),0)</f>
        <v>0</v>
      </c>
      <c r="V2663" s="71">
        <f>IFERROR(IF(AND(H2663&gt;=INDEX(PEMAGANG!$J$3:$J$36,MATCH(B2663,PEMAGANG!$C$3:$C$36,0)),H2663&lt;=INDEX(PEMAGANG!$K$3:$K$36,MATCH(B2663,PEMAGANG!$C$3:$C$36,0))),1,0),0)</f>
        <v>0</v>
      </c>
      <c r="W2663" s="71">
        <f t="shared" si="377"/>
        <v>0</v>
      </c>
    </row>
    <row r="2664" spans="1:23" x14ac:dyDescent="0.2">
      <c r="A2664" s="71" t="s">
        <v>673</v>
      </c>
      <c r="B2664" s="71" t="s">
        <v>674</v>
      </c>
      <c r="C2664" s="71" t="s">
        <v>187</v>
      </c>
      <c r="D2664" s="71" t="s">
        <v>421</v>
      </c>
      <c r="E2664" s="71" t="s">
        <v>422</v>
      </c>
      <c r="F2664" s="71" t="s">
        <v>300</v>
      </c>
      <c r="G2664" s="88">
        <v>46233.709976851896</v>
      </c>
      <c r="H2664" s="89">
        <v>46233</v>
      </c>
      <c r="I2664" s="71" t="s">
        <v>436</v>
      </c>
      <c r="J2664" s="71">
        <v>0</v>
      </c>
      <c r="K2664" s="71" t="s">
        <v>302</v>
      </c>
      <c r="L2664" s="71">
        <f t="shared" si="369"/>
        <v>7</v>
      </c>
      <c r="M2664" s="71" t="str">
        <f>IFERROR(INDEX(KALENDER!$D$3:$D$132,MATCH(H2664,KALENDER!$A$3:$A$132,0)),"Di luar periode")</f>
        <v>Hari Kerja</v>
      </c>
      <c r="N2664" s="71">
        <f t="shared" si="370"/>
        <v>0</v>
      </c>
      <c r="O2664" s="71">
        <f t="shared" si="371"/>
        <v>1</v>
      </c>
      <c r="P2664" s="71">
        <f t="shared" si="372"/>
        <v>0</v>
      </c>
      <c r="Q2664" s="71">
        <f t="shared" si="373"/>
        <v>0</v>
      </c>
      <c r="R2664" s="71">
        <f t="shared" si="374"/>
        <v>0</v>
      </c>
      <c r="S2664" s="71">
        <f t="shared" si="375"/>
        <v>0</v>
      </c>
      <c r="T2664" s="71">
        <f t="shared" si="376"/>
        <v>0</v>
      </c>
      <c r="U2664" s="71">
        <f>IF(AND(N2664=1,V2664=1),IF(COUNTIFS(AKTIVITAS!$B$2:$B$3052,B2664,AKTIVITAS!$E$2:$E$3052,H2664)&gt;0,1,0),0)</f>
        <v>0</v>
      </c>
      <c r="V2664" s="71">
        <f>IFERROR(IF(AND(H2664&gt;=INDEX(PEMAGANG!$J$3:$J$36,MATCH(B2664,PEMAGANG!$C$3:$C$36,0)),H2664&lt;=INDEX(PEMAGANG!$K$3:$K$36,MATCH(B2664,PEMAGANG!$C$3:$C$36,0))),1,0),0)</f>
        <v>0</v>
      </c>
      <c r="W2664" s="71">
        <f t="shared" si="377"/>
        <v>0</v>
      </c>
    </row>
    <row r="2665" spans="1:23" x14ac:dyDescent="0.2">
      <c r="A2665" s="71" t="s">
        <v>673</v>
      </c>
      <c r="B2665" s="71" t="s">
        <v>674</v>
      </c>
      <c r="C2665" s="71" t="s">
        <v>187</v>
      </c>
      <c r="D2665" s="71" t="s">
        <v>421</v>
      </c>
      <c r="E2665" s="71" t="s">
        <v>422</v>
      </c>
      <c r="F2665" s="71" t="s">
        <v>298</v>
      </c>
      <c r="G2665" s="88">
        <v>46234.254374999997</v>
      </c>
      <c r="H2665" s="89">
        <v>46234</v>
      </c>
      <c r="I2665" s="71" t="s">
        <v>678</v>
      </c>
      <c r="J2665" s="71">
        <v>-114</v>
      </c>
      <c r="K2665" s="71" t="s">
        <v>302</v>
      </c>
      <c r="L2665" s="71">
        <f t="shared" si="369"/>
        <v>7</v>
      </c>
      <c r="M2665" s="71" t="str">
        <f>IFERROR(INDEX(KALENDER!$D$3:$D$132,MATCH(H2665,KALENDER!$A$3:$A$132,0)),"Di luar periode")</f>
        <v>Hari Kerja</v>
      </c>
      <c r="N2665" s="71">
        <f t="shared" si="370"/>
        <v>1</v>
      </c>
      <c r="O2665" s="71">
        <f t="shared" si="371"/>
        <v>1</v>
      </c>
      <c r="P2665" s="71">
        <f t="shared" si="372"/>
        <v>0</v>
      </c>
      <c r="Q2665" s="71">
        <f t="shared" si="373"/>
        <v>1</v>
      </c>
      <c r="R2665" s="71">
        <f t="shared" si="374"/>
        <v>0</v>
      </c>
      <c r="S2665" s="71">
        <f t="shared" si="375"/>
        <v>0</v>
      </c>
      <c r="T2665" s="71">
        <f t="shared" si="376"/>
        <v>0</v>
      </c>
      <c r="U2665" s="71">
        <f>IF(AND(N2665=1,V2665=1),IF(COUNTIFS(AKTIVITAS!$B$2:$B$3052,B2665,AKTIVITAS!$E$2:$E$3052,H2665)&gt;0,1,0),0)</f>
        <v>0</v>
      </c>
      <c r="V2665" s="71">
        <f>IFERROR(IF(AND(H2665&gt;=INDEX(PEMAGANG!$J$3:$J$36,MATCH(B2665,PEMAGANG!$C$3:$C$36,0)),H2665&lt;=INDEX(PEMAGANG!$K$3:$K$36,MATCH(B2665,PEMAGANG!$C$3:$C$36,0))),1,0),0)</f>
        <v>0</v>
      </c>
      <c r="W2665" s="71">
        <f t="shared" si="377"/>
        <v>0</v>
      </c>
    </row>
    <row r="2666" spans="1:23" x14ac:dyDescent="0.2">
      <c r="A2666" s="71" t="s">
        <v>673</v>
      </c>
      <c r="B2666" s="71" t="s">
        <v>674</v>
      </c>
      <c r="C2666" s="71" t="s">
        <v>187</v>
      </c>
      <c r="D2666" s="71" t="s">
        <v>421</v>
      </c>
      <c r="E2666" s="71" t="s">
        <v>422</v>
      </c>
      <c r="F2666" s="71" t="s">
        <v>300</v>
      </c>
      <c r="G2666" s="88">
        <v>46234.704513888901</v>
      </c>
      <c r="H2666" s="89">
        <v>46234</v>
      </c>
      <c r="I2666" s="71" t="s">
        <v>394</v>
      </c>
      <c r="J2666" s="71">
        <v>0</v>
      </c>
      <c r="K2666" s="71" t="s">
        <v>302</v>
      </c>
      <c r="L2666" s="71">
        <f t="shared" si="369"/>
        <v>7</v>
      </c>
      <c r="M2666" s="71" t="str">
        <f>IFERROR(INDEX(KALENDER!$D$3:$D$132,MATCH(H2666,KALENDER!$A$3:$A$132,0)),"Di luar periode")</f>
        <v>Hari Kerja</v>
      </c>
      <c r="N2666" s="71">
        <f t="shared" si="370"/>
        <v>0</v>
      </c>
      <c r="O2666" s="71">
        <f t="shared" si="371"/>
        <v>1</v>
      </c>
      <c r="P2666" s="71">
        <f t="shared" si="372"/>
        <v>0</v>
      </c>
      <c r="Q2666" s="71">
        <f t="shared" si="373"/>
        <v>0</v>
      </c>
      <c r="R2666" s="71">
        <f t="shared" si="374"/>
        <v>0</v>
      </c>
      <c r="S2666" s="71">
        <f t="shared" si="375"/>
        <v>0</v>
      </c>
      <c r="T2666" s="71">
        <f t="shared" si="376"/>
        <v>0</v>
      </c>
      <c r="U2666" s="71">
        <f>IF(AND(N2666=1,V2666=1),IF(COUNTIFS(AKTIVITAS!$B$2:$B$3052,B2666,AKTIVITAS!$E$2:$E$3052,H2666)&gt;0,1,0),0)</f>
        <v>0</v>
      </c>
      <c r="V2666" s="71">
        <f>IFERROR(IF(AND(H2666&gt;=INDEX(PEMAGANG!$J$3:$J$36,MATCH(B2666,PEMAGANG!$C$3:$C$36,0)),H2666&lt;=INDEX(PEMAGANG!$K$3:$K$36,MATCH(B2666,PEMAGANG!$C$3:$C$36,0))),1,0),0)</f>
        <v>0</v>
      </c>
      <c r="W2666" s="71">
        <f t="shared" si="377"/>
        <v>0</v>
      </c>
    </row>
    <row r="2667" spans="1:23" x14ac:dyDescent="0.2">
      <c r="A2667" s="71" t="s">
        <v>673</v>
      </c>
      <c r="B2667" s="71" t="s">
        <v>674</v>
      </c>
      <c r="C2667" s="71" t="s">
        <v>187</v>
      </c>
      <c r="D2667" s="71" t="s">
        <v>421</v>
      </c>
      <c r="E2667" s="71" t="s">
        <v>422</v>
      </c>
      <c r="F2667" s="71" t="s">
        <v>298</v>
      </c>
      <c r="G2667" s="88">
        <v>46237.250949074099</v>
      </c>
      <c r="H2667" s="89">
        <v>46237</v>
      </c>
      <c r="I2667" s="71" t="s">
        <v>470</v>
      </c>
      <c r="J2667" s="71">
        <v>-119</v>
      </c>
      <c r="K2667" s="71" t="s">
        <v>302</v>
      </c>
      <c r="L2667" s="71">
        <f t="shared" si="369"/>
        <v>8</v>
      </c>
      <c r="M2667" s="71" t="str">
        <f>IFERROR(INDEX(KALENDER!$D$3:$D$132,MATCH(H2667,KALENDER!$A$3:$A$132,0)),"Di luar periode")</f>
        <v>Hari Kerja</v>
      </c>
      <c r="N2667" s="71">
        <f t="shared" si="370"/>
        <v>1</v>
      </c>
      <c r="O2667" s="71">
        <f t="shared" si="371"/>
        <v>1</v>
      </c>
      <c r="P2667" s="71">
        <f t="shared" si="372"/>
        <v>0</v>
      </c>
      <c r="Q2667" s="71">
        <f t="shared" si="373"/>
        <v>1</v>
      </c>
      <c r="R2667" s="71">
        <f t="shared" si="374"/>
        <v>0</v>
      </c>
      <c r="S2667" s="71">
        <f t="shared" si="375"/>
        <v>0</v>
      </c>
      <c r="T2667" s="71">
        <f t="shared" si="376"/>
        <v>0</v>
      </c>
      <c r="U2667" s="71">
        <f>IF(AND(N2667=1,V2667=1),IF(COUNTIFS(AKTIVITAS!$B$2:$B$3052,B2667,AKTIVITAS!$E$2:$E$3052,H2667)&gt;0,1,0),0)</f>
        <v>0</v>
      </c>
      <c r="V2667" s="71">
        <f>IFERROR(IF(AND(H2667&gt;=INDEX(PEMAGANG!$J$3:$J$36,MATCH(B2667,PEMAGANG!$C$3:$C$36,0)),H2667&lt;=INDEX(PEMAGANG!$K$3:$K$36,MATCH(B2667,PEMAGANG!$C$3:$C$36,0))),1,0),0)</f>
        <v>0</v>
      </c>
      <c r="W2667" s="71">
        <f t="shared" si="377"/>
        <v>0</v>
      </c>
    </row>
    <row r="2668" spans="1:23" x14ac:dyDescent="0.2">
      <c r="A2668" s="71" t="s">
        <v>673</v>
      </c>
      <c r="B2668" s="71" t="s">
        <v>674</v>
      </c>
      <c r="C2668" s="71" t="s">
        <v>187</v>
      </c>
      <c r="D2668" s="71" t="s">
        <v>421</v>
      </c>
      <c r="E2668" s="71" t="s">
        <v>422</v>
      </c>
      <c r="F2668" s="71" t="s">
        <v>300</v>
      </c>
      <c r="G2668" s="88">
        <v>46237.709155092598</v>
      </c>
      <c r="H2668" s="89">
        <v>46237</v>
      </c>
      <c r="I2668" s="71" t="s">
        <v>333</v>
      </c>
      <c r="J2668" s="71">
        <v>0</v>
      </c>
      <c r="K2668" s="71" t="s">
        <v>302</v>
      </c>
      <c r="L2668" s="71">
        <f t="shared" si="369"/>
        <v>8</v>
      </c>
      <c r="M2668" s="71" t="str">
        <f>IFERROR(INDEX(KALENDER!$D$3:$D$132,MATCH(H2668,KALENDER!$A$3:$A$132,0)),"Di luar periode")</f>
        <v>Hari Kerja</v>
      </c>
      <c r="N2668" s="71">
        <f t="shared" si="370"/>
        <v>0</v>
      </c>
      <c r="O2668" s="71">
        <f t="shared" si="371"/>
        <v>1</v>
      </c>
      <c r="P2668" s="71">
        <f t="shared" si="372"/>
        <v>0</v>
      </c>
      <c r="Q2668" s="71">
        <f t="shared" si="373"/>
        <v>0</v>
      </c>
      <c r="R2668" s="71">
        <f t="shared" si="374"/>
        <v>0</v>
      </c>
      <c r="S2668" s="71">
        <f t="shared" si="375"/>
        <v>0</v>
      </c>
      <c r="T2668" s="71">
        <f t="shared" si="376"/>
        <v>0</v>
      </c>
      <c r="U2668" s="71">
        <f>IF(AND(N2668=1,V2668=1),IF(COUNTIFS(AKTIVITAS!$B$2:$B$3052,B2668,AKTIVITAS!$E$2:$E$3052,H2668)&gt;0,1,0),0)</f>
        <v>0</v>
      </c>
      <c r="V2668" s="71">
        <f>IFERROR(IF(AND(H2668&gt;=INDEX(PEMAGANG!$J$3:$J$36,MATCH(B2668,PEMAGANG!$C$3:$C$36,0)),H2668&lt;=INDEX(PEMAGANG!$K$3:$K$36,MATCH(B2668,PEMAGANG!$C$3:$C$36,0))),1,0),0)</f>
        <v>0</v>
      </c>
      <c r="W2668" s="71">
        <f t="shared" si="377"/>
        <v>0</v>
      </c>
    </row>
    <row r="2669" spans="1:23" x14ac:dyDescent="0.2">
      <c r="A2669" s="71" t="s">
        <v>673</v>
      </c>
      <c r="B2669" s="71" t="s">
        <v>674</v>
      </c>
      <c r="C2669" s="71" t="s">
        <v>187</v>
      </c>
      <c r="D2669" s="71" t="s">
        <v>421</v>
      </c>
      <c r="E2669" s="71" t="s">
        <v>422</v>
      </c>
      <c r="F2669" s="71" t="s">
        <v>298</v>
      </c>
      <c r="G2669" s="88">
        <v>46238.246342592603</v>
      </c>
      <c r="H2669" s="89">
        <v>46238</v>
      </c>
      <c r="I2669" s="71" t="s">
        <v>679</v>
      </c>
      <c r="J2669" s="71">
        <v>-126</v>
      </c>
      <c r="K2669" s="71" t="s">
        <v>302</v>
      </c>
      <c r="L2669" s="71">
        <f t="shared" si="369"/>
        <v>8</v>
      </c>
      <c r="M2669" s="71" t="str">
        <f>IFERROR(INDEX(KALENDER!$D$3:$D$132,MATCH(H2669,KALENDER!$A$3:$A$132,0)),"Di luar periode")</f>
        <v>Hari Kerja</v>
      </c>
      <c r="N2669" s="71">
        <f t="shared" si="370"/>
        <v>1</v>
      </c>
      <c r="O2669" s="71">
        <f t="shared" si="371"/>
        <v>1</v>
      </c>
      <c r="P2669" s="71">
        <f t="shared" si="372"/>
        <v>0</v>
      </c>
      <c r="Q2669" s="71">
        <f t="shared" si="373"/>
        <v>1</v>
      </c>
      <c r="R2669" s="71">
        <f t="shared" si="374"/>
        <v>0</v>
      </c>
      <c r="S2669" s="71">
        <f t="shared" si="375"/>
        <v>0</v>
      </c>
      <c r="T2669" s="71">
        <f t="shared" si="376"/>
        <v>0</v>
      </c>
      <c r="U2669" s="71">
        <f>IF(AND(N2669=1,V2669=1),IF(COUNTIFS(AKTIVITAS!$B$2:$B$3052,B2669,AKTIVITAS!$E$2:$E$3052,H2669)&gt;0,1,0),0)</f>
        <v>0</v>
      </c>
      <c r="V2669" s="71">
        <f>IFERROR(IF(AND(H2669&gt;=INDEX(PEMAGANG!$J$3:$J$36,MATCH(B2669,PEMAGANG!$C$3:$C$36,0)),H2669&lt;=INDEX(PEMAGANG!$K$3:$K$36,MATCH(B2669,PEMAGANG!$C$3:$C$36,0))),1,0),0)</f>
        <v>0</v>
      </c>
      <c r="W2669" s="71">
        <f t="shared" si="377"/>
        <v>0</v>
      </c>
    </row>
    <row r="2670" spans="1:23" x14ac:dyDescent="0.2">
      <c r="A2670" s="71" t="s">
        <v>673</v>
      </c>
      <c r="B2670" s="71" t="s">
        <v>674</v>
      </c>
      <c r="C2670" s="71" t="s">
        <v>187</v>
      </c>
      <c r="D2670" s="71" t="s">
        <v>421</v>
      </c>
      <c r="E2670" s="71" t="s">
        <v>422</v>
      </c>
      <c r="F2670" s="71" t="s">
        <v>300</v>
      </c>
      <c r="G2670" s="88">
        <v>46238.711157407401</v>
      </c>
      <c r="H2670" s="89">
        <v>46238</v>
      </c>
      <c r="I2670" s="71" t="s">
        <v>378</v>
      </c>
      <c r="J2670" s="71">
        <v>0</v>
      </c>
      <c r="K2670" s="71" t="s">
        <v>302</v>
      </c>
      <c r="L2670" s="71">
        <f t="shared" si="369"/>
        <v>8</v>
      </c>
      <c r="M2670" s="71" t="str">
        <f>IFERROR(INDEX(KALENDER!$D$3:$D$132,MATCH(H2670,KALENDER!$A$3:$A$132,0)),"Di luar periode")</f>
        <v>Hari Kerja</v>
      </c>
      <c r="N2670" s="71">
        <f t="shared" si="370"/>
        <v>0</v>
      </c>
      <c r="O2670" s="71">
        <f t="shared" si="371"/>
        <v>1</v>
      </c>
      <c r="P2670" s="71">
        <f t="shared" si="372"/>
        <v>0</v>
      </c>
      <c r="Q2670" s="71">
        <f t="shared" si="373"/>
        <v>0</v>
      </c>
      <c r="R2670" s="71">
        <f t="shared" si="374"/>
        <v>0</v>
      </c>
      <c r="S2670" s="71">
        <f t="shared" si="375"/>
        <v>0</v>
      </c>
      <c r="T2670" s="71">
        <f t="shared" si="376"/>
        <v>0</v>
      </c>
      <c r="U2670" s="71">
        <f>IF(AND(N2670=1,V2670=1),IF(COUNTIFS(AKTIVITAS!$B$2:$B$3052,B2670,AKTIVITAS!$E$2:$E$3052,H2670)&gt;0,1,0),0)</f>
        <v>0</v>
      </c>
      <c r="V2670" s="71">
        <f>IFERROR(IF(AND(H2670&gt;=INDEX(PEMAGANG!$J$3:$J$36,MATCH(B2670,PEMAGANG!$C$3:$C$36,0)),H2670&lt;=INDEX(PEMAGANG!$K$3:$K$36,MATCH(B2670,PEMAGANG!$C$3:$C$36,0))),1,0),0)</f>
        <v>0</v>
      </c>
      <c r="W2670" s="71">
        <f t="shared" si="377"/>
        <v>0</v>
      </c>
    </row>
    <row r="2671" spans="1:23" x14ac:dyDescent="0.2">
      <c r="A2671" s="71" t="s">
        <v>673</v>
      </c>
      <c r="B2671" s="71" t="s">
        <v>674</v>
      </c>
      <c r="C2671" s="71" t="s">
        <v>187</v>
      </c>
      <c r="D2671" s="71" t="s">
        <v>421</v>
      </c>
      <c r="E2671" s="71" t="s">
        <v>422</v>
      </c>
      <c r="F2671" s="71" t="s">
        <v>298</v>
      </c>
      <c r="G2671" s="88">
        <v>46239.709444444401</v>
      </c>
      <c r="H2671" s="89">
        <v>46239</v>
      </c>
      <c r="I2671" s="71" t="s">
        <v>333</v>
      </c>
      <c r="J2671" s="71">
        <v>541</v>
      </c>
      <c r="K2671" s="71" t="s">
        <v>293</v>
      </c>
      <c r="L2671" s="71">
        <f t="shared" si="369"/>
        <v>8</v>
      </c>
      <c r="M2671" s="71" t="str">
        <f>IFERROR(INDEX(KALENDER!$D$3:$D$132,MATCH(H2671,KALENDER!$A$3:$A$132,0)),"Di luar periode")</f>
        <v>Hari Kerja</v>
      </c>
      <c r="N2671" s="71">
        <f t="shared" si="370"/>
        <v>1</v>
      </c>
      <c r="O2671" s="71">
        <f t="shared" si="371"/>
        <v>1</v>
      </c>
      <c r="P2671" s="71">
        <f t="shared" si="372"/>
        <v>0</v>
      </c>
      <c r="Q2671" s="71">
        <f t="shared" si="373"/>
        <v>1</v>
      </c>
      <c r="R2671" s="71">
        <f t="shared" si="374"/>
        <v>0</v>
      </c>
      <c r="S2671" s="71">
        <f t="shared" si="375"/>
        <v>0</v>
      </c>
      <c r="T2671" s="71">
        <f t="shared" si="376"/>
        <v>0</v>
      </c>
      <c r="U2671" s="71">
        <f>IF(AND(N2671=1,V2671=1),IF(COUNTIFS(AKTIVITAS!$B$2:$B$3052,B2671,AKTIVITAS!$E$2:$E$3052,H2671)&gt;0,1,0),0)</f>
        <v>0</v>
      </c>
      <c r="V2671" s="71">
        <f>IFERROR(IF(AND(H2671&gt;=INDEX(PEMAGANG!$J$3:$J$36,MATCH(B2671,PEMAGANG!$C$3:$C$36,0)),H2671&lt;=INDEX(PEMAGANG!$K$3:$K$36,MATCH(B2671,PEMAGANG!$C$3:$C$36,0))),1,0),0)</f>
        <v>0</v>
      </c>
      <c r="W2671" s="71">
        <f t="shared" si="377"/>
        <v>0</v>
      </c>
    </row>
    <row r="2672" spans="1:23" x14ac:dyDescent="0.2">
      <c r="A2672" s="71" t="s">
        <v>673</v>
      </c>
      <c r="B2672" s="71" t="s">
        <v>674</v>
      </c>
      <c r="C2672" s="71" t="s">
        <v>187</v>
      </c>
      <c r="D2672" s="71" t="s">
        <v>421</v>
      </c>
      <c r="E2672" s="71" t="s">
        <v>422</v>
      </c>
      <c r="F2672" s="71" t="s">
        <v>298</v>
      </c>
      <c r="G2672" s="88">
        <v>46240.248969907399</v>
      </c>
      <c r="H2672" s="89">
        <v>46240</v>
      </c>
      <c r="I2672" s="71" t="s">
        <v>680</v>
      </c>
      <c r="J2672" s="71">
        <v>-122</v>
      </c>
      <c r="K2672" s="71" t="s">
        <v>302</v>
      </c>
      <c r="L2672" s="71">
        <f t="shared" si="369"/>
        <v>8</v>
      </c>
      <c r="M2672" s="71" t="str">
        <f>IFERROR(INDEX(KALENDER!$D$3:$D$132,MATCH(H2672,KALENDER!$A$3:$A$132,0)),"Di luar periode")</f>
        <v>Hari Kerja</v>
      </c>
      <c r="N2672" s="71">
        <f t="shared" si="370"/>
        <v>1</v>
      </c>
      <c r="O2672" s="71">
        <f t="shared" si="371"/>
        <v>1</v>
      </c>
      <c r="P2672" s="71">
        <f t="shared" si="372"/>
        <v>0</v>
      </c>
      <c r="Q2672" s="71">
        <f t="shared" si="373"/>
        <v>1</v>
      </c>
      <c r="R2672" s="71">
        <f t="shared" si="374"/>
        <v>0</v>
      </c>
      <c r="S2672" s="71">
        <f t="shared" si="375"/>
        <v>0</v>
      </c>
      <c r="T2672" s="71">
        <f t="shared" si="376"/>
        <v>0</v>
      </c>
      <c r="U2672" s="71">
        <f>IF(AND(N2672=1,V2672=1),IF(COUNTIFS(AKTIVITAS!$B$2:$B$3052,B2672,AKTIVITAS!$E$2:$E$3052,H2672)&gt;0,1,0),0)</f>
        <v>0</v>
      </c>
      <c r="V2672" s="71">
        <f>IFERROR(IF(AND(H2672&gt;=INDEX(PEMAGANG!$J$3:$J$36,MATCH(B2672,PEMAGANG!$C$3:$C$36,0)),H2672&lt;=INDEX(PEMAGANG!$K$3:$K$36,MATCH(B2672,PEMAGANG!$C$3:$C$36,0))),1,0),0)</f>
        <v>0</v>
      </c>
      <c r="W2672" s="71">
        <f t="shared" si="377"/>
        <v>0</v>
      </c>
    </row>
    <row r="2673" spans="1:23" x14ac:dyDescent="0.2">
      <c r="A2673" s="71" t="s">
        <v>673</v>
      </c>
      <c r="B2673" s="71" t="s">
        <v>674</v>
      </c>
      <c r="C2673" s="71" t="s">
        <v>187</v>
      </c>
      <c r="D2673" s="71" t="s">
        <v>421</v>
      </c>
      <c r="E2673" s="71" t="s">
        <v>422</v>
      </c>
      <c r="F2673" s="71" t="s">
        <v>300</v>
      </c>
      <c r="G2673" s="88">
        <v>46240.7093634259</v>
      </c>
      <c r="H2673" s="89">
        <v>46240</v>
      </c>
      <c r="I2673" s="71" t="s">
        <v>333</v>
      </c>
      <c r="J2673" s="71">
        <v>0</v>
      </c>
      <c r="K2673" s="71" t="s">
        <v>302</v>
      </c>
      <c r="L2673" s="71">
        <f t="shared" si="369"/>
        <v>8</v>
      </c>
      <c r="M2673" s="71" t="str">
        <f>IFERROR(INDEX(KALENDER!$D$3:$D$132,MATCH(H2673,KALENDER!$A$3:$A$132,0)),"Di luar periode")</f>
        <v>Hari Kerja</v>
      </c>
      <c r="N2673" s="71">
        <f t="shared" si="370"/>
        <v>0</v>
      </c>
      <c r="O2673" s="71">
        <f t="shared" si="371"/>
        <v>1</v>
      </c>
      <c r="P2673" s="71">
        <f t="shared" si="372"/>
        <v>0</v>
      </c>
      <c r="Q2673" s="71">
        <f t="shared" si="373"/>
        <v>0</v>
      </c>
      <c r="R2673" s="71">
        <f t="shared" si="374"/>
        <v>0</v>
      </c>
      <c r="S2673" s="71">
        <f t="shared" si="375"/>
        <v>0</v>
      </c>
      <c r="T2673" s="71">
        <f t="shared" si="376"/>
        <v>0</v>
      </c>
      <c r="U2673" s="71">
        <f>IF(AND(N2673=1,V2673=1),IF(COUNTIFS(AKTIVITAS!$B$2:$B$3052,B2673,AKTIVITAS!$E$2:$E$3052,H2673)&gt;0,1,0),0)</f>
        <v>0</v>
      </c>
      <c r="V2673" s="71">
        <f>IFERROR(IF(AND(H2673&gt;=INDEX(PEMAGANG!$J$3:$J$36,MATCH(B2673,PEMAGANG!$C$3:$C$36,0)),H2673&lt;=INDEX(PEMAGANG!$K$3:$K$36,MATCH(B2673,PEMAGANG!$C$3:$C$36,0))),1,0),0)</f>
        <v>0</v>
      </c>
      <c r="W2673" s="71">
        <f t="shared" si="377"/>
        <v>0</v>
      </c>
    </row>
    <row r="2674" spans="1:23" x14ac:dyDescent="0.2">
      <c r="A2674" s="71" t="s">
        <v>673</v>
      </c>
      <c r="B2674" s="71" t="s">
        <v>674</v>
      </c>
      <c r="C2674" s="71" t="s">
        <v>187</v>
      </c>
      <c r="D2674" s="71" t="s">
        <v>421</v>
      </c>
      <c r="E2674" s="71" t="s">
        <v>422</v>
      </c>
      <c r="F2674" s="71" t="s">
        <v>298</v>
      </c>
      <c r="G2674" s="88">
        <v>46241.254340277803</v>
      </c>
      <c r="H2674" s="89">
        <v>46241</v>
      </c>
      <c r="I2674" s="71" t="s">
        <v>678</v>
      </c>
      <c r="J2674" s="71">
        <v>-114</v>
      </c>
      <c r="K2674" s="71" t="s">
        <v>302</v>
      </c>
      <c r="L2674" s="71">
        <f t="shared" si="369"/>
        <v>8</v>
      </c>
      <c r="M2674" s="71" t="str">
        <f>IFERROR(INDEX(KALENDER!$D$3:$D$132,MATCH(H2674,KALENDER!$A$3:$A$132,0)),"Di luar periode")</f>
        <v>Hari Kerja</v>
      </c>
      <c r="N2674" s="71">
        <f t="shared" si="370"/>
        <v>1</v>
      </c>
      <c r="O2674" s="71">
        <f t="shared" si="371"/>
        <v>1</v>
      </c>
      <c r="P2674" s="71">
        <f t="shared" si="372"/>
        <v>0</v>
      </c>
      <c r="Q2674" s="71">
        <f t="shared" si="373"/>
        <v>1</v>
      </c>
      <c r="R2674" s="71">
        <f t="shared" si="374"/>
        <v>0</v>
      </c>
      <c r="S2674" s="71">
        <f t="shared" si="375"/>
        <v>0</v>
      </c>
      <c r="T2674" s="71">
        <f t="shared" si="376"/>
        <v>0</v>
      </c>
      <c r="U2674" s="71">
        <f>IF(AND(N2674=1,V2674=1),IF(COUNTIFS(AKTIVITAS!$B$2:$B$3052,B2674,AKTIVITAS!$E$2:$E$3052,H2674)&gt;0,1,0),0)</f>
        <v>0</v>
      </c>
      <c r="V2674" s="71">
        <f>IFERROR(IF(AND(H2674&gt;=INDEX(PEMAGANG!$J$3:$J$36,MATCH(B2674,PEMAGANG!$C$3:$C$36,0)),H2674&lt;=INDEX(PEMAGANG!$K$3:$K$36,MATCH(B2674,PEMAGANG!$C$3:$C$36,0))),1,0),0)</f>
        <v>0</v>
      </c>
      <c r="W2674" s="71">
        <f t="shared" si="377"/>
        <v>0</v>
      </c>
    </row>
    <row r="2675" spans="1:23" x14ac:dyDescent="0.2">
      <c r="A2675" s="71" t="s">
        <v>673</v>
      </c>
      <c r="B2675" s="71" t="s">
        <v>674</v>
      </c>
      <c r="C2675" s="71" t="s">
        <v>187</v>
      </c>
      <c r="D2675" s="71" t="s">
        <v>421</v>
      </c>
      <c r="E2675" s="71" t="s">
        <v>422</v>
      </c>
      <c r="F2675" s="71" t="s">
        <v>300</v>
      </c>
      <c r="G2675" s="88">
        <v>46241.712303240703</v>
      </c>
      <c r="H2675" s="89">
        <v>46241</v>
      </c>
      <c r="I2675" s="71" t="s">
        <v>362</v>
      </c>
      <c r="J2675" s="71">
        <v>0</v>
      </c>
      <c r="K2675" s="71" t="s">
        <v>302</v>
      </c>
      <c r="L2675" s="71">
        <f t="shared" si="369"/>
        <v>8</v>
      </c>
      <c r="M2675" s="71" t="str">
        <f>IFERROR(INDEX(KALENDER!$D$3:$D$132,MATCH(H2675,KALENDER!$A$3:$A$132,0)),"Di luar periode")</f>
        <v>Hari Kerja</v>
      </c>
      <c r="N2675" s="71">
        <f t="shared" si="370"/>
        <v>0</v>
      </c>
      <c r="O2675" s="71">
        <f t="shared" si="371"/>
        <v>1</v>
      </c>
      <c r="P2675" s="71">
        <f t="shared" si="372"/>
        <v>0</v>
      </c>
      <c r="Q2675" s="71">
        <f t="shared" si="373"/>
        <v>0</v>
      </c>
      <c r="R2675" s="71">
        <f t="shared" si="374"/>
        <v>0</v>
      </c>
      <c r="S2675" s="71">
        <f t="shared" si="375"/>
        <v>0</v>
      </c>
      <c r="T2675" s="71">
        <f t="shared" si="376"/>
        <v>0</v>
      </c>
      <c r="U2675" s="71">
        <f>IF(AND(N2675=1,V2675=1),IF(COUNTIFS(AKTIVITAS!$B$2:$B$3052,B2675,AKTIVITAS!$E$2:$E$3052,H2675)&gt;0,1,0),0)</f>
        <v>0</v>
      </c>
      <c r="V2675" s="71">
        <f>IFERROR(IF(AND(H2675&gt;=INDEX(PEMAGANG!$J$3:$J$36,MATCH(B2675,PEMAGANG!$C$3:$C$36,0)),H2675&lt;=INDEX(PEMAGANG!$K$3:$K$36,MATCH(B2675,PEMAGANG!$C$3:$C$36,0))),1,0),0)</f>
        <v>0</v>
      </c>
      <c r="W2675" s="71">
        <f t="shared" si="377"/>
        <v>0</v>
      </c>
    </row>
    <row r="2676" spans="1:23" x14ac:dyDescent="0.2">
      <c r="A2676" s="71" t="s">
        <v>673</v>
      </c>
      <c r="B2676" s="71" t="s">
        <v>674</v>
      </c>
      <c r="C2676" s="71" t="s">
        <v>187</v>
      </c>
      <c r="D2676" s="71" t="s">
        <v>421</v>
      </c>
      <c r="E2676" s="71" t="s">
        <v>422</v>
      </c>
      <c r="F2676" s="71" t="s">
        <v>298</v>
      </c>
      <c r="G2676" s="88">
        <v>46244.2507175926</v>
      </c>
      <c r="H2676" s="89">
        <v>46244</v>
      </c>
      <c r="I2676" s="71" t="s">
        <v>470</v>
      </c>
      <c r="J2676" s="71">
        <v>-119</v>
      </c>
      <c r="K2676" s="71" t="s">
        <v>302</v>
      </c>
      <c r="L2676" s="71">
        <f t="shared" si="369"/>
        <v>8</v>
      </c>
      <c r="M2676" s="71" t="str">
        <f>IFERROR(INDEX(KALENDER!$D$3:$D$132,MATCH(H2676,KALENDER!$A$3:$A$132,0)),"Di luar periode")</f>
        <v>Hari Kerja</v>
      </c>
      <c r="N2676" s="71">
        <f t="shared" si="370"/>
        <v>1</v>
      </c>
      <c r="O2676" s="71">
        <f t="shared" si="371"/>
        <v>1</v>
      </c>
      <c r="P2676" s="71">
        <f t="shared" si="372"/>
        <v>0</v>
      </c>
      <c r="Q2676" s="71">
        <f t="shared" si="373"/>
        <v>1</v>
      </c>
      <c r="R2676" s="71">
        <f t="shared" si="374"/>
        <v>0</v>
      </c>
      <c r="S2676" s="71">
        <f t="shared" si="375"/>
        <v>0</v>
      </c>
      <c r="T2676" s="71">
        <f t="shared" si="376"/>
        <v>0</v>
      </c>
      <c r="U2676" s="71">
        <f>IF(AND(N2676=1,V2676=1),IF(COUNTIFS(AKTIVITAS!$B$2:$B$3052,B2676,AKTIVITAS!$E$2:$E$3052,H2676)&gt;0,1,0),0)</f>
        <v>0</v>
      </c>
      <c r="V2676" s="71">
        <f>IFERROR(IF(AND(H2676&gt;=INDEX(PEMAGANG!$J$3:$J$36,MATCH(B2676,PEMAGANG!$C$3:$C$36,0)),H2676&lt;=INDEX(PEMAGANG!$K$3:$K$36,MATCH(B2676,PEMAGANG!$C$3:$C$36,0))),1,0),0)</f>
        <v>0</v>
      </c>
      <c r="W2676" s="71">
        <f t="shared" si="377"/>
        <v>0</v>
      </c>
    </row>
    <row r="2677" spans="1:23" x14ac:dyDescent="0.2">
      <c r="A2677" s="71" t="s">
        <v>673</v>
      </c>
      <c r="B2677" s="71" t="s">
        <v>674</v>
      </c>
      <c r="C2677" s="71" t="s">
        <v>187</v>
      </c>
      <c r="D2677" s="71" t="s">
        <v>421</v>
      </c>
      <c r="E2677" s="71" t="s">
        <v>422</v>
      </c>
      <c r="F2677" s="71" t="s">
        <v>300</v>
      </c>
      <c r="G2677" s="88">
        <v>46244.710706018501</v>
      </c>
      <c r="H2677" s="89">
        <v>46244</v>
      </c>
      <c r="I2677" s="71" t="s">
        <v>450</v>
      </c>
      <c r="J2677" s="71">
        <v>0</v>
      </c>
      <c r="K2677" s="71" t="s">
        <v>302</v>
      </c>
      <c r="L2677" s="71">
        <f t="shared" si="369"/>
        <v>8</v>
      </c>
      <c r="M2677" s="71" t="str">
        <f>IFERROR(INDEX(KALENDER!$D$3:$D$132,MATCH(H2677,KALENDER!$A$3:$A$132,0)),"Di luar periode")</f>
        <v>Hari Kerja</v>
      </c>
      <c r="N2677" s="71">
        <f t="shared" si="370"/>
        <v>0</v>
      </c>
      <c r="O2677" s="71">
        <f t="shared" si="371"/>
        <v>1</v>
      </c>
      <c r="P2677" s="71">
        <f t="shared" si="372"/>
        <v>0</v>
      </c>
      <c r="Q2677" s="71">
        <f t="shared" si="373"/>
        <v>0</v>
      </c>
      <c r="R2677" s="71">
        <f t="shared" si="374"/>
        <v>0</v>
      </c>
      <c r="S2677" s="71">
        <f t="shared" si="375"/>
        <v>0</v>
      </c>
      <c r="T2677" s="71">
        <f t="shared" si="376"/>
        <v>0</v>
      </c>
      <c r="U2677" s="71">
        <f>IF(AND(N2677=1,V2677=1),IF(COUNTIFS(AKTIVITAS!$B$2:$B$3052,B2677,AKTIVITAS!$E$2:$E$3052,H2677)&gt;0,1,0),0)</f>
        <v>0</v>
      </c>
      <c r="V2677" s="71">
        <f>IFERROR(IF(AND(H2677&gt;=INDEX(PEMAGANG!$J$3:$J$36,MATCH(B2677,PEMAGANG!$C$3:$C$36,0)),H2677&lt;=INDEX(PEMAGANG!$K$3:$K$36,MATCH(B2677,PEMAGANG!$C$3:$C$36,0))),1,0),0)</f>
        <v>0</v>
      </c>
      <c r="W2677" s="71">
        <f t="shared" si="377"/>
        <v>0</v>
      </c>
    </row>
    <row r="2678" spans="1:23" x14ac:dyDescent="0.2">
      <c r="A2678" s="71" t="s">
        <v>673</v>
      </c>
      <c r="B2678" s="71" t="s">
        <v>674</v>
      </c>
      <c r="C2678" s="71" t="s">
        <v>187</v>
      </c>
      <c r="D2678" s="71" t="s">
        <v>421</v>
      </c>
      <c r="E2678" s="71" t="s">
        <v>422</v>
      </c>
      <c r="F2678" s="71" t="s">
        <v>298</v>
      </c>
      <c r="G2678" s="88">
        <v>46245.244641203702</v>
      </c>
      <c r="H2678" s="89">
        <v>46245</v>
      </c>
      <c r="I2678" s="71" t="s">
        <v>446</v>
      </c>
      <c r="J2678" s="71">
        <v>-128</v>
      </c>
      <c r="K2678" s="71" t="s">
        <v>302</v>
      </c>
      <c r="L2678" s="71">
        <f t="shared" si="369"/>
        <v>8</v>
      </c>
      <c r="M2678" s="71" t="str">
        <f>IFERROR(INDEX(KALENDER!$D$3:$D$132,MATCH(H2678,KALENDER!$A$3:$A$132,0)),"Di luar periode")</f>
        <v>Hari Kerja</v>
      </c>
      <c r="N2678" s="71">
        <f t="shared" si="370"/>
        <v>1</v>
      </c>
      <c r="O2678" s="71">
        <f t="shared" si="371"/>
        <v>1</v>
      </c>
      <c r="P2678" s="71">
        <f t="shared" si="372"/>
        <v>0</v>
      </c>
      <c r="Q2678" s="71">
        <f t="shared" si="373"/>
        <v>1</v>
      </c>
      <c r="R2678" s="71">
        <f t="shared" si="374"/>
        <v>0</v>
      </c>
      <c r="S2678" s="71">
        <f t="shared" si="375"/>
        <v>0</v>
      </c>
      <c r="T2678" s="71">
        <f t="shared" si="376"/>
        <v>0</v>
      </c>
      <c r="U2678" s="71">
        <f>IF(AND(N2678=1,V2678=1),IF(COUNTIFS(AKTIVITAS!$B$2:$B$3052,B2678,AKTIVITAS!$E$2:$E$3052,H2678)&gt;0,1,0),0)</f>
        <v>0</v>
      </c>
      <c r="V2678" s="71">
        <f>IFERROR(IF(AND(H2678&gt;=INDEX(PEMAGANG!$J$3:$J$36,MATCH(B2678,PEMAGANG!$C$3:$C$36,0)),H2678&lt;=INDEX(PEMAGANG!$K$3:$K$36,MATCH(B2678,PEMAGANG!$C$3:$C$36,0))),1,0),0)</f>
        <v>0</v>
      </c>
      <c r="W2678" s="71">
        <f t="shared" si="377"/>
        <v>0</v>
      </c>
    </row>
    <row r="2679" spans="1:23" x14ac:dyDescent="0.2">
      <c r="A2679" s="71" t="s">
        <v>673</v>
      </c>
      <c r="B2679" s="71" t="s">
        <v>674</v>
      </c>
      <c r="C2679" s="71" t="s">
        <v>187</v>
      </c>
      <c r="D2679" s="71" t="s">
        <v>421</v>
      </c>
      <c r="E2679" s="71" t="s">
        <v>422</v>
      </c>
      <c r="F2679" s="71" t="s">
        <v>300</v>
      </c>
      <c r="G2679" s="88">
        <v>46245.709490740701</v>
      </c>
      <c r="H2679" s="89">
        <v>46245</v>
      </c>
      <c r="I2679" s="71" t="s">
        <v>333</v>
      </c>
      <c r="J2679" s="71">
        <v>0</v>
      </c>
      <c r="K2679" s="71" t="s">
        <v>302</v>
      </c>
      <c r="L2679" s="71">
        <f t="shared" si="369"/>
        <v>8</v>
      </c>
      <c r="M2679" s="71" t="str">
        <f>IFERROR(INDEX(KALENDER!$D$3:$D$132,MATCH(H2679,KALENDER!$A$3:$A$132,0)),"Di luar periode")</f>
        <v>Hari Kerja</v>
      </c>
      <c r="N2679" s="71">
        <f t="shared" si="370"/>
        <v>0</v>
      </c>
      <c r="O2679" s="71">
        <f t="shared" si="371"/>
        <v>1</v>
      </c>
      <c r="P2679" s="71">
        <f t="shared" si="372"/>
        <v>0</v>
      </c>
      <c r="Q2679" s="71">
        <f t="shared" si="373"/>
        <v>0</v>
      </c>
      <c r="R2679" s="71">
        <f t="shared" si="374"/>
        <v>0</v>
      </c>
      <c r="S2679" s="71">
        <f t="shared" si="375"/>
        <v>0</v>
      </c>
      <c r="T2679" s="71">
        <f t="shared" si="376"/>
        <v>0</v>
      </c>
      <c r="U2679" s="71">
        <f>IF(AND(N2679=1,V2679=1),IF(COUNTIFS(AKTIVITAS!$B$2:$B$3052,B2679,AKTIVITAS!$E$2:$E$3052,H2679)&gt;0,1,0),0)</f>
        <v>0</v>
      </c>
      <c r="V2679" s="71">
        <f>IFERROR(IF(AND(H2679&gt;=INDEX(PEMAGANG!$J$3:$J$36,MATCH(B2679,PEMAGANG!$C$3:$C$36,0)),H2679&lt;=INDEX(PEMAGANG!$K$3:$K$36,MATCH(B2679,PEMAGANG!$C$3:$C$36,0))),1,0),0)</f>
        <v>0</v>
      </c>
      <c r="W2679" s="71">
        <f t="shared" si="377"/>
        <v>0</v>
      </c>
    </row>
    <row r="2680" spans="1:23" x14ac:dyDescent="0.2">
      <c r="A2680" s="71" t="s">
        <v>673</v>
      </c>
      <c r="B2680" s="71" t="s">
        <v>674</v>
      </c>
      <c r="C2680" s="71" t="s">
        <v>187</v>
      </c>
      <c r="D2680" s="71" t="s">
        <v>421</v>
      </c>
      <c r="E2680" s="71" t="s">
        <v>422</v>
      </c>
      <c r="F2680" s="71" t="s">
        <v>298</v>
      </c>
      <c r="G2680" s="88">
        <v>46246.707268518498</v>
      </c>
      <c r="H2680" s="89">
        <v>46246</v>
      </c>
      <c r="I2680" s="71" t="s">
        <v>579</v>
      </c>
      <c r="J2680" s="71">
        <v>538</v>
      </c>
      <c r="K2680" s="71" t="s">
        <v>293</v>
      </c>
      <c r="L2680" s="71">
        <f t="shared" si="369"/>
        <v>8</v>
      </c>
      <c r="M2680" s="71" t="str">
        <f>IFERROR(INDEX(KALENDER!$D$3:$D$132,MATCH(H2680,KALENDER!$A$3:$A$132,0)),"Di luar periode")</f>
        <v>Hari Kerja</v>
      </c>
      <c r="N2680" s="71">
        <f t="shared" si="370"/>
        <v>1</v>
      </c>
      <c r="O2680" s="71">
        <f t="shared" si="371"/>
        <v>1</v>
      </c>
      <c r="P2680" s="71">
        <f t="shared" si="372"/>
        <v>0</v>
      </c>
      <c r="Q2680" s="71">
        <f t="shared" si="373"/>
        <v>1</v>
      </c>
      <c r="R2680" s="71">
        <f t="shared" si="374"/>
        <v>0</v>
      </c>
      <c r="S2680" s="71">
        <f t="shared" si="375"/>
        <v>0</v>
      </c>
      <c r="T2680" s="71">
        <f t="shared" si="376"/>
        <v>0</v>
      </c>
      <c r="U2680" s="71">
        <f>IF(AND(N2680=1,V2680=1),IF(COUNTIFS(AKTIVITAS!$B$2:$B$3052,B2680,AKTIVITAS!$E$2:$E$3052,H2680)&gt;0,1,0),0)</f>
        <v>0</v>
      </c>
      <c r="V2680" s="71">
        <f>IFERROR(IF(AND(H2680&gt;=INDEX(PEMAGANG!$J$3:$J$36,MATCH(B2680,PEMAGANG!$C$3:$C$36,0)),H2680&lt;=INDEX(PEMAGANG!$K$3:$K$36,MATCH(B2680,PEMAGANG!$C$3:$C$36,0))),1,0),0)</f>
        <v>0</v>
      </c>
      <c r="W2680" s="71">
        <f t="shared" si="377"/>
        <v>0</v>
      </c>
    </row>
    <row r="2681" spans="1:23" x14ac:dyDescent="0.2">
      <c r="A2681" s="71" t="s">
        <v>673</v>
      </c>
      <c r="B2681" s="71" t="s">
        <v>674</v>
      </c>
      <c r="C2681" s="71" t="s">
        <v>187</v>
      </c>
      <c r="D2681" s="71" t="s">
        <v>421</v>
      </c>
      <c r="E2681" s="71" t="s">
        <v>422</v>
      </c>
      <c r="F2681" s="71" t="s">
        <v>298</v>
      </c>
      <c r="G2681" s="88">
        <v>46247.248402777797</v>
      </c>
      <c r="H2681" s="89">
        <v>46247</v>
      </c>
      <c r="I2681" s="71" t="s">
        <v>437</v>
      </c>
      <c r="J2681" s="71">
        <v>-123</v>
      </c>
      <c r="K2681" s="71" t="s">
        <v>302</v>
      </c>
      <c r="L2681" s="71">
        <f t="shared" si="369"/>
        <v>8</v>
      </c>
      <c r="M2681" s="71" t="str">
        <f>IFERROR(INDEX(KALENDER!$D$3:$D$132,MATCH(H2681,KALENDER!$A$3:$A$132,0)),"Di luar periode")</f>
        <v>Hari Kerja</v>
      </c>
      <c r="N2681" s="71">
        <f t="shared" si="370"/>
        <v>1</v>
      </c>
      <c r="O2681" s="71">
        <f t="shared" si="371"/>
        <v>1</v>
      </c>
      <c r="P2681" s="71">
        <f t="shared" si="372"/>
        <v>0</v>
      </c>
      <c r="Q2681" s="71">
        <f t="shared" si="373"/>
        <v>1</v>
      </c>
      <c r="R2681" s="71">
        <f t="shared" si="374"/>
        <v>0</v>
      </c>
      <c r="S2681" s="71">
        <f t="shared" si="375"/>
        <v>0</v>
      </c>
      <c r="T2681" s="71">
        <f t="shared" si="376"/>
        <v>0</v>
      </c>
      <c r="U2681" s="71">
        <f>IF(AND(N2681=1,V2681=1),IF(COUNTIFS(AKTIVITAS!$B$2:$B$3052,B2681,AKTIVITAS!$E$2:$E$3052,H2681)&gt;0,1,0),0)</f>
        <v>0</v>
      </c>
      <c r="V2681" s="71">
        <f>IFERROR(IF(AND(H2681&gt;=INDEX(PEMAGANG!$J$3:$J$36,MATCH(B2681,PEMAGANG!$C$3:$C$36,0)),H2681&lt;=INDEX(PEMAGANG!$K$3:$K$36,MATCH(B2681,PEMAGANG!$C$3:$C$36,0))),1,0),0)</f>
        <v>0</v>
      </c>
      <c r="W2681" s="71">
        <f t="shared" si="377"/>
        <v>0</v>
      </c>
    </row>
    <row r="2682" spans="1:23" x14ac:dyDescent="0.2">
      <c r="A2682" s="71" t="s">
        <v>673</v>
      </c>
      <c r="B2682" s="71" t="s">
        <v>674</v>
      </c>
      <c r="C2682" s="71" t="s">
        <v>187</v>
      </c>
      <c r="D2682" s="71" t="s">
        <v>421</v>
      </c>
      <c r="E2682" s="71" t="s">
        <v>422</v>
      </c>
      <c r="F2682" s="71" t="s">
        <v>300</v>
      </c>
      <c r="G2682" s="88">
        <v>46247.706979166702</v>
      </c>
      <c r="H2682" s="89">
        <v>46247</v>
      </c>
      <c r="I2682" s="71" t="s">
        <v>579</v>
      </c>
      <c r="J2682" s="71">
        <v>0</v>
      </c>
      <c r="K2682" s="71" t="s">
        <v>302</v>
      </c>
      <c r="L2682" s="71">
        <f t="shared" si="369"/>
        <v>8</v>
      </c>
      <c r="M2682" s="71" t="str">
        <f>IFERROR(INDEX(KALENDER!$D$3:$D$132,MATCH(H2682,KALENDER!$A$3:$A$132,0)),"Di luar periode")</f>
        <v>Hari Kerja</v>
      </c>
      <c r="N2682" s="71">
        <f t="shared" si="370"/>
        <v>0</v>
      </c>
      <c r="O2682" s="71">
        <f t="shared" si="371"/>
        <v>1</v>
      </c>
      <c r="P2682" s="71">
        <f t="shared" si="372"/>
        <v>0</v>
      </c>
      <c r="Q2682" s="71">
        <f t="shared" si="373"/>
        <v>0</v>
      </c>
      <c r="R2682" s="71">
        <f t="shared" si="374"/>
        <v>0</v>
      </c>
      <c r="S2682" s="71">
        <f t="shared" si="375"/>
        <v>0</v>
      </c>
      <c r="T2682" s="71">
        <f t="shared" si="376"/>
        <v>0</v>
      </c>
      <c r="U2682" s="71">
        <f>IF(AND(N2682=1,V2682=1),IF(COUNTIFS(AKTIVITAS!$B$2:$B$3052,B2682,AKTIVITAS!$E$2:$E$3052,H2682)&gt;0,1,0),0)</f>
        <v>0</v>
      </c>
      <c r="V2682" s="71">
        <f>IFERROR(IF(AND(H2682&gt;=INDEX(PEMAGANG!$J$3:$J$36,MATCH(B2682,PEMAGANG!$C$3:$C$36,0)),H2682&lt;=INDEX(PEMAGANG!$K$3:$K$36,MATCH(B2682,PEMAGANG!$C$3:$C$36,0))),1,0),0)</f>
        <v>0</v>
      </c>
      <c r="W2682" s="71">
        <f t="shared" si="377"/>
        <v>0</v>
      </c>
    </row>
    <row r="2683" spans="1:23" x14ac:dyDescent="0.2">
      <c r="A2683" s="71" t="s">
        <v>673</v>
      </c>
      <c r="B2683" s="71" t="s">
        <v>674</v>
      </c>
      <c r="C2683" s="71" t="s">
        <v>187</v>
      </c>
      <c r="D2683" s="71" t="s">
        <v>421</v>
      </c>
      <c r="E2683" s="71" t="s">
        <v>422</v>
      </c>
      <c r="F2683" s="71" t="s">
        <v>298</v>
      </c>
      <c r="G2683" s="88">
        <v>46248.710821759298</v>
      </c>
      <c r="H2683" s="89">
        <v>46248</v>
      </c>
      <c r="I2683" s="71" t="s">
        <v>450</v>
      </c>
      <c r="J2683" s="71">
        <v>543</v>
      </c>
      <c r="K2683" s="71" t="s">
        <v>293</v>
      </c>
      <c r="L2683" s="71">
        <f t="shared" si="369"/>
        <v>8</v>
      </c>
      <c r="M2683" s="71" t="str">
        <f>IFERROR(INDEX(KALENDER!$D$3:$D$132,MATCH(H2683,KALENDER!$A$3:$A$132,0)),"Di luar periode")</f>
        <v>Hari Kerja</v>
      </c>
      <c r="N2683" s="71">
        <f t="shared" si="370"/>
        <v>1</v>
      </c>
      <c r="O2683" s="71">
        <f t="shared" si="371"/>
        <v>1</v>
      </c>
      <c r="P2683" s="71">
        <f t="shared" si="372"/>
        <v>0</v>
      </c>
      <c r="Q2683" s="71">
        <f t="shared" si="373"/>
        <v>1</v>
      </c>
      <c r="R2683" s="71">
        <f t="shared" si="374"/>
        <v>0</v>
      </c>
      <c r="S2683" s="71">
        <f t="shared" si="375"/>
        <v>0</v>
      </c>
      <c r="T2683" s="71">
        <f t="shared" si="376"/>
        <v>0</v>
      </c>
      <c r="U2683" s="71">
        <f>IF(AND(N2683=1,V2683=1),IF(COUNTIFS(AKTIVITAS!$B$2:$B$3052,B2683,AKTIVITAS!$E$2:$E$3052,H2683)&gt;0,1,0),0)</f>
        <v>0</v>
      </c>
      <c r="V2683" s="71">
        <f>IFERROR(IF(AND(H2683&gt;=INDEX(PEMAGANG!$J$3:$J$36,MATCH(B2683,PEMAGANG!$C$3:$C$36,0)),H2683&lt;=INDEX(PEMAGANG!$K$3:$K$36,MATCH(B2683,PEMAGANG!$C$3:$C$36,0))),1,0),0)</f>
        <v>0</v>
      </c>
      <c r="W2683" s="71">
        <f t="shared" si="377"/>
        <v>0</v>
      </c>
    </row>
    <row r="2684" spans="1:23" x14ac:dyDescent="0.2">
      <c r="A2684" s="71" t="s">
        <v>673</v>
      </c>
      <c r="B2684" s="71" t="s">
        <v>674</v>
      </c>
      <c r="C2684" s="71" t="s">
        <v>187</v>
      </c>
      <c r="D2684" s="71" t="s">
        <v>421</v>
      </c>
      <c r="E2684" s="71" t="s">
        <v>422</v>
      </c>
      <c r="F2684" s="71" t="s">
        <v>298</v>
      </c>
      <c r="G2684" s="88">
        <v>46252.2430902778</v>
      </c>
      <c r="H2684" s="89">
        <v>46252</v>
      </c>
      <c r="I2684" s="71" t="s">
        <v>681</v>
      </c>
      <c r="J2684" s="71">
        <v>-130</v>
      </c>
      <c r="K2684" s="71" t="s">
        <v>302</v>
      </c>
      <c r="L2684" s="71">
        <f t="shared" si="369"/>
        <v>8</v>
      </c>
      <c r="M2684" s="71" t="str">
        <f>IFERROR(INDEX(KALENDER!$D$3:$D$132,MATCH(H2684,KALENDER!$A$3:$A$132,0)),"Di luar periode")</f>
        <v>Hari Kerja</v>
      </c>
      <c r="N2684" s="71">
        <f t="shared" si="370"/>
        <v>1</v>
      </c>
      <c r="O2684" s="71">
        <f t="shared" si="371"/>
        <v>1</v>
      </c>
      <c r="P2684" s="71">
        <f t="shared" si="372"/>
        <v>0</v>
      </c>
      <c r="Q2684" s="71">
        <f t="shared" si="373"/>
        <v>1</v>
      </c>
      <c r="R2684" s="71">
        <f t="shared" si="374"/>
        <v>0</v>
      </c>
      <c r="S2684" s="71">
        <f t="shared" si="375"/>
        <v>0</v>
      </c>
      <c r="T2684" s="71">
        <f t="shared" si="376"/>
        <v>0</v>
      </c>
      <c r="U2684" s="71">
        <f>IF(AND(N2684=1,V2684=1),IF(COUNTIFS(AKTIVITAS!$B$2:$B$3052,B2684,AKTIVITAS!$E$2:$E$3052,H2684)&gt;0,1,0),0)</f>
        <v>0</v>
      </c>
      <c r="V2684" s="71">
        <f>IFERROR(IF(AND(H2684&gt;=INDEX(PEMAGANG!$J$3:$J$36,MATCH(B2684,PEMAGANG!$C$3:$C$36,0)),H2684&lt;=INDEX(PEMAGANG!$K$3:$K$36,MATCH(B2684,PEMAGANG!$C$3:$C$36,0))),1,0),0)</f>
        <v>0</v>
      </c>
      <c r="W2684" s="71">
        <f t="shared" si="377"/>
        <v>0</v>
      </c>
    </row>
    <row r="2685" spans="1:23" x14ac:dyDescent="0.2">
      <c r="A2685" s="71" t="s">
        <v>673</v>
      </c>
      <c r="B2685" s="71" t="s">
        <v>674</v>
      </c>
      <c r="C2685" s="71" t="s">
        <v>187</v>
      </c>
      <c r="D2685" s="71" t="s">
        <v>421</v>
      </c>
      <c r="E2685" s="71" t="s">
        <v>422</v>
      </c>
      <c r="F2685" s="71" t="s">
        <v>300</v>
      </c>
      <c r="G2685" s="88">
        <v>46252.710972222201</v>
      </c>
      <c r="H2685" s="89">
        <v>46252</v>
      </c>
      <c r="I2685" s="71" t="s">
        <v>450</v>
      </c>
      <c r="J2685" s="71">
        <v>0</v>
      </c>
      <c r="K2685" s="71" t="s">
        <v>302</v>
      </c>
      <c r="L2685" s="71">
        <f t="shared" si="369"/>
        <v>8</v>
      </c>
      <c r="M2685" s="71" t="str">
        <f>IFERROR(INDEX(KALENDER!$D$3:$D$132,MATCH(H2685,KALENDER!$A$3:$A$132,0)),"Di luar periode")</f>
        <v>Hari Kerja</v>
      </c>
      <c r="N2685" s="71">
        <f t="shared" si="370"/>
        <v>0</v>
      </c>
      <c r="O2685" s="71">
        <f t="shared" si="371"/>
        <v>1</v>
      </c>
      <c r="P2685" s="71">
        <f t="shared" si="372"/>
        <v>0</v>
      </c>
      <c r="Q2685" s="71">
        <f t="shared" si="373"/>
        <v>0</v>
      </c>
      <c r="R2685" s="71">
        <f t="shared" si="374"/>
        <v>0</v>
      </c>
      <c r="S2685" s="71">
        <f t="shared" si="375"/>
        <v>0</v>
      </c>
      <c r="T2685" s="71">
        <f t="shared" si="376"/>
        <v>0</v>
      </c>
      <c r="U2685" s="71">
        <f>IF(AND(N2685=1,V2685=1),IF(COUNTIFS(AKTIVITAS!$B$2:$B$3052,B2685,AKTIVITAS!$E$2:$E$3052,H2685)&gt;0,1,0),0)</f>
        <v>0</v>
      </c>
      <c r="V2685" s="71">
        <f>IFERROR(IF(AND(H2685&gt;=INDEX(PEMAGANG!$J$3:$J$36,MATCH(B2685,PEMAGANG!$C$3:$C$36,0)),H2685&lt;=INDEX(PEMAGANG!$K$3:$K$36,MATCH(B2685,PEMAGANG!$C$3:$C$36,0))),1,0),0)</f>
        <v>0</v>
      </c>
      <c r="W2685" s="71">
        <f t="shared" si="377"/>
        <v>0</v>
      </c>
    </row>
    <row r="2686" spans="1:23" x14ac:dyDescent="0.2">
      <c r="A2686" s="71" t="s">
        <v>673</v>
      </c>
      <c r="B2686" s="71" t="s">
        <v>674</v>
      </c>
      <c r="C2686" s="71" t="s">
        <v>187</v>
      </c>
      <c r="D2686" s="71" t="s">
        <v>421</v>
      </c>
      <c r="E2686" s="71" t="s">
        <v>422</v>
      </c>
      <c r="F2686" s="71" t="s">
        <v>298</v>
      </c>
      <c r="G2686" s="88">
        <v>46253.250486111101</v>
      </c>
      <c r="H2686" s="89">
        <v>46253</v>
      </c>
      <c r="I2686" s="71" t="s">
        <v>433</v>
      </c>
      <c r="J2686" s="71">
        <v>-120</v>
      </c>
      <c r="K2686" s="71" t="s">
        <v>302</v>
      </c>
      <c r="L2686" s="71">
        <f t="shared" si="369"/>
        <v>8</v>
      </c>
      <c r="M2686" s="71" t="str">
        <f>IFERROR(INDEX(KALENDER!$D$3:$D$132,MATCH(H2686,KALENDER!$A$3:$A$132,0)),"Di luar periode")</f>
        <v>Hari Kerja</v>
      </c>
      <c r="N2686" s="71">
        <f t="shared" si="370"/>
        <v>1</v>
      </c>
      <c r="O2686" s="71">
        <f t="shared" si="371"/>
        <v>1</v>
      </c>
      <c r="P2686" s="71">
        <f t="shared" si="372"/>
        <v>0</v>
      </c>
      <c r="Q2686" s="71">
        <f t="shared" si="373"/>
        <v>1</v>
      </c>
      <c r="R2686" s="71">
        <f t="shared" si="374"/>
        <v>0</v>
      </c>
      <c r="S2686" s="71">
        <f t="shared" si="375"/>
        <v>0</v>
      </c>
      <c r="T2686" s="71">
        <f t="shared" si="376"/>
        <v>0</v>
      </c>
      <c r="U2686" s="71">
        <f>IF(AND(N2686=1,V2686=1),IF(COUNTIFS(AKTIVITAS!$B$2:$B$3052,B2686,AKTIVITAS!$E$2:$E$3052,H2686)&gt;0,1,0),0)</f>
        <v>0</v>
      </c>
      <c r="V2686" s="71">
        <f>IFERROR(IF(AND(H2686&gt;=INDEX(PEMAGANG!$J$3:$J$36,MATCH(B2686,PEMAGANG!$C$3:$C$36,0)),H2686&lt;=INDEX(PEMAGANG!$K$3:$K$36,MATCH(B2686,PEMAGANG!$C$3:$C$36,0))),1,0),0)</f>
        <v>0</v>
      </c>
      <c r="W2686" s="71">
        <f t="shared" si="377"/>
        <v>0</v>
      </c>
    </row>
    <row r="2687" spans="1:23" x14ac:dyDescent="0.2">
      <c r="A2687" s="71" t="s">
        <v>673</v>
      </c>
      <c r="B2687" s="71" t="s">
        <v>674</v>
      </c>
      <c r="C2687" s="71" t="s">
        <v>187</v>
      </c>
      <c r="D2687" s="71" t="s">
        <v>421</v>
      </c>
      <c r="E2687" s="71" t="s">
        <v>422</v>
      </c>
      <c r="F2687" s="71" t="s">
        <v>300</v>
      </c>
      <c r="G2687" s="88">
        <v>46253.712638888901</v>
      </c>
      <c r="H2687" s="89">
        <v>46253</v>
      </c>
      <c r="I2687" s="71" t="s">
        <v>371</v>
      </c>
      <c r="J2687" s="71">
        <v>0</v>
      </c>
      <c r="K2687" s="71" t="s">
        <v>302</v>
      </c>
      <c r="L2687" s="71">
        <f t="shared" si="369"/>
        <v>8</v>
      </c>
      <c r="M2687" s="71" t="str">
        <f>IFERROR(INDEX(KALENDER!$D$3:$D$132,MATCH(H2687,KALENDER!$A$3:$A$132,0)),"Di luar periode")</f>
        <v>Hari Kerja</v>
      </c>
      <c r="N2687" s="71">
        <f t="shared" si="370"/>
        <v>0</v>
      </c>
      <c r="O2687" s="71">
        <f t="shared" si="371"/>
        <v>1</v>
      </c>
      <c r="P2687" s="71">
        <f t="shared" si="372"/>
        <v>0</v>
      </c>
      <c r="Q2687" s="71">
        <f t="shared" si="373"/>
        <v>0</v>
      </c>
      <c r="R2687" s="71">
        <f t="shared" si="374"/>
        <v>0</v>
      </c>
      <c r="S2687" s="71">
        <f t="shared" si="375"/>
        <v>0</v>
      </c>
      <c r="T2687" s="71">
        <f t="shared" si="376"/>
        <v>0</v>
      </c>
      <c r="U2687" s="71">
        <f>IF(AND(N2687=1,V2687=1),IF(COUNTIFS(AKTIVITAS!$B$2:$B$3052,B2687,AKTIVITAS!$E$2:$E$3052,H2687)&gt;0,1,0),0)</f>
        <v>0</v>
      </c>
      <c r="V2687" s="71">
        <f>IFERROR(IF(AND(H2687&gt;=INDEX(PEMAGANG!$J$3:$J$36,MATCH(B2687,PEMAGANG!$C$3:$C$36,0)),H2687&lt;=INDEX(PEMAGANG!$K$3:$K$36,MATCH(B2687,PEMAGANG!$C$3:$C$36,0))),1,0),0)</f>
        <v>0</v>
      </c>
      <c r="W2687" s="71">
        <f t="shared" si="377"/>
        <v>0</v>
      </c>
    </row>
    <row r="2688" spans="1:23" x14ac:dyDescent="0.2">
      <c r="A2688" s="71" t="s">
        <v>673</v>
      </c>
      <c r="B2688" s="71" t="s">
        <v>674</v>
      </c>
      <c r="C2688" s="71" t="s">
        <v>187</v>
      </c>
      <c r="D2688" s="71" t="s">
        <v>421</v>
      </c>
      <c r="E2688" s="71" t="s">
        <v>422</v>
      </c>
      <c r="F2688" s="71" t="s">
        <v>298</v>
      </c>
      <c r="G2688" s="88">
        <v>46254.246770833299</v>
      </c>
      <c r="H2688" s="89">
        <v>46254</v>
      </c>
      <c r="I2688" s="71" t="s">
        <v>675</v>
      </c>
      <c r="J2688" s="71">
        <v>-125</v>
      </c>
      <c r="K2688" s="71" t="s">
        <v>302</v>
      </c>
      <c r="L2688" s="71">
        <f t="shared" si="369"/>
        <v>8</v>
      </c>
      <c r="M2688" s="71" t="str">
        <f>IFERROR(INDEX(KALENDER!$D$3:$D$132,MATCH(H2688,KALENDER!$A$3:$A$132,0)),"Di luar periode")</f>
        <v>Hari Kerja</v>
      </c>
      <c r="N2688" s="71">
        <f t="shared" si="370"/>
        <v>1</v>
      </c>
      <c r="O2688" s="71">
        <f t="shared" si="371"/>
        <v>1</v>
      </c>
      <c r="P2688" s="71">
        <f t="shared" si="372"/>
        <v>0</v>
      </c>
      <c r="Q2688" s="71">
        <f t="shared" si="373"/>
        <v>1</v>
      </c>
      <c r="R2688" s="71">
        <f t="shared" si="374"/>
        <v>0</v>
      </c>
      <c r="S2688" s="71">
        <f t="shared" si="375"/>
        <v>0</v>
      </c>
      <c r="T2688" s="71">
        <f t="shared" si="376"/>
        <v>0</v>
      </c>
      <c r="U2688" s="71">
        <f>IF(AND(N2688=1,V2688=1),IF(COUNTIFS(AKTIVITAS!$B$2:$B$3052,B2688,AKTIVITAS!$E$2:$E$3052,H2688)&gt;0,1,0),0)</f>
        <v>0</v>
      </c>
      <c r="V2688" s="71">
        <f>IFERROR(IF(AND(H2688&gt;=INDEX(PEMAGANG!$J$3:$J$36,MATCH(B2688,PEMAGANG!$C$3:$C$36,0)),H2688&lt;=INDEX(PEMAGANG!$K$3:$K$36,MATCH(B2688,PEMAGANG!$C$3:$C$36,0))),1,0),0)</f>
        <v>0</v>
      </c>
      <c r="W2688" s="71">
        <f t="shared" si="377"/>
        <v>0</v>
      </c>
    </row>
    <row r="2689" spans="1:23" x14ac:dyDescent="0.2">
      <c r="A2689" s="71" t="s">
        <v>673</v>
      </c>
      <c r="B2689" s="71" t="s">
        <v>674</v>
      </c>
      <c r="C2689" s="71" t="s">
        <v>187</v>
      </c>
      <c r="D2689" s="71" t="s">
        <v>421</v>
      </c>
      <c r="E2689" s="71" t="s">
        <v>422</v>
      </c>
      <c r="F2689" s="71" t="s">
        <v>300</v>
      </c>
      <c r="G2689" s="88">
        <v>46254.709062499998</v>
      </c>
      <c r="H2689" s="89">
        <v>46254</v>
      </c>
      <c r="I2689" s="71" t="s">
        <v>333</v>
      </c>
      <c r="J2689" s="71">
        <v>0</v>
      </c>
      <c r="K2689" s="71" t="s">
        <v>302</v>
      </c>
      <c r="L2689" s="71">
        <f t="shared" si="369"/>
        <v>8</v>
      </c>
      <c r="M2689" s="71" t="str">
        <f>IFERROR(INDEX(KALENDER!$D$3:$D$132,MATCH(H2689,KALENDER!$A$3:$A$132,0)),"Di luar periode")</f>
        <v>Hari Kerja</v>
      </c>
      <c r="N2689" s="71">
        <f t="shared" si="370"/>
        <v>0</v>
      </c>
      <c r="O2689" s="71">
        <f t="shared" si="371"/>
        <v>1</v>
      </c>
      <c r="P2689" s="71">
        <f t="shared" si="372"/>
        <v>0</v>
      </c>
      <c r="Q2689" s="71">
        <f t="shared" si="373"/>
        <v>0</v>
      </c>
      <c r="R2689" s="71">
        <f t="shared" si="374"/>
        <v>0</v>
      </c>
      <c r="S2689" s="71">
        <f t="shared" si="375"/>
        <v>0</v>
      </c>
      <c r="T2689" s="71">
        <f t="shared" si="376"/>
        <v>0</v>
      </c>
      <c r="U2689" s="71">
        <f>IF(AND(N2689=1,V2689=1),IF(COUNTIFS(AKTIVITAS!$B$2:$B$3052,B2689,AKTIVITAS!$E$2:$E$3052,H2689)&gt;0,1,0),0)</f>
        <v>0</v>
      </c>
      <c r="V2689" s="71">
        <f>IFERROR(IF(AND(H2689&gt;=INDEX(PEMAGANG!$J$3:$J$36,MATCH(B2689,PEMAGANG!$C$3:$C$36,0)),H2689&lt;=INDEX(PEMAGANG!$K$3:$K$36,MATCH(B2689,PEMAGANG!$C$3:$C$36,0))),1,0),0)</f>
        <v>0</v>
      </c>
      <c r="W2689" s="71">
        <f t="shared" si="377"/>
        <v>0</v>
      </c>
    </row>
    <row r="2690" spans="1:23" x14ac:dyDescent="0.2">
      <c r="A2690" s="71" t="s">
        <v>673</v>
      </c>
      <c r="B2690" s="71" t="s">
        <v>674</v>
      </c>
      <c r="C2690" s="71" t="s">
        <v>187</v>
      </c>
      <c r="D2690" s="71" t="s">
        <v>421</v>
      </c>
      <c r="E2690" s="71" t="s">
        <v>422</v>
      </c>
      <c r="F2690" s="71" t="s">
        <v>298</v>
      </c>
      <c r="G2690" s="88">
        <v>46255.2511226852</v>
      </c>
      <c r="H2690" s="89">
        <v>46255</v>
      </c>
      <c r="I2690" s="71" t="s">
        <v>470</v>
      </c>
      <c r="J2690" s="71">
        <v>-119</v>
      </c>
      <c r="K2690" s="71" t="s">
        <v>302</v>
      </c>
      <c r="L2690" s="71">
        <f t="shared" ref="L2690:L2753" si="378">MONTH(H2690)</f>
        <v>8</v>
      </c>
      <c r="M2690" s="71" t="str">
        <f>IFERROR(INDEX(KALENDER!$D$3:$D$132,MATCH(H2690,KALENDER!$A$3:$A$132,0)),"Di luar periode")</f>
        <v>Hari Kerja</v>
      </c>
      <c r="N2690" s="71">
        <f t="shared" ref="N2690:N2753" si="379">IF(AND(B2690=B2689,H2690=H2689),0,1)</f>
        <v>1</v>
      </c>
      <c r="O2690" s="71">
        <f t="shared" ref="O2690:O2753" si="380">IF(N2690=1,0,O2689)+IF(F2690="MASUK",1,0)</f>
        <v>1</v>
      </c>
      <c r="P2690" s="71">
        <f t="shared" ref="P2690:P2753" si="381">IF(AND(N2690=1,M2690="Hari Kerja",V2690=1),1,0)</f>
        <v>0</v>
      </c>
      <c r="Q2690" s="71">
        <f t="shared" ref="Q2690:Q2753" si="382">IF(AND(N2690=1,OR(M2690&lt;&gt;"Hari Kerja",V2690=0)),1,0)</f>
        <v>1</v>
      </c>
      <c r="R2690" s="71">
        <f t="shared" ref="R2690:R2753" si="383">IF(AND(F2690="MASUK",O2690=1,N(J2690)&gt;0,V2690=1),1,0)</f>
        <v>0</v>
      </c>
      <c r="S2690" s="71">
        <f t="shared" ref="S2690:S2753" si="384">R2690*N(J2690)</f>
        <v>0</v>
      </c>
      <c r="T2690" s="71">
        <f t="shared" ref="T2690:T2753" si="385">IF(AND(N2690=1,V2690=1),IF(AND(COUNTIFS($B$2:$B$4094,B2690,$H$2:$H$4094,H2690,$F$2:$F$4094,"MASUK")&gt;0,COUNTIFS($B$2:$B$4094,B2690,$H$2:$H$4094,H2690,$F$2:$F$4094,"PULANG")=0),1,0),0)</f>
        <v>0</v>
      </c>
      <c r="U2690" s="71">
        <f>IF(AND(N2690=1,V2690=1),IF(COUNTIFS(AKTIVITAS!$B$2:$B$3052,B2690,AKTIVITAS!$E$2:$E$3052,H2690)&gt;0,1,0),0)</f>
        <v>0</v>
      </c>
      <c r="V2690" s="71">
        <f>IFERROR(IF(AND(H2690&gt;=INDEX(PEMAGANG!$J$3:$J$36,MATCH(B2690,PEMAGANG!$C$3:$C$36,0)),H2690&lt;=INDEX(PEMAGANG!$K$3:$K$36,MATCH(B2690,PEMAGANG!$C$3:$C$36,0))),1,0),0)</f>
        <v>0</v>
      </c>
      <c r="W2690" s="71">
        <f t="shared" ref="W2690:W2753" si="386">N2690*V2690</f>
        <v>0</v>
      </c>
    </row>
    <row r="2691" spans="1:23" x14ac:dyDescent="0.2">
      <c r="A2691" s="71" t="s">
        <v>673</v>
      </c>
      <c r="B2691" s="71" t="s">
        <v>674</v>
      </c>
      <c r="C2691" s="71" t="s">
        <v>187</v>
      </c>
      <c r="D2691" s="71" t="s">
        <v>421</v>
      </c>
      <c r="E2691" s="71" t="s">
        <v>422</v>
      </c>
      <c r="F2691" s="71" t="s">
        <v>300</v>
      </c>
      <c r="G2691" s="88">
        <v>46255.713437500002</v>
      </c>
      <c r="H2691" s="89">
        <v>46255</v>
      </c>
      <c r="I2691" s="71" t="s">
        <v>324</v>
      </c>
      <c r="J2691" s="71">
        <v>0</v>
      </c>
      <c r="K2691" s="71" t="s">
        <v>302</v>
      </c>
      <c r="L2691" s="71">
        <f t="shared" si="378"/>
        <v>8</v>
      </c>
      <c r="M2691" s="71" t="str">
        <f>IFERROR(INDEX(KALENDER!$D$3:$D$132,MATCH(H2691,KALENDER!$A$3:$A$132,0)),"Di luar periode")</f>
        <v>Hari Kerja</v>
      </c>
      <c r="N2691" s="71">
        <f t="shared" si="379"/>
        <v>0</v>
      </c>
      <c r="O2691" s="71">
        <f t="shared" si="380"/>
        <v>1</v>
      </c>
      <c r="P2691" s="71">
        <f t="shared" si="381"/>
        <v>0</v>
      </c>
      <c r="Q2691" s="71">
        <f t="shared" si="382"/>
        <v>0</v>
      </c>
      <c r="R2691" s="71">
        <f t="shared" si="383"/>
        <v>0</v>
      </c>
      <c r="S2691" s="71">
        <f t="shared" si="384"/>
        <v>0</v>
      </c>
      <c r="T2691" s="71">
        <f t="shared" si="385"/>
        <v>0</v>
      </c>
      <c r="U2691" s="71">
        <f>IF(AND(N2691=1,V2691=1),IF(COUNTIFS(AKTIVITAS!$B$2:$B$3052,B2691,AKTIVITAS!$E$2:$E$3052,H2691)&gt;0,1,0),0)</f>
        <v>0</v>
      </c>
      <c r="V2691" s="71">
        <f>IFERROR(IF(AND(H2691&gt;=INDEX(PEMAGANG!$J$3:$J$36,MATCH(B2691,PEMAGANG!$C$3:$C$36,0)),H2691&lt;=INDEX(PEMAGANG!$K$3:$K$36,MATCH(B2691,PEMAGANG!$C$3:$C$36,0))),1,0),0)</f>
        <v>0</v>
      </c>
      <c r="W2691" s="71">
        <f t="shared" si="386"/>
        <v>0</v>
      </c>
    </row>
    <row r="2692" spans="1:23" x14ac:dyDescent="0.2">
      <c r="A2692" s="71" t="s">
        <v>673</v>
      </c>
      <c r="B2692" s="71" t="s">
        <v>674</v>
      </c>
      <c r="C2692" s="71" t="s">
        <v>187</v>
      </c>
      <c r="D2692" s="71" t="s">
        <v>421</v>
      </c>
      <c r="E2692" s="71" t="s">
        <v>422</v>
      </c>
      <c r="F2692" s="71" t="s">
        <v>298</v>
      </c>
      <c r="G2692" s="88">
        <v>46258.246296296304</v>
      </c>
      <c r="H2692" s="89">
        <v>46258</v>
      </c>
      <c r="I2692" s="71" t="s">
        <v>679</v>
      </c>
      <c r="J2692" s="71">
        <v>-126</v>
      </c>
      <c r="K2692" s="71" t="s">
        <v>302</v>
      </c>
      <c r="L2692" s="71">
        <f t="shared" si="378"/>
        <v>8</v>
      </c>
      <c r="M2692" s="71" t="str">
        <f>IFERROR(INDEX(KALENDER!$D$3:$D$132,MATCH(H2692,KALENDER!$A$3:$A$132,0)),"Di luar periode")</f>
        <v>Hari Kerja</v>
      </c>
      <c r="N2692" s="71">
        <f t="shared" si="379"/>
        <v>1</v>
      </c>
      <c r="O2692" s="71">
        <f t="shared" si="380"/>
        <v>1</v>
      </c>
      <c r="P2692" s="71">
        <f t="shared" si="381"/>
        <v>0</v>
      </c>
      <c r="Q2692" s="71">
        <f t="shared" si="382"/>
        <v>1</v>
      </c>
      <c r="R2692" s="71">
        <f t="shared" si="383"/>
        <v>0</v>
      </c>
      <c r="S2692" s="71">
        <f t="shared" si="384"/>
        <v>0</v>
      </c>
      <c r="T2692" s="71">
        <f t="shared" si="385"/>
        <v>0</v>
      </c>
      <c r="U2692" s="71">
        <f>IF(AND(N2692=1,V2692=1),IF(COUNTIFS(AKTIVITAS!$B$2:$B$3052,B2692,AKTIVITAS!$E$2:$E$3052,H2692)&gt;0,1,0),0)</f>
        <v>0</v>
      </c>
      <c r="V2692" s="71">
        <f>IFERROR(IF(AND(H2692&gt;=INDEX(PEMAGANG!$J$3:$J$36,MATCH(B2692,PEMAGANG!$C$3:$C$36,0)),H2692&lt;=INDEX(PEMAGANG!$K$3:$K$36,MATCH(B2692,PEMAGANG!$C$3:$C$36,0))),1,0),0)</f>
        <v>0</v>
      </c>
      <c r="W2692" s="71">
        <f t="shared" si="386"/>
        <v>0</v>
      </c>
    </row>
    <row r="2693" spans="1:23" x14ac:dyDescent="0.2">
      <c r="A2693" s="71" t="s">
        <v>673</v>
      </c>
      <c r="B2693" s="71" t="s">
        <v>674</v>
      </c>
      <c r="C2693" s="71" t="s">
        <v>187</v>
      </c>
      <c r="D2693" s="71" t="s">
        <v>421</v>
      </c>
      <c r="E2693" s="71" t="s">
        <v>422</v>
      </c>
      <c r="F2693" s="71" t="s">
        <v>300</v>
      </c>
      <c r="G2693" s="88">
        <v>46258.713067129604</v>
      </c>
      <c r="H2693" s="89">
        <v>46258</v>
      </c>
      <c r="I2693" s="71" t="s">
        <v>371</v>
      </c>
      <c r="J2693" s="71">
        <v>0</v>
      </c>
      <c r="K2693" s="71" t="s">
        <v>302</v>
      </c>
      <c r="L2693" s="71">
        <f t="shared" si="378"/>
        <v>8</v>
      </c>
      <c r="M2693" s="71" t="str">
        <f>IFERROR(INDEX(KALENDER!$D$3:$D$132,MATCH(H2693,KALENDER!$A$3:$A$132,0)),"Di luar periode")</f>
        <v>Hari Kerja</v>
      </c>
      <c r="N2693" s="71">
        <f t="shared" si="379"/>
        <v>0</v>
      </c>
      <c r="O2693" s="71">
        <f t="shared" si="380"/>
        <v>1</v>
      </c>
      <c r="P2693" s="71">
        <f t="shared" si="381"/>
        <v>0</v>
      </c>
      <c r="Q2693" s="71">
        <f t="shared" si="382"/>
        <v>0</v>
      </c>
      <c r="R2693" s="71">
        <f t="shared" si="383"/>
        <v>0</v>
      </c>
      <c r="S2693" s="71">
        <f t="shared" si="384"/>
        <v>0</v>
      </c>
      <c r="T2693" s="71">
        <f t="shared" si="385"/>
        <v>0</v>
      </c>
      <c r="U2693" s="71">
        <f>IF(AND(N2693=1,V2693=1),IF(COUNTIFS(AKTIVITAS!$B$2:$B$3052,B2693,AKTIVITAS!$E$2:$E$3052,H2693)&gt;0,1,0),0)</f>
        <v>0</v>
      </c>
      <c r="V2693" s="71">
        <f>IFERROR(IF(AND(H2693&gt;=INDEX(PEMAGANG!$J$3:$J$36,MATCH(B2693,PEMAGANG!$C$3:$C$36,0)),H2693&lt;=INDEX(PEMAGANG!$K$3:$K$36,MATCH(B2693,PEMAGANG!$C$3:$C$36,0))),1,0),0)</f>
        <v>0</v>
      </c>
      <c r="W2693" s="71">
        <f t="shared" si="386"/>
        <v>0</v>
      </c>
    </row>
    <row r="2694" spans="1:23" x14ac:dyDescent="0.2">
      <c r="A2694" s="71" t="s">
        <v>673</v>
      </c>
      <c r="B2694" s="71" t="s">
        <v>674</v>
      </c>
      <c r="C2694" s="71" t="s">
        <v>187</v>
      </c>
      <c r="D2694" s="71" t="s">
        <v>421</v>
      </c>
      <c r="E2694" s="71" t="s">
        <v>422</v>
      </c>
      <c r="F2694" s="71" t="s">
        <v>298</v>
      </c>
      <c r="G2694" s="88">
        <v>46260.250995370399</v>
      </c>
      <c r="H2694" s="89">
        <v>46260</v>
      </c>
      <c r="I2694" s="71" t="s">
        <v>470</v>
      </c>
      <c r="J2694" s="71">
        <v>-119</v>
      </c>
      <c r="K2694" s="71" t="s">
        <v>302</v>
      </c>
      <c r="L2694" s="71">
        <f t="shared" si="378"/>
        <v>8</v>
      </c>
      <c r="M2694" s="71" t="str">
        <f>IFERROR(INDEX(KALENDER!$D$3:$D$132,MATCH(H2694,KALENDER!$A$3:$A$132,0)),"Di luar periode")</f>
        <v>Hari Kerja</v>
      </c>
      <c r="N2694" s="71">
        <f t="shared" si="379"/>
        <v>1</v>
      </c>
      <c r="O2694" s="71">
        <f t="shared" si="380"/>
        <v>1</v>
      </c>
      <c r="P2694" s="71">
        <f t="shared" si="381"/>
        <v>0</v>
      </c>
      <c r="Q2694" s="71">
        <f t="shared" si="382"/>
        <v>1</v>
      </c>
      <c r="R2694" s="71">
        <f t="shared" si="383"/>
        <v>0</v>
      </c>
      <c r="S2694" s="71">
        <f t="shared" si="384"/>
        <v>0</v>
      </c>
      <c r="T2694" s="71">
        <f t="shared" si="385"/>
        <v>0</v>
      </c>
      <c r="U2694" s="71">
        <f>IF(AND(N2694=1,V2694=1),IF(COUNTIFS(AKTIVITAS!$B$2:$B$3052,B2694,AKTIVITAS!$E$2:$E$3052,H2694)&gt;0,1,0),0)</f>
        <v>0</v>
      </c>
      <c r="V2694" s="71">
        <f>IFERROR(IF(AND(H2694&gt;=INDEX(PEMAGANG!$J$3:$J$36,MATCH(B2694,PEMAGANG!$C$3:$C$36,0)),H2694&lt;=INDEX(PEMAGANG!$K$3:$K$36,MATCH(B2694,PEMAGANG!$C$3:$C$36,0))),1,0),0)</f>
        <v>0</v>
      </c>
      <c r="W2694" s="71">
        <f t="shared" si="386"/>
        <v>0</v>
      </c>
    </row>
    <row r="2695" spans="1:23" x14ac:dyDescent="0.2">
      <c r="A2695" s="71" t="s">
        <v>673</v>
      </c>
      <c r="B2695" s="71" t="s">
        <v>674</v>
      </c>
      <c r="C2695" s="71" t="s">
        <v>187</v>
      </c>
      <c r="D2695" s="71" t="s">
        <v>421</v>
      </c>
      <c r="E2695" s="71" t="s">
        <v>422</v>
      </c>
      <c r="F2695" s="71" t="s">
        <v>300</v>
      </c>
      <c r="G2695" s="88">
        <v>46260.708888888897</v>
      </c>
      <c r="H2695" s="89">
        <v>46260</v>
      </c>
      <c r="I2695" s="71" t="s">
        <v>350</v>
      </c>
      <c r="J2695" s="71">
        <v>0</v>
      </c>
      <c r="K2695" s="71" t="s">
        <v>302</v>
      </c>
      <c r="L2695" s="71">
        <f t="shared" si="378"/>
        <v>8</v>
      </c>
      <c r="M2695" s="71" t="str">
        <f>IFERROR(INDEX(KALENDER!$D$3:$D$132,MATCH(H2695,KALENDER!$A$3:$A$132,0)),"Di luar periode")</f>
        <v>Hari Kerja</v>
      </c>
      <c r="N2695" s="71">
        <f t="shared" si="379"/>
        <v>0</v>
      </c>
      <c r="O2695" s="71">
        <f t="shared" si="380"/>
        <v>1</v>
      </c>
      <c r="P2695" s="71">
        <f t="shared" si="381"/>
        <v>0</v>
      </c>
      <c r="Q2695" s="71">
        <f t="shared" si="382"/>
        <v>0</v>
      </c>
      <c r="R2695" s="71">
        <f t="shared" si="383"/>
        <v>0</v>
      </c>
      <c r="S2695" s="71">
        <f t="shared" si="384"/>
        <v>0</v>
      </c>
      <c r="T2695" s="71">
        <f t="shared" si="385"/>
        <v>0</v>
      </c>
      <c r="U2695" s="71">
        <f>IF(AND(N2695=1,V2695=1),IF(COUNTIFS(AKTIVITAS!$B$2:$B$3052,B2695,AKTIVITAS!$E$2:$E$3052,H2695)&gt;0,1,0),0)</f>
        <v>0</v>
      </c>
      <c r="V2695" s="71">
        <f>IFERROR(IF(AND(H2695&gt;=INDEX(PEMAGANG!$J$3:$J$36,MATCH(B2695,PEMAGANG!$C$3:$C$36,0)),H2695&lt;=INDEX(PEMAGANG!$K$3:$K$36,MATCH(B2695,PEMAGANG!$C$3:$C$36,0))),1,0),0)</f>
        <v>0</v>
      </c>
      <c r="W2695" s="71">
        <f t="shared" si="386"/>
        <v>0</v>
      </c>
    </row>
    <row r="2696" spans="1:23" x14ac:dyDescent="0.2">
      <c r="A2696" s="71" t="s">
        <v>673</v>
      </c>
      <c r="B2696" s="71" t="s">
        <v>674</v>
      </c>
      <c r="C2696" s="71" t="s">
        <v>187</v>
      </c>
      <c r="D2696" s="71" t="s">
        <v>421</v>
      </c>
      <c r="E2696" s="71" t="s">
        <v>422</v>
      </c>
      <c r="F2696" s="71" t="s">
        <v>298</v>
      </c>
      <c r="G2696" s="88">
        <v>46261.244826388902</v>
      </c>
      <c r="H2696" s="89">
        <v>46261</v>
      </c>
      <c r="I2696" s="71" t="s">
        <v>446</v>
      </c>
      <c r="J2696" s="71">
        <v>-128</v>
      </c>
      <c r="K2696" s="71" t="s">
        <v>302</v>
      </c>
      <c r="L2696" s="71">
        <f t="shared" si="378"/>
        <v>8</v>
      </c>
      <c r="M2696" s="71" t="str">
        <f>IFERROR(INDEX(KALENDER!$D$3:$D$132,MATCH(H2696,KALENDER!$A$3:$A$132,0)),"Di luar periode")</f>
        <v>Hari Kerja</v>
      </c>
      <c r="N2696" s="71">
        <f t="shared" si="379"/>
        <v>1</v>
      </c>
      <c r="O2696" s="71">
        <f t="shared" si="380"/>
        <v>1</v>
      </c>
      <c r="P2696" s="71">
        <f t="shared" si="381"/>
        <v>0</v>
      </c>
      <c r="Q2696" s="71">
        <f t="shared" si="382"/>
        <v>1</v>
      </c>
      <c r="R2696" s="71">
        <f t="shared" si="383"/>
        <v>0</v>
      </c>
      <c r="S2696" s="71">
        <f t="shared" si="384"/>
        <v>0</v>
      </c>
      <c r="T2696" s="71">
        <f t="shared" si="385"/>
        <v>0</v>
      </c>
      <c r="U2696" s="71">
        <f>IF(AND(N2696=1,V2696=1),IF(COUNTIFS(AKTIVITAS!$B$2:$B$3052,B2696,AKTIVITAS!$E$2:$E$3052,H2696)&gt;0,1,0),0)</f>
        <v>0</v>
      </c>
      <c r="V2696" s="71">
        <f>IFERROR(IF(AND(H2696&gt;=INDEX(PEMAGANG!$J$3:$J$36,MATCH(B2696,PEMAGANG!$C$3:$C$36,0)),H2696&lt;=INDEX(PEMAGANG!$K$3:$K$36,MATCH(B2696,PEMAGANG!$C$3:$C$36,0))),1,0),0)</f>
        <v>0</v>
      </c>
      <c r="W2696" s="71">
        <f t="shared" si="386"/>
        <v>0</v>
      </c>
    </row>
    <row r="2697" spans="1:23" x14ac:dyDescent="0.2">
      <c r="A2697" s="71" t="s">
        <v>673</v>
      </c>
      <c r="B2697" s="71" t="s">
        <v>674</v>
      </c>
      <c r="C2697" s="71" t="s">
        <v>187</v>
      </c>
      <c r="D2697" s="71" t="s">
        <v>421</v>
      </c>
      <c r="E2697" s="71" t="s">
        <v>422</v>
      </c>
      <c r="F2697" s="71" t="s">
        <v>300</v>
      </c>
      <c r="G2697" s="88">
        <v>46261.7033912037</v>
      </c>
      <c r="H2697" s="89">
        <v>46261</v>
      </c>
      <c r="I2697" s="71" t="s">
        <v>325</v>
      </c>
      <c r="J2697" s="71">
        <v>0</v>
      </c>
      <c r="K2697" s="71" t="s">
        <v>302</v>
      </c>
      <c r="L2697" s="71">
        <f t="shared" si="378"/>
        <v>8</v>
      </c>
      <c r="M2697" s="71" t="str">
        <f>IFERROR(INDEX(KALENDER!$D$3:$D$132,MATCH(H2697,KALENDER!$A$3:$A$132,0)),"Di luar periode")</f>
        <v>Hari Kerja</v>
      </c>
      <c r="N2697" s="71">
        <f t="shared" si="379"/>
        <v>0</v>
      </c>
      <c r="O2697" s="71">
        <f t="shared" si="380"/>
        <v>1</v>
      </c>
      <c r="P2697" s="71">
        <f t="shared" si="381"/>
        <v>0</v>
      </c>
      <c r="Q2697" s="71">
        <f t="shared" si="382"/>
        <v>0</v>
      </c>
      <c r="R2697" s="71">
        <f t="shared" si="383"/>
        <v>0</v>
      </c>
      <c r="S2697" s="71">
        <f t="shared" si="384"/>
        <v>0</v>
      </c>
      <c r="T2697" s="71">
        <f t="shared" si="385"/>
        <v>0</v>
      </c>
      <c r="U2697" s="71">
        <f>IF(AND(N2697=1,V2697=1),IF(COUNTIFS(AKTIVITAS!$B$2:$B$3052,B2697,AKTIVITAS!$E$2:$E$3052,H2697)&gt;0,1,0),0)</f>
        <v>0</v>
      </c>
      <c r="V2697" s="71">
        <f>IFERROR(IF(AND(H2697&gt;=INDEX(PEMAGANG!$J$3:$J$36,MATCH(B2697,PEMAGANG!$C$3:$C$36,0)),H2697&lt;=INDEX(PEMAGANG!$K$3:$K$36,MATCH(B2697,PEMAGANG!$C$3:$C$36,0))),1,0),0)</f>
        <v>0</v>
      </c>
      <c r="W2697" s="71">
        <f t="shared" si="386"/>
        <v>0</v>
      </c>
    </row>
    <row r="2698" spans="1:23" x14ac:dyDescent="0.2">
      <c r="A2698" s="71" t="s">
        <v>673</v>
      </c>
      <c r="B2698" s="71" t="s">
        <v>674</v>
      </c>
      <c r="C2698" s="71" t="s">
        <v>187</v>
      </c>
      <c r="D2698" s="71" t="s">
        <v>421</v>
      </c>
      <c r="E2698" s="71" t="s">
        <v>422</v>
      </c>
      <c r="F2698" s="71" t="s">
        <v>298</v>
      </c>
      <c r="G2698" s="88">
        <v>46262.244687500002</v>
      </c>
      <c r="H2698" s="89">
        <v>46262</v>
      </c>
      <c r="I2698" s="71" t="s">
        <v>446</v>
      </c>
      <c r="J2698" s="71">
        <v>-128</v>
      </c>
      <c r="K2698" s="71" t="s">
        <v>302</v>
      </c>
      <c r="L2698" s="71">
        <f t="shared" si="378"/>
        <v>8</v>
      </c>
      <c r="M2698" s="71" t="str">
        <f>IFERROR(INDEX(KALENDER!$D$3:$D$132,MATCH(H2698,KALENDER!$A$3:$A$132,0)),"Di luar periode")</f>
        <v>Hari Kerja</v>
      </c>
      <c r="N2698" s="71">
        <f t="shared" si="379"/>
        <v>1</v>
      </c>
      <c r="O2698" s="71">
        <f t="shared" si="380"/>
        <v>1</v>
      </c>
      <c r="P2698" s="71">
        <f t="shared" si="381"/>
        <v>0</v>
      </c>
      <c r="Q2698" s="71">
        <f t="shared" si="382"/>
        <v>1</v>
      </c>
      <c r="R2698" s="71">
        <f t="shared" si="383"/>
        <v>0</v>
      </c>
      <c r="S2698" s="71">
        <f t="shared" si="384"/>
        <v>0</v>
      </c>
      <c r="T2698" s="71">
        <f t="shared" si="385"/>
        <v>0</v>
      </c>
      <c r="U2698" s="71">
        <f>IF(AND(N2698=1,V2698=1),IF(COUNTIFS(AKTIVITAS!$B$2:$B$3052,B2698,AKTIVITAS!$E$2:$E$3052,H2698)&gt;0,1,0),0)</f>
        <v>0</v>
      </c>
      <c r="V2698" s="71">
        <f>IFERROR(IF(AND(H2698&gt;=INDEX(PEMAGANG!$J$3:$J$36,MATCH(B2698,PEMAGANG!$C$3:$C$36,0)),H2698&lt;=INDEX(PEMAGANG!$K$3:$K$36,MATCH(B2698,PEMAGANG!$C$3:$C$36,0))),1,0),0)</f>
        <v>0</v>
      </c>
      <c r="W2698" s="71">
        <f t="shared" si="386"/>
        <v>0</v>
      </c>
    </row>
    <row r="2699" spans="1:23" x14ac:dyDescent="0.2">
      <c r="A2699" s="71" t="s">
        <v>673</v>
      </c>
      <c r="B2699" s="71" t="s">
        <v>674</v>
      </c>
      <c r="C2699" s="71" t="s">
        <v>187</v>
      </c>
      <c r="D2699" s="71" t="s">
        <v>421</v>
      </c>
      <c r="E2699" s="71" t="s">
        <v>422</v>
      </c>
      <c r="F2699" s="71" t="s">
        <v>300</v>
      </c>
      <c r="G2699" s="88">
        <v>46262.718090277798</v>
      </c>
      <c r="H2699" s="89">
        <v>46262</v>
      </c>
      <c r="I2699" s="71" t="s">
        <v>384</v>
      </c>
      <c r="J2699" s="71">
        <v>0</v>
      </c>
      <c r="K2699" s="71" t="s">
        <v>302</v>
      </c>
      <c r="L2699" s="71">
        <f t="shared" si="378"/>
        <v>8</v>
      </c>
      <c r="M2699" s="71" t="str">
        <f>IFERROR(INDEX(KALENDER!$D$3:$D$132,MATCH(H2699,KALENDER!$A$3:$A$132,0)),"Di luar periode")</f>
        <v>Hari Kerja</v>
      </c>
      <c r="N2699" s="71">
        <f t="shared" si="379"/>
        <v>0</v>
      </c>
      <c r="O2699" s="71">
        <f t="shared" si="380"/>
        <v>1</v>
      </c>
      <c r="P2699" s="71">
        <f t="shared" si="381"/>
        <v>0</v>
      </c>
      <c r="Q2699" s="71">
        <f t="shared" si="382"/>
        <v>0</v>
      </c>
      <c r="R2699" s="71">
        <f t="shared" si="383"/>
        <v>0</v>
      </c>
      <c r="S2699" s="71">
        <f t="shared" si="384"/>
        <v>0</v>
      </c>
      <c r="T2699" s="71">
        <f t="shared" si="385"/>
        <v>0</v>
      </c>
      <c r="U2699" s="71">
        <f>IF(AND(N2699=1,V2699=1),IF(COUNTIFS(AKTIVITAS!$B$2:$B$3052,B2699,AKTIVITAS!$E$2:$E$3052,H2699)&gt;0,1,0),0)</f>
        <v>0</v>
      </c>
      <c r="V2699" s="71">
        <f>IFERROR(IF(AND(H2699&gt;=INDEX(PEMAGANG!$J$3:$J$36,MATCH(B2699,PEMAGANG!$C$3:$C$36,0)),H2699&lt;=INDEX(PEMAGANG!$K$3:$K$36,MATCH(B2699,PEMAGANG!$C$3:$C$36,0))),1,0),0)</f>
        <v>0</v>
      </c>
      <c r="W2699" s="71">
        <f t="shared" si="386"/>
        <v>0</v>
      </c>
    </row>
    <row r="2700" spans="1:23" x14ac:dyDescent="0.2">
      <c r="A2700" s="71" t="s">
        <v>673</v>
      </c>
      <c r="B2700" s="71" t="s">
        <v>674</v>
      </c>
      <c r="C2700" s="71" t="s">
        <v>187</v>
      </c>
      <c r="D2700" s="71" t="s">
        <v>421</v>
      </c>
      <c r="E2700" s="71" t="s">
        <v>422</v>
      </c>
      <c r="F2700" s="71" t="s">
        <v>298</v>
      </c>
      <c r="G2700" s="88">
        <v>46265.243657407402</v>
      </c>
      <c r="H2700" s="89">
        <v>46265</v>
      </c>
      <c r="I2700" s="71" t="s">
        <v>681</v>
      </c>
      <c r="J2700" s="71">
        <v>-130</v>
      </c>
      <c r="K2700" s="71" t="s">
        <v>302</v>
      </c>
      <c r="L2700" s="71">
        <f t="shared" si="378"/>
        <v>8</v>
      </c>
      <c r="M2700" s="71" t="str">
        <f>IFERROR(INDEX(KALENDER!$D$3:$D$132,MATCH(H2700,KALENDER!$A$3:$A$132,0)),"Di luar periode")</f>
        <v>Hari Kerja</v>
      </c>
      <c r="N2700" s="71">
        <f t="shared" si="379"/>
        <v>1</v>
      </c>
      <c r="O2700" s="71">
        <f t="shared" si="380"/>
        <v>1</v>
      </c>
      <c r="P2700" s="71">
        <f t="shared" si="381"/>
        <v>0</v>
      </c>
      <c r="Q2700" s="71">
        <f t="shared" si="382"/>
        <v>1</v>
      </c>
      <c r="R2700" s="71">
        <f t="shared" si="383"/>
        <v>0</v>
      </c>
      <c r="S2700" s="71">
        <f t="shared" si="384"/>
        <v>0</v>
      </c>
      <c r="T2700" s="71">
        <f t="shared" si="385"/>
        <v>0</v>
      </c>
      <c r="U2700" s="71">
        <f>IF(AND(N2700=1,V2700=1),IF(COUNTIFS(AKTIVITAS!$B$2:$B$3052,B2700,AKTIVITAS!$E$2:$E$3052,H2700)&gt;0,1,0),0)</f>
        <v>0</v>
      </c>
      <c r="V2700" s="71">
        <f>IFERROR(IF(AND(H2700&gt;=INDEX(PEMAGANG!$J$3:$J$36,MATCH(B2700,PEMAGANG!$C$3:$C$36,0)),H2700&lt;=INDEX(PEMAGANG!$K$3:$K$36,MATCH(B2700,PEMAGANG!$C$3:$C$36,0))),1,0),0)</f>
        <v>0</v>
      </c>
      <c r="W2700" s="71">
        <f t="shared" si="386"/>
        <v>0</v>
      </c>
    </row>
    <row r="2701" spans="1:23" x14ac:dyDescent="0.2">
      <c r="A2701" s="71" t="s">
        <v>673</v>
      </c>
      <c r="B2701" s="71" t="s">
        <v>674</v>
      </c>
      <c r="C2701" s="71" t="s">
        <v>187</v>
      </c>
      <c r="D2701" s="71" t="s">
        <v>421</v>
      </c>
      <c r="E2701" s="71" t="s">
        <v>422</v>
      </c>
      <c r="F2701" s="71" t="s">
        <v>300</v>
      </c>
      <c r="G2701" s="88">
        <v>46265.712685185201</v>
      </c>
      <c r="H2701" s="89">
        <v>46265</v>
      </c>
      <c r="I2701" s="71" t="s">
        <v>371</v>
      </c>
      <c r="J2701" s="71">
        <v>0</v>
      </c>
      <c r="K2701" s="71" t="s">
        <v>302</v>
      </c>
      <c r="L2701" s="71">
        <f t="shared" si="378"/>
        <v>8</v>
      </c>
      <c r="M2701" s="71" t="str">
        <f>IFERROR(INDEX(KALENDER!$D$3:$D$132,MATCH(H2701,KALENDER!$A$3:$A$132,0)),"Di luar periode")</f>
        <v>Hari Kerja</v>
      </c>
      <c r="N2701" s="71">
        <f t="shared" si="379"/>
        <v>0</v>
      </c>
      <c r="O2701" s="71">
        <f t="shared" si="380"/>
        <v>1</v>
      </c>
      <c r="P2701" s="71">
        <f t="shared" si="381"/>
        <v>0</v>
      </c>
      <c r="Q2701" s="71">
        <f t="shared" si="382"/>
        <v>0</v>
      </c>
      <c r="R2701" s="71">
        <f t="shared" si="383"/>
        <v>0</v>
      </c>
      <c r="S2701" s="71">
        <f t="shared" si="384"/>
        <v>0</v>
      </c>
      <c r="T2701" s="71">
        <f t="shared" si="385"/>
        <v>0</v>
      </c>
      <c r="U2701" s="71">
        <f>IF(AND(N2701=1,V2701=1),IF(COUNTIFS(AKTIVITAS!$B$2:$B$3052,B2701,AKTIVITAS!$E$2:$E$3052,H2701)&gt;0,1,0),0)</f>
        <v>0</v>
      </c>
      <c r="V2701" s="71">
        <f>IFERROR(IF(AND(H2701&gt;=INDEX(PEMAGANG!$J$3:$J$36,MATCH(B2701,PEMAGANG!$C$3:$C$36,0)),H2701&lt;=INDEX(PEMAGANG!$K$3:$K$36,MATCH(B2701,PEMAGANG!$C$3:$C$36,0))),1,0),0)</f>
        <v>0</v>
      </c>
      <c r="W2701" s="71">
        <f t="shared" si="386"/>
        <v>0</v>
      </c>
    </row>
    <row r="2702" spans="1:23" x14ac:dyDescent="0.2">
      <c r="A2702" s="71" t="s">
        <v>673</v>
      </c>
      <c r="B2702" s="71" t="s">
        <v>674</v>
      </c>
      <c r="C2702" s="71" t="s">
        <v>187</v>
      </c>
      <c r="D2702" s="71" t="s">
        <v>421</v>
      </c>
      <c r="E2702" s="71" t="s">
        <v>422</v>
      </c>
      <c r="F2702" s="71" t="s">
        <v>298</v>
      </c>
      <c r="G2702" s="88">
        <v>46266.246909722198</v>
      </c>
      <c r="H2702" s="89">
        <v>46266</v>
      </c>
      <c r="I2702" s="71" t="s">
        <v>675</v>
      </c>
      <c r="J2702" s="71">
        <v>-125</v>
      </c>
      <c r="K2702" s="71" t="s">
        <v>302</v>
      </c>
      <c r="L2702" s="71">
        <f t="shared" si="378"/>
        <v>9</v>
      </c>
      <c r="M2702" s="71" t="str">
        <f>IFERROR(INDEX(KALENDER!$D$3:$D$132,MATCH(H2702,KALENDER!$A$3:$A$132,0)),"Di luar periode")</f>
        <v>Hari Kerja</v>
      </c>
      <c r="N2702" s="71">
        <f t="shared" si="379"/>
        <v>1</v>
      </c>
      <c r="O2702" s="71">
        <f t="shared" si="380"/>
        <v>1</v>
      </c>
      <c r="P2702" s="71">
        <f t="shared" si="381"/>
        <v>0</v>
      </c>
      <c r="Q2702" s="71">
        <f t="shared" si="382"/>
        <v>1</v>
      </c>
      <c r="R2702" s="71">
        <f t="shared" si="383"/>
        <v>0</v>
      </c>
      <c r="S2702" s="71">
        <f t="shared" si="384"/>
        <v>0</v>
      </c>
      <c r="T2702" s="71">
        <f t="shared" si="385"/>
        <v>0</v>
      </c>
      <c r="U2702" s="71">
        <f>IF(AND(N2702=1,V2702=1),IF(COUNTIFS(AKTIVITAS!$B$2:$B$3052,B2702,AKTIVITAS!$E$2:$E$3052,H2702)&gt;0,1,0),0)</f>
        <v>0</v>
      </c>
      <c r="V2702" s="71">
        <f>IFERROR(IF(AND(H2702&gt;=INDEX(PEMAGANG!$J$3:$J$36,MATCH(B2702,PEMAGANG!$C$3:$C$36,0)),H2702&lt;=INDEX(PEMAGANG!$K$3:$K$36,MATCH(B2702,PEMAGANG!$C$3:$C$36,0))),1,0),0)</f>
        <v>0</v>
      </c>
      <c r="W2702" s="71">
        <f t="shared" si="386"/>
        <v>0</v>
      </c>
    </row>
    <row r="2703" spans="1:23" x14ac:dyDescent="0.2">
      <c r="A2703" s="71" t="s">
        <v>673</v>
      </c>
      <c r="B2703" s="71" t="s">
        <v>674</v>
      </c>
      <c r="C2703" s="71" t="s">
        <v>187</v>
      </c>
      <c r="D2703" s="71" t="s">
        <v>421</v>
      </c>
      <c r="E2703" s="71" t="s">
        <v>422</v>
      </c>
      <c r="F2703" s="71" t="s">
        <v>298</v>
      </c>
      <c r="G2703" s="88">
        <v>46267.252025463</v>
      </c>
      <c r="H2703" s="89">
        <v>46267</v>
      </c>
      <c r="I2703" s="71" t="s">
        <v>466</v>
      </c>
      <c r="J2703" s="71">
        <v>-118</v>
      </c>
      <c r="K2703" s="71" t="s">
        <v>302</v>
      </c>
      <c r="L2703" s="71">
        <f t="shared" si="378"/>
        <v>9</v>
      </c>
      <c r="M2703" s="71" t="str">
        <f>IFERROR(INDEX(KALENDER!$D$3:$D$132,MATCH(H2703,KALENDER!$A$3:$A$132,0)),"Di luar periode")</f>
        <v>Hari Kerja</v>
      </c>
      <c r="N2703" s="71">
        <f t="shared" si="379"/>
        <v>1</v>
      </c>
      <c r="O2703" s="71">
        <f t="shared" si="380"/>
        <v>1</v>
      </c>
      <c r="P2703" s="71">
        <f t="shared" si="381"/>
        <v>0</v>
      </c>
      <c r="Q2703" s="71">
        <f t="shared" si="382"/>
        <v>1</v>
      </c>
      <c r="R2703" s="71">
        <f t="shared" si="383"/>
        <v>0</v>
      </c>
      <c r="S2703" s="71">
        <f t="shared" si="384"/>
        <v>0</v>
      </c>
      <c r="T2703" s="71">
        <f t="shared" si="385"/>
        <v>0</v>
      </c>
      <c r="U2703" s="71">
        <f>IF(AND(N2703=1,V2703=1),IF(COUNTIFS(AKTIVITAS!$B$2:$B$3052,B2703,AKTIVITAS!$E$2:$E$3052,H2703)&gt;0,1,0),0)</f>
        <v>0</v>
      </c>
      <c r="V2703" s="71">
        <f>IFERROR(IF(AND(H2703&gt;=INDEX(PEMAGANG!$J$3:$J$36,MATCH(B2703,PEMAGANG!$C$3:$C$36,0)),H2703&lt;=INDEX(PEMAGANG!$K$3:$K$36,MATCH(B2703,PEMAGANG!$C$3:$C$36,0))),1,0),0)</f>
        <v>0</v>
      </c>
      <c r="W2703" s="71">
        <f t="shared" si="386"/>
        <v>0</v>
      </c>
    </row>
    <row r="2704" spans="1:23" x14ac:dyDescent="0.2">
      <c r="A2704" s="71" t="s">
        <v>673</v>
      </c>
      <c r="B2704" s="71" t="s">
        <v>674</v>
      </c>
      <c r="C2704" s="71" t="s">
        <v>187</v>
      </c>
      <c r="D2704" s="71" t="s">
        <v>421</v>
      </c>
      <c r="E2704" s="71" t="s">
        <v>422</v>
      </c>
      <c r="F2704" s="71" t="s">
        <v>300</v>
      </c>
      <c r="G2704" s="88">
        <v>46267.713668981502</v>
      </c>
      <c r="H2704" s="89">
        <v>46267</v>
      </c>
      <c r="I2704" s="71" t="s">
        <v>324</v>
      </c>
      <c r="J2704" s="71">
        <v>0</v>
      </c>
      <c r="K2704" s="71" t="s">
        <v>302</v>
      </c>
      <c r="L2704" s="71">
        <f t="shared" si="378"/>
        <v>9</v>
      </c>
      <c r="M2704" s="71" t="str">
        <f>IFERROR(INDEX(KALENDER!$D$3:$D$132,MATCH(H2704,KALENDER!$A$3:$A$132,0)),"Di luar periode")</f>
        <v>Hari Kerja</v>
      </c>
      <c r="N2704" s="71">
        <f t="shared" si="379"/>
        <v>0</v>
      </c>
      <c r="O2704" s="71">
        <f t="shared" si="380"/>
        <v>1</v>
      </c>
      <c r="P2704" s="71">
        <f t="shared" si="381"/>
        <v>0</v>
      </c>
      <c r="Q2704" s="71">
        <f t="shared" si="382"/>
        <v>0</v>
      </c>
      <c r="R2704" s="71">
        <f t="shared" si="383"/>
        <v>0</v>
      </c>
      <c r="S2704" s="71">
        <f t="shared" si="384"/>
        <v>0</v>
      </c>
      <c r="T2704" s="71">
        <f t="shared" si="385"/>
        <v>0</v>
      </c>
      <c r="U2704" s="71">
        <f>IF(AND(N2704=1,V2704=1),IF(COUNTIFS(AKTIVITAS!$B$2:$B$3052,B2704,AKTIVITAS!$E$2:$E$3052,H2704)&gt;0,1,0),0)</f>
        <v>0</v>
      </c>
      <c r="V2704" s="71">
        <f>IFERROR(IF(AND(H2704&gt;=INDEX(PEMAGANG!$J$3:$J$36,MATCH(B2704,PEMAGANG!$C$3:$C$36,0)),H2704&lt;=INDEX(PEMAGANG!$K$3:$K$36,MATCH(B2704,PEMAGANG!$C$3:$C$36,0))),1,0),0)</f>
        <v>0</v>
      </c>
      <c r="W2704" s="71">
        <f t="shared" si="386"/>
        <v>0</v>
      </c>
    </row>
    <row r="2705" spans="1:23" x14ac:dyDescent="0.2">
      <c r="A2705" s="71" t="s">
        <v>673</v>
      </c>
      <c r="B2705" s="71" t="s">
        <v>674</v>
      </c>
      <c r="C2705" s="71" t="s">
        <v>187</v>
      </c>
      <c r="D2705" s="71" t="s">
        <v>421</v>
      </c>
      <c r="E2705" s="71" t="s">
        <v>422</v>
      </c>
      <c r="F2705" s="71" t="s">
        <v>298</v>
      </c>
      <c r="G2705" s="88">
        <v>46268.245266203703</v>
      </c>
      <c r="H2705" s="89">
        <v>46268</v>
      </c>
      <c r="I2705" s="71" t="s">
        <v>676</v>
      </c>
      <c r="J2705" s="71">
        <v>-127</v>
      </c>
      <c r="K2705" s="71" t="s">
        <v>302</v>
      </c>
      <c r="L2705" s="71">
        <f t="shared" si="378"/>
        <v>9</v>
      </c>
      <c r="M2705" s="71" t="str">
        <f>IFERROR(INDEX(KALENDER!$D$3:$D$132,MATCH(H2705,KALENDER!$A$3:$A$132,0)),"Di luar periode")</f>
        <v>Hari Kerja</v>
      </c>
      <c r="N2705" s="71">
        <f t="shared" si="379"/>
        <v>1</v>
      </c>
      <c r="O2705" s="71">
        <f t="shared" si="380"/>
        <v>1</v>
      </c>
      <c r="P2705" s="71">
        <f t="shared" si="381"/>
        <v>0</v>
      </c>
      <c r="Q2705" s="71">
        <f t="shared" si="382"/>
        <v>1</v>
      </c>
      <c r="R2705" s="71">
        <f t="shared" si="383"/>
        <v>0</v>
      </c>
      <c r="S2705" s="71">
        <f t="shared" si="384"/>
        <v>0</v>
      </c>
      <c r="T2705" s="71">
        <f t="shared" si="385"/>
        <v>0</v>
      </c>
      <c r="U2705" s="71">
        <f>IF(AND(N2705=1,V2705=1),IF(COUNTIFS(AKTIVITAS!$B$2:$B$3052,B2705,AKTIVITAS!$E$2:$E$3052,H2705)&gt;0,1,0),0)</f>
        <v>0</v>
      </c>
      <c r="V2705" s="71">
        <f>IFERROR(IF(AND(H2705&gt;=INDEX(PEMAGANG!$J$3:$J$36,MATCH(B2705,PEMAGANG!$C$3:$C$36,0)),H2705&lt;=INDEX(PEMAGANG!$K$3:$K$36,MATCH(B2705,PEMAGANG!$C$3:$C$36,0))),1,0),0)</f>
        <v>0</v>
      </c>
      <c r="W2705" s="71">
        <f t="shared" si="386"/>
        <v>0</v>
      </c>
    </row>
    <row r="2706" spans="1:23" x14ac:dyDescent="0.2">
      <c r="A2706" s="71" t="s">
        <v>673</v>
      </c>
      <c r="B2706" s="71" t="s">
        <v>674</v>
      </c>
      <c r="C2706" s="71" t="s">
        <v>187</v>
      </c>
      <c r="D2706" s="71" t="s">
        <v>421</v>
      </c>
      <c r="E2706" s="71" t="s">
        <v>422</v>
      </c>
      <c r="F2706" s="71" t="s">
        <v>300</v>
      </c>
      <c r="G2706" s="88">
        <v>46268.694351851896</v>
      </c>
      <c r="H2706" s="89">
        <v>46268</v>
      </c>
      <c r="I2706" s="71" t="s">
        <v>308</v>
      </c>
      <c r="J2706" s="71">
        <v>0</v>
      </c>
      <c r="K2706" s="71" t="s">
        <v>302</v>
      </c>
      <c r="L2706" s="71">
        <f t="shared" si="378"/>
        <v>9</v>
      </c>
      <c r="M2706" s="71" t="str">
        <f>IFERROR(INDEX(KALENDER!$D$3:$D$132,MATCH(H2706,KALENDER!$A$3:$A$132,0)),"Di luar periode")</f>
        <v>Hari Kerja</v>
      </c>
      <c r="N2706" s="71">
        <f t="shared" si="379"/>
        <v>0</v>
      </c>
      <c r="O2706" s="71">
        <f t="shared" si="380"/>
        <v>1</v>
      </c>
      <c r="P2706" s="71">
        <f t="shared" si="381"/>
        <v>0</v>
      </c>
      <c r="Q2706" s="71">
        <f t="shared" si="382"/>
        <v>0</v>
      </c>
      <c r="R2706" s="71">
        <f t="shared" si="383"/>
        <v>0</v>
      </c>
      <c r="S2706" s="71">
        <f t="shared" si="384"/>
        <v>0</v>
      </c>
      <c r="T2706" s="71">
        <f t="shared" si="385"/>
        <v>0</v>
      </c>
      <c r="U2706" s="71">
        <f>IF(AND(N2706=1,V2706=1),IF(COUNTIFS(AKTIVITAS!$B$2:$B$3052,B2706,AKTIVITAS!$E$2:$E$3052,H2706)&gt;0,1,0),0)</f>
        <v>0</v>
      </c>
      <c r="V2706" s="71">
        <f>IFERROR(IF(AND(H2706&gt;=INDEX(PEMAGANG!$J$3:$J$36,MATCH(B2706,PEMAGANG!$C$3:$C$36,0)),H2706&lt;=INDEX(PEMAGANG!$K$3:$K$36,MATCH(B2706,PEMAGANG!$C$3:$C$36,0))),1,0),0)</f>
        <v>0</v>
      </c>
      <c r="W2706" s="71">
        <f t="shared" si="386"/>
        <v>0</v>
      </c>
    </row>
    <row r="2707" spans="1:23" x14ac:dyDescent="0.2">
      <c r="A2707" s="71" t="s">
        <v>673</v>
      </c>
      <c r="B2707" s="71" t="s">
        <v>674</v>
      </c>
      <c r="C2707" s="71" t="s">
        <v>187</v>
      </c>
      <c r="D2707" s="71" t="s">
        <v>421</v>
      </c>
      <c r="E2707" s="71" t="s">
        <v>422</v>
      </c>
      <c r="F2707" s="71" t="s">
        <v>298</v>
      </c>
      <c r="G2707" s="88">
        <v>46272.238067129598</v>
      </c>
      <c r="H2707" s="89">
        <v>46272</v>
      </c>
      <c r="I2707" s="71" t="s">
        <v>682</v>
      </c>
      <c r="J2707" s="71">
        <v>-138</v>
      </c>
      <c r="K2707" s="71" t="s">
        <v>302</v>
      </c>
      <c r="L2707" s="71">
        <f t="shared" si="378"/>
        <v>9</v>
      </c>
      <c r="M2707" s="71" t="str">
        <f>IFERROR(INDEX(KALENDER!$D$3:$D$132,MATCH(H2707,KALENDER!$A$3:$A$132,0)),"Di luar periode")</f>
        <v>Hari Kerja</v>
      </c>
      <c r="N2707" s="71">
        <f t="shared" si="379"/>
        <v>1</v>
      </c>
      <c r="O2707" s="71">
        <f t="shared" si="380"/>
        <v>1</v>
      </c>
      <c r="P2707" s="71">
        <f t="shared" si="381"/>
        <v>0</v>
      </c>
      <c r="Q2707" s="71">
        <f t="shared" si="382"/>
        <v>1</v>
      </c>
      <c r="R2707" s="71">
        <f t="shared" si="383"/>
        <v>0</v>
      </c>
      <c r="S2707" s="71">
        <f t="shared" si="384"/>
        <v>0</v>
      </c>
      <c r="T2707" s="71">
        <f t="shared" si="385"/>
        <v>0</v>
      </c>
      <c r="U2707" s="71">
        <f>IF(AND(N2707=1,V2707=1),IF(COUNTIFS(AKTIVITAS!$B$2:$B$3052,B2707,AKTIVITAS!$E$2:$E$3052,H2707)&gt;0,1,0),0)</f>
        <v>0</v>
      </c>
      <c r="V2707" s="71">
        <f>IFERROR(IF(AND(H2707&gt;=INDEX(PEMAGANG!$J$3:$J$36,MATCH(B2707,PEMAGANG!$C$3:$C$36,0)),H2707&lt;=INDEX(PEMAGANG!$K$3:$K$36,MATCH(B2707,PEMAGANG!$C$3:$C$36,0))),1,0),0)</f>
        <v>0</v>
      </c>
      <c r="W2707" s="71">
        <f t="shared" si="386"/>
        <v>0</v>
      </c>
    </row>
    <row r="2708" spans="1:23" x14ac:dyDescent="0.2">
      <c r="A2708" s="71" t="s">
        <v>673</v>
      </c>
      <c r="B2708" s="71" t="s">
        <v>674</v>
      </c>
      <c r="C2708" s="71" t="s">
        <v>187</v>
      </c>
      <c r="D2708" s="71" t="s">
        <v>421</v>
      </c>
      <c r="E2708" s="71" t="s">
        <v>422</v>
      </c>
      <c r="F2708" s="71" t="s">
        <v>300</v>
      </c>
      <c r="G2708" s="88">
        <v>46272.707314814797</v>
      </c>
      <c r="H2708" s="89">
        <v>46272</v>
      </c>
      <c r="I2708" s="71" t="s">
        <v>579</v>
      </c>
      <c r="J2708" s="71">
        <v>0</v>
      </c>
      <c r="K2708" s="71" t="s">
        <v>302</v>
      </c>
      <c r="L2708" s="71">
        <f t="shared" si="378"/>
        <v>9</v>
      </c>
      <c r="M2708" s="71" t="str">
        <f>IFERROR(INDEX(KALENDER!$D$3:$D$132,MATCH(H2708,KALENDER!$A$3:$A$132,0)),"Di luar periode")</f>
        <v>Hari Kerja</v>
      </c>
      <c r="N2708" s="71">
        <f t="shared" si="379"/>
        <v>0</v>
      </c>
      <c r="O2708" s="71">
        <f t="shared" si="380"/>
        <v>1</v>
      </c>
      <c r="P2708" s="71">
        <f t="shared" si="381"/>
        <v>0</v>
      </c>
      <c r="Q2708" s="71">
        <f t="shared" si="382"/>
        <v>0</v>
      </c>
      <c r="R2708" s="71">
        <f t="shared" si="383"/>
        <v>0</v>
      </c>
      <c r="S2708" s="71">
        <f t="shared" si="384"/>
        <v>0</v>
      </c>
      <c r="T2708" s="71">
        <f t="shared" si="385"/>
        <v>0</v>
      </c>
      <c r="U2708" s="71">
        <f>IF(AND(N2708=1,V2708=1),IF(COUNTIFS(AKTIVITAS!$B$2:$B$3052,B2708,AKTIVITAS!$E$2:$E$3052,H2708)&gt;0,1,0),0)</f>
        <v>0</v>
      </c>
      <c r="V2708" s="71">
        <f>IFERROR(IF(AND(H2708&gt;=INDEX(PEMAGANG!$J$3:$J$36,MATCH(B2708,PEMAGANG!$C$3:$C$36,0)),H2708&lt;=INDEX(PEMAGANG!$K$3:$K$36,MATCH(B2708,PEMAGANG!$C$3:$C$36,0))),1,0),0)</f>
        <v>0</v>
      </c>
      <c r="W2708" s="71">
        <f t="shared" si="386"/>
        <v>0</v>
      </c>
    </row>
    <row r="2709" spans="1:23" x14ac:dyDescent="0.2">
      <c r="A2709" s="71" t="s">
        <v>673</v>
      </c>
      <c r="B2709" s="71" t="s">
        <v>674</v>
      </c>
      <c r="C2709" s="71" t="s">
        <v>187</v>
      </c>
      <c r="D2709" s="71" t="s">
        <v>421</v>
      </c>
      <c r="E2709" s="71" t="s">
        <v>422</v>
      </c>
      <c r="F2709" s="71" t="s">
        <v>298</v>
      </c>
      <c r="G2709" s="88">
        <v>46273.309629629599</v>
      </c>
      <c r="H2709" s="89">
        <v>46273</v>
      </c>
      <c r="I2709" s="71" t="s">
        <v>307</v>
      </c>
      <c r="J2709" s="71">
        <v>-35</v>
      </c>
      <c r="K2709" s="71" t="s">
        <v>302</v>
      </c>
      <c r="L2709" s="71">
        <f t="shared" si="378"/>
        <v>9</v>
      </c>
      <c r="M2709" s="71" t="str">
        <f>IFERROR(INDEX(KALENDER!$D$3:$D$132,MATCH(H2709,KALENDER!$A$3:$A$132,0)),"Di luar periode")</f>
        <v>Hari Kerja</v>
      </c>
      <c r="N2709" s="71">
        <f t="shared" si="379"/>
        <v>1</v>
      </c>
      <c r="O2709" s="71">
        <f t="shared" si="380"/>
        <v>1</v>
      </c>
      <c r="P2709" s="71">
        <f t="shared" si="381"/>
        <v>0</v>
      </c>
      <c r="Q2709" s="71">
        <f t="shared" si="382"/>
        <v>1</v>
      </c>
      <c r="R2709" s="71">
        <f t="shared" si="383"/>
        <v>0</v>
      </c>
      <c r="S2709" s="71">
        <f t="shared" si="384"/>
        <v>0</v>
      </c>
      <c r="T2709" s="71">
        <f t="shared" si="385"/>
        <v>0</v>
      </c>
      <c r="U2709" s="71">
        <f>IF(AND(N2709=1,V2709=1),IF(COUNTIFS(AKTIVITAS!$B$2:$B$3052,B2709,AKTIVITAS!$E$2:$E$3052,H2709)&gt;0,1,0),0)</f>
        <v>0</v>
      </c>
      <c r="V2709" s="71">
        <f>IFERROR(IF(AND(H2709&gt;=INDEX(PEMAGANG!$J$3:$J$36,MATCH(B2709,PEMAGANG!$C$3:$C$36,0)),H2709&lt;=INDEX(PEMAGANG!$K$3:$K$36,MATCH(B2709,PEMAGANG!$C$3:$C$36,0))),1,0),0)</f>
        <v>0</v>
      </c>
      <c r="W2709" s="71">
        <f t="shared" si="386"/>
        <v>0</v>
      </c>
    </row>
    <row r="2710" spans="1:23" x14ac:dyDescent="0.2">
      <c r="A2710" s="71" t="s">
        <v>673</v>
      </c>
      <c r="B2710" s="71" t="s">
        <v>674</v>
      </c>
      <c r="C2710" s="71" t="s">
        <v>187</v>
      </c>
      <c r="D2710" s="71" t="s">
        <v>421</v>
      </c>
      <c r="E2710" s="71" t="s">
        <v>422</v>
      </c>
      <c r="F2710" s="71" t="s">
        <v>300</v>
      </c>
      <c r="G2710" s="88">
        <v>46273.715243055602</v>
      </c>
      <c r="H2710" s="89">
        <v>46273</v>
      </c>
      <c r="I2710" s="71" t="s">
        <v>573</v>
      </c>
      <c r="J2710" s="71">
        <v>0</v>
      </c>
      <c r="K2710" s="71" t="s">
        <v>302</v>
      </c>
      <c r="L2710" s="71">
        <f t="shared" si="378"/>
        <v>9</v>
      </c>
      <c r="M2710" s="71" t="str">
        <f>IFERROR(INDEX(KALENDER!$D$3:$D$132,MATCH(H2710,KALENDER!$A$3:$A$132,0)),"Di luar periode")</f>
        <v>Hari Kerja</v>
      </c>
      <c r="N2710" s="71">
        <f t="shared" si="379"/>
        <v>0</v>
      </c>
      <c r="O2710" s="71">
        <f t="shared" si="380"/>
        <v>1</v>
      </c>
      <c r="P2710" s="71">
        <f t="shared" si="381"/>
        <v>0</v>
      </c>
      <c r="Q2710" s="71">
        <f t="shared" si="382"/>
        <v>0</v>
      </c>
      <c r="R2710" s="71">
        <f t="shared" si="383"/>
        <v>0</v>
      </c>
      <c r="S2710" s="71">
        <f t="shared" si="384"/>
        <v>0</v>
      </c>
      <c r="T2710" s="71">
        <f t="shared" si="385"/>
        <v>0</v>
      </c>
      <c r="U2710" s="71">
        <f>IF(AND(N2710=1,V2710=1),IF(COUNTIFS(AKTIVITAS!$B$2:$B$3052,B2710,AKTIVITAS!$E$2:$E$3052,H2710)&gt;0,1,0),0)</f>
        <v>0</v>
      </c>
      <c r="V2710" s="71">
        <f>IFERROR(IF(AND(H2710&gt;=INDEX(PEMAGANG!$J$3:$J$36,MATCH(B2710,PEMAGANG!$C$3:$C$36,0)),H2710&lt;=INDEX(PEMAGANG!$K$3:$K$36,MATCH(B2710,PEMAGANG!$C$3:$C$36,0))),1,0),0)</f>
        <v>0</v>
      </c>
      <c r="W2710" s="71">
        <f t="shared" si="386"/>
        <v>0</v>
      </c>
    </row>
    <row r="2711" spans="1:23" x14ac:dyDescent="0.2">
      <c r="A2711" s="71" t="s">
        <v>673</v>
      </c>
      <c r="B2711" s="71" t="s">
        <v>674</v>
      </c>
      <c r="C2711" s="71" t="s">
        <v>187</v>
      </c>
      <c r="D2711" s="71" t="s">
        <v>421</v>
      </c>
      <c r="E2711" s="71" t="s">
        <v>422</v>
      </c>
      <c r="F2711" s="71" t="s">
        <v>298</v>
      </c>
      <c r="G2711" s="88">
        <v>46274.246261574102</v>
      </c>
      <c r="H2711" s="89">
        <v>46274</v>
      </c>
      <c r="I2711" s="71" t="s">
        <v>679</v>
      </c>
      <c r="J2711" s="71">
        <v>-126</v>
      </c>
      <c r="K2711" s="71" t="s">
        <v>302</v>
      </c>
      <c r="L2711" s="71">
        <f t="shared" si="378"/>
        <v>9</v>
      </c>
      <c r="M2711" s="71" t="str">
        <f>IFERROR(INDEX(KALENDER!$D$3:$D$132,MATCH(H2711,KALENDER!$A$3:$A$132,0)),"Di luar periode")</f>
        <v>Hari Kerja</v>
      </c>
      <c r="N2711" s="71">
        <f t="shared" si="379"/>
        <v>1</v>
      </c>
      <c r="O2711" s="71">
        <f t="shared" si="380"/>
        <v>1</v>
      </c>
      <c r="P2711" s="71">
        <f t="shared" si="381"/>
        <v>0</v>
      </c>
      <c r="Q2711" s="71">
        <f t="shared" si="382"/>
        <v>1</v>
      </c>
      <c r="R2711" s="71">
        <f t="shared" si="383"/>
        <v>0</v>
      </c>
      <c r="S2711" s="71">
        <f t="shared" si="384"/>
        <v>0</v>
      </c>
      <c r="T2711" s="71">
        <f t="shared" si="385"/>
        <v>0</v>
      </c>
      <c r="U2711" s="71">
        <f>IF(AND(N2711=1,V2711=1),IF(COUNTIFS(AKTIVITAS!$B$2:$B$3052,B2711,AKTIVITAS!$E$2:$E$3052,H2711)&gt;0,1,0),0)</f>
        <v>0</v>
      </c>
      <c r="V2711" s="71">
        <f>IFERROR(IF(AND(H2711&gt;=INDEX(PEMAGANG!$J$3:$J$36,MATCH(B2711,PEMAGANG!$C$3:$C$36,0)),H2711&lt;=INDEX(PEMAGANG!$K$3:$K$36,MATCH(B2711,PEMAGANG!$C$3:$C$36,0))),1,0),0)</f>
        <v>0</v>
      </c>
      <c r="W2711" s="71">
        <f t="shared" si="386"/>
        <v>0</v>
      </c>
    </row>
    <row r="2712" spans="1:23" x14ac:dyDescent="0.2">
      <c r="A2712" s="71" t="s">
        <v>673</v>
      </c>
      <c r="B2712" s="71" t="s">
        <v>674</v>
      </c>
      <c r="C2712" s="71" t="s">
        <v>187</v>
      </c>
      <c r="D2712" s="71" t="s">
        <v>421</v>
      </c>
      <c r="E2712" s="71" t="s">
        <v>422</v>
      </c>
      <c r="F2712" s="71" t="s">
        <v>300</v>
      </c>
      <c r="G2712" s="88">
        <v>46274.706018518496</v>
      </c>
      <c r="H2712" s="89">
        <v>46274</v>
      </c>
      <c r="I2712" s="71" t="s">
        <v>474</v>
      </c>
      <c r="J2712" s="71">
        <v>0</v>
      </c>
      <c r="K2712" s="71" t="s">
        <v>302</v>
      </c>
      <c r="L2712" s="71">
        <f t="shared" si="378"/>
        <v>9</v>
      </c>
      <c r="M2712" s="71" t="str">
        <f>IFERROR(INDEX(KALENDER!$D$3:$D$132,MATCH(H2712,KALENDER!$A$3:$A$132,0)),"Di luar periode")</f>
        <v>Hari Kerja</v>
      </c>
      <c r="N2712" s="71">
        <f t="shared" si="379"/>
        <v>0</v>
      </c>
      <c r="O2712" s="71">
        <f t="shared" si="380"/>
        <v>1</v>
      </c>
      <c r="P2712" s="71">
        <f t="shared" si="381"/>
        <v>0</v>
      </c>
      <c r="Q2712" s="71">
        <f t="shared" si="382"/>
        <v>0</v>
      </c>
      <c r="R2712" s="71">
        <f t="shared" si="383"/>
        <v>0</v>
      </c>
      <c r="S2712" s="71">
        <f t="shared" si="384"/>
        <v>0</v>
      </c>
      <c r="T2712" s="71">
        <f t="shared" si="385"/>
        <v>0</v>
      </c>
      <c r="U2712" s="71">
        <f>IF(AND(N2712=1,V2712=1),IF(COUNTIFS(AKTIVITAS!$B$2:$B$3052,B2712,AKTIVITAS!$E$2:$E$3052,H2712)&gt;0,1,0),0)</f>
        <v>0</v>
      </c>
      <c r="V2712" s="71">
        <f>IFERROR(IF(AND(H2712&gt;=INDEX(PEMAGANG!$J$3:$J$36,MATCH(B2712,PEMAGANG!$C$3:$C$36,0)),H2712&lt;=INDEX(PEMAGANG!$K$3:$K$36,MATCH(B2712,PEMAGANG!$C$3:$C$36,0))),1,0),0)</f>
        <v>0</v>
      </c>
      <c r="W2712" s="71">
        <f t="shared" si="386"/>
        <v>0</v>
      </c>
    </row>
    <row r="2713" spans="1:23" x14ac:dyDescent="0.2">
      <c r="A2713" s="71" t="s">
        <v>673</v>
      </c>
      <c r="B2713" s="71" t="s">
        <v>674</v>
      </c>
      <c r="C2713" s="71" t="s">
        <v>187</v>
      </c>
      <c r="D2713" s="71" t="s">
        <v>421</v>
      </c>
      <c r="E2713" s="71" t="s">
        <v>422</v>
      </c>
      <c r="F2713" s="71" t="s">
        <v>298</v>
      </c>
      <c r="G2713" s="88">
        <v>46275.238449074102</v>
      </c>
      <c r="H2713" s="89">
        <v>46275</v>
      </c>
      <c r="I2713" s="71" t="s">
        <v>683</v>
      </c>
      <c r="J2713" s="71">
        <v>-137</v>
      </c>
      <c r="K2713" s="71" t="s">
        <v>302</v>
      </c>
      <c r="L2713" s="71">
        <f t="shared" si="378"/>
        <v>9</v>
      </c>
      <c r="M2713" s="71" t="str">
        <f>IFERROR(INDEX(KALENDER!$D$3:$D$132,MATCH(H2713,KALENDER!$A$3:$A$132,0)),"Di luar periode")</f>
        <v>Hari Kerja</v>
      </c>
      <c r="N2713" s="71">
        <f t="shared" si="379"/>
        <v>1</v>
      </c>
      <c r="O2713" s="71">
        <f t="shared" si="380"/>
        <v>1</v>
      </c>
      <c r="P2713" s="71">
        <f t="shared" si="381"/>
        <v>0</v>
      </c>
      <c r="Q2713" s="71">
        <f t="shared" si="382"/>
        <v>1</v>
      </c>
      <c r="R2713" s="71">
        <f t="shared" si="383"/>
        <v>0</v>
      </c>
      <c r="S2713" s="71">
        <f t="shared" si="384"/>
        <v>0</v>
      </c>
      <c r="T2713" s="71">
        <f t="shared" si="385"/>
        <v>0</v>
      </c>
      <c r="U2713" s="71">
        <f>IF(AND(N2713=1,V2713=1),IF(COUNTIFS(AKTIVITAS!$B$2:$B$3052,B2713,AKTIVITAS!$E$2:$E$3052,H2713)&gt;0,1,0),0)</f>
        <v>0</v>
      </c>
      <c r="V2713" s="71">
        <f>IFERROR(IF(AND(H2713&gt;=INDEX(PEMAGANG!$J$3:$J$36,MATCH(B2713,PEMAGANG!$C$3:$C$36,0)),H2713&lt;=INDEX(PEMAGANG!$K$3:$K$36,MATCH(B2713,PEMAGANG!$C$3:$C$36,0))),1,0),0)</f>
        <v>0</v>
      </c>
      <c r="W2713" s="71">
        <f t="shared" si="386"/>
        <v>0</v>
      </c>
    </row>
    <row r="2714" spans="1:23" x14ac:dyDescent="0.2">
      <c r="A2714" s="71" t="s">
        <v>673</v>
      </c>
      <c r="B2714" s="71" t="s">
        <v>674</v>
      </c>
      <c r="C2714" s="71" t="s">
        <v>187</v>
      </c>
      <c r="D2714" s="71" t="s">
        <v>421</v>
      </c>
      <c r="E2714" s="71" t="s">
        <v>422</v>
      </c>
      <c r="F2714" s="71" t="s">
        <v>298</v>
      </c>
      <c r="G2714" s="88">
        <v>46275.238449074102</v>
      </c>
      <c r="H2714" s="89">
        <v>46275</v>
      </c>
      <c r="I2714" s="71" t="s">
        <v>683</v>
      </c>
      <c r="J2714" s="71">
        <v>-107</v>
      </c>
      <c r="K2714" s="71" t="s">
        <v>302</v>
      </c>
      <c r="L2714" s="71">
        <f t="shared" si="378"/>
        <v>9</v>
      </c>
      <c r="M2714" s="71" t="str">
        <f>IFERROR(INDEX(KALENDER!$D$3:$D$132,MATCH(H2714,KALENDER!$A$3:$A$132,0)),"Di luar periode")</f>
        <v>Hari Kerja</v>
      </c>
      <c r="N2714" s="71">
        <f t="shared" si="379"/>
        <v>0</v>
      </c>
      <c r="O2714" s="71">
        <f t="shared" si="380"/>
        <v>2</v>
      </c>
      <c r="P2714" s="71">
        <f t="shared" si="381"/>
        <v>0</v>
      </c>
      <c r="Q2714" s="71">
        <f t="shared" si="382"/>
        <v>0</v>
      </c>
      <c r="R2714" s="71">
        <f t="shared" si="383"/>
        <v>0</v>
      </c>
      <c r="S2714" s="71">
        <f t="shared" si="384"/>
        <v>0</v>
      </c>
      <c r="T2714" s="71">
        <f t="shared" si="385"/>
        <v>0</v>
      </c>
      <c r="U2714" s="71">
        <f>IF(AND(N2714=1,V2714=1),IF(COUNTIFS(AKTIVITAS!$B$2:$B$3052,B2714,AKTIVITAS!$E$2:$E$3052,H2714)&gt;0,1,0),0)</f>
        <v>0</v>
      </c>
      <c r="V2714" s="71">
        <f>IFERROR(IF(AND(H2714&gt;=INDEX(PEMAGANG!$J$3:$J$36,MATCH(B2714,PEMAGANG!$C$3:$C$36,0)),H2714&lt;=INDEX(PEMAGANG!$K$3:$K$36,MATCH(B2714,PEMAGANG!$C$3:$C$36,0))),1,0),0)</f>
        <v>0</v>
      </c>
      <c r="W2714" s="71">
        <f t="shared" si="386"/>
        <v>0</v>
      </c>
    </row>
    <row r="2715" spans="1:23" x14ac:dyDescent="0.2">
      <c r="A2715" s="71" t="s">
        <v>673</v>
      </c>
      <c r="B2715" s="71" t="s">
        <v>674</v>
      </c>
      <c r="C2715" s="71" t="s">
        <v>187</v>
      </c>
      <c r="D2715" s="71" t="s">
        <v>421</v>
      </c>
      <c r="E2715" s="71" t="s">
        <v>422</v>
      </c>
      <c r="F2715" s="71" t="s">
        <v>300</v>
      </c>
      <c r="G2715" s="88">
        <v>46275.710023148204</v>
      </c>
      <c r="H2715" s="89">
        <v>46275</v>
      </c>
      <c r="I2715" s="71" t="s">
        <v>436</v>
      </c>
      <c r="J2715" s="71">
        <v>0</v>
      </c>
      <c r="K2715" s="71" t="s">
        <v>302</v>
      </c>
      <c r="L2715" s="71">
        <f t="shared" si="378"/>
        <v>9</v>
      </c>
      <c r="M2715" s="71" t="str">
        <f>IFERROR(INDEX(KALENDER!$D$3:$D$132,MATCH(H2715,KALENDER!$A$3:$A$132,0)),"Di luar periode")</f>
        <v>Hari Kerja</v>
      </c>
      <c r="N2715" s="71">
        <f t="shared" si="379"/>
        <v>0</v>
      </c>
      <c r="O2715" s="71">
        <f t="shared" si="380"/>
        <v>2</v>
      </c>
      <c r="P2715" s="71">
        <f t="shared" si="381"/>
        <v>0</v>
      </c>
      <c r="Q2715" s="71">
        <f t="shared" si="382"/>
        <v>0</v>
      </c>
      <c r="R2715" s="71">
        <f t="shared" si="383"/>
        <v>0</v>
      </c>
      <c r="S2715" s="71">
        <f t="shared" si="384"/>
        <v>0</v>
      </c>
      <c r="T2715" s="71">
        <f t="shared" si="385"/>
        <v>0</v>
      </c>
      <c r="U2715" s="71">
        <f>IF(AND(N2715=1,V2715=1),IF(COUNTIFS(AKTIVITAS!$B$2:$B$3052,B2715,AKTIVITAS!$E$2:$E$3052,H2715)&gt;0,1,0),0)</f>
        <v>0</v>
      </c>
      <c r="V2715" s="71">
        <f>IFERROR(IF(AND(H2715&gt;=INDEX(PEMAGANG!$J$3:$J$36,MATCH(B2715,PEMAGANG!$C$3:$C$36,0)),H2715&lt;=INDEX(PEMAGANG!$K$3:$K$36,MATCH(B2715,PEMAGANG!$C$3:$C$36,0))),1,0),0)</f>
        <v>0</v>
      </c>
      <c r="W2715" s="71">
        <f t="shared" si="386"/>
        <v>0</v>
      </c>
    </row>
    <row r="2716" spans="1:23" x14ac:dyDescent="0.2">
      <c r="A2716" s="71" t="s">
        <v>673</v>
      </c>
      <c r="B2716" s="71" t="s">
        <v>674</v>
      </c>
      <c r="C2716" s="71" t="s">
        <v>187</v>
      </c>
      <c r="D2716" s="71" t="s">
        <v>421</v>
      </c>
      <c r="E2716" s="71" t="s">
        <v>422</v>
      </c>
      <c r="F2716" s="71" t="s">
        <v>298</v>
      </c>
      <c r="G2716" s="88">
        <v>46276.237511574102</v>
      </c>
      <c r="H2716" s="89">
        <v>46276</v>
      </c>
      <c r="I2716" s="71" t="s">
        <v>682</v>
      </c>
      <c r="J2716" s="71">
        <v>-108</v>
      </c>
      <c r="K2716" s="71" t="s">
        <v>302</v>
      </c>
      <c r="L2716" s="71">
        <f t="shared" si="378"/>
        <v>9</v>
      </c>
      <c r="M2716" s="71" t="str">
        <f>IFERROR(INDEX(KALENDER!$D$3:$D$132,MATCH(H2716,KALENDER!$A$3:$A$132,0)),"Di luar periode")</f>
        <v>Hari Kerja</v>
      </c>
      <c r="N2716" s="71">
        <f t="shared" si="379"/>
        <v>1</v>
      </c>
      <c r="O2716" s="71">
        <f t="shared" si="380"/>
        <v>1</v>
      </c>
      <c r="P2716" s="71">
        <f t="shared" si="381"/>
        <v>0</v>
      </c>
      <c r="Q2716" s="71">
        <f t="shared" si="382"/>
        <v>1</v>
      </c>
      <c r="R2716" s="71">
        <f t="shared" si="383"/>
        <v>0</v>
      </c>
      <c r="S2716" s="71">
        <f t="shared" si="384"/>
        <v>0</v>
      </c>
      <c r="T2716" s="71">
        <f t="shared" si="385"/>
        <v>0</v>
      </c>
      <c r="U2716" s="71">
        <f>IF(AND(N2716=1,V2716=1),IF(COUNTIFS(AKTIVITAS!$B$2:$B$3052,B2716,AKTIVITAS!$E$2:$E$3052,H2716)&gt;0,1,0),0)</f>
        <v>0</v>
      </c>
      <c r="V2716" s="71">
        <f>IFERROR(IF(AND(H2716&gt;=INDEX(PEMAGANG!$J$3:$J$36,MATCH(B2716,PEMAGANG!$C$3:$C$36,0)),H2716&lt;=INDEX(PEMAGANG!$K$3:$K$36,MATCH(B2716,PEMAGANG!$C$3:$C$36,0))),1,0),0)</f>
        <v>0</v>
      </c>
      <c r="W2716" s="71">
        <f t="shared" si="386"/>
        <v>0</v>
      </c>
    </row>
    <row r="2717" spans="1:23" x14ac:dyDescent="0.2">
      <c r="A2717" s="71" t="s">
        <v>673</v>
      </c>
      <c r="B2717" s="71" t="s">
        <v>674</v>
      </c>
      <c r="C2717" s="71" t="s">
        <v>187</v>
      </c>
      <c r="D2717" s="71" t="s">
        <v>421</v>
      </c>
      <c r="E2717" s="71" t="s">
        <v>422</v>
      </c>
      <c r="F2717" s="71" t="s">
        <v>300</v>
      </c>
      <c r="G2717" s="88">
        <v>46276.709432870397</v>
      </c>
      <c r="H2717" s="89">
        <v>46276</v>
      </c>
      <c r="I2717" s="71" t="s">
        <v>333</v>
      </c>
      <c r="J2717" s="71">
        <v>0</v>
      </c>
      <c r="K2717" s="71" t="s">
        <v>302</v>
      </c>
      <c r="L2717" s="71">
        <f t="shared" si="378"/>
        <v>9</v>
      </c>
      <c r="M2717" s="71" t="str">
        <f>IFERROR(INDEX(KALENDER!$D$3:$D$132,MATCH(H2717,KALENDER!$A$3:$A$132,0)),"Di luar periode")</f>
        <v>Hari Kerja</v>
      </c>
      <c r="N2717" s="71">
        <f t="shared" si="379"/>
        <v>0</v>
      </c>
      <c r="O2717" s="71">
        <f t="shared" si="380"/>
        <v>1</v>
      </c>
      <c r="P2717" s="71">
        <f t="shared" si="381"/>
        <v>0</v>
      </c>
      <c r="Q2717" s="71">
        <f t="shared" si="382"/>
        <v>0</v>
      </c>
      <c r="R2717" s="71">
        <f t="shared" si="383"/>
        <v>0</v>
      </c>
      <c r="S2717" s="71">
        <f t="shared" si="384"/>
        <v>0</v>
      </c>
      <c r="T2717" s="71">
        <f t="shared" si="385"/>
        <v>0</v>
      </c>
      <c r="U2717" s="71">
        <f>IF(AND(N2717=1,V2717=1),IF(COUNTIFS(AKTIVITAS!$B$2:$B$3052,B2717,AKTIVITAS!$E$2:$E$3052,H2717)&gt;0,1,0),0)</f>
        <v>0</v>
      </c>
      <c r="V2717" s="71">
        <f>IFERROR(IF(AND(H2717&gt;=INDEX(PEMAGANG!$J$3:$J$36,MATCH(B2717,PEMAGANG!$C$3:$C$36,0)),H2717&lt;=INDEX(PEMAGANG!$K$3:$K$36,MATCH(B2717,PEMAGANG!$C$3:$C$36,0))),1,0),0)</f>
        <v>0</v>
      </c>
      <c r="W2717" s="71">
        <f t="shared" si="386"/>
        <v>0</v>
      </c>
    </row>
    <row r="2718" spans="1:23" x14ac:dyDescent="0.2">
      <c r="A2718" s="71" t="s">
        <v>673</v>
      </c>
      <c r="B2718" s="71" t="s">
        <v>674</v>
      </c>
      <c r="C2718" s="71" t="s">
        <v>187</v>
      </c>
      <c r="D2718" s="71" t="s">
        <v>421</v>
      </c>
      <c r="E2718" s="71" t="s">
        <v>422</v>
      </c>
      <c r="F2718" s="71" t="s">
        <v>300</v>
      </c>
      <c r="G2718" s="88">
        <v>46276.710613425901</v>
      </c>
      <c r="H2718" s="89">
        <v>46276</v>
      </c>
      <c r="I2718" s="71" t="s">
        <v>450</v>
      </c>
      <c r="J2718" s="71">
        <v>0</v>
      </c>
      <c r="K2718" s="71" t="s">
        <v>302</v>
      </c>
      <c r="L2718" s="71">
        <f t="shared" si="378"/>
        <v>9</v>
      </c>
      <c r="M2718" s="71" t="str">
        <f>IFERROR(INDEX(KALENDER!$D$3:$D$132,MATCH(H2718,KALENDER!$A$3:$A$132,0)),"Di luar periode")</f>
        <v>Hari Kerja</v>
      </c>
      <c r="N2718" s="71">
        <f t="shared" si="379"/>
        <v>0</v>
      </c>
      <c r="O2718" s="71">
        <f t="shared" si="380"/>
        <v>1</v>
      </c>
      <c r="P2718" s="71">
        <f t="shared" si="381"/>
        <v>0</v>
      </c>
      <c r="Q2718" s="71">
        <f t="shared" si="382"/>
        <v>0</v>
      </c>
      <c r="R2718" s="71">
        <f t="shared" si="383"/>
        <v>0</v>
      </c>
      <c r="S2718" s="71">
        <f t="shared" si="384"/>
        <v>0</v>
      </c>
      <c r="T2718" s="71">
        <f t="shared" si="385"/>
        <v>0</v>
      </c>
      <c r="U2718" s="71">
        <f>IF(AND(N2718=1,V2718=1),IF(COUNTIFS(AKTIVITAS!$B$2:$B$3052,B2718,AKTIVITAS!$E$2:$E$3052,H2718)&gt;0,1,0),0)</f>
        <v>0</v>
      </c>
      <c r="V2718" s="71">
        <f>IFERROR(IF(AND(H2718&gt;=INDEX(PEMAGANG!$J$3:$J$36,MATCH(B2718,PEMAGANG!$C$3:$C$36,0)),H2718&lt;=INDEX(PEMAGANG!$K$3:$K$36,MATCH(B2718,PEMAGANG!$C$3:$C$36,0))),1,0),0)</f>
        <v>0</v>
      </c>
      <c r="W2718" s="71">
        <f t="shared" si="386"/>
        <v>0</v>
      </c>
    </row>
    <row r="2719" spans="1:23" x14ac:dyDescent="0.2">
      <c r="A2719" s="71" t="s">
        <v>673</v>
      </c>
      <c r="B2719" s="71" t="s">
        <v>674</v>
      </c>
      <c r="C2719" s="71" t="s">
        <v>187</v>
      </c>
      <c r="D2719" s="71" t="s">
        <v>421</v>
      </c>
      <c r="E2719" s="71" t="s">
        <v>422</v>
      </c>
      <c r="F2719" s="71" t="s">
        <v>298</v>
      </c>
      <c r="G2719" s="88">
        <v>46279.236655092602</v>
      </c>
      <c r="H2719" s="89">
        <v>46279</v>
      </c>
      <c r="I2719" s="71" t="s">
        <v>684</v>
      </c>
      <c r="J2719" s="71">
        <v>-110</v>
      </c>
      <c r="K2719" s="71" t="s">
        <v>302</v>
      </c>
      <c r="L2719" s="71">
        <f t="shared" si="378"/>
        <v>9</v>
      </c>
      <c r="M2719" s="71" t="str">
        <f>IFERROR(INDEX(KALENDER!$D$3:$D$132,MATCH(H2719,KALENDER!$A$3:$A$132,0)),"Di luar periode")</f>
        <v>Hari Kerja</v>
      </c>
      <c r="N2719" s="71">
        <f t="shared" si="379"/>
        <v>1</v>
      </c>
      <c r="O2719" s="71">
        <f t="shared" si="380"/>
        <v>1</v>
      </c>
      <c r="P2719" s="71">
        <f t="shared" si="381"/>
        <v>0</v>
      </c>
      <c r="Q2719" s="71">
        <f t="shared" si="382"/>
        <v>1</v>
      </c>
      <c r="R2719" s="71">
        <f t="shared" si="383"/>
        <v>0</v>
      </c>
      <c r="S2719" s="71">
        <f t="shared" si="384"/>
        <v>0</v>
      </c>
      <c r="T2719" s="71">
        <f t="shared" si="385"/>
        <v>0</v>
      </c>
      <c r="U2719" s="71">
        <f>IF(AND(N2719=1,V2719=1),IF(COUNTIFS(AKTIVITAS!$B$2:$B$3052,B2719,AKTIVITAS!$E$2:$E$3052,H2719)&gt;0,1,0),0)</f>
        <v>0</v>
      </c>
      <c r="V2719" s="71">
        <f>IFERROR(IF(AND(H2719&gt;=INDEX(PEMAGANG!$J$3:$J$36,MATCH(B2719,PEMAGANG!$C$3:$C$36,0)),H2719&lt;=INDEX(PEMAGANG!$K$3:$K$36,MATCH(B2719,PEMAGANG!$C$3:$C$36,0))),1,0),0)</f>
        <v>0</v>
      </c>
      <c r="W2719" s="71">
        <f t="shared" si="386"/>
        <v>0</v>
      </c>
    </row>
    <row r="2720" spans="1:23" x14ac:dyDescent="0.2">
      <c r="A2720" s="71" t="s">
        <v>673</v>
      </c>
      <c r="B2720" s="71" t="s">
        <v>674</v>
      </c>
      <c r="C2720" s="71" t="s">
        <v>187</v>
      </c>
      <c r="D2720" s="71" t="s">
        <v>421</v>
      </c>
      <c r="E2720" s="71" t="s">
        <v>422</v>
      </c>
      <c r="F2720" s="71" t="s">
        <v>300</v>
      </c>
      <c r="G2720" s="88">
        <v>46279.699756944399</v>
      </c>
      <c r="H2720" s="89">
        <v>46279</v>
      </c>
      <c r="I2720" s="71" t="s">
        <v>337</v>
      </c>
      <c r="J2720" s="71">
        <v>0</v>
      </c>
      <c r="K2720" s="71" t="s">
        <v>302</v>
      </c>
      <c r="L2720" s="71">
        <f t="shared" si="378"/>
        <v>9</v>
      </c>
      <c r="M2720" s="71" t="str">
        <f>IFERROR(INDEX(KALENDER!$D$3:$D$132,MATCH(H2720,KALENDER!$A$3:$A$132,0)),"Di luar periode")</f>
        <v>Hari Kerja</v>
      </c>
      <c r="N2720" s="71">
        <f t="shared" si="379"/>
        <v>0</v>
      </c>
      <c r="O2720" s="71">
        <f t="shared" si="380"/>
        <v>1</v>
      </c>
      <c r="P2720" s="71">
        <f t="shared" si="381"/>
        <v>0</v>
      </c>
      <c r="Q2720" s="71">
        <f t="shared" si="382"/>
        <v>0</v>
      </c>
      <c r="R2720" s="71">
        <f t="shared" si="383"/>
        <v>0</v>
      </c>
      <c r="S2720" s="71">
        <f t="shared" si="384"/>
        <v>0</v>
      </c>
      <c r="T2720" s="71">
        <f t="shared" si="385"/>
        <v>0</v>
      </c>
      <c r="U2720" s="71">
        <f>IF(AND(N2720=1,V2720=1),IF(COUNTIFS(AKTIVITAS!$B$2:$B$3052,B2720,AKTIVITAS!$E$2:$E$3052,H2720)&gt;0,1,0),0)</f>
        <v>0</v>
      </c>
      <c r="V2720" s="71">
        <f>IFERROR(IF(AND(H2720&gt;=INDEX(PEMAGANG!$J$3:$J$36,MATCH(B2720,PEMAGANG!$C$3:$C$36,0)),H2720&lt;=INDEX(PEMAGANG!$K$3:$K$36,MATCH(B2720,PEMAGANG!$C$3:$C$36,0))),1,0),0)</f>
        <v>0</v>
      </c>
      <c r="W2720" s="71">
        <f t="shared" si="386"/>
        <v>0</v>
      </c>
    </row>
    <row r="2721" spans="1:23" x14ac:dyDescent="0.2">
      <c r="A2721" s="71" t="s">
        <v>673</v>
      </c>
      <c r="B2721" s="71" t="s">
        <v>674</v>
      </c>
      <c r="C2721" s="71" t="s">
        <v>187</v>
      </c>
      <c r="D2721" s="71" t="s">
        <v>421</v>
      </c>
      <c r="E2721" s="71" t="s">
        <v>422</v>
      </c>
      <c r="F2721" s="71" t="s">
        <v>298</v>
      </c>
      <c r="G2721" s="88">
        <v>46280.241631944496</v>
      </c>
      <c r="H2721" s="89">
        <v>46280</v>
      </c>
      <c r="I2721" s="71" t="s">
        <v>685</v>
      </c>
      <c r="J2721" s="71">
        <v>-103</v>
      </c>
      <c r="K2721" s="71" t="s">
        <v>302</v>
      </c>
      <c r="L2721" s="71">
        <f t="shared" si="378"/>
        <v>9</v>
      </c>
      <c r="M2721" s="71" t="str">
        <f>IFERROR(INDEX(KALENDER!$D$3:$D$132,MATCH(H2721,KALENDER!$A$3:$A$132,0)),"Di luar periode")</f>
        <v>Hari Kerja</v>
      </c>
      <c r="N2721" s="71">
        <f t="shared" si="379"/>
        <v>1</v>
      </c>
      <c r="O2721" s="71">
        <f t="shared" si="380"/>
        <v>1</v>
      </c>
      <c r="P2721" s="71">
        <f t="shared" si="381"/>
        <v>0</v>
      </c>
      <c r="Q2721" s="71">
        <f t="shared" si="382"/>
        <v>1</v>
      </c>
      <c r="R2721" s="71">
        <f t="shared" si="383"/>
        <v>0</v>
      </c>
      <c r="S2721" s="71">
        <f t="shared" si="384"/>
        <v>0</v>
      </c>
      <c r="T2721" s="71">
        <f t="shared" si="385"/>
        <v>0</v>
      </c>
      <c r="U2721" s="71">
        <f>IF(AND(N2721=1,V2721=1),IF(COUNTIFS(AKTIVITAS!$B$2:$B$3052,B2721,AKTIVITAS!$E$2:$E$3052,H2721)&gt;0,1,0),0)</f>
        <v>0</v>
      </c>
      <c r="V2721" s="71">
        <f>IFERROR(IF(AND(H2721&gt;=INDEX(PEMAGANG!$J$3:$J$36,MATCH(B2721,PEMAGANG!$C$3:$C$36,0)),H2721&lt;=INDEX(PEMAGANG!$K$3:$K$36,MATCH(B2721,PEMAGANG!$C$3:$C$36,0))),1,0),0)</f>
        <v>0</v>
      </c>
      <c r="W2721" s="71">
        <f t="shared" si="386"/>
        <v>0</v>
      </c>
    </row>
    <row r="2722" spans="1:23" x14ac:dyDescent="0.2">
      <c r="A2722" s="71" t="s">
        <v>673</v>
      </c>
      <c r="B2722" s="71" t="s">
        <v>674</v>
      </c>
      <c r="C2722" s="71" t="s">
        <v>187</v>
      </c>
      <c r="D2722" s="71" t="s">
        <v>421</v>
      </c>
      <c r="E2722" s="71" t="s">
        <v>422</v>
      </c>
      <c r="F2722" s="71" t="s">
        <v>300</v>
      </c>
      <c r="G2722" s="88">
        <v>46280.710555555597</v>
      </c>
      <c r="H2722" s="89">
        <v>46280</v>
      </c>
      <c r="I2722" s="71" t="s">
        <v>450</v>
      </c>
      <c r="J2722" s="71">
        <v>0</v>
      </c>
      <c r="K2722" s="71" t="s">
        <v>302</v>
      </c>
      <c r="L2722" s="71">
        <f t="shared" si="378"/>
        <v>9</v>
      </c>
      <c r="M2722" s="71" t="str">
        <f>IFERROR(INDEX(KALENDER!$D$3:$D$132,MATCH(H2722,KALENDER!$A$3:$A$132,0)),"Di luar periode")</f>
        <v>Hari Kerja</v>
      </c>
      <c r="N2722" s="71">
        <f t="shared" si="379"/>
        <v>0</v>
      </c>
      <c r="O2722" s="71">
        <f t="shared" si="380"/>
        <v>1</v>
      </c>
      <c r="P2722" s="71">
        <f t="shared" si="381"/>
        <v>0</v>
      </c>
      <c r="Q2722" s="71">
        <f t="shared" si="382"/>
        <v>0</v>
      </c>
      <c r="R2722" s="71">
        <f t="shared" si="383"/>
        <v>0</v>
      </c>
      <c r="S2722" s="71">
        <f t="shared" si="384"/>
        <v>0</v>
      </c>
      <c r="T2722" s="71">
        <f t="shared" si="385"/>
        <v>0</v>
      </c>
      <c r="U2722" s="71">
        <f>IF(AND(N2722=1,V2722=1),IF(COUNTIFS(AKTIVITAS!$B$2:$B$3052,B2722,AKTIVITAS!$E$2:$E$3052,H2722)&gt;0,1,0),0)</f>
        <v>0</v>
      </c>
      <c r="V2722" s="71">
        <f>IFERROR(IF(AND(H2722&gt;=INDEX(PEMAGANG!$J$3:$J$36,MATCH(B2722,PEMAGANG!$C$3:$C$36,0)),H2722&lt;=INDEX(PEMAGANG!$K$3:$K$36,MATCH(B2722,PEMAGANG!$C$3:$C$36,0))),1,0),0)</f>
        <v>0</v>
      </c>
      <c r="W2722" s="71">
        <f t="shared" si="386"/>
        <v>0</v>
      </c>
    </row>
    <row r="2723" spans="1:23" x14ac:dyDescent="0.2">
      <c r="A2723" s="71" t="s">
        <v>673</v>
      </c>
      <c r="B2723" s="71" t="s">
        <v>674</v>
      </c>
      <c r="C2723" s="71" t="s">
        <v>187</v>
      </c>
      <c r="D2723" s="71" t="s">
        <v>421</v>
      </c>
      <c r="E2723" s="71" t="s">
        <v>422</v>
      </c>
      <c r="F2723" s="71" t="s">
        <v>298</v>
      </c>
      <c r="G2723" s="88">
        <v>46281.231412036999</v>
      </c>
      <c r="H2723" s="89">
        <v>46281</v>
      </c>
      <c r="I2723" s="71" t="s">
        <v>686</v>
      </c>
      <c r="J2723" s="71">
        <v>-117</v>
      </c>
      <c r="K2723" s="71" t="s">
        <v>302</v>
      </c>
      <c r="L2723" s="71">
        <f t="shared" si="378"/>
        <v>9</v>
      </c>
      <c r="M2723" s="71" t="str">
        <f>IFERROR(INDEX(KALENDER!$D$3:$D$132,MATCH(H2723,KALENDER!$A$3:$A$132,0)),"Di luar periode")</f>
        <v>Hari Kerja</v>
      </c>
      <c r="N2723" s="71">
        <f t="shared" si="379"/>
        <v>1</v>
      </c>
      <c r="O2723" s="71">
        <f t="shared" si="380"/>
        <v>1</v>
      </c>
      <c r="P2723" s="71">
        <f t="shared" si="381"/>
        <v>0</v>
      </c>
      <c r="Q2723" s="71">
        <f t="shared" si="382"/>
        <v>1</v>
      </c>
      <c r="R2723" s="71">
        <f t="shared" si="383"/>
        <v>0</v>
      </c>
      <c r="S2723" s="71">
        <f t="shared" si="384"/>
        <v>0</v>
      </c>
      <c r="T2723" s="71">
        <f t="shared" si="385"/>
        <v>0</v>
      </c>
      <c r="U2723" s="71">
        <f>IF(AND(N2723=1,V2723=1),IF(COUNTIFS(AKTIVITAS!$B$2:$B$3052,B2723,AKTIVITAS!$E$2:$E$3052,H2723)&gt;0,1,0),0)</f>
        <v>0</v>
      </c>
      <c r="V2723" s="71">
        <f>IFERROR(IF(AND(H2723&gt;=INDEX(PEMAGANG!$J$3:$J$36,MATCH(B2723,PEMAGANG!$C$3:$C$36,0)),H2723&lt;=INDEX(PEMAGANG!$K$3:$K$36,MATCH(B2723,PEMAGANG!$C$3:$C$36,0))),1,0),0)</f>
        <v>0</v>
      </c>
      <c r="W2723" s="71">
        <f t="shared" si="386"/>
        <v>0</v>
      </c>
    </row>
    <row r="2724" spans="1:23" x14ac:dyDescent="0.2">
      <c r="A2724" s="71" t="s">
        <v>673</v>
      </c>
      <c r="B2724" s="71" t="s">
        <v>674</v>
      </c>
      <c r="C2724" s="71" t="s">
        <v>187</v>
      </c>
      <c r="D2724" s="71" t="s">
        <v>421</v>
      </c>
      <c r="E2724" s="71" t="s">
        <v>422</v>
      </c>
      <c r="F2724" s="71" t="s">
        <v>300</v>
      </c>
      <c r="G2724" s="88">
        <v>46281.689305555599</v>
      </c>
      <c r="H2724" s="89">
        <v>46281</v>
      </c>
      <c r="I2724" s="71" t="s">
        <v>306</v>
      </c>
      <c r="J2724" s="71">
        <v>0</v>
      </c>
      <c r="K2724" s="71" t="s">
        <v>302</v>
      </c>
      <c r="L2724" s="71">
        <f t="shared" si="378"/>
        <v>9</v>
      </c>
      <c r="M2724" s="71" t="str">
        <f>IFERROR(INDEX(KALENDER!$D$3:$D$132,MATCH(H2724,KALENDER!$A$3:$A$132,0)),"Di luar periode")</f>
        <v>Hari Kerja</v>
      </c>
      <c r="N2724" s="71">
        <f t="shared" si="379"/>
        <v>0</v>
      </c>
      <c r="O2724" s="71">
        <f t="shared" si="380"/>
        <v>1</v>
      </c>
      <c r="P2724" s="71">
        <f t="shared" si="381"/>
        <v>0</v>
      </c>
      <c r="Q2724" s="71">
        <f t="shared" si="382"/>
        <v>0</v>
      </c>
      <c r="R2724" s="71">
        <f t="shared" si="383"/>
        <v>0</v>
      </c>
      <c r="S2724" s="71">
        <f t="shared" si="384"/>
        <v>0</v>
      </c>
      <c r="T2724" s="71">
        <f t="shared" si="385"/>
        <v>0</v>
      </c>
      <c r="U2724" s="71">
        <f>IF(AND(N2724=1,V2724=1),IF(COUNTIFS(AKTIVITAS!$B$2:$B$3052,B2724,AKTIVITAS!$E$2:$E$3052,H2724)&gt;0,1,0),0)</f>
        <v>0</v>
      </c>
      <c r="V2724" s="71">
        <f>IFERROR(IF(AND(H2724&gt;=INDEX(PEMAGANG!$J$3:$J$36,MATCH(B2724,PEMAGANG!$C$3:$C$36,0)),H2724&lt;=INDEX(PEMAGANG!$K$3:$K$36,MATCH(B2724,PEMAGANG!$C$3:$C$36,0))),1,0),0)</f>
        <v>0</v>
      </c>
      <c r="W2724" s="71">
        <f t="shared" si="386"/>
        <v>0</v>
      </c>
    </row>
    <row r="2725" spans="1:23" x14ac:dyDescent="0.2">
      <c r="A2725" s="71" t="s">
        <v>673</v>
      </c>
      <c r="B2725" s="71" t="s">
        <v>674</v>
      </c>
      <c r="C2725" s="71" t="s">
        <v>187</v>
      </c>
      <c r="D2725" s="71" t="s">
        <v>421</v>
      </c>
      <c r="E2725" s="71" t="s">
        <v>422</v>
      </c>
      <c r="F2725" s="71" t="s">
        <v>300</v>
      </c>
      <c r="G2725" s="88">
        <v>46282.698159722197</v>
      </c>
      <c r="H2725" s="89">
        <v>46282</v>
      </c>
      <c r="I2725" s="71" t="s">
        <v>318</v>
      </c>
      <c r="J2725" s="71">
        <v>0</v>
      </c>
      <c r="K2725" s="71" t="s">
        <v>302</v>
      </c>
      <c r="L2725" s="71">
        <f t="shared" si="378"/>
        <v>9</v>
      </c>
      <c r="M2725" s="71" t="str">
        <f>IFERROR(INDEX(KALENDER!$D$3:$D$132,MATCH(H2725,KALENDER!$A$3:$A$132,0)),"Di luar periode")</f>
        <v>Hari Kerja</v>
      </c>
      <c r="N2725" s="71">
        <f t="shared" si="379"/>
        <v>1</v>
      </c>
      <c r="O2725" s="71">
        <f t="shared" si="380"/>
        <v>0</v>
      </c>
      <c r="P2725" s="71">
        <f t="shared" si="381"/>
        <v>0</v>
      </c>
      <c r="Q2725" s="71">
        <f t="shared" si="382"/>
        <v>1</v>
      </c>
      <c r="R2725" s="71">
        <f t="shared" si="383"/>
        <v>0</v>
      </c>
      <c r="S2725" s="71">
        <f t="shared" si="384"/>
        <v>0</v>
      </c>
      <c r="T2725" s="71">
        <f t="shared" si="385"/>
        <v>0</v>
      </c>
      <c r="U2725" s="71">
        <f>IF(AND(N2725=1,V2725=1),IF(COUNTIFS(AKTIVITAS!$B$2:$B$3052,B2725,AKTIVITAS!$E$2:$E$3052,H2725)&gt;0,1,0),0)</f>
        <v>0</v>
      </c>
      <c r="V2725" s="71">
        <f>IFERROR(IF(AND(H2725&gt;=INDEX(PEMAGANG!$J$3:$J$36,MATCH(B2725,PEMAGANG!$C$3:$C$36,0)),H2725&lt;=INDEX(PEMAGANG!$K$3:$K$36,MATCH(B2725,PEMAGANG!$C$3:$C$36,0))),1,0),0)</f>
        <v>0</v>
      </c>
      <c r="W2725" s="71">
        <f t="shared" si="386"/>
        <v>0</v>
      </c>
    </row>
    <row r="2726" spans="1:23" x14ac:dyDescent="0.2">
      <c r="A2726" s="71" t="s">
        <v>673</v>
      </c>
      <c r="B2726" s="71" t="s">
        <v>674</v>
      </c>
      <c r="C2726" s="71" t="s">
        <v>187</v>
      </c>
      <c r="D2726" s="71" t="s">
        <v>421</v>
      </c>
      <c r="E2726" s="71" t="s">
        <v>422</v>
      </c>
      <c r="F2726" s="71" t="s">
        <v>298</v>
      </c>
      <c r="G2726" s="88">
        <v>46283.238414351901</v>
      </c>
      <c r="H2726" s="89">
        <v>46283</v>
      </c>
      <c r="I2726" s="71" t="s">
        <v>683</v>
      </c>
      <c r="J2726" s="71">
        <v>-107</v>
      </c>
      <c r="K2726" s="71" t="s">
        <v>302</v>
      </c>
      <c r="L2726" s="71">
        <f t="shared" si="378"/>
        <v>9</v>
      </c>
      <c r="M2726" s="71" t="str">
        <f>IFERROR(INDEX(KALENDER!$D$3:$D$132,MATCH(H2726,KALENDER!$A$3:$A$132,0)),"Di luar periode")</f>
        <v>Hari Kerja</v>
      </c>
      <c r="N2726" s="71">
        <f t="shared" si="379"/>
        <v>1</v>
      </c>
      <c r="O2726" s="71">
        <f t="shared" si="380"/>
        <v>1</v>
      </c>
      <c r="P2726" s="71">
        <f t="shared" si="381"/>
        <v>0</v>
      </c>
      <c r="Q2726" s="71">
        <f t="shared" si="382"/>
        <v>1</v>
      </c>
      <c r="R2726" s="71">
        <f t="shared" si="383"/>
        <v>0</v>
      </c>
      <c r="S2726" s="71">
        <f t="shared" si="384"/>
        <v>0</v>
      </c>
      <c r="T2726" s="71">
        <f t="shared" si="385"/>
        <v>0</v>
      </c>
      <c r="U2726" s="71">
        <f>IF(AND(N2726=1,V2726=1),IF(COUNTIFS(AKTIVITAS!$B$2:$B$3052,B2726,AKTIVITAS!$E$2:$E$3052,H2726)&gt;0,1,0),0)</f>
        <v>0</v>
      </c>
      <c r="V2726" s="71">
        <f>IFERROR(IF(AND(H2726&gt;=INDEX(PEMAGANG!$J$3:$J$36,MATCH(B2726,PEMAGANG!$C$3:$C$36,0)),H2726&lt;=INDEX(PEMAGANG!$K$3:$K$36,MATCH(B2726,PEMAGANG!$C$3:$C$36,0))),1,0),0)</f>
        <v>0</v>
      </c>
      <c r="W2726" s="71">
        <f t="shared" si="386"/>
        <v>0</v>
      </c>
    </row>
    <row r="2727" spans="1:23" x14ac:dyDescent="0.2">
      <c r="A2727" s="71" t="s">
        <v>673</v>
      </c>
      <c r="B2727" s="71" t="s">
        <v>674</v>
      </c>
      <c r="C2727" s="71" t="s">
        <v>187</v>
      </c>
      <c r="D2727" s="71" t="s">
        <v>421</v>
      </c>
      <c r="E2727" s="71" t="s">
        <v>422</v>
      </c>
      <c r="F2727" s="71" t="s">
        <v>300</v>
      </c>
      <c r="G2727" s="88">
        <v>46283.709247685198</v>
      </c>
      <c r="H2727" s="89">
        <v>46283</v>
      </c>
      <c r="I2727" s="71" t="s">
        <v>333</v>
      </c>
      <c r="J2727" s="71">
        <v>0</v>
      </c>
      <c r="K2727" s="71" t="s">
        <v>302</v>
      </c>
      <c r="L2727" s="71">
        <f t="shared" si="378"/>
        <v>9</v>
      </c>
      <c r="M2727" s="71" t="str">
        <f>IFERROR(INDEX(KALENDER!$D$3:$D$132,MATCH(H2727,KALENDER!$A$3:$A$132,0)),"Di luar periode")</f>
        <v>Hari Kerja</v>
      </c>
      <c r="N2727" s="71">
        <f t="shared" si="379"/>
        <v>0</v>
      </c>
      <c r="O2727" s="71">
        <f t="shared" si="380"/>
        <v>1</v>
      </c>
      <c r="P2727" s="71">
        <f t="shared" si="381"/>
        <v>0</v>
      </c>
      <c r="Q2727" s="71">
        <f t="shared" si="382"/>
        <v>0</v>
      </c>
      <c r="R2727" s="71">
        <f t="shared" si="383"/>
        <v>0</v>
      </c>
      <c r="S2727" s="71">
        <f t="shared" si="384"/>
        <v>0</v>
      </c>
      <c r="T2727" s="71">
        <f t="shared" si="385"/>
        <v>0</v>
      </c>
      <c r="U2727" s="71">
        <f>IF(AND(N2727=1,V2727=1),IF(COUNTIFS(AKTIVITAS!$B$2:$B$3052,B2727,AKTIVITAS!$E$2:$E$3052,H2727)&gt;0,1,0),0)</f>
        <v>0</v>
      </c>
      <c r="V2727" s="71">
        <f>IFERROR(IF(AND(H2727&gt;=INDEX(PEMAGANG!$J$3:$J$36,MATCH(B2727,PEMAGANG!$C$3:$C$36,0)),H2727&lt;=INDEX(PEMAGANG!$K$3:$K$36,MATCH(B2727,PEMAGANG!$C$3:$C$36,0))),1,0),0)</f>
        <v>0</v>
      </c>
      <c r="W2727" s="71">
        <f t="shared" si="386"/>
        <v>0</v>
      </c>
    </row>
    <row r="2728" spans="1:23" x14ac:dyDescent="0.2">
      <c r="A2728" s="71" t="s">
        <v>673</v>
      </c>
      <c r="B2728" s="71" t="s">
        <v>674</v>
      </c>
      <c r="C2728" s="71" t="s">
        <v>187</v>
      </c>
      <c r="D2728" s="71" t="s">
        <v>421</v>
      </c>
      <c r="E2728" s="71" t="s">
        <v>422</v>
      </c>
      <c r="F2728" s="71" t="s">
        <v>298</v>
      </c>
      <c r="G2728" s="88">
        <v>46286.231273148202</v>
      </c>
      <c r="H2728" s="89">
        <v>46286</v>
      </c>
      <c r="I2728" s="71" t="s">
        <v>686</v>
      </c>
      <c r="J2728" s="71">
        <v>-117</v>
      </c>
      <c r="K2728" s="71" t="s">
        <v>302</v>
      </c>
      <c r="L2728" s="71">
        <f t="shared" si="378"/>
        <v>9</v>
      </c>
      <c r="M2728" s="71" t="str">
        <f>IFERROR(INDEX(KALENDER!$D$3:$D$132,MATCH(H2728,KALENDER!$A$3:$A$132,0)),"Di luar periode")</f>
        <v>Hari Kerja</v>
      </c>
      <c r="N2728" s="71">
        <f t="shared" si="379"/>
        <v>1</v>
      </c>
      <c r="O2728" s="71">
        <f t="shared" si="380"/>
        <v>1</v>
      </c>
      <c r="P2728" s="71">
        <f t="shared" si="381"/>
        <v>0</v>
      </c>
      <c r="Q2728" s="71">
        <f t="shared" si="382"/>
        <v>1</v>
      </c>
      <c r="R2728" s="71">
        <f t="shared" si="383"/>
        <v>0</v>
      </c>
      <c r="S2728" s="71">
        <f t="shared" si="384"/>
        <v>0</v>
      </c>
      <c r="T2728" s="71">
        <f t="shared" si="385"/>
        <v>0</v>
      </c>
      <c r="U2728" s="71">
        <f>IF(AND(N2728=1,V2728=1),IF(COUNTIFS(AKTIVITAS!$B$2:$B$3052,B2728,AKTIVITAS!$E$2:$E$3052,H2728)&gt;0,1,0),0)</f>
        <v>0</v>
      </c>
      <c r="V2728" s="71">
        <f>IFERROR(IF(AND(H2728&gt;=INDEX(PEMAGANG!$J$3:$J$36,MATCH(B2728,PEMAGANG!$C$3:$C$36,0)),H2728&lt;=INDEX(PEMAGANG!$K$3:$K$36,MATCH(B2728,PEMAGANG!$C$3:$C$36,0))),1,0),0)</f>
        <v>0</v>
      </c>
      <c r="W2728" s="71">
        <f t="shared" si="386"/>
        <v>0</v>
      </c>
    </row>
    <row r="2729" spans="1:23" x14ac:dyDescent="0.2">
      <c r="A2729" s="71" t="s">
        <v>673</v>
      </c>
      <c r="B2729" s="71" t="s">
        <v>674</v>
      </c>
      <c r="C2729" s="71" t="s">
        <v>187</v>
      </c>
      <c r="D2729" s="71" t="s">
        <v>421</v>
      </c>
      <c r="E2729" s="71" t="s">
        <v>422</v>
      </c>
      <c r="F2729" s="71" t="s">
        <v>300</v>
      </c>
      <c r="G2729" s="88">
        <v>46286.709386574097</v>
      </c>
      <c r="H2729" s="89">
        <v>46286</v>
      </c>
      <c r="I2729" s="71" t="s">
        <v>333</v>
      </c>
      <c r="J2729" s="71">
        <v>0</v>
      </c>
      <c r="K2729" s="71" t="s">
        <v>302</v>
      </c>
      <c r="L2729" s="71">
        <f t="shared" si="378"/>
        <v>9</v>
      </c>
      <c r="M2729" s="71" t="str">
        <f>IFERROR(INDEX(KALENDER!$D$3:$D$132,MATCH(H2729,KALENDER!$A$3:$A$132,0)),"Di luar periode")</f>
        <v>Hari Kerja</v>
      </c>
      <c r="N2729" s="71">
        <f t="shared" si="379"/>
        <v>0</v>
      </c>
      <c r="O2729" s="71">
        <f t="shared" si="380"/>
        <v>1</v>
      </c>
      <c r="P2729" s="71">
        <f t="shared" si="381"/>
        <v>0</v>
      </c>
      <c r="Q2729" s="71">
        <f t="shared" si="382"/>
        <v>0</v>
      </c>
      <c r="R2729" s="71">
        <f t="shared" si="383"/>
        <v>0</v>
      </c>
      <c r="S2729" s="71">
        <f t="shared" si="384"/>
        <v>0</v>
      </c>
      <c r="T2729" s="71">
        <f t="shared" si="385"/>
        <v>0</v>
      </c>
      <c r="U2729" s="71">
        <f>IF(AND(N2729=1,V2729=1),IF(COUNTIFS(AKTIVITAS!$B$2:$B$3052,B2729,AKTIVITAS!$E$2:$E$3052,H2729)&gt;0,1,0),0)</f>
        <v>0</v>
      </c>
      <c r="V2729" s="71">
        <f>IFERROR(IF(AND(H2729&gt;=INDEX(PEMAGANG!$J$3:$J$36,MATCH(B2729,PEMAGANG!$C$3:$C$36,0)),H2729&lt;=INDEX(PEMAGANG!$K$3:$K$36,MATCH(B2729,PEMAGANG!$C$3:$C$36,0))),1,0),0)</f>
        <v>0</v>
      </c>
      <c r="W2729" s="71">
        <f t="shared" si="386"/>
        <v>0</v>
      </c>
    </row>
    <row r="2730" spans="1:23" x14ac:dyDescent="0.2">
      <c r="A2730" s="71" t="s">
        <v>673</v>
      </c>
      <c r="B2730" s="71" t="s">
        <v>674</v>
      </c>
      <c r="C2730" s="71" t="s">
        <v>187</v>
      </c>
      <c r="D2730" s="71" t="s">
        <v>421</v>
      </c>
      <c r="E2730" s="71" t="s">
        <v>422</v>
      </c>
      <c r="F2730" s="71" t="s">
        <v>298</v>
      </c>
      <c r="G2730" s="88">
        <v>46287.260497685202</v>
      </c>
      <c r="H2730" s="89">
        <v>46287</v>
      </c>
      <c r="I2730" s="71" t="s">
        <v>435</v>
      </c>
      <c r="J2730" s="71">
        <v>-75</v>
      </c>
      <c r="K2730" s="71" t="s">
        <v>302</v>
      </c>
      <c r="L2730" s="71">
        <f t="shared" si="378"/>
        <v>9</v>
      </c>
      <c r="M2730" s="71" t="str">
        <f>IFERROR(INDEX(KALENDER!$D$3:$D$132,MATCH(H2730,KALENDER!$A$3:$A$132,0)),"Di luar periode")</f>
        <v>Hari Kerja</v>
      </c>
      <c r="N2730" s="71">
        <f t="shared" si="379"/>
        <v>1</v>
      </c>
      <c r="O2730" s="71">
        <f t="shared" si="380"/>
        <v>1</v>
      </c>
      <c r="P2730" s="71">
        <f t="shared" si="381"/>
        <v>0</v>
      </c>
      <c r="Q2730" s="71">
        <f t="shared" si="382"/>
        <v>1</v>
      </c>
      <c r="R2730" s="71">
        <f t="shared" si="383"/>
        <v>0</v>
      </c>
      <c r="S2730" s="71">
        <f t="shared" si="384"/>
        <v>0</v>
      </c>
      <c r="T2730" s="71">
        <f t="shared" si="385"/>
        <v>0</v>
      </c>
      <c r="U2730" s="71">
        <f>IF(AND(N2730=1,V2730=1),IF(COUNTIFS(AKTIVITAS!$B$2:$B$3052,B2730,AKTIVITAS!$E$2:$E$3052,H2730)&gt;0,1,0),0)</f>
        <v>0</v>
      </c>
      <c r="V2730" s="71">
        <f>IFERROR(IF(AND(H2730&gt;=INDEX(PEMAGANG!$J$3:$J$36,MATCH(B2730,PEMAGANG!$C$3:$C$36,0)),H2730&lt;=INDEX(PEMAGANG!$K$3:$K$36,MATCH(B2730,PEMAGANG!$C$3:$C$36,0))),1,0),0)</f>
        <v>0</v>
      </c>
      <c r="W2730" s="71">
        <f t="shared" si="386"/>
        <v>0</v>
      </c>
    </row>
    <row r="2731" spans="1:23" x14ac:dyDescent="0.2">
      <c r="A2731" s="71" t="s">
        <v>673</v>
      </c>
      <c r="B2731" s="71" t="s">
        <v>674</v>
      </c>
      <c r="C2731" s="71" t="s">
        <v>187</v>
      </c>
      <c r="D2731" s="71" t="s">
        <v>421</v>
      </c>
      <c r="E2731" s="71" t="s">
        <v>422</v>
      </c>
      <c r="F2731" s="71" t="s">
        <v>300</v>
      </c>
      <c r="G2731" s="88">
        <v>46287.709918981498</v>
      </c>
      <c r="H2731" s="89">
        <v>46287</v>
      </c>
      <c r="I2731" s="71" t="s">
        <v>436</v>
      </c>
      <c r="J2731" s="71">
        <v>0</v>
      </c>
      <c r="K2731" s="71" t="s">
        <v>302</v>
      </c>
      <c r="L2731" s="71">
        <f t="shared" si="378"/>
        <v>9</v>
      </c>
      <c r="M2731" s="71" t="str">
        <f>IFERROR(INDEX(KALENDER!$D$3:$D$132,MATCH(H2731,KALENDER!$A$3:$A$132,0)),"Di luar periode")</f>
        <v>Hari Kerja</v>
      </c>
      <c r="N2731" s="71">
        <f t="shared" si="379"/>
        <v>0</v>
      </c>
      <c r="O2731" s="71">
        <f t="shared" si="380"/>
        <v>1</v>
      </c>
      <c r="P2731" s="71">
        <f t="shared" si="381"/>
        <v>0</v>
      </c>
      <c r="Q2731" s="71">
        <f t="shared" si="382"/>
        <v>0</v>
      </c>
      <c r="R2731" s="71">
        <f t="shared" si="383"/>
        <v>0</v>
      </c>
      <c r="S2731" s="71">
        <f t="shared" si="384"/>
        <v>0</v>
      </c>
      <c r="T2731" s="71">
        <f t="shared" si="385"/>
        <v>0</v>
      </c>
      <c r="U2731" s="71">
        <f>IF(AND(N2731=1,V2731=1),IF(COUNTIFS(AKTIVITAS!$B$2:$B$3052,B2731,AKTIVITAS!$E$2:$E$3052,H2731)&gt;0,1,0),0)</f>
        <v>0</v>
      </c>
      <c r="V2731" s="71">
        <f>IFERROR(IF(AND(H2731&gt;=INDEX(PEMAGANG!$J$3:$J$36,MATCH(B2731,PEMAGANG!$C$3:$C$36,0)),H2731&lt;=INDEX(PEMAGANG!$K$3:$K$36,MATCH(B2731,PEMAGANG!$C$3:$C$36,0))),1,0),0)</f>
        <v>0</v>
      </c>
      <c r="W2731" s="71">
        <f t="shared" si="386"/>
        <v>0</v>
      </c>
    </row>
    <row r="2732" spans="1:23" x14ac:dyDescent="0.2">
      <c r="A2732" s="71" t="s">
        <v>673</v>
      </c>
      <c r="B2732" s="71" t="s">
        <v>674</v>
      </c>
      <c r="C2732" s="71" t="s">
        <v>187</v>
      </c>
      <c r="D2732" s="71" t="s">
        <v>421</v>
      </c>
      <c r="E2732" s="71" t="s">
        <v>422</v>
      </c>
      <c r="F2732" s="71" t="s">
        <v>298</v>
      </c>
      <c r="G2732" s="88">
        <v>46288.233321759297</v>
      </c>
      <c r="H2732" s="89">
        <v>46288</v>
      </c>
      <c r="I2732" s="71" t="s">
        <v>687</v>
      </c>
      <c r="J2732" s="71">
        <v>-115</v>
      </c>
      <c r="K2732" s="71" t="s">
        <v>302</v>
      </c>
      <c r="L2732" s="71">
        <f t="shared" si="378"/>
        <v>9</v>
      </c>
      <c r="M2732" s="71" t="str">
        <f>IFERROR(INDEX(KALENDER!$D$3:$D$132,MATCH(H2732,KALENDER!$A$3:$A$132,0)),"Di luar periode")</f>
        <v>Hari Kerja</v>
      </c>
      <c r="N2732" s="71">
        <f t="shared" si="379"/>
        <v>1</v>
      </c>
      <c r="O2732" s="71">
        <f t="shared" si="380"/>
        <v>1</v>
      </c>
      <c r="P2732" s="71">
        <f t="shared" si="381"/>
        <v>0</v>
      </c>
      <c r="Q2732" s="71">
        <f t="shared" si="382"/>
        <v>1</v>
      </c>
      <c r="R2732" s="71">
        <f t="shared" si="383"/>
        <v>0</v>
      </c>
      <c r="S2732" s="71">
        <f t="shared" si="384"/>
        <v>0</v>
      </c>
      <c r="T2732" s="71">
        <f t="shared" si="385"/>
        <v>0</v>
      </c>
      <c r="U2732" s="71">
        <f>IF(AND(N2732=1,V2732=1),IF(COUNTIFS(AKTIVITAS!$B$2:$B$3052,B2732,AKTIVITAS!$E$2:$E$3052,H2732)&gt;0,1,0),0)</f>
        <v>0</v>
      </c>
      <c r="V2732" s="71">
        <f>IFERROR(IF(AND(H2732&gt;=INDEX(PEMAGANG!$J$3:$J$36,MATCH(B2732,PEMAGANG!$C$3:$C$36,0)),H2732&lt;=INDEX(PEMAGANG!$K$3:$K$36,MATCH(B2732,PEMAGANG!$C$3:$C$36,0))),1,0),0)</f>
        <v>0</v>
      </c>
      <c r="W2732" s="71">
        <f t="shared" si="386"/>
        <v>0</v>
      </c>
    </row>
    <row r="2733" spans="1:23" x14ac:dyDescent="0.2">
      <c r="A2733" s="71" t="s">
        <v>673</v>
      </c>
      <c r="B2733" s="71" t="s">
        <v>674</v>
      </c>
      <c r="C2733" s="71" t="s">
        <v>187</v>
      </c>
      <c r="D2733" s="71" t="s">
        <v>421</v>
      </c>
      <c r="E2733" s="71" t="s">
        <v>422</v>
      </c>
      <c r="F2733" s="71" t="s">
        <v>300</v>
      </c>
      <c r="G2733" s="88">
        <v>46288.702118055597</v>
      </c>
      <c r="H2733" s="89">
        <v>46288</v>
      </c>
      <c r="I2733" s="71" t="s">
        <v>323</v>
      </c>
      <c r="J2733" s="71">
        <v>0</v>
      </c>
      <c r="K2733" s="71" t="s">
        <v>302</v>
      </c>
      <c r="L2733" s="71">
        <f t="shared" si="378"/>
        <v>9</v>
      </c>
      <c r="M2733" s="71" t="str">
        <f>IFERROR(INDEX(KALENDER!$D$3:$D$132,MATCH(H2733,KALENDER!$A$3:$A$132,0)),"Di luar periode")</f>
        <v>Hari Kerja</v>
      </c>
      <c r="N2733" s="71">
        <f t="shared" si="379"/>
        <v>0</v>
      </c>
      <c r="O2733" s="71">
        <f t="shared" si="380"/>
        <v>1</v>
      </c>
      <c r="P2733" s="71">
        <f t="shared" si="381"/>
        <v>0</v>
      </c>
      <c r="Q2733" s="71">
        <f t="shared" si="382"/>
        <v>0</v>
      </c>
      <c r="R2733" s="71">
        <f t="shared" si="383"/>
        <v>0</v>
      </c>
      <c r="S2733" s="71">
        <f t="shared" si="384"/>
        <v>0</v>
      </c>
      <c r="T2733" s="71">
        <f t="shared" si="385"/>
        <v>0</v>
      </c>
      <c r="U2733" s="71">
        <f>IF(AND(N2733=1,V2733=1),IF(COUNTIFS(AKTIVITAS!$B$2:$B$3052,B2733,AKTIVITAS!$E$2:$E$3052,H2733)&gt;0,1,0),0)</f>
        <v>0</v>
      </c>
      <c r="V2733" s="71">
        <f>IFERROR(IF(AND(H2733&gt;=INDEX(PEMAGANG!$J$3:$J$36,MATCH(B2733,PEMAGANG!$C$3:$C$36,0)),H2733&lt;=INDEX(PEMAGANG!$K$3:$K$36,MATCH(B2733,PEMAGANG!$C$3:$C$36,0))),1,0),0)</f>
        <v>0</v>
      </c>
      <c r="W2733" s="71">
        <f t="shared" si="386"/>
        <v>0</v>
      </c>
    </row>
    <row r="2734" spans="1:23" x14ac:dyDescent="0.2">
      <c r="A2734" s="71" t="s">
        <v>673</v>
      </c>
      <c r="B2734" s="71" t="s">
        <v>674</v>
      </c>
      <c r="C2734" s="71" t="s">
        <v>187</v>
      </c>
      <c r="D2734" s="71" t="s">
        <v>421</v>
      </c>
      <c r="E2734" s="71" t="s">
        <v>422</v>
      </c>
      <c r="F2734" s="71" t="s">
        <v>298</v>
      </c>
      <c r="G2734" s="88">
        <v>46289.236053240696</v>
      </c>
      <c r="H2734" s="89">
        <v>46289</v>
      </c>
      <c r="I2734" s="71" t="s">
        <v>688</v>
      </c>
      <c r="J2734" s="71">
        <v>-111</v>
      </c>
      <c r="K2734" s="71" t="s">
        <v>302</v>
      </c>
      <c r="L2734" s="71">
        <f t="shared" si="378"/>
        <v>9</v>
      </c>
      <c r="M2734" s="71" t="str">
        <f>IFERROR(INDEX(KALENDER!$D$3:$D$132,MATCH(H2734,KALENDER!$A$3:$A$132,0)),"Di luar periode")</f>
        <v>Hari Kerja</v>
      </c>
      <c r="N2734" s="71">
        <f t="shared" si="379"/>
        <v>1</v>
      </c>
      <c r="O2734" s="71">
        <f t="shared" si="380"/>
        <v>1</v>
      </c>
      <c r="P2734" s="71">
        <f t="shared" si="381"/>
        <v>0</v>
      </c>
      <c r="Q2734" s="71">
        <f t="shared" si="382"/>
        <v>1</v>
      </c>
      <c r="R2734" s="71">
        <f t="shared" si="383"/>
        <v>0</v>
      </c>
      <c r="S2734" s="71">
        <f t="shared" si="384"/>
        <v>0</v>
      </c>
      <c r="T2734" s="71">
        <f t="shared" si="385"/>
        <v>0</v>
      </c>
      <c r="U2734" s="71">
        <f>IF(AND(N2734=1,V2734=1),IF(COUNTIFS(AKTIVITAS!$B$2:$B$3052,B2734,AKTIVITAS!$E$2:$E$3052,H2734)&gt;0,1,0),0)</f>
        <v>0</v>
      </c>
      <c r="V2734" s="71">
        <f>IFERROR(IF(AND(H2734&gt;=INDEX(PEMAGANG!$J$3:$J$36,MATCH(B2734,PEMAGANG!$C$3:$C$36,0)),H2734&lt;=INDEX(PEMAGANG!$K$3:$K$36,MATCH(B2734,PEMAGANG!$C$3:$C$36,0))),1,0),0)</f>
        <v>0</v>
      </c>
      <c r="W2734" s="71">
        <f t="shared" si="386"/>
        <v>0</v>
      </c>
    </row>
    <row r="2735" spans="1:23" x14ac:dyDescent="0.2">
      <c r="A2735" s="71" t="s">
        <v>673</v>
      </c>
      <c r="B2735" s="71" t="s">
        <v>674</v>
      </c>
      <c r="C2735" s="71" t="s">
        <v>187</v>
      </c>
      <c r="D2735" s="71" t="s">
        <v>421</v>
      </c>
      <c r="E2735" s="71" t="s">
        <v>422</v>
      </c>
      <c r="F2735" s="71" t="s">
        <v>300</v>
      </c>
      <c r="G2735" s="88">
        <v>46289.702789351897</v>
      </c>
      <c r="H2735" s="89">
        <v>46289</v>
      </c>
      <c r="I2735" s="71" t="s">
        <v>325</v>
      </c>
      <c r="J2735" s="71">
        <v>0</v>
      </c>
      <c r="K2735" s="71" t="s">
        <v>302</v>
      </c>
      <c r="L2735" s="71">
        <f t="shared" si="378"/>
        <v>9</v>
      </c>
      <c r="M2735" s="71" t="str">
        <f>IFERROR(INDEX(KALENDER!$D$3:$D$132,MATCH(H2735,KALENDER!$A$3:$A$132,0)),"Di luar periode")</f>
        <v>Hari Kerja</v>
      </c>
      <c r="N2735" s="71">
        <f t="shared" si="379"/>
        <v>0</v>
      </c>
      <c r="O2735" s="71">
        <f t="shared" si="380"/>
        <v>1</v>
      </c>
      <c r="P2735" s="71">
        <f t="shared" si="381"/>
        <v>0</v>
      </c>
      <c r="Q2735" s="71">
        <f t="shared" si="382"/>
        <v>0</v>
      </c>
      <c r="R2735" s="71">
        <f t="shared" si="383"/>
        <v>0</v>
      </c>
      <c r="S2735" s="71">
        <f t="shared" si="384"/>
        <v>0</v>
      </c>
      <c r="T2735" s="71">
        <f t="shared" si="385"/>
        <v>0</v>
      </c>
      <c r="U2735" s="71">
        <f>IF(AND(N2735=1,V2735=1),IF(COUNTIFS(AKTIVITAS!$B$2:$B$3052,B2735,AKTIVITAS!$E$2:$E$3052,H2735)&gt;0,1,0),0)</f>
        <v>0</v>
      </c>
      <c r="V2735" s="71">
        <f>IFERROR(IF(AND(H2735&gt;=INDEX(PEMAGANG!$J$3:$J$36,MATCH(B2735,PEMAGANG!$C$3:$C$36,0)),H2735&lt;=INDEX(PEMAGANG!$K$3:$K$36,MATCH(B2735,PEMAGANG!$C$3:$C$36,0))),1,0),0)</f>
        <v>0</v>
      </c>
      <c r="W2735" s="71">
        <f t="shared" si="386"/>
        <v>0</v>
      </c>
    </row>
    <row r="2736" spans="1:23" x14ac:dyDescent="0.2">
      <c r="A2736" s="71" t="s">
        <v>673</v>
      </c>
      <c r="B2736" s="71" t="s">
        <v>674</v>
      </c>
      <c r="C2736" s="71" t="s">
        <v>187</v>
      </c>
      <c r="D2736" s="71" t="s">
        <v>421</v>
      </c>
      <c r="E2736" s="71" t="s">
        <v>422</v>
      </c>
      <c r="F2736" s="71" t="s">
        <v>298</v>
      </c>
      <c r="G2736" s="88">
        <v>46290.2452430556</v>
      </c>
      <c r="H2736" s="89">
        <v>46290</v>
      </c>
      <c r="I2736" s="71" t="s">
        <v>676</v>
      </c>
      <c r="J2736" s="71">
        <v>-97</v>
      </c>
      <c r="K2736" s="71" t="s">
        <v>302</v>
      </c>
      <c r="L2736" s="71">
        <f t="shared" si="378"/>
        <v>9</v>
      </c>
      <c r="M2736" s="71" t="str">
        <f>IFERROR(INDEX(KALENDER!$D$3:$D$132,MATCH(H2736,KALENDER!$A$3:$A$132,0)),"Di luar periode")</f>
        <v>Hari Kerja</v>
      </c>
      <c r="N2736" s="71">
        <f t="shared" si="379"/>
        <v>1</v>
      </c>
      <c r="O2736" s="71">
        <f t="shared" si="380"/>
        <v>1</v>
      </c>
      <c r="P2736" s="71">
        <f t="shared" si="381"/>
        <v>0</v>
      </c>
      <c r="Q2736" s="71">
        <f t="shared" si="382"/>
        <v>1</v>
      </c>
      <c r="R2736" s="71">
        <f t="shared" si="383"/>
        <v>0</v>
      </c>
      <c r="S2736" s="71">
        <f t="shared" si="384"/>
        <v>0</v>
      </c>
      <c r="T2736" s="71">
        <f t="shared" si="385"/>
        <v>0</v>
      </c>
      <c r="U2736" s="71">
        <f>IF(AND(N2736=1,V2736=1),IF(COUNTIFS(AKTIVITAS!$B$2:$B$3052,B2736,AKTIVITAS!$E$2:$E$3052,H2736)&gt;0,1,0),0)</f>
        <v>0</v>
      </c>
      <c r="V2736" s="71">
        <f>IFERROR(IF(AND(H2736&gt;=INDEX(PEMAGANG!$J$3:$J$36,MATCH(B2736,PEMAGANG!$C$3:$C$36,0)),H2736&lt;=INDEX(PEMAGANG!$K$3:$K$36,MATCH(B2736,PEMAGANG!$C$3:$C$36,0))),1,0),0)</f>
        <v>0</v>
      </c>
      <c r="W2736" s="71">
        <f t="shared" si="386"/>
        <v>0</v>
      </c>
    </row>
    <row r="2737" spans="1:23" x14ac:dyDescent="0.2">
      <c r="A2737" s="71" t="s">
        <v>673</v>
      </c>
      <c r="B2737" s="71" t="s">
        <v>674</v>
      </c>
      <c r="C2737" s="71" t="s">
        <v>187</v>
      </c>
      <c r="D2737" s="71" t="s">
        <v>421</v>
      </c>
      <c r="E2737" s="71" t="s">
        <v>422</v>
      </c>
      <c r="F2737" s="71" t="s">
        <v>300</v>
      </c>
      <c r="G2737" s="88">
        <v>46290.702280092599</v>
      </c>
      <c r="H2737" s="89">
        <v>46290</v>
      </c>
      <c r="I2737" s="71" t="s">
        <v>323</v>
      </c>
      <c r="J2737" s="71">
        <v>0</v>
      </c>
      <c r="K2737" s="71" t="s">
        <v>302</v>
      </c>
      <c r="L2737" s="71">
        <f t="shared" si="378"/>
        <v>9</v>
      </c>
      <c r="M2737" s="71" t="str">
        <f>IFERROR(INDEX(KALENDER!$D$3:$D$132,MATCH(H2737,KALENDER!$A$3:$A$132,0)),"Di luar periode")</f>
        <v>Hari Kerja</v>
      </c>
      <c r="N2737" s="71">
        <f t="shared" si="379"/>
        <v>0</v>
      </c>
      <c r="O2737" s="71">
        <f t="shared" si="380"/>
        <v>1</v>
      </c>
      <c r="P2737" s="71">
        <f t="shared" si="381"/>
        <v>0</v>
      </c>
      <c r="Q2737" s="71">
        <f t="shared" si="382"/>
        <v>0</v>
      </c>
      <c r="R2737" s="71">
        <f t="shared" si="383"/>
        <v>0</v>
      </c>
      <c r="S2737" s="71">
        <f t="shared" si="384"/>
        <v>0</v>
      </c>
      <c r="T2737" s="71">
        <f t="shared" si="385"/>
        <v>0</v>
      </c>
      <c r="U2737" s="71">
        <f>IF(AND(N2737=1,V2737=1),IF(COUNTIFS(AKTIVITAS!$B$2:$B$3052,B2737,AKTIVITAS!$E$2:$E$3052,H2737)&gt;0,1,0),0)</f>
        <v>0</v>
      </c>
      <c r="V2737" s="71">
        <f>IFERROR(IF(AND(H2737&gt;=INDEX(PEMAGANG!$J$3:$J$36,MATCH(B2737,PEMAGANG!$C$3:$C$36,0)),H2737&lt;=INDEX(PEMAGANG!$K$3:$K$36,MATCH(B2737,PEMAGANG!$C$3:$C$36,0))),1,0),0)</f>
        <v>0</v>
      </c>
      <c r="W2737" s="71">
        <f t="shared" si="386"/>
        <v>0</v>
      </c>
    </row>
    <row r="2738" spans="1:23" x14ac:dyDescent="0.2">
      <c r="A2738" s="71" t="s">
        <v>673</v>
      </c>
      <c r="B2738" s="71" t="s">
        <v>674</v>
      </c>
      <c r="C2738" s="71" t="s">
        <v>187</v>
      </c>
      <c r="D2738" s="71" t="s">
        <v>421</v>
      </c>
      <c r="E2738" s="71" t="s">
        <v>422</v>
      </c>
      <c r="F2738" s="71" t="s">
        <v>298</v>
      </c>
      <c r="G2738" s="88">
        <v>46293.235127314802</v>
      </c>
      <c r="H2738" s="89">
        <v>46293</v>
      </c>
      <c r="I2738" s="71" t="s">
        <v>689</v>
      </c>
      <c r="J2738" s="71">
        <v>-112</v>
      </c>
      <c r="K2738" s="71" t="s">
        <v>302</v>
      </c>
      <c r="L2738" s="71">
        <f t="shared" si="378"/>
        <v>9</v>
      </c>
      <c r="M2738" s="71" t="str">
        <f>IFERROR(INDEX(KALENDER!$D$3:$D$132,MATCH(H2738,KALENDER!$A$3:$A$132,0)),"Di luar periode")</f>
        <v>Hari Kerja</v>
      </c>
      <c r="N2738" s="71">
        <f t="shared" si="379"/>
        <v>1</v>
      </c>
      <c r="O2738" s="71">
        <f t="shared" si="380"/>
        <v>1</v>
      </c>
      <c r="P2738" s="71">
        <f t="shared" si="381"/>
        <v>0</v>
      </c>
      <c r="Q2738" s="71">
        <f t="shared" si="382"/>
        <v>1</v>
      </c>
      <c r="R2738" s="71">
        <f t="shared" si="383"/>
        <v>0</v>
      </c>
      <c r="S2738" s="71">
        <f t="shared" si="384"/>
        <v>0</v>
      </c>
      <c r="T2738" s="71">
        <f t="shared" si="385"/>
        <v>0</v>
      </c>
      <c r="U2738" s="71">
        <f>IF(AND(N2738=1,V2738=1),IF(COUNTIFS(AKTIVITAS!$B$2:$B$3052,B2738,AKTIVITAS!$E$2:$E$3052,H2738)&gt;0,1,0),0)</f>
        <v>0</v>
      </c>
      <c r="V2738" s="71">
        <f>IFERROR(IF(AND(H2738&gt;=INDEX(PEMAGANG!$J$3:$J$36,MATCH(B2738,PEMAGANG!$C$3:$C$36,0)),H2738&lt;=INDEX(PEMAGANG!$K$3:$K$36,MATCH(B2738,PEMAGANG!$C$3:$C$36,0))),1,0),0)</f>
        <v>0</v>
      </c>
      <c r="W2738" s="71">
        <f t="shared" si="386"/>
        <v>0</v>
      </c>
    </row>
    <row r="2739" spans="1:23" x14ac:dyDescent="0.2">
      <c r="A2739" s="71" t="s">
        <v>673</v>
      </c>
      <c r="B2739" s="71" t="s">
        <v>674</v>
      </c>
      <c r="C2739" s="71" t="s">
        <v>187</v>
      </c>
      <c r="D2739" s="71" t="s">
        <v>421</v>
      </c>
      <c r="E2739" s="71" t="s">
        <v>422</v>
      </c>
      <c r="F2739" s="71" t="s">
        <v>300</v>
      </c>
      <c r="G2739" s="88">
        <v>46293.708935185197</v>
      </c>
      <c r="H2739" s="89">
        <v>46293</v>
      </c>
      <c r="I2739" s="71" t="s">
        <v>350</v>
      </c>
      <c r="J2739" s="71">
        <v>0</v>
      </c>
      <c r="K2739" s="71" t="s">
        <v>302</v>
      </c>
      <c r="L2739" s="71">
        <f t="shared" si="378"/>
        <v>9</v>
      </c>
      <c r="M2739" s="71" t="str">
        <f>IFERROR(INDEX(KALENDER!$D$3:$D$132,MATCH(H2739,KALENDER!$A$3:$A$132,0)),"Di luar periode")</f>
        <v>Hari Kerja</v>
      </c>
      <c r="N2739" s="71">
        <f t="shared" si="379"/>
        <v>0</v>
      </c>
      <c r="O2739" s="71">
        <f t="shared" si="380"/>
        <v>1</v>
      </c>
      <c r="P2739" s="71">
        <f t="shared" si="381"/>
        <v>0</v>
      </c>
      <c r="Q2739" s="71">
        <f t="shared" si="382"/>
        <v>0</v>
      </c>
      <c r="R2739" s="71">
        <f t="shared" si="383"/>
        <v>0</v>
      </c>
      <c r="S2739" s="71">
        <f t="shared" si="384"/>
        <v>0</v>
      </c>
      <c r="T2739" s="71">
        <f t="shared" si="385"/>
        <v>0</v>
      </c>
      <c r="U2739" s="71">
        <f>IF(AND(N2739=1,V2739=1),IF(COUNTIFS(AKTIVITAS!$B$2:$B$3052,B2739,AKTIVITAS!$E$2:$E$3052,H2739)&gt;0,1,0),0)</f>
        <v>0</v>
      </c>
      <c r="V2739" s="71">
        <f>IFERROR(IF(AND(H2739&gt;=INDEX(PEMAGANG!$J$3:$J$36,MATCH(B2739,PEMAGANG!$C$3:$C$36,0)),H2739&lt;=INDEX(PEMAGANG!$K$3:$K$36,MATCH(B2739,PEMAGANG!$C$3:$C$36,0))),1,0),0)</f>
        <v>0</v>
      </c>
      <c r="W2739" s="71">
        <f t="shared" si="386"/>
        <v>0</v>
      </c>
    </row>
    <row r="2740" spans="1:23" x14ac:dyDescent="0.2">
      <c r="A2740" s="71" t="s">
        <v>673</v>
      </c>
      <c r="B2740" s="71" t="s">
        <v>674</v>
      </c>
      <c r="C2740" s="71" t="s">
        <v>187</v>
      </c>
      <c r="D2740" s="71" t="s">
        <v>421</v>
      </c>
      <c r="E2740" s="71" t="s">
        <v>422</v>
      </c>
      <c r="F2740" s="71" t="s">
        <v>298</v>
      </c>
      <c r="G2740" s="88">
        <v>46294.234803240703</v>
      </c>
      <c r="H2740" s="89">
        <v>46294</v>
      </c>
      <c r="I2740" s="71" t="s">
        <v>689</v>
      </c>
      <c r="J2740" s="71">
        <v>-112</v>
      </c>
      <c r="K2740" s="71" t="s">
        <v>302</v>
      </c>
      <c r="L2740" s="71">
        <f t="shared" si="378"/>
        <v>9</v>
      </c>
      <c r="M2740" s="71" t="str">
        <f>IFERROR(INDEX(KALENDER!$D$3:$D$132,MATCH(H2740,KALENDER!$A$3:$A$132,0)),"Di luar periode")</f>
        <v>Hari Kerja</v>
      </c>
      <c r="N2740" s="71">
        <f t="shared" si="379"/>
        <v>1</v>
      </c>
      <c r="O2740" s="71">
        <f t="shared" si="380"/>
        <v>1</v>
      </c>
      <c r="P2740" s="71">
        <f t="shared" si="381"/>
        <v>0</v>
      </c>
      <c r="Q2740" s="71">
        <f t="shared" si="382"/>
        <v>1</v>
      </c>
      <c r="R2740" s="71">
        <f t="shared" si="383"/>
        <v>0</v>
      </c>
      <c r="S2740" s="71">
        <f t="shared" si="384"/>
        <v>0</v>
      </c>
      <c r="T2740" s="71">
        <f t="shared" si="385"/>
        <v>0</v>
      </c>
      <c r="U2740" s="71">
        <f>IF(AND(N2740=1,V2740=1),IF(COUNTIFS(AKTIVITAS!$B$2:$B$3052,B2740,AKTIVITAS!$E$2:$E$3052,H2740)&gt;0,1,0),0)</f>
        <v>0</v>
      </c>
      <c r="V2740" s="71">
        <f>IFERROR(IF(AND(H2740&gt;=INDEX(PEMAGANG!$J$3:$J$36,MATCH(B2740,PEMAGANG!$C$3:$C$36,0)),H2740&lt;=INDEX(PEMAGANG!$K$3:$K$36,MATCH(B2740,PEMAGANG!$C$3:$C$36,0))),1,0),0)</f>
        <v>0</v>
      </c>
      <c r="W2740" s="71">
        <f t="shared" si="386"/>
        <v>0</v>
      </c>
    </row>
    <row r="2741" spans="1:23" x14ac:dyDescent="0.2">
      <c r="A2741" s="71" t="s">
        <v>673</v>
      </c>
      <c r="B2741" s="71" t="s">
        <v>674</v>
      </c>
      <c r="C2741" s="71" t="s">
        <v>187</v>
      </c>
      <c r="D2741" s="71" t="s">
        <v>421</v>
      </c>
      <c r="E2741" s="71" t="s">
        <v>422</v>
      </c>
      <c r="F2741" s="71" t="s">
        <v>298</v>
      </c>
      <c r="G2741" s="88">
        <v>46295.235208333303</v>
      </c>
      <c r="H2741" s="89">
        <v>46295</v>
      </c>
      <c r="I2741" s="71" t="s">
        <v>689</v>
      </c>
      <c r="J2741" s="71">
        <v>-112</v>
      </c>
      <c r="K2741" s="71" t="s">
        <v>302</v>
      </c>
      <c r="L2741" s="71">
        <f t="shared" si="378"/>
        <v>9</v>
      </c>
      <c r="M2741" s="71" t="str">
        <f>IFERROR(INDEX(KALENDER!$D$3:$D$132,MATCH(H2741,KALENDER!$A$3:$A$132,0)),"Di luar periode")</f>
        <v>Hari Kerja</v>
      </c>
      <c r="N2741" s="71">
        <f t="shared" si="379"/>
        <v>1</v>
      </c>
      <c r="O2741" s="71">
        <f t="shared" si="380"/>
        <v>1</v>
      </c>
      <c r="P2741" s="71">
        <f t="shared" si="381"/>
        <v>0</v>
      </c>
      <c r="Q2741" s="71">
        <f t="shared" si="382"/>
        <v>1</v>
      </c>
      <c r="R2741" s="71">
        <f t="shared" si="383"/>
        <v>0</v>
      </c>
      <c r="S2741" s="71">
        <f t="shared" si="384"/>
        <v>0</v>
      </c>
      <c r="T2741" s="71">
        <f t="shared" si="385"/>
        <v>0</v>
      </c>
      <c r="U2741" s="71">
        <f>IF(AND(N2741=1,V2741=1),IF(COUNTIFS(AKTIVITAS!$B$2:$B$3052,B2741,AKTIVITAS!$E$2:$E$3052,H2741)&gt;0,1,0),0)</f>
        <v>0</v>
      </c>
      <c r="V2741" s="71">
        <f>IFERROR(IF(AND(H2741&gt;=INDEX(PEMAGANG!$J$3:$J$36,MATCH(B2741,PEMAGANG!$C$3:$C$36,0)),H2741&lt;=INDEX(PEMAGANG!$K$3:$K$36,MATCH(B2741,PEMAGANG!$C$3:$C$36,0))),1,0),0)</f>
        <v>0</v>
      </c>
      <c r="W2741" s="71">
        <f t="shared" si="386"/>
        <v>0</v>
      </c>
    </row>
    <row r="2742" spans="1:23" x14ac:dyDescent="0.2">
      <c r="A2742" s="71" t="s">
        <v>673</v>
      </c>
      <c r="B2742" s="71" t="s">
        <v>674</v>
      </c>
      <c r="C2742" s="71" t="s">
        <v>187</v>
      </c>
      <c r="D2742" s="71" t="s">
        <v>421</v>
      </c>
      <c r="E2742" s="71" t="s">
        <v>422</v>
      </c>
      <c r="F2742" s="71" t="s">
        <v>300</v>
      </c>
      <c r="G2742" s="88">
        <v>46295.709641203699</v>
      </c>
      <c r="H2742" s="89">
        <v>46295</v>
      </c>
      <c r="I2742" s="71" t="s">
        <v>333</v>
      </c>
      <c r="J2742" s="71">
        <v>0</v>
      </c>
      <c r="K2742" s="71" t="s">
        <v>302</v>
      </c>
      <c r="L2742" s="71">
        <f t="shared" si="378"/>
        <v>9</v>
      </c>
      <c r="M2742" s="71" t="str">
        <f>IFERROR(INDEX(KALENDER!$D$3:$D$132,MATCH(H2742,KALENDER!$A$3:$A$132,0)),"Di luar periode")</f>
        <v>Hari Kerja</v>
      </c>
      <c r="N2742" s="71">
        <f t="shared" si="379"/>
        <v>0</v>
      </c>
      <c r="O2742" s="71">
        <f t="shared" si="380"/>
        <v>1</v>
      </c>
      <c r="P2742" s="71">
        <f t="shared" si="381"/>
        <v>0</v>
      </c>
      <c r="Q2742" s="71">
        <f t="shared" si="382"/>
        <v>0</v>
      </c>
      <c r="R2742" s="71">
        <f t="shared" si="383"/>
        <v>0</v>
      </c>
      <c r="S2742" s="71">
        <f t="shared" si="384"/>
        <v>0</v>
      </c>
      <c r="T2742" s="71">
        <f t="shared" si="385"/>
        <v>0</v>
      </c>
      <c r="U2742" s="71">
        <f>IF(AND(N2742=1,V2742=1),IF(COUNTIFS(AKTIVITAS!$B$2:$B$3052,B2742,AKTIVITAS!$E$2:$E$3052,H2742)&gt;0,1,0),0)</f>
        <v>0</v>
      </c>
      <c r="V2742" s="71">
        <f>IFERROR(IF(AND(H2742&gt;=INDEX(PEMAGANG!$J$3:$J$36,MATCH(B2742,PEMAGANG!$C$3:$C$36,0)),H2742&lt;=INDEX(PEMAGANG!$K$3:$K$36,MATCH(B2742,PEMAGANG!$C$3:$C$36,0))),1,0),0)</f>
        <v>0</v>
      </c>
      <c r="W2742" s="71">
        <f t="shared" si="386"/>
        <v>0</v>
      </c>
    </row>
    <row r="2743" spans="1:23" x14ac:dyDescent="0.2">
      <c r="A2743" s="71" t="s">
        <v>211</v>
      </c>
      <c r="B2743" s="71" t="s">
        <v>212</v>
      </c>
      <c r="C2743" s="71" t="s">
        <v>187</v>
      </c>
      <c r="D2743" s="71" t="s">
        <v>210</v>
      </c>
      <c r="E2743" s="71" t="s">
        <v>48</v>
      </c>
      <c r="F2743" s="71" t="s">
        <v>298</v>
      </c>
      <c r="G2743" s="88">
        <v>46175.278402777803</v>
      </c>
      <c r="H2743" s="89">
        <v>46175</v>
      </c>
      <c r="I2743" s="71" t="s">
        <v>484</v>
      </c>
      <c r="J2743" s="71">
        <v>-50</v>
      </c>
      <c r="K2743" s="71" t="s">
        <v>302</v>
      </c>
      <c r="L2743" s="71">
        <f t="shared" si="378"/>
        <v>6</v>
      </c>
      <c r="M2743" s="71" t="str">
        <f>IFERROR(INDEX(KALENDER!$D$3:$D$132,MATCH(H2743,KALENDER!$A$3:$A$132,0)),"Di luar periode")</f>
        <v>Hari Kerja</v>
      </c>
      <c r="N2743" s="71">
        <f t="shared" si="379"/>
        <v>1</v>
      </c>
      <c r="O2743" s="71">
        <f t="shared" si="380"/>
        <v>1</v>
      </c>
      <c r="P2743" s="71">
        <f t="shared" si="381"/>
        <v>1</v>
      </c>
      <c r="Q2743" s="71">
        <f t="shared" si="382"/>
        <v>0</v>
      </c>
      <c r="R2743" s="71">
        <f t="shared" si="383"/>
        <v>0</v>
      </c>
      <c r="S2743" s="71">
        <f t="shared" si="384"/>
        <v>0</v>
      </c>
      <c r="T2743" s="71">
        <f t="shared" si="385"/>
        <v>1</v>
      </c>
      <c r="U2743" s="71">
        <f>IF(AND(N2743=1,V2743=1),IF(COUNTIFS(AKTIVITAS!$B$2:$B$3052,B2743,AKTIVITAS!$E$2:$E$3052,H2743)&gt;0,1,0),0)</f>
        <v>1</v>
      </c>
      <c r="V2743" s="71">
        <f>IFERROR(IF(AND(H2743&gt;=INDEX(PEMAGANG!$J$3:$J$36,MATCH(B2743,PEMAGANG!$C$3:$C$36,0)),H2743&lt;=INDEX(PEMAGANG!$K$3:$K$36,MATCH(B2743,PEMAGANG!$C$3:$C$36,0))),1,0),0)</f>
        <v>1</v>
      </c>
      <c r="W2743" s="71">
        <f t="shared" si="386"/>
        <v>1</v>
      </c>
    </row>
    <row r="2744" spans="1:23" x14ac:dyDescent="0.2">
      <c r="A2744" s="71" t="s">
        <v>211</v>
      </c>
      <c r="B2744" s="71" t="s">
        <v>212</v>
      </c>
      <c r="C2744" s="71" t="s">
        <v>187</v>
      </c>
      <c r="D2744" s="71" t="s">
        <v>210</v>
      </c>
      <c r="E2744" s="71" t="s">
        <v>48</v>
      </c>
      <c r="F2744" s="71" t="s">
        <v>298</v>
      </c>
      <c r="G2744" s="88">
        <v>46177.277696759302</v>
      </c>
      <c r="H2744" s="89">
        <v>46177</v>
      </c>
      <c r="I2744" s="71" t="s">
        <v>502</v>
      </c>
      <c r="J2744" s="71">
        <v>-51</v>
      </c>
      <c r="K2744" s="71" t="s">
        <v>302</v>
      </c>
      <c r="L2744" s="71">
        <f t="shared" si="378"/>
        <v>6</v>
      </c>
      <c r="M2744" s="71" t="str">
        <f>IFERROR(INDEX(KALENDER!$D$3:$D$132,MATCH(H2744,KALENDER!$A$3:$A$132,0)),"Di luar periode")</f>
        <v>Hari Kerja</v>
      </c>
      <c r="N2744" s="71">
        <f t="shared" si="379"/>
        <v>1</v>
      </c>
      <c r="O2744" s="71">
        <f t="shared" si="380"/>
        <v>1</v>
      </c>
      <c r="P2744" s="71">
        <f t="shared" si="381"/>
        <v>1</v>
      </c>
      <c r="Q2744" s="71">
        <f t="shared" si="382"/>
        <v>0</v>
      </c>
      <c r="R2744" s="71">
        <f t="shared" si="383"/>
        <v>0</v>
      </c>
      <c r="S2744" s="71">
        <f t="shared" si="384"/>
        <v>0</v>
      </c>
      <c r="T2744" s="71">
        <f t="shared" si="385"/>
        <v>0</v>
      </c>
      <c r="U2744" s="71">
        <f>IF(AND(N2744=1,V2744=1),IF(COUNTIFS(AKTIVITAS!$B$2:$B$3052,B2744,AKTIVITAS!$E$2:$E$3052,H2744)&gt;0,1,0),0)</f>
        <v>1</v>
      </c>
      <c r="V2744" s="71">
        <f>IFERROR(IF(AND(H2744&gt;=INDEX(PEMAGANG!$J$3:$J$36,MATCH(B2744,PEMAGANG!$C$3:$C$36,0)),H2744&lt;=INDEX(PEMAGANG!$K$3:$K$36,MATCH(B2744,PEMAGANG!$C$3:$C$36,0))),1,0),0)</f>
        <v>1</v>
      </c>
      <c r="W2744" s="71">
        <f t="shared" si="386"/>
        <v>1</v>
      </c>
    </row>
    <row r="2745" spans="1:23" x14ac:dyDescent="0.2">
      <c r="A2745" s="71" t="s">
        <v>211</v>
      </c>
      <c r="B2745" s="71" t="s">
        <v>212</v>
      </c>
      <c r="C2745" s="71" t="s">
        <v>187</v>
      </c>
      <c r="D2745" s="71" t="s">
        <v>210</v>
      </c>
      <c r="E2745" s="71" t="s">
        <v>48</v>
      </c>
      <c r="F2745" s="71" t="s">
        <v>300</v>
      </c>
      <c r="G2745" s="88">
        <v>46177.690474536997</v>
      </c>
      <c r="H2745" s="89">
        <v>46177</v>
      </c>
      <c r="I2745" s="71" t="s">
        <v>314</v>
      </c>
      <c r="J2745" s="71">
        <v>0</v>
      </c>
      <c r="K2745" s="71" t="s">
        <v>302</v>
      </c>
      <c r="L2745" s="71">
        <f t="shared" si="378"/>
        <v>6</v>
      </c>
      <c r="M2745" s="71" t="str">
        <f>IFERROR(INDEX(KALENDER!$D$3:$D$132,MATCH(H2745,KALENDER!$A$3:$A$132,0)),"Di luar periode")</f>
        <v>Hari Kerja</v>
      </c>
      <c r="N2745" s="71">
        <f t="shared" si="379"/>
        <v>0</v>
      </c>
      <c r="O2745" s="71">
        <f t="shared" si="380"/>
        <v>1</v>
      </c>
      <c r="P2745" s="71">
        <f t="shared" si="381"/>
        <v>0</v>
      </c>
      <c r="Q2745" s="71">
        <f t="shared" si="382"/>
        <v>0</v>
      </c>
      <c r="R2745" s="71">
        <f t="shared" si="383"/>
        <v>0</v>
      </c>
      <c r="S2745" s="71">
        <f t="shared" si="384"/>
        <v>0</v>
      </c>
      <c r="T2745" s="71">
        <f t="shared" si="385"/>
        <v>0</v>
      </c>
      <c r="U2745" s="71">
        <f>IF(AND(N2745=1,V2745=1),IF(COUNTIFS(AKTIVITAS!$B$2:$B$3052,B2745,AKTIVITAS!$E$2:$E$3052,H2745)&gt;0,1,0),0)</f>
        <v>0</v>
      </c>
      <c r="V2745" s="71">
        <f>IFERROR(IF(AND(H2745&gt;=INDEX(PEMAGANG!$J$3:$J$36,MATCH(B2745,PEMAGANG!$C$3:$C$36,0)),H2745&lt;=INDEX(PEMAGANG!$K$3:$K$36,MATCH(B2745,PEMAGANG!$C$3:$C$36,0))),1,0),0)</f>
        <v>1</v>
      </c>
      <c r="W2745" s="71">
        <f t="shared" si="386"/>
        <v>0</v>
      </c>
    </row>
    <row r="2746" spans="1:23" x14ac:dyDescent="0.2">
      <c r="A2746" s="71" t="s">
        <v>211</v>
      </c>
      <c r="B2746" s="71" t="s">
        <v>212</v>
      </c>
      <c r="C2746" s="71" t="s">
        <v>187</v>
      </c>
      <c r="D2746" s="71" t="s">
        <v>210</v>
      </c>
      <c r="E2746" s="71" t="s">
        <v>48</v>
      </c>
      <c r="F2746" s="71" t="s">
        <v>298</v>
      </c>
      <c r="G2746" s="88">
        <v>46178.278020833299</v>
      </c>
      <c r="H2746" s="89">
        <v>46178</v>
      </c>
      <c r="I2746" s="71" t="s">
        <v>484</v>
      </c>
      <c r="J2746" s="71">
        <v>-50</v>
      </c>
      <c r="K2746" s="71" t="s">
        <v>302</v>
      </c>
      <c r="L2746" s="71">
        <f t="shared" si="378"/>
        <v>6</v>
      </c>
      <c r="M2746" s="71" t="str">
        <f>IFERROR(INDEX(KALENDER!$D$3:$D$132,MATCH(H2746,KALENDER!$A$3:$A$132,0)),"Di luar periode")</f>
        <v>Hari Kerja</v>
      </c>
      <c r="N2746" s="71">
        <f t="shared" si="379"/>
        <v>1</v>
      </c>
      <c r="O2746" s="71">
        <f t="shared" si="380"/>
        <v>1</v>
      </c>
      <c r="P2746" s="71">
        <f t="shared" si="381"/>
        <v>1</v>
      </c>
      <c r="Q2746" s="71">
        <f t="shared" si="382"/>
        <v>0</v>
      </c>
      <c r="R2746" s="71">
        <f t="shared" si="383"/>
        <v>0</v>
      </c>
      <c r="S2746" s="71">
        <f t="shared" si="384"/>
        <v>0</v>
      </c>
      <c r="T2746" s="71">
        <f t="shared" si="385"/>
        <v>0</v>
      </c>
      <c r="U2746" s="71">
        <f>IF(AND(N2746=1,V2746=1),IF(COUNTIFS(AKTIVITAS!$B$2:$B$3052,B2746,AKTIVITAS!$E$2:$E$3052,H2746)&gt;0,1,0),0)</f>
        <v>1</v>
      </c>
      <c r="V2746" s="71">
        <f>IFERROR(IF(AND(H2746&gt;=INDEX(PEMAGANG!$J$3:$J$36,MATCH(B2746,PEMAGANG!$C$3:$C$36,0)),H2746&lt;=INDEX(PEMAGANG!$K$3:$K$36,MATCH(B2746,PEMAGANG!$C$3:$C$36,0))),1,0),0)</f>
        <v>1</v>
      </c>
      <c r="W2746" s="71">
        <f t="shared" si="386"/>
        <v>1</v>
      </c>
    </row>
    <row r="2747" spans="1:23" x14ac:dyDescent="0.2">
      <c r="A2747" s="71" t="s">
        <v>211</v>
      </c>
      <c r="B2747" s="71" t="s">
        <v>212</v>
      </c>
      <c r="C2747" s="71" t="s">
        <v>187</v>
      </c>
      <c r="D2747" s="71" t="s">
        <v>210</v>
      </c>
      <c r="E2747" s="71" t="s">
        <v>48</v>
      </c>
      <c r="F2747" s="71" t="s">
        <v>300</v>
      </c>
      <c r="G2747" s="88">
        <v>46178.688750000001</v>
      </c>
      <c r="H2747" s="89">
        <v>46178</v>
      </c>
      <c r="I2747" s="71" t="s">
        <v>336</v>
      </c>
      <c r="J2747" s="71">
        <v>0</v>
      </c>
      <c r="K2747" s="71" t="s">
        <v>302</v>
      </c>
      <c r="L2747" s="71">
        <f t="shared" si="378"/>
        <v>6</v>
      </c>
      <c r="M2747" s="71" t="str">
        <f>IFERROR(INDEX(KALENDER!$D$3:$D$132,MATCH(H2747,KALENDER!$A$3:$A$132,0)),"Di luar periode")</f>
        <v>Hari Kerja</v>
      </c>
      <c r="N2747" s="71">
        <f t="shared" si="379"/>
        <v>0</v>
      </c>
      <c r="O2747" s="71">
        <f t="shared" si="380"/>
        <v>1</v>
      </c>
      <c r="P2747" s="71">
        <f t="shared" si="381"/>
        <v>0</v>
      </c>
      <c r="Q2747" s="71">
        <f t="shared" si="382"/>
        <v>0</v>
      </c>
      <c r="R2747" s="71">
        <f t="shared" si="383"/>
        <v>0</v>
      </c>
      <c r="S2747" s="71">
        <f t="shared" si="384"/>
        <v>0</v>
      </c>
      <c r="T2747" s="71">
        <f t="shared" si="385"/>
        <v>0</v>
      </c>
      <c r="U2747" s="71">
        <f>IF(AND(N2747=1,V2747=1),IF(COUNTIFS(AKTIVITAS!$B$2:$B$3052,B2747,AKTIVITAS!$E$2:$E$3052,H2747)&gt;0,1,0),0)</f>
        <v>0</v>
      </c>
      <c r="V2747" s="71">
        <f>IFERROR(IF(AND(H2747&gt;=INDEX(PEMAGANG!$J$3:$J$36,MATCH(B2747,PEMAGANG!$C$3:$C$36,0)),H2747&lt;=INDEX(PEMAGANG!$K$3:$K$36,MATCH(B2747,PEMAGANG!$C$3:$C$36,0))),1,0),0)</f>
        <v>1</v>
      </c>
      <c r="W2747" s="71">
        <f t="shared" si="386"/>
        <v>0</v>
      </c>
    </row>
    <row r="2748" spans="1:23" x14ac:dyDescent="0.2">
      <c r="A2748" s="71" t="s">
        <v>211</v>
      </c>
      <c r="B2748" s="71" t="s">
        <v>212</v>
      </c>
      <c r="C2748" s="71" t="s">
        <v>187</v>
      </c>
      <c r="D2748" s="71" t="s">
        <v>210</v>
      </c>
      <c r="E2748" s="71" t="s">
        <v>48</v>
      </c>
      <c r="F2748" s="71" t="s">
        <v>298</v>
      </c>
      <c r="G2748" s="88">
        <v>46181.277835648201</v>
      </c>
      <c r="H2748" s="89">
        <v>46181</v>
      </c>
      <c r="I2748" s="71" t="s">
        <v>484</v>
      </c>
      <c r="J2748" s="71">
        <v>-50</v>
      </c>
      <c r="K2748" s="71" t="s">
        <v>302</v>
      </c>
      <c r="L2748" s="71">
        <f t="shared" si="378"/>
        <v>6</v>
      </c>
      <c r="M2748" s="71" t="str">
        <f>IFERROR(INDEX(KALENDER!$D$3:$D$132,MATCH(H2748,KALENDER!$A$3:$A$132,0)),"Di luar periode")</f>
        <v>Hari Kerja</v>
      </c>
      <c r="N2748" s="71">
        <f t="shared" si="379"/>
        <v>1</v>
      </c>
      <c r="O2748" s="71">
        <f t="shared" si="380"/>
        <v>1</v>
      </c>
      <c r="P2748" s="71">
        <f t="shared" si="381"/>
        <v>1</v>
      </c>
      <c r="Q2748" s="71">
        <f t="shared" si="382"/>
        <v>0</v>
      </c>
      <c r="R2748" s="71">
        <f t="shared" si="383"/>
        <v>0</v>
      </c>
      <c r="S2748" s="71">
        <f t="shared" si="384"/>
        <v>0</v>
      </c>
      <c r="T2748" s="71">
        <f t="shared" si="385"/>
        <v>0</v>
      </c>
      <c r="U2748" s="71">
        <f>IF(AND(N2748=1,V2748=1),IF(COUNTIFS(AKTIVITAS!$B$2:$B$3052,B2748,AKTIVITAS!$E$2:$E$3052,H2748)&gt;0,1,0),0)</f>
        <v>1</v>
      </c>
      <c r="V2748" s="71">
        <f>IFERROR(IF(AND(H2748&gt;=INDEX(PEMAGANG!$J$3:$J$36,MATCH(B2748,PEMAGANG!$C$3:$C$36,0)),H2748&lt;=INDEX(PEMAGANG!$K$3:$K$36,MATCH(B2748,PEMAGANG!$C$3:$C$36,0))),1,0),0)</f>
        <v>1</v>
      </c>
      <c r="W2748" s="71">
        <f t="shared" si="386"/>
        <v>1</v>
      </c>
    </row>
    <row r="2749" spans="1:23" x14ac:dyDescent="0.2">
      <c r="A2749" s="71" t="s">
        <v>211</v>
      </c>
      <c r="B2749" s="71" t="s">
        <v>212</v>
      </c>
      <c r="C2749" s="71" t="s">
        <v>187</v>
      </c>
      <c r="D2749" s="71" t="s">
        <v>210</v>
      </c>
      <c r="E2749" s="71" t="s">
        <v>48</v>
      </c>
      <c r="F2749" s="71" t="s">
        <v>300</v>
      </c>
      <c r="G2749" s="88">
        <v>46181.6886226852</v>
      </c>
      <c r="H2749" s="89">
        <v>46181</v>
      </c>
      <c r="I2749" s="71" t="s">
        <v>336</v>
      </c>
      <c r="J2749" s="71">
        <v>0</v>
      </c>
      <c r="K2749" s="71" t="s">
        <v>302</v>
      </c>
      <c r="L2749" s="71">
        <f t="shared" si="378"/>
        <v>6</v>
      </c>
      <c r="M2749" s="71" t="str">
        <f>IFERROR(INDEX(KALENDER!$D$3:$D$132,MATCH(H2749,KALENDER!$A$3:$A$132,0)),"Di luar periode")</f>
        <v>Hari Kerja</v>
      </c>
      <c r="N2749" s="71">
        <f t="shared" si="379"/>
        <v>0</v>
      </c>
      <c r="O2749" s="71">
        <f t="shared" si="380"/>
        <v>1</v>
      </c>
      <c r="P2749" s="71">
        <f t="shared" si="381"/>
        <v>0</v>
      </c>
      <c r="Q2749" s="71">
        <f t="shared" si="382"/>
        <v>0</v>
      </c>
      <c r="R2749" s="71">
        <f t="shared" si="383"/>
        <v>0</v>
      </c>
      <c r="S2749" s="71">
        <f t="shared" si="384"/>
        <v>0</v>
      </c>
      <c r="T2749" s="71">
        <f t="shared" si="385"/>
        <v>0</v>
      </c>
      <c r="U2749" s="71">
        <f>IF(AND(N2749=1,V2749=1),IF(COUNTIFS(AKTIVITAS!$B$2:$B$3052,B2749,AKTIVITAS!$E$2:$E$3052,H2749)&gt;0,1,0),0)</f>
        <v>0</v>
      </c>
      <c r="V2749" s="71">
        <f>IFERROR(IF(AND(H2749&gt;=INDEX(PEMAGANG!$J$3:$J$36,MATCH(B2749,PEMAGANG!$C$3:$C$36,0)),H2749&lt;=INDEX(PEMAGANG!$K$3:$K$36,MATCH(B2749,PEMAGANG!$C$3:$C$36,0))),1,0),0)</f>
        <v>1</v>
      </c>
      <c r="W2749" s="71">
        <f t="shared" si="386"/>
        <v>0</v>
      </c>
    </row>
    <row r="2750" spans="1:23" x14ac:dyDescent="0.2">
      <c r="A2750" s="71" t="s">
        <v>211</v>
      </c>
      <c r="B2750" s="71" t="s">
        <v>212</v>
      </c>
      <c r="C2750" s="71" t="s">
        <v>187</v>
      </c>
      <c r="D2750" s="71" t="s">
        <v>210</v>
      </c>
      <c r="E2750" s="71" t="s">
        <v>48</v>
      </c>
      <c r="F2750" s="71" t="s">
        <v>298</v>
      </c>
      <c r="G2750" s="88">
        <v>46182.281840277799</v>
      </c>
      <c r="H2750" s="89">
        <v>46182</v>
      </c>
      <c r="I2750" s="71" t="s">
        <v>510</v>
      </c>
      <c r="J2750" s="71">
        <v>-45</v>
      </c>
      <c r="K2750" s="71" t="s">
        <v>302</v>
      </c>
      <c r="L2750" s="71">
        <f t="shared" si="378"/>
        <v>6</v>
      </c>
      <c r="M2750" s="71" t="str">
        <f>IFERROR(INDEX(KALENDER!$D$3:$D$132,MATCH(H2750,KALENDER!$A$3:$A$132,0)),"Di luar periode")</f>
        <v>Hari Kerja</v>
      </c>
      <c r="N2750" s="71">
        <f t="shared" si="379"/>
        <v>1</v>
      </c>
      <c r="O2750" s="71">
        <f t="shared" si="380"/>
        <v>1</v>
      </c>
      <c r="P2750" s="71">
        <f t="shared" si="381"/>
        <v>1</v>
      </c>
      <c r="Q2750" s="71">
        <f t="shared" si="382"/>
        <v>0</v>
      </c>
      <c r="R2750" s="71">
        <f t="shared" si="383"/>
        <v>0</v>
      </c>
      <c r="S2750" s="71">
        <f t="shared" si="384"/>
        <v>0</v>
      </c>
      <c r="T2750" s="71">
        <f t="shared" si="385"/>
        <v>0</v>
      </c>
      <c r="U2750" s="71">
        <f>IF(AND(N2750=1,V2750=1),IF(COUNTIFS(AKTIVITAS!$B$2:$B$3052,B2750,AKTIVITAS!$E$2:$E$3052,H2750)&gt;0,1,0),0)</f>
        <v>1</v>
      </c>
      <c r="V2750" s="71">
        <f>IFERROR(IF(AND(H2750&gt;=INDEX(PEMAGANG!$J$3:$J$36,MATCH(B2750,PEMAGANG!$C$3:$C$36,0)),H2750&lt;=INDEX(PEMAGANG!$K$3:$K$36,MATCH(B2750,PEMAGANG!$C$3:$C$36,0))),1,0),0)</f>
        <v>1</v>
      </c>
      <c r="W2750" s="71">
        <f t="shared" si="386"/>
        <v>1</v>
      </c>
    </row>
    <row r="2751" spans="1:23" x14ac:dyDescent="0.2">
      <c r="A2751" s="71" t="s">
        <v>211</v>
      </c>
      <c r="B2751" s="71" t="s">
        <v>212</v>
      </c>
      <c r="C2751" s="71" t="s">
        <v>187</v>
      </c>
      <c r="D2751" s="71" t="s">
        <v>210</v>
      </c>
      <c r="E2751" s="71" t="s">
        <v>48</v>
      </c>
      <c r="F2751" s="71" t="s">
        <v>300</v>
      </c>
      <c r="G2751" s="88">
        <v>46182.688935185201</v>
      </c>
      <c r="H2751" s="89">
        <v>46182</v>
      </c>
      <c r="I2751" s="71" t="s">
        <v>306</v>
      </c>
      <c r="J2751" s="71">
        <v>0</v>
      </c>
      <c r="K2751" s="71" t="s">
        <v>302</v>
      </c>
      <c r="L2751" s="71">
        <f t="shared" si="378"/>
        <v>6</v>
      </c>
      <c r="M2751" s="71" t="str">
        <f>IFERROR(INDEX(KALENDER!$D$3:$D$132,MATCH(H2751,KALENDER!$A$3:$A$132,0)),"Di luar periode")</f>
        <v>Hari Kerja</v>
      </c>
      <c r="N2751" s="71">
        <f t="shared" si="379"/>
        <v>0</v>
      </c>
      <c r="O2751" s="71">
        <f t="shared" si="380"/>
        <v>1</v>
      </c>
      <c r="P2751" s="71">
        <f t="shared" si="381"/>
        <v>0</v>
      </c>
      <c r="Q2751" s="71">
        <f t="shared" si="382"/>
        <v>0</v>
      </c>
      <c r="R2751" s="71">
        <f t="shared" si="383"/>
        <v>0</v>
      </c>
      <c r="S2751" s="71">
        <f t="shared" si="384"/>
        <v>0</v>
      </c>
      <c r="T2751" s="71">
        <f t="shared" si="385"/>
        <v>0</v>
      </c>
      <c r="U2751" s="71">
        <f>IF(AND(N2751=1,V2751=1),IF(COUNTIFS(AKTIVITAS!$B$2:$B$3052,B2751,AKTIVITAS!$E$2:$E$3052,H2751)&gt;0,1,0),0)</f>
        <v>0</v>
      </c>
      <c r="V2751" s="71">
        <f>IFERROR(IF(AND(H2751&gt;=INDEX(PEMAGANG!$J$3:$J$36,MATCH(B2751,PEMAGANG!$C$3:$C$36,0)),H2751&lt;=INDEX(PEMAGANG!$K$3:$K$36,MATCH(B2751,PEMAGANG!$C$3:$C$36,0))),1,0),0)</f>
        <v>1</v>
      </c>
      <c r="W2751" s="71">
        <f t="shared" si="386"/>
        <v>0</v>
      </c>
    </row>
    <row r="2752" spans="1:23" x14ac:dyDescent="0.2">
      <c r="A2752" s="71" t="s">
        <v>211</v>
      </c>
      <c r="B2752" s="71" t="s">
        <v>212</v>
      </c>
      <c r="C2752" s="71" t="s">
        <v>187</v>
      </c>
      <c r="D2752" s="71" t="s">
        <v>210</v>
      </c>
      <c r="E2752" s="71" t="s">
        <v>48</v>
      </c>
      <c r="F2752" s="71" t="s">
        <v>298</v>
      </c>
      <c r="G2752" s="88">
        <v>46184.306296296301</v>
      </c>
      <c r="H2752" s="89">
        <v>46184</v>
      </c>
      <c r="I2752" s="71" t="s">
        <v>305</v>
      </c>
      <c r="J2752" s="71">
        <v>-9.0000000000000497</v>
      </c>
      <c r="K2752" s="71" t="s">
        <v>302</v>
      </c>
      <c r="L2752" s="71">
        <f t="shared" si="378"/>
        <v>6</v>
      </c>
      <c r="M2752" s="71" t="str">
        <f>IFERROR(INDEX(KALENDER!$D$3:$D$132,MATCH(H2752,KALENDER!$A$3:$A$132,0)),"Di luar periode")</f>
        <v>Hari Kerja</v>
      </c>
      <c r="N2752" s="71">
        <f t="shared" si="379"/>
        <v>1</v>
      </c>
      <c r="O2752" s="71">
        <f t="shared" si="380"/>
        <v>1</v>
      </c>
      <c r="P2752" s="71">
        <f t="shared" si="381"/>
        <v>1</v>
      </c>
      <c r="Q2752" s="71">
        <f t="shared" si="382"/>
        <v>0</v>
      </c>
      <c r="R2752" s="71">
        <f t="shared" si="383"/>
        <v>0</v>
      </c>
      <c r="S2752" s="71">
        <f t="shared" si="384"/>
        <v>0</v>
      </c>
      <c r="T2752" s="71">
        <f t="shared" si="385"/>
        <v>0</v>
      </c>
      <c r="U2752" s="71">
        <f>IF(AND(N2752=1,V2752=1),IF(COUNTIFS(AKTIVITAS!$B$2:$B$3052,B2752,AKTIVITAS!$E$2:$E$3052,H2752)&gt;0,1,0),0)</f>
        <v>1</v>
      </c>
      <c r="V2752" s="71">
        <f>IFERROR(IF(AND(H2752&gt;=INDEX(PEMAGANG!$J$3:$J$36,MATCH(B2752,PEMAGANG!$C$3:$C$36,0)),H2752&lt;=INDEX(PEMAGANG!$K$3:$K$36,MATCH(B2752,PEMAGANG!$C$3:$C$36,0))),1,0),0)</f>
        <v>1</v>
      </c>
      <c r="W2752" s="71">
        <f t="shared" si="386"/>
        <v>1</v>
      </c>
    </row>
    <row r="2753" spans="1:23" x14ac:dyDescent="0.2">
      <c r="A2753" s="71" t="s">
        <v>211</v>
      </c>
      <c r="B2753" s="71" t="s">
        <v>212</v>
      </c>
      <c r="C2753" s="71" t="s">
        <v>187</v>
      </c>
      <c r="D2753" s="71" t="s">
        <v>210</v>
      </c>
      <c r="E2753" s="71" t="s">
        <v>48</v>
      </c>
      <c r="F2753" s="71" t="s">
        <v>300</v>
      </c>
      <c r="G2753" s="88">
        <v>46184.687708333302</v>
      </c>
      <c r="H2753" s="89">
        <v>46184</v>
      </c>
      <c r="I2753" s="71" t="s">
        <v>330</v>
      </c>
      <c r="J2753" s="71">
        <v>0</v>
      </c>
      <c r="K2753" s="71" t="s">
        <v>302</v>
      </c>
      <c r="L2753" s="71">
        <f t="shared" si="378"/>
        <v>6</v>
      </c>
      <c r="M2753" s="71" t="str">
        <f>IFERROR(INDEX(KALENDER!$D$3:$D$132,MATCH(H2753,KALENDER!$A$3:$A$132,0)),"Di luar periode")</f>
        <v>Hari Kerja</v>
      </c>
      <c r="N2753" s="71">
        <f t="shared" si="379"/>
        <v>0</v>
      </c>
      <c r="O2753" s="71">
        <f t="shared" si="380"/>
        <v>1</v>
      </c>
      <c r="P2753" s="71">
        <f t="shared" si="381"/>
        <v>0</v>
      </c>
      <c r="Q2753" s="71">
        <f t="shared" si="382"/>
        <v>0</v>
      </c>
      <c r="R2753" s="71">
        <f t="shared" si="383"/>
        <v>0</v>
      </c>
      <c r="S2753" s="71">
        <f t="shared" si="384"/>
        <v>0</v>
      </c>
      <c r="T2753" s="71">
        <f t="shared" si="385"/>
        <v>0</v>
      </c>
      <c r="U2753" s="71">
        <f>IF(AND(N2753=1,V2753=1),IF(COUNTIFS(AKTIVITAS!$B$2:$B$3052,B2753,AKTIVITAS!$E$2:$E$3052,H2753)&gt;0,1,0),0)</f>
        <v>0</v>
      </c>
      <c r="V2753" s="71">
        <f>IFERROR(IF(AND(H2753&gt;=INDEX(PEMAGANG!$J$3:$J$36,MATCH(B2753,PEMAGANG!$C$3:$C$36,0)),H2753&lt;=INDEX(PEMAGANG!$K$3:$K$36,MATCH(B2753,PEMAGANG!$C$3:$C$36,0))),1,0),0)</f>
        <v>1</v>
      </c>
      <c r="W2753" s="71">
        <f t="shared" si="386"/>
        <v>0</v>
      </c>
    </row>
    <row r="2754" spans="1:23" x14ac:dyDescent="0.2">
      <c r="A2754" s="71" t="s">
        <v>211</v>
      </c>
      <c r="B2754" s="71" t="s">
        <v>212</v>
      </c>
      <c r="C2754" s="71" t="s">
        <v>187</v>
      </c>
      <c r="D2754" s="71" t="s">
        <v>210</v>
      </c>
      <c r="E2754" s="71" t="s">
        <v>48</v>
      </c>
      <c r="F2754" s="71" t="s">
        <v>298</v>
      </c>
      <c r="G2754" s="88">
        <v>46185.278009259302</v>
      </c>
      <c r="H2754" s="89">
        <v>46185</v>
      </c>
      <c r="I2754" s="71" t="s">
        <v>484</v>
      </c>
      <c r="J2754" s="71">
        <v>-50</v>
      </c>
      <c r="K2754" s="71" t="s">
        <v>302</v>
      </c>
      <c r="L2754" s="71">
        <f t="shared" ref="L2754:L2817" si="387">MONTH(H2754)</f>
        <v>6</v>
      </c>
      <c r="M2754" s="71" t="str">
        <f>IFERROR(INDEX(KALENDER!$D$3:$D$132,MATCH(H2754,KALENDER!$A$3:$A$132,0)),"Di luar periode")</f>
        <v>Hari Kerja</v>
      </c>
      <c r="N2754" s="71">
        <f t="shared" ref="N2754:N2817" si="388">IF(AND(B2754=B2753,H2754=H2753),0,1)</f>
        <v>1</v>
      </c>
      <c r="O2754" s="71">
        <f t="shared" ref="O2754:O2817" si="389">IF(N2754=1,0,O2753)+IF(F2754="MASUK",1,0)</f>
        <v>1</v>
      </c>
      <c r="P2754" s="71">
        <f t="shared" ref="P2754:P2817" si="390">IF(AND(N2754=1,M2754="Hari Kerja",V2754=1),1,0)</f>
        <v>1</v>
      </c>
      <c r="Q2754" s="71">
        <f t="shared" ref="Q2754:Q2817" si="391">IF(AND(N2754=1,OR(M2754&lt;&gt;"Hari Kerja",V2754=0)),1,0)</f>
        <v>0</v>
      </c>
      <c r="R2754" s="71">
        <f t="shared" ref="R2754:R2817" si="392">IF(AND(F2754="MASUK",O2754=1,N(J2754)&gt;0,V2754=1),1,0)</f>
        <v>0</v>
      </c>
      <c r="S2754" s="71">
        <f t="shared" ref="S2754:S2817" si="393">R2754*N(J2754)</f>
        <v>0</v>
      </c>
      <c r="T2754" s="71">
        <f t="shared" ref="T2754:T2817" si="394">IF(AND(N2754=1,V2754=1),IF(AND(COUNTIFS($B$2:$B$4094,B2754,$H$2:$H$4094,H2754,$F$2:$F$4094,"MASUK")&gt;0,COUNTIFS($B$2:$B$4094,B2754,$H$2:$H$4094,H2754,$F$2:$F$4094,"PULANG")=0),1,0),0)</f>
        <v>0</v>
      </c>
      <c r="U2754" s="71">
        <f>IF(AND(N2754=1,V2754=1),IF(COUNTIFS(AKTIVITAS!$B$2:$B$3052,B2754,AKTIVITAS!$E$2:$E$3052,H2754)&gt;0,1,0),0)</f>
        <v>1</v>
      </c>
      <c r="V2754" s="71">
        <f>IFERROR(IF(AND(H2754&gt;=INDEX(PEMAGANG!$J$3:$J$36,MATCH(B2754,PEMAGANG!$C$3:$C$36,0)),H2754&lt;=INDEX(PEMAGANG!$K$3:$K$36,MATCH(B2754,PEMAGANG!$C$3:$C$36,0))),1,0),0)</f>
        <v>1</v>
      </c>
      <c r="W2754" s="71">
        <f t="shared" ref="W2754:W2817" si="395">N2754*V2754</f>
        <v>1</v>
      </c>
    </row>
    <row r="2755" spans="1:23" x14ac:dyDescent="0.2">
      <c r="A2755" s="71" t="s">
        <v>211</v>
      </c>
      <c r="B2755" s="71" t="s">
        <v>212</v>
      </c>
      <c r="C2755" s="71" t="s">
        <v>187</v>
      </c>
      <c r="D2755" s="71" t="s">
        <v>210</v>
      </c>
      <c r="E2755" s="71" t="s">
        <v>48</v>
      </c>
      <c r="F2755" s="71" t="s">
        <v>300</v>
      </c>
      <c r="G2755" s="88">
        <v>46185.689131944499</v>
      </c>
      <c r="H2755" s="89">
        <v>46185</v>
      </c>
      <c r="I2755" s="71" t="s">
        <v>306</v>
      </c>
      <c r="J2755" s="71">
        <v>0</v>
      </c>
      <c r="K2755" s="71" t="s">
        <v>302</v>
      </c>
      <c r="L2755" s="71">
        <f t="shared" si="387"/>
        <v>6</v>
      </c>
      <c r="M2755" s="71" t="str">
        <f>IFERROR(INDEX(KALENDER!$D$3:$D$132,MATCH(H2755,KALENDER!$A$3:$A$132,0)),"Di luar periode")</f>
        <v>Hari Kerja</v>
      </c>
      <c r="N2755" s="71">
        <f t="shared" si="388"/>
        <v>0</v>
      </c>
      <c r="O2755" s="71">
        <f t="shared" si="389"/>
        <v>1</v>
      </c>
      <c r="P2755" s="71">
        <f t="shared" si="390"/>
        <v>0</v>
      </c>
      <c r="Q2755" s="71">
        <f t="shared" si="391"/>
        <v>0</v>
      </c>
      <c r="R2755" s="71">
        <f t="shared" si="392"/>
        <v>0</v>
      </c>
      <c r="S2755" s="71">
        <f t="shared" si="393"/>
        <v>0</v>
      </c>
      <c r="T2755" s="71">
        <f t="shared" si="394"/>
        <v>0</v>
      </c>
      <c r="U2755" s="71">
        <f>IF(AND(N2755=1,V2755=1),IF(COUNTIFS(AKTIVITAS!$B$2:$B$3052,B2755,AKTIVITAS!$E$2:$E$3052,H2755)&gt;0,1,0),0)</f>
        <v>0</v>
      </c>
      <c r="V2755" s="71">
        <f>IFERROR(IF(AND(H2755&gt;=INDEX(PEMAGANG!$J$3:$J$36,MATCH(B2755,PEMAGANG!$C$3:$C$36,0)),H2755&lt;=INDEX(PEMAGANG!$K$3:$K$36,MATCH(B2755,PEMAGANG!$C$3:$C$36,0))),1,0),0)</f>
        <v>1</v>
      </c>
      <c r="W2755" s="71">
        <f t="shared" si="395"/>
        <v>0</v>
      </c>
    </row>
    <row r="2756" spans="1:23" x14ac:dyDescent="0.2">
      <c r="A2756" s="71" t="s">
        <v>211</v>
      </c>
      <c r="B2756" s="71" t="s">
        <v>212</v>
      </c>
      <c r="C2756" s="71" t="s">
        <v>187</v>
      </c>
      <c r="D2756" s="71" t="s">
        <v>210</v>
      </c>
      <c r="E2756" s="71" t="s">
        <v>48</v>
      </c>
      <c r="F2756" s="71" t="s">
        <v>298</v>
      </c>
      <c r="G2756" s="88">
        <v>46188.275532407402</v>
      </c>
      <c r="H2756" s="89">
        <v>46188</v>
      </c>
      <c r="I2756" s="71" t="s">
        <v>497</v>
      </c>
      <c r="J2756" s="71">
        <v>-54.000000000000099</v>
      </c>
      <c r="K2756" s="71" t="s">
        <v>302</v>
      </c>
      <c r="L2756" s="71">
        <f t="shared" si="387"/>
        <v>6</v>
      </c>
      <c r="M2756" s="71" t="str">
        <f>IFERROR(INDEX(KALENDER!$D$3:$D$132,MATCH(H2756,KALENDER!$A$3:$A$132,0)),"Di luar periode")</f>
        <v>Hari Kerja</v>
      </c>
      <c r="N2756" s="71">
        <f t="shared" si="388"/>
        <v>1</v>
      </c>
      <c r="O2756" s="71">
        <f t="shared" si="389"/>
        <v>1</v>
      </c>
      <c r="P2756" s="71">
        <f t="shared" si="390"/>
        <v>1</v>
      </c>
      <c r="Q2756" s="71">
        <f t="shared" si="391"/>
        <v>0</v>
      </c>
      <c r="R2756" s="71">
        <f t="shared" si="392"/>
        <v>0</v>
      </c>
      <c r="S2756" s="71">
        <f t="shared" si="393"/>
        <v>0</v>
      </c>
      <c r="T2756" s="71">
        <f t="shared" si="394"/>
        <v>0</v>
      </c>
      <c r="U2756" s="71">
        <f>IF(AND(N2756=1,V2756=1),IF(COUNTIFS(AKTIVITAS!$B$2:$B$3052,B2756,AKTIVITAS!$E$2:$E$3052,H2756)&gt;0,1,0),0)</f>
        <v>1</v>
      </c>
      <c r="V2756" s="71">
        <f>IFERROR(IF(AND(H2756&gt;=INDEX(PEMAGANG!$J$3:$J$36,MATCH(B2756,PEMAGANG!$C$3:$C$36,0)),H2756&lt;=INDEX(PEMAGANG!$K$3:$K$36,MATCH(B2756,PEMAGANG!$C$3:$C$36,0))),1,0),0)</f>
        <v>1</v>
      </c>
      <c r="W2756" s="71">
        <f t="shared" si="395"/>
        <v>1</v>
      </c>
    </row>
    <row r="2757" spans="1:23" x14ac:dyDescent="0.2">
      <c r="A2757" s="71" t="s">
        <v>211</v>
      </c>
      <c r="B2757" s="71" t="s">
        <v>212</v>
      </c>
      <c r="C2757" s="71" t="s">
        <v>187</v>
      </c>
      <c r="D2757" s="71" t="s">
        <v>210</v>
      </c>
      <c r="E2757" s="71" t="s">
        <v>48</v>
      </c>
      <c r="F2757" s="71" t="s">
        <v>300</v>
      </c>
      <c r="G2757" s="88">
        <v>46188.688506944498</v>
      </c>
      <c r="H2757" s="89">
        <v>46188</v>
      </c>
      <c r="I2757" s="71" t="s">
        <v>336</v>
      </c>
      <c r="J2757" s="71">
        <v>0</v>
      </c>
      <c r="K2757" s="71" t="s">
        <v>302</v>
      </c>
      <c r="L2757" s="71">
        <f t="shared" si="387"/>
        <v>6</v>
      </c>
      <c r="M2757" s="71" t="str">
        <f>IFERROR(INDEX(KALENDER!$D$3:$D$132,MATCH(H2757,KALENDER!$A$3:$A$132,0)),"Di luar periode")</f>
        <v>Hari Kerja</v>
      </c>
      <c r="N2757" s="71">
        <f t="shared" si="388"/>
        <v>0</v>
      </c>
      <c r="O2757" s="71">
        <f t="shared" si="389"/>
        <v>1</v>
      </c>
      <c r="P2757" s="71">
        <f t="shared" si="390"/>
        <v>0</v>
      </c>
      <c r="Q2757" s="71">
        <f t="shared" si="391"/>
        <v>0</v>
      </c>
      <c r="R2757" s="71">
        <f t="shared" si="392"/>
        <v>0</v>
      </c>
      <c r="S2757" s="71">
        <f t="shared" si="393"/>
        <v>0</v>
      </c>
      <c r="T2757" s="71">
        <f t="shared" si="394"/>
        <v>0</v>
      </c>
      <c r="U2757" s="71">
        <f>IF(AND(N2757=1,V2757=1),IF(COUNTIFS(AKTIVITAS!$B$2:$B$3052,B2757,AKTIVITAS!$E$2:$E$3052,H2757)&gt;0,1,0),0)</f>
        <v>0</v>
      </c>
      <c r="V2757" s="71">
        <f>IFERROR(IF(AND(H2757&gt;=INDEX(PEMAGANG!$J$3:$J$36,MATCH(B2757,PEMAGANG!$C$3:$C$36,0)),H2757&lt;=INDEX(PEMAGANG!$K$3:$K$36,MATCH(B2757,PEMAGANG!$C$3:$C$36,0))),1,0),0)</f>
        <v>1</v>
      </c>
      <c r="W2757" s="71">
        <f t="shared" si="395"/>
        <v>0</v>
      </c>
    </row>
    <row r="2758" spans="1:23" x14ac:dyDescent="0.2">
      <c r="A2758" s="71" t="s">
        <v>211</v>
      </c>
      <c r="B2758" s="71" t="s">
        <v>212</v>
      </c>
      <c r="C2758" s="71" t="s">
        <v>187</v>
      </c>
      <c r="D2758" s="71" t="s">
        <v>210</v>
      </c>
      <c r="E2758" s="71" t="s">
        <v>48</v>
      </c>
      <c r="F2758" s="71" t="s">
        <v>298</v>
      </c>
      <c r="G2758" s="88">
        <v>46191.286122685196</v>
      </c>
      <c r="H2758" s="89">
        <v>46191</v>
      </c>
      <c r="I2758" s="71" t="s">
        <v>513</v>
      </c>
      <c r="J2758" s="71">
        <v>-37.999999999999901</v>
      </c>
      <c r="K2758" s="71" t="s">
        <v>302</v>
      </c>
      <c r="L2758" s="71">
        <f t="shared" si="387"/>
        <v>6</v>
      </c>
      <c r="M2758" s="71" t="str">
        <f>IFERROR(INDEX(KALENDER!$D$3:$D$132,MATCH(H2758,KALENDER!$A$3:$A$132,0)),"Di luar periode")</f>
        <v>Hari Kerja</v>
      </c>
      <c r="N2758" s="71">
        <f t="shared" si="388"/>
        <v>1</v>
      </c>
      <c r="O2758" s="71">
        <f t="shared" si="389"/>
        <v>1</v>
      </c>
      <c r="P2758" s="71">
        <f t="shared" si="390"/>
        <v>1</v>
      </c>
      <c r="Q2758" s="71">
        <f t="shared" si="391"/>
        <v>0</v>
      </c>
      <c r="R2758" s="71">
        <f t="shared" si="392"/>
        <v>0</v>
      </c>
      <c r="S2758" s="71">
        <f t="shared" si="393"/>
        <v>0</v>
      </c>
      <c r="T2758" s="71">
        <f t="shared" si="394"/>
        <v>0</v>
      </c>
      <c r="U2758" s="71">
        <f>IF(AND(N2758=1,V2758=1),IF(COUNTIFS(AKTIVITAS!$B$2:$B$3052,B2758,AKTIVITAS!$E$2:$E$3052,H2758)&gt;0,1,0),0)</f>
        <v>1</v>
      </c>
      <c r="V2758" s="71">
        <f>IFERROR(IF(AND(H2758&gt;=INDEX(PEMAGANG!$J$3:$J$36,MATCH(B2758,PEMAGANG!$C$3:$C$36,0)),H2758&lt;=INDEX(PEMAGANG!$K$3:$K$36,MATCH(B2758,PEMAGANG!$C$3:$C$36,0))),1,0),0)</f>
        <v>1</v>
      </c>
      <c r="W2758" s="71">
        <f t="shared" si="395"/>
        <v>1</v>
      </c>
    </row>
    <row r="2759" spans="1:23" x14ac:dyDescent="0.2">
      <c r="A2759" s="71" t="s">
        <v>211</v>
      </c>
      <c r="B2759" s="71" t="s">
        <v>212</v>
      </c>
      <c r="C2759" s="71" t="s">
        <v>187</v>
      </c>
      <c r="D2759" s="71" t="s">
        <v>210</v>
      </c>
      <c r="E2759" s="71" t="s">
        <v>48</v>
      </c>
      <c r="F2759" s="71" t="s">
        <v>300</v>
      </c>
      <c r="G2759" s="88">
        <v>46191.6884027778</v>
      </c>
      <c r="H2759" s="89">
        <v>46191</v>
      </c>
      <c r="I2759" s="71" t="s">
        <v>336</v>
      </c>
      <c r="J2759" s="71">
        <v>0</v>
      </c>
      <c r="K2759" s="71" t="s">
        <v>302</v>
      </c>
      <c r="L2759" s="71">
        <f t="shared" si="387"/>
        <v>6</v>
      </c>
      <c r="M2759" s="71" t="str">
        <f>IFERROR(INDEX(KALENDER!$D$3:$D$132,MATCH(H2759,KALENDER!$A$3:$A$132,0)),"Di luar periode")</f>
        <v>Hari Kerja</v>
      </c>
      <c r="N2759" s="71">
        <f t="shared" si="388"/>
        <v>0</v>
      </c>
      <c r="O2759" s="71">
        <f t="shared" si="389"/>
        <v>1</v>
      </c>
      <c r="P2759" s="71">
        <f t="shared" si="390"/>
        <v>0</v>
      </c>
      <c r="Q2759" s="71">
        <f t="shared" si="391"/>
        <v>0</v>
      </c>
      <c r="R2759" s="71">
        <f t="shared" si="392"/>
        <v>0</v>
      </c>
      <c r="S2759" s="71">
        <f t="shared" si="393"/>
        <v>0</v>
      </c>
      <c r="T2759" s="71">
        <f t="shared" si="394"/>
        <v>0</v>
      </c>
      <c r="U2759" s="71">
        <f>IF(AND(N2759=1,V2759=1),IF(COUNTIFS(AKTIVITAS!$B$2:$B$3052,B2759,AKTIVITAS!$E$2:$E$3052,H2759)&gt;0,1,0),0)</f>
        <v>0</v>
      </c>
      <c r="V2759" s="71">
        <f>IFERROR(IF(AND(H2759&gt;=INDEX(PEMAGANG!$J$3:$J$36,MATCH(B2759,PEMAGANG!$C$3:$C$36,0)),H2759&lt;=INDEX(PEMAGANG!$K$3:$K$36,MATCH(B2759,PEMAGANG!$C$3:$C$36,0))),1,0),0)</f>
        <v>1</v>
      </c>
      <c r="W2759" s="71">
        <f t="shared" si="395"/>
        <v>0</v>
      </c>
    </row>
    <row r="2760" spans="1:23" x14ac:dyDescent="0.2">
      <c r="A2760" s="71" t="s">
        <v>211</v>
      </c>
      <c r="B2760" s="71" t="s">
        <v>212</v>
      </c>
      <c r="C2760" s="71" t="s">
        <v>187</v>
      </c>
      <c r="D2760" s="71" t="s">
        <v>210</v>
      </c>
      <c r="E2760" s="71" t="s">
        <v>48</v>
      </c>
      <c r="F2760" s="71" t="s">
        <v>298</v>
      </c>
      <c r="G2760" s="88">
        <v>46192.274097222202</v>
      </c>
      <c r="H2760" s="89">
        <v>46192</v>
      </c>
      <c r="I2760" s="71" t="s">
        <v>602</v>
      </c>
      <c r="J2760" s="71">
        <v>-56</v>
      </c>
      <c r="K2760" s="71" t="s">
        <v>302</v>
      </c>
      <c r="L2760" s="71">
        <f t="shared" si="387"/>
        <v>6</v>
      </c>
      <c r="M2760" s="71" t="str">
        <f>IFERROR(INDEX(KALENDER!$D$3:$D$132,MATCH(H2760,KALENDER!$A$3:$A$132,0)),"Di luar periode")</f>
        <v>Hari Kerja</v>
      </c>
      <c r="N2760" s="71">
        <f t="shared" si="388"/>
        <v>1</v>
      </c>
      <c r="O2760" s="71">
        <f t="shared" si="389"/>
        <v>1</v>
      </c>
      <c r="P2760" s="71">
        <f t="shared" si="390"/>
        <v>1</v>
      </c>
      <c r="Q2760" s="71">
        <f t="shared" si="391"/>
        <v>0</v>
      </c>
      <c r="R2760" s="71">
        <f t="shared" si="392"/>
        <v>0</v>
      </c>
      <c r="S2760" s="71">
        <f t="shared" si="393"/>
        <v>0</v>
      </c>
      <c r="T2760" s="71">
        <f t="shared" si="394"/>
        <v>0</v>
      </c>
      <c r="U2760" s="71">
        <f>IF(AND(N2760=1,V2760=1),IF(COUNTIFS(AKTIVITAS!$B$2:$B$3052,B2760,AKTIVITAS!$E$2:$E$3052,H2760)&gt;0,1,0),0)</f>
        <v>1</v>
      </c>
      <c r="V2760" s="71">
        <f>IFERROR(IF(AND(H2760&gt;=INDEX(PEMAGANG!$J$3:$J$36,MATCH(B2760,PEMAGANG!$C$3:$C$36,0)),H2760&lt;=INDEX(PEMAGANG!$K$3:$K$36,MATCH(B2760,PEMAGANG!$C$3:$C$36,0))),1,0),0)</f>
        <v>1</v>
      </c>
      <c r="W2760" s="71">
        <f t="shared" si="395"/>
        <v>1</v>
      </c>
    </row>
    <row r="2761" spans="1:23" x14ac:dyDescent="0.2">
      <c r="A2761" s="71" t="s">
        <v>211</v>
      </c>
      <c r="B2761" s="71" t="s">
        <v>212</v>
      </c>
      <c r="C2761" s="71" t="s">
        <v>187</v>
      </c>
      <c r="D2761" s="71" t="s">
        <v>210</v>
      </c>
      <c r="E2761" s="71" t="s">
        <v>48</v>
      </c>
      <c r="F2761" s="71" t="s">
        <v>300</v>
      </c>
      <c r="G2761" s="88">
        <v>46192.688275462999</v>
      </c>
      <c r="H2761" s="89">
        <v>46192</v>
      </c>
      <c r="I2761" s="71" t="s">
        <v>336</v>
      </c>
      <c r="J2761" s="71">
        <v>0</v>
      </c>
      <c r="K2761" s="71" t="s">
        <v>302</v>
      </c>
      <c r="L2761" s="71">
        <f t="shared" si="387"/>
        <v>6</v>
      </c>
      <c r="M2761" s="71" t="str">
        <f>IFERROR(INDEX(KALENDER!$D$3:$D$132,MATCH(H2761,KALENDER!$A$3:$A$132,0)),"Di luar periode")</f>
        <v>Hari Kerja</v>
      </c>
      <c r="N2761" s="71">
        <f t="shared" si="388"/>
        <v>0</v>
      </c>
      <c r="O2761" s="71">
        <f t="shared" si="389"/>
        <v>1</v>
      </c>
      <c r="P2761" s="71">
        <f t="shared" si="390"/>
        <v>0</v>
      </c>
      <c r="Q2761" s="71">
        <f t="shared" si="391"/>
        <v>0</v>
      </c>
      <c r="R2761" s="71">
        <f t="shared" si="392"/>
        <v>0</v>
      </c>
      <c r="S2761" s="71">
        <f t="shared" si="393"/>
        <v>0</v>
      </c>
      <c r="T2761" s="71">
        <f t="shared" si="394"/>
        <v>0</v>
      </c>
      <c r="U2761" s="71">
        <f>IF(AND(N2761=1,V2761=1),IF(COUNTIFS(AKTIVITAS!$B$2:$B$3052,B2761,AKTIVITAS!$E$2:$E$3052,H2761)&gt;0,1,0),0)</f>
        <v>0</v>
      </c>
      <c r="V2761" s="71">
        <f>IFERROR(IF(AND(H2761&gt;=INDEX(PEMAGANG!$J$3:$J$36,MATCH(B2761,PEMAGANG!$C$3:$C$36,0)),H2761&lt;=INDEX(PEMAGANG!$K$3:$K$36,MATCH(B2761,PEMAGANG!$C$3:$C$36,0))),1,0),0)</f>
        <v>1</v>
      </c>
      <c r="W2761" s="71">
        <f t="shared" si="395"/>
        <v>0</v>
      </c>
    </row>
    <row r="2762" spans="1:23" x14ac:dyDescent="0.2">
      <c r="A2762" s="71" t="s">
        <v>211</v>
      </c>
      <c r="B2762" s="71" t="s">
        <v>212</v>
      </c>
      <c r="C2762" s="71" t="s">
        <v>187</v>
      </c>
      <c r="D2762" s="71" t="s">
        <v>210</v>
      </c>
      <c r="E2762" s="71" t="s">
        <v>48</v>
      </c>
      <c r="F2762" s="71" t="s">
        <v>298</v>
      </c>
      <c r="G2762" s="88">
        <v>46195.264131944401</v>
      </c>
      <c r="H2762" s="89">
        <v>46195</v>
      </c>
      <c r="I2762" s="71" t="s">
        <v>438</v>
      </c>
      <c r="J2762" s="71">
        <v>-70</v>
      </c>
      <c r="K2762" s="71" t="s">
        <v>302</v>
      </c>
      <c r="L2762" s="71">
        <f t="shared" si="387"/>
        <v>6</v>
      </c>
      <c r="M2762" s="71" t="str">
        <f>IFERROR(INDEX(KALENDER!$D$3:$D$132,MATCH(H2762,KALENDER!$A$3:$A$132,0)),"Di luar periode")</f>
        <v>Hari Kerja</v>
      </c>
      <c r="N2762" s="71">
        <f t="shared" si="388"/>
        <v>1</v>
      </c>
      <c r="O2762" s="71">
        <f t="shared" si="389"/>
        <v>1</v>
      </c>
      <c r="P2762" s="71">
        <f t="shared" si="390"/>
        <v>1</v>
      </c>
      <c r="Q2762" s="71">
        <f t="shared" si="391"/>
        <v>0</v>
      </c>
      <c r="R2762" s="71">
        <f t="shared" si="392"/>
        <v>0</v>
      </c>
      <c r="S2762" s="71">
        <f t="shared" si="393"/>
        <v>0</v>
      </c>
      <c r="T2762" s="71">
        <f t="shared" si="394"/>
        <v>0</v>
      </c>
      <c r="U2762" s="71">
        <f>IF(AND(N2762=1,V2762=1),IF(COUNTIFS(AKTIVITAS!$B$2:$B$3052,B2762,AKTIVITAS!$E$2:$E$3052,H2762)&gt;0,1,0),0)</f>
        <v>1</v>
      </c>
      <c r="V2762" s="71">
        <f>IFERROR(IF(AND(H2762&gt;=INDEX(PEMAGANG!$J$3:$J$36,MATCH(B2762,PEMAGANG!$C$3:$C$36,0)),H2762&lt;=INDEX(PEMAGANG!$K$3:$K$36,MATCH(B2762,PEMAGANG!$C$3:$C$36,0))),1,0),0)</f>
        <v>1</v>
      </c>
      <c r="W2762" s="71">
        <f t="shared" si="395"/>
        <v>1</v>
      </c>
    </row>
    <row r="2763" spans="1:23" x14ac:dyDescent="0.2">
      <c r="A2763" s="71" t="s">
        <v>211</v>
      </c>
      <c r="B2763" s="71" t="s">
        <v>212</v>
      </c>
      <c r="C2763" s="71" t="s">
        <v>187</v>
      </c>
      <c r="D2763" s="71" t="s">
        <v>210</v>
      </c>
      <c r="E2763" s="71" t="s">
        <v>48</v>
      </c>
      <c r="F2763" s="71" t="s">
        <v>300</v>
      </c>
      <c r="G2763" s="88">
        <v>46195.692557870403</v>
      </c>
      <c r="H2763" s="89">
        <v>46195</v>
      </c>
      <c r="I2763" s="71" t="s">
        <v>328</v>
      </c>
      <c r="J2763" s="71">
        <v>0</v>
      </c>
      <c r="K2763" s="71" t="s">
        <v>302</v>
      </c>
      <c r="L2763" s="71">
        <f t="shared" si="387"/>
        <v>6</v>
      </c>
      <c r="M2763" s="71" t="str">
        <f>IFERROR(INDEX(KALENDER!$D$3:$D$132,MATCH(H2763,KALENDER!$A$3:$A$132,0)),"Di luar periode")</f>
        <v>Hari Kerja</v>
      </c>
      <c r="N2763" s="71">
        <f t="shared" si="388"/>
        <v>0</v>
      </c>
      <c r="O2763" s="71">
        <f t="shared" si="389"/>
        <v>1</v>
      </c>
      <c r="P2763" s="71">
        <f t="shared" si="390"/>
        <v>0</v>
      </c>
      <c r="Q2763" s="71">
        <f t="shared" si="391"/>
        <v>0</v>
      </c>
      <c r="R2763" s="71">
        <f t="shared" si="392"/>
        <v>0</v>
      </c>
      <c r="S2763" s="71">
        <f t="shared" si="393"/>
        <v>0</v>
      </c>
      <c r="T2763" s="71">
        <f t="shared" si="394"/>
        <v>0</v>
      </c>
      <c r="U2763" s="71">
        <f>IF(AND(N2763=1,V2763=1),IF(COUNTIFS(AKTIVITAS!$B$2:$B$3052,B2763,AKTIVITAS!$E$2:$E$3052,H2763)&gt;0,1,0),0)</f>
        <v>0</v>
      </c>
      <c r="V2763" s="71">
        <f>IFERROR(IF(AND(H2763&gt;=INDEX(PEMAGANG!$J$3:$J$36,MATCH(B2763,PEMAGANG!$C$3:$C$36,0)),H2763&lt;=INDEX(PEMAGANG!$K$3:$K$36,MATCH(B2763,PEMAGANG!$C$3:$C$36,0))),1,0),0)</f>
        <v>1</v>
      </c>
      <c r="W2763" s="71">
        <f t="shared" si="395"/>
        <v>0</v>
      </c>
    </row>
    <row r="2764" spans="1:23" x14ac:dyDescent="0.2">
      <c r="A2764" s="71" t="s">
        <v>211</v>
      </c>
      <c r="B2764" s="71" t="s">
        <v>212</v>
      </c>
      <c r="C2764" s="71" t="s">
        <v>187</v>
      </c>
      <c r="D2764" s="71" t="s">
        <v>210</v>
      </c>
      <c r="E2764" s="71" t="s">
        <v>48</v>
      </c>
      <c r="F2764" s="71" t="s">
        <v>298</v>
      </c>
      <c r="G2764" s="88">
        <v>46196.270370370403</v>
      </c>
      <c r="H2764" s="89">
        <v>46196</v>
      </c>
      <c r="I2764" s="71" t="s">
        <v>496</v>
      </c>
      <c r="J2764" s="71">
        <v>-61</v>
      </c>
      <c r="K2764" s="71" t="s">
        <v>302</v>
      </c>
      <c r="L2764" s="71">
        <f t="shared" si="387"/>
        <v>6</v>
      </c>
      <c r="M2764" s="71" t="str">
        <f>IFERROR(INDEX(KALENDER!$D$3:$D$132,MATCH(H2764,KALENDER!$A$3:$A$132,0)),"Di luar periode")</f>
        <v>Hari Kerja</v>
      </c>
      <c r="N2764" s="71">
        <f t="shared" si="388"/>
        <v>1</v>
      </c>
      <c r="O2764" s="71">
        <f t="shared" si="389"/>
        <v>1</v>
      </c>
      <c r="P2764" s="71">
        <f t="shared" si="390"/>
        <v>1</v>
      </c>
      <c r="Q2764" s="71">
        <f t="shared" si="391"/>
        <v>0</v>
      </c>
      <c r="R2764" s="71">
        <f t="shared" si="392"/>
        <v>0</v>
      </c>
      <c r="S2764" s="71">
        <f t="shared" si="393"/>
        <v>0</v>
      </c>
      <c r="T2764" s="71">
        <f t="shared" si="394"/>
        <v>0</v>
      </c>
      <c r="U2764" s="71">
        <f>IF(AND(N2764=1,V2764=1),IF(COUNTIFS(AKTIVITAS!$B$2:$B$3052,B2764,AKTIVITAS!$E$2:$E$3052,H2764)&gt;0,1,0),0)</f>
        <v>1</v>
      </c>
      <c r="V2764" s="71">
        <f>IFERROR(IF(AND(H2764&gt;=INDEX(PEMAGANG!$J$3:$J$36,MATCH(B2764,PEMAGANG!$C$3:$C$36,0)),H2764&lt;=INDEX(PEMAGANG!$K$3:$K$36,MATCH(B2764,PEMAGANG!$C$3:$C$36,0))),1,0),0)</f>
        <v>1</v>
      </c>
      <c r="W2764" s="71">
        <f t="shared" si="395"/>
        <v>1</v>
      </c>
    </row>
    <row r="2765" spans="1:23" x14ac:dyDescent="0.2">
      <c r="A2765" s="71" t="s">
        <v>211</v>
      </c>
      <c r="B2765" s="71" t="s">
        <v>212</v>
      </c>
      <c r="C2765" s="71" t="s">
        <v>187</v>
      </c>
      <c r="D2765" s="71" t="s">
        <v>210</v>
      </c>
      <c r="E2765" s="71" t="s">
        <v>48</v>
      </c>
      <c r="F2765" s="71" t="s">
        <v>300</v>
      </c>
      <c r="G2765" s="88">
        <v>46196.687835648198</v>
      </c>
      <c r="H2765" s="89">
        <v>46196</v>
      </c>
      <c r="I2765" s="71" t="s">
        <v>330</v>
      </c>
      <c r="J2765" s="71">
        <v>0</v>
      </c>
      <c r="K2765" s="71" t="s">
        <v>302</v>
      </c>
      <c r="L2765" s="71">
        <f t="shared" si="387"/>
        <v>6</v>
      </c>
      <c r="M2765" s="71" t="str">
        <f>IFERROR(INDEX(KALENDER!$D$3:$D$132,MATCH(H2765,KALENDER!$A$3:$A$132,0)),"Di luar periode")</f>
        <v>Hari Kerja</v>
      </c>
      <c r="N2765" s="71">
        <f t="shared" si="388"/>
        <v>0</v>
      </c>
      <c r="O2765" s="71">
        <f t="shared" si="389"/>
        <v>1</v>
      </c>
      <c r="P2765" s="71">
        <f t="shared" si="390"/>
        <v>0</v>
      </c>
      <c r="Q2765" s="71">
        <f t="shared" si="391"/>
        <v>0</v>
      </c>
      <c r="R2765" s="71">
        <f t="shared" si="392"/>
        <v>0</v>
      </c>
      <c r="S2765" s="71">
        <f t="shared" si="393"/>
        <v>0</v>
      </c>
      <c r="T2765" s="71">
        <f t="shared" si="394"/>
        <v>0</v>
      </c>
      <c r="U2765" s="71">
        <f>IF(AND(N2765=1,V2765=1),IF(COUNTIFS(AKTIVITAS!$B$2:$B$3052,B2765,AKTIVITAS!$E$2:$E$3052,H2765)&gt;0,1,0),0)</f>
        <v>0</v>
      </c>
      <c r="V2765" s="71">
        <f>IFERROR(IF(AND(H2765&gt;=INDEX(PEMAGANG!$J$3:$J$36,MATCH(B2765,PEMAGANG!$C$3:$C$36,0)),H2765&lt;=INDEX(PEMAGANG!$K$3:$K$36,MATCH(B2765,PEMAGANG!$C$3:$C$36,0))),1,0),0)</f>
        <v>1</v>
      </c>
      <c r="W2765" s="71">
        <f t="shared" si="395"/>
        <v>0</v>
      </c>
    </row>
    <row r="2766" spans="1:23" x14ac:dyDescent="0.2">
      <c r="A2766" s="71" t="s">
        <v>211</v>
      </c>
      <c r="B2766" s="71" t="s">
        <v>212</v>
      </c>
      <c r="C2766" s="71" t="s">
        <v>187</v>
      </c>
      <c r="D2766" s="71" t="s">
        <v>210</v>
      </c>
      <c r="E2766" s="71" t="s">
        <v>48</v>
      </c>
      <c r="F2766" s="71" t="s">
        <v>298</v>
      </c>
      <c r="G2766" s="88">
        <v>46198.278101851902</v>
      </c>
      <c r="H2766" s="89">
        <v>46198</v>
      </c>
      <c r="I2766" s="71" t="s">
        <v>484</v>
      </c>
      <c r="J2766" s="71">
        <v>-50</v>
      </c>
      <c r="K2766" s="71" t="s">
        <v>302</v>
      </c>
      <c r="L2766" s="71">
        <f t="shared" si="387"/>
        <v>6</v>
      </c>
      <c r="M2766" s="71" t="str">
        <f>IFERROR(INDEX(KALENDER!$D$3:$D$132,MATCH(H2766,KALENDER!$A$3:$A$132,0)),"Di luar periode")</f>
        <v>Hari Kerja</v>
      </c>
      <c r="N2766" s="71">
        <f t="shared" si="388"/>
        <v>1</v>
      </c>
      <c r="O2766" s="71">
        <f t="shared" si="389"/>
        <v>1</v>
      </c>
      <c r="P2766" s="71">
        <f t="shared" si="390"/>
        <v>1</v>
      </c>
      <c r="Q2766" s="71">
        <f t="shared" si="391"/>
        <v>0</v>
      </c>
      <c r="R2766" s="71">
        <f t="shared" si="392"/>
        <v>0</v>
      </c>
      <c r="S2766" s="71">
        <f t="shared" si="393"/>
        <v>0</v>
      </c>
      <c r="T2766" s="71">
        <f t="shared" si="394"/>
        <v>0</v>
      </c>
      <c r="U2766" s="71">
        <f>IF(AND(N2766=1,V2766=1),IF(COUNTIFS(AKTIVITAS!$B$2:$B$3052,B2766,AKTIVITAS!$E$2:$E$3052,H2766)&gt;0,1,0),0)</f>
        <v>1</v>
      </c>
      <c r="V2766" s="71">
        <f>IFERROR(IF(AND(H2766&gt;=INDEX(PEMAGANG!$J$3:$J$36,MATCH(B2766,PEMAGANG!$C$3:$C$36,0)),H2766&lt;=INDEX(PEMAGANG!$K$3:$K$36,MATCH(B2766,PEMAGANG!$C$3:$C$36,0))),1,0),0)</f>
        <v>1</v>
      </c>
      <c r="W2766" s="71">
        <f t="shared" si="395"/>
        <v>1</v>
      </c>
    </row>
    <row r="2767" spans="1:23" x14ac:dyDescent="0.2">
      <c r="A2767" s="71" t="s">
        <v>211</v>
      </c>
      <c r="B2767" s="71" t="s">
        <v>212</v>
      </c>
      <c r="C2767" s="71" t="s">
        <v>187</v>
      </c>
      <c r="D2767" s="71" t="s">
        <v>210</v>
      </c>
      <c r="E2767" s="71" t="s">
        <v>48</v>
      </c>
      <c r="F2767" s="71" t="s">
        <v>300</v>
      </c>
      <c r="G2767" s="88">
        <v>46198.688321759299</v>
      </c>
      <c r="H2767" s="89">
        <v>46198</v>
      </c>
      <c r="I2767" s="71" t="s">
        <v>336</v>
      </c>
      <c r="J2767" s="71">
        <v>0</v>
      </c>
      <c r="K2767" s="71" t="s">
        <v>302</v>
      </c>
      <c r="L2767" s="71">
        <f t="shared" si="387"/>
        <v>6</v>
      </c>
      <c r="M2767" s="71" t="str">
        <f>IFERROR(INDEX(KALENDER!$D$3:$D$132,MATCH(H2767,KALENDER!$A$3:$A$132,0)),"Di luar periode")</f>
        <v>Hari Kerja</v>
      </c>
      <c r="N2767" s="71">
        <f t="shared" si="388"/>
        <v>0</v>
      </c>
      <c r="O2767" s="71">
        <f t="shared" si="389"/>
        <v>1</v>
      </c>
      <c r="P2767" s="71">
        <f t="shared" si="390"/>
        <v>0</v>
      </c>
      <c r="Q2767" s="71">
        <f t="shared" si="391"/>
        <v>0</v>
      </c>
      <c r="R2767" s="71">
        <f t="shared" si="392"/>
        <v>0</v>
      </c>
      <c r="S2767" s="71">
        <f t="shared" si="393"/>
        <v>0</v>
      </c>
      <c r="T2767" s="71">
        <f t="shared" si="394"/>
        <v>0</v>
      </c>
      <c r="U2767" s="71">
        <f>IF(AND(N2767=1,V2767=1),IF(COUNTIFS(AKTIVITAS!$B$2:$B$3052,B2767,AKTIVITAS!$E$2:$E$3052,H2767)&gt;0,1,0),0)</f>
        <v>0</v>
      </c>
      <c r="V2767" s="71">
        <f>IFERROR(IF(AND(H2767&gt;=INDEX(PEMAGANG!$J$3:$J$36,MATCH(B2767,PEMAGANG!$C$3:$C$36,0)),H2767&lt;=INDEX(PEMAGANG!$K$3:$K$36,MATCH(B2767,PEMAGANG!$C$3:$C$36,0))),1,0),0)</f>
        <v>1</v>
      </c>
      <c r="W2767" s="71">
        <f t="shared" si="395"/>
        <v>0</v>
      </c>
    </row>
    <row r="2768" spans="1:23" x14ac:dyDescent="0.2">
      <c r="A2768" s="71" t="s">
        <v>211</v>
      </c>
      <c r="B2768" s="71" t="s">
        <v>212</v>
      </c>
      <c r="C2768" s="71" t="s">
        <v>187</v>
      </c>
      <c r="D2768" s="71" t="s">
        <v>210</v>
      </c>
      <c r="E2768" s="71" t="s">
        <v>48</v>
      </c>
      <c r="F2768" s="71" t="s">
        <v>298</v>
      </c>
      <c r="G2768" s="88">
        <v>46199.271666666697</v>
      </c>
      <c r="H2768" s="89">
        <v>46199</v>
      </c>
      <c r="I2768" s="71" t="s">
        <v>332</v>
      </c>
      <c r="J2768" s="71">
        <v>-59</v>
      </c>
      <c r="K2768" s="71" t="s">
        <v>302</v>
      </c>
      <c r="L2768" s="71">
        <f t="shared" si="387"/>
        <v>6</v>
      </c>
      <c r="M2768" s="71" t="str">
        <f>IFERROR(INDEX(KALENDER!$D$3:$D$132,MATCH(H2768,KALENDER!$A$3:$A$132,0)),"Di luar periode")</f>
        <v>Hari Kerja</v>
      </c>
      <c r="N2768" s="71">
        <f t="shared" si="388"/>
        <v>1</v>
      </c>
      <c r="O2768" s="71">
        <f t="shared" si="389"/>
        <v>1</v>
      </c>
      <c r="P2768" s="71">
        <f t="shared" si="390"/>
        <v>1</v>
      </c>
      <c r="Q2768" s="71">
        <f t="shared" si="391"/>
        <v>0</v>
      </c>
      <c r="R2768" s="71">
        <f t="shared" si="392"/>
        <v>0</v>
      </c>
      <c r="S2768" s="71">
        <f t="shared" si="393"/>
        <v>0</v>
      </c>
      <c r="T2768" s="71">
        <f t="shared" si="394"/>
        <v>0</v>
      </c>
      <c r="U2768" s="71">
        <f>IF(AND(N2768=1,V2768=1),IF(COUNTIFS(AKTIVITAS!$B$2:$B$3052,B2768,AKTIVITAS!$E$2:$E$3052,H2768)&gt;0,1,0),0)</f>
        <v>1</v>
      </c>
      <c r="V2768" s="71">
        <f>IFERROR(IF(AND(H2768&gt;=INDEX(PEMAGANG!$J$3:$J$36,MATCH(B2768,PEMAGANG!$C$3:$C$36,0)),H2768&lt;=INDEX(PEMAGANG!$K$3:$K$36,MATCH(B2768,PEMAGANG!$C$3:$C$36,0))),1,0),0)</f>
        <v>1</v>
      </c>
      <c r="W2768" s="71">
        <f t="shared" si="395"/>
        <v>1</v>
      </c>
    </row>
    <row r="2769" spans="1:23" x14ac:dyDescent="0.2">
      <c r="A2769" s="71" t="s">
        <v>211</v>
      </c>
      <c r="B2769" s="71" t="s">
        <v>212</v>
      </c>
      <c r="C2769" s="71" t="s">
        <v>187</v>
      </c>
      <c r="D2769" s="71" t="s">
        <v>210</v>
      </c>
      <c r="E2769" s="71" t="s">
        <v>48</v>
      </c>
      <c r="F2769" s="71" t="s">
        <v>300</v>
      </c>
      <c r="G2769" s="88">
        <v>46199.688449074099</v>
      </c>
      <c r="H2769" s="89">
        <v>46199</v>
      </c>
      <c r="I2769" s="71" t="s">
        <v>336</v>
      </c>
      <c r="J2769" s="71">
        <v>0</v>
      </c>
      <c r="K2769" s="71" t="s">
        <v>302</v>
      </c>
      <c r="L2769" s="71">
        <f t="shared" si="387"/>
        <v>6</v>
      </c>
      <c r="M2769" s="71" t="str">
        <f>IFERROR(INDEX(KALENDER!$D$3:$D$132,MATCH(H2769,KALENDER!$A$3:$A$132,0)),"Di luar periode")</f>
        <v>Hari Kerja</v>
      </c>
      <c r="N2769" s="71">
        <f t="shared" si="388"/>
        <v>0</v>
      </c>
      <c r="O2769" s="71">
        <f t="shared" si="389"/>
        <v>1</v>
      </c>
      <c r="P2769" s="71">
        <f t="shared" si="390"/>
        <v>0</v>
      </c>
      <c r="Q2769" s="71">
        <f t="shared" si="391"/>
        <v>0</v>
      </c>
      <c r="R2769" s="71">
        <f t="shared" si="392"/>
        <v>0</v>
      </c>
      <c r="S2769" s="71">
        <f t="shared" si="393"/>
        <v>0</v>
      </c>
      <c r="T2769" s="71">
        <f t="shared" si="394"/>
        <v>0</v>
      </c>
      <c r="U2769" s="71">
        <f>IF(AND(N2769=1,V2769=1),IF(COUNTIFS(AKTIVITAS!$B$2:$B$3052,B2769,AKTIVITAS!$E$2:$E$3052,H2769)&gt;0,1,0),0)</f>
        <v>0</v>
      </c>
      <c r="V2769" s="71">
        <f>IFERROR(IF(AND(H2769&gt;=INDEX(PEMAGANG!$J$3:$J$36,MATCH(B2769,PEMAGANG!$C$3:$C$36,0)),H2769&lt;=INDEX(PEMAGANG!$K$3:$K$36,MATCH(B2769,PEMAGANG!$C$3:$C$36,0))),1,0),0)</f>
        <v>1</v>
      </c>
      <c r="W2769" s="71">
        <f t="shared" si="395"/>
        <v>0</v>
      </c>
    </row>
    <row r="2770" spans="1:23" x14ac:dyDescent="0.2">
      <c r="A2770" s="71" t="s">
        <v>211</v>
      </c>
      <c r="B2770" s="71" t="s">
        <v>212</v>
      </c>
      <c r="C2770" s="71" t="s">
        <v>187</v>
      </c>
      <c r="D2770" s="71" t="s">
        <v>210</v>
      </c>
      <c r="E2770" s="71" t="s">
        <v>48</v>
      </c>
      <c r="F2770" s="71" t="s">
        <v>298</v>
      </c>
      <c r="G2770" s="88">
        <v>46202.273356481499</v>
      </c>
      <c r="H2770" s="89">
        <v>46202</v>
      </c>
      <c r="I2770" s="71" t="s">
        <v>505</v>
      </c>
      <c r="J2770" s="71">
        <v>-57</v>
      </c>
      <c r="K2770" s="71" t="s">
        <v>302</v>
      </c>
      <c r="L2770" s="71">
        <f t="shared" si="387"/>
        <v>6</v>
      </c>
      <c r="M2770" s="71" t="str">
        <f>IFERROR(INDEX(KALENDER!$D$3:$D$132,MATCH(H2770,KALENDER!$A$3:$A$132,0)),"Di luar periode")</f>
        <v>Hari Kerja</v>
      </c>
      <c r="N2770" s="71">
        <f t="shared" si="388"/>
        <v>1</v>
      </c>
      <c r="O2770" s="71">
        <f t="shared" si="389"/>
        <v>1</v>
      </c>
      <c r="P2770" s="71">
        <f t="shared" si="390"/>
        <v>1</v>
      </c>
      <c r="Q2770" s="71">
        <f t="shared" si="391"/>
        <v>0</v>
      </c>
      <c r="R2770" s="71">
        <f t="shared" si="392"/>
        <v>0</v>
      </c>
      <c r="S2770" s="71">
        <f t="shared" si="393"/>
        <v>0</v>
      </c>
      <c r="T2770" s="71">
        <f t="shared" si="394"/>
        <v>0</v>
      </c>
      <c r="U2770" s="71">
        <f>IF(AND(N2770=1,V2770=1),IF(COUNTIFS(AKTIVITAS!$B$2:$B$3052,B2770,AKTIVITAS!$E$2:$E$3052,H2770)&gt;0,1,0),0)</f>
        <v>1</v>
      </c>
      <c r="V2770" s="71">
        <f>IFERROR(IF(AND(H2770&gt;=INDEX(PEMAGANG!$J$3:$J$36,MATCH(B2770,PEMAGANG!$C$3:$C$36,0)),H2770&lt;=INDEX(PEMAGANG!$K$3:$K$36,MATCH(B2770,PEMAGANG!$C$3:$C$36,0))),1,0),0)</f>
        <v>1</v>
      </c>
      <c r="W2770" s="71">
        <f t="shared" si="395"/>
        <v>1</v>
      </c>
    </row>
    <row r="2771" spans="1:23" x14ac:dyDescent="0.2">
      <c r="A2771" s="71" t="s">
        <v>211</v>
      </c>
      <c r="B2771" s="71" t="s">
        <v>212</v>
      </c>
      <c r="C2771" s="71" t="s">
        <v>187</v>
      </c>
      <c r="D2771" s="71" t="s">
        <v>210</v>
      </c>
      <c r="E2771" s="71" t="s">
        <v>48</v>
      </c>
      <c r="F2771" s="71" t="s">
        <v>300</v>
      </c>
      <c r="G2771" s="88">
        <v>46202.689039351899</v>
      </c>
      <c r="H2771" s="89">
        <v>46202</v>
      </c>
      <c r="I2771" s="71" t="s">
        <v>306</v>
      </c>
      <c r="J2771" s="71">
        <v>0</v>
      </c>
      <c r="K2771" s="71" t="s">
        <v>302</v>
      </c>
      <c r="L2771" s="71">
        <f t="shared" si="387"/>
        <v>6</v>
      </c>
      <c r="M2771" s="71" t="str">
        <f>IFERROR(INDEX(KALENDER!$D$3:$D$132,MATCH(H2771,KALENDER!$A$3:$A$132,0)),"Di luar periode")</f>
        <v>Hari Kerja</v>
      </c>
      <c r="N2771" s="71">
        <f t="shared" si="388"/>
        <v>0</v>
      </c>
      <c r="O2771" s="71">
        <f t="shared" si="389"/>
        <v>1</v>
      </c>
      <c r="P2771" s="71">
        <f t="shared" si="390"/>
        <v>0</v>
      </c>
      <c r="Q2771" s="71">
        <f t="shared" si="391"/>
        <v>0</v>
      </c>
      <c r="R2771" s="71">
        <f t="shared" si="392"/>
        <v>0</v>
      </c>
      <c r="S2771" s="71">
        <f t="shared" si="393"/>
        <v>0</v>
      </c>
      <c r="T2771" s="71">
        <f t="shared" si="394"/>
        <v>0</v>
      </c>
      <c r="U2771" s="71">
        <f>IF(AND(N2771=1,V2771=1),IF(COUNTIFS(AKTIVITAS!$B$2:$B$3052,B2771,AKTIVITAS!$E$2:$E$3052,H2771)&gt;0,1,0),0)</f>
        <v>0</v>
      </c>
      <c r="V2771" s="71">
        <f>IFERROR(IF(AND(H2771&gt;=INDEX(PEMAGANG!$J$3:$J$36,MATCH(B2771,PEMAGANG!$C$3:$C$36,0)),H2771&lt;=INDEX(PEMAGANG!$K$3:$K$36,MATCH(B2771,PEMAGANG!$C$3:$C$36,0))),1,0),0)</f>
        <v>1</v>
      </c>
      <c r="W2771" s="71">
        <f t="shared" si="395"/>
        <v>0</v>
      </c>
    </row>
    <row r="2772" spans="1:23" x14ac:dyDescent="0.2">
      <c r="A2772" s="71" t="s">
        <v>211</v>
      </c>
      <c r="B2772" s="71" t="s">
        <v>212</v>
      </c>
      <c r="C2772" s="71" t="s">
        <v>187</v>
      </c>
      <c r="D2772" s="71" t="s">
        <v>210</v>
      </c>
      <c r="E2772" s="71" t="s">
        <v>48</v>
      </c>
      <c r="F2772" s="71" t="s">
        <v>298</v>
      </c>
      <c r="G2772" s="88">
        <v>46203.272881944496</v>
      </c>
      <c r="H2772" s="89">
        <v>46203</v>
      </c>
      <c r="I2772" s="71" t="s">
        <v>453</v>
      </c>
      <c r="J2772" s="71">
        <v>-58</v>
      </c>
      <c r="K2772" s="71" t="s">
        <v>302</v>
      </c>
      <c r="L2772" s="71">
        <f t="shared" si="387"/>
        <v>6</v>
      </c>
      <c r="M2772" s="71" t="str">
        <f>IFERROR(INDEX(KALENDER!$D$3:$D$132,MATCH(H2772,KALENDER!$A$3:$A$132,0)),"Di luar periode")</f>
        <v>Hari Kerja</v>
      </c>
      <c r="N2772" s="71">
        <f t="shared" si="388"/>
        <v>1</v>
      </c>
      <c r="O2772" s="71">
        <f t="shared" si="389"/>
        <v>1</v>
      </c>
      <c r="P2772" s="71">
        <f t="shared" si="390"/>
        <v>1</v>
      </c>
      <c r="Q2772" s="71">
        <f t="shared" si="391"/>
        <v>0</v>
      </c>
      <c r="R2772" s="71">
        <f t="shared" si="392"/>
        <v>0</v>
      </c>
      <c r="S2772" s="71">
        <f t="shared" si="393"/>
        <v>0</v>
      </c>
      <c r="T2772" s="71">
        <f t="shared" si="394"/>
        <v>1</v>
      </c>
      <c r="U2772" s="71">
        <f>IF(AND(N2772=1,V2772=1),IF(COUNTIFS(AKTIVITAS!$B$2:$B$3052,B2772,AKTIVITAS!$E$2:$E$3052,H2772)&gt;0,1,0),0)</f>
        <v>0</v>
      </c>
      <c r="V2772" s="71">
        <f>IFERROR(IF(AND(H2772&gt;=INDEX(PEMAGANG!$J$3:$J$36,MATCH(B2772,PEMAGANG!$C$3:$C$36,0)),H2772&lt;=INDEX(PEMAGANG!$K$3:$K$36,MATCH(B2772,PEMAGANG!$C$3:$C$36,0))),1,0),0)</f>
        <v>1</v>
      </c>
      <c r="W2772" s="71">
        <f t="shared" si="395"/>
        <v>1</v>
      </c>
    </row>
    <row r="2773" spans="1:23" x14ac:dyDescent="0.2">
      <c r="A2773" s="71" t="s">
        <v>211</v>
      </c>
      <c r="B2773" s="71" t="s">
        <v>212</v>
      </c>
      <c r="C2773" s="71" t="s">
        <v>187</v>
      </c>
      <c r="D2773" s="71" t="s">
        <v>210</v>
      </c>
      <c r="E2773" s="71" t="s">
        <v>48</v>
      </c>
      <c r="F2773" s="71" t="s">
        <v>298</v>
      </c>
      <c r="G2773" s="88">
        <v>46205.282685185201</v>
      </c>
      <c r="H2773" s="89">
        <v>46205</v>
      </c>
      <c r="I2773" s="71" t="s">
        <v>506</v>
      </c>
      <c r="J2773" s="71">
        <v>-43</v>
      </c>
      <c r="K2773" s="71" t="s">
        <v>302</v>
      </c>
      <c r="L2773" s="71">
        <f t="shared" si="387"/>
        <v>7</v>
      </c>
      <c r="M2773" s="71" t="str">
        <f>IFERROR(INDEX(KALENDER!$D$3:$D$132,MATCH(H2773,KALENDER!$A$3:$A$132,0)),"Di luar periode")</f>
        <v>Hari Kerja</v>
      </c>
      <c r="N2773" s="71">
        <f t="shared" si="388"/>
        <v>1</v>
      </c>
      <c r="O2773" s="71">
        <f t="shared" si="389"/>
        <v>1</v>
      </c>
      <c r="P2773" s="71">
        <f t="shared" si="390"/>
        <v>0</v>
      </c>
      <c r="Q2773" s="71">
        <f t="shared" si="391"/>
        <v>1</v>
      </c>
      <c r="R2773" s="71">
        <f t="shared" si="392"/>
        <v>0</v>
      </c>
      <c r="S2773" s="71">
        <f t="shared" si="393"/>
        <v>0</v>
      </c>
      <c r="T2773" s="71">
        <f t="shared" si="394"/>
        <v>0</v>
      </c>
      <c r="U2773" s="71">
        <f>IF(AND(N2773=1,V2773=1),IF(COUNTIFS(AKTIVITAS!$B$2:$B$3052,B2773,AKTIVITAS!$E$2:$E$3052,H2773)&gt;0,1,0),0)</f>
        <v>0</v>
      </c>
      <c r="V2773" s="71">
        <f>IFERROR(IF(AND(H2773&gt;=INDEX(PEMAGANG!$J$3:$J$36,MATCH(B2773,PEMAGANG!$C$3:$C$36,0)),H2773&lt;=INDEX(PEMAGANG!$K$3:$K$36,MATCH(B2773,PEMAGANG!$C$3:$C$36,0))),1,0),0)</f>
        <v>0</v>
      </c>
      <c r="W2773" s="71">
        <f t="shared" si="395"/>
        <v>0</v>
      </c>
    </row>
    <row r="2774" spans="1:23" x14ac:dyDescent="0.2">
      <c r="A2774" s="71" t="s">
        <v>227</v>
      </c>
      <c r="B2774" s="71" t="s">
        <v>228</v>
      </c>
      <c r="C2774" s="71" t="s">
        <v>187</v>
      </c>
      <c r="D2774" s="71" t="s">
        <v>229</v>
      </c>
      <c r="E2774" s="71" t="s">
        <v>39</v>
      </c>
      <c r="F2774" s="71" t="s">
        <v>298</v>
      </c>
      <c r="G2774" s="88">
        <v>46178.4666782407</v>
      </c>
      <c r="H2774" s="89">
        <v>46178</v>
      </c>
      <c r="I2774" s="71" t="s">
        <v>670</v>
      </c>
      <c r="J2774" s="71">
        <v>222</v>
      </c>
      <c r="K2774" s="71" t="s">
        <v>293</v>
      </c>
      <c r="L2774" s="71">
        <f t="shared" si="387"/>
        <v>6</v>
      </c>
      <c r="M2774" s="71" t="str">
        <f>IFERROR(INDEX(KALENDER!$D$3:$D$132,MATCH(H2774,KALENDER!$A$3:$A$132,0)),"Di luar periode")</f>
        <v>Hari Kerja</v>
      </c>
      <c r="N2774" s="71">
        <f t="shared" si="388"/>
        <v>1</v>
      </c>
      <c r="O2774" s="71">
        <f t="shared" si="389"/>
        <v>1</v>
      </c>
      <c r="P2774" s="71">
        <f t="shared" si="390"/>
        <v>1</v>
      </c>
      <c r="Q2774" s="71">
        <f t="shared" si="391"/>
        <v>0</v>
      </c>
      <c r="R2774" s="71">
        <f t="shared" si="392"/>
        <v>1</v>
      </c>
      <c r="S2774" s="71">
        <f t="shared" si="393"/>
        <v>222</v>
      </c>
      <c r="T2774" s="71">
        <f t="shared" si="394"/>
        <v>0</v>
      </c>
      <c r="U2774" s="71">
        <f>IF(AND(N2774=1,V2774=1),IF(COUNTIFS(AKTIVITAS!$B$2:$B$3052,B2774,AKTIVITAS!$E$2:$E$3052,H2774)&gt;0,1,0),0)</f>
        <v>1</v>
      </c>
      <c r="V2774" s="71">
        <f>IFERROR(IF(AND(H2774&gt;=INDEX(PEMAGANG!$J$3:$J$36,MATCH(B2774,PEMAGANG!$C$3:$C$36,0)),H2774&lt;=INDEX(PEMAGANG!$K$3:$K$36,MATCH(B2774,PEMAGANG!$C$3:$C$36,0))),1,0),0)</f>
        <v>1</v>
      </c>
      <c r="W2774" s="71">
        <f t="shared" si="395"/>
        <v>1</v>
      </c>
    </row>
    <row r="2775" spans="1:23" x14ac:dyDescent="0.2">
      <c r="A2775" s="71" t="s">
        <v>227</v>
      </c>
      <c r="B2775" s="71" t="s">
        <v>228</v>
      </c>
      <c r="C2775" s="71" t="s">
        <v>187</v>
      </c>
      <c r="D2775" s="71" t="s">
        <v>229</v>
      </c>
      <c r="E2775" s="71" t="s">
        <v>39</v>
      </c>
      <c r="F2775" s="71" t="s">
        <v>300</v>
      </c>
      <c r="G2775" s="88">
        <v>46178.689351851899</v>
      </c>
      <c r="H2775" s="89">
        <v>46178</v>
      </c>
      <c r="I2775" s="71" t="s">
        <v>306</v>
      </c>
      <c r="J2775" s="71">
        <v>0</v>
      </c>
      <c r="K2775" s="71" t="s">
        <v>302</v>
      </c>
      <c r="L2775" s="71">
        <f t="shared" si="387"/>
        <v>6</v>
      </c>
      <c r="M2775" s="71" t="str">
        <f>IFERROR(INDEX(KALENDER!$D$3:$D$132,MATCH(H2775,KALENDER!$A$3:$A$132,0)),"Di luar periode")</f>
        <v>Hari Kerja</v>
      </c>
      <c r="N2775" s="71">
        <f t="shared" si="388"/>
        <v>0</v>
      </c>
      <c r="O2775" s="71">
        <f t="shared" si="389"/>
        <v>1</v>
      </c>
      <c r="P2775" s="71">
        <f t="shared" si="390"/>
        <v>0</v>
      </c>
      <c r="Q2775" s="71">
        <f t="shared" si="391"/>
        <v>0</v>
      </c>
      <c r="R2775" s="71">
        <f t="shared" si="392"/>
        <v>0</v>
      </c>
      <c r="S2775" s="71">
        <f t="shared" si="393"/>
        <v>0</v>
      </c>
      <c r="T2775" s="71">
        <f t="shared" si="394"/>
        <v>0</v>
      </c>
      <c r="U2775" s="71">
        <f>IF(AND(N2775=1,V2775=1),IF(COUNTIFS(AKTIVITAS!$B$2:$B$3052,B2775,AKTIVITAS!$E$2:$E$3052,H2775)&gt;0,1,0),0)</f>
        <v>0</v>
      </c>
      <c r="V2775" s="71">
        <f>IFERROR(IF(AND(H2775&gt;=INDEX(PEMAGANG!$J$3:$J$36,MATCH(B2775,PEMAGANG!$C$3:$C$36,0)),H2775&lt;=INDEX(PEMAGANG!$K$3:$K$36,MATCH(B2775,PEMAGANG!$C$3:$C$36,0))),1,0),0)</f>
        <v>1</v>
      </c>
      <c r="W2775" s="71">
        <f t="shared" si="395"/>
        <v>0</v>
      </c>
    </row>
    <row r="2776" spans="1:23" x14ac:dyDescent="0.2">
      <c r="A2776" s="71" t="s">
        <v>227</v>
      </c>
      <c r="B2776" s="71" t="s">
        <v>228</v>
      </c>
      <c r="C2776" s="71" t="s">
        <v>187</v>
      </c>
      <c r="D2776" s="71" t="s">
        <v>229</v>
      </c>
      <c r="E2776" s="71" t="s">
        <v>39</v>
      </c>
      <c r="F2776" s="71" t="s">
        <v>298</v>
      </c>
      <c r="G2776" s="88">
        <v>46181.301759259302</v>
      </c>
      <c r="H2776" s="89">
        <v>46181</v>
      </c>
      <c r="I2776" s="71" t="s">
        <v>416</v>
      </c>
      <c r="J2776" s="71">
        <v>-16</v>
      </c>
      <c r="K2776" s="71" t="s">
        <v>302</v>
      </c>
      <c r="L2776" s="71">
        <f t="shared" si="387"/>
        <v>6</v>
      </c>
      <c r="M2776" s="71" t="str">
        <f>IFERROR(INDEX(KALENDER!$D$3:$D$132,MATCH(H2776,KALENDER!$A$3:$A$132,0)),"Di luar periode")</f>
        <v>Hari Kerja</v>
      </c>
      <c r="N2776" s="71">
        <f t="shared" si="388"/>
        <v>1</v>
      </c>
      <c r="O2776" s="71">
        <f t="shared" si="389"/>
        <v>1</v>
      </c>
      <c r="P2776" s="71">
        <f t="shared" si="390"/>
        <v>1</v>
      </c>
      <c r="Q2776" s="71">
        <f t="shared" si="391"/>
        <v>0</v>
      </c>
      <c r="R2776" s="71">
        <f t="shared" si="392"/>
        <v>0</v>
      </c>
      <c r="S2776" s="71">
        <f t="shared" si="393"/>
        <v>0</v>
      </c>
      <c r="T2776" s="71">
        <f t="shared" si="394"/>
        <v>0</v>
      </c>
      <c r="U2776" s="71">
        <f>IF(AND(N2776=1,V2776=1),IF(COUNTIFS(AKTIVITAS!$B$2:$B$3052,B2776,AKTIVITAS!$E$2:$E$3052,H2776)&gt;0,1,0),0)</f>
        <v>1</v>
      </c>
      <c r="V2776" s="71">
        <f>IFERROR(IF(AND(H2776&gt;=INDEX(PEMAGANG!$J$3:$J$36,MATCH(B2776,PEMAGANG!$C$3:$C$36,0)),H2776&lt;=INDEX(PEMAGANG!$K$3:$K$36,MATCH(B2776,PEMAGANG!$C$3:$C$36,0))),1,0),0)</f>
        <v>1</v>
      </c>
      <c r="W2776" s="71">
        <f t="shared" si="395"/>
        <v>1</v>
      </c>
    </row>
    <row r="2777" spans="1:23" x14ac:dyDescent="0.2">
      <c r="A2777" s="71" t="s">
        <v>227</v>
      </c>
      <c r="B2777" s="71" t="s">
        <v>228</v>
      </c>
      <c r="C2777" s="71" t="s">
        <v>187</v>
      </c>
      <c r="D2777" s="71" t="s">
        <v>229</v>
      </c>
      <c r="E2777" s="71" t="s">
        <v>39</v>
      </c>
      <c r="F2777" s="71" t="s">
        <v>300</v>
      </c>
      <c r="G2777" s="88">
        <v>46181.688564814802</v>
      </c>
      <c r="H2777" s="89">
        <v>46181</v>
      </c>
      <c r="I2777" s="71" t="s">
        <v>336</v>
      </c>
      <c r="J2777" s="71">
        <v>0</v>
      </c>
      <c r="K2777" s="71" t="s">
        <v>302</v>
      </c>
      <c r="L2777" s="71">
        <f t="shared" si="387"/>
        <v>6</v>
      </c>
      <c r="M2777" s="71" t="str">
        <f>IFERROR(INDEX(KALENDER!$D$3:$D$132,MATCH(H2777,KALENDER!$A$3:$A$132,0)),"Di luar periode")</f>
        <v>Hari Kerja</v>
      </c>
      <c r="N2777" s="71">
        <f t="shared" si="388"/>
        <v>0</v>
      </c>
      <c r="O2777" s="71">
        <f t="shared" si="389"/>
        <v>1</v>
      </c>
      <c r="P2777" s="71">
        <f t="shared" si="390"/>
        <v>0</v>
      </c>
      <c r="Q2777" s="71">
        <f t="shared" si="391"/>
        <v>0</v>
      </c>
      <c r="R2777" s="71">
        <f t="shared" si="392"/>
        <v>0</v>
      </c>
      <c r="S2777" s="71">
        <f t="shared" si="393"/>
        <v>0</v>
      </c>
      <c r="T2777" s="71">
        <f t="shared" si="394"/>
        <v>0</v>
      </c>
      <c r="U2777" s="71">
        <f>IF(AND(N2777=1,V2777=1),IF(COUNTIFS(AKTIVITAS!$B$2:$B$3052,B2777,AKTIVITAS!$E$2:$E$3052,H2777)&gt;0,1,0),0)</f>
        <v>0</v>
      </c>
      <c r="V2777" s="71">
        <f>IFERROR(IF(AND(H2777&gt;=INDEX(PEMAGANG!$J$3:$J$36,MATCH(B2777,PEMAGANG!$C$3:$C$36,0)),H2777&lt;=INDEX(PEMAGANG!$K$3:$K$36,MATCH(B2777,PEMAGANG!$C$3:$C$36,0))),1,0),0)</f>
        <v>1</v>
      </c>
      <c r="W2777" s="71">
        <f t="shared" si="395"/>
        <v>0</v>
      </c>
    </row>
    <row r="2778" spans="1:23" x14ac:dyDescent="0.2">
      <c r="A2778" s="71" t="s">
        <v>227</v>
      </c>
      <c r="B2778" s="71" t="s">
        <v>228</v>
      </c>
      <c r="C2778" s="71" t="s">
        <v>187</v>
      </c>
      <c r="D2778" s="71" t="s">
        <v>229</v>
      </c>
      <c r="E2778" s="71" t="s">
        <v>39</v>
      </c>
      <c r="F2778" s="71" t="s">
        <v>298</v>
      </c>
      <c r="G2778" s="88">
        <v>46182.2917592593</v>
      </c>
      <c r="H2778" s="89">
        <v>46182</v>
      </c>
      <c r="I2778" s="71" t="s">
        <v>615</v>
      </c>
      <c r="J2778" s="71">
        <v>-30</v>
      </c>
      <c r="K2778" s="71" t="s">
        <v>302</v>
      </c>
      <c r="L2778" s="71">
        <f t="shared" si="387"/>
        <v>6</v>
      </c>
      <c r="M2778" s="71" t="str">
        <f>IFERROR(INDEX(KALENDER!$D$3:$D$132,MATCH(H2778,KALENDER!$A$3:$A$132,0)),"Di luar periode")</f>
        <v>Hari Kerja</v>
      </c>
      <c r="N2778" s="71">
        <f t="shared" si="388"/>
        <v>1</v>
      </c>
      <c r="O2778" s="71">
        <f t="shared" si="389"/>
        <v>1</v>
      </c>
      <c r="P2778" s="71">
        <f t="shared" si="390"/>
        <v>1</v>
      </c>
      <c r="Q2778" s="71">
        <f t="shared" si="391"/>
        <v>0</v>
      </c>
      <c r="R2778" s="71">
        <f t="shared" si="392"/>
        <v>0</v>
      </c>
      <c r="S2778" s="71">
        <f t="shared" si="393"/>
        <v>0</v>
      </c>
      <c r="T2778" s="71">
        <f t="shared" si="394"/>
        <v>0</v>
      </c>
      <c r="U2778" s="71">
        <f>IF(AND(N2778=1,V2778=1),IF(COUNTIFS(AKTIVITAS!$B$2:$B$3052,B2778,AKTIVITAS!$E$2:$E$3052,H2778)&gt;0,1,0),0)</f>
        <v>1</v>
      </c>
      <c r="V2778" s="71">
        <f>IFERROR(IF(AND(H2778&gt;=INDEX(PEMAGANG!$J$3:$J$36,MATCH(B2778,PEMAGANG!$C$3:$C$36,0)),H2778&lt;=INDEX(PEMAGANG!$K$3:$K$36,MATCH(B2778,PEMAGANG!$C$3:$C$36,0))),1,0),0)</f>
        <v>1</v>
      </c>
      <c r="W2778" s="71">
        <f t="shared" si="395"/>
        <v>1</v>
      </c>
    </row>
    <row r="2779" spans="1:23" x14ac:dyDescent="0.2">
      <c r="A2779" s="71" t="s">
        <v>227</v>
      </c>
      <c r="B2779" s="71" t="s">
        <v>228</v>
      </c>
      <c r="C2779" s="71" t="s">
        <v>187</v>
      </c>
      <c r="D2779" s="71" t="s">
        <v>229</v>
      </c>
      <c r="E2779" s="71" t="s">
        <v>39</v>
      </c>
      <c r="F2779" s="71" t="s">
        <v>300</v>
      </c>
      <c r="G2779" s="88">
        <v>46182.6887152778</v>
      </c>
      <c r="H2779" s="89">
        <v>46182</v>
      </c>
      <c r="I2779" s="71" t="s">
        <v>336</v>
      </c>
      <c r="J2779" s="71">
        <v>0</v>
      </c>
      <c r="K2779" s="71" t="s">
        <v>302</v>
      </c>
      <c r="L2779" s="71">
        <f t="shared" si="387"/>
        <v>6</v>
      </c>
      <c r="M2779" s="71" t="str">
        <f>IFERROR(INDEX(KALENDER!$D$3:$D$132,MATCH(H2779,KALENDER!$A$3:$A$132,0)),"Di luar periode")</f>
        <v>Hari Kerja</v>
      </c>
      <c r="N2779" s="71">
        <f t="shared" si="388"/>
        <v>0</v>
      </c>
      <c r="O2779" s="71">
        <f t="shared" si="389"/>
        <v>1</v>
      </c>
      <c r="P2779" s="71">
        <f t="shared" si="390"/>
        <v>0</v>
      </c>
      <c r="Q2779" s="71">
        <f t="shared" si="391"/>
        <v>0</v>
      </c>
      <c r="R2779" s="71">
        <f t="shared" si="392"/>
        <v>0</v>
      </c>
      <c r="S2779" s="71">
        <f t="shared" si="393"/>
        <v>0</v>
      </c>
      <c r="T2779" s="71">
        <f t="shared" si="394"/>
        <v>0</v>
      </c>
      <c r="U2779" s="71">
        <f>IF(AND(N2779=1,V2779=1),IF(COUNTIFS(AKTIVITAS!$B$2:$B$3052,B2779,AKTIVITAS!$E$2:$E$3052,H2779)&gt;0,1,0),0)</f>
        <v>0</v>
      </c>
      <c r="V2779" s="71">
        <f>IFERROR(IF(AND(H2779&gt;=INDEX(PEMAGANG!$J$3:$J$36,MATCH(B2779,PEMAGANG!$C$3:$C$36,0)),H2779&lt;=INDEX(PEMAGANG!$K$3:$K$36,MATCH(B2779,PEMAGANG!$C$3:$C$36,0))),1,0),0)</f>
        <v>1</v>
      </c>
      <c r="W2779" s="71">
        <f t="shared" si="395"/>
        <v>0</v>
      </c>
    </row>
    <row r="2780" spans="1:23" x14ac:dyDescent="0.2">
      <c r="A2780" s="71" t="s">
        <v>227</v>
      </c>
      <c r="B2780" s="71" t="s">
        <v>228</v>
      </c>
      <c r="C2780" s="71" t="s">
        <v>187</v>
      </c>
      <c r="D2780" s="71" t="s">
        <v>229</v>
      </c>
      <c r="E2780" s="71" t="s">
        <v>39</v>
      </c>
      <c r="F2780" s="71" t="s">
        <v>298</v>
      </c>
      <c r="G2780" s="88">
        <v>46184.294537037</v>
      </c>
      <c r="H2780" s="89">
        <v>46184</v>
      </c>
      <c r="I2780" s="71" t="s">
        <v>411</v>
      </c>
      <c r="J2780" s="71">
        <v>-26</v>
      </c>
      <c r="K2780" s="71" t="s">
        <v>302</v>
      </c>
      <c r="L2780" s="71">
        <f t="shared" si="387"/>
        <v>6</v>
      </c>
      <c r="M2780" s="71" t="str">
        <f>IFERROR(INDEX(KALENDER!$D$3:$D$132,MATCH(H2780,KALENDER!$A$3:$A$132,0)),"Di luar periode")</f>
        <v>Hari Kerja</v>
      </c>
      <c r="N2780" s="71">
        <f t="shared" si="388"/>
        <v>1</v>
      </c>
      <c r="O2780" s="71">
        <f t="shared" si="389"/>
        <v>1</v>
      </c>
      <c r="P2780" s="71">
        <f t="shared" si="390"/>
        <v>1</v>
      </c>
      <c r="Q2780" s="71">
        <f t="shared" si="391"/>
        <v>0</v>
      </c>
      <c r="R2780" s="71">
        <f t="shared" si="392"/>
        <v>0</v>
      </c>
      <c r="S2780" s="71">
        <f t="shared" si="393"/>
        <v>0</v>
      </c>
      <c r="T2780" s="71">
        <f t="shared" si="394"/>
        <v>0</v>
      </c>
      <c r="U2780" s="71">
        <f>IF(AND(N2780=1,V2780=1),IF(COUNTIFS(AKTIVITAS!$B$2:$B$3052,B2780,AKTIVITAS!$E$2:$E$3052,H2780)&gt;0,1,0),0)</f>
        <v>1</v>
      </c>
      <c r="V2780" s="71">
        <f>IFERROR(IF(AND(H2780&gt;=INDEX(PEMAGANG!$J$3:$J$36,MATCH(B2780,PEMAGANG!$C$3:$C$36,0)),H2780&lt;=INDEX(PEMAGANG!$K$3:$K$36,MATCH(B2780,PEMAGANG!$C$3:$C$36,0))),1,0),0)</f>
        <v>1</v>
      </c>
      <c r="W2780" s="71">
        <f t="shared" si="395"/>
        <v>1</v>
      </c>
    </row>
    <row r="2781" spans="1:23" x14ac:dyDescent="0.2">
      <c r="A2781" s="71" t="s">
        <v>227</v>
      </c>
      <c r="B2781" s="71" t="s">
        <v>228</v>
      </c>
      <c r="C2781" s="71" t="s">
        <v>187</v>
      </c>
      <c r="D2781" s="71" t="s">
        <v>229</v>
      </c>
      <c r="E2781" s="71" t="s">
        <v>39</v>
      </c>
      <c r="F2781" s="71" t="s">
        <v>300</v>
      </c>
      <c r="G2781" s="88">
        <v>46184.687835648198</v>
      </c>
      <c r="H2781" s="89">
        <v>46184</v>
      </c>
      <c r="I2781" s="71" t="s">
        <v>330</v>
      </c>
      <c r="J2781" s="71">
        <v>0</v>
      </c>
      <c r="K2781" s="71" t="s">
        <v>302</v>
      </c>
      <c r="L2781" s="71">
        <f t="shared" si="387"/>
        <v>6</v>
      </c>
      <c r="M2781" s="71" t="str">
        <f>IFERROR(INDEX(KALENDER!$D$3:$D$132,MATCH(H2781,KALENDER!$A$3:$A$132,0)),"Di luar periode")</f>
        <v>Hari Kerja</v>
      </c>
      <c r="N2781" s="71">
        <f t="shared" si="388"/>
        <v>0</v>
      </c>
      <c r="O2781" s="71">
        <f t="shared" si="389"/>
        <v>1</v>
      </c>
      <c r="P2781" s="71">
        <f t="shared" si="390"/>
        <v>0</v>
      </c>
      <c r="Q2781" s="71">
        <f t="shared" si="391"/>
        <v>0</v>
      </c>
      <c r="R2781" s="71">
        <f t="shared" si="392"/>
        <v>0</v>
      </c>
      <c r="S2781" s="71">
        <f t="shared" si="393"/>
        <v>0</v>
      </c>
      <c r="T2781" s="71">
        <f t="shared" si="394"/>
        <v>0</v>
      </c>
      <c r="U2781" s="71">
        <f>IF(AND(N2781=1,V2781=1),IF(COUNTIFS(AKTIVITAS!$B$2:$B$3052,B2781,AKTIVITAS!$E$2:$E$3052,H2781)&gt;0,1,0),0)</f>
        <v>0</v>
      </c>
      <c r="V2781" s="71">
        <f>IFERROR(IF(AND(H2781&gt;=INDEX(PEMAGANG!$J$3:$J$36,MATCH(B2781,PEMAGANG!$C$3:$C$36,0)),H2781&lt;=INDEX(PEMAGANG!$K$3:$K$36,MATCH(B2781,PEMAGANG!$C$3:$C$36,0))),1,0),0)</f>
        <v>1</v>
      </c>
      <c r="W2781" s="71">
        <f t="shared" si="395"/>
        <v>0</v>
      </c>
    </row>
    <row r="2782" spans="1:23" x14ac:dyDescent="0.2">
      <c r="A2782" s="71" t="s">
        <v>227</v>
      </c>
      <c r="B2782" s="71" t="s">
        <v>228</v>
      </c>
      <c r="C2782" s="71" t="s">
        <v>187</v>
      </c>
      <c r="D2782" s="71" t="s">
        <v>229</v>
      </c>
      <c r="E2782" s="71" t="s">
        <v>39</v>
      </c>
      <c r="F2782" s="71" t="s">
        <v>298</v>
      </c>
      <c r="G2782" s="88">
        <v>46185.296574074098</v>
      </c>
      <c r="H2782" s="89">
        <v>46185</v>
      </c>
      <c r="I2782" s="71" t="s">
        <v>487</v>
      </c>
      <c r="J2782" s="71">
        <v>-23</v>
      </c>
      <c r="K2782" s="71" t="s">
        <v>302</v>
      </c>
      <c r="L2782" s="71">
        <f t="shared" si="387"/>
        <v>6</v>
      </c>
      <c r="M2782" s="71" t="str">
        <f>IFERROR(INDEX(KALENDER!$D$3:$D$132,MATCH(H2782,KALENDER!$A$3:$A$132,0)),"Di luar periode")</f>
        <v>Hari Kerja</v>
      </c>
      <c r="N2782" s="71">
        <f t="shared" si="388"/>
        <v>1</v>
      </c>
      <c r="O2782" s="71">
        <f t="shared" si="389"/>
        <v>1</v>
      </c>
      <c r="P2782" s="71">
        <f t="shared" si="390"/>
        <v>1</v>
      </c>
      <c r="Q2782" s="71">
        <f t="shared" si="391"/>
        <v>0</v>
      </c>
      <c r="R2782" s="71">
        <f t="shared" si="392"/>
        <v>0</v>
      </c>
      <c r="S2782" s="71">
        <f t="shared" si="393"/>
        <v>0</v>
      </c>
      <c r="T2782" s="71">
        <f t="shared" si="394"/>
        <v>0</v>
      </c>
      <c r="U2782" s="71">
        <f>IF(AND(N2782=1,V2782=1),IF(COUNTIFS(AKTIVITAS!$B$2:$B$3052,B2782,AKTIVITAS!$E$2:$E$3052,H2782)&gt;0,1,0),0)</f>
        <v>1</v>
      </c>
      <c r="V2782" s="71">
        <f>IFERROR(IF(AND(H2782&gt;=INDEX(PEMAGANG!$J$3:$J$36,MATCH(B2782,PEMAGANG!$C$3:$C$36,0)),H2782&lt;=INDEX(PEMAGANG!$K$3:$K$36,MATCH(B2782,PEMAGANG!$C$3:$C$36,0))),1,0),0)</f>
        <v>1</v>
      </c>
      <c r="W2782" s="71">
        <f t="shared" si="395"/>
        <v>1</v>
      </c>
    </row>
    <row r="2783" spans="1:23" x14ac:dyDescent="0.2">
      <c r="A2783" s="71" t="s">
        <v>227</v>
      </c>
      <c r="B2783" s="71" t="s">
        <v>228</v>
      </c>
      <c r="C2783" s="71" t="s">
        <v>187</v>
      </c>
      <c r="D2783" s="71" t="s">
        <v>229</v>
      </c>
      <c r="E2783" s="71" t="s">
        <v>39</v>
      </c>
      <c r="F2783" s="71" t="s">
        <v>300</v>
      </c>
      <c r="G2783" s="88">
        <v>46185.687928240703</v>
      </c>
      <c r="H2783" s="89">
        <v>46185</v>
      </c>
      <c r="I2783" s="71" t="s">
        <v>330</v>
      </c>
      <c r="J2783" s="71">
        <v>0</v>
      </c>
      <c r="K2783" s="71" t="s">
        <v>302</v>
      </c>
      <c r="L2783" s="71">
        <f t="shared" si="387"/>
        <v>6</v>
      </c>
      <c r="M2783" s="71" t="str">
        <f>IFERROR(INDEX(KALENDER!$D$3:$D$132,MATCH(H2783,KALENDER!$A$3:$A$132,0)),"Di luar periode")</f>
        <v>Hari Kerja</v>
      </c>
      <c r="N2783" s="71">
        <f t="shared" si="388"/>
        <v>0</v>
      </c>
      <c r="O2783" s="71">
        <f t="shared" si="389"/>
        <v>1</v>
      </c>
      <c r="P2783" s="71">
        <f t="shared" si="390"/>
        <v>0</v>
      </c>
      <c r="Q2783" s="71">
        <f t="shared" si="391"/>
        <v>0</v>
      </c>
      <c r="R2783" s="71">
        <f t="shared" si="392"/>
        <v>0</v>
      </c>
      <c r="S2783" s="71">
        <f t="shared" si="393"/>
        <v>0</v>
      </c>
      <c r="T2783" s="71">
        <f t="shared" si="394"/>
        <v>0</v>
      </c>
      <c r="U2783" s="71">
        <f>IF(AND(N2783=1,V2783=1),IF(COUNTIFS(AKTIVITAS!$B$2:$B$3052,B2783,AKTIVITAS!$E$2:$E$3052,H2783)&gt;0,1,0),0)</f>
        <v>0</v>
      </c>
      <c r="V2783" s="71">
        <f>IFERROR(IF(AND(H2783&gt;=INDEX(PEMAGANG!$J$3:$J$36,MATCH(B2783,PEMAGANG!$C$3:$C$36,0)),H2783&lt;=INDEX(PEMAGANG!$K$3:$K$36,MATCH(B2783,PEMAGANG!$C$3:$C$36,0))),1,0),0)</f>
        <v>1</v>
      </c>
      <c r="W2783" s="71">
        <f t="shared" si="395"/>
        <v>0</v>
      </c>
    </row>
    <row r="2784" spans="1:23" x14ac:dyDescent="0.2">
      <c r="A2784" s="71" t="s">
        <v>227</v>
      </c>
      <c r="B2784" s="71" t="s">
        <v>228</v>
      </c>
      <c r="C2784" s="71" t="s">
        <v>187</v>
      </c>
      <c r="D2784" s="71" t="s">
        <v>229</v>
      </c>
      <c r="E2784" s="71" t="s">
        <v>39</v>
      </c>
      <c r="F2784" s="71" t="s">
        <v>298</v>
      </c>
      <c r="G2784" s="88">
        <v>46188.299409722204</v>
      </c>
      <c r="H2784" s="89">
        <v>46188</v>
      </c>
      <c r="I2784" s="71" t="s">
        <v>402</v>
      </c>
      <c r="J2784" s="71">
        <v>-19</v>
      </c>
      <c r="K2784" s="71" t="s">
        <v>302</v>
      </c>
      <c r="L2784" s="71">
        <f t="shared" si="387"/>
        <v>6</v>
      </c>
      <c r="M2784" s="71" t="str">
        <f>IFERROR(INDEX(KALENDER!$D$3:$D$132,MATCH(H2784,KALENDER!$A$3:$A$132,0)),"Di luar periode")</f>
        <v>Hari Kerja</v>
      </c>
      <c r="N2784" s="71">
        <f t="shared" si="388"/>
        <v>1</v>
      </c>
      <c r="O2784" s="71">
        <f t="shared" si="389"/>
        <v>1</v>
      </c>
      <c r="P2784" s="71">
        <f t="shared" si="390"/>
        <v>1</v>
      </c>
      <c r="Q2784" s="71">
        <f t="shared" si="391"/>
        <v>0</v>
      </c>
      <c r="R2784" s="71">
        <f t="shared" si="392"/>
        <v>0</v>
      </c>
      <c r="S2784" s="71">
        <f t="shared" si="393"/>
        <v>0</v>
      </c>
      <c r="T2784" s="71">
        <f t="shared" si="394"/>
        <v>0</v>
      </c>
      <c r="U2784" s="71">
        <f>IF(AND(N2784=1,V2784=1),IF(COUNTIFS(AKTIVITAS!$B$2:$B$3052,B2784,AKTIVITAS!$E$2:$E$3052,H2784)&gt;0,1,0),0)</f>
        <v>1</v>
      </c>
      <c r="V2784" s="71">
        <f>IFERROR(IF(AND(H2784&gt;=INDEX(PEMAGANG!$J$3:$J$36,MATCH(B2784,PEMAGANG!$C$3:$C$36,0)),H2784&lt;=INDEX(PEMAGANG!$K$3:$K$36,MATCH(B2784,PEMAGANG!$C$3:$C$36,0))),1,0),0)</f>
        <v>1</v>
      </c>
      <c r="W2784" s="71">
        <f t="shared" si="395"/>
        <v>1</v>
      </c>
    </row>
    <row r="2785" spans="1:23" x14ac:dyDescent="0.2">
      <c r="A2785" s="71" t="s">
        <v>227</v>
      </c>
      <c r="B2785" s="71" t="s">
        <v>228</v>
      </c>
      <c r="C2785" s="71" t="s">
        <v>187</v>
      </c>
      <c r="D2785" s="71" t="s">
        <v>229</v>
      </c>
      <c r="E2785" s="71" t="s">
        <v>39</v>
      </c>
      <c r="F2785" s="71" t="s">
        <v>300</v>
      </c>
      <c r="G2785" s="88">
        <v>46188.6876388889</v>
      </c>
      <c r="H2785" s="89">
        <v>46188</v>
      </c>
      <c r="I2785" s="71" t="s">
        <v>330</v>
      </c>
      <c r="J2785" s="71">
        <v>0</v>
      </c>
      <c r="K2785" s="71" t="s">
        <v>302</v>
      </c>
      <c r="L2785" s="71">
        <f t="shared" si="387"/>
        <v>6</v>
      </c>
      <c r="M2785" s="71" t="str">
        <f>IFERROR(INDEX(KALENDER!$D$3:$D$132,MATCH(H2785,KALENDER!$A$3:$A$132,0)),"Di luar periode")</f>
        <v>Hari Kerja</v>
      </c>
      <c r="N2785" s="71">
        <f t="shared" si="388"/>
        <v>0</v>
      </c>
      <c r="O2785" s="71">
        <f t="shared" si="389"/>
        <v>1</v>
      </c>
      <c r="P2785" s="71">
        <f t="shared" si="390"/>
        <v>0</v>
      </c>
      <c r="Q2785" s="71">
        <f t="shared" si="391"/>
        <v>0</v>
      </c>
      <c r="R2785" s="71">
        <f t="shared" si="392"/>
        <v>0</v>
      </c>
      <c r="S2785" s="71">
        <f t="shared" si="393"/>
        <v>0</v>
      </c>
      <c r="T2785" s="71">
        <f t="shared" si="394"/>
        <v>0</v>
      </c>
      <c r="U2785" s="71">
        <f>IF(AND(N2785=1,V2785=1),IF(COUNTIFS(AKTIVITAS!$B$2:$B$3052,B2785,AKTIVITAS!$E$2:$E$3052,H2785)&gt;0,1,0),0)</f>
        <v>0</v>
      </c>
      <c r="V2785" s="71">
        <f>IFERROR(IF(AND(H2785&gt;=INDEX(PEMAGANG!$J$3:$J$36,MATCH(B2785,PEMAGANG!$C$3:$C$36,0)),H2785&lt;=INDEX(PEMAGANG!$K$3:$K$36,MATCH(B2785,PEMAGANG!$C$3:$C$36,0))),1,0),0)</f>
        <v>1</v>
      </c>
      <c r="W2785" s="71">
        <f t="shared" si="395"/>
        <v>0</v>
      </c>
    </row>
    <row r="2786" spans="1:23" x14ac:dyDescent="0.2">
      <c r="A2786" s="71" t="s">
        <v>227</v>
      </c>
      <c r="B2786" s="71" t="s">
        <v>228</v>
      </c>
      <c r="C2786" s="71" t="s">
        <v>187</v>
      </c>
      <c r="D2786" s="71" t="s">
        <v>229</v>
      </c>
      <c r="E2786" s="71" t="s">
        <v>39</v>
      </c>
      <c r="F2786" s="71" t="s">
        <v>298</v>
      </c>
      <c r="G2786" s="88">
        <v>46191.296006944503</v>
      </c>
      <c r="H2786" s="89">
        <v>46191</v>
      </c>
      <c r="I2786" s="71" t="s">
        <v>349</v>
      </c>
      <c r="J2786" s="71">
        <v>-24</v>
      </c>
      <c r="K2786" s="71" t="s">
        <v>302</v>
      </c>
      <c r="L2786" s="71">
        <f t="shared" si="387"/>
        <v>6</v>
      </c>
      <c r="M2786" s="71" t="str">
        <f>IFERROR(INDEX(KALENDER!$D$3:$D$132,MATCH(H2786,KALENDER!$A$3:$A$132,0)),"Di luar periode")</f>
        <v>Hari Kerja</v>
      </c>
      <c r="N2786" s="71">
        <f t="shared" si="388"/>
        <v>1</v>
      </c>
      <c r="O2786" s="71">
        <f t="shared" si="389"/>
        <v>1</v>
      </c>
      <c r="P2786" s="71">
        <f t="shared" si="390"/>
        <v>1</v>
      </c>
      <c r="Q2786" s="71">
        <f t="shared" si="391"/>
        <v>0</v>
      </c>
      <c r="R2786" s="71">
        <f t="shared" si="392"/>
        <v>0</v>
      </c>
      <c r="S2786" s="71">
        <f t="shared" si="393"/>
        <v>0</v>
      </c>
      <c r="T2786" s="71">
        <f t="shared" si="394"/>
        <v>0</v>
      </c>
      <c r="U2786" s="71">
        <f>IF(AND(N2786=1,V2786=1),IF(COUNTIFS(AKTIVITAS!$B$2:$B$3052,B2786,AKTIVITAS!$E$2:$E$3052,H2786)&gt;0,1,0),0)</f>
        <v>1</v>
      </c>
      <c r="V2786" s="71">
        <f>IFERROR(IF(AND(H2786&gt;=INDEX(PEMAGANG!$J$3:$J$36,MATCH(B2786,PEMAGANG!$C$3:$C$36,0)),H2786&lt;=INDEX(PEMAGANG!$K$3:$K$36,MATCH(B2786,PEMAGANG!$C$3:$C$36,0))),1,0),0)</f>
        <v>1</v>
      </c>
      <c r="W2786" s="71">
        <f t="shared" si="395"/>
        <v>1</v>
      </c>
    </row>
    <row r="2787" spans="1:23" x14ac:dyDescent="0.2">
      <c r="A2787" s="71" t="s">
        <v>227</v>
      </c>
      <c r="B2787" s="71" t="s">
        <v>228</v>
      </c>
      <c r="C2787" s="71" t="s">
        <v>187</v>
      </c>
      <c r="D2787" s="71" t="s">
        <v>229</v>
      </c>
      <c r="E2787" s="71" t="s">
        <v>39</v>
      </c>
      <c r="F2787" s="71" t="s">
        <v>300</v>
      </c>
      <c r="G2787" s="88">
        <v>46191.687673611101</v>
      </c>
      <c r="H2787" s="89">
        <v>46191</v>
      </c>
      <c r="I2787" s="71" t="s">
        <v>330</v>
      </c>
      <c r="J2787" s="71">
        <v>0</v>
      </c>
      <c r="K2787" s="71" t="s">
        <v>302</v>
      </c>
      <c r="L2787" s="71">
        <f t="shared" si="387"/>
        <v>6</v>
      </c>
      <c r="M2787" s="71" t="str">
        <f>IFERROR(INDEX(KALENDER!$D$3:$D$132,MATCH(H2787,KALENDER!$A$3:$A$132,0)),"Di luar periode")</f>
        <v>Hari Kerja</v>
      </c>
      <c r="N2787" s="71">
        <f t="shared" si="388"/>
        <v>0</v>
      </c>
      <c r="O2787" s="71">
        <f t="shared" si="389"/>
        <v>1</v>
      </c>
      <c r="P2787" s="71">
        <f t="shared" si="390"/>
        <v>0</v>
      </c>
      <c r="Q2787" s="71">
        <f t="shared" si="391"/>
        <v>0</v>
      </c>
      <c r="R2787" s="71">
        <f t="shared" si="392"/>
        <v>0</v>
      </c>
      <c r="S2787" s="71">
        <f t="shared" si="393"/>
        <v>0</v>
      </c>
      <c r="T2787" s="71">
        <f t="shared" si="394"/>
        <v>0</v>
      </c>
      <c r="U2787" s="71">
        <f>IF(AND(N2787=1,V2787=1),IF(COUNTIFS(AKTIVITAS!$B$2:$B$3052,B2787,AKTIVITAS!$E$2:$E$3052,H2787)&gt;0,1,0),0)</f>
        <v>0</v>
      </c>
      <c r="V2787" s="71">
        <f>IFERROR(IF(AND(H2787&gt;=INDEX(PEMAGANG!$J$3:$J$36,MATCH(B2787,PEMAGANG!$C$3:$C$36,0)),H2787&lt;=INDEX(PEMAGANG!$K$3:$K$36,MATCH(B2787,PEMAGANG!$C$3:$C$36,0))),1,0),0)</f>
        <v>1</v>
      </c>
      <c r="W2787" s="71">
        <f t="shared" si="395"/>
        <v>0</v>
      </c>
    </row>
    <row r="2788" spans="1:23" x14ac:dyDescent="0.2">
      <c r="A2788" s="71" t="s">
        <v>227</v>
      </c>
      <c r="B2788" s="71" t="s">
        <v>228</v>
      </c>
      <c r="C2788" s="71" t="s">
        <v>187</v>
      </c>
      <c r="D2788" s="71" t="s">
        <v>229</v>
      </c>
      <c r="E2788" s="71" t="s">
        <v>39</v>
      </c>
      <c r="F2788" s="71" t="s">
        <v>298</v>
      </c>
      <c r="G2788" s="88">
        <v>46192.299050925903</v>
      </c>
      <c r="H2788" s="89">
        <v>46192</v>
      </c>
      <c r="I2788" s="71" t="s">
        <v>481</v>
      </c>
      <c r="J2788" s="71">
        <v>-20</v>
      </c>
      <c r="K2788" s="71" t="s">
        <v>302</v>
      </c>
      <c r="L2788" s="71">
        <f t="shared" si="387"/>
        <v>6</v>
      </c>
      <c r="M2788" s="71" t="str">
        <f>IFERROR(INDEX(KALENDER!$D$3:$D$132,MATCH(H2788,KALENDER!$A$3:$A$132,0)),"Di luar periode")</f>
        <v>Hari Kerja</v>
      </c>
      <c r="N2788" s="71">
        <f t="shared" si="388"/>
        <v>1</v>
      </c>
      <c r="O2788" s="71">
        <f t="shared" si="389"/>
        <v>1</v>
      </c>
      <c r="P2788" s="71">
        <f t="shared" si="390"/>
        <v>1</v>
      </c>
      <c r="Q2788" s="71">
        <f t="shared" si="391"/>
        <v>0</v>
      </c>
      <c r="R2788" s="71">
        <f t="shared" si="392"/>
        <v>0</v>
      </c>
      <c r="S2788" s="71">
        <f t="shared" si="393"/>
        <v>0</v>
      </c>
      <c r="T2788" s="71">
        <f t="shared" si="394"/>
        <v>0</v>
      </c>
      <c r="U2788" s="71">
        <f>IF(AND(N2788=1,V2788=1),IF(COUNTIFS(AKTIVITAS!$B$2:$B$3052,B2788,AKTIVITAS!$E$2:$E$3052,H2788)&gt;0,1,0),0)</f>
        <v>1</v>
      </c>
      <c r="V2788" s="71">
        <f>IFERROR(IF(AND(H2788&gt;=INDEX(PEMAGANG!$J$3:$J$36,MATCH(B2788,PEMAGANG!$C$3:$C$36,0)),H2788&lt;=INDEX(PEMAGANG!$K$3:$K$36,MATCH(B2788,PEMAGANG!$C$3:$C$36,0))),1,0),0)</f>
        <v>1</v>
      </c>
      <c r="W2788" s="71">
        <f t="shared" si="395"/>
        <v>1</v>
      </c>
    </row>
    <row r="2789" spans="1:23" x14ac:dyDescent="0.2">
      <c r="A2789" s="71" t="s">
        <v>227</v>
      </c>
      <c r="B2789" s="71" t="s">
        <v>228</v>
      </c>
      <c r="C2789" s="71" t="s">
        <v>187</v>
      </c>
      <c r="D2789" s="71" t="s">
        <v>229</v>
      </c>
      <c r="E2789" s="71" t="s">
        <v>39</v>
      </c>
      <c r="F2789" s="71" t="s">
        <v>300</v>
      </c>
      <c r="G2789" s="88">
        <v>46192.687708333302</v>
      </c>
      <c r="H2789" s="89">
        <v>46192</v>
      </c>
      <c r="I2789" s="71" t="s">
        <v>330</v>
      </c>
      <c r="J2789" s="71">
        <v>0</v>
      </c>
      <c r="K2789" s="71" t="s">
        <v>302</v>
      </c>
      <c r="L2789" s="71">
        <f t="shared" si="387"/>
        <v>6</v>
      </c>
      <c r="M2789" s="71" t="str">
        <f>IFERROR(INDEX(KALENDER!$D$3:$D$132,MATCH(H2789,KALENDER!$A$3:$A$132,0)),"Di luar periode")</f>
        <v>Hari Kerja</v>
      </c>
      <c r="N2789" s="71">
        <f t="shared" si="388"/>
        <v>0</v>
      </c>
      <c r="O2789" s="71">
        <f t="shared" si="389"/>
        <v>1</v>
      </c>
      <c r="P2789" s="71">
        <f t="shared" si="390"/>
        <v>0</v>
      </c>
      <c r="Q2789" s="71">
        <f t="shared" si="391"/>
        <v>0</v>
      </c>
      <c r="R2789" s="71">
        <f t="shared" si="392"/>
        <v>0</v>
      </c>
      <c r="S2789" s="71">
        <f t="shared" si="393"/>
        <v>0</v>
      </c>
      <c r="T2789" s="71">
        <f t="shared" si="394"/>
        <v>0</v>
      </c>
      <c r="U2789" s="71">
        <f>IF(AND(N2789=1,V2789=1),IF(COUNTIFS(AKTIVITAS!$B$2:$B$3052,B2789,AKTIVITAS!$E$2:$E$3052,H2789)&gt;0,1,0),0)</f>
        <v>0</v>
      </c>
      <c r="V2789" s="71">
        <f>IFERROR(IF(AND(H2789&gt;=INDEX(PEMAGANG!$J$3:$J$36,MATCH(B2789,PEMAGANG!$C$3:$C$36,0)),H2789&lt;=INDEX(PEMAGANG!$K$3:$K$36,MATCH(B2789,PEMAGANG!$C$3:$C$36,0))),1,0),0)</f>
        <v>1</v>
      </c>
      <c r="W2789" s="71">
        <f t="shared" si="395"/>
        <v>0</v>
      </c>
    </row>
    <row r="2790" spans="1:23" x14ac:dyDescent="0.2">
      <c r="A2790" s="71" t="s">
        <v>227</v>
      </c>
      <c r="B2790" s="71" t="s">
        <v>228</v>
      </c>
      <c r="C2790" s="71" t="s">
        <v>187</v>
      </c>
      <c r="D2790" s="71" t="s">
        <v>229</v>
      </c>
      <c r="E2790" s="71" t="s">
        <v>39</v>
      </c>
      <c r="F2790" s="71" t="s">
        <v>298</v>
      </c>
      <c r="G2790" s="88">
        <v>46195.302997685198</v>
      </c>
      <c r="H2790" s="89">
        <v>46195</v>
      </c>
      <c r="I2790" s="71" t="s">
        <v>327</v>
      </c>
      <c r="J2790" s="71">
        <v>-14</v>
      </c>
      <c r="K2790" s="71" t="s">
        <v>302</v>
      </c>
      <c r="L2790" s="71">
        <f t="shared" si="387"/>
        <v>6</v>
      </c>
      <c r="M2790" s="71" t="str">
        <f>IFERROR(INDEX(KALENDER!$D$3:$D$132,MATCH(H2790,KALENDER!$A$3:$A$132,0)),"Di luar periode")</f>
        <v>Hari Kerja</v>
      </c>
      <c r="N2790" s="71">
        <f t="shared" si="388"/>
        <v>1</v>
      </c>
      <c r="O2790" s="71">
        <f t="shared" si="389"/>
        <v>1</v>
      </c>
      <c r="P2790" s="71">
        <f t="shared" si="390"/>
        <v>1</v>
      </c>
      <c r="Q2790" s="71">
        <f t="shared" si="391"/>
        <v>0</v>
      </c>
      <c r="R2790" s="71">
        <f t="shared" si="392"/>
        <v>0</v>
      </c>
      <c r="S2790" s="71">
        <f t="shared" si="393"/>
        <v>0</v>
      </c>
      <c r="T2790" s="71">
        <f t="shared" si="394"/>
        <v>0</v>
      </c>
      <c r="U2790" s="71">
        <f>IF(AND(N2790=1,V2790=1),IF(COUNTIFS(AKTIVITAS!$B$2:$B$3052,B2790,AKTIVITAS!$E$2:$E$3052,H2790)&gt;0,1,0),0)</f>
        <v>1</v>
      </c>
      <c r="V2790" s="71">
        <f>IFERROR(IF(AND(H2790&gt;=INDEX(PEMAGANG!$J$3:$J$36,MATCH(B2790,PEMAGANG!$C$3:$C$36,0)),H2790&lt;=INDEX(PEMAGANG!$K$3:$K$36,MATCH(B2790,PEMAGANG!$C$3:$C$36,0))),1,0),0)</f>
        <v>1</v>
      </c>
      <c r="W2790" s="71">
        <f t="shared" si="395"/>
        <v>1</v>
      </c>
    </row>
    <row r="2791" spans="1:23" x14ac:dyDescent="0.2">
      <c r="A2791" s="71" t="s">
        <v>227</v>
      </c>
      <c r="B2791" s="71" t="s">
        <v>228</v>
      </c>
      <c r="C2791" s="71" t="s">
        <v>187</v>
      </c>
      <c r="D2791" s="71" t="s">
        <v>229</v>
      </c>
      <c r="E2791" s="71" t="s">
        <v>39</v>
      </c>
      <c r="F2791" s="71" t="s">
        <v>300</v>
      </c>
      <c r="G2791" s="88">
        <v>46195.687650462998</v>
      </c>
      <c r="H2791" s="89">
        <v>46195</v>
      </c>
      <c r="I2791" s="71" t="s">
        <v>330</v>
      </c>
      <c r="J2791" s="71">
        <v>0</v>
      </c>
      <c r="K2791" s="71" t="s">
        <v>302</v>
      </c>
      <c r="L2791" s="71">
        <f t="shared" si="387"/>
        <v>6</v>
      </c>
      <c r="M2791" s="71" t="str">
        <f>IFERROR(INDEX(KALENDER!$D$3:$D$132,MATCH(H2791,KALENDER!$A$3:$A$132,0)),"Di luar periode")</f>
        <v>Hari Kerja</v>
      </c>
      <c r="N2791" s="71">
        <f t="shared" si="388"/>
        <v>0</v>
      </c>
      <c r="O2791" s="71">
        <f t="shared" si="389"/>
        <v>1</v>
      </c>
      <c r="P2791" s="71">
        <f t="shared" si="390"/>
        <v>0</v>
      </c>
      <c r="Q2791" s="71">
        <f t="shared" si="391"/>
        <v>0</v>
      </c>
      <c r="R2791" s="71">
        <f t="shared" si="392"/>
        <v>0</v>
      </c>
      <c r="S2791" s="71">
        <f t="shared" si="393"/>
        <v>0</v>
      </c>
      <c r="T2791" s="71">
        <f t="shared" si="394"/>
        <v>0</v>
      </c>
      <c r="U2791" s="71">
        <f>IF(AND(N2791=1,V2791=1),IF(COUNTIFS(AKTIVITAS!$B$2:$B$3052,B2791,AKTIVITAS!$E$2:$E$3052,H2791)&gt;0,1,0),0)</f>
        <v>0</v>
      </c>
      <c r="V2791" s="71">
        <f>IFERROR(IF(AND(H2791&gt;=INDEX(PEMAGANG!$J$3:$J$36,MATCH(B2791,PEMAGANG!$C$3:$C$36,0)),H2791&lt;=INDEX(PEMAGANG!$K$3:$K$36,MATCH(B2791,PEMAGANG!$C$3:$C$36,0))),1,0),0)</f>
        <v>1</v>
      </c>
      <c r="W2791" s="71">
        <f t="shared" si="395"/>
        <v>0</v>
      </c>
    </row>
    <row r="2792" spans="1:23" x14ac:dyDescent="0.2">
      <c r="A2792" s="71" t="s">
        <v>227</v>
      </c>
      <c r="B2792" s="71" t="s">
        <v>228</v>
      </c>
      <c r="C2792" s="71" t="s">
        <v>187</v>
      </c>
      <c r="D2792" s="71" t="s">
        <v>229</v>
      </c>
      <c r="E2792" s="71" t="s">
        <v>39</v>
      </c>
      <c r="F2792" s="71" t="s">
        <v>298</v>
      </c>
      <c r="G2792" s="88">
        <v>46196.298668981501</v>
      </c>
      <c r="H2792" s="89">
        <v>46196</v>
      </c>
      <c r="I2792" s="71" t="s">
        <v>481</v>
      </c>
      <c r="J2792" s="71">
        <v>-20</v>
      </c>
      <c r="K2792" s="71" t="s">
        <v>302</v>
      </c>
      <c r="L2792" s="71">
        <f t="shared" si="387"/>
        <v>6</v>
      </c>
      <c r="M2792" s="71" t="str">
        <f>IFERROR(INDEX(KALENDER!$D$3:$D$132,MATCH(H2792,KALENDER!$A$3:$A$132,0)),"Di luar periode")</f>
        <v>Hari Kerja</v>
      </c>
      <c r="N2792" s="71">
        <f t="shared" si="388"/>
        <v>1</v>
      </c>
      <c r="O2792" s="71">
        <f t="shared" si="389"/>
        <v>1</v>
      </c>
      <c r="P2792" s="71">
        <f t="shared" si="390"/>
        <v>1</v>
      </c>
      <c r="Q2792" s="71">
        <f t="shared" si="391"/>
        <v>0</v>
      </c>
      <c r="R2792" s="71">
        <f t="shared" si="392"/>
        <v>0</v>
      </c>
      <c r="S2792" s="71">
        <f t="shared" si="393"/>
        <v>0</v>
      </c>
      <c r="T2792" s="71">
        <f t="shared" si="394"/>
        <v>0</v>
      </c>
      <c r="U2792" s="71">
        <f>IF(AND(N2792=1,V2792=1),IF(COUNTIFS(AKTIVITAS!$B$2:$B$3052,B2792,AKTIVITAS!$E$2:$E$3052,H2792)&gt;0,1,0),0)</f>
        <v>1</v>
      </c>
      <c r="V2792" s="71">
        <f>IFERROR(IF(AND(H2792&gt;=INDEX(PEMAGANG!$J$3:$J$36,MATCH(B2792,PEMAGANG!$C$3:$C$36,0)),H2792&lt;=INDEX(PEMAGANG!$K$3:$K$36,MATCH(B2792,PEMAGANG!$C$3:$C$36,0))),1,0),0)</f>
        <v>1</v>
      </c>
      <c r="W2792" s="71">
        <f t="shared" si="395"/>
        <v>1</v>
      </c>
    </row>
    <row r="2793" spans="1:23" x14ac:dyDescent="0.2">
      <c r="A2793" s="71" t="s">
        <v>227</v>
      </c>
      <c r="B2793" s="71" t="s">
        <v>228</v>
      </c>
      <c r="C2793" s="71" t="s">
        <v>187</v>
      </c>
      <c r="D2793" s="71" t="s">
        <v>229</v>
      </c>
      <c r="E2793" s="71" t="s">
        <v>39</v>
      </c>
      <c r="F2793" s="71" t="s">
        <v>300</v>
      </c>
      <c r="G2793" s="88">
        <v>46196.6878587963</v>
      </c>
      <c r="H2793" s="89">
        <v>46196</v>
      </c>
      <c r="I2793" s="71" t="s">
        <v>330</v>
      </c>
      <c r="J2793" s="71">
        <v>0</v>
      </c>
      <c r="K2793" s="71" t="s">
        <v>302</v>
      </c>
      <c r="L2793" s="71">
        <f t="shared" si="387"/>
        <v>6</v>
      </c>
      <c r="M2793" s="71" t="str">
        <f>IFERROR(INDEX(KALENDER!$D$3:$D$132,MATCH(H2793,KALENDER!$A$3:$A$132,0)),"Di luar periode")</f>
        <v>Hari Kerja</v>
      </c>
      <c r="N2793" s="71">
        <f t="shared" si="388"/>
        <v>0</v>
      </c>
      <c r="O2793" s="71">
        <f t="shared" si="389"/>
        <v>1</v>
      </c>
      <c r="P2793" s="71">
        <f t="shared" si="390"/>
        <v>0</v>
      </c>
      <c r="Q2793" s="71">
        <f t="shared" si="391"/>
        <v>0</v>
      </c>
      <c r="R2793" s="71">
        <f t="shared" si="392"/>
        <v>0</v>
      </c>
      <c r="S2793" s="71">
        <f t="shared" si="393"/>
        <v>0</v>
      </c>
      <c r="T2793" s="71">
        <f t="shared" si="394"/>
        <v>0</v>
      </c>
      <c r="U2793" s="71">
        <f>IF(AND(N2793=1,V2793=1),IF(COUNTIFS(AKTIVITAS!$B$2:$B$3052,B2793,AKTIVITAS!$E$2:$E$3052,H2793)&gt;0,1,0),0)</f>
        <v>0</v>
      </c>
      <c r="V2793" s="71">
        <f>IFERROR(IF(AND(H2793&gt;=INDEX(PEMAGANG!$J$3:$J$36,MATCH(B2793,PEMAGANG!$C$3:$C$36,0)),H2793&lt;=INDEX(PEMAGANG!$K$3:$K$36,MATCH(B2793,PEMAGANG!$C$3:$C$36,0))),1,0),0)</f>
        <v>1</v>
      </c>
      <c r="W2793" s="71">
        <f t="shared" si="395"/>
        <v>0</v>
      </c>
    </row>
    <row r="2794" spans="1:23" x14ac:dyDescent="0.2">
      <c r="A2794" s="71" t="s">
        <v>227</v>
      </c>
      <c r="B2794" s="71" t="s">
        <v>228</v>
      </c>
      <c r="C2794" s="71" t="s">
        <v>187</v>
      </c>
      <c r="D2794" s="71" t="s">
        <v>229</v>
      </c>
      <c r="E2794" s="71" t="s">
        <v>39</v>
      </c>
      <c r="F2794" s="71" t="s">
        <v>298</v>
      </c>
      <c r="G2794" s="88">
        <v>46198.299155092602</v>
      </c>
      <c r="H2794" s="89">
        <v>46198</v>
      </c>
      <c r="I2794" s="71" t="s">
        <v>481</v>
      </c>
      <c r="J2794" s="71">
        <v>-20</v>
      </c>
      <c r="K2794" s="71" t="s">
        <v>302</v>
      </c>
      <c r="L2794" s="71">
        <f t="shared" si="387"/>
        <v>6</v>
      </c>
      <c r="M2794" s="71" t="str">
        <f>IFERROR(INDEX(KALENDER!$D$3:$D$132,MATCH(H2794,KALENDER!$A$3:$A$132,0)),"Di luar periode")</f>
        <v>Hari Kerja</v>
      </c>
      <c r="N2794" s="71">
        <f t="shared" si="388"/>
        <v>1</v>
      </c>
      <c r="O2794" s="71">
        <f t="shared" si="389"/>
        <v>1</v>
      </c>
      <c r="P2794" s="71">
        <f t="shared" si="390"/>
        <v>1</v>
      </c>
      <c r="Q2794" s="71">
        <f t="shared" si="391"/>
        <v>0</v>
      </c>
      <c r="R2794" s="71">
        <f t="shared" si="392"/>
        <v>0</v>
      </c>
      <c r="S2794" s="71">
        <f t="shared" si="393"/>
        <v>0</v>
      </c>
      <c r="T2794" s="71">
        <f t="shared" si="394"/>
        <v>0</v>
      </c>
      <c r="U2794" s="71">
        <f>IF(AND(N2794=1,V2794=1),IF(COUNTIFS(AKTIVITAS!$B$2:$B$3052,B2794,AKTIVITAS!$E$2:$E$3052,H2794)&gt;0,1,0),0)</f>
        <v>1</v>
      </c>
      <c r="V2794" s="71">
        <f>IFERROR(IF(AND(H2794&gt;=INDEX(PEMAGANG!$J$3:$J$36,MATCH(B2794,PEMAGANG!$C$3:$C$36,0)),H2794&lt;=INDEX(PEMAGANG!$K$3:$K$36,MATCH(B2794,PEMAGANG!$C$3:$C$36,0))),1,0),0)</f>
        <v>1</v>
      </c>
      <c r="W2794" s="71">
        <f t="shared" si="395"/>
        <v>1</v>
      </c>
    </row>
    <row r="2795" spans="1:23" x14ac:dyDescent="0.2">
      <c r="A2795" s="71" t="s">
        <v>227</v>
      </c>
      <c r="B2795" s="71" t="s">
        <v>228</v>
      </c>
      <c r="C2795" s="71" t="s">
        <v>187</v>
      </c>
      <c r="D2795" s="71" t="s">
        <v>229</v>
      </c>
      <c r="E2795" s="71" t="s">
        <v>39</v>
      </c>
      <c r="F2795" s="71" t="s">
        <v>300</v>
      </c>
      <c r="G2795" s="88">
        <v>46198.6879513889</v>
      </c>
      <c r="H2795" s="89">
        <v>46198</v>
      </c>
      <c r="I2795" s="71" t="s">
        <v>330</v>
      </c>
      <c r="J2795" s="71">
        <v>0</v>
      </c>
      <c r="K2795" s="71" t="s">
        <v>302</v>
      </c>
      <c r="L2795" s="71">
        <f t="shared" si="387"/>
        <v>6</v>
      </c>
      <c r="M2795" s="71" t="str">
        <f>IFERROR(INDEX(KALENDER!$D$3:$D$132,MATCH(H2795,KALENDER!$A$3:$A$132,0)),"Di luar periode")</f>
        <v>Hari Kerja</v>
      </c>
      <c r="N2795" s="71">
        <f t="shared" si="388"/>
        <v>0</v>
      </c>
      <c r="O2795" s="71">
        <f t="shared" si="389"/>
        <v>1</v>
      </c>
      <c r="P2795" s="71">
        <f t="shared" si="390"/>
        <v>0</v>
      </c>
      <c r="Q2795" s="71">
        <f t="shared" si="391"/>
        <v>0</v>
      </c>
      <c r="R2795" s="71">
        <f t="shared" si="392"/>
        <v>0</v>
      </c>
      <c r="S2795" s="71">
        <f t="shared" si="393"/>
        <v>0</v>
      </c>
      <c r="T2795" s="71">
        <f t="shared" si="394"/>
        <v>0</v>
      </c>
      <c r="U2795" s="71">
        <f>IF(AND(N2795=1,V2795=1),IF(COUNTIFS(AKTIVITAS!$B$2:$B$3052,B2795,AKTIVITAS!$E$2:$E$3052,H2795)&gt;0,1,0),0)</f>
        <v>0</v>
      </c>
      <c r="V2795" s="71">
        <f>IFERROR(IF(AND(H2795&gt;=INDEX(PEMAGANG!$J$3:$J$36,MATCH(B2795,PEMAGANG!$C$3:$C$36,0)),H2795&lt;=INDEX(PEMAGANG!$K$3:$K$36,MATCH(B2795,PEMAGANG!$C$3:$C$36,0))),1,0),0)</f>
        <v>1</v>
      </c>
      <c r="W2795" s="71">
        <f t="shared" si="395"/>
        <v>0</v>
      </c>
    </row>
    <row r="2796" spans="1:23" x14ac:dyDescent="0.2">
      <c r="A2796" s="71" t="s">
        <v>227</v>
      </c>
      <c r="B2796" s="71" t="s">
        <v>228</v>
      </c>
      <c r="C2796" s="71" t="s">
        <v>187</v>
      </c>
      <c r="D2796" s="71" t="s">
        <v>229</v>
      </c>
      <c r="E2796" s="71" t="s">
        <v>39</v>
      </c>
      <c r="F2796" s="71" t="s">
        <v>298</v>
      </c>
      <c r="G2796" s="88">
        <v>46199.274074074099</v>
      </c>
      <c r="H2796" s="89">
        <v>46199</v>
      </c>
      <c r="I2796" s="71" t="s">
        <v>602</v>
      </c>
      <c r="J2796" s="71">
        <v>-56</v>
      </c>
      <c r="K2796" s="71" t="s">
        <v>302</v>
      </c>
      <c r="L2796" s="71">
        <f t="shared" si="387"/>
        <v>6</v>
      </c>
      <c r="M2796" s="71" t="str">
        <f>IFERROR(INDEX(KALENDER!$D$3:$D$132,MATCH(H2796,KALENDER!$A$3:$A$132,0)),"Di luar periode")</f>
        <v>Hari Kerja</v>
      </c>
      <c r="N2796" s="71">
        <f t="shared" si="388"/>
        <v>1</v>
      </c>
      <c r="O2796" s="71">
        <f t="shared" si="389"/>
        <v>1</v>
      </c>
      <c r="P2796" s="71">
        <f t="shared" si="390"/>
        <v>1</v>
      </c>
      <c r="Q2796" s="71">
        <f t="shared" si="391"/>
        <v>0</v>
      </c>
      <c r="R2796" s="71">
        <f t="shared" si="392"/>
        <v>0</v>
      </c>
      <c r="S2796" s="71">
        <f t="shared" si="393"/>
        <v>0</v>
      </c>
      <c r="T2796" s="71">
        <f t="shared" si="394"/>
        <v>0</v>
      </c>
      <c r="U2796" s="71">
        <f>IF(AND(N2796=1,V2796=1),IF(COUNTIFS(AKTIVITAS!$B$2:$B$3052,B2796,AKTIVITAS!$E$2:$E$3052,H2796)&gt;0,1,0),0)</f>
        <v>1</v>
      </c>
      <c r="V2796" s="71">
        <f>IFERROR(IF(AND(H2796&gt;=INDEX(PEMAGANG!$J$3:$J$36,MATCH(B2796,PEMAGANG!$C$3:$C$36,0)),H2796&lt;=INDEX(PEMAGANG!$K$3:$K$36,MATCH(B2796,PEMAGANG!$C$3:$C$36,0))),1,0),0)</f>
        <v>1</v>
      </c>
      <c r="W2796" s="71">
        <f t="shared" si="395"/>
        <v>1</v>
      </c>
    </row>
    <row r="2797" spans="1:23" x14ac:dyDescent="0.2">
      <c r="A2797" s="71" t="s">
        <v>227</v>
      </c>
      <c r="B2797" s="71" t="s">
        <v>228</v>
      </c>
      <c r="C2797" s="71" t="s">
        <v>187</v>
      </c>
      <c r="D2797" s="71" t="s">
        <v>229</v>
      </c>
      <c r="E2797" s="71" t="s">
        <v>39</v>
      </c>
      <c r="F2797" s="71" t="s">
        <v>300</v>
      </c>
      <c r="G2797" s="88">
        <v>46199.688611111102</v>
      </c>
      <c r="H2797" s="89">
        <v>46199</v>
      </c>
      <c r="I2797" s="71" t="s">
        <v>336</v>
      </c>
      <c r="J2797" s="71">
        <v>0</v>
      </c>
      <c r="K2797" s="71" t="s">
        <v>302</v>
      </c>
      <c r="L2797" s="71">
        <f t="shared" si="387"/>
        <v>6</v>
      </c>
      <c r="M2797" s="71" t="str">
        <f>IFERROR(INDEX(KALENDER!$D$3:$D$132,MATCH(H2797,KALENDER!$A$3:$A$132,0)),"Di luar periode")</f>
        <v>Hari Kerja</v>
      </c>
      <c r="N2797" s="71">
        <f t="shared" si="388"/>
        <v>0</v>
      </c>
      <c r="O2797" s="71">
        <f t="shared" si="389"/>
        <v>1</v>
      </c>
      <c r="P2797" s="71">
        <f t="shared" si="390"/>
        <v>0</v>
      </c>
      <c r="Q2797" s="71">
        <f t="shared" si="391"/>
        <v>0</v>
      </c>
      <c r="R2797" s="71">
        <f t="shared" si="392"/>
        <v>0</v>
      </c>
      <c r="S2797" s="71">
        <f t="shared" si="393"/>
        <v>0</v>
      </c>
      <c r="T2797" s="71">
        <f t="shared" si="394"/>
        <v>0</v>
      </c>
      <c r="U2797" s="71">
        <f>IF(AND(N2797=1,V2797=1),IF(COUNTIFS(AKTIVITAS!$B$2:$B$3052,B2797,AKTIVITAS!$E$2:$E$3052,H2797)&gt;0,1,0),0)</f>
        <v>0</v>
      </c>
      <c r="V2797" s="71">
        <f>IFERROR(IF(AND(H2797&gt;=INDEX(PEMAGANG!$J$3:$J$36,MATCH(B2797,PEMAGANG!$C$3:$C$36,0)),H2797&lt;=INDEX(PEMAGANG!$K$3:$K$36,MATCH(B2797,PEMAGANG!$C$3:$C$36,0))),1,0),0)</f>
        <v>1</v>
      </c>
      <c r="W2797" s="71">
        <f t="shared" si="395"/>
        <v>0</v>
      </c>
    </row>
    <row r="2798" spans="1:23" x14ac:dyDescent="0.2">
      <c r="A2798" s="71" t="s">
        <v>227</v>
      </c>
      <c r="B2798" s="71" t="s">
        <v>228</v>
      </c>
      <c r="C2798" s="71" t="s">
        <v>187</v>
      </c>
      <c r="D2798" s="71" t="s">
        <v>229</v>
      </c>
      <c r="E2798" s="71" t="s">
        <v>39</v>
      </c>
      <c r="F2798" s="71" t="s">
        <v>298</v>
      </c>
      <c r="G2798" s="88">
        <v>46202.298078703701</v>
      </c>
      <c r="H2798" s="89">
        <v>46202</v>
      </c>
      <c r="I2798" s="71" t="s">
        <v>479</v>
      </c>
      <c r="J2798" s="71">
        <v>-21</v>
      </c>
      <c r="K2798" s="71" t="s">
        <v>302</v>
      </c>
      <c r="L2798" s="71">
        <f t="shared" si="387"/>
        <v>6</v>
      </c>
      <c r="M2798" s="71" t="str">
        <f>IFERROR(INDEX(KALENDER!$D$3:$D$132,MATCH(H2798,KALENDER!$A$3:$A$132,0)),"Di luar periode")</f>
        <v>Hari Kerja</v>
      </c>
      <c r="N2798" s="71">
        <f t="shared" si="388"/>
        <v>1</v>
      </c>
      <c r="O2798" s="71">
        <f t="shared" si="389"/>
        <v>1</v>
      </c>
      <c r="P2798" s="71">
        <f t="shared" si="390"/>
        <v>1</v>
      </c>
      <c r="Q2798" s="71">
        <f t="shared" si="391"/>
        <v>0</v>
      </c>
      <c r="R2798" s="71">
        <f t="shared" si="392"/>
        <v>0</v>
      </c>
      <c r="S2798" s="71">
        <f t="shared" si="393"/>
        <v>0</v>
      </c>
      <c r="T2798" s="71">
        <f t="shared" si="394"/>
        <v>0</v>
      </c>
      <c r="U2798" s="71">
        <f>IF(AND(N2798=1,V2798=1),IF(COUNTIFS(AKTIVITAS!$B$2:$B$3052,B2798,AKTIVITAS!$E$2:$E$3052,H2798)&gt;0,1,0),0)</f>
        <v>1</v>
      </c>
      <c r="V2798" s="71">
        <f>IFERROR(IF(AND(H2798&gt;=INDEX(PEMAGANG!$J$3:$J$36,MATCH(B2798,PEMAGANG!$C$3:$C$36,0)),H2798&lt;=INDEX(PEMAGANG!$K$3:$K$36,MATCH(B2798,PEMAGANG!$C$3:$C$36,0))),1,0),0)</f>
        <v>1</v>
      </c>
      <c r="W2798" s="71">
        <f t="shared" si="395"/>
        <v>1</v>
      </c>
    </row>
    <row r="2799" spans="1:23" x14ac:dyDescent="0.2">
      <c r="A2799" s="71" t="s">
        <v>227</v>
      </c>
      <c r="B2799" s="71" t="s">
        <v>228</v>
      </c>
      <c r="C2799" s="71" t="s">
        <v>187</v>
      </c>
      <c r="D2799" s="71" t="s">
        <v>229</v>
      </c>
      <c r="E2799" s="71" t="s">
        <v>39</v>
      </c>
      <c r="F2799" s="71" t="s">
        <v>300</v>
      </c>
      <c r="G2799" s="88">
        <v>46202.6876388889</v>
      </c>
      <c r="H2799" s="89">
        <v>46202</v>
      </c>
      <c r="I2799" s="71" t="s">
        <v>330</v>
      </c>
      <c r="J2799" s="71">
        <v>0</v>
      </c>
      <c r="K2799" s="71" t="s">
        <v>302</v>
      </c>
      <c r="L2799" s="71">
        <f t="shared" si="387"/>
        <v>6</v>
      </c>
      <c r="M2799" s="71" t="str">
        <f>IFERROR(INDEX(KALENDER!$D$3:$D$132,MATCH(H2799,KALENDER!$A$3:$A$132,0)),"Di luar periode")</f>
        <v>Hari Kerja</v>
      </c>
      <c r="N2799" s="71">
        <f t="shared" si="388"/>
        <v>0</v>
      </c>
      <c r="O2799" s="71">
        <f t="shared" si="389"/>
        <v>1</v>
      </c>
      <c r="P2799" s="71">
        <f t="shared" si="390"/>
        <v>0</v>
      </c>
      <c r="Q2799" s="71">
        <f t="shared" si="391"/>
        <v>0</v>
      </c>
      <c r="R2799" s="71">
        <f t="shared" si="392"/>
        <v>0</v>
      </c>
      <c r="S2799" s="71">
        <f t="shared" si="393"/>
        <v>0</v>
      </c>
      <c r="T2799" s="71">
        <f t="shared" si="394"/>
        <v>0</v>
      </c>
      <c r="U2799" s="71">
        <f>IF(AND(N2799=1,V2799=1),IF(COUNTIFS(AKTIVITAS!$B$2:$B$3052,B2799,AKTIVITAS!$E$2:$E$3052,H2799)&gt;0,1,0),0)</f>
        <v>0</v>
      </c>
      <c r="V2799" s="71">
        <f>IFERROR(IF(AND(H2799&gt;=INDEX(PEMAGANG!$J$3:$J$36,MATCH(B2799,PEMAGANG!$C$3:$C$36,0)),H2799&lt;=INDEX(PEMAGANG!$K$3:$K$36,MATCH(B2799,PEMAGANG!$C$3:$C$36,0))),1,0),0)</f>
        <v>1</v>
      </c>
      <c r="W2799" s="71">
        <f t="shared" si="395"/>
        <v>0</v>
      </c>
    </row>
    <row r="2800" spans="1:23" x14ac:dyDescent="0.2">
      <c r="A2800" s="71" t="s">
        <v>227</v>
      </c>
      <c r="B2800" s="71" t="s">
        <v>228</v>
      </c>
      <c r="C2800" s="71" t="s">
        <v>187</v>
      </c>
      <c r="D2800" s="71" t="s">
        <v>229</v>
      </c>
      <c r="E2800" s="71" t="s">
        <v>39</v>
      </c>
      <c r="F2800" s="71" t="s">
        <v>298</v>
      </c>
      <c r="G2800" s="88">
        <v>46203.301053240699</v>
      </c>
      <c r="H2800" s="89">
        <v>46203</v>
      </c>
      <c r="I2800" s="71" t="s">
        <v>475</v>
      </c>
      <c r="J2800" s="71">
        <v>-17</v>
      </c>
      <c r="K2800" s="71" t="s">
        <v>302</v>
      </c>
      <c r="L2800" s="71">
        <f t="shared" si="387"/>
        <v>6</v>
      </c>
      <c r="M2800" s="71" t="str">
        <f>IFERROR(INDEX(KALENDER!$D$3:$D$132,MATCH(H2800,KALENDER!$A$3:$A$132,0)),"Di luar periode")</f>
        <v>Hari Kerja</v>
      </c>
      <c r="N2800" s="71">
        <f t="shared" si="388"/>
        <v>1</v>
      </c>
      <c r="O2800" s="71">
        <f t="shared" si="389"/>
        <v>1</v>
      </c>
      <c r="P2800" s="71">
        <f t="shared" si="390"/>
        <v>1</v>
      </c>
      <c r="Q2800" s="71">
        <f t="shared" si="391"/>
        <v>0</v>
      </c>
      <c r="R2800" s="71">
        <f t="shared" si="392"/>
        <v>0</v>
      </c>
      <c r="S2800" s="71">
        <f t="shared" si="393"/>
        <v>0</v>
      </c>
      <c r="T2800" s="71">
        <f t="shared" si="394"/>
        <v>1</v>
      </c>
      <c r="U2800" s="71">
        <f>IF(AND(N2800=1,V2800=1),IF(COUNTIFS(AKTIVITAS!$B$2:$B$3052,B2800,AKTIVITAS!$E$2:$E$3052,H2800)&gt;0,1,0),0)</f>
        <v>0</v>
      </c>
      <c r="V2800" s="71">
        <f>IFERROR(IF(AND(H2800&gt;=INDEX(PEMAGANG!$J$3:$J$36,MATCH(B2800,PEMAGANG!$C$3:$C$36,0)),H2800&lt;=INDEX(PEMAGANG!$K$3:$K$36,MATCH(B2800,PEMAGANG!$C$3:$C$36,0))),1,0),0)</f>
        <v>1</v>
      </c>
      <c r="W2800" s="71">
        <f t="shared" si="395"/>
        <v>1</v>
      </c>
    </row>
    <row r="2801" spans="1:23" x14ac:dyDescent="0.2">
      <c r="A2801" s="71" t="s">
        <v>227</v>
      </c>
      <c r="B2801" s="71" t="s">
        <v>228</v>
      </c>
      <c r="C2801" s="71" t="s">
        <v>187</v>
      </c>
      <c r="D2801" s="71" t="s">
        <v>229</v>
      </c>
      <c r="E2801" s="71" t="s">
        <v>39</v>
      </c>
      <c r="F2801" s="71" t="s">
        <v>298</v>
      </c>
      <c r="G2801" s="88">
        <v>46205.294421296298</v>
      </c>
      <c r="H2801" s="89">
        <v>46205</v>
      </c>
      <c r="I2801" s="71" t="s">
        <v>483</v>
      </c>
      <c r="J2801" s="71">
        <v>-27</v>
      </c>
      <c r="K2801" s="71" t="s">
        <v>302</v>
      </c>
      <c r="L2801" s="71">
        <f t="shared" si="387"/>
        <v>7</v>
      </c>
      <c r="M2801" s="71" t="str">
        <f>IFERROR(INDEX(KALENDER!$D$3:$D$132,MATCH(H2801,KALENDER!$A$3:$A$132,0)),"Di luar periode")</f>
        <v>Hari Kerja</v>
      </c>
      <c r="N2801" s="71">
        <f t="shared" si="388"/>
        <v>1</v>
      </c>
      <c r="O2801" s="71">
        <f t="shared" si="389"/>
        <v>1</v>
      </c>
      <c r="P2801" s="71">
        <f t="shared" si="390"/>
        <v>1</v>
      </c>
      <c r="Q2801" s="71">
        <f t="shared" si="391"/>
        <v>0</v>
      </c>
      <c r="R2801" s="71">
        <f t="shared" si="392"/>
        <v>0</v>
      </c>
      <c r="S2801" s="71">
        <f t="shared" si="393"/>
        <v>0</v>
      </c>
      <c r="T2801" s="71">
        <f t="shared" si="394"/>
        <v>0</v>
      </c>
      <c r="U2801" s="71">
        <f>IF(AND(N2801=1,V2801=1),IF(COUNTIFS(AKTIVITAS!$B$2:$B$3052,B2801,AKTIVITAS!$E$2:$E$3052,H2801)&gt;0,1,0),0)</f>
        <v>1</v>
      </c>
      <c r="V2801" s="71">
        <f>IFERROR(IF(AND(H2801&gt;=INDEX(PEMAGANG!$J$3:$J$36,MATCH(B2801,PEMAGANG!$C$3:$C$36,0)),H2801&lt;=INDEX(PEMAGANG!$K$3:$K$36,MATCH(B2801,PEMAGANG!$C$3:$C$36,0))),1,0),0)</f>
        <v>1</v>
      </c>
      <c r="W2801" s="71">
        <f t="shared" si="395"/>
        <v>1</v>
      </c>
    </row>
    <row r="2802" spans="1:23" x14ac:dyDescent="0.2">
      <c r="A2802" s="71" t="s">
        <v>227</v>
      </c>
      <c r="B2802" s="71" t="s">
        <v>228</v>
      </c>
      <c r="C2802" s="71" t="s">
        <v>187</v>
      </c>
      <c r="D2802" s="71" t="s">
        <v>229</v>
      </c>
      <c r="E2802" s="71" t="s">
        <v>39</v>
      </c>
      <c r="F2802" s="71" t="s">
        <v>300</v>
      </c>
      <c r="G2802" s="88">
        <v>46205.693703703699</v>
      </c>
      <c r="H2802" s="89">
        <v>46205</v>
      </c>
      <c r="I2802" s="71" t="s">
        <v>317</v>
      </c>
      <c r="J2802" s="71">
        <v>0</v>
      </c>
      <c r="K2802" s="71" t="s">
        <v>302</v>
      </c>
      <c r="L2802" s="71">
        <f t="shared" si="387"/>
        <v>7</v>
      </c>
      <c r="M2802" s="71" t="str">
        <f>IFERROR(INDEX(KALENDER!$D$3:$D$132,MATCH(H2802,KALENDER!$A$3:$A$132,0)),"Di luar periode")</f>
        <v>Hari Kerja</v>
      </c>
      <c r="N2802" s="71">
        <f t="shared" si="388"/>
        <v>0</v>
      </c>
      <c r="O2802" s="71">
        <f t="shared" si="389"/>
        <v>1</v>
      </c>
      <c r="P2802" s="71">
        <f t="shared" si="390"/>
        <v>0</v>
      </c>
      <c r="Q2802" s="71">
        <f t="shared" si="391"/>
        <v>0</v>
      </c>
      <c r="R2802" s="71">
        <f t="shared" si="392"/>
        <v>0</v>
      </c>
      <c r="S2802" s="71">
        <f t="shared" si="393"/>
        <v>0</v>
      </c>
      <c r="T2802" s="71">
        <f t="shared" si="394"/>
        <v>0</v>
      </c>
      <c r="U2802" s="71">
        <f>IF(AND(N2802=1,V2802=1),IF(COUNTIFS(AKTIVITAS!$B$2:$B$3052,B2802,AKTIVITAS!$E$2:$E$3052,H2802)&gt;0,1,0),0)</f>
        <v>0</v>
      </c>
      <c r="V2802" s="71">
        <f>IFERROR(IF(AND(H2802&gt;=INDEX(PEMAGANG!$J$3:$J$36,MATCH(B2802,PEMAGANG!$C$3:$C$36,0)),H2802&lt;=INDEX(PEMAGANG!$K$3:$K$36,MATCH(B2802,PEMAGANG!$C$3:$C$36,0))),1,0),0)</f>
        <v>1</v>
      </c>
      <c r="W2802" s="71">
        <f t="shared" si="395"/>
        <v>0</v>
      </c>
    </row>
    <row r="2803" spans="1:23" x14ac:dyDescent="0.2">
      <c r="A2803" s="71" t="s">
        <v>227</v>
      </c>
      <c r="B2803" s="71" t="s">
        <v>228</v>
      </c>
      <c r="C2803" s="71" t="s">
        <v>187</v>
      </c>
      <c r="D2803" s="71" t="s">
        <v>229</v>
      </c>
      <c r="E2803" s="71" t="s">
        <v>39</v>
      </c>
      <c r="F2803" s="71" t="s">
        <v>298</v>
      </c>
      <c r="G2803" s="88">
        <v>46206.300659722197</v>
      </c>
      <c r="H2803" s="89">
        <v>46206</v>
      </c>
      <c r="I2803" s="71" t="s">
        <v>478</v>
      </c>
      <c r="J2803" s="71">
        <v>-18</v>
      </c>
      <c r="K2803" s="71" t="s">
        <v>302</v>
      </c>
      <c r="L2803" s="71">
        <f t="shared" si="387"/>
        <v>7</v>
      </c>
      <c r="M2803" s="71" t="str">
        <f>IFERROR(INDEX(KALENDER!$D$3:$D$132,MATCH(H2803,KALENDER!$A$3:$A$132,0)),"Di luar periode")</f>
        <v>Hari Kerja</v>
      </c>
      <c r="N2803" s="71">
        <f t="shared" si="388"/>
        <v>1</v>
      </c>
      <c r="O2803" s="71">
        <f t="shared" si="389"/>
        <v>1</v>
      </c>
      <c r="P2803" s="71">
        <f t="shared" si="390"/>
        <v>1</v>
      </c>
      <c r="Q2803" s="71">
        <f t="shared" si="391"/>
        <v>0</v>
      </c>
      <c r="R2803" s="71">
        <f t="shared" si="392"/>
        <v>0</v>
      </c>
      <c r="S2803" s="71">
        <f t="shared" si="393"/>
        <v>0</v>
      </c>
      <c r="T2803" s="71">
        <f t="shared" si="394"/>
        <v>0</v>
      </c>
      <c r="U2803" s="71">
        <f>IF(AND(N2803=1,V2803=1),IF(COUNTIFS(AKTIVITAS!$B$2:$B$3052,B2803,AKTIVITAS!$E$2:$E$3052,H2803)&gt;0,1,0),0)</f>
        <v>1</v>
      </c>
      <c r="V2803" s="71">
        <f>IFERROR(IF(AND(H2803&gt;=INDEX(PEMAGANG!$J$3:$J$36,MATCH(B2803,PEMAGANG!$C$3:$C$36,0)),H2803&lt;=INDEX(PEMAGANG!$K$3:$K$36,MATCH(B2803,PEMAGANG!$C$3:$C$36,0))),1,0),0)</f>
        <v>1</v>
      </c>
      <c r="W2803" s="71">
        <f t="shared" si="395"/>
        <v>1</v>
      </c>
    </row>
    <row r="2804" spans="1:23" x14ac:dyDescent="0.2">
      <c r="A2804" s="71" t="s">
        <v>227</v>
      </c>
      <c r="B2804" s="71" t="s">
        <v>228</v>
      </c>
      <c r="C2804" s="71" t="s">
        <v>187</v>
      </c>
      <c r="D2804" s="71" t="s">
        <v>229</v>
      </c>
      <c r="E2804" s="71" t="s">
        <v>39</v>
      </c>
      <c r="F2804" s="71" t="s">
        <v>300</v>
      </c>
      <c r="G2804" s="88">
        <v>46206.690578703703</v>
      </c>
      <c r="H2804" s="89">
        <v>46206</v>
      </c>
      <c r="I2804" s="71" t="s">
        <v>314</v>
      </c>
      <c r="J2804" s="71">
        <v>0</v>
      </c>
      <c r="K2804" s="71" t="s">
        <v>302</v>
      </c>
      <c r="L2804" s="71">
        <f t="shared" si="387"/>
        <v>7</v>
      </c>
      <c r="M2804" s="71" t="str">
        <f>IFERROR(INDEX(KALENDER!$D$3:$D$132,MATCH(H2804,KALENDER!$A$3:$A$132,0)),"Di luar periode")</f>
        <v>Hari Kerja</v>
      </c>
      <c r="N2804" s="71">
        <f t="shared" si="388"/>
        <v>0</v>
      </c>
      <c r="O2804" s="71">
        <f t="shared" si="389"/>
        <v>1</v>
      </c>
      <c r="P2804" s="71">
        <f t="shared" si="390"/>
        <v>0</v>
      </c>
      <c r="Q2804" s="71">
        <f t="shared" si="391"/>
        <v>0</v>
      </c>
      <c r="R2804" s="71">
        <f t="shared" si="392"/>
        <v>0</v>
      </c>
      <c r="S2804" s="71">
        <f t="shared" si="393"/>
        <v>0</v>
      </c>
      <c r="T2804" s="71">
        <f t="shared" si="394"/>
        <v>0</v>
      </c>
      <c r="U2804" s="71">
        <f>IF(AND(N2804=1,V2804=1),IF(COUNTIFS(AKTIVITAS!$B$2:$B$3052,B2804,AKTIVITAS!$E$2:$E$3052,H2804)&gt;0,1,0),0)</f>
        <v>0</v>
      </c>
      <c r="V2804" s="71">
        <f>IFERROR(IF(AND(H2804&gt;=INDEX(PEMAGANG!$J$3:$J$36,MATCH(B2804,PEMAGANG!$C$3:$C$36,0)),H2804&lt;=INDEX(PEMAGANG!$K$3:$K$36,MATCH(B2804,PEMAGANG!$C$3:$C$36,0))),1,0),0)</f>
        <v>1</v>
      </c>
      <c r="W2804" s="71">
        <f t="shared" si="395"/>
        <v>0</v>
      </c>
    </row>
    <row r="2805" spans="1:23" x14ac:dyDescent="0.2">
      <c r="A2805" s="71" t="s">
        <v>227</v>
      </c>
      <c r="B2805" s="71" t="s">
        <v>228</v>
      </c>
      <c r="C2805" s="71" t="s">
        <v>187</v>
      </c>
      <c r="D2805" s="71" t="s">
        <v>229</v>
      </c>
      <c r="E2805" s="71" t="s">
        <v>39</v>
      </c>
      <c r="F2805" s="71" t="s">
        <v>298</v>
      </c>
      <c r="G2805" s="88">
        <v>46209.299988425897</v>
      </c>
      <c r="H2805" s="89">
        <v>46209</v>
      </c>
      <c r="I2805" s="71" t="s">
        <v>402</v>
      </c>
      <c r="J2805" s="71">
        <v>-19</v>
      </c>
      <c r="K2805" s="71" t="s">
        <v>302</v>
      </c>
      <c r="L2805" s="71">
        <f t="shared" si="387"/>
        <v>7</v>
      </c>
      <c r="M2805" s="71" t="str">
        <f>IFERROR(INDEX(KALENDER!$D$3:$D$132,MATCH(H2805,KALENDER!$A$3:$A$132,0)),"Di luar periode")</f>
        <v>Hari Kerja</v>
      </c>
      <c r="N2805" s="71">
        <f t="shared" si="388"/>
        <v>1</v>
      </c>
      <c r="O2805" s="71">
        <f t="shared" si="389"/>
        <v>1</v>
      </c>
      <c r="P2805" s="71">
        <f t="shared" si="390"/>
        <v>1</v>
      </c>
      <c r="Q2805" s="71">
        <f t="shared" si="391"/>
        <v>0</v>
      </c>
      <c r="R2805" s="71">
        <f t="shared" si="392"/>
        <v>0</v>
      </c>
      <c r="S2805" s="71">
        <f t="shared" si="393"/>
        <v>0</v>
      </c>
      <c r="T2805" s="71">
        <f t="shared" si="394"/>
        <v>0</v>
      </c>
      <c r="U2805" s="71">
        <f>IF(AND(N2805=1,V2805=1),IF(COUNTIFS(AKTIVITAS!$B$2:$B$3052,B2805,AKTIVITAS!$E$2:$E$3052,H2805)&gt;0,1,0),0)</f>
        <v>1</v>
      </c>
      <c r="V2805" s="71">
        <f>IFERROR(IF(AND(H2805&gt;=INDEX(PEMAGANG!$J$3:$J$36,MATCH(B2805,PEMAGANG!$C$3:$C$36,0)),H2805&lt;=INDEX(PEMAGANG!$K$3:$K$36,MATCH(B2805,PEMAGANG!$C$3:$C$36,0))),1,0),0)</f>
        <v>1</v>
      </c>
      <c r="W2805" s="71">
        <f t="shared" si="395"/>
        <v>1</v>
      </c>
    </row>
    <row r="2806" spans="1:23" x14ac:dyDescent="0.2">
      <c r="A2806" s="71" t="s">
        <v>227</v>
      </c>
      <c r="B2806" s="71" t="s">
        <v>228</v>
      </c>
      <c r="C2806" s="71" t="s">
        <v>187</v>
      </c>
      <c r="D2806" s="71" t="s">
        <v>229</v>
      </c>
      <c r="E2806" s="71" t="s">
        <v>39</v>
      </c>
      <c r="F2806" s="71" t="s">
        <v>300</v>
      </c>
      <c r="G2806" s="88">
        <v>46209.688136574099</v>
      </c>
      <c r="H2806" s="89">
        <v>46209</v>
      </c>
      <c r="I2806" s="71" t="s">
        <v>330</v>
      </c>
      <c r="J2806" s="71">
        <v>0</v>
      </c>
      <c r="K2806" s="71" t="s">
        <v>302</v>
      </c>
      <c r="L2806" s="71">
        <f t="shared" si="387"/>
        <v>7</v>
      </c>
      <c r="M2806" s="71" t="str">
        <f>IFERROR(INDEX(KALENDER!$D$3:$D$132,MATCH(H2806,KALENDER!$A$3:$A$132,0)),"Di luar periode")</f>
        <v>Hari Kerja</v>
      </c>
      <c r="N2806" s="71">
        <f t="shared" si="388"/>
        <v>0</v>
      </c>
      <c r="O2806" s="71">
        <f t="shared" si="389"/>
        <v>1</v>
      </c>
      <c r="P2806" s="71">
        <f t="shared" si="390"/>
        <v>0</v>
      </c>
      <c r="Q2806" s="71">
        <f t="shared" si="391"/>
        <v>0</v>
      </c>
      <c r="R2806" s="71">
        <f t="shared" si="392"/>
        <v>0</v>
      </c>
      <c r="S2806" s="71">
        <f t="shared" si="393"/>
        <v>0</v>
      </c>
      <c r="T2806" s="71">
        <f t="shared" si="394"/>
        <v>0</v>
      </c>
      <c r="U2806" s="71">
        <f>IF(AND(N2806=1,V2806=1),IF(COUNTIFS(AKTIVITAS!$B$2:$B$3052,B2806,AKTIVITAS!$E$2:$E$3052,H2806)&gt;0,1,0),0)</f>
        <v>0</v>
      </c>
      <c r="V2806" s="71">
        <f>IFERROR(IF(AND(H2806&gt;=INDEX(PEMAGANG!$J$3:$J$36,MATCH(B2806,PEMAGANG!$C$3:$C$36,0)),H2806&lt;=INDEX(PEMAGANG!$K$3:$K$36,MATCH(B2806,PEMAGANG!$C$3:$C$36,0))),1,0),0)</f>
        <v>1</v>
      </c>
      <c r="W2806" s="71">
        <f t="shared" si="395"/>
        <v>0</v>
      </c>
    </row>
    <row r="2807" spans="1:23" x14ac:dyDescent="0.2">
      <c r="A2807" s="71" t="s">
        <v>227</v>
      </c>
      <c r="B2807" s="71" t="s">
        <v>228</v>
      </c>
      <c r="C2807" s="71" t="s">
        <v>187</v>
      </c>
      <c r="D2807" s="71" t="s">
        <v>229</v>
      </c>
      <c r="E2807" s="71" t="s">
        <v>39</v>
      </c>
      <c r="F2807" s="71" t="s">
        <v>298</v>
      </c>
      <c r="G2807" s="88">
        <v>46210.299328703702</v>
      </c>
      <c r="H2807" s="89">
        <v>46210</v>
      </c>
      <c r="I2807" s="71" t="s">
        <v>402</v>
      </c>
      <c r="J2807" s="71">
        <v>-19</v>
      </c>
      <c r="K2807" s="71" t="s">
        <v>302</v>
      </c>
      <c r="L2807" s="71">
        <f t="shared" si="387"/>
        <v>7</v>
      </c>
      <c r="M2807" s="71" t="str">
        <f>IFERROR(INDEX(KALENDER!$D$3:$D$132,MATCH(H2807,KALENDER!$A$3:$A$132,0)),"Di luar periode")</f>
        <v>Hari Kerja</v>
      </c>
      <c r="N2807" s="71">
        <f t="shared" si="388"/>
        <v>1</v>
      </c>
      <c r="O2807" s="71">
        <f t="shared" si="389"/>
        <v>1</v>
      </c>
      <c r="P2807" s="71">
        <f t="shared" si="390"/>
        <v>1</v>
      </c>
      <c r="Q2807" s="71">
        <f t="shared" si="391"/>
        <v>0</v>
      </c>
      <c r="R2807" s="71">
        <f t="shared" si="392"/>
        <v>0</v>
      </c>
      <c r="S2807" s="71">
        <f t="shared" si="393"/>
        <v>0</v>
      </c>
      <c r="T2807" s="71">
        <f t="shared" si="394"/>
        <v>0</v>
      </c>
      <c r="U2807" s="71">
        <f>IF(AND(N2807=1,V2807=1),IF(COUNTIFS(AKTIVITAS!$B$2:$B$3052,B2807,AKTIVITAS!$E$2:$E$3052,H2807)&gt;0,1,0),0)</f>
        <v>1</v>
      </c>
      <c r="V2807" s="71">
        <f>IFERROR(IF(AND(H2807&gt;=INDEX(PEMAGANG!$J$3:$J$36,MATCH(B2807,PEMAGANG!$C$3:$C$36,0)),H2807&lt;=INDEX(PEMAGANG!$K$3:$K$36,MATCH(B2807,PEMAGANG!$C$3:$C$36,0))),1,0),0)</f>
        <v>1</v>
      </c>
      <c r="W2807" s="71">
        <f t="shared" si="395"/>
        <v>1</v>
      </c>
    </row>
    <row r="2808" spans="1:23" x14ac:dyDescent="0.2">
      <c r="A2808" s="71" t="s">
        <v>227</v>
      </c>
      <c r="B2808" s="71" t="s">
        <v>228</v>
      </c>
      <c r="C2808" s="71" t="s">
        <v>187</v>
      </c>
      <c r="D2808" s="71" t="s">
        <v>229</v>
      </c>
      <c r="E2808" s="71" t="s">
        <v>39</v>
      </c>
      <c r="F2808" s="71" t="s">
        <v>300</v>
      </c>
      <c r="G2808" s="88">
        <v>46210.688900462999</v>
      </c>
      <c r="H2808" s="89">
        <v>46210</v>
      </c>
      <c r="I2808" s="71" t="s">
        <v>306</v>
      </c>
      <c r="J2808" s="71">
        <v>0</v>
      </c>
      <c r="K2808" s="71" t="s">
        <v>302</v>
      </c>
      <c r="L2808" s="71">
        <f t="shared" si="387"/>
        <v>7</v>
      </c>
      <c r="M2808" s="71" t="str">
        <f>IFERROR(INDEX(KALENDER!$D$3:$D$132,MATCH(H2808,KALENDER!$A$3:$A$132,0)),"Di luar periode")</f>
        <v>Hari Kerja</v>
      </c>
      <c r="N2808" s="71">
        <f t="shared" si="388"/>
        <v>0</v>
      </c>
      <c r="O2808" s="71">
        <f t="shared" si="389"/>
        <v>1</v>
      </c>
      <c r="P2808" s="71">
        <f t="shared" si="390"/>
        <v>0</v>
      </c>
      <c r="Q2808" s="71">
        <f t="shared" si="391"/>
        <v>0</v>
      </c>
      <c r="R2808" s="71">
        <f t="shared" si="392"/>
        <v>0</v>
      </c>
      <c r="S2808" s="71">
        <f t="shared" si="393"/>
        <v>0</v>
      </c>
      <c r="T2808" s="71">
        <f t="shared" si="394"/>
        <v>0</v>
      </c>
      <c r="U2808" s="71">
        <f>IF(AND(N2808=1,V2808=1),IF(COUNTIFS(AKTIVITAS!$B$2:$B$3052,B2808,AKTIVITAS!$E$2:$E$3052,H2808)&gt;0,1,0),0)</f>
        <v>0</v>
      </c>
      <c r="V2808" s="71">
        <f>IFERROR(IF(AND(H2808&gt;=INDEX(PEMAGANG!$J$3:$J$36,MATCH(B2808,PEMAGANG!$C$3:$C$36,0)),H2808&lt;=INDEX(PEMAGANG!$K$3:$K$36,MATCH(B2808,PEMAGANG!$C$3:$C$36,0))),1,0),0)</f>
        <v>1</v>
      </c>
      <c r="W2808" s="71">
        <f t="shared" si="395"/>
        <v>0</v>
      </c>
    </row>
    <row r="2809" spans="1:23" x14ac:dyDescent="0.2">
      <c r="A2809" s="71" t="s">
        <v>227</v>
      </c>
      <c r="B2809" s="71" t="s">
        <v>228</v>
      </c>
      <c r="C2809" s="71" t="s">
        <v>187</v>
      </c>
      <c r="D2809" s="71" t="s">
        <v>229</v>
      </c>
      <c r="E2809" s="71" t="s">
        <v>39</v>
      </c>
      <c r="F2809" s="71" t="s">
        <v>298</v>
      </c>
      <c r="G2809" s="88">
        <v>46212.297314814801</v>
      </c>
      <c r="H2809" s="89">
        <v>46212</v>
      </c>
      <c r="I2809" s="71" t="s">
        <v>486</v>
      </c>
      <c r="J2809" s="71">
        <v>-22</v>
      </c>
      <c r="K2809" s="71" t="s">
        <v>302</v>
      </c>
      <c r="L2809" s="71">
        <f t="shared" si="387"/>
        <v>7</v>
      </c>
      <c r="M2809" s="71" t="str">
        <f>IFERROR(INDEX(KALENDER!$D$3:$D$132,MATCH(H2809,KALENDER!$A$3:$A$132,0)),"Di luar periode")</f>
        <v>Hari Kerja</v>
      </c>
      <c r="N2809" s="71">
        <f t="shared" si="388"/>
        <v>1</v>
      </c>
      <c r="O2809" s="71">
        <f t="shared" si="389"/>
        <v>1</v>
      </c>
      <c r="P2809" s="71">
        <f t="shared" si="390"/>
        <v>1</v>
      </c>
      <c r="Q2809" s="71">
        <f t="shared" si="391"/>
        <v>0</v>
      </c>
      <c r="R2809" s="71">
        <f t="shared" si="392"/>
        <v>0</v>
      </c>
      <c r="S2809" s="71">
        <f t="shared" si="393"/>
        <v>0</v>
      </c>
      <c r="T2809" s="71">
        <f t="shared" si="394"/>
        <v>0</v>
      </c>
      <c r="U2809" s="71">
        <f>IF(AND(N2809=1,V2809=1),IF(COUNTIFS(AKTIVITAS!$B$2:$B$3052,B2809,AKTIVITAS!$E$2:$E$3052,H2809)&gt;0,1,0),0)</f>
        <v>1</v>
      </c>
      <c r="V2809" s="71">
        <f>IFERROR(IF(AND(H2809&gt;=INDEX(PEMAGANG!$J$3:$J$36,MATCH(B2809,PEMAGANG!$C$3:$C$36,0)),H2809&lt;=INDEX(PEMAGANG!$K$3:$K$36,MATCH(B2809,PEMAGANG!$C$3:$C$36,0))),1,0),0)</f>
        <v>1</v>
      </c>
      <c r="W2809" s="71">
        <f t="shared" si="395"/>
        <v>1</v>
      </c>
    </row>
    <row r="2810" spans="1:23" x14ac:dyDescent="0.2">
      <c r="A2810" s="71" t="s">
        <v>227</v>
      </c>
      <c r="B2810" s="71" t="s">
        <v>228</v>
      </c>
      <c r="C2810" s="71" t="s">
        <v>187</v>
      </c>
      <c r="D2810" s="71" t="s">
        <v>229</v>
      </c>
      <c r="E2810" s="71" t="s">
        <v>39</v>
      </c>
      <c r="F2810" s="71" t="s">
        <v>300</v>
      </c>
      <c r="G2810" s="88">
        <v>46212.6877662037</v>
      </c>
      <c r="H2810" s="89">
        <v>46212</v>
      </c>
      <c r="I2810" s="71" t="s">
        <v>330</v>
      </c>
      <c r="J2810" s="71">
        <v>0</v>
      </c>
      <c r="K2810" s="71" t="s">
        <v>302</v>
      </c>
      <c r="L2810" s="71">
        <f t="shared" si="387"/>
        <v>7</v>
      </c>
      <c r="M2810" s="71" t="str">
        <f>IFERROR(INDEX(KALENDER!$D$3:$D$132,MATCH(H2810,KALENDER!$A$3:$A$132,0)),"Di luar periode")</f>
        <v>Hari Kerja</v>
      </c>
      <c r="N2810" s="71">
        <f t="shared" si="388"/>
        <v>0</v>
      </c>
      <c r="O2810" s="71">
        <f t="shared" si="389"/>
        <v>1</v>
      </c>
      <c r="P2810" s="71">
        <f t="shared" si="390"/>
        <v>0</v>
      </c>
      <c r="Q2810" s="71">
        <f t="shared" si="391"/>
        <v>0</v>
      </c>
      <c r="R2810" s="71">
        <f t="shared" si="392"/>
        <v>0</v>
      </c>
      <c r="S2810" s="71">
        <f t="shared" si="393"/>
        <v>0</v>
      </c>
      <c r="T2810" s="71">
        <f t="shared" si="394"/>
        <v>0</v>
      </c>
      <c r="U2810" s="71">
        <f>IF(AND(N2810=1,V2810=1),IF(COUNTIFS(AKTIVITAS!$B$2:$B$3052,B2810,AKTIVITAS!$E$2:$E$3052,H2810)&gt;0,1,0),0)</f>
        <v>0</v>
      </c>
      <c r="V2810" s="71">
        <f>IFERROR(IF(AND(H2810&gt;=INDEX(PEMAGANG!$J$3:$J$36,MATCH(B2810,PEMAGANG!$C$3:$C$36,0)),H2810&lt;=INDEX(PEMAGANG!$K$3:$K$36,MATCH(B2810,PEMAGANG!$C$3:$C$36,0))),1,0),0)</f>
        <v>1</v>
      </c>
      <c r="W2810" s="71">
        <f t="shared" si="395"/>
        <v>0</v>
      </c>
    </row>
    <row r="2811" spans="1:23" x14ac:dyDescent="0.2">
      <c r="A2811" s="71" t="s">
        <v>227</v>
      </c>
      <c r="B2811" s="71" t="s">
        <v>228</v>
      </c>
      <c r="C2811" s="71" t="s">
        <v>187</v>
      </c>
      <c r="D2811" s="71" t="s">
        <v>229</v>
      </c>
      <c r="E2811" s="71" t="s">
        <v>39</v>
      </c>
      <c r="F2811" s="71" t="s">
        <v>298</v>
      </c>
      <c r="G2811" s="88">
        <v>46213.296875</v>
      </c>
      <c r="H2811" s="89">
        <v>46213</v>
      </c>
      <c r="I2811" s="71" t="s">
        <v>487</v>
      </c>
      <c r="J2811" s="71">
        <v>-23</v>
      </c>
      <c r="K2811" s="71" t="s">
        <v>302</v>
      </c>
      <c r="L2811" s="71">
        <f t="shared" si="387"/>
        <v>7</v>
      </c>
      <c r="M2811" s="71" t="str">
        <f>IFERROR(INDEX(KALENDER!$D$3:$D$132,MATCH(H2811,KALENDER!$A$3:$A$132,0)),"Di luar periode")</f>
        <v>Hari Kerja</v>
      </c>
      <c r="N2811" s="71">
        <f t="shared" si="388"/>
        <v>1</v>
      </c>
      <c r="O2811" s="71">
        <f t="shared" si="389"/>
        <v>1</v>
      </c>
      <c r="P2811" s="71">
        <f t="shared" si="390"/>
        <v>1</v>
      </c>
      <c r="Q2811" s="71">
        <f t="shared" si="391"/>
        <v>0</v>
      </c>
      <c r="R2811" s="71">
        <f t="shared" si="392"/>
        <v>0</v>
      </c>
      <c r="S2811" s="71">
        <f t="shared" si="393"/>
        <v>0</v>
      </c>
      <c r="T2811" s="71">
        <f t="shared" si="394"/>
        <v>0</v>
      </c>
      <c r="U2811" s="71">
        <f>IF(AND(N2811=1,V2811=1),IF(COUNTIFS(AKTIVITAS!$B$2:$B$3052,B2811,AKTIVITAS!$E$2:$E$3052,H2811)&gt;0,1,0),0)</f>
        <v>1</v>
      </c>
      <c r="V2811" s="71">
        <f>IFERROR(IF(AND(H2811&gt;=INDEX(PEMAGANG!$J$3:$J$36,MATCH(B2811,PEMAGANG!$C$3:$C$36,0)),H2811&lt;=INDEX(PEMAGANG!$K$3:$K$36,MATCH(B2811,PEMAGANG!$C$3:$C$36,0))),1,0),0)</f>
        <v>1</v>
      </c>
      <c r="W2811" s="71">
        <f t="shared" si="395"/>
        <v>1</v>
      </c>
    </row>
    <row r="2812" spans="1:23" x14ac:dyDescent="0.2">
      <c r="A2812" s="71" t="s">
        <v>227</v>
      </c>
      <c r="B2812" s="71" t="s">
        <v>228</v>
      </c>
      <c r="C2812" s="71" t="s">
        <v>187</v>
      </c>
      <c r="D2812" s="71" t="s">
        <v>229</v>
      </c>
      <c r="E2812" s="71" t="s">
        <v>39</v>
      </c>
      <c r="F2812" s="71" t="s">
        <v>300</v>
      </c>
      <c r="G2812" s="88">
        <v>46213.6881712963</v>
      </c>
      <c r="H2812" s="89">
        <v>46213</v>
      </c>
      <c r="I2812" s="71" t="s">
        <v>330</v>
      </c>
      <c r="J2812" s="71">
        <v>0</v>
      </c>
      <c r="K2812" s="71" t="s">
        <v>302</v>
      </c>
      <c r="L2812" s="71">
        <f t="shared" si="387"/>
        <v>7</v>
      </c>
      <c r="M2812" s="71" t="str">
        <f>IFERROR(INDEX(KALENDER!$D$3:$D$132,MATCH(H2812,KALENDER!$A$3:$A$132,0)),"Di luar periode")</f>
        <v>Hari Kerja</v>
      </c>
      <c r="N2812" s="71">
        <f t="shared" si="388"/>
        <v>0</v>
      </c>
      <c r="O2812" s="71">
        <f t="shared" si="389"/>
        <v>1</v>
      </c>
      <c r="P2812" s="71">
        <f t="shared" si="390"/>
        <v>0</v>
      </c>
      <c r="Q2812" s="71">
        <f t="shared" si="391"/>
        <v>0</v>
      </c>
      <c r="R2812" s="71">
        <f t="shared" si="392"/>
        <v>0</v>
      </c>
      <c r="S2812" s="71">
        <f t="shared" si="393"/>
        <v>0</v>
      </c>
      <c r="T2812" s="71">
        <f t="shared" si="394"/>
        <v>0</v>
      </c>
      <c r="U2812" s="71">
        <f>IF(AND(N2812=1,V2812=1),IF(COUNTIFS(AKTIVITAS!$B$2:$B$3052,B2812,AKTIVITAS!$E$2:$E$3052,H2812)&gt;0,1,0),0)</f>
        <v>0</v>
      </c>
      <c r="V2812" s="71">
        <f>IFERROR(IF(AND(H2812&gt;=INDEX(PEMAGANG!$J$3:$J$36,MATCH(B2812,PEMAGANG!$C$3:$C$36,0)),H2812&lt;=INDEX(PEMAGANG!$K$3:$K$36,MATCH(B2812,PEMAGANG!$C$3:$C$36,0))),1,0),0)</f>
        <v>1</v>
      </c>
      <c r="W2812" s="71">
        <f t="shared" si="395"/>
        <v>0</v>
      </c>
    </row>
    <row r="2813" spans="1:23" x14ac:dyDescent="0.2">
      <c r="A2813" s="71" t="s">
        <v>227</v>
      </c>
      <c r="B2813" s="71" t="s">
        <v>228</v>
      </c>
      <c r="C2813" s="71" t="s">
        <v>187</v>
      </c>
      <c r="D2813" s="71" t="s">
        <v>229</v>
      </c>
      <c r="E2813" s="71" t="s">
        <v>39</v>
      </c>
      <c r="F2813" s="71" t="s">
        <v>298</v>
      </c>
      <c r="G2813" s="88">
        <v>46216.299606481502</v>
      </c>
      <c r="H2813" s="89">
        <v>46216</v>
      </c>
      <c r="I2813" s="71" t="s">
        <v>402</v>
      </c>
      <c r="J2813" s="71">
        <v>-19</v>
      </c>
      <c r="K2813" s="71" t="s">
        <v>302</v>
      </c>
      <c r="L2813" s="71">
        <f t="shared" si="387"/>
        <v>7</v>
      </c>
      <c r="M2813" s="71" t="str">
        <f>IFERROR(INDEX(KALENDER!$D$3:$D$132,MATCH(H2813,KALENDER!$A$3:$A$132,0)),"Di luar periode")</f>
        <v>Hari Kerja</v>
      </c>
      <c r="N2813" s="71">
        <f t="shared" si="388"/>
        <v>1</v>
      </c>
      <c r="O2813" s="71">
        <f t="shared" si="389"/>
        <v>1</v>
      </c>
      <c r="P2813" s="71">
        <f t="shared" si="390"/>
        <v>1</v>
      </c>
      <c r="Q2813" s="71">
        <f t="shared" si="391"/>
        <v>0</v>
      </c>
      <c r="R2813" s="71">
        <f t="shared" si="392"/>
        <v>0</v>
      </c>
      <c r="S2813" s="71">
        <f t="shared" si="393"/>
        <v>0</v>
      </c>
      <c r="T2813" s="71">
        <f t="shared" si="394"/>
        <v>0</v>
      </c>
      <c r="U2813" s="71">
        <f>IF(AND(N2813=1,V2813=1),IF(COUNTIFS(AKTIVITAS!$B$2:$B$3052,B2813,AKTIVITAS!$E$2:$E$3052,H2813)&gt;0,1,0),0)</f>
        <v>1</v>
      </c>
      <c r="V2813" s="71">
        <f>IFERROR(IF(AND(H2813&gt;=INDEX(PEMAGANG!$J$3:$J$36,MATCH(B2813,PEMAGANG!$C$3:$C$36,0)),H2813&lt;=INDEX(PEMAGANG!$K$3:$K$36,MATCH(B2813,PEMAGANG!$C$3:$C$36,0))),1,0),0)</f>
        <v>1</v>
      </c>
      <c r="W2813" s="71">
        <f t="shared" si="395"/>
        <v>1</v>
      </c>
    </row>
    <row r="2814" spans="1:23" x14ac:dyDescent="0.2">
      <c r="A2814" s="71" t="s">
        <v>227</v>
      </c>
      <c r="B2814" s="71" t="s">
        <v>228</v>
      </c>
      <c r="C2814" s="71" t="s">
        <v>187</v>
      </c>
      <c r="D2814" s="71" t="s">
        <v>229</v>
      </c>
      <c r="E2814" s="71" t="s">
        <v>39</v>
      </c>
      <c r="F2814" s="71" t="s">
        <v>300</v>
      </c>
      <c r="G2814" s="88">
        <v>46216.691631944399</v>
      </c>
      <c r="H2814" s="89">
        <v>46216</v>
      </c>
      <c r="I2814" s="71" t="s">
        <v>310</v>
      </c>
      <c r="J2814" s="71">
        <v>0</v>
      </c>
      <c r="K2814" s="71" t="s">
        <v>302</v>
      </c>
      <c r="L2814" s="71">
        <f t="shared" si="387"/>
        <v>7</v>
      </c>
      <c r="M2814" s="71" t="str">
        <f>IFERROR(INDEX(KALENDER!$D$3:$D$132,MATCH(H2814,KALENDER!$A$3:$A$132,0)),"Di luar periode")</f>
        <v>Hari Kerja</v>
      </c>
      <c r="N2814" s="71">
        <f t="shared" si="388"/>
        <v>0</v>
      </c>
      <c r="O2814" s="71">
        <f t="shared" si="389"/>
        <v>1</v>
      </c>
      <c r="P2814" s="71">
        <f t="shared" si="390"/>
        <v>0</v>
      </c>
      <c r="Q2814" s="71">
        <f t="shared" si="391"/>
        <v>0</v>
      </c>
      <c r="R2814" s="71">
        <f t="shared" si="392"/>
        <v>0</v>
      </c>
      <c r="S2814" s="71">
        <f t="shared" si="393"/>
        <v>0</v>
      </c>
      <c r="T2814" s="71">
        <f t="shared" si="394"/>
        <v>0</v>
      </c>
      <c r="U2814" s="71">
        <f>IF(AND(N2814=1,V2814=1),IF(COUNTIFS(AKTIVITAS!$B$2:$B$3052,B2814,AKTIVITAS!$E$2:$E$3052,H2814)&gt;0,1,0),0)</f>
        <v>0</v>
      </c>
      <c r="V2814" s="71">
        <f>IFERROR(IF(AND(H2814&gt;=INDEX(PEMAGANG!$J$3:$J$36,MATCH(B2814,PEMAGANG!$C$3:$C$36,0)),H2814&lt;=INDEX(PEMAGANG!$K$3:$K$36,MATCH(B2814,PEMAGANG!$C$3:$C$36,0))),1,0),0)</f>
        <v>1</v>
      </c>
      <c r="W2814" s="71">
        <f t="shared" si="395"/>
        <v>0</v>
      </c>
    </row>
    <row r="2815" spans="1:23" x14ac:dyDescent="0.2">
      <c r="A2815" s="71" t="s">
        <v>227</v>
      </c>
      <c r="B2815" s="71" t="s">
        <v>228</v>
      </c>
      <c r="C2815" s="71" t="s">
        <v>187</v>
      </c>
      <c r="D2815" s="71" t="s">
        <v>229</v>
      </c>
      <c r="E2815" s="71" t="s">
        <v>39</v>
      </c>
      <c r="F2815" s="71" t="s">
        <v>298</v>
      </c>
      <c r="G2815" s="88">
        <v>46217.302858796298</v>
      </c>
      <c r="H2815" s="89">
        <v>46217</v>
      </c>
      <c r="I2815" s="71" t="s">
        <v>327</v>
      </c>
      <c r="J2815" s="71">
        <v>-14</v>
      </c>
      <c r="K2815" s="71" t="s">
        <v>302</v>
      </c>
      <c r="L2815" s="71">
        <f t="shared" si="387"/>
        <v>7</v>
      </c>
      <c r="M2815" s="71" t="str">
        <f>IFERROR(INDEX(KALENDER!$D$3:$D$132,MATCH(H2815,KALENDER!$A$3:$A$132,0)),"Di luar periode")</f>
        <v>Hari Kerja</v>
      </c>
      <c r="N2815" s="71">
        <f t="shared" si="388"/>
        <v>1</v>
      </c>
      <c r="O2815" s="71">
        <f t="shared" si="389"/>
        <v>1</v>
      </c>
      <c r="P2815" s="71">
        <f t="shared" si="390"/>
        <v>1</v>
      </c>
      <c r="Q2815" s="71">
        <f t="shared" si="391"/>
        <v>0</v>
      </c>
      <c r="R2815" s="71">
        <f t="shared" si="392"/>
        <v>0</v>
      </c>
      <c r="S2815" s="71">
        <f t="shared" si="393"/>
        <v>0</v>
      </c>
      <c r="T2815" s="71">
        <f t="shared" si="394"/>
        <v>1</v>
      </c>
      <c r="U2815" s="71">
        <f>IF(AND(N2815=1,V2815=1),IF(COUNTIFS(AKTIVITAS!$B$2:$B$3052,B2815,AKTIVITAS!$E$2:$E$3052,H2815)&gt;0,1,0),0)</f>
        <v>0</v>
      </c>
      <c r="V2815" s="71">
        <f>IFERROR(IF(AND(H2815&gt;=INDEX(PEMAGANG!$J$3:$J$36,MATCH(B2815,PEMAGANG!$C$3:$C$36,0)),H2815&lt;=INDEX(PEMAGANG!$K$3:$K$36,MATCH(B2815,PEMAGANG!$C$3:$C$36,0))),1,0),0)</f>
        <v>1</v>
      </c>
      <c r="W2815" s="71">
        <f t="shared" si="395"/>
        <v>1</v>
      </c>
    </row>
    <row r="2816" spans="1:23" x14ac:dyDescent="0.2">
      <c r="A2816" s="71" t="s">
        <v>227</v>
      </c>
      <c r="B2816" s="71" t="s">
        <v>228</v>
      </c>
      <c r="C2816" s="71" t="s">
        <v>187</v>
      </c>
      <c r="D2816" s="71" t="s">
        <v>229</v>
      </c>
      <c r="E2816" s="71" t="s">
        <v>39</v>
      </c>
      <c r="F2816" s="71" t="s">
        <v>298</v>
      </c>
      <c r="G2816" s="88">
        <v>46219.301782407398</v>
      </c>
      <c r="H2816" s="89">
        <v>46219</v>
      </c>
      <c r="I2816" s="71" t="s">
        <v>416</v>
      </c>
      <c r="J2816" s="71">
        <v>-16</v>
      </c>
      <c r="K2816" s="71" t="s">
        <v>302</v>
      </c>
      <c r="L2816" s="71">
        <f t="shared" si="387"/>
        <v>7</v>
      </c>
      <c r="M2816" s="71" t="str">
        <f>IFERROR(INDEX(KALENDER!$D$3:$D$132,MATCH(H2816,KALENDER!$A$3:$A$132,0)),"Di luar periode")</f>
        <v>Hari Kerja</v>
      </c>
      <c r="N2816" s="71">
        <f t="shared" si="388"/>
        <v>1</v>
      </c>
      <c r="O2816" s="71">
        <f t="shared" si="389"/>
        <v>1</v>
      </c>
      <c r="P2816" s="71">
        <f t="shared" si="390"/>
        <v>1</v>
      </c>
      <c r="Q2816" s="71">
        <f t="shared" si="391"/>
        <v>0</v>
      </c>
      <c r="R2816" s="71">
        <f t="shared" si="392"/>
        <v>0</v>
      </c>
      <c r="S2816" s="71">
        <f t="shared" si="393"/>
        <v>0</v>
      </c>
      <c r="T2816" s="71">
        <f t="shared" si="394"/>
        <v>0</v>
      </c>
      <c r="U2816" s="71">
        <f>IF(AND(N2816=1,V2816=1),IF(COUNTIFS(AKTIVITAS!$B$2:$B$3052,B2816,AKTIVITAS!$E$2:$E$3052,H2816)&gt;0,1,0),0)</f>
        <v>1</v>
      </c>
      <c r="V2816" s="71">
        <f>IFERROR(IF(AND(H2816&gt;=INDEX(PEMAGANG!$J$3:$J$36,MATCH(B2816,PEMAGANG!$C$3:$C$36,0)),H2816&lt;=INDEX(PEMAGANG!$K$3:$K$36,MATCH(B2816,PEMAGANG!$C$3:$C$36,0))),1,0),0)</f>
        <v>1</v>
      </c>
      <c r="W2816" s="71">
        <f t="shared" si="395"/>
        <v>1</v>
      </c>
    </row>
    <row r="2817" spans="1:23" x14ac:dyDescent="0.2">
      <c r="A2817" s="71" t="s">
        <v>227</v>
      </c>
      <c r="B2817" s="71" t="s">
        <v>228</v>
      </c>
      <c r="C2817" s="71" t="s">
        <v>187</v>
      </c>
      <c r="D2817" s="71" t="s">
        <v>229</v>
      </c>
      <c r="E2817" s="71" t="s">
        <v>39</v>
      </c>
      <c r="F2817" s="71" t="s">
        <v>300</v>
      </c>
      <c r="G2817" s="88">
        <v>46219.689513888901</v>
      </c>
      <c r="H2817" s="89">
        <v>46219</v>
      </c>
      <c r="I2817" s="71" t="s">
        <v>306</v>
      </c>
      <c r="J2817" s="71">
        <v>0</v>
      </c>
      <c r="K2817" s="71" t="s">
        <v>302</v>
      </c>
      <c r="L2817" s="71">
        <f t="shared" si="387"/>
        <v>7</v>
      </c>
      <c r="M2817" s="71" t="str">
        <f>IFERROR(INDEX(KALENDER!$D$3:$D$132,MATCH(H2817,KALENDER!$A$3:$A$132,0)),"Di luar periode")</f>
        <v>Hari Kerja</v>
      </c>
      <c r="N2817" s="71">
        <f t="shared" si="388"/>
        <v>0</v>
      </c>
      <c r="O2817" s="71">
        <f t="shared" si="389"/>
        <v>1</v>
      </c>
      <c r="P2817" s="71">
        <f t="shared" si="390"/>
        <v>0</v>
      </c>
      <c r="Q2817" s="71">
        <f t="shared" si="391"/>
        <v>0</v>
      </c>
      <c r="R2817" s="71">
        <f t="shared" si="392"/>
        <v>0</v>
      </c>
      <c r="S2817" s="71">
        <f t="shared" si="393"/>
        <v>0</v>
      </c>
      <c r="T2817" s="71">
        <f t="shared" si="394"/>
        <v>0</v>
      </c>
      <c r="U2817" s="71">
        <f>IF(AND(N2817=1,V2817=1),IF(COUNTIFS(AKTIVITAS!$B$2:$B$3052,B2817,AKTIVITAS!$E$2:$E$3052,H2817)&gt;0,1,0),0)</f>
        <v>0</v>
      </c>
      <c r="V2817" s="71">
        <f>IFERROR(IF(AND(H2817&gt;=INDEX(PEMAGANG!$J$3:$J$36,MATCH(B2817,PEMAGANG!$C$3:$C$36,0)),H2817&lt;=INDEX(PEMAGANG!$K$3:$K$36,MATCH(B2817,PEMAGANG!$C$3:$C$36,0))),1,0),0)</f>
        <v>1</v>
      </c>
      <c r="W2817" s="71">
        <f t="shared" si="395"/>
        <v>0</v>
      </c>
    </row>
    <row r="2818" spans="1:23" x14ac:dyDescent="0.2">
      <c r="A2818" s="71" t="s">
        <v>227</v>
      </c>
      <c r="B2818" s="71" t="s">
        <v>228</v>
      </c>
      <c r="C2818" s="71" t="s">
        <v>187</v>
      </c>
      <c r="D2818" s="71" t="s">
        <v>229</v>
      </c>
      <c r="E2818" s="71" t="s">
        <v>39</v>
      </c>
      <c r="F2818" s="71" t="s">
        <v>298</v>
      </c>
      <c r="G2818" s="88">
        <v>46220.305115740703</v>
      </c>
      <c r="H2818" s="89">
        <v>46220</v>
      </c>
      <c r="I2818" s="71" t="s">
        <v>321</v>
      </c>
      <c r="J2818" s="71">
        <v>-11</v>
      </c>
      <c r="K2818" s="71" t="s">
        <v>302</v>
      </c>
      <c r="L2818" s="71">
        <f t="shared" ref="L2818:L2881" si="396">MONTH(H2818)</f>
        <v>7</v>
      </c>
      <c r="M2818" s="71" t="str">
        <f>IFERROR(INDEX(KALENDER!$D$3:$D$132,MATCH(H2818,KALENDER!$A$3:$A$132,0)),"Di luar periode")</f>
        <v>Hari Kerja</v>
      </c>
      <c r="N2818" s="71">
        <f t="shared" ref="N2818:N2881" si="397">IF(AND(B2818=B2817,H2818=H2817),0,1)</f>
        <v>1</v>
      </c>
      <c r="O2818" s="71">
        <f t="shared" ref="O2818:O2881" si="398">IF(N2818=1,0,O2817)+IF(F2818="MASUK",1,0)</f>
        <v>1</v>
      </c>
      <c r="P2818" s="71">
        <f t="shared" ref="P2818:P2881" si="399">IF(AND(N2818=1,M2818="Hari Kerja",V2818=1),1,0)</f>
        <v>1</v>
      </c>
      <c r="Q2818" s="71">
        <f t="shared" ref="Q2818:Q2881" si="400">IF(AND(N2818=1,OR(M2818&lt;&gt;"Hari Kerja",V2818=0)),1,0)</f>
        <v>0</v>
      </c>
      <c r="R2818" s="71">
        <f t="shared" ref="R2818:R2881" si="401">IF(AND(F2818="MASUK",O2818=1,N(J2818)&gt;0,V2818=1),1,0)</f>
        <v>0</v>
      </c>
      <c r="S2818" s="71">
        <f t="shared" ref="S2818:S2881" si="402">R2818*N(J2818)</f>
        <v>0</v>
      </c>
      <c r="T2818" s="71">
        <f t="shared" ref="T2818:T2881" si="403">IF(AND(N2818=1,V2818=1),IF(AND(COUNTIFS($B$2:$B$4094,B2818,$H$2:$H$4094,H2818,$F$2:$F$4094,"MASUK")&gt;0,COUNTIFS($B$2:$B$4094,B2818,$H$2:$H$4094,H2818,$F$2:$F$4094,"PULANG")=0),1,0),0)</f>
        <v>0</v>
      </c>
      <c r="U2818" s="71">
        <f>IF(AND(N2818=1,V2818=1),IF(COUNTIFS(AKTIVITAS!$B$2:$B$3052,B2818,AKTIVITAS!$E$2:$E$3052,H2818)&gt;0,1,0),0)</f>
        <v>1</v>
      </c>
      <c r="V2818" s="71">
        <f>IFERROR(IF(AND(H2818&gt;=INDEX(PEMAGANG!$J$3:$J$36,MATCH(B2818,PEMAGANG!$C$3:$C$36,0)),H2818&lt;=INDEX(PEMAGANG!$K$3:$K$36,MATCH(B2818,PEMAGANG!$C$3:$C$36,0))),1,0),0)</f>
        <v>1</v>
      </c>
      <c r="W2818" s="71">
        <f t="shared" ref="W2818:W2881" si="404">N2818*V2818</f>
        <v>1</v>
      </c>
    </row>
    <row r="2819" spans="1:23" x14ac:dyDescent="0.2">
      <c r="A2819" s="71" t="s">
        <v>227</v>
      </c>
      <c r="B2819" s="71" t="s">
        <v>228</v>
      </c>
      <c r="C2819" s="71" t="s">
        <v>187</v>
      </c>
      <c r="D2819" s="71" t="s">
        <v>229</v>
      </c>
      <c r="E2819" s="71" t="s">
        <v>39</v>
      </c>
      <c r="F2819" s="71" t="s">
        <v>300</v>
      </c>
      <c r="G2819" s="88">
        <v>46220.687650462998</v>
      </c>
      <c r="H2819" s="89">
        <v>46220</v>
      </c>
      <c r="I2819" s="71" t="s">
        <v>330</v>
      </c>
      <c r="J2819" s="71">
        <v>0</v>
      </c>
      <c r="K2819" s="71" t="s">
        <v>302</v>
      </c>
      <c r="L2819" s="71">
        <f t="shared" si="396"/>
        <v>7</v>
      </c>
      <c r="M2819" s="71" t="str">
        <f>IFERROR(INDEX(KALENDER!$D$3:$D$132,MATCH(H2819,KALENDER!$A$3:$A$132,0)),"Di luar periode")</f>
        <v>Hari Kerja</v>
      </c>
      <c r="N2819" s="71">
        <f t="shared" si="397"/>
        <v>0</v>
      </c>
      <c r="O2819" s="71">
        <f t="shared" si="398"/>
        <v>1</v>
      </c>
      <c r="P2819" s="71">
        <f t="shared" si="399"/>
        <v>0</v>
      </c>
      <c r="Q2819" s="71">
        <f t="shared" si="400"/>
        <v>0</v>
      </c>
      <c r="R2819" s="71">
        <f t="shared" si="401"/>
        <v>0</v>
      </c>
      <c r="S2819" s="71">
        <f t="shared" si="402"/>
        <v>0</v>
      </c>
      <c r="T2819" s="71">
        <f t="shared" si="403"/>
        <v>0</v>
      </c>
      <c r="U2819" s="71">
        <f>IF(AND(N2819=1,V2819=1),IF(COUNTIFS(AKTIVITAS!$B$2:$B$3052,B2819,AKTIVITAS!$E$2:$E$3052,H2819)&gt;0,1,0),0)</f>
        <v>0</v>
      </c>
      <c r="V2819" s="71">
        <f>IFERROR(IF(AND(H2819&gt;=INDEX(PEMAGANG!$J$3:$J$36,MATCH(B2819,PEMAGANG!$C$3:$C$36,0)),H2819&lt;=INDEX(PEMAGANG!$K$3:$K$36,MATCH(B2819,PEMAGANG!$C$3:$C$36,0))),1,0),0)</f>
        <v>1</v>
      </c>
      <c r="W2819" s="71">
        <f t="shared" si="404"/>
        <v>0</v>
      </c>
    </row>
    <row r="2820" spans="1:23" x14ac:dyDescent="0.2">
      <c r="A2820" s="71" t="s">
        <v>227</v>
      </c>
      <c r="B2820" s="71" t="s">
        <v>228</v>
      </c>
      <c r="C2820" s="71" t="s">
        <v>187</v>
      </c>
      <c r="D2820" s="71" t="s">
        <v>229</v>
      </c>
      <c r="E2820" s="71" t="s">
        <v>39</v>
      </c>
      <c r="F2820" s="71" t="s">
        <v>298</v>
      </c>
      <c r="G2820" s="88">
        <v>46223.301782407398</v>
      </c>
      <c r="H2820" s="89">
        <v>46223</v>
      </c>
      <c r="I2820" s="71" t="s">
        <v>416</v>
      </c>
      <c r="J2820" s="71">
        <v>-16</v>
      </c>
      <c r="K2820" s="71" t="s">
        <v>302</v>
      </c>
      <c r="L2820" s="71">
        <f t="shared" si="396"/>
        <v>7</v>
      </c>
      <c r="M2820" s="71" t="str">
        <f>IFERROR(INDEX(KALENDER!$D$3:$D$132,MATCH(H2820,KALENDER!$A$3:$A$132,0)),"Di luar periode")</f>
        <v>Hari Kerja</v>
      </c>
      <c r="N2820" s="71">
        <f t="shared" si="397"/>
        <v>1</v>
      </c>
      <c r="O2820" s="71">
        <f t="shared" si="398"/>
        <v>1</v>
      </c>
      <c r="P2820" s="71">
        <f t="shared" si="399"/>
        <v>1</v>
      </c>
      <c r="Q2820" s="71">
        <f t="shared" si="400"/>
        <v>0</v>
      </c>
      <c r="R2820" s="71">
        <f t="shared" si="401"/>
        <v>0</v>
      </c>
      <c r="S2820" s="71">
        <f t="shared" si="402"/>
        <v>0</v>
      </c>
      <c r="T2820" s="71">
        <f t="shared" si="403"/>
        <v>0</v>
      </c>
      <c r="U2820" s="71">
        <f>IF(AND(N2820=1,V2820=1),IF(COUNTIFS(AKTIVITAS!$B$2:$B$3052,B2820,AKTIVITAS!$E$2:$E$3052,H2820)&gt;0,1,0),0)</f>
        <v>1</v>
      </c>
      <c r="V2820" s="71">
        <f>IFERROR(IF(AND(H2820&gt;=INDEX(PEMAGANG!$J$3:$J$36,MATCH(B2820,PEMAGANG!$C$3:$C$36,0)),H2820&lt;=INDEX(PEMAGANG!$K$3:$K$36,MATCH(B2820,PEMAGANG!$C$3:$C$36,0))),1,0),0)</f>
        <v>1</v>
      </c>
      <c r="W2820" s="71">
        <f t="shared" si="404"/>
        <v>1</v>
      </c>
    </row>
    <row r="2821" spans="1:23" x14ac:dyDescent="0.2">
      <c r="A2821" s="71" t="s">
        <v>227</v>
      </c>
      <c r="B2821" s="71" t="s">
        <v>228</v>
      </c>
      <c r="C2821" s="71" t="s">
        <v>187</v>
      </c>
      <c r="D2821" s="71" t="s">
        <v>229</v>
      </c>
      <c r="E2821" s="71" t="s">
        <v>39</v>
      </c>
      <c r="F2821" s="71" t="s">
        <v>300</v>
      </c>
      <c r="G2821" s="88">
        <v>46223.6879050926</v>
      </c>
      <c r="H2821" s="89">
        <v>46223</v>
      </c>
      <c r="I2821" s="71" t="s">
        <v>330</v>
      </c>
      <c r="J2821" s="71">
        <v>0</v>
      </c>
      <c r="K2821" s="71" t="s">
        <v>302</v>
      </c>
      <c r="L2821" s="71">
        <f t="shared" si="396"/>
        <v>7</v>
      </c>
      <c r="M2821" s="71" t="str">
        <f>IFERROR(INDEX(KALENDER!$D$3:$D$132,MATCH(H2821,KALENDER!$A$3:$A$132,0)),"Di luar periode")</f>
        <v>Hari Kerja</v>
      </c>
      <c r="N2821" s="71">
        <f t="shared" si="397"/>
        <v>0</v>
      </c>
      <c r="O2821" s="71">
        <f t="shared" si="398"/>
        <v>1</v>
      </c>
      <c r="P2821" s="71">
        <f t="shared" si="399"/>
        <v>0</v>
      </c>
      <c r="Q2821" s="71">
        <f t="shared" si="400"/>
        <v>0</v>
      </c>
      <c r="R2821" s="71">
        <f t="shared" si="401"/>
        <v>0</v>
      </c>
      <c r="S2821" s="71">
        <f t="shared" si="402"/>
        <v>0</v>
      </c>
      <c r="T2821" s="71">
        <f t="shared" si="403"/>
        <v>0</v>
      </c>
      <c r="U2821" s="71">
        <f>IF(AND(N2821=1,V2821=1),IF(COUNTIFS(AKTIVITAS!$B$2:$B$3052,B2821,AKTIVITAS!$E$2:$E$3052,H2821)&gt;0,1,0),0)</f>
        <v>0</v>
      </c>
      <c r="V2821" s="71">
        <f>IFERROR(IF(AND(H2821&gt;=INDEX(PEMAGANG!$J$3:$J$36,MATCH(B2821,PEMAGANG!$C$3:$C$36,0)),H2821&lt;=INDEX(PEMAGANG!$K$3:$K$36,MATCH(B2821,PEMAGANG!$C$3:$C$36,0))),1,0),0)</f>
        <v>1</v>
      </c>
      <c r="W2821" s="71">
        <f t="shared" si="404"/>
        <v>0</v>
      </c>
    </row>
    <row r="2822" spans="1:23" x14ac:dyDescent="0.2">
      <c r="A2822" s="71" t="s">
        <v>227</v>
      </c>
      <c r="B2822" s="71" t="s">
        <v>228</v>
      </c>
      <c r="C2822" s="71" t="s">
        <v>187</v>
      </c>
      <c r="D2822" s="71" t="s">
        <v>229</v>
      </c>
      <c r="E2822" s="71" t="s">
        <v>39</v>
      </c>
      <c r="F2822" s="71" t="s">
        <v>298</v>
      </c>
      <c r="G2822" s="88">
        <v>46224.300486111097</v>
      </c>
      <c r="H2822" s="89">
        <v>46224</v>
      </c>
      <c r="I2822" s="71" t="s">
        <v>478</v>
      </c>
      <c r="J2822" s="71">
        <v>-18</v>
      </c>
      <c r="K2822" s="71" t="s">
        <v>302</v>
      </c>
      <c r="L2822" s="71">
        <f t="shared" si="396"/>
        <v>7</v>
      </c>
      <c r="M2822" s="71" t="str">
        <f>IFERROR(INDEX(KALENDER!$D$3:$D$132,MATCH(H2822,KALENDER!$A$3:$A$132,0)),"Di luar periode")</f>
        <v>Hari Kerja</v>
      </c>
      <c r="N2822" s="71">
        <f t="shared" si="397"/>
        <v>1</v>
      </c>
      <c r="O2822" s="71">
        <f t="shared" si="398"/>
        <v>1</v>
      </c>
      <c r="P2822" s="71">
        <f t="shared" si="399"/>
        <v>1</v>
      </c>
      <c r="Q2822" s="71">
        <f t="shared" si="400"/>
        <v>0</v>
      </c>
      <c r="R2822" s="71">
        <f t="shared" si="401"/>
        <v>0</v>
      </c>
      <c r="S2822" s="71">
        <f t="shared" si="402"/>
        <v>0</v>
      </c>
      <c r="T2822" s="71">
        <f t="shared" si="403"/>
        <v>0</v>
      </c>
      <c r="U2822" s="71">
        <f>IF(AND(N2822=1,V2822=1),IF(COUNTIFS(AKTIVITAS!$B$2:$B$3052,B2822,AKTIVITAS!$E$2:$E$3052,H2822)&gt;0,1,0),0)</f>
        <v>1</v>
      </c>
      <c r="V2822" s="71">
        <f>IFERROR(IF(AND(H2822&gt;=INDEX(PEMAGANG!$J$3:$J$36,MATCH(B2822,PEMAGANG!$C$3:$C$36,0)),H2822&lt;=INDEX(PEMAGANG!$K$3:$K$36,MATCH(B2822,PEMAGANG!$C$3:$C$36,0))),1,0),0)</f>
        <v>1</v>
      </c>
      <c r="W2822" s="71">
        <f t="shared" si="404"/>
        <v>1</v>
      </c>
    </row>
    <row r="2823" spans="1:23" x14ac:dyDescent="0.2">
      <c r="A2823" s="71" t="s">
        <v>227</v>
      </c>
      <c r="B2823" s="71" t="s">
        <v>228</v>
      </c>
      <c r="C2823" s="71" t="s">
        <v>187</v>
      </c>
      <c r="D2823" s="71" t="s">
        <v>229</v>
      </c>
      <c r="E2823" s="71" t="s">
        <v>39</v>
      </c>
      <c r="F2823" s="71" t="s">
        <v>300</v>
      </c>
      <c r="G2823" s="88">
        <v>46224.6879050926</v>
      </c>
      <c r="H2823" s="89">
        <v>46224</v>
      </c>
      <c r="I2823" s="71" t="s">
        <v>330</v>
      </c>
      <c r="J2823" s="71">
        <v>0</v>
      </c>
      <c r="K2823" s="71" t="s">
        <v>302</v>
      </c>
      <c r="L2823" s="71">
        <f t="shared" si="396"/>
        <v>7</v>
      </c>
      <c r="M2823" s="71" t="str">
        <f>IFERROR(INDEX(KALENDER!$D$3:$D$132,MATCH(H2823,KALENDER!$A$3:$A$132,0)),"Di luar periode")</f>
        <v>Hari Kerja</v>
      </c>
      <c r="N2823" s="71">
        <f t="shared" si="397"/>
        <v>0</v>
      </c>
      <c r="O2823" s="71">
        <f t="shared" si="398"/>
        <v>1</v>
      </c>
      <c r="P2823" s="71">
        <f t="shared" si="399"/>
        <v>0</v>
      </c>
      <c r="Q2823" s="71">
        <f t="shared" si="400"/>
        <v>0</v>
      </c>
      <c r="R2823" s="71">
        <f t="shared" si="401"/>
        <v>0</v>
      </c>
      <c r="S2823" s="71">
        <f t="shared" si="402"/>
        <v>0</v>
      </c>
      <c r="T2823" s="71">
        <f t="shared" si="403"/>
        <v>0</v>
      </c>
      <c r="U2823" s="71">
        <f>IF(AND(N2823=1,V2823=1),IF(COUNTIFS(AKTIVITAS!$B$2:$B$3052,B2823,AKTIVITAS!$E$2:$E$3052,H2823)&gt;0,1,0),0)</f>
        <v>0</v>
      </c>
      <c r="V2823" s="71">
        <f>IFERROR(IF(AND(H2823&gt;=INDEX(PEMAGANG!$J$3:$J$36,MATCH(B2823,PEMAGANG!$C$3:$C$36,0)),H2823&lt;=INDEX(PEMAGANG!$K$3:$K$36,MATCH(B2823,PEMAGANG!$C$3:$C$36,0))),1,0),0)</f>
        <v>1</v>
      </c>
      <c r="W2823" s="71">
        <f t="shared" si="404"/>
        <v>0</v>
      </c>
    </row>
    <row r="2824" spans="1:23" x14ac:dyDescent="0.2">
      <c r="A2824" s="71" t="s">
        <v>227</v>
      </c>
      <c r="B2824" s="71" t="s">
        <v>228</v>
      </c>
      <c r="C2824" s="71" t="s">
        <v>187</v>
      </c>
      <c r="D2824" s="71" t="s">
        <v>229</v>
      </c>
      <c r="E2824" s="71" t="s">
        <v>39</v>
      </c>
      <c r="F2824" s="71" t="s">
        <v>298</v>
      </c>
      <c r="G2824" s="88">
        <v>46226.305636574099</v>
      </c>
      <c r="H2824" s="89">
        <v>46226</v>
      </c>
      <c r="I2824" s="71" t="s">
        <v>329</v>
      </c>
      <c r="J2824" s="71">
        <v>-10</v>
      </c>
      <c r="K2824" s="71" t="s">
        <v>302</v>
      </c>
      <c r="L2824" s="71">
        <f t="shared" si="396"/>
        <v>7</v>
      </c>
      <c r="M2824" s="71" t="str">
        <f>IFERROR(INDEX(KALENDER!$D$3:$D$132,MATCH(H2824,KALENDER!$A$3:$A$132,0)),"Di luar periode")</f>
        <v>Hari Kerja</v>
      </c>
      <c r="N2824" s="71">
        <f t="shared" si="397"/>
        <v>1</v>
      </c>
      <c r="O2824" s="71">
        <f t="shared" si="398"/>
        <v>1</v>
      </c>
      <c r="P2824" s="71">
        <f t="shared" si="399"/>
        <v>1</v>
      </c>
      <c r="Q2824" s="71">
        <f t="shared" si="400"/>
        <v>0</v>
      </c>
      <c r="R2824" s="71">
        <f t="shared" si="401"/>
        <v>0</v>
      </c>
      <c r="S2824" s="71">
        <f t="shared" si="402"/>
        <v>0</v>
      </c>
      <c r="T2824" s="71">
        <f t="shared" si="403"/>
        <v>0</v>
      </c>
      <c r="U2824" s="71">
        <f>IF(AND(N2824=1,V2824=1),IF(COUNTIFS(AKTIVITAS!$B$2:$B$3052,B2824,AKTIVITAS!$E$2:$E$3052,H2824)&gt;0,1,0),0)</f>
        <v>1</v>
      </c>
      <c r="V2824" s="71">
        <f>IFERROR(IF(AND(H2824&gt;=INDEX(PEMAGANG!$J$3:$J$36,MATCH(B2824,PEMAGANG!$C$3:$C$36,0)),H2824&lt;=INDEX(PEMAGANG!$K$3:$K$36,MATCH(B2824,PEMAGANG!$C$3:$C$36,0))),1,0),0)</f>
        <v>1</v>
      </c>
      <c r="W2824" s="71">
        <f t="shared" si="404"/>
        <v>1</v>
      </c>
    </row>
    <row r="2825" spans="1:23" x14ac:dyDescent="0.2">
      <c r="A2825" s="71" t="s">
        <v>227</v>
      </c>
      <c r="B2825" s="71" t="s">
        <v>228</v>
      </c>
      <c r="C2825" s="71" t="s">
        <v>187</v>
      </c>
      <c r="D2825" s="71" t="s">
        <v>229</v>
      </c>
      <c r="E2825" s="71" t="s">
        <v>39</v>
      </c>
      <c r="F2825" s="71" t="s">
        <v>300</v>
      </c>
      <c r="G2825" s="88">
        <v>46226.688298611101</v>
      </c>
      <c r="H2825" s="89">
        <v>46226</v>
      </c>
      <c r="I2825" s="71" t="s">
        <v>336</v>
      </c>
      <c r="J2825" s="71">
        <v>0</v>
      </c>
      <c r="K2825" s="71" t="s">
        <v>302</v>
      </c>
      <c r="L2825" s="71">
        <f t="shared" si="396"/>
        <v>7</v>
      </c>
      <c r="M2825" s="71" t="str">
        <f>IFERROR(INDEX(KALENDER!$D$3:$D$132,MATCH(H2825,KALENDER!$A$3:$A$132,0)),"Di luar periode")</f>
        <v>Hari Kerja</v>
      </c>
      <c r="N2825" s="71">
        <f t="shared" si="397"/>
        <v>0</v>
      </c>
      <c r="O2825" s="71">
        <f t="shared" si="398"/>
        <v>1</v>
      </c>
      <c r="P2825" s="71">
        <f t="shared" si="399"/>
        <v>0</v>
      </c>
      <c r="Q2825" s="71">
        <f t="shared" si="400"/>
        <v>0</v>
      </c>
      <c r="R2825" s="71">
        <f t="shared" si="401"/>
        <v>0</v>
      </c>
      <c r="S2825" s="71">
        <f t="shared" si="402"/>
        <v>0</v>
      </c>
      <c r="T2825" s="71">
        <f t="shared" si="403"/>
        <v>0</v>
      </c>
      <c r="U2825" s="71">
        <f>IF(AND(N2825=1,V2825=1),IF(COUNTIFS(AKTIVITAS!$B$2:$B$3052,B2825,AKTIVITAS!$E$2:$E$3052,H2825)&gt;0,1,0),0)</f>
        <v>0</v>
      </c>
      <c r="V2825" s="71">
        <f>IFERROR(IF(AND(H2825&gt;=INDEX(PEMAGANG!$J$3:$J$36,MATCH(B2825,PEMAGANG!$C$3:$C$36,0)),H2825&lt;=INDEX(PEMAGANG!$K$3:$K$36,MATCH(B2825,PEMAGANG!$C$3:$C$36,0))),1,0),0)</f>
        <v>1</v>
      </c>
      <c r="W2825" s="71">
        <f t="shared" si="404"/>
        <v>0</v>
      </c>
    </row>
    <row r="2826" spans="1:23" x14ac:dyDescent="0.2">
      <c r="A2826" s="71" t="s">
        <v>227</v>
      </c>
      <c r="B2826" s="71" t="s">
        <v>228</v>
      </c>
      <c r="C2826" s="71" t="s">
        <v>187</v>
      </c>
      <c r="D2826" s="71" t="s">
        <v>229</v>
      </c>
      <c r="E2826" s="71" t="s">
        <v>39</v>
      </c>
      <c r="F2826" s="71" t="s">
        <v>298</v>
      </c>
      <c r="G2826" s="88">
        <v>46227.300972222198</v>
      </c>
      <c r="H2826" s="89">
        <v>46227</v>
      </c>
      <c r="I2826" s="71" t="s">
        <v>475</v>
      </c>
      <c r="J2826" s="71">
        <v>-17</v>
      </c>
      <c r="K2826" s="71" t="s">
        <v>302</v>
      </c>
      <c r="L2826" s="71">
        <f t="shared" si="396"/>
        <v>7</v>
      </c>
      <c r="M2826" s="71" t="str">
        <f>IFERROR(INDEX(KALENDER!$D$3:$D$132,MATCH(H2826,KALENDER!$A$3:$A$132,0)),"Di luar periode")</f>
        <v>Hari Kerja</v>
      </c>
      <c r="N2826" s="71">
        <f t="shared" si="397"/>
        <v>1</v>
      </c>
      <c r="O2826" s="71">
        <f t="shared" si="398"/>
        <v>1</v>
      </c>
      <c r="P2826" s="71">
        <f t="shared" si="399"/>
        <v>1</v>
      </c>
      <c r="Q2826" s="71">
        <f t="shared" si="400"/>
        <v>0</v>
      </c>
      <c r="R2826" s="71">
        <f t="shared" si="401"/>
        <v>0</v>
      </c>
      <c r="S2826" s="71">
        <f t="shared" si="402"/>
        <v>0</v>
      </c>
      <c r="T2826" s="71">
        <f t="shared" si="403"/>
        <v>0</v>
      </c>
      <c r="U2826" s="71">
        <f>IF(AND(N2826=1,V2826=1),IF(COUNTIFS(AKTIVITAS!$B$2:$B$3052,B2826,AKTIVITAS!$E$2:$E$3052,H2826)&gt;0,1,0),0)</f>
        <v>1</v>
      </c>
      <c r="V2826" s="71">
        <f>IFERROR(IF(AND(H2826&gt;=INDEX(PEMAGANG!$J$3:$J$36,MATCH(B2826,PEMAGANG!$C$3:$C$36,0)),H2826&lt;=INDEX(PEMAGANG!$K$3:$K$36,MATCH(B2826,PEMAGANG!$C$3:$C$36,0))),1,0),0)</f>
        <v>1</v>
      </c>
      <c r="W2826" s="71">
        <f t="shared" si="404"/>
        <v>1</v>
      </c>
    </row>
    <row r="2827" spans="1:23" x14ac:dyDescent="0.2">
      <c r="A2827" s="71" t="s">
        <v>227</v>
      </c>
      <c r="B2827" s="71" t="s">
        <v>228</v>
      </c>
      <c r="C2827" s="71" t="s">
        <v>187</v>
      </c>
      <c r="D2827" s="71" t="s">
        <v>229</v>
      </c>
      <c r="E2827" s="71" t="s">
        <v>39</v>
      </c>
      <c r="F2827" s="71" t="s">
        <v>300</v>
      </c>
      <c r="G2827" s="88">
        <v>46227.692222222198</v>
      </c>
      <c r="H2827" s="89">
        <v>46227</v>
      </c>
      <c r="I2827" s="71" t="s">
        <v>344</v>
      </c>
      <c r="J2827" s="71">
        <v>0</v>
      </c>
      <c r="K2827" s="71" t="s">
        <v>302</v>
      </c>
      <c r="L2827" s="71">
        <f t="shared" si="396"/>
        <v>7</v>
      </c>
      <c r="M2827" s="71" t="str">
        <f>IFERROR(INDEX(KALENDER!$D$3:$D$132,MATCH(H2827,KALENDER!$A$3:$A$132,0)),"Di luar periode")</f>
        <v>Hari Kerja</v>
      </c>
      <c r="N2827" s="71">
        <f t="shared" si="397"/>
        <v>0</v>
      </c>
      <c r="O2827" s="71">
        <f t="shared" si="398"/>
        <v>1</v>
      </c>
      <c r="P2827" s="71">
        <f t="shared" si="399"/>
        <v>0</v>
      </c>
      <c r="Q2827" s="71">
        <f t="shared" si="400"/>
        <v>0</v>
      </c>
      <c r="R2827" s="71">
        <f t="shared" si="401"/>
        <v>0</v>
      </c>
      <c r="S2827" s="71">
        <f t="shared" si="402"/>
        <v>0</v>
      </c>
      <c r="T2827" s="71">
        <f t="shared" si="403"/>
        <v>0</v>
      </c>
      <c r="U2827" s="71">
        <f>IF(AND(N2827=1,V2827=1),IF(COUNTIFS(AKTIVITAS!$B$2:$B$3052,B2827,AKTIVITAS!$E$2:$E$3052,H2827)&gt;0,1,0),0)</f>
        <v>0</v>
      </c>
      <c r="V2827" s="71">
        <f>IFERROR(IF(AND(H2827&gt;=INDEX(PEMAGANG!$J$3:$J$36,MATCH(B2827,PEMAGANG!$C$3:$C$36,0)),H2827&lt;=INDEX(PEMAGANG!$K$3:$K$36,MATCH(B2827,PEMAGANG!$C$3:$C$36,0))),1,0),0)</f>
        <v>1</v>
      </c>
      <c r="W2827" s="71">
        <f t="shared" si="404"/>
        <v>0</v>
      </c>
    </row>
    <row r="2828" spans="1:23" x14ac:dyDescent="0.2">
      <c r="A2828" s="71" t="s">
        <v>227</v>
      </c>
      <c r="B2828" s="71" t="s">
        <v>228</v>
      </c>
      <c r="C2828" s="71" t="s">
        <v>187</v>
      </c>
      <c r="D2828" s="71" t="s">
        <v>229</v>
      </c>
      <c r="E2828" s="71" t="s">
        <v>39</v>
      </c>
      <c r="F2828" s="71" t="s">
        <v>298</v>
      </c>
      <c r="G2828" s="88">
        <v>46230.303553240701</v>
      </c>
      <c r="H2828" s="89">
        <v>46230</v>
      </c>
      <c r="I2828" s="71" t="s">
        <v>331</v>
      </c>
      <c r="J2828" s="71">
        <v>-13</v>
      </c>
      <c r="K2828" s="71" t="s">
        <v>302</v>
      </c>
      <c r="L2828" s="71">
        <f t="shared" si="396"/>
        <v>7</v>
      </c>
      <c r="M2828" s="71" t="str">
        <f>IFERROR(INDEX(KALENDER!$D$3:$D$132,MATCH(H2828,KALENDER!$A$3:$A$132,0)),"Di luar periode")</f>
        <v>Hari Kerja</v>
      </c>
      <c r="N2828" s="71">
        <f t="shared" si="397"/>
        <v>1</v>
      </c>
      <c r="O2828" s="71">
        <f t="shared" si="398"/>
        <v>1</v>
      </c>
      <c r="P2828" s="71">
        <f t="shared" si="399"/>
        <v>1</v>
      </c>
      <c r="Q2828" s="71">
        <f t="shared" si="400"/>
        <v>0</v>
      </c>
      <c r="R2828" s="71">
        <f t="shared" si="401"/>
        <v>0</v>
      </c>
      <c r="S2828" s="71">
        <f t="shared" si="402"/>
        <v>0</v>
      </c>
      <c r="T2828" s="71">
        <f t="shared" si="403"/>
        <v>0</v>
      </c>
      <c r="U2828" s="71">
        <f>IF(AND(N2828=1,V2828=1),IF(COUNTIFS(AKTIVITAS!$B$2:$B$3052,B2828,AKTIVITAS!$E$2:$E$3052,H2828)&gt;0,1,0),0)</f>
        <v>1</v>
      </c>
      <c r="V2828" s="71">
        <f>IFERROR(IF(AND(H2828&gt;=INDEX(PEMAGANG!$J$3:$J$36,MATCH(B2828,PEMAGANG!$C$3:$C$36,0)),H2828&lt;=INDEX(PEMAGANG!$K$3:$K$36,MATCH(B2828,PEMAGANG!$C$3:$C$36,0))),1,0),0)</f>
        <v>1</v>
      </c>
      <c r="W2828" s="71">
        <f t="shared" si="404"/>
        <v>1</v>
      </c>
    </row>
    <row r="2829" spans="1:23" x14ac:dyDescent="0.2">
      <c r="A2829" s="71" t="s">
        <v>227</v>
      </c>
      <c r="B2829" s="71" t="s">
        <v>228</v>
      </c>
      <c r="C2829" s="71" t="s">
        <v>187</v>
      </c>
      <c r="D2829" s="71" t="s">
        <v>229</v>
      </c>
      <c r="E2829" s="71" t="s">
        <v>39</v>
      </c>
      <c r="F2829" s="71" t="s">
        <v>300</v>
      </c>
      <c r="G2829" s="88">
        <v>46230.687662037002</v>
      </c>
      <c r="H2829" s="89">
        <v>46230</v>
      </c>
      <c r="I2829" s="71" t="s">
        <v>330</v>
      </c>
      <c r="J2829" s="71">
        <v>0</v>
      </c>
      <c r="K2829" s="71" t="s">
        <v>302</v>
      </c>
      <c r="L2829" s="71">
        <f t="shared" si="396"/>
        <v>7</v>
      </c>
      <c r="M2829" s="71" t="str">
        <f>IFERROR(INDEX(KALENDER!$D$3:$D$132,MATCH(H2829,KALENDER!$A$3:$A$132,0)),"Di luar periode")</f>
        <v>Hari Kerja</v>
      </c>
      <c r="N2829" s="71">
        <f t="shared" si="397"/>
        <v>0</v>
      </c>
      <c r="O2829" s="71">
        <f t="shared" si="398"/>
        <v>1</v>
      </c>
      <c r="P2829" s="71">
        <f t="shared" si="399"/>
        <v>0</v>
      </c>
      <c r="Q2829" s="71">
        <f t="shared" si="400"/>
        <v>0</v>
      </c>
      <c r="R2829" s="71">
        <f t="shared" si="401"/>
        <v>0</v>
      </c>
      <c r="S2829" s="71">
        <f t="shared" si="402"/>
        <v>0</v>
      </c>
      <c r="T2829" s="71">
        <f t="shared" si="403"/>
        <v>0</v>
      </c>
      <c r="U2829" s="71">
        <f>IF(AND(N2829=1,V2829=1),IF(COUNTIFS(AKTIVITAS!$B$2:$B$3052,B2829,AKTIVITAS!$E$2:$E$3052,H2829)&gt;0,1,0),0)</f>
        <v>0</v>
      </c>
      <c r="V2829" s="71">
        <f>IFERROR(IF(AND(H2829&gt;=INDEX(PEMAGANG!$J$3:$J$36,MATCH(B2829,PEMAGANG!$C$3:$C$36,0)),H2829&lt;=INDEX(PEMAGANG!$K$3:$K$36,MATCH(B2829,PEMAGANG!$C$3:$C$36,0))),1,0),0)</f>
        <v>1</v>
      </c>
      <c r="W2829" s="71">
        <f t="shared" si="404"/>
        <v>0</v>
      </c>
    </row>
    <row r="2830" spans="1:23" x14ac:dyDescent="0.2">
      <c r="A2830" s="71" t="s">
        <v>227</v>
      </c>
      <c r="B2830" s="71" t="s">
        <v>228</v>
      </c>
      <c r="C2830" s="71" t="s">
        <v>187</v>
      </c>
      <c r="D2830" s="71" t="s">
        <v>229</v>
      </c>
      <c r="E2830" s="71" t="s">
        <v>39</v>
      </c>
      <c r="F2830" s="71" t="s">
        <v>298</v>
      </c>
      <c r="G2830" s="88">
        <v>46231.295277777797</v>
      </c>
      <c r="H2830" s="89">
        <v>46231</v>
      </c>
      <c r="I2830" s="71" t="s">
        <v>355</v>
      </c>
      <c r="J2830" s="71">
        <v>-25</v>
      </c>
      <c r="K2830" s="71" t="s">
        <v>302</v>
      </c>
      <c r="L2830" s="71">
        <f t="shared" si="396"/>
        <v>7</v>
      </c>
      <c r="M2830" s="71" t="str">
        <f>IFERROR(INDEX(KALENDER!$D$3:$D$132,MATCH(H2830,KALENDER!$A$3:$A$132,0)),"Di luar periode")</f>
        <v>Hari Kerja</v>
      </c>
      <c r="N2830" s="71">
        <f t="shared" si="397"/>
        <v>1</v>
      </c>
      <c r="O2830" s="71">
        <f t="shared" si="398"/>
        <v>1</v>
      </c>
      <c r="P2830" s="71">
        <f t="shared" si="399"/>
        <v>1</v>
      </c>
      <c r="Q2830" s="71">
        <f t="shared" si="400"/>
        <v>0</v>
      </c>
      <c r="R2830" s="71">
        <f t="shared" si="401"/>
        <v>0</v>
      </c>
      <c r="S2830" s="71">
        <f t="shared" si="402"/>
        <v>0</v>
      </c>
      <c r="T2830" s="71">
        <f t="shared" si="403"/>
        <v>0</v>
      </c>
      <c r="U2830" s="71">
        <f>IF(AND(N2830=1,V2830=1),IF(COUNTIFS(AKTIVITAS!$B$2:$B$3052,B2830,AKTIVITAS!$E$2:$E$3052,H2830)&gt;0,1,0),0)</f>
        <v>1</v>
      </c>
      <c r="V2830" s="71">
        <f>IFERROR(IF(AND(H2830&gt;=INDEX(PEMAGANG!$J$3:$J$36,MATCH(B2830,PEMAGANG!$C$3:$C$36,0)),H2830&lt;=INDEX(PEMAGANG!$K$3:$K$36,MATCH(B2830,PEMAGANG!$C$3:$C$36,0))),1,0),0)</f>
        <v>1</v>
      </c>
      <c r="W2830" s="71">
        <f t="shared" si="404"/>
        <v>1</v>
      </c>
    </row>
    <row r="2831" spans="1:23" x14ac:dyDescent="0.2">
      <c r="A2831" s="71" t="s">
        <v>227</v>
      </c>
      <c r="B2831" s="71" t="s">
        <v>228</v>
      </c>
      <c r="C2831" s="71" t="s">
        <v>187</v>
      </c>
      <c r="D2831" s="71" t="s">
        <v>229</v>
      </c>
      <c r="E2831" s="71" t="s">
        <v>39</v>
      </c>
      <c r="F2831" s="71" t="s">
        <v>300</v>
      </c>
      <c r="G2831" s="88">
        <v>46231.6891666667</v>
      </c>
      <c r="H2831" s="89">
        <v>46231</v>
      </c>
      <c r="I2831" s="71" t="s">
        <v>306</v>
      </c>
      <c r="J2831" s="71">
        <v>0</v>
      </c>
      <c r="K2831" s="71" t="s">
        <v>302</v>
      </c>
      <c r="L2831" s="71">
        <f t="shared" si="396"/>
        <v>7</v>
      </c>
      <c r="M2831" s="71" t="str">
        <f>IFERROR(INDEX(KALENDER!$D$3:$D$132,MATCH(H2831,KALENDER!$A$3:$A$132,0)),"Di luar periode")</f>
        <v>Hari Kerja</v>
      </c>
      <c r="N2831" s="71">
        <f t="shared" si="397"/>
        <v>0</v>
      </c>
      <c r="O2831" s="71">
        <f t="shared" si="398"/>
        <v>1</v>
      </c>
      <c r="P2831" s="71">
        <f t="shared" si="399"/>
        <v>0</v>
      </c>
      <c r="Q2831" s="71">
        <f t="shared" si="400"/>
        <v>0</v>
      </c>
      <c r="R2831" s="71">
        <f t="shared" si="401"/>
        <v>0</v>
      </c>
      <c r="S2831" s="71">
        <f t="shared" si="402"/>
        <v>0</v>
      </c>
      <c r="T2831" s="71">
        <f t="shared" si="403"/>
        <v>0</v>
      </c>
      <c r="U2831" s="71">
        <f>IF(AND(N2831=1,V2831=1),IF(COUNTIFS(AKTIVITAS!$B$2:$B$3052,B2831,AKTIVITAS!$E$2:$E$3052,H2831)&gt;0,1,0),0)</f>
        <v>0</v>
      </c>
      <c r="V2831" s="71">
        <f>IFERROR(IF(AND(H2831&gt;=INDEX(PEMAGANG!$J$3:$J$36,MATCH(B2831,PEMAGANG!$C$3:$C$36,0)),H2831&lt;=INDEX(PEMAGANG!$K$3:$K$36,MATCH(B2831,PEMAGANG!$C$3:$C$36,0))),1,0),0)</f>
        <v>1</v>
      </c>
      <c r="W2831" s="71">
        <f t="shared" si="404"/>
        <v>0</v>
      </c>
    </row>
    <row r="2832" spans="1:23" x14ac:dyDescent="0.2">
      <c r="A2832" s="71" t="s">
        <v>227</v>
      </c>
      <c r="B2832" s="71" t="s">
        <v>228</v>
      </c>
      <c r="C2832" s="71" t="s">
        <v>187</v>
      </c>
      <c r="D2832" s="71" t="s">
        <v>229</v>
      </c>
      <c r="E2832" s="71" t="s">
        <v>39</v>
      </c>
      <c r="F2832" s="71" t="s">
        <v>298</v>
      </c>
      <c r="G2832" s="88">
        <v>46233.301423611098</v>
      </c>
      <c r="H2832" s="89">
        <v>46233</v>
      </c>
      <c r="I2832" s="71" t="s">
        <v>416</v>
      </c>
      <c r="J2832" s="71">
        <v>-16</v>
      </c>
      <c r="K2832" s="71" t="s">
        <v>302</v>
      </c>
      <c r="L2832" s="71">
        <f t="shared" si="396"/>
        <v>7</v>
      </c>
      <c r="M2832" s="71" t="str">
        <f>IFERROR(INDEX(KALENDER!$D$3:$D$132,MATCH(H2832,KALENDER!$A$3:$A$132,0)),"Di luar periode")</f>
        <v>Hari Kerja</v>
      </c>
      <c r="N2832" s="71">
        <f t="shared" si="397"/>
        <v>1</v>
      </c>
      <c r="O2832" s="71">
        <f t="shared" si="398"/>
        <v>1</v>
      </c>
      <c r="P2832" s="71">
        <f t="shared" si="399"/>
        <v>1</v>
      </c>
      <c r="Q2832" s="71">
        <f t="shared" si="400"/>
        <v>0</v>
      </c>
      <c r="R2832" s="71">
        <f t="shared" si="401"/>
        <v>0</v>
      </c>
      <c r="S2832" s="71">
        <f t="shared" si="402"/>
        <v>0</v>
      </c>
      <c r="T2832" s="71">
        <f t="shared" si="403"/>
        <v>0</v>
      </c>
      <c r="U2832" s="71">
        <f>IF(AND(N2832=1,V2832=1),IF(COUNTIFS(AKTIVITAS!$B$2:$B$3052,B2832,AKTIVITAS!$E$2:$E$3052,H2832)&gt;0,1,0),0)</f>
        <v>1</v>
      </c>
      <c r="V2832" s="71">
        <f>IFERROR(IF(AND(H2832&gt;=INDEX(PEMAGANG!$J$3:$J$36,MATCH(B2832,PEMAGANG!$C$3:$C$36,0)),H2832&lt;=INDEX(PEMAGANG!$K$3:$K$36,MATCH(B2832,PEMAGANG!$C$3:$C$36,0))),1,0),0)</f>
        <v>1</v>
      </c>
      <c r="W2832" s="71">
        <f t="shared" si="404"/>
        <v>1</v>
      </c>
    </row>
    <row r="2833" spans="1:23" x14ac:dyDescent="0.2">
      <c r="A2833" s="71" t="s">
        <v>227</v>
      </c>
      <c r="B2833" s="71" t="s">
        <v>228</v>
      </c>
      <c r="C2833" s="71" t="s">
        <v>187</v>
      </c>
      <c r="D2833" s="71" t="s">
        <v>229</v>
      </c>
      <c r="E2833" s="71" t="s">
        <v>39</v>
      </c>
      <c r="F2833" s="71" t="s">
        <v>300</v>
      </c>
      <c r="G2833" s="88">
        <v>46233.692557870403</v>
      </c>
      <c r="H2833" s="89">
        <v>46233</v>
      </c>
      <c r="I2833" s="71" t="s">
        <v>328</v>
      </c>
      <c r="J2833" s="71">
        <v>0</v>
      </c>
      <c r="K2833" s="71" t="s">
        <v>302</v>
      </c>
      <c r="L2833" s="71">
        <f t="shared" si="396"/>
        <v>7</v>
      </c>
      <c r="M2833" s="71" t="str">
        <f>IFERROR(INDEX(KALENDER!$D$3:$D$132,MATCH(H2833,KALENDER!$A$3:$A$132,0)),"Di luar periode")</f>
        <v>Hari Kerja</v>
      </c>
      <c r="N2833" s="71">
        <f t="shared" si="397"/>
        <v>0</v>
      </c>
      <c r="O2833" s="71">
        <f t="shared" si="398"/>
        <v>1</v>
      </c>
      <c r="P2833" s="71">
        <f t="shared" si="399"/>
        <v>0</v>
      </c>
      <c r="Q2833" s="71">
        <f t="shared" si="400"/>
        <v>0</v>
      </c>
      <c r="R2833" s="71">
        <f t="shared" si="401"/>
        <v>0</v>
      </c>
      <c r="S2833" s="71">
        <f t="shared" si="402"/>
        <v>0</v>
      </c>
      <c r="T2833" s="71">
        <f t="shared" si="403"/>
        <v>0</v>
      </c>
      <c r="U2833" s="71">
        <f>IF(AND(N2833=1,V2833=1),IF(COUNTIFS(AKTIVITAS!$B$2:$B$3052,B2833,AKTIVITAS!$E$2:$E$3052,H2833)&gt;0,1,0),0)</f>
        <v>0</v>
      </c>
      <c r="V2833" s="71">
        <f>IFERROR(IF(AND(H2833&gt;=INDEX(PEMAGANG!$J$3:$J$36,MATCH(B2833,PEMAGANG!$C$3:$C$36,0)),H2833&lt;=INDEX(PEMAGANG!$K$3:$K$36,MATCH(B2833,PEMAGANG!$C$3:$C$36,0))),1,0),0)</f>
        <v>1</v>
      </c>
      <c r="W2833" s="71">
        <f t="shared" si="404"/>
        <v>0</v>
      </c>
    </row>
    <row r="2834" spans="1:23" x14ac:dyDescent="0.2">
      <c r="A2834" s="71" t="s">
        <v>227</v>
      </c>
      <c r="B2834" s="71" t="s">
        <v>228</v>
      </c>
      <c r="C2834" s="71" t="s">
        <v>187</v>
      </c>
      <c r="D2834" s="71" t="s">
        <v>229</v>
      </c>
      <c r="E2834" s="71" t="s">
        <v>39</v>
      </c>
      <c r="F2834" s="71" t="s">
        <v>298</v>
      </c>
      <c r="G2834" s="88">
        <v>46234.2960185185</v>
      </c>
      <c r="H2834" s="89">
        <v>46234</v>
      </c>
      <c r="I2834" s="71" t="s">
        <v>349</v>
      </c>
      <c r="J2834" s="71">
        <v>-24</v>
      </c>
      <c r="K2834" s="71" t="s">
        <v>302</v>
      </c>
      <c r="L2834" s="71">
        <f t="shared" si="396"/>
        <v>7</v>
      </c>
      <c r="M2834" s="71" t="str">
        <f>IFERROR(INDEX(KALENDER!$D$3:$D$132,MATCH(H2834,KALENDER!$A$3:$A$132,0)),"Di luar periode")</f>
        <v>Hari Kerja</v>
      </c>
      <c r="N2834" s="71">
        <f t="shared" si="397"/>
        <v>1</v>
      </c>
      <c r="O2834" s="71">
        <f t="shared" si="398"/>
        <v>1</v>
      </c>
      <c r="P2834" s="71">
        <f t="shared" si="399"/>
        <v>1</v>
      </c>
      <c r="Q2834" s="71">
        <f t="shared" si="400"/>
        <v>0</v>
      </c>
      <c r="R2834" s="71">
        <f t="shared" si="401"/>
        <v>0</v>
      </c>
      <c r="S2834" s="71">
        <f t="shared" si="402"/>
        <v>0</v>
      </c>
      <c r="T2834" s="71">
        <f t="shared" si="403"/>
        <v>0</v>
      </c>
      <c r="U2834" s="71">
        <f>IF(AND(N2834=1,V2834=1),IF(COUNTIFS(AKTIVITAS!$B$2:$B$3052,B2834,AKTIVITAS!$E$2:$E$3052,H2834)&gt;0,1,0),0)</f>
        <v>1</v>
      </c>
      <c r="V2834" s="71">
        <f>IFERROR(IF(AND(H2834&gt;=INDEX(PEMAGANG!$J$3:$J$36,MATCH(B2834,PEMAGANG!$C$3:$C$36,0)),H2834&lt;=INDEX(PEMAGANG!$K$3:$K$36,MATCH(B2834,PEMAGANG!$C$3:$C$36,0))),1,0),0)</f>
        <v>1</v>
      </c>
      <c r="W2834" s="71">
        <f t="shared" si="404"/>
        <v>1</v>
      </c>
    </row>
    <row r="2835" spans="1:23" x14ac:dyDescent="0.2">
      <c r="A2835" s="71" t="s">
        <v>227</v>
      </c>
      <c r="B2835" s="71" t="s">
        <v>228</v>
      </c>
      <c r="C2835" s="71" t="s">
        <v>187</v>
      </c>
      <c r="D2835" s="71" t="s">
        <v>229</v>
      </c>
      <c r="E2835" s="71" t="s">
        <v>39</v>
      </c>
      <c r="F2835" s="71" t="s">
        <v>300</v>
      </c>
      <c r="G2835" s="88">
        <v>46234.688460648198</v>
      </c>
      <c r="H2835" s="89">
        <v>46234</v>
      </c>
      <c r="I2835" s="71" t="s">
        <v>336</v>
      </c>
      <c r="J2835" s="71">
        <v>0</v>
      </c>
      <c r="K2835" s="71" t="s">
        <v>302</v>
      </c>
      <c r="L2835" s="71">
        <f t="shared" si="396"/>
        <v>7</v>
      </c>
      <c r="M2835" s="71" t="str">
        <f>IFERROR(INDEX(KALENDER!$D$3:$D$132,MATCH(H2835,KALENDER!$A$3:$A$132,0)),"Di luar periode")</f>
        <v>Hari Kerja</v>
      </c>
      <c r="N2835" s="71">
        <f t="shared" si="397"/>
        <v>0</v>
      </c>
      <c r="O2835" s="71">
        <f t="shared" si="398"/>
        <v>1</v>
      </c>
      <c r="P2835" s="71">
        <f t="shared" si="399"/>
        <v>0</v>
      </c>
      <c r="Q2835" s="71">
        <f t="shared" si="400"/>
        <v>0</v>
      </c>
      <c r="R2835" s="71">
        <f t="shared" si="401"/>
        <v>0</v>
      </c>
      <c r="S2835" s="71">
        <f t="shared" si="402"/>
        <v>0</v>
      </c>
      <c r="T2835" s="71">
        <f t="shared" si="403"/>
        <v>0</v>
      </c>
      <c r="U2835" s="71">
        <f>IF(AND(N2835=1,V2835=1),IF(COUNTIFS(AKTIVITAS!$B$2:$B$3052,B2835,AKTIVITAS!$E$2:$E$3052,H2835)&gt;0,1,0),0)</f>
        <v>0</v>
      </c>
      <c r="V2835" s="71">
        <f>IFERROR(IF(AND(H2835&gt;=INDEX(PEMAGANG!$J$3:$J$36,MATCH(B2835,PEMAGANG!$C$3:$C$36,0)),H2835&lt;=INDEX(PEMAGANG!$K$3:$K$36,MATCH(B2835,PEMAGANG!$C$3:$C$36,0))),1,0),0)</f>
        <v>1</v>
      </c>
      <c r="W2835" s="71">
        <f t="shared" si="404"/>
        <v>0</v>
      </c>
    </row>
    <row r="2836" spans="1:23" x14ac:dyDescent="0.2">
      <c r="A2836" s="71" t="s">
        <v>227</v>
      </c>
      <c r="B2836" s="71" t="s">
        <v>228</v>
      </c>
      <c r="C2836" s="71" t="s">
        <v>187</v>
      </c>
      <c r="D2836" s="71" t="s">
        <v>229</v>
      </c>
      <c r="E2836" s="71" t="s">
        <v>39</v>
      </c>
      <c r="F2836" s="71" t="s">
        <v>298</v>
      </c>
      <c r="G2836" s="88">
        <v>46237.297303240703</v>
      </c>
      <c r="H2836" s="89">
        <v>46237</v>
      </c>
      <c r="I2836" s="71" t="s">
        <v>486</v>
      </c>
      <c r="J2836" s="71">
        <v>-22</v>
      </c>
      <c r="K2836" s="71" t="s">
        <v>302</v>
      </c>
      <c r="L2836" s="71">
        <f t="shared" si="396"/>
        <v>8</v>
      </c>
      <c r="M2836" s="71" t="str">
        <f>IFERROR(INDEX(KALENDER!$D$3:$D$132,MATCH(H2836,KALENDER!$A$3:$A$132,0)),"Di luar periode")</f>
        <v>Hari Kerja</v>
      </c>
      <c r="N2836" s="71">
        <f t="shared" si="397"/>
        <v>1</v>
      </c>
      <c r="O2836" s="71">
        <f t="shared" si="398"/>
        <v>1</v>
      </c>
      <c r="P2836" s="71">
        <f t="shared" si="399"/>
        <v>1</v>
      </c>
      <c r="Q2836" s="71">
        <f t="shared" si="400"/>
        <v>0</v>
      </c>
      <c r="R2836" s="71">
        <f t="shared" si="401"/>
        <v>0</v>
      </c>
      <c r="S2836" s="71">
        <f t="shared" si="402"/>
        <v>0</v>
      </c>
      <c r="T2836" s="71">
        <f t="shared" si="403"/>
        <v>0</v>
      </c>
      <c r="U2836" s="71">
        <f>IF(AND(N2836=1,V2836=1),IF(COUNTIFS(AKTIVITAS!$B$2:$B$3052,B2836,AKTIVITAS!$E$2:$E$3052,H2836)&gt;0,1,0),0)</f>
        <v>1</v>
      </c>
      <c r="V2836" s="71">
        <f>IFERROR(IF(AND(H2836&gt;=INDEX(PEMAGANG!$J$3:$J$36,MATCH(B2836,PEMAGANG!$C$3:$C$36,0)),H2836&lt;=INDEX(PEMAGANG!$K$3:$K$36,MATCH(B2836,PEMAGANG!$C$3:$C$36,0))),1,0),0)</f>
        <v>1</v>
      </c>
      <c r="W2836" s="71">
        <f t="shared" si="404"/>
        <v>1</v>
      </c>
    </row>
    <row r="2837" spans="1:23" x14ac:dyDescent="0.2">
      <c r="A2837" s="71" t="s">
        <v>227</v>
      </c>
      <c r="B2837" s="71" t="s">
        <v>228</v>
      </c>
      <c r="C2837" s="71" t="s">
        <v>187</v>
      </c>
      <c r="D2837" s="71" t="s">
        <v>229</v>
      </c>
      <c r="E2837" s="71" t="s">
        <v>39</v>
      </c>
      <c r="F2837" s="71" t="s">
        <v>300</v>
      </c>
      <c r="G2837" s="88">
        <v>46237.688287037003</v>
      </c>
      <c r="H2837" s="89">
        <v>46237</v>
      </c>
      <c r="I2837" s="71" t="s">
        <v>336</v>
      </c>
      <c r="J2837" s="71">
        <v>0</v>
      </c>
      <c r="K2837" s="71" t="s">
        <v>302</v>
      </c>
      <c r="L2837" s="71">
        <f t="shared" si="396"/>
        <v>8</v>
      </c>
      <c r="M2837" s="71" t="str">
        <f>IFERROR(INDEX(KALENDER!$D$3:$D$132,MATCH(H2837,KALENDER!$A$3:$A$132,0)),"Di luar periode")</f>
        <v>Hari Kerja</v>
      </c>
      <c r="N2837" s="71">
        <f t="shared" si="397"/>
        <v>0</v>
      </c>
      <c r="O2837" s="71">
        <f t="shared" si="398"/>
        <v>1</v>
      </c>
      <c r="P2837" s="71">
        <f t="shared" si="399"/>
        <v>0</v>
      </c>
      <c r="Q2837" s="71">
        <f t="shared" si="400"/>
        <v>0</v>
      </c>
      <c r="R2837" s="71">
        <f t="shared" si="401"/>
        <v>0</v>
      </c>
      <c r="S2837" s="71">
        <f t="shared" si="402"/>
        <v>0</v>
      </c>
      <c r="T2837" s="71">
        <f t="shared" si="403"/>
        <v>0</v>
      </c>
      <c r="U2837" s="71">
        <f>IF(AND(N2837=1,V2837=1),IF(COUNTIFS(AKTIVITAS!$B$2:$B$3052,B2837,AKTIVITAS!$E$2:$E$3052,H2837)&gt;0,1,0),0)</f>
        <v>0</v>
      </c>
      <c r="V2837" s="71">
        <f>IFERROR(IF(AND(H2837&gt;=INDEX(PEMAGANG!$J$3:$J$36,MATCH(B2837,PEMAGANG!$C$3:$C$36,0)),H2837&lt;=INDEX(PEMAGANG!$K$3:$K$36,MATCH(B2837,PEMAGANG!$C$3:$C$36,0))),1,0),0)</f>
        <v>1</v>
      </c>
      <c r="W2837" s="71">
        <f t="shared" si="404"/>
        <v>0</v>
      </c>
    </row>
    <row r="2838" spans="1:23" x14ac:dyDescent="0.2">
      <c r="A2838" s="71" t="s">
        <v>227</v>
      </c>
      <c r="B2838" s="71" t="s">
        <v>228</v>
      </c>
      <c r="C2838" s="71" t="s">
        <v>187</v>
      </c>
      <c r="D2838" s="71" t="s">
        <v>229</v>
      </c>
      <c r="E2838" s="71" t="s">
        <v>39</v>
      </c>
      <c r="F2838" s="71" t="s">
        <v>298</v>
      </c>
      <c r="G2838" s="88">
        <v>46238.297129629602</v>
      </c>
      <c r="H2838" s="89">
        <v>46238</v>
      </c>
      <c r="I2838" s="71" t="s">
        <v>487</v>
      </c>
      <c r="J2838" s="71">
        <v>-23</v>
      </c>
      <c r="K2838" s="71" t="s">
        <v>302</v>
      </c>
      <c r="L2838" s="71">
        <f t="shared" si="396"/>
        <v>8</v>
      </c>
      <c r="M2838" s="71" t="str">
        <f>IFERROR(INDEX(KALENDER!$D$3:$D$132,MATCH(H2838,KALENDER!$A$3:$A$132,0)),"Di luar periode")</f>
        <v>Hari Kerja</v>
      </c>
      <c r="N2838" s="71">
        <f t="shared" si="397"/>
        <v>1</v>
      </c>
      <c r="O2838" s="71">
        <f t="shared" si="398"/>
        <v>1</v>
      </c>
      <c r="P2838" s="71">
        <f t="shared" si="399"/>
        <v>1</v>
      </c>
      <c r="Q2838" s="71">
        <f t="shared" si="400"/>
        <v>0</v>
      </c>
      <c r="R2838" s="71">
        <f t="shared" si="401"/>
        <v>0</v>
      </c>
      <c r="S2838" s="71">
        <f t="shared" si="402"/>
        <v>0</v>
      </c>
      <c r="T2838" s="71">
        <f t="shared" si="403"/>
        <v>1</v>
      </c>
      <c r="U2838" s="71">
        <f>IF(AND(N2838=1,V2838=1),IF(COUNTIFS(AKTIVITAS!$B$2:$B$3052,B2838,AKTIVITAS!$E$2:$E$3052,H2838)&gt;0,1,0),0)</f>
        <v>1</v>
      </c>
      <c r="V2838" s="71">
        <f>IFERROR(IF(AND(H2838&gt;=INDEX(PEMAGANG!$J$3:$J$36,MATCH(B2838,PEMAGANG!$C$3:$C$36,0)),H2838&lt;=INDEX(PEMAGANG!$K$3:$K$36,MATCH(B2838,PEMAGANG!$C$3:$C$36,0))),1,0),0)</f>
        <v>1</v>
      </c>
      <c r="W2838" s="71">
        <f t="shared" si="404"/>
        <v>1</v>
      </c>
    </row>
    <row r="2839" spans="1:23" x14ac:dyDescent="0.2">
      <c r="A2839" s="71" t="s">
        <v>227</v>
      </c>
      <c r="B2839" s="71" t="s">
        <v>228</v>
      </c>
      <c r="C2839" s="71" t="s">
        <v>187</v>
      </c>
      <c r="D2839" s="71" t="s">
        <v>229</v>
      </c>
      <c r="E2839" s="71" t="s">
        <v>39</v>
      </c>
      <c r="F2839" s="71" t="s">
        <v>298</v>
      </c>
      <c r="G2839" s="88">
        <v>46239.294120370403</v>
      </c>
      <c r="H2839" s="89">
        <v>46239</v>
      </c>
      <c r="I2839" s="71" t="s">
        <v>483</v>
      </c>
      <c r="J2839" s="71">
        <v>-27</v>
      </c>
      <c r="K2839" s="71" t="s">
        <v>302</v>
      </c>
      <c r="L2839" s="71">
        <f t="shared" si="396"/>
        <v>8</v>
      </c>
      <c r="M2839" s="71" t="str">
        <f>IFERROR(INDEX(KALENDER!$D$3:$D$132,MATCH(H2839,KALENDER!$A$3:$A$132,0)),"Di luar periode")</f>
        <v>Hari Kerja</v>
      </c>
      <c r="N2839" s="71">
        <f t="shared" si="397"/>
        <v>1</v>
      </c>
      <c r="O2839" s="71">
        <f t="shared" si="398"/>
        <v>1</v>
      </c>
      <c r="P2839" s="71">
        <f t="shared" si="399"/>
        <v>1</v>
      </c>
      <c r="Q2839" s="71">
        <f t="shared" si="400"/>
        <v>0</v>
      </c>
      <c r="R2839" s="71">
        <f t="shared" si="401"/>
        <v>0</v>
      </c>
      <c r="S2839" s="71">
        <f t="shared" si="402"/>
        <v>0</v>
      </c>
      <c r="T2839" s="71">
        <f t="shared" si="403"/>
        <v>0</v>
      </c>
      <c r="U2839" s="71">
        <f>IF(AND(N2839=1,V2839=1),IF(COUNTIFS(AKTIVITAS!$B$2:$B$3052,B2839,AKTIVITAS!$E$2:$E$3052,H2839)&gt;0,1,0),0)</f>
        <v>1</v>
      </c>
      <c r="V2839" s="71">
        <f>IFERROR(IF(AND(H2839&gt;=INDEX(PEMAGANG!$J$3:$J$36,MATCH(B2839,PEMAGANG!$C$3:$C$36,0)),H2839&lt;=INDEX(PEMAGANG!$K$3:$K$36,MATCH(B2839,PEMAGANG!$C$3:$C$36,0))),1,0),0)</f>
        <v>1</v>
      </c>
      <c r="W2839" s="71">
        <f t="shared" si="404"/>
        <v>1</v>
      </c>
    </row>
    <row r="2840" spans="1:23" x14ac:dyDescent="0.2">
      <c r="A2840" s="71" t="s">
        <v>227</v>
      </c>
      <c r="B2840" s="71" t="s">
        <v>228</v>
      </c>
      <c r="C2840" s="71" t="s">
        <v>187</v>
      </c>
      <c r="D2840" s="71" t="s">
        <v>229</v>
      </c>
      <c r="E2840" s="71" t="s">
        <v>39</v>
      </c>
      <c r="F2840" s="71" t="s">
        <v>300</v>
      </c>
      <c r="G2840" s="88">
        <v>46239.691296296303</v>
      </c>
      <c r="H2840" s="89">
        <v>46239</v>
      </c>
      <c r="I2840" s="71" t="s">
        <v>310</v>
      </c>
      <c r="J2840" s="71">
        <v>0</v>
      </c>
      <c r="K2840" s="71" t="s">
        <v>302</v>
      </c>
      <c r="L2840" s="71">
        <f t="shared" si="396"/>
        <v>8</v>
      </c>
      <c r="M2840" s="71" t="str">
        <f>IFERROR(INDEX(KALENDER!$D$3:$D$132,MATCH(H2840,KALENDER!$A$3:$A$132,0)),"Di luar periode")</f>
        <v>Hari Kerja</v>
      </c>
      <c r="N2840" s="71">
        <f t="shared" si="397"/>
        <v>0</v>
      </c>
      <c r="O2840" s="71">
        <f t="shared" si="398"/>
        <v>1</v>
      </c>
      <c r="P2840" s="71">
        <f t="shared" si="399"/>
        <v>0</v>
      </c>
      <c r="Q2840" s="71">
        <f t="shared" si="400"/>
        <v>0</v>
      </c>
      <c r="R2840" s="71">
        <f t="shared" si="401"/>
        <v>0</v>
      </c>
      <c r="S2840" s="71">
        <f t="shared" si="402"/>
        <v>0</v>
      </c>
      <c r="T2840" s="71">
        <f t="shared" si="403"/>
        <v>0</v>
      </c>
      <c r="U2840" s="71">
        <f>IF(AND(N2840=1,V2840=1),IF(COUNTIFS(AKTIVITAS!$B$2:$B$3052,B2840,AKTIVITAS!$E$2:$E$3052,H2840)&gt;0,1,0),0)</f>
        <v>0</v>
      </c>
      <c r="V2840" s="71">
        <f>IFERROR(IF(AND(H2840&gt;=INDEX(PEMAGANG!$J$3:$J$36,MATCH(B2840,PEMAGANG!$C$3:$C$36,0)),H2840&lt;=INDEX(PEMAGANG!$K$3:$K$36,MATCH(B2840,PEMAGANG!$C$3:$C$36,0))),1,0),0)</f>
        <v>1</v>
      </c>
      <c r="W2840" s="71">
        <f t="shared" si="404"/>
        <v>0</v>
      </c>
    </row>
    <row r="2841" spans="1:23" x14ac:dyDescent="0.2">
      <c r="A2841" s="71" t="s">
        <v>227</v>
      </c>
      <c r="B2841" s="71" t="s">
        <v>228</v>
      </c>
      <c r="C2841" s="71" t="s">
        <v>187</v>
      </c>
      <c r="D2841" s="71" t="s">
        <v>229</v>
      </c>
      <c r="E2841" s="71" t="s">
        <v>39</v>
      </c>
      <c r="F2841" s="71" t="s">
        <v>298</v>
      </c>
      <c r="G2841" s="88">
        <v>46240.296990740702</v>
      </c>
      <c r="H2841" s="89">
        <v>46240</v>
      </c>
      <c r="I2841" s="71" t="s">
        <v>487</v>
      </c>
      <c r="J2841" s="71">
        <v>-23</v>
      </c>
      <c r="K2841" s="71" t="s">
        <v>302</v>
      </c>
      <c r="L2841" s="71">
        <f t="shared" si="396"/>
        <v>8</v>
      </c>
      <c r="M2841" s="71" t="str">
        <f>IFERROR(INDEX(KALENDER!$D$3:$D$132,MATCH(H2841,KALENDER!$A$3:$A$132,0)),"Di luar periode")</f>
        <v>Hari Kerja</v>
      </c>
      <c r="N2841" s="71">
        <f t="shared" si="397"/>
        <v>1</v>
      </c>
      <c r="O2841" s="71">
        <f t="shared" si="398"/>
        <v>1</v>
      </c>
      <c r="P2841" s="71">
        <f t="shared" si="399"/>
        <v>1</v>
      </c>
      <c r="Q2841" s="71">
        <f t="shared" si="400"/>
        <v>0</v>
      </c>
      <c r="R2841" s="71">
        <f t="shared" si="401"/>
        <v>0</v>
      </c>
      <c r="S2841" s="71">
        <f t="shared" si="402"/>
        <v>0</v>
      </c>
      <c r="T2841" s="71">
        <f t="shared" si="403"/>
        <v>0</v>
      </c>
      <c r="U2841" s="71">
        <f>IF(AND(N2841=1,V2841=1),IF(COUNTIFS(AKTIVITAS!$B$2:$B$3052,B2841,AKTIVITAS!$E$2:$E$3052,H2841)&gt;0,1,0),0)</f>
        <v>1</v>
      </c>
      <c r="V2841" s="71">
        <f>IFERROR(IF(AND(H2841&gt;=INDEX(PEMAGANG!$J$3:$J$36,MATCH(B2841,PEMAGANG!$C$3:$C$36,0)),H2841&lt;=INDEX(PEMAGANG!$K$3:$K$36,MATCH(B2841,PEMAGANG!$C$3:$C$36,0))),1,0),0)</f>
        <v>1</v>
      </c>
      <c r="W2841" s="71">
        <f t="shared" si="404"/>
        <v>1</v>
      </c>
    </row>
    <row r="2842" spans="1:23" x14ac:dyDescent="0.2">
      <c r="A2842" s="71" t="s">
        <v>227</v>
      </c>
      <c r="B2842" s="71" t="s">
        <v>228</v>
      </c>
      <c r="C2842" s="71" t="s">
        <v>187</v>
      </c>
      <c r="D2842" s="71" t="s">
        <v>229</v>
      </c>
      <c r="E2842" s="71" t="s">
        <v>39</v>
      </c>
      <c r="F2842" s="71" t="s">
        <v>300</v>
      </c>
      <c r="G2842" s="88">
        <v>46240.711597222202</v>
      </c>
      <c r="H2842" s="89">
        <v>46240</v>
      </c>
      <c r="I2842" s="71" t="s">
        <v>378</v>
      </c>
      <c r="J2842" s="71">
        <v>0</v>
      </c>
      <c r="K2842" s="71" t="s">
        <v>302</v>
      </c>
      <c r="L2842" s="71">
        <f t="shared" si="396"/>
        <v>8</v>
      </c>
      <c r="M2842" s="71" t="str">
        <f>IFERROR(INDEX(KALENDER!$D$3:$D$132,MATCH(H2842,KALENDER!$A$3:$A$132,0)),"Di luar periode")</f>
        <v>Hari Kerja</v>
      </c>
      <c r="N2842" s="71">
        <f t="shared" si="397"/>
        <v>0</v>
      </c>
      <c r="O2842" s="71">
        <f t="shared" si="398"/>
        <v>1</v>
      </c>
      <c r="P2842" s="71">
        <f t="shared" si="399"/>
        <v>0</v>
      </c>
      <c r="Q2842" s="71">
        <f t="shared" si="400"/>
        <v>0</v>
      </c>
      <c r="R2842" s="71">
        <f t="shared" si="401"/>
        <v>0</v>
      </c>
      <c r="S2842" s="71">
        <f t="shared" si="402"/>
        <v>0</v>
      </c>
      <c r="T2842" s="71">
        <f t="shared" si="403"/>
        <v>0</v>
      </c>
      <c r="U2842" s="71">
        <f>IF(AND(N2842=1,V2842=1),IF(COUNTIFS(AKTIVITAS!$B$2:$B$3052,B2842,AKTIVITAS!$E$2:$E$3052,H2842)&gt;0,1,0),0)</f>
        <v>0</v>
      </c>
      <c r="V2842" s="71">
        <f>IFERROR(IF(AND(H2842&gt;=INDEX(PEMAGANG!$J$3:$J$36,MATCH(B2842,PEMAGANG!$C$3:$C$36,0)),H2842&lt;=INDEX(PEMAGANG!$K$3:$K$36,MATCH(B2842,PEMAGANG!$C$3:$C$36,0))),1,0),0)</f>
        <v>1</v>
      </c>
      <c r="W2842" s="71">
        <f t="shared" si="404"/>
        <v>0</v>
      </c>
    </row>
    <row r="2843" spans="1:23" x14ac:dyDescent="0.2">
      <c r="A2843" s="71" t="s">
        <v>227</v>
      </c>
      <c r="B2843" s="71" t="s">
        <v>228</v>
      </c>
      <c r="C2843" s="71" t="s">
        <v>187</v>
      </c>
      <c r="D2843" s="71" t="s">
        <v>229</v>
      </c>
      <c r="E2843" s="71" t="s">
        <v>39</v>
      </c>
      <c r="F2843" s="71" t="s">
        <v>298</v>
      </c>
      <c r="G2843" s="88">
        <v>46241.303171296298</v>
      </c>
      <c r="H2843" s="89">
        <v>46241</v>
      </c>
      <c r="I2843" s="71" t="s">
        <v>327</v>
      </c>
      <c r="J2843" s="71">
        <v>-14</v>
      </c>
      <c r="K2843" s="71" t="s">
        <v>302</v>
      </c>
      <c r="L2843" s="71">
        <f t="shared" si="396"/>
        <v>8</v>
      </c>
      <c r="M2843" s="71" t="str">
        <f>IFERROR(INDEX(KALENDER!$D$3:$D$132,MATCH(H2843,KALENDER!$A$3:$A$132,0)),"Di luar periode")</f>
        <v>Hari Kerja</v>
      </c>
      <c r="N2843" s="71">
        <f t="shared" si="397"/>
        <v>1</v>
      </c>
      <c r="O2843" s="71">
        <f t="shared" si="398"/>
        <v>1</v>
      </c>
      <c r="P2843" s="71">
        <f t="shared" si="399"/>
        <v>1</v>
      </c>
      <c r="Q2843" s="71">
        <f t="shared" si="400"/>
        <v>0</v>
      </c>
      <c r="R2843" s="71">
        <f t="shared" si="401"/>
        <v>0</v>
      </c>
      <c r="S2843" s="71">
        <f t="shared" si="402"/>
        <v>0</v>
      </c>
      <c r="T2843" s="71">
        <f t="shared" si="403"/>
        <v>0</v>
      </c>
      <c r="U2843" s="71">
        <f>IF(AND(N2843=1,V2843=1),IF(COUNTIFS(AKTIVITAS!$B$2:$B$3052,B2843,AKTIVITAS!$E$2:$E$3052,H2843)&gt;0,1,0),0)</f>
        <v>1</v>
      </c>
      <c r="V2843" s="71">
        <f>IFERROR(IF(AND(H2843&gt;=INDEX(PEMAGANG!$J$3:$J$36,MATCH(B2843,PEMAGANG!$C$3:$C$36,0)),H2843&lt;=INDEX(PEMAGANG!$K$3:$K$36,MATCH(B2843,PEMAGANG!$C$3:$C$36,0))),1,0),0)</f>
        <v>1</v>
      </c>
      <c r="W2843" s="71">
        <f t="shared" si="404"/>
        <v>1</v>
      </c>
    </row>
    <row r="2844" spans="1:23" x14ac:dyDescent="0.2">
      <c r="A2844" s="71" t="s">
        <v>227</v>
      </c>
      <c r="B2844" s="71" t="s">
        <v>228</v>
      </c>
      <c r="C2844" s="71" t="s">
        <v>187</v>
      </c>
      <c r="D2844" s="71" t="s">
        <v>229</v>
      </c>
      <c r="E2844" s="71" t="s">
        <v>39</v>
      </c>
      <c r="F2844" s="71" t="s">
        <v>300</v>
      </c>
      <c r="G2844" s="88">
        <v>46241.6984606482</v>
      </c>
      <c r="H2844" s="89">
        <v>46241</v>
      </c>
      <c r="I2844" s="71" t="s">
        <v>318</v>
      </c>
      <c r="J2844" s="71">
        <v>0</v>
      </c>
      <c r="K2844" s="71" t="s">
        <v>302</v>
      </c>
      <c r="L2844" s="71">
        <f t="shared" si="396"/>
        <v>8</v>
      </c>
      <c r="M2844" s="71" t="str">
        <f>IFERROR(INDEX(KALENDER!$D$3:$D$132,MATCH(H2844,KALENDER!$A$3:$A$132,0)),"Di luar periode")</f>
        <v>Hari Kerja</v>
      </c>
      <c r="N2844" s="71">
        <f t="shared" si="397"/>
        <v>0</v>
      </c>
      <c r="O2844" s="71">
        <f t="shared" si="398"/>
        <v>1</v>
      </c>
      <c r="P2844" s="71">
        <f t="shared" si="399"/>
        <v>0</v>
      </c>
      <c r="Q2844" s="71">
        <f t="shared" si="400"/>
        <v>0</v>
      </c>
      <c r="R2844" s="71">
        <f t="shared" si="401"/>
        <v>0</v>
      </c>
      <c r="S2844" s="71">
        <f t="shared" si="402"/>
        <v>0</v>
      </c>
      <c r="T2844" s="71">
        <f t="shared" si="403"/>
        <v>0</v>
      </c>
      <c r="U2844" s="71">
        <f>IF(AND(N2844=1,V2844=1),IF(COUNTIFS(AKTIVITAS!$B$2:$B$3052,B2844,AKTIVITAS!$E$2:$E$3052,H2844)&gt;0,1,0),0)</f>
        <v>0</v>
      </c>
      <c r="V2844" s="71">
        <f>IFERROR(IF(AND(H2844&gt;=INDEX(PEMAGANG!$J$3:$J$36,MATCH(B2844,PEMAGANG!$C$3:$C$36,0)),H2844&lt;=INDEX(PEMAGANG!$K$3:$K$36,MATCH(B2844,PEMAGANG!$C$3:$C$36,0))),1,0),0)</f>
        <v>1</v>
      </c>
      <c r="W2844" s="71">
        <f t="shared" si="404"/>
        <v>0</v>
      </c>
    </row>
    <row r="2845" spans="1:23" x14ac:dyDescent="0.2">
      <c r="A2845" s="71" t="s">
        <v>227</v>
      </c>
      <c r="B2845" s="71" t="s">
        <v>228</v>
      </c>
      <c r="C2845" s="71" t="s">
        <v>187</v>
      </c>
      <c r="D2845" s="71" t="s">
        <v>229</v>
      </c>
      <c r="E2845" s="71" t="s">
        <v>39</v>
      </c>
      <c r="F2845" s="71" t="s">
        <v>298</v>
      </c>
      <c r="G2845" s="88">
        <v>46244.3023032407</v>
      </c>
      <c r="H2845" s="89">
        <v>46244</v>
      </c>
      <c r="I2845" s="71" t="s">
        <v>370</v>
      </c>
      <c r="J2845" s="71">
        <v>-15</v>
      </c>
      <c r="K2845" s="71" t="s">
        <v>302</v>
      </c>
      <c r="L2845" s="71">
        <f t="shared" si="396"/>
        <v>8</v>
      </c>
      <c r="M2845" s="71" t="str">
        <f>IFERROR(INDEX(KALENDER!$D$3:$D$132,MATCH(H2845,KALENDER!$A$3:$A$132,0)),"Di luar periode")</f>
        <v>Hari Kerja</v>
      </c>
      <c r="N2845" s="71">
        <f t="shared" si="397"/>
        <v>1</v>
      </c>
      <c r="O2845" s="71">
        <f t="shared" si="398"/>
        <v>1</v>
      </c>
      <c r="P2845" s="71">
        <f t="shared" si="399"/>
        <v>1</v>
      </c>
      <c r="Q2845" s="71">
        <f t="shared" si="400"/>
        <v>0</v>
      </c>
      <c r="R2845" s="71">
        <f t="shared" si="401"/>
        <v>0</v>
      </c>
      <c r="S2845" s="71">
        <f t="shared" si="402"/>
        <v>0</v>
      </c>
      <c r="T2845" s="71">
        <f t="shared" si="403"/>
        <v>0</v>
      </c>
      <c r="U2845" s="71">
        <f>IF(AND(N2845=1,V2845=1),IF(COUNTIFS(AKTIVITAS!$B$2:$B$3052,B2845,AKTIVITAS!$E$2:$E$3052,H2845)&gt;0,1,0),0)</f>
        <v>1</v>
      </c>
      <c r="V2845" s="71">
        <f>IFERROR(IF(AND(H2845&gt;=INDEX(PEMAGANG!$J$3:$J$36,MATCH(B2845,PEMAGANG!$C$3:$C$36,0)),H2845&lt;=INDEX(PEMAGANG!$K$3:$K$36,MATCH(B2845,PEMAGANG!$C$3:$C$36,0))),1,0),0)</f>
        <v>1</v>
      </c>
      <c r="W2845" s="71">
        <f t="shared" si="404"/>
        <v>1</v>
      </c>
    </row>
    <row r="2846" spans="1:23" x14ac:dyDescent="0.2">
      <c r="A2846" s="71" t="s">
        <v>227</v>
      </c>
      <c r="B2846" s="71" t="s">
        <v>228</v>
      </c>
      <c r="C2846" s="71" t="s">
        <v>187</v>
      </c>
      <c r="D2846" s="71" t="s">
        <v>229</v>
      </c>
      <c r="E2846" s="71" t="s">
        <v>39</v>
      </c>
      <c r="F2846" s="71" t="s">
        <v>300</v>
      </c>
      <c r="G2846" s="88">
        <v>46244.688599537003</v>
      </c>
      <c r="H2846" s="89">
        <v>46244</v>
      </c>
      <c r="I2846" s="71" t="s">
        <v>336</v>
      </c>
      <c r="J2846" s="71">
        <v>0</v>
      </c>
      <c r="K2846" s="71" t="s">
        <v>302</v>
      </c>
      <c r="L2846" s="71">
        <f t="shared" si="396"/>
        <v>8</v>
      </c>
      <c r="M2846" s="71" t="str">
        <f>IFERROR(INDEX(KALENDER!$D$3:$D$132,MATCH(H2846,KALENDER!$A$3:$A$132,0)),"Di luar periode")</f>
        <v>Hari Kerja</v>
      </c>
      <c r="N2846" s="71">
        <f t="shared" si="397"/>
        <v>0</v>
      </c>
      <c r="O2846" s="71">
        <f t="shared" si="398"/>
        <v>1</v>
      </c>
      <c r="P2846" s="71">
        <f t="shared" si="399"/>
        <v>0</v>
      </c>
      <c r="Q2846" s="71">
        <f t="shared" si="400"/>
        <v>0</v>
      </c>
      <c r="R2846" s="71">
        <f t="shared" si="401"/>
        <v>0</v>
      </c>
      <c r="S2846" s="71">
        <f t="shared" si="402"/>
        <v>0</v>
      </c>
      <c r="T2846" s="71">
        <f t="shared" si="403"/>
        <v>0</v>
      </c>
      <c r="U2846" s="71">
        <f>IF(AND(N2846=1,V2846=1),IF(COUNTIFS(AKTIVITAS!$B$2:$B$3052,B2846,AKTIVITAS!$E$2:$E$3052,H2846)&gt;0,1,0),0)</f>
        <v>0</v>
      </c>
      <c r="V2846" s="71">
        <f>IFERROR(IF(AND(H2846&gt;=INDEX(PEMAGANG!$J$3:$J$36,MATCH(B2846,PEMAGANG!$C$3:$C$36,0)),H2846&lt;=INDEX(PEMAGANG!$K$3:$K$36,MATCH(B2846,PEMAGANG!$C$3:$C$36,0))),1,0),0)</f>
        <v>1</v>
      </c>
      <c r="W2846" s="71">
        <f t="shared" si="404"/>
        <v>0</v>
      </c>
    </row>
    <row r="2847" spans="1:23" x14ac:dyDescent="0.2">
      <c r="A2847" s="71" t="s">
        <v>227</v>
      </c>
      <c r="B2847" s="71" t="s">
        <v>228</v>
      </c>
      <c r="C2847" s="71" t="s">
        <v>187</v>
      </c>
      <c r="D2847" s="71" t="s">
        <v>229</v>
      </c>
      <c r="E2847" s="71" t="s">
        <v>39</v>
      </c>
      <c r="F2847" s="71" t="s">
        <v>298</v>
      </c>
      <c r="G2847" s="88">
        <v>46245.299884259301</v>
      </c>
      <c r="H2847" s="89">
        <v>46245</v>
      </c>
      <c r="I2847" s="71" t="s">
        <v>402</v>
      </c>
      <c r="J2847" s="71">
        <v>-19</v>
      </c>
      <c r="K2847" s="71" t="s">
        <v>302</v>
      </c>
      <c r="L2847" s="71">
        <f t="shared" si="396"/>
        <v>8</v>
      </c>
      <c r="M2847" s="71" t="str">
        <f>IFERROR(INDEX(KALENDER!$D$3:$D$132,MATCH(H2847,KALENDER!$A$3:$A$132,0)),"Di luar periode")</f>
        <v>Hari Kerja</v>
      </c>
      <c r="N2847" s="71">
        <f t="shared" si="397"/>
        <v>1</v>
      </c>
      <c r="O2847" s="71">
        <f t="shared" si="398"/>
        <v>1</v>
      </c>
      <c r="P2847" s="71">
        <f t="shared" si="399"/>
        <v>1</v>
      </c>
      <c r="Q2847" s="71">
        <f t="shared" si="400"/>
        <v>0</v>
      </c>
      <c r="R2847" s="71">
        <f t="shared" si="401"/>
        <v>0</v>
      </c>
      <c r="S2847" s="71">
        <f t="shared" si="402"/>
        <v>0</v>
      </c>
      <c r="T2847" s="71">
        <f t="shared" si="403"/>
        <v>0</v>
      </c>
      <c r="U2847" s="71">
        <f>IF(AND(N2847=1,V2847=1),IF(COUNTIFS(AKTIVITAS!$B$2:$B$3052,B2847,AKTIVITAS!$E$2:$E$3052,H2847)&gt;0,1,0),0)</f>
        <v>1</v>
      </c>
      <c r="V2847" s="71">
        <f>IFERROR(IF(AND(H2847&gt;=INDEX(PEMAGANG!$J$3:$J$36,MATCH(B2847,PEMAGANG!$C$3:$C$36,0)),H2847&lt;=INDEX(PEMAGANG!$K$3:$K$36,MATCH(B2847,PEMAGANG!$C$3:$C$36,0))),1,0),0)</f>
        <v>1</v>
      </c>
      <c r="W2847" s="71">
        <f t="shared" si="404"/>
        <v>1</v>
      </c>
    </row>
    <row r="2848" spans="1:23" x14ac:dyDescent="0.2">
      <c r="A2848" s="71" t="s">
        <v>227</v>
      </c>
      <c r="B2848" s="71" t="s">
        <v>228</v>
      </c>
      <c r="C2848" s="71" t="s">
        <v>187</v>
      </c>
      <c r="D2848" s="71" t="s">
        <v>229</v>
      </c>
      <c r="E2848" s="71" t="s">
        <v>39</v>
      </c>
      <c r="F2848" s="71" t="s">
        <v>300</v>
      </c>
      <c r="G2848" s="88">
        <v>46245.689212963</v>
      </c>
      <c r="H2848" s="89">
        <v>46245</v>
      </c>
      <c r="I2848" s="71" t="s">
        <v>306</v>
      </c>
      <c r="J2848" s="71">
        <v>0</v>
      </c>
      <c r="K2848" s="71" t="s">
        <v>302</v>
      </c>
      <c r="L2848" s="71">
        <f t="shared" si="396"/>
        <v>8</v>
      </c>
      <c r="M2848" s="71" t="str">
        <f>IFERROR(INDEX(KALENDER!$D$3:$D$132,MATCH(H2848,KALENDER!$A$3:$A$132,0)),"Di luar periode")</f>
        <v>Hari Kerja</v>
      </c>
      <c r="N2848" s="71">
        <f t="shared" si="397"/>
        <v>0</v>
      </c>
      <c r="O2848" s="71">
        <f t="shared" si="398"/>
        <v>1</v>
      </c>
      <c r="P2848" s="71">
        <f t="shared" si="399"/>
        <v>0</v>
      </c>
      <c r="Q2848" s="71">
        <f t="shared" si="400"/>
        <v>0</v>
      </c>
      <c r="R2848" s="71">
        <f t="shared" si="401"/>
        <v>0</v>
      </c>
      <c r="S2848" s="71">
        <f t="shared" si="402"/>
        <v>0</v>
      </c>
      <c r="T2848" s="71">
        <f t="shared" si="403"/>
        <v>0</v>
      </c>
      <c r="U2848" s="71">
        <f>IF(AND(N2848=1,V2848=1),IF(COUNTIFS(AKTIVITAS!$B$2:$B$3052,B2848,AKTIVITAS!$E$2:$E$3052,H2848)&gt;0,1,0),0)</f>
        <v>0</v>
      </c>
      <c r="V2848" s="71">
        <f>IFERROR(IF(AND(H2848&gt;=INDEX(PEMAGANG!$J$3:$J$36,MATCH(B2848,PEMAGANG!$C$3:$C$36,0)),H2848&lt;=INDEX(PEMAGANG!$K$3:$K$36,MATCH(B2848,PEMAGANG!$C$3:$C$36,0))),1,0),0)</f>
        <v>1</v>
      </c>
      <c r="W2848" s="71">
        <f t="shared" si="404"/>
        <v>0</v>
      </c>
    </row>
    <row r="2849" spans="1:23" x14ac:dyDescent="0.2">
      <c r="A2849" s="71" t="s">
        <v>227</v>
      </c>
      <c r="B2849" s="71" t="s">
        <v>228</v>
      </c>
      <c r="C2849" s="71" t="s">
        <v>187</v>
      </c>
      <c r="D2849" s="71" t="s">
        <v>229</v>
      </c>
      <c r="E2849" s="71" t="s">
        <v>39</v>
      </c>
      <c r="F2849" s="71" t="s">
        <v>298</v>
      </c>
      <c r="G2849" s="88">
        <v>46246.302523148202</v>
      </c>
      <c r="H2849" s="89">
        <v>46246</v>
      </c>
      <c r="I2849" s="71" t="s">
        <v>370</v>
      </c>
      <c r="J2849" s="71">
        <v>-15</v>
      </c>
      <c r="K2849" s="71" t="s">
        <v>302</v>
      </c>
      <c r="L2849" s="71">
        <f t="shared" si="396"/>
        <v>8</v>
      </c>
      <c r="M2849" s="71" t="str">
        <f>IFERROR(INDEX(KALENDER!$D$3:$D$132,MATCH(H2849,KALENDER!$A$3:$A$132,0)),"Di luar periode")</f>
        <v>Hari Kerja</v>
      </c>
      <c r="N2849" s="71">
        <f t="shared" si="397"/>
        <v>1</v>
      </c>
      <c r="O2849" s="71">
        <f t="shared" si="398"/>
        <v>1</v>
      </c>
      <c r="P2849" s="71">
        <f t="shared" si="399"/>
        <v>1</v>
      </c>
      <c r="Q2849" s="71">
        <f t="shared" si="400"/>
        <v>0</v>
      </c>
      <c r="R2849" s="71">
        <f t="shared" si="401"/>
        <v>0</v>
      </c>
      <c r="S2849" s="71">
        <f t="shared" si="402"/>
        <v>0</v>
      </c>
      <c r="T2849" s="71">
        <f t="shared" si="403"/>
        <v>0</v>
      </c>
      <c r="U2849" s="71">
        <f>IF(AND(N2849=1,V2849=1),IF(COUNTIFS(AKTIVITAS!$B$2:$B$3052,B2849,AKTIVITAS!$E$2:$E$3052,H2849)&gt;0,1,0),0)</f>
        <v>1</v>
      </c>
      <c r="V2849" s="71">
        <f>IFERROR(IF(AND(H2849&gt;=INDEX(PEMAGANG!$J$3:$J$36,MATCH(B2849,PEMAGANG!$C$3:$C$36,0)),H2849&lt;=INDEX(PEMAGANG!$K$3:$K$36,MATCH(B2849,PEMAGANG!$C$3:$C$36,0))),1,0),0)</f>
        <v>1</v>
      </c>
      <c r="W2849" s="71">
        <f t="shared" si="404"/>
        <v>1</v>
      </c>
    </row>
    <row r="2850" spans="1:23" x14ac:dyDescent="0.2">
      <c r="A2850" s="71" t="s">
        <v>227</v>
      </c>
      <c r="B2850" s="71" t="s">
        <v>228</v>
      </c>
      <c r="C2850" s="71" t="s">
        <v>187</v>
      </c>
      <c r="D2850" s="71" t="s">
        <v>229</v>
      </c>
      <c r="E2850" s="71" t="s">
        <v>39</v>
      </c>
      <c r="F2850" s="71" t="s">
        <v>300</v>
      </c>
      <c r="G2850" s="88">
        <v>46246.690937500003</v>
      </c>
      <c r="H2850" s="89">
        <v>46246</v>
      </c>
      <c r="I2850" s="71" t="s">
        <v>314</v>
      </c>
      <c r="J2850" s="71">
        <v>0</v>
      </c>
      <c r="K2850" s="71" t="s">
        <v>302</v>
      </c>
      <c r="L2850" s="71">
        <f t="shared" si="396"/>
        <v>8</v>
      </c>
      <c r="M2850" s="71" t="str">
        <f>IFERROR(INDEX(KALENDER!$D$3:$D$132,MATCH(H2850,KALENDER!$A$3:$A$132,0)),"Di luar periode")</f>
        <v>Hari Kerja</v>
      </c>
      <c r="N2850" s="71">
        <f t="shared" si="397"/>
        <v>0</v>
      </c>
      <c r="O2850" s="71">
        <f t="shared" si="398"/>
        <v>1</v>
      </c>
      <c r="P2850" s="71">
        <f t="shared" si="399"/>
        <v>0</v>
      </c>
      <c r="Q2850" s="71">
        <f t="shared" si="400"/>
        <v>0</v>
      </c>
      <c r="R2850" s="71">
        <f t="shared" si="401"/>
        <v>0</v>
      </c>
      <c r="S2850" s="71">
        <f t="shared" si="402"/>
        <v>0</v>
      </c>
      <c r="T2850" s="71">
        <f t="shared" si="403"/>
        <v>0</v>
      </c>
      <c r="U2850" s="71">
        <f>IF(AND(N2850=1,V2850=1),IF(COUNTIFS(AKTIVITAS!$B$2:$B$3052,B2850,AKTIVITAS!$E$2:$E$3052,H2850)&gt;0,1,0),0)</f>
        <v>0</v>
      </c>
      <c r="V2850" s="71">
        <f>IFERROR(IF(AND(H2850&gt;=INDEX(PEMAGANG!$J$3:$J$36,MATCH(B2850,PEMAGANG!$C$3:$C$36,0)),H2850&lt;=INDEX(PEMAGANG!$K$3:$K$36,MATCH(B2850,PEMAGANG!$C$3:$C$36,0))),1,0),0)</f>
        <v>1</v>
      </c>
      <c r="W2850" s="71">
        <f t="shared" si="404"/>
        <v>0</v>
      </c>
    </row>
    <row r="2851" spans="1:23" x14ac:dyDescent="0.2">
      <c r="A2851" s="71" t="s">
        <v>227</v>
      </c>
      <c r="B2851" s="71" t="s">
        <v>228</v>
      </c>
      <c r="C2851" s="71" t="s">
        <v>187</v>
      </c>
      <c r="D2851" s="71" t="s">
        <v>229</v>
      </c>
      <c r="E2851" s="71" t="s">
        <v>39</v>
      </c>
      <c r="F2851" s="71" t="s">
        <v>298</v>
      </c>
      <c r="G2851" s="88">
        <v>46247.300150463001</v>
      </c>
      <c r="H2851" s="89">
        <v>46247</v>
      </c>
      <c r="I2851" s="71" t="s">
        <v>478</v>
      </c>
      <c r="J2851" s="71">
        <v>-18</v>
      </c>
      <c r="K2851" s="71" t="s">
        <v>302</v>
      </c>
      <c r="L2851" s="71">
        <f t="shared" si="396"/>
        <v>8</v>
      </c>
      <c r="M2851" s="71" t="str">
        <f>IFERROR(INDEX(KALENDER!$D$3:$D$132,MATCH(H2851,KALENDER!$A$3:$A$132,0)),"Di luar periode")</f>
        <v>Hari Kerja</v>
      </c>
      <c r="N2851" s="71">
        <f t="shared" si="397"/>
        <v>1</v>
      </c>
      <c r="O2851" s="71">
        <f t="shared" si="398"/>
        <v>1</v>
      </c>
      <c r="P2851" s="71">
        <f t="shared" si="399"/>
        <v>1</v>
      </c>
      <c r="Q2851" s="71">
        <f t="shared" si="400"/>
        <v>0</v>
      </c>
      <c r="R2851" s="71">
        <f t="shared" si="401"/>
        <v>0</v>
      </c>
      <c r="S2851" s="71">
        <f t="shared" si="402"/>
        <v>0</v>
      </c>
      <c r="T2851" s="71">
        <f t="shared" si="403"/>
        <v>0</v>
      </c>
      <c r="U2851" s="71">
        <f>IF(AND(N2851=1,V2851=1),IF(COUNTIFS(AKTIVITAS!$B$2:$B$3052,B2851,AKTIVITAS!$E$2:$E$3052,H2851)&gt;0,1,0),0)</f>
        <v>1</v>
      </c>
      <c r="V2851" s="71">
        <f>IFERROR(IF(AND(H2851&gt;=INDEX(PEMAGANG!$J$3:$J$36,MATCH(B2851,PEMAGANG!$C$3:$C$36,0)),H2851&lt;=INDEX(PEMAGANG!$K$3:$K$36,MATCH(B2851,PEMAGANG!$C$3:$C$36,0))),1,0),0)</f>
        <v>1</v>
      </c>
      <c r="W2851" s="71">
        <f t="shared" si="404"/>
        <v>1</v>
      </c>
    </row>
    <row r="2852" spans="1:23" x14ac:dyDescent="0.2">
      <c r="A2852" s="71" t="s">
        <v>227</v>
      </c>
      <c r="B2852" s="71" t="s">
        <v>228</v>
      </c>
      <c r="C2852" s="71" t="s">
        <v>187</v>
      </c>
      <c r="D2852" s="71" t="s">
        <v>229</v>
      </c>
      <c r="E2852" s="71" t="s">
        <v>39</v>
      </c>
      <c r="F2852" s="71" t="s">
        <v>300</v>
      </c>
      <c r="G2852" s="88">
        <v>46247.693923611099</v>
      </c>
      <c r="H2852" s="89">
        <v>46247</v>
      </c>
      <c r="I2852" s="71" t="s">
        <v>308</v>
      </c>
      <c r="J2852" s="71">
        <v>0</v>
      </c>
      <c r="K2852" s="71" t="s">
        <v>302</v>
      </c>
      <c r="L2852" s="71">
        <f t="shared" si="396"/>
        <v>8</v>
      </c>
      <c r="M2852" s="71" t="str">
        <f>IFERROR(INDEX(KALENDER!$D$3:$D$132,MATCH(H2852,KALENDER!$A$3:$A$132,0)),"Di luar periode")</f>
        <v>Hari Kerja</v>
      </c>
      <c r="N2852" s="71">
        <f t="shared" si="397"/>
        <v>0</v>
      </c>
      <c r="O2852" s="71">
        <f t="shared" si="398"/>
        <v>1</v>
      </c>
      <c r="P2852" s="71">
        <f t="shared" si="399"/>
        <v>0</v>
      </c>
      <c r="Q2852" s="71">
        <f t="shared" si="400"/>
        <v>0</v>
      </c>
      <c r="R2852" s="71">
        <f t="shared" si="401"/>
        <v>0</v>
      </c>
      <c r="S2852" s="71">
        <f t="shared" si="402"/>
        <v>0</v>
      </c>
      <c r="T2852" s="71">
        <f t="shared" si="403"/>
        <v>0</v>
      </c>
      <c r="U2852" s="71">
        <f>IF(AND(N2852=1,V2852=1),IF(COUNTIFS(AKTIVITAS!$B$2:$B$3052,B2852,AKTIVITAS!$E$2:$E$3052,H2852)&gt;0,1,0),0)</f>
        <v>0</v>
      </c>
      <c r="V2852" s="71">
        <f>IFERROR(IF(AND(H2852&gt;=INDEX(PEMAGANG!$J$3:$J$36,MATCH(B2852,PEMAGANG!$C$3:$C$36,0)),H2852&lt;=INDEX(PEMAGANG!$K$3:$K$36,MATCH(B2852,PEMAGANG!$C$3:$C$36,0))),1,0),0)</f>
        <v>1</v>
      </c>
      <c r="W2852" s="71">
        <f t="shared" si="404"/>
        <v>0</v>
      </c>
    </row>
    <row r="2853" spans="1:23" x14ac:dyDescent="0.2">
      <c r="A2853" s="71" t="s">
        <v>227</v>
      </c>
      <c r="B2853" s="71" t="s">
        <v>228</v>
      </c>
      <c r="C2853" s="71" t="s">
        <v>187</v>
      </c>
      <c r="D2853" s="71" t="s">
        <v>229</v>
      </c>
      <c r="E2853" s="71" t="s">
        <v>39</v>
      </c>
      <c r="F2853" s="71" t="s">
        <v>298</v>
      </c>
      <c r="G2853" s="88">
        <v>46248.305567129602</v>
      </c>
      <c r="H2853" s="89">
        <v>46248</v>
      </c>
      <c r="I2853" s="71" t="s">
        <v>329</v>
      </c>
      <c r="J2853" s="71">
        <v>-10</v>
      </c>
      <c r="K2853" s="71" t="s">
        <v>302</v>
      </c>
      <c r="L2853" s="71">
        <f t="shared" si="396"/>
        <v>8</v>
      </c>
      <c r="M2853" s="71" t="str">
        <f>IFERROR(INDEX(KALENDER!$D$3:$D$132,MATCH(H2853,KALENDER!$A$3:$A$132,0)),"Di luar periode")</f>
        <v>Hari Kerja</v>
      </c>
      <c r="N2853" s="71">
        <f t="shared" si="397"/>
        <v>1</v>
      </c>
      <c r="O2853" s="71">
        <f t="shared" si="398"/>
        <v>1</v>
      </c>
      <c r="P2853" s="71">
        <f t="shared" si="399"/>
        <v>1</v>
      </c>
      <c r="Q2853" s="71">
        <f t="shared" si="400"/>
        <v>0</v>
      </c>
      <c r="R2853" s="71">
        <f t="shared" si="401"/>
        <v>0</v>
      </c>
      <c r="S2853" s="71">
        <f t="shared" si="402"/>
        <v>0</v>
      </c>
      <c r="T2853" s="71">
        <f t="shared" si="403"/>
        <v>0</v>
      </c>
      <c r="U2853" s="71">
        <f>IF(AND(N2853=1,V2853=1),IF(COUNTIFS(AKTIVITAS!$B$2:$B$3052,B2853,AKTIVITAS!$E$2:$E$3052,H2853)&gt;0,1,0),0)</f>
        <v>1</v>
      </c>
      <c r="V2853" s="71">
        <f>IFERROR(IF(AND(H2853&gt;=INDEX(PEMAGANG!$J$3:$J$36,MATCH(B2853,PEMAGANG!$C$3:$C$36,0)),H2853&lt;=INDEX(PEMAGANG!$K$3:$K$36,MATCH(B2853,PEMAGANG!$C$3:$C$36,0))),1,0),0)</f>
        <v>1</v>
      </c>
      <c r="W2853" s="71">
        <f t="shared" si="404"/>
        <v>1</v>
      </c>
    </row>
    <row r="2854" spans="1:23" x14ac:dyDescent="0.2">
      <c r="A2854" s="71" t="s">
        <v>227</v>
      </c>
      <c r="B2854" s="71" t="s">
        <v>228</v>
      </c>
      <c r="C2854" s="71" t="s">
        <v>187</v>
      </c>
      <c r="D2854" s="71" t="s">
        <v>229</v>
      </c>
      <c r="E2854" s="71" t="s">
        <v>39</v>
      </c>
      <c r="F2854" s="71" t="s">
        <v>300</v>
      </c>
      <c r="G2854" s="88">
        <v>46248.6893865741</v>
      </c>
      <c r="H2854" s="89">
        <v>46248</v>
      </c>
      <c r="I2854" s="71" t="s">
        <v>306</v>
      </c>
      <c r="J2854" s="71">
        <v>0</v>
      </c>
      <c r="K2854" s="71" t="s">
        <v>302</v>
      </c>
      <c r="L2854" s="71">
        <f t="shared" si="396"/>
        <v>8</v>
      </c>
      <c r="M2854" s="71" t="str">
        <f>IFERROR(INDEX(KALENDER!$D$3:$D$132,MATCH(H2854,KALENDER!$A$3:$A$132,0)),"Di luar periode")</f>
        <v>Hari Kerja</v>
      </c>
      <c r="N2854" s="71">
        <f t="shared" si="397"/>
        <v>0</v>
      </c>
      <c r="O2854" s="71">
        <f t="shared" si="398"/>
        <v>1</v>
      </c>
      <c r="P2854" s="71">
        <f t="shared" si="399"/>
        <v>0</v>
      </c>
      <c r="Q2854" s="71">
        <f t="shared" si="400"/>
        <v>0</v>
      </c>
      <c r="R2854" s="71">
        <f t="shared" si="401"/>
        <v>0</v>
      </c>
      <c r="S2854" s="71">
        <f t="shared" si="402"/>
        <v>0</v>
      </c>
      <c r="T2854" s="71">
        <f t="shared" si="403"/>
        <v>0</v>
      </c>
      <c r="U2854" s="71">
        <f>IF(AND(N2854=1,V2854=1),IF(COUNTIFS(AKTIVITAS!$B$2:$B$3052,B2854,AKTIVITAS!$E$2:$E$3052,H2854)&gt;0,1,0),0)</f>
        <v>0</v>
      </c>
      <c r="V2854" s="71">
        <f>IFERROR(IF(AND(H2854&gt;=INDEX(PEMAGANG!$J$3:$J$36,MATCH(B2854,PEMAGANG!$C$3:$C$36,0)),H2854&lt;=INDEX(PEMAGANG!$K$3:$K$36,MATCH(B2854,PEMAGANG!$C$3:$C$36,0))),1,0),0)</f>
        <v>1</v>
      </c>
      <c r="W2854" s="71">
        <f t="shared" si="404"/>
        <v>0</v>
      </c>
    </row>
    <row r="2855" spans="1:23" x14ac:dyDescent="0.2">
      <c r="A2855" s="71" t="s">
        <v>227</v>
      </c>
      <c r="B2855" s="71" t="s">
        <v>228</v>
      </c>
      <c r="C2855" s="71" t="s">
        <v>187</v>
      </c>
      <c r="D2855" s="71" t="s">
        <v>229</v>
      </c>
      <c r="E2855" s="71" t="s">
        <v>39</v>
      </c>
      <c r="F2855" s="71" t="s">
        <v>298</v>
      </c>
      <c r="G2855" s="88">
        <v>46252.301504629599</v>
      </c>
      <c r="H2855" s="89">
        <v>46252</v>
      </c>
      <c r="I2855" s="71" t="s">
        <v>416</v>
      </c>
      <c r="J2855" s="71">
        <v>-16</v>
      </c>
      <c r="K2855" s="71" t="s">
        <v>302</v>
      </c>
      <c r="L2855" s="71">
        <f t="shared" si="396"/>
        <v>8</v>
      </c>
      <c r="M2855" s="71" t="str">
        <f>IFERROR(INDEX(KALENDER!$D$3:$D$132,MATCH(H2855,KALENDER!$A$3:$A$132,0)),"Di luar periode")</f>
        <v>Hari Kerja</v>
      </c>
      <c r="N2855" s="71">
        <f t="shared" si="397"/>
        <v>1</v>
      </c>
      <c r="O2855" s="71">
        <f t="shared" si="398"/>
        <v>1</v>
      </c>
      <c r="P2855" s="71">
        <f t="shared" si="399"/>
        <v>1</v>
      </c>
      <c r="Q2855" s="71">
        <f t="shared" si="400"/>
        <v>0</v>
      </c>
      <c r="R2855" s="71">
        <f t="shared" si="401"/>
        <v>0</v>
      </c>
      <c r="S2855" s="71">
        <f t="shared" si="402"/>
        <v>0</v>
      </c>
      <c r="T2855" s="71">
        <f t="shared" si="403"/>
        <v>0</v>
      </c>
      <c r="U2855" s="71">
        <f>IF(AND(N2855=1,V2855=1),IF(COUNTIFS(AKTIVITAS!$B$2:$B$3052,B2855,AKTIVITAS!$E$2:$E$3052,H2855)&gt;0,1,0),0)</f>
        <v>1</v>
      </c>
      <c r="V2855" s="71">
        <f>IFERROR(IF(AND(H2855&gt;=INDEX(PEMAGANG!$J$3:$J$36,MATCH(B2855,PEMAGANG!$C$3:$C$36,0)),H2855&lt;=INDEX(PEMAGANG!$K$3:$K$36,MATCH(B2855,PEMAGANG!$C$3:$C$36,0))),1,0),0)</f>
        <v>1</v>
      </c>
      <c r="W2855" s="71">
        <f t="shared" si="404"/>
        <v>1</v>
      </c>
    </row>
    <row r="2856" spans="1:23" x14ac:dyDescent="0.2">
      <c r="A2856" s="71" t="s">
        <v>227</v>
      </c>
      <c r="B2856" s="71" t="s">
        <v>228</v>
      </c>
      <c r="C2856" s="71" t="s">
        <v>187</v>
      </c>
      <c r="D2856" s="71" t="s">
        <v>229</v>
      </c>
      <c r="E2856" s="71" t="s">
        <v>39</v>
      </c>
      <c r="F2856" s="71" t="s">
        <v>300</v>
      </c>
      <c r="G2856" s="88">
        <v>46252.689548611103</v>
      </c>
      <c r="H2856" s="89">
        <v>46252</v>
      </c>
      <c r="I2856" s="71" t="s">
        <v>306</v>
      </c>
      <c r="J2856" s="71">
        <v>0</v>
      </c>
      <c r="K2856" s="71" t="s">
        <v>302</v>
      </c>
      <c r="L2856" s="71">
        <f t="shared" si="396"/>
        <v>8</v>
      </c>
      <c r="M2856" s="71" t="str">
        <f>IFERROR(INDEX(KALENDER!$D$3:$D$132,MATCH(H2856,KALENDER!$A$3:$A$132,0)),"Di luar periode")</f>
        <v>Hari Kerja</v>
      </c>
      <c r="N2856" s="71">
        <f t="shared" si="397"/>
        <v>0</v>
      </c>
      <c r="O2856" s="71">
        <f t="shared" si="398"/>
        <v>1</v>
      </c>
      <c r="P2856" s="71">
        <f t="shared" si="399"/>
        <v>0</v>
      </c>
      <c r="Q2856" s="71">
        <f t="shared" si="400"/>
        <v>0</v>
      </c>
      <c r="R2856" s="71">
        <f t="shared" si="401"/>
        <v>0</v>
      </c>
      <c r="S2856" s="71">
        <f t="shared" si="402"/>
        <v>0</v>
      </c>
      <c r="T2856" s="71">
        <f t="shared" si="403"/>
        <v>0</v>
      </c>
      <c r="U2856" s="71">
        <f>IF(AND(N2856=1,V2856=1),IF(COUNTIFS(AKTIVITAS!$B$2:$B$3052,B2856,AKTIVITAS!$E$2:$E$3052,H2856)&gt;0,1,0),0)</f>
        <v>0</v>
      </c>
      <c r="V2856" s="71">
        <f>IFERROR(IF(AND(H2856&gt;=INDEX(PEMAGANG!$J$3:$J$36,MATCH(B2856,PEMAGANG!$C$3:$C$36,0)),H2856&lt;=INDEX(PEMAGANG!$K$3:$K$36,MATCH(B2856,PEMAGANG!$C$3:$C$36,0))),1,0),0)</f>
        <v>1</v>
      </c>
      <c r="W2856" s="71">
        <f t="shared" si="404"/>
        <v>0</v>
      </c>
    </row>
    <row r="2857" spans="1:23" x14ac:dyDescent="0.2">
      <c r="A2857" s="71" t="s">
        <v>227</v>
      </c>
      <c r="B2857" s="71" t="s">
        <v>228</v>
      </c>
      <c r="C2857" s="71" t="s">
        <v>187</v>
      </c>
      <c r="D2857" s="71" t="s">
        <v>229</v>
      </c>
      <c r="E2857" s="71" t="s">
        <v>39</v>
      </c>
      <c r="F2857" s="71" t="s">
        <v>298</v>
      </c>
      <c r="G2857" s="88">
        <v>46253.301736111098</v>
      </c>
      <c r="H2857" s="89">
        <v>46253</v>
      </c>
      <c r="I2857" s="71" t="s">
        <v>416</v>
      </c>
      <c r="J2857" s="71">
        <v>-16</v>
      </c>
      <c r="K2857" s="71" t="s">
        <v>302</v>
      </c>
      <c r="L2857" s="71">
        <f t="shared" si="396"/>
        <v>8</v>
      </c>
      <c r="M2857" s="71" t="str">
        <f>IFERROR(INDEX(KALENDER!$D$3:$D$132,MATCH(H2857,KALENDER!$A$3:$A$132,0)),"Di luar periode")</f>
        <v>Hari Kerja</v>
      </c>
      <c r="N2857" s="71">
        <f t="shared" si="397"/>
        <v>1</v>
      </c>
      <c r="O2857" s="71">
        <f t="shared" si="398"/>
        <v>1</v>
      </c>
      <c r="P2857" s="71">
        <f t="shared" si="399"/>
        <v>1</v>
      </c>
      <c r="Q2857" s="71">
        <f t="shared" si="400"/>
        <v>0</v>
      </c>
      <c r="R2857" s="71">
        <f t="shared" si="401"/>
        <v>0</v>
      </c>
      <c r="S2857" s="71">
        <f t="shared" si="402"/>
        <v>0</v>
      </c>
      <c r="T2857" s="71">
        <f t="shared" si="403"/>
        <v>0</v>
      </c>
      <c r="U2857" s="71">
        <f>IF(AND(N2857=1,V2857=1),IF(COUNTIFS(AKTIVITAS!$B$2:$B$3052,B2857,AKTIVITAS!$E$2:$E$3052,H2857)&gt;0,1,0),0)</f>
        <v>1</v>
      </c>
      <c r="V2857" s="71">
        <f>IFERROR(IF(AND(H2857&gt;=INDEX(PEMAGANG!$J$3:$J$36,MATCH(B2857,PEMAGANG!$C$3:$C$36,0)),H2857&lt;=INDEX(PEMAGANG!$K$3:$K$36,MATCH(B2857,PEMAGANG!$C$3:$C$36,0))),1,0),0)</f>
        <v>1</v>
      </c>
      <c r="W2857" s="71">
        <f t="shared" si="404"/>
        <v>1</v>
      </c>
    </row>
    <row r="2858" spans="1:23" x14ac:dyDescent="0.2">
      <c r="A2858" s="71" t="s">
        <v>227</v>
      </c>
      <c r="B2858" s="71" t="s">
        <v>228</v>
      </c>
      <c r="C2858" s="71" t="s">
        <v>187</v>
      </c>
      <c r="D2858" s="71" t="s">
        <v>229</v>
      </c>
      <c r="E2858" s="71" t="s">
        <v>39</v>
      </c>
      <c r="F2858" s="71" t="s">
        <v>300</v>
      </c>
      <c r="G2858" s="88">
        <v>46253.689224537004</v>
      </c>
      <c r="H2858" s="89">
        <v>46253</v>
      </c>
      <c r="I2858" s="71" t="s">
        <v>306</v>
      </c>
      <c r="J2858" s="71">
        <v>0</v>
      </c>
      <c r="K2858" s="71" t="s">
        <v>302</v>
      </c>
      <c r="L2858" s="71">
        <f t="shared" si="396"/>
        <v>8</v>
      </c>
      <c r="M2858" s="71" t="str">
        <f>IFERROR(INDEX(KALENDER!$D$3:$D$132,MATCH(H2858,KALENDER!$A$3:$A$132,0)),"Di luar periode")</f>
        <v>Hari Kerja</v>
      </c>
      <c r="N2858" s="71">
        <f t="shared" si="397"/>
        <v>0</v>
      </c>
      <c r="O2858" s="71">
        <f t="shared" si="398"/>
        <v>1</v>
      </c>
      <c r="P2858" s="71">
        <f t="shared" si="399"/>
        <v>0</v>
      </c>
      <c r="Q2858" s="71">
        <f t="shared" si="400"/>
        <v>0</v>
      </c>
      <c r="R2858" s="71">
        <f t="shared" si="401"/>
        <v>0</v>
      </c>
      <c r="S2858" s="71">
        <f t="shared" si="402"/>
        <v>0</v>
      </c>
      <c r="T2858" s="71">
        <f t="shared" si="403"/>
        <v>0</v>
      </c>
      <c r="U2858" s="71">
        <f>IF(AND(N2858=1,V2858=1),IF(COUNTIFS(AKTIVITAS!$B$2:$B$3052,B2858,AKTIVITAS!$E$2:$E$3052,H2858)&gt;0,1,0),0)</f>
        <v>0</v>
      </c>
      <c r="V2858" s="71">
        <f>IFERROR(IF(AND(H2858&gt;=INDEX(PEMAGANG!$J$3:$J$36,MATCH(B2858,PEMAGANG!$C$3:$C$36,0)),H2858&lt;=INDEX(PEMAGANG!$K$3:$K$36,MATCH(B2858,PEMAGANG!$C$3:$C$36,0))),1,0),0)</f>
        <v>1</v>
      </c>
      <c r="W2858" s="71">
        <f t="shared" si="404"/>
        <v>0</v>
      </c>
    </row>
    <row r="2859" spans="1:23" x14ac:dyDescent="0.2">
      <c r="A2859" s="71" t="s">
        <v>227</v>
      </c>
      <c r="B2859" s="71" t="s">
        <v>228</v>
      </c>
      <c r="C2859" s="71" t="s">
        <v>187</v>
      </c>
      <c r="D2859" s="71" t="s">
        <v>229</v>
      </c>
      <c r="E2859" s="71" t="s">
        <v>39</v>
      </c>
      <c r="F2859" s="71" t="s">
        <v>298</v>
      </c>
      <c r="G2859" s="88">
        <v>46254.301909722199</v>
      </c>
      <c r="H2859" s="89">
        <v>46254</v>
      </c>
      <c r="I2859" s="71" t="s">
        <v>416</v>
      </c>
      <c r="J2859" s="71">
        <v>-16</v>
      </c>
      <c r="K2859" s="71" t="s">
        <v>302</v>
      </c>
      <c r="L2859" s="71">
        <f t="shared" si="396"/>
        <v>8</v>
      </c>
      <c r="M2859" s="71" t="str">
        <f>IFERROR(INDEX(KALENDER!$D$3:$D$132,MATCH(H2859,KALENDER!$A$3:$A$132,0)),"Di luar periode")</f>
        <v>Hari Kerja</v>
      </c>
      <c r="N2859" s="71">
        <f t="shared" si="397"/>
        <v>1</v>
      </c>
      <c r="O2859" s="71">
        <f t="shared" si="398"/>
        <v>1</v>
      </c>
      <c r="P2859" s="71">
        <f t="shared" si="399"/>
        <v>1</v>
      </c>
      <c r="Q2859" s="71">
        <f t="shared" si="400"/>
        <v>0</v>
      </c>
      <c r="R2859" s="71">
        <f t="shared" si="401"/>
        <v>0</v>
      </c>
      <c r="S2859" s="71">
        <f t="shared" si="402"/>
        <v>0</v>
      </c>
      <c r="T2859" s="71">
        <f t="shared" si="403"/>
        <v>0</v>
      </c>
      <c r="U2859" s="71">
        <f>IF(AND(N2859=1,V2859=1),IF(COUNTIFS(AKTIVITAS!$B$2:$B$3052,B2859,AKTIVITAS!$E$2:$E$3052,H2859)&gt;0,1,0),0)</f>
        <v>1</v>
      </c>
      <c r="V2859" s="71">
        <f>IFERROR(IF(AND(H2859&gt;=INDEX(PEMAGANG!$J$3:$J$36,MATCH(B2859,PEMAGANG!$C$3:$C$36,0)),H2859&lt;=INDEX(PEMAGANG!$K$3:$K$36,MATCH(B2859,PEMAGANG!$C$3:$C$36,0))),1,0),0)</f>
        <v>1</v>
      </c>
      <c r="W2859" s="71">
        <f t="shared" si="404"/>
        <v>1</v>
      </c>
    </row>
    <row r="2860" spans="1:23" x14ac:dyDescent="0.2">
      <c r="A2860" s="71" t="s">
        <v>227</v>
      </c>
      <c r="B2860" s="71" t="s">
        <v>228</v>
      </c>
      <c r="C2860" s="71" t="s">
        <v>187</v>
      </c>
      <c r="D2860" s="71" t="s">
        <v>229</v>
      </c>
      <c r="E2860" s="71" t="s">
        <v>39</v>
      </c>
      <c r="F2860" s="71" t="s">
        <v>300</v>
      </c>
      <c r="G2860" s="88">
        <v>46254.692488425899</v>
      </c>
      <c r="H2860" s="89">
        <v>46254</v>
      </c>
      <c r="I2860" s="71" t="s">
        <v>328</v>
      </c>
      <c r="J2860" s="71">
        <v>0</v>
      </c>
      <c r="K2860" s="71" t="s">
        <v>302</v>
      </c>
      <c r="L2860" s="71">
        <f t="shared" si="396"/>
        <v>8</v>
      </c>
      <c r="M2860" s="71" t="str">
        <f>IFERROR(INDEX(KALENDER!$D$3:$D$132,MATCH(H2860,KALENDER!$A$3:$A$132,0)),"Di luar periode")</f>
        <v>Hari Kerja</v>
      </c>
      <c r="N2860" s="71">
        <f t="shared" si="397"/>
        <v>0</v>
      </c>
      <c r="O2860" s="71">
        <f t="shared" si="398"/>
        <v>1</v>
      </c>
      <c r="P2860" s="71">
        <f t="shared" si="399"/>
        <v>0</v>
      </c>
      <c r="Q2860" s="71">
        <f t="shared" si="400"/>
        <v>0</v>
      </c>
      <c r="R2860" s="71">
        <f t="shared" si="401"/>
        <v>0</v>
      </c>
      <c r="S2860" s="71">
        <f t="shared" si="402"/>
        <v>0</v>
      </c>
      <c r="T2860" s="71">
        <f t="shared" si="403"/>
        <v>0</v>
      </c>
      <c r="U2860" s="71">
        <f>IF(AND(N2860=1,V2860=1),IF(COUNTIFS(AKTIVITAS!$B$2:$B$3052,B2860,AKTIVITAS!$E$2:$E$3052,H2860)&gt;0,1,0),0)</f>
        <v>0</v>
      </c>
      <c r="V2860" s="71">
        <f>IFERROR(IF(AND(H2860&gt;=INDEX(PEMAGANG!$J$3:$J$36,MATCH(B2860,PEMAGANG!$C$3:$C$36,0)),H2860&lt;=INDEX(PEMAGANG!$K$3:$K$36,MATCH(B2860,PEMAGANG!$C$3:$C$36,0))),1,0),0)</f>
        <v>1</v>
      </c>
      <c r="W2860" s="71">
        <f t="shared" si="404"/>
        <v>0</v>
      </c>
    </row>
    <row r="2861" spans="1:23" x14ac:dyDescent="0.2">
      <c r="A2861" s="71" t="s">
        <v>227</v>
      </c>
      <c r="B2861" s="71" t="s">
        <v>228</v>
      </c>
      <c r="C2861" s="71" t="s">
        <v>187</v>
      </c>
      <c r="D2861" s="71" t="s">
        <v>229</v>
      </c>
      <c r="E2861" s="71" t="s">
        <v>39</v>
      </c>
      <c r="F2861" s="71" t="s">
        <v>298</v>
      </c>
      <c r="G2861" s="88">
        <v>46255.3034722222</v>
      </c>
      <c r="H2861" s="89">
        <v>46255</v>
      </c>
      <c r="I2861" s="71" t="s">
        <v>331</v>
      </c>
      <c r="J2861" s="71">
        <v>-43</v>
      </c>
      <c r="K2861" s="71" t="s">
        <v>302</v>
      </c>
      <c r="L2861" s="71">
        <f t="shared" si="396"/>
        <v>8</v>
      </c>
      <c r="M2861" s="71" t="str">
        <f>IFERROR(INDEX(KALENDER!$D$3:$D$132,MATCH(H2861,KALENDER!$A$3:$A$132,0)),"Di luar periode")</f>
        <v>Hari Kerja</v>
      </c>
      <c r="N2861" s="71">
        <f t="shared" si="397"/>
        <v>1</v>
      </c>
      <c r="O2861" s="71">
        <f t="shared" si="398"/>
        <v>1</v>
      </c>
      <c r="P2861" s="71">
        <f t="shared" si="399"/>
        <v>1</v>
      </c>
      <c r="Q2861" s="71">
        <f t="shared" si="400"/>
        <v>0</v>
      </c>
      <c r="R2861" s="71">
        <f t="shared" si="401"/>
        <v>0</v>
      </c>
      <c r="S2861" s="71">
        <f t="shared" si="402"/>
        <v>0</v>
      </c>
      <c r="T2861" s="71">
        <f t="shared" si="403"/>
        <v>0</v>
      </c>
      <c r="U2861" s="71">
        <f>IF(AND(N2861=1,V2861=1),IF(COUNTIFS(AKTIVITAS!$B$2:$B$3052,B2861,AKTIVITAS!$E$2:$E$3052,H2861)&gt;0,1,0),0)</f>
        <v>1</v>
      </c>
      <c r="V2861" s="71">
        <f>IFERROR(IF(AND(H2861&gt;=INDEX(PEMAGANG!$J$3:$J$36,MATCH(B2861,PEMAGANG!$C$3:$C$36,0)),H2861&lt;=INDEX(PEMAGANG!$K$3:$K$36,MATCH(B2861,PEMAGANG!$C$3:$C$36,0))),1,0),0)</f>
        <v>1</v>
      </c>
      <c r="W2861" s="71">
        <f t="shared" si="404"/>
        <v>1</v>
      </c>
    </row>
    <row r="2862" spans="1:23" x14ac:dyDescent="0.2">
      <c r="A2862" s="71" t="s">
        <v>227</v>
      </c>
      <c r="B2862" s="71" t="s">
        <v>228</v>
      </c>
      <c r="C2862" s="71" t="s">
        <v>187</v>
      </c>
      <c r="D2862" s="71" t="s">
        <v>229</v>
      </c>
      <c r="E2862" s="71" t="s">
        <v>39</v>
      </c>
      <c r="F2862" s="71" t="s">
        <v>300</v>
      </c>
      <c r="G2862" s="88">
        <v>46255.689282407402</v>
      </c>
      <c r="H2862" s="89">
        <v>46255</v>
      </c>
      <c r="I2862" s="71" t="s">
        <v>306</v>
      </c>
      <c r="J2862" s="71">
        <v>0</v>
      </c>
      <c r="K2862" s="71" t="s">
        <v>302</v>
      </c>
      <c r="L2862" s="71">
        <f t="shared" si="396"/>
        <v>8</v>
      </c>
      <c r="M2862" s="71" t="str">
        <f>IFERROR(INDEX(KALENDER!$D$3:$D$132,MATCH(H2862,KALENDER!$A$3:$A$132,0)),"Di luar periode")</f>
        <v>Hari Kerja</v>
      </c>
      <c r="N2862" s="71">
        <f t="shared" si="397"/>
        <v>0</v>
      </c>
      <c r="O2862" s="71">
        <f t="shared" si="398"/>
        <v>1</v>
      </c>
      <c r="P2862" s="71">
        <f t="shared" si="399"/>
        <v>0</v>
      </c>
      <c r="Q2862" s="71">
        <f t="shared" si="400"/>
        <v>0</v>
      </c>
      <c r="R2862" s="71">
        <f t="shared" si="401"/>
        <v>0</v>
      </c>
      <c r="S2862" s="71">
        <f t="shared" si="402"/>
        <v>0</v>
      </c>
      <c r="T2862" s="71">
        <f t="shared" si="403"/>
        <v>0</v>
      </c>
      <c r="U2862" s="71">
        <f>IF(AND(N2862=1,V2862=1),IF(COUNTIFS(AKTIVITAS!$B$2:$B$3052,B2862,AKTIVITAS!$E$2:$E$3052,H2862)&gt;0,1,0),0)</f>
        <v>0</v>
      </c>
      <c r="V2862" s="71">
        <f>IFERROR(IF(AND(H2862&gt;=INDEX(PEMAGANG!$J$3:$J$36,MATCH(B2862,PEMAGANG!$C$3:$C$36,0)),H2862&lt;=INDEX(PEMAGANG!$K$3:$K$36,MATCH(B2862,PEMAGANG!$C$3:$C$36,0))),1,0),0)</f>
        <v>1</v>
      </c>
      <c r="W2862" s="71">
        <f t="shared" si="404"/>
        <v>0</v>
      </c>
    </row>
    <row r="2863" spans="1:23" x14ac:dyDescent="0.2">
      <c r="A2863" s="71" t="s">
        <v>227</v>
      </c>
      <c r="B2863" s="71" t="s">
        <v>228</v>
      </c>
      <c r="C2863" s="71" t="s">
        <v>187</v>
      </c>
      <c r="D2863" s="71" t="s">
        <v>229</v>
      </c>
      <c r="E2863" s="71" t="s">
        <v>39</v>
      </c>
      <c r="F2863" s="71" t="s">
        <v>298</v>
      </c>
      <c r="G2863" s="88">
        <v>46258.299444444398</v>
      </c>
      <c r="H2863" s="89">
        <v>46258</v>
      </c>
      <c r="I2863" s="71" t="s">
        <v>402</v>
      </c>
      <c r="J2863" s="71">
        <v>-49</v>
      </c>
      <c r="K2863" s="71" t="s">
        <v>302</v>
      </c>
      <c r="L2863" s="71">
        <f t="shared" si="396"/>
        <v>8</v>
      </c>
      <c r="M2863" s="71" t="str">
        <f>IFERROR(INDEX(KALENDER!$D$3:$D$132,MATCH(H2863,KALENDER!$A$3:$A$132,0)),"Di luar periode")</f>
        <v>Hari Kerja</v>
      </c>
      <c r="N2863" s="71">
        <f t="shared" si="397"/>
        <v>1</v>
      </c>
      <c r="O2863" s="71">
        <f t="shared" si="398"/>
        <v>1</v>
      </c>
      <c r="P2863" s="71">
        <f t="shared" si="399"/>
        <v>1</v>
      </c>
      <c r="Q2863" s="71">
        <f t="shared" si="400"/>
        <v>0</v>
      </c>
      <c r="R2863" s="71">
        <f t="shared" si="401"/>
        <v>0</v>
      </c>
      <c r="S2863" s="71">
        <f t="shared" si="402"/>
        <v>0</v>
      </c>
      <c r="T2863" s="71">
        <f t="shared" si="403"/>
        <v>0</v>
      </c>
      <c r="U2863" s="71">
        <f>IF(AND(N2863=1,V2863=1),IF(COUNTIFS(AKTIVITAS!$B$2:$B$3052,B2863,AKTIVITAS!$E$2:$E$3052,H2863)&gt;0,1,0),0)</f>
        <v>1</v>
      </c>
      <c r="V2863" s="71">
        <f>IFERROR(IF(AND(H2863&gt;=INDEX(PEMAGANG!$J$3:$J$36,MATCH(B2863,PEMAGANG!$C$3:$C$36,0)),H2863&lt;=INDEX(PEMAGANG!$K$3:$K$36,MATCH(B2863,PEMAGANG!$C$3:$C$36,0))),1,0),0)</f>
        <v>1</v>
      </c>
      <c r="W2863" s="71">
        <f t="shared" si="404"/>
        <v>1</v>
      </c>
    </row>
    <row r="2864" spans="1:23" x14ac:dyDescent="0.2">
      <c r="A2864" s="71" t="s">
        <v>227</v>
      </c>
      <c r="B2864" s="71" t="s">
        <v>228</v>
      </c>
      <c r="C2864" s="71" t="s">
        <v>187</v>
      </c>
      <c r="D2864" s="71" t="s">
        <v>229</v>
      </c>
      <c r="E2864" s="71" t="s">
        <v>39</v>
      </c>
      <c r="F2864" s="71" t="s">
        <v>300</v>
      </c>
      <c r="G2864" s="88">
        <v>46258.691226851901</v>
      </c>
      <c r="H2864" s="89">
        <v>46258</v>
      </c>
      <c r="I2864" s="71" t="s">
        <v>310</v>
      </c>
      <c r="J2864" s="71">
        <v>0</v>
      </c>
      <c r="K2864" s="71" t="s">
        <v>302</v>
      </c>
      <c r="L2864" s="71">
        <f t="shared" si="396"/>
        <v>8</v>
      </c>
      <c r="M2864" s="71" t="str">
        <f>IFERROR(INDEX(KALENDER!$D$3:$D$132,MATCH(H2864,KALENDER!$A$3:$A$132,0)),"Di luar periode")</f>
        <v>Hari Kerja</v>
      </c>
      <c r="N2864" s="71">
        <f t="shared" si="397"/>
        <v>0</v>
      </c>
      <c r="O2864" s="71">
        <f t="shared" si="398"/>
        <v>1</v>
      </c>
      <c r="P2864" s="71">
        <f t="shared" si="399"/>
        <v>0</v>
      </c>
      <c r="Q2864" s="71">
        <f t="shared" si="400"/>
        <v>0</v>
      </c>
      <c r="R2864" s="71">
        <f t="shared" si="401"/>
        <v>0</v>
      </c>
      <c r="S2864" s="71">
        <f t="shared" si="402"/>
        <v>0</v>
      </c>
      <c r="T2864" s="71">
        <f t="shared" si="403"/>
        <v>0</v>
      </c>
      <c r="U2864" s="71">
        <f>IF(AND(N2864=1,V2864=1),IF(COUNTIFS(AKTIVITAS!$B$2:$B$3052,B2864,AKTIVITAS!$E$2:$E$3052,H2864)&gt;0,1,0),0)</f>
        <v>0</v>
      </c>
      <c r="V2864" s="71">
        <f>IFERROR(IF(AND(H2864&gt;=INDEX(PEMAGANG!$J$3:$J$36,MATCH(B2864,PEMAGANG!$C$3:$C$36,0)),H2864&lt;=INDEX(PEMAGANG!$K$3:$K$36,MATCH(B2864,PEMAGANG!$C$3:$C$36,0))),1,0),0)</f>
        <v>1</v>
      </c>
      <c r="W2864" s="71">
        <f t="shared" si="404"/>
        <v>0</v>
      </c>
    </row>
    <row r="2865" spans="1:23" x14ac:dyDescent="0.2">
      <c r="A2865" s="71" t="s">
        <v>227</v>
      </c>
      <c r="B2865" s="71" t="s">
        <v>228</v>
      </c>
      <c r="C2865" s="71" t="s">
        <v>187</v>
      </c>
      <c r="D2865" s="71" t="s">
        <v>229</v>
      </c>
      <c r="E2865" s="71" t="s">
        <v>39</v>
      </c>
      <c r="F2865" s="71" t="s">
        <v>298</v>
      </c>
      <c r="G2865" s="88">
        <v>46260.302118055602</v>
      </c>
      <c r="H2865" s="89">
        <v>46260</v>
      </c>
      <c r="I2865" s="71" t="s">
        <v>370</v>
      </c>
      <c r="J2865" s="71">
        <v>-45</v>
      </c>
      <c r="K2865" s="71" t="s">
        <v>302</v>
      </c>
      <c r="L2865" s="71">
        <f t="shared" si="396"/>
        <v>8</v>
      </c>
      <c r="M2865" s="71" t="str">
        <f>IFERROR(INDEX(KALENDER!$D$3:$D$132,MATCH(H2865,KALENDER!$A$3:$A$132,0)),"Di luar periode")</f>
        <v>Hari Kerja</v>
      </c>
      <c r="N2865" s="71">
        <f t="shared" si="397"/>
        <v>1</v>
      </c>
      <c r="O2865" s="71">
        <f t="shared" si="398"/>
        <v>1</v>
      </c>
      <c r="P2865" s="71">
        <f t="shared" si="399"/>
        <v>1</v>
      </c>
      <c r="Q2865" s="71">
        <f t="shared" si="400"/>
        <v>0</v>
      </c>
      <c r="R2865" s="71">
        <f t="shared" si="401"/>
        <v>0</v>
      </c>
      <c r="S2865" s="71">
        <f t="shared" si="402"/>
        <v>0</v>
      </c>
      <c r="T2865" s="71">
        <f t="shared" si="403"/>
        <v>0</v>
      </c>
      <c r="U2865" s="71">
        <f>IF(AND(N2865=1,V2865=1),IF(COUNTIFS(AKTIVITAS!$B$2:$B$3052,B2865,AKTIVITAS!$E$2:$E$3052,H2865)&gt;0,1,0),0)</f>
        <v>1</v>
      </c>
      <c r="V2865" s="71">
        <f>IFERROR(IF(AND(H2865&gt;=INDEX(PEMAGANG!$J$3:$J$36,MATCH(B2865,PEMAGANG!$C$3:$C$36,0)),H2865&lt;=INDEX(PEMAGANG!$K$3:$K$36,MATCH(B2865,PEMAGANG!$C$3:$C$36,0))),1,0),0)</f>
        <v>1</v>
      </c>
      <c r="W2865" s="71">
        <f t="shared" si="404"/>
        <v>1</v>
      </c>
    </row>
    <row r="2866" spans="1:23" x14ac:dyDescent="0.2">
      <c r="A2866" s="71" t="s">
        <v>227</v>
      </c>
      <c r="B2866" s="71" t="s">
        <v>228</v>
      </c>
      <c r="C2866" s="71" t="s">
        <v>187</v>
      </c>
      <c r="D2866" s="71" t="s">
        <v>229</v>
      </c>
      <c r="E2866" s="71" t="s">
        <v>39</v>
      </c>
      <c r="F2866" s="71" t="s">
        <v>300</v>
      </c>
      <c r="G2866" s="88">
        <v>46260.688923611102</v>
      </c>
      <c r="H2866" s="89">
        <v>46260</v>
      </c>
      <c r="I2866" s="71" t="s">
        <v>306</v>
      </c>
      <c r="J2866" s="71">
        <v>0</v>
      </c>
      <c r="K2866" s="71" t="s">
        <v>302</v>
      </c>
      <c r="L2866" s="71">
        <f t="shared" si="396"/>
        <v>8</v>
      </c>
      <c r="M2866" s="71" t="str">
        <f>IFERROR(INDEX(KALENDER!$D$3:$D$132,MATCH(H2866,KALENDER!$A$3:$A$132,0)),"Di luar periode")</f>
        <v>Hari Kerja</v>
      </c>
      <c r="N2866" s="71">
        <f t="shared" si="397"/>
        <v>0</v>
      </c>
      <c r="O2866" s="71">
        <f t="shared" si="398"/>
        <v>1</v>
      </c>
      <c r="P2866" s="71">
        <f t="shared" si="399"/>
        <v>0</v>
      </c>
      <c r="Q2866" s="71">
        <f t="shared" si="400"/>
        <v>0</v>
      </c>
      <c r="R2866" s="71">
        <f t="shared" si="401"/>
        <v>0</v>
      </c>
      <c r="S2866" s="71">
        <f t="shared" si="402"/>
        <v>0</v>
      </c>
      <c r="T2866" s="71">
        <f t="shared" si="403"/>
        <v>0</v>
      </c>
      <c r="U2866" s="71">
        <f>IF(AND(N2866=1,V2866=1),IF(COUNTIFS(AKTIVITAS!$B$2:$B$3052,B2866,AKTIVITAS!$E$2:$E$3052,H2866)&gt;0,1,0),0)</f>
        <v>0</v>
      </c>
      <c r="V2866" s="71">
        <f>IFERROR(IF(AND(H2866&gt;=INDEX(PEMAGANG!$J$3:$J$36,MATCH(B2866,PEMAGANG!$C$3:$C$36,0)),H2866&lt;=INDEX(PEMAGANG!$K$3:$K$36,MATCH(B2866,PEMAGANG!$C$3:$C$36,0))),1,0),0)</f>
        <v>1</v>
      </c>
      <c r="W2866" s="71">
        <f t="shared" si="404"/>
        <v>0</v>
      </c>
    </row>
    <row r="2867" spans="1:23" x14ac:dyDescent="0.2">
      <c r="A2867" s="71" t="s">
        <v>227</v>
      </c>
      <c r="B2867" s="71" t="s">
        <v>228</v>
      </c>
      <c r="C2867" s="71" t="s">
        <v>187</v>
      </c>
      <c r="D2867" s="71" t="s">
        <v>229</v>
      </c>
      <c r="E2867" s="71" t="s">
        <v>39</v>
      </c>
      <c r="F2867" s="71" t="s">
        <v>298</v>
      </c>
      <c r="G2867" s="88">
        <v>46261.299525463</v>
      </c>
      <c r="H2867" s="89">
        <v>46261</v>
      </c>
      <c r="I2867" s="71" t="s">
        <v>402</v>
      </c>
      <c r="J2867" s="71">
        <v>-49</v>
      </c>
      <c r="K2867" s="71" t="s">
        <v>302</v>
      </c>
      <c r="L2867" s="71">
        <f t="shared" si="396"/>
        <v>8</v>
      </c>
      <c r="M2867" s="71" t="str">
        <f>IFERROR(INDEX(KALENDER!$D$3:$D$132,MATCH(H2867,KALENDER!$A$3:$A$132,0)),"Di luar periode")</f>
        <v>Hari Kerja</v>
      </c>
      <c r="N2867" s="71">
        <f t="shared" si="397"/>
        <v>1</v>
      </c>
      <c r="O2867" s="71">
        <f t="shared" si="398"/>
        <v>1</v>
      </c>
      <c r="P2867" s="71">
        <f t="shared" si="399"/>
        <v>1</v>
      </c>
      <c r="Q2867" s="71">
        <f t="shared" si="400"/>
        <v>0</v>
      </c>
      <c r="R2867" s="71">
        <f t="shared" si="401"/>
        <v>0</v>
      </c>
      <c r="S2867" s="71">
        <f t="shared" si="402"/>
        <v>0</v>
      </c>
      <c r="T2867" s="71">
        <f t="shared" si="403"/>
        <v>0</v>
      </c>
      <c r="U2867" s="71">
        <f>IF(AND(N2867=1,V2867=1),IF(COUNTIFS(AKTIVITAS!$B$2:$B$3052,B2867,AKTIVITAS!$E$2:$E$3052,H2867)&gt;0,1,0),0)</f>
        <v>1</v>
      </c>
      <c r="V2867" s="71">
        <f>IFERROR(IF(AND(H2867&gt;=INDEX(PEMAGANG!$J$3:$J$36,MATCH(B2867,PEMAGANG!$C$3:$C$36,0)),H2867&lt;=INDEX(PEMAGANG!$K$3:$K$36,MATCH(B2867,PEMAGANG!$C$3:$C$36,0))),1,0),0)</f>
        <v>1</v>
      </c>
      <c r="W2867" s="71">
        <f t="shared" si="404"/>
        <v>1</v>
      </c>
    </row>
    <row r="2868" spans="1:23" x14ac:dyDescent="0.2">
      <c r="A2868" s="71" t="s">
        <v>227</v>
      </c>
      <c r="B2868" s="71" t="s">
        <v>228</v>
      </c>
      <c r="C2868" s="71" t="s">
        <v>187</v>
      </c>
      <c r="D2868" s="71" t="s">
        <v>229</v>
      </c>
      <c r="E2868" s="71" t="s">
        <v>39</v>
      </c>
      <c r="F2868" s="71" t="s">
        <v>300</v>
      </c>
      <c r="G2868" s="88">
        <v>46261.690312500003</v>
      </c>
      <c r="H2868" s="89">
        <v>46261</v>
      </c>
      <c r="I2868" s="71" t="s">
        <v>314</v>
      </c>
      <c r="J2868" s="71">
        <v>0</v>
      </c>
      <c r="K2868" s="71" t="s">
        <v>302</v>
      </c>
      <c r="L2868" s="71">
        <f t="shared" si="396"/>
        <v>8</v>
      </c>
      <c r="M2868" s="71" t="str">
        <f>IFERROR(INDEX(KALENDER!$D$3:$D$132,MATCH(H2868,KALENDER!$A$3:$A$132,0)),"Di luar periode")</f>
        <v>Hari Kerja</v>
      </c>
      <c r="N2868" s="71">
        <f t="shared" si="397"/>
        <v>0</v>
      </c>
      <c r="O2868" s="71">
        <f t="shared" si="398"/>
        <v>1</v>
      </c>
      <c r="P2868" s="71">
        <f t="shared" si="399"/>
        <v>0</v>
      </c>
      <c r="Q2868" s="71">
        <f t="shared" si="400"/>
        <v>0</v>
      </c>
      <c r="R2868" s="71">
        <f t="shared" si="401"/>
        <v>0</v>
      </c>
      <c r="S2868" s="71">
        <f t="shared" si="402"/>
        <v>0</v>
      </c>
      <c r="T2868" s="71">
        <f t="shared" si="403"/>
        <v>0</v>
      </c>
      <c r="U2868" s="71">
        <f>IF(AND(N2868=1,V2868=1),IF(COUNTIFS(AKTIVITAS!$B$2:$B$3052,B2868,AKTIVITAS!$E$2:$E$3052,H2868)&gt;0,1,0),0)</f>
        <v>0</v>
      </c>
      <c r="V2868" s="71">
        <f>IFERROR(IF(AND(H2868&gt;=INDEX(PEMAGANG!$J$3:$J$36,MATCH(B2868,PEMAGANG!$C$3:$C$36,0)),H2868&lt;=INDEX(PEMAGANG!$K$3:$K$36,MATCH(B2868,PEMAGANG!$C$3:$C$36,0))),1,0),0)</f>
        <v>1</v>
      </c>
      <c r="W2868" s="71">
        <f t="shared" si="404"/>
        <v>0</v>
      </c>
    </row>
    <row r="2869" spans="1:23" x14ac:dyDescent="0.2">
      <c r="A2869" s="71" t="s">
        <v>227</v>
      </c>
      <c r="B2869" s="71" t="s">
        <v>228</v>
      </c>
      <c r="C2869" s="71" t="s">
        <v>187</v>
      </c>
      <c r="D2869" s="71" t="s">
        <v>229</v>
      </c>
      <c r="E2869" s="71" t="s">
        <v>39</v>
      </c>
      <c r="F2869" s="71" t="s">
        <v>298</v>
      </c>
      <c r="G2869" s="88">
        <v>46262.302187499998</v>
      </c>
      <c r="H2869" s="89">
        <v>46262</v>
      </c>
      <c r="I2869" s="71" t="s">
        <v>370</v>
      </c>
      <c r="J2869" s="71">
        <v>-45</v>
      </c>
      <c r="K2869" s="71" t="s">
        <v>302</v>
      </c>
      <c r="L2869" s="71">
        <f t="shared" si="396"/>
        <v>8</v>
      </c>
      <c r="M2869" s="71" t="str">
        <f>IFERROR(INDEX(KALENDER!$D$3:$D$132,MATCH(H2869,KALENDER!$A$3:$A$132,0)),"Di luar periode")</f>
        <v>Hari Kerja</v>
      </c>
      <c r="N2869" s="71">
        <f t="shared" si="397"/>
        <v>1</v>
      </c>
      <c r="O2869" s="71">
        <f t="shared" si="398"/>
        <v>1</v>
      </c>
      <c r="P2869" s="71">
        <f t="shared" si="399"/>
        <v>1</v>
      </c>
      <c r="Q2869" s="71">
        <f t="shared" si="400"/>
        <v>0</v>
      </c>
      <c r="R2869" s="71">
        <f t="shared" si="401"/>
        <v>0</v>
      </c>
      <c r="S2869" s="71">
        <f t="shared" si="402"/>
        <v>0</v>
      </c>
      <c r="T2869" s="71">
        <f t="shared" si="403"/>
        <v>0</v>
      </c>
      <c r="U2869" s="71">
        <f>IF(AND(N2869=1,V2869=1),IF(COUNTIFS(AKTIVITAS!$B$2:$B$3052,B2869,AKTIVITAS!$E$2:$E$3052,H2869)&gt;0,1,0),0)</f>
        <v>1</v>
      </c>
      <c r="V2869" s="71">
        <f>IFERROR(IF(AND(H2869&gt;=INDEX(PEMAGANG!$J$3:$J$36,MATCH(B2869,PEMAGANG!$C$3:$C$36,0)),H2869&lt;=INDEX(PEMAGANG!$K$3:$K$36,MATCH(B2869,PEMAGANG!$C$3:$C$36,0))),1,0),0)</f>
        <v>1</v>
      </c>
      <c r="W2869" s="71">
        <f t="shared" si="404"/>
        <v>1</v>
      </c>
    </row>
    <row r="2870" spans="1:23" x14ac:dyDescent="0.2">
      <c r="A2870" s="71" t="s">
        <v>227</v>
      </c>
      <c r="B2870" s="71" t="s">
        <v>228</v>
      </c>
      <c r="C2870" s="71" t="s">
        <v>187</v>
      </c>
      <c r="D2870" s="71" t="s">
        <v>229</v>
      </c>
      <c r="E2870" s="71" t="s">
        <v>39</v>
      </c>
      <c r="F2870" s="71" t="s">
        <v>300</v>
      </c>
      <c r="G2870" s="88">
        <v>46262.699479166702</v>
      </c>
      <c r="H2870" s="89">
        <v>46262</v>
      </c>
      <c r="I2870" s="71" t="s">
        <v>337</v>
      </c>
      <c r="J2870" s="71">
        <v>0</v>
      </c>
      <c r="K2870" s="71" t="s">
        <v>302</v>
      </c>
      <c r="L2870" s="71">
        <f t="shared" si="396"/>
        <v>8</v>
      </c>
      <c r="M2870" s="71" t="str">
        <f>IFERROR(INDEX(KALENDER!$D$3:$D$132,MATCH(H2870,KALENDER!$A$3:$A$132,0)),"Di luar periode")</f>
        <v>Hari Kerja</v>
      </c>
      <c r="N2870" s="71">
        <f t="shared" si="397"/>
        <v>0</v>
      </c>
      <c r="O2870" s="71">
        <f t="shared" si="398"/>
        <v>1</v>
      </c>
      <c r="P2870" s="71">
        <f t="shared" si="399"/>
        <v>0</v>
      </c>
      <c r="Q2870" s="71">
        <f t="shared" si="400"/>
        <v>0</v>
      </c>
      <c r="R2870" s="71">
        <f t="shared" si="401"/>
        <v>0</v>
      </c>
      <c r="S2870" s="71">
        <f t="shared" si="402"/>
        <v>0</v>
      </c>
      <c r="T2870" s="71">
        <f t="shared" si="403"/>
        <v>0</v>
      </c>
      <c r="U2870" s="71">
        <f>IF(AND(N2870=1,V2870=1),IF(COUNTIFS(AKTIVITAS!$B$2:$B$3052,B2870,AKTIVITAS!$E$2:$E$3052,H2870)&gt;0,1,0),0)</f>
        <v>0</v>
      </c>
      <c r="V2870" s="71">
        <f>IFERROR(IF(AND(H2870&gt;=INDEX(PEMAGANG!$J$3:$J$36,MATCH(B2870,PEMAGANG!$C$3:$C$36,0)),H2870&lt;=INDEX(PEMAGANG!$K$3:$K$36,MATCH(B2870,PEMAGANG!$C$3:$C$36,0))),1,0),0)</f>
        <v>1</v>
      </c>
      <c r="W2870" s="71">
        <f t="shared" si="404"/>
        <v>0</v>
      </c>
    </row>
    <row r="2871" spans="1:23" x14ac:dyDescent="0.2">
      <c r="A2871" s="71" t="s">
        <v>227</v>
      </c>
      <c r="B2871" s="71" t="s">
        <v>228</v>
      </c>
      <c r="C2871" s="71" t="s">
        <v>187</v>
      </c>
      <c r="D2871" s="71" t="s">
        <v>229</v>
      </c>
      <c r="E2871" s="71" t="s">
        <v>39</v>
      </c>
      <c r="F2871" s="71" t="s">
        <v>298</v>
      </c>
      <c r="G2871" s="88">
        <v>46265.348888888897</v>
      </c>
      <c r="H2871" s="89">
        <v>46265</v>
      </c>
      <c r="I2871" s="71" t="s">
        <v>690</v>
      </c>
      <c r="J2871" s="71">
        <v>22.000000000000099</v>
      </c>
      <c r="K2871" s="71" t="s">
        <v>293</v>
      </c>
      <c r="L2871" s="71">
        <f t="shared" si="396"/>
        <v>8</v>
      </c>
      <c r="M2871" s="71" t="str">
        <f>IFERROR(INDEX(KALENDER!$D$3:$D$132,MATCH(H2871,KALENDER!$A$3:$A$132,0)),"Di luar periode")</f>
        <v>Hari Kerja</v>
      </c>
      <c r="N2871" s="71">
        <f t="shared" si="397"/>
        <v>1</v>
      </c>
      <c r="O2871" s="71">
        <f t="shared" si="398"/>
        <v>1</v>
      </c>
      <c r="P2871" s="71">
        <f t="shared" si="399"/>
        <v>1</v>
      </c>
      <c r="Q2871" s="71">
        <f t="shared" si="400"/>
        <v>0</v>
      </c>
      <c r="R2871" s="71">
        <f t="shared" si="401"/>
        <v>1</v>
      </c>
      <c r="S2871" s="71">
        <f t="shared" si="402"/>
        <v>22.000000000000099</v>
      </c>
      <c r="T2871" s="71">
        <f t="shared" si="403"/>
        <v>0</v>
      </c>
      <c r="U2871" s="71">
        <f>IF(AND(N2871=1,V2871=1),IF(COUNTIFS(AKTIVITAS!$B$2:$B$3052,B2871,AKTIVITAS!$E$2:$E$3052,H2871)&gt;0,1,0),0)</f>
        <v>1</v>
      </c>
      <c r="V2871" s="71">
        <f>IFERROR(IF(AND(H2871&gt;=INDEX(PEMAGANG!$J$3:$J$36,MATCH(B2871,PEMAGANG!$C$3:$C$36,0)),H2871&lt;=INDEX(PEMAGANG!$K$3:$K$36,MATCH(B2871,PEMAGANG!$C$3:$C$36,0))),1,0),0)</f>
        <v>1</v>
      </c>
      <c r="W2871" s="71">
        <f t="shared" si="404"/>
        <v>1</v>
      </c>
    </row>
    <row r="2872" spans="1:23" x14ac:dyDescent="0.2">
      <c r="A2872" s="71" t="s">
        <v>227</v>
      </c>
      <c r="B2872" s="71" t="s">
        <v>228</v>
      </c>
      <c r="C2872" s="71" t="s">
        <v>187</v>
      </c>
      <c r="D2872" s="71" t="s">
        <v>229</v>
      </c>
      <c r="E2872" s="71" t="s">
        <v>39</v>
      </c>
      <c r="F2872" s="71" t="s">
        <v>300</v>
      </c>
      <c r="G2872" s="88">
        <v>46265.699456018498</v>
      </c>
      <c r="H2872" s="89">
        <v>46265</v>
      </c>
      <c r="I2872" s="71" t="s">
        <v>337</v>
      </c>
      <c r="J2872" s="71">
        <v>0</v>
      </c>
      <c r="K2872" s="71" t="s">
        <v>302</v>
      </c>
      <c r="L2872" s="71">
        <f t="shared" si="396"/>
        <v>8</v>
      </c>
      <c r="M2872" s="71" t="str">
        <f>IFERROR(INDEX(KALENDER!$D$3:$D$132,MATCH(H2872,KALENDER!$A$3:$A$132,0)),"Di luar periode")</f>
        <v>Hari Kerja</v>
      </c>
      <c r="N2872" s="71">
        <f t="shared" si="397"/>
        <v>0</v>
      </c>
      <c r="O2872" s="71">
        <f t="shared" si="398"/>
        <v>1</v>
      </c>
      <c r="P2872" s="71">
        <f t="shared" si="399"/>
        <v>0</v>
      </c>
      <c r="Q2872" s="71">
        <f t="shared" si="400"/>
        <v>0</v>
      </c>
      <c r="R2872" s="71">
        <f t="shared" si="401"/>
        <v>0</v>
      </c>
      <c r="S2872" s="71">
        <f t="shared" si="402"/>
        <v>0</v>
      </c>
      <c r="T2872" s="71">
        <f t="shared" si="403"/>
        <v>0</v>
      </c>
      <c r="U2872" s="71">
        <f>IF(AND(N2872=1,V2872=1),IF(COUNTIFS(AKTIVITAS!$B$2:$B$3052,B2872,AKTIVITAS!$E$2:$E$3052,H2872)&gt;0,1,0),0)</f>
        <v>0</v>
      </c>
      <c r="V2872" s="71">
        <f>IFERROR(IF(AND(H2872&gt;=INDEX(PEMAGANG!$J$3:$J$36,MATCH(B2872,PEMAGANG!$C$3:$C$36,0)),H2872&lt;=INDEX(PEMAGANG!$K$3:$K$36,MATCH(B2872,PEMAGANG!$C$3:$C$36,0))),1,0),0)</f>
        <v>1</v>
      </c>
      <c r="W2872" s="71">
        <f t="shared" si="404"/>
        <v>0</v>
      </c>
    </row>
    <row r="2873" spans="1:23" x14ac:dyDescent="0.2">
      <c r="A2873" s="71" t="s">
        <v>227</v>
      </c>
      <c r="B2873" s="71" t="s">
        <v>228</v>
      </c>
      <c r="C2873" s="71" t="s">
        <v>187</v>
      </c>
      <c r="D2873" s="71" t="s">
        <v>229</v>
      </c>
      <c r="E2873" s="71" t="s">
        <v>39</v>
      </c>
      <c r="F2873" s="71" t="s">
        <v>298</v>
      </c>
      <c r="G2873" s="88">
        <v>46266.390648148197</v>
      </c>
      <c r="H2873" s="89">
        <v>46266</v>
      </c>
      <c r="I2873" s="71" t="s">
        <v>691</v>
      </c>
      <c r="J2873" s="71">
        <v>82</v>
      </c>
      <c r="K2873" s="71" t="s">
        <v>293</v>
      </c>
      <c r="L2873" s="71">
        <f t="shared" si="396"/>
        <v>9</v>
      </c>
      <c r="M2873" s="71" t="str">
        <f>IFERROR(INDEX(KALENDER!$D$3:$D$132,MATCH(H2873,KALENDER!$A$3:$A$132,0)),"Di luar periode")</f>
        <v>Hari Kerja</v>
      </c>
      <c r="N2873" s="71">
        <f t="shared" si="397"/>
        <v>1</v>
      </c>
      <c r="O2873" s="71">
        <f t="shared" si="398"/>
        <v>1</v>
      </c>
      <c r="P2873" s="71">
        <f t="shared" si="399"/>
        <v>1</v>
      </c>
      <c r="Q2873" s="71">
        <f t="shared" si="400"/>
        <v>0</v>
      </c>
      <c r="R2873" s="71">
        <f t="shared" si="401"/>
        <v>1</v>
      </c>
      <c r="S2873" s="71">
        <f t="shared" si="402"/>
        <v>82</v>
      </c>
      <c r="T2873" s="71">
        <f t="shared" si="403"/>
        <v>1</v>
      </c>
      <c r="U2873" s="71">
        <f>IF(AND(N2873=1,V2873=1),IF(COUNTIFS(AKTIVITAS!$B$2:$B$3052,B2873,AKTIVITAS!$E$2:$E$3052,H2873)&gt;0,1,0),0)</f>
        <v>1</v>
      </c>
      <c r="V2873" s="71">
        <f>IFERROR(IF(AND(H2873&gt;=INDEX(PEMAGANG!$J$3:$J$36,MATCH(B2873,PEMAGANG!$C$3:$C$36,0)),H2873&lt;=INDEX(PEMAGANG!$K$3:$K$36,MATCH(B2873,PEMAGANG!$C$3:$C$36,0))),1,0),0)</f>
        <v>1</v>
      </c>
      <c r="W2873" s="71">
        <f t="shared" si="404"/>
        <v>1</v>
      </c>
    </row>
    <row r="2874" spans="1:23" x14ac:dyDescent="0.2">
      <c r="A2874" s="71" t="s">
        <v>227</v>
      </c>
      <c r="B2874" s="71" t="s">
        <v>228</v>
      </c>
      <c r="C2874" s="71" t="s">
        <v>187</v>
      </c>
      <c r="D2874" s="71" t="s">
        <v>229</v>
      </c>
      <c r="E2874" s="71" t="s">
        <v>39</v>
      </c>
      <c r="F2874" s="71" t="s">
        <v>298</v>
      </c>
      <c r="G2874" s="88">
        <v>46267.301331018498</v>
      </c>
      <c r="H2874" s="89">
        <v>46267</v>
      </c>
      <c r="I2874" s="71" t="s">
        <v>475</v>
      </c>
      <c r="J2874" s="71">
        <v>-47</v>
      </c>
      <c r="K2874" s="71" t="s">
        <v>302</v>
      </c>
      <c r="L2874" s="71">
        <f t="shared" si="396"/>
        <v>9</v>
      </c>
      <c r="M2874" s="71" t="str">
        <f>IFERROR(INDEX(KALENDER!$D$3:$D$132,MATCH(H2874,KALENDER!$A$3:$A$132,0)),"Di luar periode")</f>
        <v>Hari Kerja</v>
      </c>
      <c r="N2874" s="71">
        <f t="shared" si="397"/>
        <v>1</v>
      </c>
      <c r="O2874" s="71">
        <f t="shared" si="398"/>
        <v>1</v>
      </c>
      <c r="P2874" s="71">
        <f t="shared" si="399"/>
        <v>1</v>
      </c>
      <c r="Q2874" s="71">
        <f t="shared" si="400"/>
        <v>0</v>
      </c>
      <c r="R2874" s="71">
        <f t="shared" si="401"/>
        <v>0</v>
      </c>
      <c r="S2874" s="71">
        <f t="shared" si="402"/>
        <v>0</v>
      </c>
      <c r="T2874" s="71">
        <f t="shared" si="403"/>
        <v>0</v>
      </c>
      <c r="U2874" s="71">
        <f>IF(AND(N2874=1,V2874=1),IF(COUNTIFS(AKTIVITAS!$B$2:$B$3052,B2874,AKTIVITAS!$E$2:$E$3052,H2874)&gt;0,1,0),0)</f>
        <v>1</v>
      </c>
      <c r="V2874" s="71">
        <f>IFERROR(IF(AND(H2874&gt;=INDEX(PEMAGANG!$J$3:$J$36,MATCH(B2874,PEMAGANG!$C$3:$C$36,0)),H2874&lt;=INDEX(PEMAGANG!$K$3:$K$36,MATCH(B2874,PEMAGANG!$C$3:$C$36,0))),1,0),0)</f>
        <v>1</v>
      </c>
      <c r="W2874" s="71">
        <f t="shared" si="404"/>
        <v>1</v>
      </c>
    </row>
    <row r="2875" spans="1:23" x14ac:dyDescent="0.2">
      <c r="A2875" s="71" t="s">
        <v>227</v>
      </c>
      <c r="B2875" s="71" t="s">
        <v>228</v>
      </c>
      <c r="C2875" s="71" t="s">
        <v>187</v>
      </c>
      <c r="D2875" s="71" t="s">
        <v>229</v>
      </c>
      <c r="E2875" s="71" t="s">
        <v>39</v>
      </c>
      <c r="F2875" s="71" t="s">
        <v>300</v>
      </c>
      <c r="G2875" s="88">
        <v>46267.708472222199</v>
      </c>
      <c r="H2875" s="89">
        <v>46267</v>
      </c>
      <c r="I2875" s="71" t="s">
        <v>350</v>
      </c>
      <c r="J2875" s="71">
        <v>0</v>
      </c>
      <c r="K2875" s="71" t="s">
        <v>302</v>
      </c>
      <c r="L2875" s="71">
        <f t="shared" si="396"/>
        <v>9</v>
      </c>
      <c r="M2875" s="71" t="str">
        <f>IFERROR(INDEX(KALENDER!$D$3:$D$132,MATCH(H2875,KALENDER!$A$3:$A$132,0)),"Di luar periode")</f>
        <v>Hari Kerja</v>
      </c>
      <c r="N2875" s="71">
        <f t="shared" si="397"/>
        <v>0</v>
      </c>
      <c r="O2875" s="71">
        <f t="shared" si="398"/>
        <v>1</v>
      </c>
      <c r="P2875" s="71">
        <f t="shared" si="399"/>
        <v>0</v>
      </c>
      <c r="Q2875" s="71">
        <f t="shared" si="400"/>
        <v>0</v>
      </c>
      <c r="R2875" s="71">
        <f t="shared" si="401"/>
        <v>0</v>
      </c>
      <c r="S2875" s="71">
        <f t="shared" si="402"/>
        <v>0</v>
      </c>
      <c r="T2875" s="71">
        <f t="shared" si="403"/>
        <v>0</v>
      </c>
      <c r="U2875" s="71">
        <f>IF(AND(N2875=1,V2875=1),IF(COUNTIFS(AKTIVITAS!$B$2:$B$3052,B2875,AKTIVITAS!$E$2:$E$3052,H2875)&gt;0,1,0),0)</f>
        <v>0</v>
      </c>
      <c r="V2875" s="71">
        <f>IFERROR(IF(AND(H2875&gt;=INDEX(PEMAGANG!$J$3:$J$36,MATCH(B2875,PEMAGANG!$C$3:$C$36,0)),H2875&lt;=INDEX(PEMAGANG!$K$3:$K$36,MATCH(B2875,PEMAGANG!$C$3:$C$36,0))),1,0),0)</f>
        <v>1</v>
      </c>
      <c r="W2875" s="71">
        <f t="shared" si="404"/>
        <v>0</v>
      </c>
    </row>
    <row r="2876" spans="1:23" x14ac:dyDescent="0.2">
      <c r="A2876" s="71" t="s">
        <v>227</v>
      </c>
      <c r="B2876" s="71" t="s">
        <v>228</v>
      </c>
      <c r="C2876" s="71" t="s">
        <v>187</v>
      </c>
      <c r="D2876" s="71" t="s">
        <v>229</v>
      </c>
      <c r="E2876" s="71" t="s">
        <v>39</v>
      </c>
      <c r="F2876" s="71" t="s">
        <v>298</v>
      </c>
      <c r="G2876" s="88">
        <v>46268.298379629603</v>
      </c>
      <c r="H2876" s="89">
        <v>46268</v>
      </c>
      <c r="I2876" s="71" t="s">
        <v>479</v>
      </c>
      <c r="J2876" s="71">
        <v>-51</v>
      </c>
      <c r="K2876" s="71" t="s">
        <v>302</v>
      </c>
      <c r="L2876" s="71">
        <f t="shared" si="396"/>
        <v>9</v>
      </c>
      <c r="M2876" s="71" t="str">
        <f>IFERROR(INDEX(KALENDER!$D$3:$D$132,MATCH(H2876,KALENDER!$A$3:$A$132,0)),"Di luar periode")</f>
        <v>Hari Kerja</v>
      </c>
      <c r="N2876" s="71">
        <f t="shared" si="397"/>
        <v>1</v>
      </c>
      <c r="O2876" s="71">
        <f t="shared" si="398"/>
        <v>1</v>
      </c>
      <c r="P2876" s="71">
        <f t="shared" si="399"/>
        <v>1</v>
      </c>
      <c r="Q2876" s="71">
        <f t="shared" si="400"/>
        <v>0</v>
      </c>
      <c r="R2876" s="71">
        <f t="shared" si="401"/>
        <v>0</v>
      </c>
      <c r="S2876" s="71">
        <f t="shared" si="402"/>
        <v>0</v>
      </c>
      <c r="T2876" s="71">
        <f t="shared" si="403"/>
        <v>0</v>
      </c>
      <c r="U2876" s="71">
        <f>IF(AND(N2876=1,V2876=1),IF(COUNTIFS(AKTIVITAS!$B$2:$B$3052,B2876,AKTIVITAS!$E$2:$E$3052,H2876)&gt;0,1,0),0)</f>
        <v>1</v>
      </c>
      <c r="V2876" s="71">
        <f>IFERROR(IF(AND(H2876&gt;=INDEX(PEMAGANG!$J$3:$J$36,MATCH(B2876,PEMAGANG!$C$3:$C$36,0)),H2876&lt;=INDEX(PEMAGANG!$K$3:$K$36,MATCH(B2876,PEMAGANG!$C$3:$C$36,0))),1,0),0)</f>
        <v>1</v>
      </c>
      <c r="W2876" s="71">
        <f t="shared" si="404"/>
        <v>1</v>
      </c>
    </row>
    <row r="2877" spans="1:23" x14ac:dyDescent="0.2">
      <c r="A2877" s="71" t="s">
        <v>227</v>
      </c>
      <c r="B2877" s="71" t="s">
        <v>228</v>
      </c>
      <c r="C2877" s="71" t="s">
        <v>187</v>
      </c>
      <c r="D2877" s="71" t="s">
        <v>229</v>
      </c>
      <c r="E2877" s="71" t="s">
        <v>39</v>
      </c>
      <c r="F2877" s="71" t="s">
        <v>300</v>
      </c>
      <c r="G2877" s="88">
        <v>46268.689768518503</v>
      </c>
      <c r="H2877" s="89">
        <v>46268</v>
      </c>
      <c r="I2877" s="71" t="s">
        <v>316</v>
      </c>
      <c r="J2877" s="71">
        <v>0</v>
      </c>
      <c r="K2877" s="71" t="s">
        <v>302</v>
      </c>
      <c r="L2877" s="71">
        <f t="shared" si="396"/>
        <v>9</v>
      </c>
      <c r="M2877" s="71" t="str">
        <f>IFERROR(INDEX(KALENDER!$D$3:$D$132,MATCH(H2877,KALENDER!$A$3:$A$132,0)),"Di luar periode")</f>
        <v>Hari Kerja</v>
      </c>
      <c r="N2877" s="71">
        <f t="shared" si="397"/>
        <v>0</v>
      </c>
      <c r="O2877" s="71">
        <f t="shared" si="398"/>
        <v>1</v>
      </c>
      <c r="P2877" s="71">
        <f t="shared" si="399"/>
        <v>0</v>
      </c>
      <c r="Q2877" s="71">
        <f t="shared" si="400"/>
        <v>0</v>
      </c>
      <c r="R2877" s="71">
        <f t="shared" si="401"/>
        <v>0</v>
      </c>
      <c r="S2877" s="71">
        <f t="shared" si="402"/>
        <v>0</v>
      </c>
      <c r="T2877" s="71">
        <f t="shared" si="403"/>
        <v>0</v>
      </c>
      <c r="U2877" s="71">
        <f>IF(AND(N2877=1,V2877=1),IF(COUNTIFS(AKTIVITAS!$B$2:$B$3052,B2877,AKTIVITAS!$E$2:$E$3052,H2877)&gt;0,1,0),0)</f>
        <v>0</v>
      </c>
      <c r="V2877" s="71">
        <f>IFERROR(IF(AND(H2877&gt;=INDEX(PEMAGANG!$J$3:$J$36,MATCH(B2877,PEMAGANG!$C$3:$C$36,0)),H2877&lt;=INDEX(PEMAGANG!$K$3:$K$36,MATCH(B2877,PEMAGANG!$C$3:$C$36,0))),1,0),0)</f>
        <v>1</v>
      </c>
      <c r="W2877" s="71">
        <f t="shared" si="404"/>
        <v>0</v>
      </c>
    </row>
    <row r="2878" spans="1:23" x14ac:dyDescent="0.2">
      <c r="A2878" s="71" t="s">
        <v>227</v>
      </c>
      <c r="B2878" s="71" t="s">
        <v>228</v>
      </c>
      <c r="C2878" s="71" t="s">
        <v>187</v>
      </c>
      <c r="D2878" s="71" t="s">
        <v>229</v>
      </c>
      <c r="E2878" s="71" t="s">
        <v>39</v>
      </c>
      <c r="F2878" s="71" t="s">
        <v>300</v>
      </c>
      <c r="G2878" s="88">
        <v>46269.689212963</v>
      </c>
      <c r="H2878" s="89">
        <v>46269</v>
      </c>
      <c r="I2878" s="71" t="s">
        <v>306</v>
      </c>
      <c r="J2878" s="71">
        <v>0</v>
      </c>
      <c r="K2878" s="71" t="s">
        <v>302</v>
      </c>
      <c r="L2878" s="71">
        <f t="shared" si="396"/>
        <v>9</v>
      </c>
      <c r="M2878" s="71" t="str">
        <f>IFERROR(INDEX(KALENDER!$D$3:$D$132,MATCH(H2878,KALENDER!$A$3:$A$132,0)),"Di luar periode")</f>
        <v>Hari Kerja</v>
      </c>
      <c r="N2878" s="71">
        <f t="shared" si="397"/>
        <v>1</v>
      </c>
      <c r="O2878" s="71">
        <f t="shared" si="398"/>
        <v>0</v>
      </c>
      <c r="P2878" s="71">
        <f t="shared" si="399"/>
        <v>1</v>
      </c>
      <c r="Q2878" s="71">
        <f t="shared" si="400"/>
        <v>0</v>
      </c>
      <c r="R2878" s="71">
        <f t="shared" si="401"/>
        <v>0</v>
      </c>
      <c r="S2878" s="71">
        <f t="shared" si="402"/>
        <v>0</v>
      </c>
      <c r="T2878" s="71">
        <f t="shared" si="403"/>
        <v>0</v>
      </c>
      <c r="U2878" s="71">
        <f>IF(AND(N2878=1,V2878=1),IF(COUNTIFS(AKTIVITAS!$B$2:$B$3052,B2878,AKTIVITAS!$E$2:$E$3052,H2878)&gt;0,1,0),0)</f>
        <v>1</v>
      </c>
      <c r="V2878" s="71">
        <f>IFERROR(IF(AND(H2878&gt;=INDEX(PEMAGANG!$J$3:$J$36,MATCH(B2878,PEMAGANG!$C$3:$C$36,0)),H2878&lt;=INDEX(PEMAGANG!$K$3:$K$36,MATCH(B2878,PEMAGANG!$C$3:$C$36,0))),1,0),0)</f>
        <v>1</v>
      </c>
      <c r="W2878" s="71">
        <f t="shared" si="404"/>
        <v>1</v>
      </c>
    </row>
    <row r="2879" spans="1:23" x14ac:dyDescent="0.2">
      <c r="A2879" s="71" t="s">
        <v>227</v>
      </c>
      <c r="B2879" s="71" t="s">
        <v>228</v>
      </c>
      <c r="C2879" s="71" t="s">
        <v>187</v>
      </c>
      <c r="D2879" s="71" t="s">
        <v>229</v>
      </c>
      <c r="E2879" s="71" t="s">
        <v>39</v>
      </c>
      <c r="F2879" s="71" t="s">
        <v>298</v>
      </c>
      <c r="G2879" s="88">
        <v>46272.301932870403</v>
      </c>
      <c r="H2879" s="89">
        <v>46272</v>
      </c>
      <c r="I2879" s="71" t="s">
        <v>416</v>
      </c>
      <c r="J2879" s="71">
        <v>-46</v>
      </c>
      <c r="K2879" s="71" t="s">
        <v>302</v>
      </c>
      <c r="L2879" s="71">
        <f t="shared" si="396"/>
        <v>9</v>
      </c>
      <c r="M2879" s="71" t="str">
        <f>IFERROR(INDEX(KALENDER!$D$3:$D$132,MATCH(H2879,KALENDER!$A$3:$A$132,0)),"Di luar periode")</f>
        <v>Hari Kerja</v>
      </c>
      <c r="N2879" s="71">
        <f t="shared" si="397"/>
        <v>1</v>
      </c>
      <c r="O2879" s="71">
        <f t="shared" si="398"/>
        <v>1</v>
      </c>
      <c r="P2879" s="71">
        <f t="shared" si="399"/>
        <v>1</v>
      </c>
      <c r="Q2879" s="71">
        <f t="shared" si="400"/>
        <v>0</v>
      </c>
      <c r="R2879" s="71">
        <f t="shared" si="401"/>
        <v>0</v>
      </c>
      <c r="S2879" s="71">
        <f t="shared" si="402"/>
        <v>0</v>
      </c>
      <c r="T2879" s="71">
        <f t="shared" si="403"/>
        <v>0</v>
      </c>
      <c r="U2879" s="71">
        <f>IF(AND(N2879=1,V2879=1),IF(COUNTIFS(AKTIVITAS!$B$2:$B$3052,B2879,AKTIVITAS!$E$2:$E$3052,H2879)&gt;0,1,0),0)</f>
        <v>1</v>
      </c>
      <c r="V2879" s="71">
        <f>IFERROR(IF(AND(H2879&gt;=INDEX(PEMAGANG!$J$3:$J$36,MATCH(B2879,PEMAGANG!$C$3:$C$36,0)),H2879&lt;=INDEX(PEMAGANG!$K$3:$K$36,MATCH(B2879,PEMAGANG!$C$3:$C$36,0))),1,0),0)</f>
        <v>1</v>
      </c>
      <c r="W2879" s="71">
        <f t="shared" si="404"/>
        <v>1</v>
      </c>
    </row>
    <row r="2880" spans="1:23" x14ac:dyDescent="0.2">
      <c r="A2880" s="71" t="s">
        <v>227</v>
      </c>
      <c r="B2880" s="71" t="s">
        <v>228</v>
      </c>
      <c r="C2880" s="71" t="s">
        <v>187</v>
      </c>
      <c r="D2880" s="71" t="s">
        <v>229</v>
      </c>
      <c r="E2880" s="71" t="s">
        <v>39</v>
      </c>
      <c r="F2880" s="71" t="s">
        <v>300</v>
      </c>
      <c r="G2880" s="88">
        <v>46272.709074074097</v>
      </c>
      <c r="H2880" s="89">
        <v>46272</v>
      </c>
      <c r="I2880" s="71" t="s">
        <v>333</v>
      </c>
      <c r="J2880" s="71">
        <v>0</v>
      </c>
      <c r="K2880" s="71" t="s">
        <v>302</v>
      </c>
      <c r="L2880" s="71">
        <f t="shared" si="396"/>
        <v>9</v>
      </c>
      <c r="M2880" s="71" t="str">
        <f>IFERROR(INDEX(KALENDER!$D$3:$D$132,MATCH(H2880,KALENDER!$A$3:$A$132,0)),"Di luar periode")</f>
        <v>Hari Kerja</v>
      </c>
      <c r="N2880" s="71">
        <f t="shared" si="397"/>
        <v>0</v>
      </c>
      <c r="O2880" s="71">
        <f t="shared" si="398"/>
        <v>1</v>
      </c>
      <c r="P2880" s="71">
        <f t="shared" si="399"/>
        <v>0</v>
      </c>
      <c r="Q2880" s="71">
        <f t="shared" si="400"/>
        <v>0</v>
      </c>
      <c r="R2880" s="71">
        <f t="shared" si="401"/>
        <v>0</v>
      </c>
      <c r="S2880" s="71">
        <f t="shared" si="402"/>
        <v>0</v>
      </c>
      <c r="T2880" s="71">
        <f t="shared" si="403"/>
        <v>0</v>
      </c>
      <c r="U2880" s="71">
        <f>IF(AND(N2880=1,V2880=1),IF(COUNTIFS(AKTIVITAS!$B$2:$B$3052,B2880,AKTIVITAS!$E$2:$E$3052,H2880)&gt;0,1,0),0)</f>
        <v>0</v>
      </c>
      <c r="V2880" s="71">
        <f>IFERROR(IF(AND(H2880&gt;=INDEX(PEMAGANG!$J$3:$J$36,MATCH(B2880,PEMAGANG!$C$3:$C$36,0)),H2880&lt;=INDEX(PEMAGANG!$K$3:$K$36,MATCH(B2880,PEMAGANG!$C$3:$C$36,0))),1,0),0)</f>
        <v>1</v>
      </c>
      <c r="W2880" s="71">
        <f t="shared" si="404"/>
        <v>0</v>
      </c>
    </row>
    <row r="2881" spans="1:23" x14ac:dyDescent="0.2">
      <c r="A2881" s="71" t="s">
        <v>227</v>
      </c>
      <c r="B2881" s="71" t="s">
        <v>228</v>
      </c>
      <c r="C2881" s="71" t="s">
        <v>187</v>
      </c>
      <c r="D2881" s="71" t="s">
        <v>229</v>
      </c>
      <c r="E2881" s="71" t="s">
        <v>39</v>
      </c>
      <c r="F2881" s="71" t="s">
        <v>298</v>
      </c>
      <c r="G2881" s="88">
        <v>46273.309629629599</v>
      </c>
      <c r="H2881" s="89">
        <v>46273</v>
      </c>
      <c r="I2881" s="71" t="s">
        <v>307</v>
      </c>
      <c r="J2881" s="71">
        <v>-35</v>
      </c>
      <c r="K2881" s="71" t="s">
        <v>302</v>
      </c>
      <c r="L2881" s="71">
        <f t="shared" si="396"/>
        <v>9</v>
      </c>
      <c r="M2881" s="71" t="str">
        <f>IFERROR(INDEX(KALENDER!$D$3:$D$132,MATCH(H2881,KALENDER!$A$3:$A$132,0)),"Di luar periode")</f>
        <v>Hari Kerja</v>
      </c>
      <c r="N2881" s="71">
        <f t="shared" si="397"/>
        <v>1</v>
      </c>
      <c r="O2881" s="71">
        <f t="shared" si="398"/>
        <v>1</v>
      </c>
      <c r="P2881" s="71">
        <f t="shared" si="399"/>
        <v>1</v>
      </c>
      <c r="Q2881" s="71">
        <f t="shared" si="400"/>
        <v>0</v>
      </c>
      <c r="R2881" s="71">
        <f t="shared" si="401"/>
        <v>0</v>
      </c>
      <c r="S2881" s="71">
        <f t="shared" si="402"/>
        <v>0</v>
      </c>
      <c r="T2881" s="71">
        <f t="shared" si="403"/>
        <v>0</v>
      </c>
      <c r="U2881" s="71">
        <f>IF(AND(N2881=1,V2881=1),IF(COUNTIFS(AKTIVITAS!$B$2:$B$3052,B2881,AKTIVITAS!$E$2:$E$3052,H2881)&gt;0,1,0),0)</f>
        <v>1</v>
      </c>
      <c r="V2881" s="71">
        <f>IFERROR(IF(AND(H2881&gt;=INDEX(PEMAGANG!$J$3:$J$36,MATCH(B2881,PEMAGANG!$C$3:$C$36,0)),H2881&lt;=INDEX(PEMAGANG!$K$3:$K$36,MATCH(B2881,PEMAGANG!$C$3:$C$36,0))),1,0),0)</f>
        <v>1</v>
      </c>
      <c r="W2881" s="71">
        <f t="shared" si="404"/>
        <v>1</v>
      </c>
    </row>
    <row r="2882" spans="1:23" x14ac:dyDescent="0.2">
      <c r="A2882" s="71" t="s">
        <v>227</v>
      </c>
      <c r="B2882" s="71" t="s">
        <v>228</v>
      </c>
      <c r="C2882" s="71" t="s">
        <v>187</v>
      </c>
      <c r="D2882" s="71" t="s">
        <v>229</v>
      </c>
      <c r="E2882" s="71" t="s">
        <v>39</v>
      </c>
      <c r="F2882" s="71" t="s">
        <v>300</v>
      </c>
      <c r="G2882" s="88">
        <v>46273.688657407401</v>
      </c>
      <c r="H2882" s="89">
        <v>46273</v>
      </c>
      <c r="I2882" s="71" t="s">
        <v>336</v>
      </c>
      <c r="J2882" s="71">
        <v>0</v>
      </c>
      <c r="K2882" s="71" t="s">
        <v>302</v>
      </c>
      <c r="L2882" s="71">
        <f t="shared" ref="L2882:L2945" si="405">MONTH(H2882)</f>
        <v>9</v>
      </c>
      <c r="M2882" s="71" t="str">
        <f>IFERROR(INDEX(KALENDER!$D$3:$D$132,MATCH(H2882,KALENDER!$A$3:$A$132,0)),"Di luar periode")</f>
        <v>Hari Kerja</v>
      </c>
      <c r="N2882" s="71">
        <f t="shared" ref="N2882:N2945" si="406">IF(AND(B2882=B2881,H2882=H2881),0,1)</f>
        <v>0</v>
      </c>
      <c r="O2882" s="71">
        <f t="shared" ref="O2882:O2945" si="407">IF(N2882=1,0,O2881)+IF(F2882="MASUK",1,0)</f>
        <v>1</v>
      </c>
      <c r="P2882" s="71">
        <f t="shared" ref="P2882:P2945" si="408">IF(AND(N2882=1,M2882="Hari Kerja",V2882=1),1,0)</f>
        <v>0</v>
      </c>
      <c r="Q2882" s="71">
        <f t="shared" ref="Q2882:Q2945" si="409">IF(AND(N2882=1,OR(M2882&lt;&gt;"Hari Kerja",V2882=0)),1,0)</f>
        <v>0</v>
      </c>
      <c r="R2882" s="71">
        <f t="shared" ref="R2882:R2945" si="410">IF(AND(F2882="MASUK",O2882=1,N(J2882)&gt;0,V2882=1),1,0)</f>
        <v>0</v>
      </c>
      <c r="S2882" s="71">
        <f t="shared" ref="S2882:S2945" si="411">R2882*N(J2882)</f>
        <v>0</v>
      </c>
      <c r="T2882" s="71">
        <f t="shared" ref="T2882:T2945" si="412">IF(AND(N2882=1,V2882=1),IF(AND(COUNTIFS($B$2:$B$4094,B2882,$H$2:$H$4094,H2882,$F$2:$F$4094,"MASUK")&gt;0,COUNTIFS($B$2:$B$4094,B2882,$H$2:$H$4094,H2882,$F$2:$F$4094,"PULANG")=0),1,0),0)</f>
        <v>0</v>
      </c>
      <c r="U2882" s="71">
        <f>IF(AND(N2882=1,V2882=1),IF(COUNTIFS(AKTIVITAS!$B$2:$B$3052,B2882,AKTIVITAS!$E$2:$E$3052,H2882)&gt;0,1,0),0)</f>
        <v>0</v>
      </c>
      <c r="V2882" s="71">
        <f>IFERROR(IF(AND(H2882&gt;=INDEX(PEMAGANG!$J$3:$J$36,MATCH(B2882,PEMAGANG!$C$3:$C$36,0)),H2882&lt;=INDEX(PEMAGANG!$K$3:$K$36,MATCH(B2882,PEMAGANG!$C$3:$C$36,0))),1,0),0)</f>
        <v>1</v>
      </c>
      <c r="W2882" s="71">
        <f t="shared" ref="W2882:W2945" si="413">N2882*V2882</f>
        <v>0</v>
      </c>
    </row>
    <row r="2883" spans="1:23" x14ac:dyDescent="0.2">
      <c r="A2883" s="71" t="s">
        <v>227</v>
      </c>
      <c r="B2883" s="71" t="s">
        <v>228</v>
      </c>
      <c r="C2883" s="71" t="s">
        <v>187</v>
      </c>
      <c r="D2883" s="71" t="s">
        <v>229</v>
      </c>
      <c r="E2883" s="71" t="s">
        <v>39</v>
      </c>
      <c r="F2883" s="71" t="s">
        <v>298</v>
      </c>
      <c r="G2883" s="88">
        <v>46274.315381944398</v>
      </c>
      <c r="H2883" s="89">
        <v>46274</v>
      </c>
      <c r="I2883" s="71" t="s">
        <v>373</v>
      </c>
      <c r="J2883" s="71">
        <v>-26</v>
      </c>
      <c r="K2883" s="71" t="s">
        <v>302</v>
      </c>
      <c r="L2883" s="71">
        <f t="shared" si="405"/>
        <v>9</v>
      </c>
      <c r="M2883" s="71" t="str">
        <f>IFERROR(INDEX(KALENDER!$D$3:$D$132,MATCH(H2883,KALENDER!$A$3:$A$132,0)),"Di luar periode")</f>
        <v>Hari Kerja</v>
      </c>
      <c r="N2883" s="71">
        <f t="shared" si="406"/>
        <v>1</v>
      </c>
      <c r="O2883" s="71">
        <f t="shared" si="407"/>
        <v>1</v>
      </c>
      <c r="P2883" s="71">
        <f t="shared" si="408"/>
        <v>1</v>
      </c>
      <c r="Q2883" s="71">
        <f t="shared" si="409"/>
        <v>0</v>
      </c>
      <c r="R2883" s="71">
        <f t="shared" si="410"/>
        <v>0</v>
      </c>
      <c r="S2883" s="71">
        <f t="shared" si="411"/>
        <v>0</v>
      </c>
      <c r="T2883" s="71">
        <f t="shared" si="412"/>
        <v>0</v>
      </c>
      <c r="U2883" s="71">
        <f>IF(AND(N2883=1,V2883=1),IF(COUNTIFS(AKTIVITAS!$B$2:$B$3052,B2883,AKTIVITAS!$E$2:$E$3052,H2883)&gt;0,1,0),0)</f>
        <v>1</v>
      </c>
      <c r="V2883" s="71">
        <f>IFERROR(IF(AND(H2883&gt;=INDEX(PEMAGANG!$J$3:$J$36,MATCH(B2883,PEMAGANG!$C$3:$C$36,0)),H2883&lt;=INDEX(PEMAGANG!$K$3:$K$36,MATCH(B2883,PEMAGANG!$C$3:$C$36,0))),1,0),0)</f>
        <v>1</v>
      </c>
      <c r="W2883" s="71">
        <f t="shared" si="413"/>
        <v>1</v>
      </c>
    </row>
    <row r="2884" spans="1:23" x14ac:dyDescent="0.2">
      <c r="A2884" s="71" t="s">
        <v>227</v>
      </c>
      <c r="B2884" s="71" t="s">
        <v>228</v>
      </c>
      <c r="C2884" s="71" t="s">
        <v>187</v>
      </c>
      <c r="D2884" s="71" t="s">
        <v>229</v>
      </c>
      <c r="E2884" s="71" t="s">
        <v>39</v>
      </c>
      <c r="F2884" s="71" t="s">
        <v>298</v>
      </c>
      <c r="G2884" s="88">
        <v>46274.315381944398</v>
      </c>
      <c r="H2884" s="89">
        <v>46274</v>
      </c>
      <c r="I2884" s="71" t="s">
        <v>373</v>
      </c>
      <c r="J2884" s="71">
        <v>3.9999999999999898</v>
      </c>
      <c r="K2884" s="71" t="s">
        <v>293</v>
      </c>
      <c r="L2884" s="71">
        <f t="shared" si="405"/>
        <v>9</v>
      </c>
      <c r="M2884" s="71" t="str">
        <f>IFERROR(INDEX(KALENDER!$D$3:$D$132,MATCH(H2884,KALENDER!$A$3:$A$132,0)),"Di luar periode")</f>
        <v>Hari Kerja</v>
      </c>
      <c r="N2884" s="71">
        <f t="shared" si="406"/>
        <v>0</v>
      </c>
      <c r="O2884" s="71">
        <f t="shared" si="407"/>
        <v>2</v>
      </c>
      <c r="P2884" s="71">
        <f t="shared" si="408"/>
        <v>0</v>
      </c>
      <c r="Q2884" s="71">
        <f t="shared" si="409"/>
        <v>0</v>
      </c>
      <c r="R2884" s="71">
        <f t="shared" si="410"/>
        <v>0</v>
      </c>
      <c r="S2884" s="71">
        <f t="shared" si="411"/>
        <v>0</v>
      </c>
      <c r="T2884" s="71">
        <f t="shared" si="412"/>
        <v>0</v>
      </c>
      <c r="U2884" s="71">
        <f>IF(AND(N2884=1,V2884=1),IF(COUNTIFS(AKTIVITAS!$B$2:$B$3052,B2884,AKTIVITAS!$E$2:$E$3052,H2884)&gt;0,1,0),0)</f>
        <v>0</v>
      </c>
      <c r="V2884" s="71">
        <f>IFERROR(IF(AND(H2884&gt;=INDEX(PEMAGANG!$J$3:$J$36,MATCH(B2884,PEMAGANG!$C$3:$C$36,0)),H2884&lt;=INDEX(PEMAGANG!$K$3:$K$36,MATCH(B2884,PEMAGANG!$C$3:$C$36,0))),1,0),0)</f>
        <v>1</v>
      </c>
      <c r="W2884" s="71">
        <f t="shared" si="413"/>
        <v>0</v>
      </c>
    </row>
    <row r="2885" spans="1:23" x14ac:dyDescent="0.2">
      <c r="A2885" s="71" t="s">
        <v>227</v>
      </c>
      <c r="B2885" s="71" t="s">
        <v>228</v>
      </c>
      <c r="C2885" s="71" t="s">
        <v>187</v>
      </c>
      <c r="D2885" s="71" t="s">
        <v>229</v>
      </c>
      <c r="E2885" s="71" t="s">
        <v>39</v>
      </c>
      <c r="F2885" s="71" t="s">
        <v>300</v>
      </c>
      <c r="G2885" s="88">
        <v>46274.6890740741</v>
      </c>
      <c r="H2885" s="89">
        <v>46274</v>
      </c>
      <c r="I2885" s="71" t="s">
        <v>306</v>
      </c>
      <c r="J2885" s="71">
        <v>0</v>
      </c>
      <c r="K2885" s="71" t="s">
        <v>302</v>
      </c>
      <c r="L2885" s="71">
        <f t="shared" si="405"/>
        <v>9</v>
      </c>
      <c r="M2885" s="71" t="str">
        <f>IFERROR(INDEX(KALENDER!$D$3:$D$132,MATCH(H2885,KALENDER!$A$3:$A$132,0)),"Di luar periode")</f>
        <v>Hari Kerja</v>
      </c>
      <c r="N2885" s="71">
        <f t="shared" si="406"/>
        <v>0</v>
      </c>
      <c r="O2885" s="71">
        <f t="shared" si="407"/>
        <v>2</v>
      </c>
      <c r="P2885" s="71">
        <f t="shared" si="408"/>
        <v>0</v>
      </c>
      <c r="Q2885" s="71">
        <f t="shared" si="409"/>
        <v>0</v>
      </c>
      <c r="R2885" s="71">
        <f t="shared" si="410"/>
        <v>0</v>
      </c>
      <c r="S2885" s="71">
        <f t="shared" si="411"/>
        <v>0</v>
      </c>
      <c r="T2885" s="71">
        <f t="shared" si="412"/>
        <v>0</v>
      </c>
      <c r="U2885" s="71">
        <f>IF(AND(N2885=1,V2885=1),IF(COUNTIFS(AKTIVITAS!$B$2:$B$3052,B2885,AKTIVITAS!$E$2:$E$3052,H2885)&gt;0,1,0),0)</f>
        <v>0</v>
      </c>
      <c r="V2885" s="71">
        <f>IFERROR(IF(AND(H2885&gt;=INDEX(PEMAGANG!$J$3:$J$36,MATCH(B2885,PEMAGANG!$C$3:$C$36,0)),H2885&lt;=INDEX(PEMAGANG!$K$3:$K$36,MATCH(B2885,PEMAGANG!$C$3:$C$36,0))),1,0),0)</f>
        <v>1</v>
      </c>
      <c r="W2885" s="71">
        <f t="shared" si="413"/>
        <v>0</v>
      </c>
    </row>
    <row r="2886" spans="1:23" x14ac:dyDescent="0.2">
      <c r="A2886" s="71" t="s">
        <v>227</v>
      </c>
      <c r="B2886" s="71" t="s">
        <v>228</v>
      </c>
      <c r="C2886" s="71" t="s">
        <v>187</v>
      </c>
      <c r="D2886" s="71" t="s">
        <v>229</v>
      </c>
      <c r="E2886" s="71" t="s">
        <v>39</v>
      </c>
      <c r="F2886" s="71" t="s">
        <v>298</v>
      </c>
      <c r="G2886" s="88">
        <v>46275.298726851899</v>
      </c>
      <c r="H2886" s="89">
        <v>46275</v>
      </c>
      <c r="I2886" s="71" t="s">
        <v>481</v>
      </c>
      <c r="J2886" s="71">
        <v>-50</v>
      </c>
      <c r="K2886" s="71" t="s">
        <v>302</v>
      </c>
      <c r="L2886" s="71">
        <f t="shared" si="405"/>
        <v>9</v>
      </c>
      <c r="M2886" s="71" t="str">
        <f>IFERROR(INDEX(KALENDER!$D$3:$D$132,MATCH(H2886,KALENDER!$A$3:$A$132,0)),"Di luar periode")</f>
        <v>Hari Kerja</v>
      </c>
      <c r="N2886" s="71">
        <f t="shared" si="406"/>
        <v>1</v>
      </c>
      <c r="O2886" s="71">
        <f t="shared" si="407"/>
        <v>1</v>
      </c>
      <c r="P2886" s="71">
        <f t="shared" si="408"/>
        <v>1</v>
      </c>
      <c r="Q2886" s="71">
        <f t="shared" si="409"/>
        <v>0</v>
      </c>
      <c r="R2886" s="71">
        <f t="shared" si="410"/>
        <v>0</v>
      </c>
      <c r="S2886" s="71">
        <f t="shared" si="411"/>
        <v>0</v>
      </c>
      <c r="T2886" s="71">
        <f t="shared" si="412"/>
        <v>0</v>
      </c>
      <c r="U2886" s="71">
        <f>IF(AND(N2886=1,V2886=1),IF(COUNTIFS(AKTIVITAS!$B$2:$B$3052,B2886,AKTIVITAS!$E$2:$E$3052,H2886)&gt;0,1,0),0)</f>
        <v>1</v>
      </c>
      <c r="V2886" s="71">
        <f>IFERROR(IF(AND(H2886&gt;=INDEX(PEMAGANG!$J$3:$J$36,MATCH(B2886,PEMAGANG!$C$3:$C$36,0)),H2886&lt;=INDEX(PEMAGANG!$K$3:$K$36,MATCH(B2886,PEMAGANG!$C$3:$C$36,0))),1,0),0)</f>
        <v>1</v>
      </c>
      <c r="W2886" s="71">
        <f t="shared" si="413"/>
        <v>1</v>
      </c>
    </row>
    <row r="2887" spans="1:23" x14ac:dyDescent="0.2">
      <c r="A2887" s="71" t="s">
        <v>227</v>
      </c>
      <c r="B2887" s="71" t="s">
        <v>228</v>
      </c>
      <c r="C2887" s="71" t="s">
        <v>187</v>
      </c>
      <c r="D2887" s="71" t="s">
        <v>229</v>
      </c>
      <c r="E2887" s="71" t="s">
        <v>39</v>
      </c>
      <c r="F2887" s="71" t="s">
        <v>298</v>
      </c>
      <c r="G2887" s="88">
        <v>46275.298726851899</v>
      </c>
      <c r="H2887" s="89">
        <v>46275</v>
      </c>
      <c r="I2887" s="71" t="s">
        <v>481</v>
      </c>
      <c r="J2887" s="71">
        <v>-20</v>
      </c>
      <c r="K2887" s="71" t="s">
        <v>302</v>
      </c>
      <c r="L2887" s="71">
        <f t="shared" si="405"/>
        <v>9</v>
      </c>
      <c r="M2887" s="71" t="str">
        <f>IFERROR(INDEX(KALENDER!$D$3:$D$132,MATCH(H2887,KALENDER!$A$3:$A$132,0)),"Di luar periode")</f>
        <v>Hari Kerja</v>
      </c>
      <c r="N2887" s="71">
        <f t="shared" si="406"/>
        <v>0</v>
      </c>
      <c r="O2887" s="71">
        <f t="shared" si="407"/>
        <v>2</v>
      </c>
      <c r="P2887" s="71">
        <f t="shared" si="408"/>
        <v>0</v>
      </c>
      <c r="Q2887" s="71">
        <f t="shared" si="409"/>
        <v>0</v>
      </c>
      <c r="R2887" s="71">
        <f t="shared" si="410"/>
        <v>0</v>
      </c>
      <c r="S2887" s="71">
        <f t="shared" si="411"/>
        <v>0</v>
      </c>
      <c r="T2887" s="71">
        <f t="shared" si="412"/>
        <v>0</v>
      </c>
      <c r="U2887" s="71">
        <f>IF(AND(N2887=1,V2887=1),IF(COUNTIFS(AKTIVITAS!$B$2:$B$3052,B2887,AKTIVITAS!$E$2:$E$3052,H2887)&gt;0,1,0),0)</f>
        <v>0</v>
      </c>
      <c r="V2887" s="71">
        <f>IFERROR(IF(AND(H2887&gt;=INDEX(PEMAGANG!$J$3:$J$36,MATCH(B2887,PEMAGANG!$C$3:$C$36,0)),H2887&lt;=INDEX(PEMAGANG!$K$3:$K$36,MATCH(B2887,PEMAGANG!$C$3:$C$36,0))),1,0),0)</f>
        <v>1</v>
      </c>
      <c r="W2887" s="71">
        <f t="shared" si="413"/>
        <v>0</v>
      </c>
    </row>
    <row r="2888" spans="1:23" x14ac:dyDescent="0.2">
      <c r="A2888" s="71" t="s">
        <v>227</v>
      </c>
      <c r="B2888" s="71" t="s">
        <v>228</v>
      </c>
      <c r="C2888" s="71" t="s">
        <v>187</v>
      </c>
      <c r="D2888" s="71" t="s">
        <v>229</v>
      </c>
      <c r="E2888" s="71" t="s">
        <v>39</v>
      </c>
      <c r="F2888" s="71" t="s">
        <v>300</v>
      </c>
      <c r="G2888" s="88">
        <v>46275.689421296302</v>
      </c>
      <c r="H2888" s="89">
        <v>46275</v>
      </c>
      <c r="I2888" s="71" t="s">
        <v>306</v>
      </c>
      <c r="J2888" s="71">
        <v>0</v>
      </c>
      <c r="K2888" s="71" t="s">
        <v>302</v>
      </c>
      <c r="L2888" s="71">
        <f t="shared" si="405"/>
        <v>9</v>
      </c>
      <c r="M2888" s="71" t="str">
        <f>IFERROR(INDEX(KALENDER!$D$3:$D$132,MATCH(H2888,KALENDER!$A$3:$A$132,0)),"Di luar periode")</f>
        <v>Hari Kerja</v>
      </c>
      <c r="N2888" s="71">
        <f t="shared" si="406"/>
        <v>0</v>
      </c>
      <c r="O2888" s="71">
        <f t="shared" si="407"/>
        <v>2</v>
      </c>
      <c r="P2888" s="71">
        <f t="shared" si="408"/>
        <v>0</v>
      </c>
      <c r="Q2888" s="71">
        <f t="shared" si="409"/>
        <v>0</v>
      </c>
      <c r="R2888" s="71">
        <f t="shared" si="410"/>
        <v>0</v>
      </c>
      <c r="S2888" s="71">
        <f t="shared" si="411"/>
        <v>0</v>
      </c>
      <c r="T2888" s="71">
        <f t="shared" si="412"/>
        <v>0</v>
      </c>
      <c r="U2888" s="71">
        <f>IF(AND(N2888=1,V2888=1),IF(COUNTIFS(AKTIVITAS!$B$2:$B$3052,B2888,AKTIVITAS!$E$2:$E$3052,H2888)&gt;0,1,0),0)</f>
        <v>0</v>
      </c>
      <c r="V2888" s="71">
        <f>IFERROR(IF(AND(H2888&gt;=INDEX(PEMAGANG!$J$3:$J$36,MATCH(B2888,PEMAGANG!$C$3:$C$36,0)),H2888&lt;=INDEX(PEMAGANG!$K$3:$K$36,MATCH(B2888,PEMAGANG!$C$3:$C$36,0))),1,0),0)</f>
        <v>1</v>
      </c>
      <c r="W2888" s="71">
        <f t="shared" si="413"/>
        <v>0</v>
      </c>
    </row>
    <row r="2889" spans="1:23" x14ac:dyDescent="0.2">
      <c r="A2889" s="71" t="s">
        <v>227</v>
      </c>
      <c r="B2889" s="71" t="s">
        <v>228</v>
      </c>
      <c r="C2889" s="71" t="s">
        <v>187</v>
      </c>
      <c r="D2889" s="71" t="s">
        <v>229</v>
      </c>
      <c r="E2889" s="71" t="s">
        <v>39</v>
      </c>
      <c r="F2889" s="71" t="s">
        <v>298</v>
      </c>
      <c r="G2889" s="88">
        <v>46276.299745370401</v>
      </c>
      <c r="H2889" s="89">
        <v>46276</v>
      </c>
      <c r="I2889" s="71" t="s">
        <v>402</v>
      </c>
      <c r="J2889" s="71">
        <v>-19</v>
      </c>
      <c r="K2889" s="71" t="s">
        <v>302</v>
      </c>
      <c r="L2889" s="71">
        <f t="shared" si="405"/>
        <v>9</v>
      </c>
      <c r="M2889" s="71" t="str">
        <f>IFERROR(INDEX(KALENDER!$D$3:$D$132,MATCH(H2889,KALENDER!$A$3:$A$132,0)),"Di luar periode")</f>
        <v>Hari Kerja</v>
      </c>
      <c r="N2889" s="71">
        <f t="shared" si="406"/>
        <v>1</v>
      </c>
      <c r="O2889" s="71">
        <f t="shared" si="407"/>
        <v>1</v>
      </c>
      <c r="P2889" s="71">
        <f t="shared" si="408"/>
        <v>1</v>
      </c>
      <c r="Q2889" s="71">
        <f t="shared" si="409"/>
        <v>0</v>
      </c>
      <c r="R2889" s="71">
        <f t="shared" si="410"/>
        <v>0</v>
      </c>
      <c r="S2889" s="71">
        <f t="shared" si="411"/>
        <v>0</v>
      </c>
      <c r="T2889" s="71">
        <f t="shared" si="412"/>
        <v>1</v>
      </c>
      <c r="U2889" s="71">
        <f>IF(AND(N2889=1,V2889=1),IF(COUNTIFS(AKTIVITAS!$B$2:$B$3052,B2889,AKTIVITAS!$E$2:$E$3052,H2889)&gt;0,1,0),0)</f>
        <v>1</v>
      </c>
      <c r="V2889" s="71">
        <f>IFERROR(IF(AND(H2889&gt;=INDEX(PEMAGANG!$J$3:$J$36,MATCH(B2889,PEMAGANG!$C$3:$C$36,0)),H2889&lt;=INDEX(PEMAGANG!$K$3:$K$36,MATCH(B2889,PEMAGANG!$C$3:$C$36,0))),1,0),0)</f>
        <v>1</v>
      </c>
      <c r="W2889" s="71">
        <f t="shared" si="413"/>
        <v>1</v>
      </c>
    </row>
    <row r="2890" spans="1:23" x14ac:dyDescent="0.2">
      <c r="A2890" s="71" t="s">
        <v>227</v>
      </c>
      <c r="B2890" s="71" t="s">
        <v>228</v>
      </c>
      <c r="C2890" s="71" t="s">
        <v>187</v>
      </c>
      <c r="D2890" s="71" t="s">
        <v>229</v>
      </c>
      <c r="E2890" s="71" t="s">
        <v>39</v>
      </c>
      <c r="F2890" s="71" t="s">
        <v>298</v>
      </c>
      <c r="G2890" s="88">
        <v>46279.3035648148</v>
      </c>
      <c r="H2890" s="89">
        <v>46279</v>
      </c>
      <c r="I2890" s="71" t="s">
        <v>331</v>
      </c>
      <c r="J2890" s="71">
        <v>-13</v>
      </c>
      <c r="K2890" s="71" t="s">
        <v>302</v>
      </c>
      <c r="L2890" s="71">
        <f t="shared" si="405"/>
        <v>9</v>
      </c>
      <c r="M2890" s="71" t="str">
        <f>IFERROR(INDEX(KALENDER!$D$3:$D$132,MATCH(H2890,KALENDER!$A$3:$A$132,0)),"Di luar periode")</f>
        <v>Hari Kerja</v>
      </c>
      <c r="N2890" s="71">
        <f t="shared" si="406"/>
        <v>1</v>
      </c>
      <c r="O2890" s="71">
        <f t="shared" si="407"/>
        <v>1</v>
      </c>
      <c r="P2890" s="71">
        <f t="shared" si="408"/>
        <v>1</v>
      </c>
      <c r="Q2890" s="71">
        <f t="shared" si="409"/>
        <v>0</v>
      </c>
      <c r="R2890" s="71">
        <f t="shared" si="410"/>
        <v>0</v>
      </c>
      <c r="S2890" s="71">
        <f t="shared" si="411"/>
        <v>0</v>
      </c>
      <c r="T2890" s="71">
        <f t="shared" si="412"/>
        <v>0</v>
      </c>
      <c r="U2890" s="71">
        <f>IF(AND(N2890=1,V2890=1),IF(COUNTIFS(AKTIVITAS!$B$2:$B$3052,B2890,AKTIVITAS!$E$2:$E$3052,H2890)&gt;0,1,0),0)</f>
        <v>1</v>
      </c>
      <c r="V2890" s="71">
        <f>IFERROR(IF(AND(H2890&gt;=INDEX(PEMAGANG!$J$3:$J$36,MATCH(B2890,PEMAGANG!$C$3:$C$36,0)),H2890&lt;=INDEX(PEMAGANG!$K$3:$K$36,MATCH(B2890,PEMAGANG!$C$3:$C$36,0))),1,0),0)</f>
        <v>1</v>
      </c>
      <c r="W2890" s="71">
        <f t="shared" si="413"/>
        <v>1</v>
      </c>
    </row>
    <row r="2891" spans="1:23" x14ac:dyDescent="0.2">
      <c r="A2891" s="71" t="s">
        <v>227</v>
      </c>
      <c r="B2891" s="71" t="s">
        <v>228</v>
      </c>
      <c r="C2891" s="71" t="s">
        <v>187</v>
      </c>
      <c r="D2891" s="71" t="s">
        <v>229</v>
      </c>
      <c r="E2891" s="71" t="s">
        <v>39</v>
      </c>
      <c r="F2891" s="71" t="s">
        <v>300</v>
      </c>
      <c r="G2891" s="88">
        <v>46279.6981018519</v>
      </c>
      <c r="H2891" s="89">
        <v>46279</v>
      </c>
      <c r="I2891" s="71" t="s">
        <v>318</v>
      </c>
      <c r="J2891" s="71">
        <v>0</v>
      </c>
      <c r="K2891" s="71" t="s">
        <v>302</v>
      </c>
      <c r="L2891" s="71">
        <f t="shared" si="405"/>
        <v>9</v>
      </c>
      <c r="M2891" s="71" t="str">
        <f>IFERROR(INDEX(KALENDER!$D$3:$D$132,MATCH(H2891,KALENDER!$A$3:$A$132,0)),"Di luar periode")</f>
        <v>Hari Kerja</v>
      </c>
      <c r="N2891" s="71">
        <f t="shared" si="406"/>
        <v>0</v>
      </c>
      <c r="O2891" s="71">
        <f t="shared" si="407"/>
        <v>1</v>
      </c>
      <c r="P2891" s="71">
        <f t="shared" si="408"/>
        <v>0</v>
      </c>
      <c r="Q2891" s="71">
        <f t="shared" si="409"/>
        <v>0</v>
      </c>
      <c r="R2891" s="71">
        <f t="shared" si="410"/>
        <v>0</v>
      </c>
      <c r="S2891" s="71">
        <f t="shared" si="411"/>
        <v>0</v>
      </c>
      <c r="T2891" s="71">
        <f t="shared" si="412"/>
        <v>0</v>
      </c>
      <c r="U2891" s="71">
        <f>IF(AND(N2891=1,V2891=1),IF(COUNTIFS(AKTIVITAS!$B$2:$B$3052,B2891,AKTIVITAS!$E$2:$E$3052,H2891)&gt;0,1,0),0)</f>
        <v>0</v>
      </c>
      <c r="V2891" s="71">
        <f>IFERROR(IF(AND(H2891&gt;=INDEX(PEMAGANG!$J$3:$J$36,MATCH(B2891,PEMAGANG!$C$3:$C$36,0)),H2891&lt;=INDEX(PEMAGANG!$K$3:$K$36,MATCH(B2891,PEMAGANG!$C$3:$C$36,0))),1,0),0)</f>
        <v>1</v>
      </c>
      <c r="W2891" s="71">
        <f t="shared" si="413"/>
        <v>0</v>
      </c>
    </row>
    <row r="2892" spans="1:23" x14ac:dyDescent="0.2">
      <c r="A2892" s="71" t="s">
        <v>227</v>
      </c>
      <c r="B2892" s="71" t="s">
        <v>228</v>
      </c>
      <c r="C2892" s="71" t="s">
        <v>187</v>
      </c>
      <c r="D2892" s="71" t="s">
        <v>229</v>
      </c>
      <c r="E2892" s="71" t="s">
        <v>39</v>
      </c>
      <c r="F2892" s="71" t="s">
        <v>298</v>
      </c>
      <c r="G2892" s="88">
        <v>46280.302650463003</v>
      </c>
      <c r="H2892" s="89">
        <v>46280</v>
      </c>
      <c r="I2892" s="71" t="s">
        <v>370</v>
      </c>
      <c r="J2892" s="71">
        <v>-15</v>
      </c>
      <c r="K2892" s="71" t="s">
        <v>302</v>
      </c>
      <c r="L2892" s="71">
        <f t="shared" si="405"/>
        <v>9</v>
      </c>
      <c r="M2892" s="71" t="str">
        <f>IFERROR(INDEX(KALENDER!$D$3:$D$132,MATCH(H2892,KALENDER!$A$3:$A$132,0)),"Di luar periode")</f>
        <v>Hari Kerja</v>
      </c>
      <c r="N2892" s="71">
        <f t="shared" si="406"/>
        <v>1</v>
      </c>
      <c r="O2892" s="71">
        <f t="shared" si="407"/>
        <v>1</v>
      </c>
      <c r="P2892" s="71">
        <f t="shared" si="408"/>
        <v>1</v>
      </c>
      <c r="Q2892" s="71">
        <f t="shared" si="409"/>
        <v>0</v>
      </c>
      <c r="R2892" s="71">
        <f t="shared" si="410"/>
        <v>0</v>
      </c>
      <c r="S2892" s="71">
        <f t="shared" si="411"/>
        <v>0</v>
      </c>
      <c r="T2892" s="71">
        <f t="shared" si="412"/>
        <v>0</v>
      </c>
      <c r="U2892" s="71">
        <f>IF(AND(N2892=1,V2892=1),IF(COUNTIFS(AKTIVITAS!$B$2:$B$3052,B2892,AKTIVITAS!$E$2:$E$3052,H2892)&gt;0,1,0),0)</f>
        <v>1</v>
      </c>
      <c r="V2892" s="71">
        <f>IFERROR(IF(AND(H2892&gt;=INDEX(PEMAGANG!$J$3:$J$36,MATCH(B2892,PEMAGANG!$C$3:$C$36,0)),H2892&lt;=INDEX(PEMAGANG!$K$3:$K$36,MATCH(B2892,PEMAGANG!$C$3:$C$36,0))),1,0),0)</f>
        <v>1</v>
      </c>
      <c r="W2892" s="71">
        <f t="shared" si="413"/>
        <v>1</v>
      </c>
    </row>
    <row r="2893" spans="1:23" x14ac:dyDescent="0.2">
      <c r="A2893" s="71" t="s">
        <v>227</v>
      </c>
      <c r="B2893" s="71" t="s">
        <v>228</v>
      </c>
      <c r="C2893" s="71" t="s">
        <v>187</v>
      </c>
      <c r="D2893" s="71" t="s">
        <v>229</v>
      </c>
      <c r="E2893" s="71" t="s">
        <v>39</v>
      </c>
      <c r="F2893" s="71" t="s">
        <v>300</v>
      </c>
      <c r="G2893" s="88">
        <v>46280.689699074101</v>
      </c>
      <c r="H2893" s="89">
        <v>46280</v>
      </c>
      <c r="I2893" s="71" t="s">
        <v>316</v>
      </c>
      <c r="J2893" s="71">
        <v>0</v>
      </c>
      <c r="K2893" s="71" t="s">
        <v>302</v>
      </c>
      <c r="L2893" s="71">
        <f t="shared" si="405"/>
        <v>9</v>
      </c>
      <c r="M2893" s="71" t="str">
        <f>IFERROR(INDEX(KALENDER!$D$3:$D$132,MATCH(H2893,KALENDER!$A$3:$A$132,0)),"Di luar periode")</f>
        <v>Hari Kerja</v>
      </c>
      <c r="N2893" s="71">
        <f t="shared" si="406"/>
        <v>0</v>
      </c>
      <c r="O2893" s="71">
        <f t="shared" si="407"/>
        <v>1</v>
      </c>
      <c r="P2893" s="71">
        <f t="shared" si="408"/>
        <v>0</v>
      </c>
      <c r="Q2893" s="71">
        <f t="shared" si="409"/>
        <v>0</v>
      </c>
      <c r="R2893" s="71">
        <f t="shared" si="410"/>
        <v>0</v>
      </c>
      <c r="S2893" s="71">
        <f t="shared" si="411"/>
        <v>0</v>
      </c>
      <c r="T2893" s="71">
        <f t="shared" si="412"/>
        <v>0</v>
      </c>
      <c r="U2893" s="71">
        <f>IF(AND(N2893=1,V2893=1),IF(COUNTIFS(AKTIVITAS!$B$2:$B$3052,B2893,AKTIVITAS!$E$2:$E$3052,H2893)&gt;0,1,0),0)</f>
        <v>0</v>
      </c>
      <c r="V2893" s="71">
        <f>IFERROR(IF(AND(H2893&gt;=INDEX(PEMAGANG!$J$3:$J$36,MATCH(B2893,PEMAGANG!$C$3:$C$36,0)),H2893&lt;=INDEX(PEMAGANG!$K$3:$K$36,MATCH(B2893,PEMAGANG!$C$3:$C$36,0))),1,0),0)</f>
        <v>1</v>
      </c>
      <c r="W2893" s="71">
        <f t="shared" si="413"/>
        <v>0</v>
      </c>
    </row>
    <row r="2894" spans="1:23" x14ac:dyDescent="0.2">
      <c r="A2894" s="71" t="s">
        <v>227</v>
      </c>
      <c r="B2894" s="71" t="s">
        <v>228</v>
      </c>
      <c r="C2894" s="71" t="s">
        <v>187</v>
      </c>
      <c r="D2894" s="71" t="s">
        <v>229</v>
      </c>
      <c r="E2894" s="71" t="s">
        <v>39</v>
      </c>
      <c r="F2894" s="71" t="s">
        <v>298</v>
      </c>
      <c r="G2894" s="88">
        <v>46281.299918981502</v>
      </c>
      <c r="H2894" s="89">
        <v>46281</v>
      </c>
      <c r="I2894" s="71" t="s">
        <v>402</v>
      </c>
      <c r="J2894" s="71">
        <v>-19</v>
      </c>
      <c r="K2894" s="71" t="s">
        <v>302</v>
      </c>
      <c r="L2894" s="71">
        <f t="shared" si="405"/>
        <v>9</v>
      </c>
      <c r="M2894" s="71" t="str">
        <f>IFERROR(INDEX(KALENDER!$D$3:$D$132,MATCH(H2894,KALENDER!$A$3:$A$132,0)),"Di luar periode")</f>
        <v>Hari Kerja</v>
      </c>
      <c r="N2894" s="71">
        <f t="shared" si="406"/>
        <v>1</v>
      </c>
      <c r="O2894" s="71">
        <f t="shared" si="407"/>
        <v>1</v>
      </c>
      <c r="P2894" s="71">
        <f t="shared" si="408"/>
        <v>1</v>
      </c>
      <c r="Q2894" s="71">
        <f t="shared" si="409"/>
        <v>0</v>
      </c>
      <c r="R2894" s="71">
        <f t="shared" si="410"/>
        <v>0</v>
      </c>
      <c r="S2894" s="71">
        <f t="shared" si="411"/>
        <v>0</v>
      </c>
      <c r="T2894" s="71">
        <f t="shared" si="412"/>
        <v>0</v>
      </c>
      <c r="U2894" s="71">
        <f>IF(AND(N2894=1,V2894=1),IF(COUNTIFS(AKTIVITAS!$B$2:$B$3052,B2894,AKTIVITAS!$E$2:$E$3052,H2894)&gt;0,1,0),0)</f>
        <v>1</v>
      </c>
      <c r="V2894" s="71">
        <f>IFERROR(IF(AND(H2894&gt;=INDEX(PEMAGANG!$J$3:$J$36,MATCH(B2894,PEMAGANG!$C$3:$C$36,0)),H2894&lt;=INDEX(PEMAGANG!$K$3:$K$36,MATCH(B2894,PEMAGANG!$C$3:$C$36,0))),1,0),0)</f>
        <v>1</v>
      </c>
      <c r="W2894" s="71">
        <f t="shared" si="413"/>
        <v>1</v>
      </c>
    </row>
    <row r="2895" spans="1:23" x14ac:dyDescent="0.2">
      <c r="A2895" s="71" t="s">
        <v>227</v>
      </c>
      <c r="B2895" s="71" t="s">
        <v>228</v>
      </c>
      <c r="C2895" s="71" t="s">
        <v>187</v>
      </c>
      <c r="D2895" s="71" t="s">
        <v>229</v>
      </c>
      <c r="E2895" s="71" t="s">
        <v>39</v>
      </c>
      <c r="F2895" s="71" t="s">
        <v>300</v>
      </c>
      <c r="G2895" s="88">
        <v>46281.689004629603</v>
      </c>
      <c r="H2895" s="89">
        <v>46281</v>
      </c>
      <c r="I2895" s="71" t="s">
        <v>306</v>
      </c>
      <c r="J2895" s="71">
        <v>0</v>
      </c>
      <c r="K2895" s="71" t="s">
        <v>302</v>
      </c>
      <c r="L2895" s="71">
        <f t="shared" si="405"/>
        <v>9</v>
      </c>
      <c r="M2895" s="71" t="str">
        <f>IFERROR(INDEX(KALENDER!$D$3:$D$132,MATCH(H2895,KALENDER!$A$3:$A$132,0)),"Di luar periode")</f>
        <v>Hari Kerja</v>
      </c>
      <c r="N2895" s="71">
        <f t="shared" si="406"/>
        <v>0</v>
      </c>
      <c r="O2895" s="71">
        <f t="shared" si="407"/>
        <v>1</v>
      </c>
      <c r="P2895" s="71">
        <f t="shared" si="408"/>
        <v>0</v>
      </c>
      <c r="Q2895" s="71">
        <f t="shared" si="409"/>
        <v>0</v>
      </c>
      <c r="R2895" s="71">
        <f t="shared" si="410"/>
        <v>0</v>
      </c>
      <c r="S2895" s="71">
        <f t="shared" si="411"/>
        <v>0</v>
      </c>
      <c r="T2895" s="71">
        <f t="shared" si="412"/>
        <v>0</v>
      </c>
      <c r="U2895" s="71">
        <f>IF(AND(N2895=1,V2895=1),IF(COUNTIFS(AKTIVITAS!$B$2:$B$3052,B2895,AKTIVITAS!$E$2:$E$3052,H2895)&gt;0,1,0),0)</f>
        <v>0</v>
      </c>
      <c r="V2895" s="71">
        <f>IFERROR(IF(AND(H2895&gt;=INDEX(PEMAGANG!$J$3:$J$36,MATCH(B2895,PEMAGANG!$C$3:$C$36,0)),H2895&lt;=INDEX(PEMAGANG!$K$3:$K$36,MATCH(B2895,PEMAGANG!$C$3:$C$36,0))),1,0),0)</f>
        <v>1</v>
      </c>
      <c r="W2895" s="71">
        <f t="shared" si="413"/>
        <v>0</v>
      </c>
    </row>
    <row r="2896" spans="1:23" x14ac:dyDescent="0.2">
      <c r="A2896" s="71" t="s">
        <v>227</v>
      </c>
      <c r="B2896" s="71" t="s">
        <v>228</v>
      </c>
      <c r="C2896" s="71" t="s">
        <v>187</v>
      </c>
      <c r="D2896" s="71" t="s">
        <v>229</v>
      </c>
      <c r="E2896" s="71" t="s">
        <v>39</v>
      </c>
      <c r="F2896" s="71" t="s">
        <v>298</v>
      </c>
      <c r="G2896" s="88">
        <v>46282.308680555601</v>
      </c>
      <c r="H2896" s="89">
        <v>46282</v>
      </c>
      <c r="I2896" s="71" t="s">
        <v>303</v>
      </c>
      <c r="J2896" s="71">
        <v>-5.9999999999999796</v>
      </c>
      <c r="K2896" s="71" t="s">
        <v>302</v>
      </c>
      <c r="L2896" s="71">
        <f t="shared" si="405"/>
        <v>9</v>
      </c>
      <c r="M2896" s="71" t="str">
        <f>IFERROR(INDEX(KALENDER!$D$3:$D$132,MATCH(H2896,KALENDER!$A$3:$A$132,0)),"Di luar periode")</f>
        <v>Hari Kerja</v>
      </c>
      <c r="N2896" s="71">
        <f t="shared" si="406"/>
        <v>1</v>
      </c>
      <c r="O2896" s="71">
        <f t="shared" si="407"/>
        <v>1</v>
      </c>
      <c r="P2896" s="71">
        <f t="shared" si="408"/>
        <v>1</v>
      </c>
      <c r="Q2896" s="71">
        <f t="shared" si="409"/>
        <v>0</v>
      </c>
      <c r="R2896" s="71">
        <f t="shared" si="410"/>
        <v>0</v>
      </c>
      <c r="S2896" s="71">
        <f t="shared" si="411"/>
        <v>0</v>
      </c>
      <c r="T2896" s="71">
        <f t="shared" si="412"/>
        <v>0</v>
      </c>
      <c r="U2896" s="71">
        <f>IF(AND(N2896=1,V2896=1),IF(COUNTIFS(AKTIVITAS!$B$2:$B$3052,B2896,AKTIVITAS!$E$2:$E$3052,H2896)&gt;0,1,0),0)</f>
        <v>1</v>
      </c>
      <c r="V2896" s="71">
        <f>IFERROR(IF(AND(H2896&gt;=INDEX(PEMAGANG!$J$3:$J$36,MATCH(B2896,PEMAGANG!$C$3:$C$36,0)),H2896&lt;=INDEX(PEMAGANG!$K$3:$K$36,MATCH(B2896,PEMAGANG!$C$3:$C$36,0))),1,0),0)</f>
        <v>1</v>
      </c>
      <c r="W2896" s="71">
        <f t="shared" si="413"/>
        <v>1</v>
      </c>
    </row>
    <row r="2897" spans="1:23" x14ac:dyDescent="0.2">
      <c r="A2897" s="71" t="s">
        <v>227</v>
      </c>
      <c r="B2897" s="71" t="s">
        <v>228</v>
      </c>
      <c r="C2897" s="71" t="s">
        <v>187</v>
      </c>
      <c r="D2897" s="71" t="s">
        <v>229</v>
      </c>
      <c r="E2897" s="71" t="s">
        <v>39</v>
      </c>
      <c r="F2897" s="71" t="s">
        <v>300</v>
      </c>
      <c r="G2897" s="88">
        <v>46282.691388888903</v>
      </c>
      <c r="H2897" s="89">
        <v>46282</v>
      </c>
      <c r="I2897" s="71" t="s">
        <v>310</v>
      </c>
      <c r="J2897" s="71">
        <v>0</v>
      </c>
      <c r="K2897" s="71" t="s">
        <v>302</v>
      </c>
      <c r="L2897" s="71">
        <f t="shared" si="405"/>
        <v>9</v>
      </c>
      <c r="M2897" s="71" t="str">
        <f>IFERROR(INDEX(KALENDER!$D$3:$D$132,MATCH(H2897,KALENDER!$A$3:$A$132,0)),"Di luar periode")</f>
        <v>Hari Kerja</v>
      </c>
      <c r="N2897" s="71">
        <f t="shared" si="406"/>
        <v>0</v>
      </c>
      <c r="O2897" s="71">
        <f t="shared" si="407"/>
        <v>1</v>
      </c>
      <c r="P2897" s="71">
        <f t="shared" si="408"/>
        <v>0</v>
      </c>
      <c r="Q2897" s="71">
        <f t="shared" si="409"/>
        <v>0</v>
      </c>
      <c r="R2897" s="71">
        <f t="shared" si="410"/>
        <v>0</v>
      </c>
      <c r="S2897" s="71">
        <f t="shared" si="411"/>
        <v>0</v>
      </c>
      <c r="T2897" s="71">
        <f t="shared" si="412"/>
        <v>0</v>
      </c>
      <c r="U2897" s="71">
        <f>IF(AND(N2897=1,V2897=1),IF(COUNTIFS(AKTIVITAS!$B$2:$B$3052,B2897,AKTIVITAS!$E$2:$E$3052,H2897)&gt;0,1,0),0)</f>
        <v>0</v>
      </c>
      <c r="V2897" s="71">
        <f>IFERROR(IF(AND(H2897&gt;=INDEX(PEMAGANG!$J$3:$J$36,MATCH(B2897,PEMAGANG!$C$3:$C$36,0)),H2897&lt;=INDEX(PEMAGANG!$K$3:$K$36,MATCH(B2897,PEMAGANG!$C$3:$C$36,0))),1,0),0)</f>
        <v>1</v>
      </c>
      <c r="W2897" s="71">
        <f t="shared" si="413"/>
        <v>0</v>
      </c>
    </row>
    <row r="2898" spans="1:23" x14ac:dyDescent="0.2">
      <c r="A2898" s="71" t="s">
        <v>227</v>
      </c>
      <c r="B2898" s="71" t="s">
        <v>228</v>
      </c>
      <c r="C2898" s="71" t="s">
        <v>187</v>
      </c>
      <c r="D2898" s="71" t="s">
        <v>229</v>
      </c>
      <c r="E2898" s="71" t="s">
        <v>39</v>
      </c>
      <c r="F2898" s="71" t="s">
        <v>298</v>
      </c>
      <c r="G2898" s="88">
        <v>46283.309513888897</v>
      </c>
      <c r="H2898" s="89">
        <v>46283</v>
      </c>
      <c r="I2898" s="71" t="s">
        <v>307</v>
      </c>
      <c r="J2898" s="71">
        <v>-4.9999999999999796</v>
      </c>
      <c r="K2898" s="71" t="s">
        <v>302</v>
      </c>
      <c r="L2898" s="71">
        <f t="shared" si="405"/>
        <v>9</v>
      </c>
      <c r="M2898" s="71" t="str">
        <f>IFERROR(INDEX(KALENDER!$D$3:$D$132,MATCH(H2898,KALENDER!$A$3:$A$132,0)),"Di luar periode")</f>
        <v>Hari Kerja</v>
      </c>
      <c r="N2898" s="71">
        <f t="shared" si="406"/>
        <v>1</v>
      </c>
      <c r="O2898" s="71">
        <f t="shared" si="407"/>
        <v>1</v>
      </c>
      <c r="P2898" s="71">
        <f t="shared" si="408"/>
        <v>1</v>
      </c>
      <c r="Q2898" s="71">
        <f t="shared" si="409"/>
        <v>0</v>
      </c>
      <c r="R2898" s="71">
        <f t="shared" si="410"/>
        <v>0</v>
      </c>
      <c r="S2898" s="71">
        <f t="shared" si="411"/>
        <v>0</v>
      </c>
      <c r="T2898" s="71">
        <f t="shared" si="412"/>
        <v>0</v>
      </c>
      <c r="U2898" s="71">
        <f>IF(AND(N2898=1,V2898=1),IF(COUNTIFS(AKTIVITAS!$B$2:$B$3052,B2898,AKTIVITAS!$E$2:$E$3052,H2898)&gt;0,1,0),0)</f>
        <v>1</v>
      </c>
      <c r="V2898" s="71">
        <f>IFERROR(IF(AND(H2898&gt;=INDEX(PEMAGANG!$J$3:$J$36,MATCH(B2898,PEMAGANG!$C$3:$C$36,0)),H2898&lt;=INDEX(PEMAGANG!$K$3:$K$36,MATCH(B2898,PEMAGANG!$C$3:$C$36,0))),1,0),0)</f>
        <v>1</v>
      </c>
      <c r="W2898" s="71">
        <f t="shared" si="413"/>
        <v>1</v>
      </c>
    </row>
    <row r="2899" spans="1:23" x14ac:dyDescent="0.2">
      <c r="A2899" s="71" t="s">
        <v>227</v>
      </c>
      <c r="B2899" s="71" t="s">
        <v>228</v>
      </c>
      <c r="C2899" s="71" t="s">
        <v>187</v>
      </c>
      <c r="D2899" s="71" t="s">
        <v>229</v>
      </c>
      <c r="E2899" s="71" t="s">
        <v>39</v>
      </c>
      <c r="F2899" s="71" t="s">
        <v>300</v>
      </c>
      <c r="G2899" s="88">
        <v>46283.727557870399</v>
      </c>
      <c r="H2899" s="89">
        <v>46283</v>
      </c>
      <c r="I2899" s="71" t="s">
        <v>389</v>
      </c>
      <c r="J2899" s="71">
        <v>0</v>
      </c>
      <c r="K2899" s="71" t="s">
        <v>302</v>
      </c>
      <c r="L2899" s="71">
        <f t="shared" si="405"/>
        <v>9</v>
      </c>
      <c r="M2899" s="71" t="str">
        <f>IFERROR(INDEX(KALENDER!$D$3:$D$132,MATCH(H2899,KALENDER!$A$3:$A$132,0)),"Di luar periode")</f>
        <v>Hari Kerja</v>
      </c>
      <c r="N2899" s="71">
        <f t="shared" si="406"/>
        <v>0</v>
      </c>
      <c r="O2899" s="71">
        <f t="shared" si="407"/>
        <v>1</v>
      </c>
      <c r="P2899" s="71">
        <f t="shared" si="408"/>
        <v>0</v>
      </c>
      <c r="Q2899" s="71">
        <f t="shared" si="409"/>
        <v>0</v>
      </c>
      <c r="R2899" s="71">
        <f t="shared" si="410"/>
        <v>0</v>
      </c>
      <c r="S2899" s="71">
        <f t="shared" si="411"/>
        <v>0</v>
      </c>
      <c r="T2899" s="71">
        <f t="shared" si="412"/>
        <v>0</v>
      </c>
      <c r="U2899" s="71">
        <f>IF(AND(N2899=1,V2899=1),IF(COUNTIFS(AKTIVITAS!$B$2:$B$3052,B2899,AKTIVITAS!$E$2:$E$3052,H2899)&gt;0,1,0),0)</f>
        <v>0</v>
      </c>
      <c r="V2899" s="71">
        <f>IFERROR(IF(AND(H2899&gt;=INDEX(PEMAGANG!$J$3:$J$36,MATCH(B2899,PEMAGANG!$C$3:$C$36,0)),H2899&lt;=INDEX(PEMAGANG!$K$3:$K$36,MATCH(B2899,PEMAGANG!$C$3:$C$36,0))),1,0),0)</f>
        <v>1</v>
      </c>
      <c r="W2899" s="71">
        <f t="shared" si="413"/>
        <v>0</v>
      </c>
    </row>
    <row r="2900" spans="1:23" x14ac:dyDescent="0.2">
      <c r="A2900" s="71" t="s">
        <v>227</v>
      </c>
      <c r="B2900" s="71" t="s">
        <v>228</v>
      </c>
      <c r="C2900" s="71" t="s">
        <v>187</v>
      </c>
      <c r="D2900" s="71" t="s">
        <v>229</v>
      </c>
      <c r="E2900" s="71" t="s">
        <v>39</v>
      </c>
      <c r="F2900" s="71" t="s">
        <v>298</v>
      </c>
      <c r="G2900" s="88">
        <v>46287.302893518499</v>
      </c>
      <c r="H2900" s="89">
        <v>46287</v>
      </c>
      <c r="I2900" s="71" t="s">
        <v>327</v>
      </c>
      <c r="J2900" s="71">
        <v>-14</v>
      </c>
      <c r="K2900" s="71" t="s">
        <v>302</v>
      </c>
      <c r="L2900" s="71">
        <f t="shared" si="405"/>
        <v>9</v>
      </c>
      <c r="M2900" s="71" t="str">
        <f>IFERROR(INDEX(KALENDER!$D$3:$D$132,MATCH(H2900,KALENDER!$A$3:$A$132,0)),"Di luar periode")</f>
        <v>Hari Kerja</v>
      </c>
      <c r="N2900" s="71">
        <f t="shared" si="406"/>
        <v>1</v>
      </c>
      <c r="O2900" s="71">
        <f t="shared" si="407"/>
        <v>1</v>
      </c>
      <c r="P2900" s="71">
        <f t="shared" si="408"/>
        <v>1</v>
      </c>
      <c r="Q2900" s="71">
        <f t="shared" si="409"/>
        <v>0</v>
      </c>
      <c r="R2900" s="71">
        <f t="shared" si="410"/>
        <v>0</v>
      </c>
      <c r="S2900" s="71">
        <f t="shared" si="411"/>
        <v>0</v>
      </c>
      <c r="T2900" s="71">
        <f t="shared" si="412"/>
        <v>0</v>
      </c>
      <c r="U2900" s="71">
        <f>IF(AND(N2900=1,V2900=1),IF(COUNTIFS(AKTIVITAS!$B$2:$B$3052,B2900,AKTIVITAS!$E$2:$E$3052,H2900)&gt;0,1,0),0)</f>
        <v>1</v>
      </c>
      <c r="V2900" s="71">
        <f>IFERROR(IF(AND(H2900&gt;=INDEX(PEMAGANG!$J$3:$J$36,MATCH(B2900,PEMAGANG!$C$3:$C$36,0)),H2900&lt;=INDEX(PEMAGANG!$K$3:$K$36,MATCH(B2900,PEMAGANG!$C$3:$C$36,0))),1,0),0)</f>
        <v>1</v>
      </c>
      <c r="W2900" s="71">
        <f t="shared" si="413"/>
        <v>1</v>
      </c>
    </row>
    <row r="2901" spans="1:23" x14ac:dyDescent="0.2">
      <c r="A2901" s="71" t="s">
        <v>227</v>
      </c>
      <c r="B2901" s="71" t="s">
        <v>228</v>
      </c>
      <c r="C2901" s="71" t="s">
        <v>187</v>
      </c>
      <c r="D2901" s="71" t="s">
        <v>229</v>
      </c>
      <c r="E2901" s="71" t="s">
        <v>39</v>
      </c>
      <c r="F2901" s="71" t="s">
        <v>300</v>
      </c>
      <c r="G2901" s="88">
        <v>46287.691111111097</v>
      </c>
      <c r="H2901" s="89">
        <v>46287</v>
      </c>
      <c r="I2901" s="71" t="s">
        <v>310</v>
      </c>
      <c r="J2901" s="71">
        <v>0</v>
      </c>
      <c r="K2901" s="71" t="s">
        <v>302</v>
      </c>
      <c r="L2901" s="71">
        <f t="shared" si="405"/>
        <v>9</v>
      </c>
      <c r="M2901" s="71" t="str">
        <f>IFERROR(INDEX(KALENDER!$D$3:$D$132,MATCH(H2901,KALENDER!$A$3:$A$132,0)),"Di luar periode")</f>
        <v>Hari Kerja</v>
      </c>
      <c r="N2901" s="71">
        <f t="shared" si="406"/>
        <v>0</v>
      </c>
      <c r="O2901" s="71">
        <f t="shared" si="407"/>
        <v>1</v>
      </c>
      <c r="P2901" s="71">
        <f t="shared" si="408"/>
        <v>0</v>
      </c>
      <c r="Q2901" s="71">
        <f t="shared" si="409"/>
        <v>0</v>
      </c>
      <c r="R2901" s="71">
        <f t="shared" si="410"/>
        <v>0</v>
      </c>
      <c r="S2901" s="71">
        <f t="shared" si="411"/>
        <v>0</v>
      </c>
      <c r="T2901" s="71">
        <f t="shared" si="412"/>
        <v>0</v>
      </c>
      <c r="U2901" s="71">
        <f>IF(AND(N2901=1,V2901=1),IF(COUNTIFS(AKTIVITAS!$B$2:$B$3052,B2901,AKTIVITAS!$E$2:$E$3052,H2901)&gt;0,1,0),0)</f>
        <v>0</v>
      </c>
      <c r="V2901" s="71">
        <f>IFERROR(IF(AND(H2901&gt;=INDEX(PEMAGANG!$J$3:$J$36,MATCH(B2901,PEMAGANG!$C$3:$C$36,0)),H2901&lt;=INDEX(PEMAGANG!$K$3:$K$36,MATCH(B2901,PEMAGANG!$C$3:$C$36,0))),1,0),0)</f>
        <v>1</v>
      </c>
      <c r="W2901" s="71">
        <f t="shared" si="413"/>
        <v>0</v>
      </c>
    </row>
    <row r="2902" spans="1:23" x14ac:dyDescent="0.2">
      <c r="A2902" s="71" t="s">
        <v>227</v>
      </c>
      <c r="B2902" s="71" t="s">
        <v>228</v>
      </c>
      <c r="C2902" s="71" t="s">
        <v>187</v>
      </c>
      <c r="D2902" s="71" t="s">
        <v>229</v>
      </c>
      <c r="E2902" s="71" t="s">
        <v>39</v>
      </c>
      <c r="F2902" s="71" t="s">
        <v>298</v>
      </c>
      <c r="G2902" s="88">
        <v>46288.302534722199</v>
      </c>
      <c r="H2902" s="89">
        <v>46288</v>
      </c>
      <c r="I2902" s="71" t="s">
        <v>370</v>
      </c>
      <c r="J2902" s="71">
        <v>-15</v>
      </c>
      <c r="K2902" s="71" t="s">
        <v>302</v>
      </c>
      <c r="L2902" s="71">
        <f t="shared" si="405"/>
        <v>9</v>
      </c>
      <c r="M2902" s="71" t="str">
        <f>IFERROR(INDEX(KALENDER!$D$3:$D$132,MATCH(H2902,KALENDER!$A$3:$A$132,0)),"Di luar periode")</f>
        <v>Hari Kerja</v>
      </c>
      <c r="N2902" s="71">
        <f t="shared" si="406"/>
        <v>1</v>
      </c>
      <c r="O2902" s="71">
        <f t="shared" si="407"/>
        <v>1</v>
      </c>
      <c r="P2902" s="71">
        <f t="shared" si="408"/>
        <v>1</v>
      </c>
      <c r="Q2902" s="71">
        <f t="shared" si="409"/>
        <v>0</v>
      </c>
      <c r="R2902" s="71">
        <f t="shared" si="410"/>
        <v>0</v>
      </c>
      <c r="S2902" s="71">
        <f t="shared" si="411"/>
        <v>0</v>
      </c>
      <c r="T2902" s="71">
        <f t="shared" si="412"/>
        <v>0</v>
      </c>
      <c r="U2902" s="71">
        <f>IF(AND(N2902=1,V2902=1),IF(COUNTIFS(AKTIVITAS!$B$2:$B$3052,B2902,AKTIVITAS!$E$2:$E$3052,H2902)&gt;0,1,0),0)</f>
        <v>1</v>
      </c>
      <c r="V2902" s="71">
        <f>IFERROR(IF(AND(H2902&gt;=INDEX(PEMAGANG!$J$3:$J$36,MATCH(B2902,PEMAGANG!$C$3:$C$36,0)),H2902&lt;=INDEX(PEMAGANG!$K$3:$K$36,MATCH(B2902,PEMAGANG!$C$3:$C$36,0))),1,0),0)</f>
        <v>1</v>
      </c>
      <c r="W2902" s="71">
        <f t="shared" si="413"/>
        <v>1</v>
      </c>
    </row>
    <row r="2903" spans="1:23" x14ac:dyDescent="0.2">
      <c r="A2903" s="71" t="s">
        <v>227</v>
      </c>
      <c r="B2903" s="71" t="s">
        <v>228</v>
      </c>
      <c r="C2903" s="71" t="s">
        <v>187</v>
      </c>
      <c r="D2903" s="71" t="s">
        <v>229</v>
      </c>
      <c r="E2903" s="71" t="s">
        <v>39</v>
      </c>
      <c r="F2903" s="71" t="s">
        <v>300</v>
      </c>
      <c r="G2903" s="88">
        <v>46288.6879513889</v>
      </c>
      <c r="H2903" s="89">
        <v>46288</v>
      </c>
      <c r="I2903" s="71" t="s">
        <v>330</v>
      </c>
      <c r="J2903" s="71">
        <v>0</v>
      </c>
      <c r="K2903" s="71" t="s">
        <v>302</v>
      </c>
      <c r="L2903" s="71">
        <f t="shared" si="405"/>
        <v>9</v>
      </c>
      <c r="M2903" s="71" t="str">
        <f>IFERROR(INDEX(KALENDER!$D$3:$D$132,MATCH(H2903,KALENDER!$A$3:$A$132,0)),"Di luar periode")</f>
        <v>Hari Kerja</v>
      </c>
      <c r="N2903" s="71">
        <f t="shared" si="406"/>
        <v>0</v>
      </c>
      <c r="O2903" s="71">
        <f t="shared" si="407"/>
        <v>1</v>
      </c>
      <c r="P2903" s="71">
        <f t="shared" si="408"/>
        <v>0</v>
      </c>
      <c r="Q2903" s="71">
        <f t="shared" si="409"/>
        <v>0</v>
      </c>
      <c r="R2903" s="71">
        <f t="shared" si="410"/>
        <v>0</v>
      </c>
      <c r="S2903" s="71">
        <f t="shared" si="411"/>
        <v>0</v>
      </c>
      <c r="T2903" s="71">
        <f t="shared" si="412"/>
        <v>0</v>
      </c>
      <c r="U2903" s="71">
        <f>IF(AND(N2903=1,V2903=1),IF(COUNTIFS(AKTIVITAS!$B$2:$B$3052,B2903,AKTIVITAS!$E$2:$E$3052,H2903)&gt;0,1,0),0)</f>
        <v>0</v>
      </c>
      <c r="V2903" s="71">
        <f>IFERROR(IF(AND(H2903&gt;=INDEX(PEMAGANG!$J$3:$J$36,MATCH(B2903,PEMAGANG!$C$3:$C$36,0)),H2903&lt;=INDEX(PEMAGANG!$K$3:$K$36,MATCH(B2903,PEMAGANG!$C$3:$C$36,0))),1,0),0)</f>
        <v>1</v>
      </c>
      <c r="W2903" s="71">
        <f t="shared" si="413"/>
        <v>0</v>
      </c>
    </row>
    <row r="2904" spans="1:23" x14ac:dyDescent="0.2">
      <c r="A2904" s="71" t="s">
        <v>227</v>
      </c>
      <c r="B2904" s="71" t="s">
        <v>228</v>
      </c>
      <c r="C2904" s="71" t="s">
        <v>187</v>
      </c>
      <c r="D2904" s="71" t="s">
        <v>229</v>
      </c>
      <c r="E2904" s="71" t="s">
        <v>39</v>
      </c>
      <c r="F2904" s="71" t="s">
        <v>298</v>
      </c>
      <c r="G2904" s="88">
        <v>46289.304467592599</v>
      </c>
      <c r="H2904" s="89">
        <v>46289</v>
      </c>
      <c r="I2904" s="71" t="s">
        <v>326</v>
      </c>
      <c r="J2904" s="71">
        <v>-12</v>
      </c>
      <c r="K2904" s="71" t="s">
        <v>302</v>
      </c>
      <c r="L2904" s="71">
        <f t="shared" si="405"/>
        <v>9</v>
      </c>
      <c r="M2904" s="71" t="str">
        <f>IFERROR(INDEX(KALENDER!$D$3:$D$132,MATCH(H2904,KALENDER!$A$3:$A$132,0)),"Di luar periode")</f>
        <v>Hari Kerja</v>
      </c>
      <c r="N2904" s="71">
        <f t="shared" si="406"/>
        <v>1</v>
      </c>
      <c r="O2904" s="71">
        <f t="shared" si="407"/>
        <v>1</v>
      </c>
      <c r="P2904" s="71">
        <f t="shared" si="408"/>
        <v>1</v>
      </c>
      <c r="Q2904" s="71">
        <f t="shared" si="409"/>
        <v>0</v>
      </c>
      <c r="R2904" s="71">
        <f t="shared" si="410"/>
        <v>0</v>
      </c>
      <c r="S2904" s="71">
        <f t="shared" si="411"/>
        <v>0</v>
      </c>
      <c r="T2904" s="71">
        <f t="shared" si="412"/>
        <v>0</v>
      </c>
      <c r="U2904" s="71">
        <f>IF(AND(N2904=1,V2904=1),IF(COUNTIFS(AKTIVITAS!$B$2:$B$3052,B2904,AKTIVITAS!$E$2:$E$3052,H2904)&gt;0,1,0),0)</f>
        <v>1</v>
      </c>
      <c r="V2904" s="71">
        <f>IFERROR(IF(AND(H2904&gt;=INDEX(PEMAGANG!$J$3:$J$36,MATCH(B2904,PEMAGANG!$C$3:$C$36,0)),H2904&lt;=INDEX(PEMAGANG!$K$3:$K$36,MATCH(B2904,PEMAGANG!$C$3:$C$36,0))),1,0),0)</f>
        <v>1</v>
      </c>
      <c r="W2904" s="71">
        <f t="shared" si="413"/>
        <v>1</v>
      </c>
    </row>
    <row r="2905" spans="1:23" x14ac:dyDescent="0.2">
      <c r="A2905" s="71" t="s">
        <v>227</v>
      </c>
      <c r="B2905" s="71" t="s">
        <v>228</v>
      </c>
      <c r="C2905" s="71" t="s">
        <v>187</v>
      </c>
      <c r="D2905" s="71" t="s">
        <v>229</v>
      </c>
      <c r="E2905" s="71" t="s">
        <v>39</v>
      </c>
      <c r="F2905" s="71" t="s">
        <v>300</v>
      </c>
      <c r="G2905" s="88">
        <v>46289.6887152778</v>
      </c>
      <c r="H2905" s="89">
        <v>46289</v>
      </c>
      <c r="I2905" s="71" t="s">
        <v>336</v>
      </c>
      <c r="J2905" s="71">
        <v>0</v>
      </c>
      <c r="K2905" s="71" t="s">
        <v>302</v>
      </c>
      <c r="L2905" s="71">
        <f t="shared" si="405"/>
        <v>9</v>
      </c>
      <c r="M2905" s="71" t="str">
        <f>IFERROR(INDEX(KALENDER!$D$3:$D$132,MATCH(H2905,KALENDER!$A$3:$A$132,0)),"Di luar periode")</f>
        <v>Hari Kerja</v>
      </c>
      <c r="N2905" s="71">
        <f t="shared" si="406"/>
        <v>0</v>
      </c>
      <c r="O2905" s="71">
        <f t="shared" si="407"/>
        <v>1</v>
      </c>
      <c r="P2905" s="71">
        <f t="shared" si="408"/>
        <v>0</v>
      </c>
      <c r="Q2905" s="71">
        <f t="shared" si="409"/>
        <v>0</v>
      </c>
      <c r="R2905" s="71">
        <f t="shared" si="410"/>
        <v>0</v>
      </c>
      <c r="S2905" s="71">
        <f t="shared" si="411"/>
        <v>0</v>
      </c>
      <c r="T2905" s="71">
        <f t="shared" si="412"/>
        <v>0</v>
      </c>
      <c r="U2905" s="71">
        <f>IF(AND(N2905=1,V2905=1),IF(COUNTIFS(AKTIVITAS!$B$2:$B$3052,B2905,AKTIVITAS!$E$2:$E$3052,H2905)&gt;0,1,0),0)</f>
        <v>0</v>
      </c>
      <c r="V2905" s="71">
        <f>IFERROR(IF(AND(H2905&gt;=INDEX(PEMAGANG!$J$3:$J$36,MATCH(B2905,PEMAGANG!$C$3:$C$36,0)),H2905&lt;=INDEX(PEMAGANG!$K$3:$K$36,MATCH(B2905,PEMAGANG!$C$3:$C$36,0))),1,0),0)</f>
        <v>1</v>
      </c>
      <c r="W2905" s="71">
        <f t="shared" si="413"/>
        <v>0</v>
      </c>
    </row>
    <row r="2906" spans="1:23" x14ac:dyDescent="0.2">
      <c r="A2906" s="71" t="s">
        <v>227</v>
      </c>
      <c r="B2906" s="71" t="s">
        <v>228</v>
      </c>
      <c r="C2906" s="71" t="s">
        <v>187</v>
      </c>
      <c r="D2906" s="71" t="s">
        <v>229</v>
      </c>
      <c r="E2906" s="71" t="s">
        <v>39</v>
      </c>
      <c r="F2906" s="71" t="s">
        <v>298</v>
      </c>
      <c r="G2906" s="88">
        <v>46290.300613425898</v>
      </c>
      <c r="H2906" s="89">
        <v>46290</v>
      </c>
      <c r="I2906" s="71" t="s">
        <v>478</v>
      </c>
      <c r="J2906" s="71">
        <v>-18</v>
      </c>
      <c r="K2906" s="71" t="s">
        <v>302</v>
      </c>
      <c r="L2906" s="71">
        <f t="shared" si="405"/>
        <v>9</v>
      </c>
      <c r="M2906" s="71" t="str">
        <f>IFERROR(INDEX(KALENDER!$D$3:$D$132,MATCH(H2906,KALENDER!$A$3:$A$132,0)),"Di luar periode")</f>
        <v>Hari Kerja</v>
      </c>
      <c r="N2906" s="71">
        <f t="shared" si="406"/>
        <v>1</v>
      </c>
      <c r="O2906" s="71">
        <f t="shared" si="407"/>
        <v>1</v>
      </c>
      <c r="P2906" s="71">
        <f t="shared" si="408"/>
        <v>1</v>
      </c>
      <c r="Q2906" s="71">
        <f t="shared" si="409"/>
        <v>0</v>
      </c>
      <c r="R2906" s="71">
        <f t="shared" si="410"/>
        <v>0</v>
      </c>
      <c r="S2906" s="71">
        <f t="shared" si="411"/>
        <v>0</v>
      </c>
      <c r="T2906" s="71">
        <f t="shared" si="412"/>
        <v>1</v>
      </c>
      <c r="U2906" s="71">
        <f>IF(AND(N2906=1,V2906=1),IF(COUNTIFS(AKTIVITAS!$B$2:$B$3052,B2906,AKTIVITAS!$E$2:$E$3052,H2906)&gt;0,1,0),0)</f>
        <v>1</v>
      </c>
      <c r="V2906" s="71">
        <f>IFERROR(IF(AND(H2906&gt;=INDEX(PEMAGANG!$J$3:$J$36,MATCH(B2906,PEMAGANG!$C$3:$C$36,0)),H2906&lt;=INDEX(PEMAGANG!$K$3:$K$36,MATCH(B2906,PEMAGANG!$C$3:$C$36,0))),1,0),0)</f>
        <v>1</v>
      </c>
      <c r="W2906" s="71">
        <f t="shared" si="413"/>
        <v>1</v>
      </c>
    </row>
    <row r="2907" spans="1:23" x14ac:dyDescent="0.2">
      <c r="A2907" s="71" t="s">
        <v>227</v>
      </c>
      <c r="B2907" s="71" t="s">
        <v>228</v>
      </c>
      <c r="C2907" s="71" t="s">
        <v>187</v>
      </c>
      <c r="D2907" s="71" t="s">
        <v>229</v>
      </c>
      <c r="E2907" s="71" t="s">
        <v>39</v>
      </c>
      <c r="F2907" s="71" t="s">
        <v>298</v>
      </c>
      <c r="G2907" s="88">
        <v>46290.300625000003</v>
      </c>
      <c r="H2907" s="89">
        <v>46290</v>
      </c>
      <c r="I2907" s="71" t="s">
        <v>478</v>
      </c>
      <c r="J2907" s="71">
        <v>-18</v>
      </c>
      <c r="K2907" s="71" t="s">
        <v>302</v>
      </c>
      <c r="L2907" s="71">
        <f t="shared" si="405"/>
        <v>9</v>
      </c>
      <c r="M2907" s="71" t="str">
        <f>IFERROR(INDEX(KALENDER!$D$3:$D$132,MATCH(H2907,KALENDER!$A$3:$A$132,0)),"Di luar periode")</f>
        <v>Hari Kerja</v>
      </c>
      <c r="N2907" s="71">
        <f t="shared" si="406"/>
        <v>0</v>
      </c>
      <c r="O2907" s="71">
        <f t="shared" si="407"/>
        <v>2</v>
      </c>
      <c r="P2907" s="71">
        <f t="shared" si="408"/>
        <v>0</v>
      </c>
      <c r="Q2907" s="71">
        <f t="shared" si="409"/>
        <v>0</v>
      </c>
      <c r="R2907" s="71">
        <f t="shared" si="410"/>
        <v>0</v>
      </c>
      <c r="S2907" s="71">
        <f t="shared" si="411"/>
        <v>0</v>
      </c>
      <c r="T2907" s="71">
        <f t="shared" si="412"/>
        <v>0</v>
      </c>
      <c r="U2907" s="71">
        <f>IF(AND(N2907=1,V2907=1),IF(COUNTIFS(AKTIVITAS!$B$2:$B$3052,B2907,AKTIVITAS!$E$2:$E$3052,H2907)&gt;0,1,0),0)</f>
        <v>0</v>
      </c>
      <c r="V2907" s="71">
        <f>IFERROR(IF(AND(H2907&gt;=INDEX(PEMAGANG!$J$3:$J$36,MATCH(B2907,PEMAGANG!$C$3:$C$36,0)),H2907&lt;=INDEX(PEMAGANG!$K$3:$K$36,MATCH(B2907,PEMAGANG!$C$3:$C$36,0))),1,0),0)</f>
        <v>1</v>
      </c>
      <c r="W2907" s="71">
        <f t="shared" si="413"/>
        <v>0</v>
      </c>
    </row>
    <row r="2908" spans="1:23" x14ac:dyDescent="0.2">
      <c r="A2908" s="71" t="s">
        <v>202</v>
      </c>
      <c r="B2908" s="71" t="s">
        <v>203</v>
      </c>
      <c r="C2908" s="71" t="s">
        <v>187</v>
      </c>
      <c r="D2908" s="71" t="s">
        <v>204</v>
      </c>
      <c r="E2908" s="71" t="s">
        <v>692</v>
      </c>
      <c r="F2908" s="71" t="s">
        <v>298</v>
      </c>
      <c r="G2908" s="88">
        <v>46175.3123611111</v>
      </c>
      <c r="H2908" s="89">
        <v>46175</v>
      </c>
      <c r="I2908" s="71" t="s">
        <v>365</v>
      </c>
      <c r="J2908" s="71">
        <v>-0.999999999999996</v>
      </c>
      <c r="K2908" s="71" t="s">
        <v>302</v>
      </c>
      <c r="L2908" s="71">
        <f t="shared" si="405"/>
        <v>6</v>
      </c>
      <c r="M2908" s="71" t="str">
        <f>IFERROR(INDEX(KALENDER!$D$3:$D$132,MATCH(H2908,KALENDER!$A$3:$A$132,0)),"Di luar periode")</f>
        <v>Hari Kerja</v>
      </c>
      <c r="N2908" s="71">
        <f t="shared" si="406"/>
        <v>1</v>
      </c>
      <c r="O2908" s="71">
        <f t="shared" si="407"/>
        <v>1</v>
      </c>
      <c r="P2908" s="71">
        <f t="shared" si="408"/>
        <v>1</v>
      </c>
      <c r="Q2908" s="71">
        <f t="shared" si="409"/>
        <v>0</v>
      </c>
      <c r="R2908" s="71">
        <f t="shared" si="410"/>
        <v>0</v>
      </c>
      <c r="S2908" s="71">
        <f t="shared" si="411"/>
        <v>0</v>
      </c>
      <c r="T2908" s="71">
        <f t="shared" si="412"/>
        <v>1</v>
      </c>
      <c r="U2908" s="71">
        <f>IF(AND(N2908=1,V2908=1),IF(COUNTIFS(AKTIVITAS!$B$2:$B$3052,B2908,AKTIVITAS!$E$2:$E$3052,H2908)&gt;0,1,0),0)</f>
        <v>1</v>
      </c>
      <c r="V2908" s="71">
        <f>IFERROR(IF(AND(H2908&gt;=INDEX(PEMAGANG!$J$3:$J$36,MATCH(B2908,PEMAGANG!$C$3:$C$36,0)),H2908&lt;=INDEX(PEMAGANG!$K$3:$K$36,MATCH(B2908,PEMAGANG!$C$3:$C$36,0))),1,0),0)</f>
        <v>1</v>
      </c>
      <c r="W2908" s="71">
        <f t="shared" si="413"/>
        <v>1</v>
      </c>
    </row>
    <row r="2909" spans="1:23" x14ac:dyDescent="0.2">
      <c r="A2909" s="71" t="s">
        <v>202</v>
      </c>
      <c r="B2909" s="71" t="s">
        <v>203</v>
      </c>
      <c r="C2909" s="71" t="s">
        <v>187</v>
      </c>
      <c r="D2909" s="71" t="s">
        <v>204</v>
      </c>
      <c r="E2909" s="71" t="s">
        <v>692</v>
      </c>
      <c r="F2909" s="71" t="s">
        <v>298</v>
      </c>
      <c r="G2909" s="88">
        <v>46177.313090277799</v>
      </c>
      <c r="H2909" s="89">
        <v>46177</v>
      </c>
      <c r="I2909" s="71" t="s">
        <v>335</v>
      </c>
      <c r="J2909" s="71">
        <v>0</v>
      </c>
      <c r="K2909" s="71" t="s">
        <v>302</v>
      </c>
      <c r="L2909" s="71">
        <f t="shared" si="405"/>
        <v>6</v>
      </c>
      <c r="M2909" s="71" t="str">
        <f>IFERROR(INDEX(KALENDER!$D$3:$D$132,MATCH(H2909,KALENDER!$A$3:$A$132,0)),"Di luar periode")</f>
        <v>Hari Kerja</v>
      </c>
      <c r="N2909" s="71">
        <f t="shared" si="406"/>
        <v>1</v>
      </c>
      <c r="O2909" s="71">
        <f t="shared" si="407"/>
        <v>1</v>
      </c>
      <c r="P2909" s="71">
        <f t="shared" si="408"/>
        <v>1</v>
      </c>
      <c r="Q2909" s="71">
        <f t="shared" si="409"/>
        <v>0</v>
      </c>
      <c r="R2909" s="71">
        <f t="shared" si="410"/>
        <v>0</v>
      </c>
      <c r="S2909" s="71">
        <f t="shared" si="411"/>
        <v>0</v>
      </c>
      <c r="T2909" s="71">
        <f t="shared" si="412"/>
        <v>0</v>
      </c>
      <c r="U2909" s="71">
        <f>IF(AND(N2909=1,V2909=1),IF(COUNTIFS(AKTIVITAS!$B$2:$B$3052,B2909,AKTIVITAS!$E$2:$E$3052,H2909)&gt;0,1,0),0)</f>
        <v>1</v>
      </c>
      <c r="V2909" s="71">
        <f>IFERROR(IF(AND(H2909&gt;=INDEX(PEMAGANG!$J$3:$J$36,MATCH(B2909,PEMAGANG!$C$3:$C$36,0)),H2909&lt;=INDEX(PEMAGANG!$K$3:$K$36,MATCH(B2909,PEMAGANG!$C$3:$C$36,0))),1,0),0)</f>
        <v>1</v>
      </c>
      <c r="W2909" s="71">
        <f t="shared" si="413"/>
        <v>1</v>
      </c>
    </row>
    <row r="2910" spans="1:23" x14ac:dyDescent="0.2">
      <c r="A2910" s="71" t="s">
        <v>202</v>
      </c>
      <c r="B2910" s="71" t="s">
        <v>203</v>
      </c>
      <c r="C2910" s="71" t="s">
        <v>187</v>
      </c>
      <c r="D2910" s="71" t="s">
        <v>204</v>
      </c>
      <c r="E2910" s="71" t="s">
        <v>692</v>
      </c>
      <c r="F2910" s="71" t="s">
        <v>300</v>
      </c>
      <c r="G2910" s="88">
        <v>46177.696006944498</v>
      </c>
      <c r="H2910" s="89">
        <v>46177</v>
      </c>
      <c r="I2910" s="71" t="s">
        <v>320</v>
      </c>
      <c r="J2910" s="71">
        <v>0</v>
      </c>
      <c r="K2910" s="71" t="s">
        <v>302</v>
      </c>
      <c r="L2910" s="71">
        <f t="shared" si="405"/>
        <v>6</v>
      </c>
      <c r="M2910" s="71" t="str">
        <f>IFERROR(INDEX(KALENDER!$D$3:$D$132,MATCH(H2910,KALENDER!$A$3:$A$132,0)),"Di luar periode")</f>
        <v>Hari Kerja</v>
      </c>
      <c r="N2910" s="71">
        <f t="shared" si="406"/>
        <v>0</v>
      </c>
      <c r="O2910" s="71">
        <f t="shared" si="407"/>
        <v>1</v>
      </c>
      <c r="P2910" s="71">
        <f t="shared" si="408"/>
        <v>0</v>
      </c>
      <c r="Q2910" s="71">
        <f t="shared" si="409"/>
        <v>0</v>
      </c>
      <c r="R2910" s="71">
        <f t="shared" si="410"/>
        <v>0</v>
      </c>
      <c r="S2910" s="71">
        <f t="shared" si="411"/>
        <v>0</v>
      </c>
      <c r="T2910" s="71">
        <f t="shared" si="412"/>
        <v>0</v>
      </c>
      <c r="U2910" s="71">
        <f>IF(AND(N2910=1,V2910=1),IF(COUNTIFS(AKTIVITAS!$B$2:$B$3052,B2910,AKTIVITAS!$E$2:$E$3052,H2910)&gt;0,1,0),0)</f>
        <v>0</v>
      </c>
      <c r="V2910" s="71">
        <f>IFERROR(IF(AND(H2910&gt;=INDEX(PEMAGANG!$J$3:$J$36,MATCH(B2910,PEMAGANG!$C$3:$C$36,0)),H2910&lt;=INDEX(PEMAGANG!$K$3:$K$36,MATCH(B2910,PEMAGANG!$C$3:$C$36,0))),1,0),0)</f>
        <v>1</v>
      </c>
      <c r="W2910" s="71">
        <f t="shared" si="413"/>
        <v>0</v>
      </c>
    </row>
    <row r="2911" spans="1:23" x14ac:dyDescent="0.2">
      <c r="A2911" s="71" t="s">
        <v>202</v>
      </c>
      <c r="B2911" s="71" t="s">
        <v>203</v>
      </c>
      <c r="C2911" s="71" t="s">
        <v>187</v>
      </c>
      <c r="D2911" s="71" t="s">
        <v>204</v>
      </c>
      <c r="E2911" s="71" t="s">
        <v>692</v>
      </c>
      <c r="F2911" s="71" t="s">
        <v>298</v>
      </c>
      <c r="G2911" s="88">
        <v>46178.314513888901</v>
      </c>
      <c r="H2911" s="89">
        <v>46178</v>
      </c>
      <c r="I2911" s="71" t="s">
        <v>338</v>
      </c>
      <c r="J2911" s="71">
        <v>1.99999999999999</v>
      </c>
      <c r="K2911" s="71" t="s">
        <v>293</v>
      </c>
      <c r="L2911" s="71">
        <f t="shared" si="405"/>
        <v>6</v>
      </c>
      <c r="M2911" s="71" t="str">
        <f>IFERROR(INDEX(KALENDER!$D$3:$D$132,MATCH(H2911,KALENDER!$A$3:$A$132,0)),"Di luar periode")</f>
        <v>Hari Kerja</v>
      </c>
      <c r="N2911" s="71">
        <f t="shared" si="406"/>
        <v>1</v>
      </c>
      <c r="O2911" s="71">
        <f t="shared" si="407"/>
        <v>1</v>
      </c>
      <c r="P2911" s="71">
        <f t="shared" si="408"/>
        <v>1</v>
      </c>
      <c r="Q2911" s="71">
        <f t="shared" si="409"/>
        <v>0</v>
      </c>
      <c r="R2911" s="71">
        <f t="shared" si="410"/>
        <v>1</v>
      </c>
      <c r="S2911" s="71">
        <f t="shared" si="411"/>
        <v>1.99999999999999</v>
      </c>
      <c r="T2911" s="71">
        <f t="shared" si="412"/>
        <v>0</v>
      </c>
      <c r="U2911" s="71">
        <f>IF(AND(N2911=1,V2911=1),IF(COUNTIFS(AKTIVITAS!$B$2:$B$3052,B2911,AKTIVITAS!$E$2:$E$3052,H2911)&gt;0,1,0),0)</f>
        <v>0</v>
      </c>
      <c r="V2911" s="71">
        <f>IFERROR(IF(AND(H2911&gt;=INDEX(PEMAGANG!$J$3:$J$36,MATCH(B2911,PEMAGANG!$C$3:$C$36,0)),H2911&lt;=INDEX(PEMAGANG!$K$3:$K$36,MATCH(B2911,PEMAGANG!$C$3:$C$36,0))),1,0),0)</f>
        <v>1</v>
      </c>
      <c r="W2911" s="71">
        <f t="shared" si="413"/>
        <v>1</v>
      </c>
    </row>
    <row r="2912" spans="1:23" x14ac:dyDescent="0.2">
      <c r="A2912" s="71" t="s">
        <v>202</v>
      </c>
      <c r="B2912" s="71" t="s">
        <v>203</v>
      </c>
      <c r="C2912" s="71" t="s">
        <v>187</v>
      </c>
      <c r="D2912" s="71" t="s">
        <v>204</v>
      </c>
      <c r="E2912" s="71" t="s">
        <v>692</v>
      </c>
      <c r="F2912" s="71" t="s">
        <v>300</v>
      </c>
      <c r="G2912" s="88">
        <v>46178.728148148199</v>
      </c>
      <c r="H2912" s="89">
        <v>46178</v>
      </c>
      <c r="I2912" s="71" t="s">
        <v>391</v>
      </c>
      <c r="J2912" s="71">
        <v>0</v>
      </c>
      <c r="K2912" s="71" t="s">
        <v>302</v>
      </c>
      <c r="L2912" s="71">
        <f t="shared" si="405"/>
        <v>6</v>
      </c>
      <c r="M2912" s="71" t="str">
        <f>IFERROR(INDEX(KALENDER!$D$3:$D$132,MATCH(H2912,KALENDER!$A$3:$A$132,0)),"Di luar periode")</f>
        <v>Hari Kerja</v>
      </c>
      <c r="N2912" s="71">
        <f t="shared" si="406"/>
        <v>0</v>
      </c>
      <c r="O2912" s="71">
        <f t="shared" si="407"/>
        <v>1</v>
      </c>
      <c r="P2912" s="71">
        <f t="shared" si="408"/>
        <v>0</v>
      </c>
      <c r="Q2912" s="71">
        <f t="shared" si="409"/>
        <v>0</v>
      </c>
      <c r="R2912" s="71">
        <f t="shared" si="410"/>
        <v>0</v>
      </c>
      <c r="S2912" s="71">
        <f t="shared" si="411"/>
        <v>0</v>
      </c>
      <c r="T2912" s="71">
        <f t="shared" si="412"/>
        <v>0</v>
      </c>
      <c r="U2912" s="71">
        <f>IF(AND(N2912=1,V2912=1),IF(COUNTIFS(AKTIVITAS!$B$2:$B$3052,B2912,AKTIVITAS!$E$2:$E$3052,H2912)&gt;0,1,0),0)</f>
        <v>0</v>
      </c>
      <c r="V2912" s="71">
        <f>IFERROR(IF(AND(H2912&gt;=INDEX(PEMAGANG!$J$3:$J$36,MATCH(B2912,PEMAGANG!$C$3:$C$36,0)),H2912&lt;=INDEX(PEMAGANG!$K$3:$K$36,MATCH(B2912,PEMAGANG!$C$3:$C$36,0))),1,0),0)</f>
        <v>1</v>
      </c>
      <c r="W2912" s="71">
        <f t="shared" si="413"/>
        <v>0</v>
      </c>
    </row>
    <row r="2913" spans="1:23" x14ac:dyDescent="0.2">
      <c r="A2913" s="71" t="s">
        <v>202</v>
      </c>
      <c r="B2913" s="71" t="s">
        <v>203</v>
      </c>
      <c r="C2913" s="71" t="s">
        <v>187</v>
      </c>
      <c r="D2913" s="71" t="s">
        <v>204</v>
      </c>
      <c r="E2913" s="71" t="s">
        <v>692</v>
      </c>
      <c r="F2913" s="71" t="s">
        <v>298</v>
      </c>
      <c r="G2913" s="88">
        <v>46181.3125925926</v>
      </c>
      <c r="H2913" s="89">
        <v>46181</v>
      </c>
      <c r="I2913" s="71" t="s">
        <v>335</v>
      </c>
      <c r="J2913" s="71">
        <v>0</v>
      </c>
      <c r="K2913" s="71" t="s">
        <v>302</v>
      </c>
      <c r="L2913" s="71">
        <f t="shared" si="405"/>
        <v>6</v>
      </c>
      <c r="M2913" s="71" t="str">
        <f>IFERROR(INDEX(KALENDER!$D$3:$D$132,MATCH(H2913,KALENDER!$A$3:$A$132,0)),"Di luar periode")</f>
        <v>Hari Kerja</v>
      </c>
      <c r="N2913" s="71">
        <f t="shared" si="406"/>
        <v>1</v>
      </c>
      <c r="O2913" s="71">
        <f t="shared" si="407"/>
        <v>1</v>
      </c>
      <c r="P2913" s="71">
        <f t="shared" si="408"/>
        <v>1</v>
      </c>
      <c r="Q2913" s="71">
        <f t="shared" si="409"/>
        <v>0</v>
      </c>
      <c r="R2913" s="71">
        <f t="shared" si="410"/>
        <v>0</v>
      </c>
      <c r="S2913" s="71">
        <f t="shared" si="411"/>
        <v>0</v>
      </c>
      <c r="T2913" s="71">
        <f t="shared" si="412"/>
        <v>0</v>
      </c>
      <c r="U2913" s="71">
        <f>IF(AND(N2913=1,V2913=1),IF(COUNTIFS(AKTIVITAS!$B$2:$B$3052,B2913,AKTIVITAS!$E$2:$E$3052,H2913)&gt;0,1,0),0)</f>
        <v>1</v>
      </c>
      <c r="V2913" s="71">
        <f>IFERROR(IF(AND(H2913&gt;=INDEX(PEMAGANG!$J$3:$J$36,MATCH(B2913,PEMAGANG!$C$3:$C$36,0)),H2913&lt;=INDEX(PEMAGANG!$K$3:$K$36,MATCH(B2913,PEMAGANG!$C$3:$C$36,0))),1,0),0)</f>
        <v>1</v>
      </c>
      <c r="W2913" s="71">
        <f t="shared" si="413"/>
        <v>1</v>
      </c>
    </row>
    <row r="2914" spans="1:23" x14ac:dyDescent="0.2">
      <c r="A2914" s="71" t="s">
        <v>202</v>
      </c>
      <c r="B2914" s="71" t="s">
        <v>203</v>
      </c>
      <c r="C2914" s="71" t="s">
        <v>187</v>
      </c>
      <c r="D2914" s="71" t="s">
        <v>204</v>
      </c>
      <c r="E2914" s="71" t="s">
        <v>692</v>
      </c>
      <c r="F2914" s="71" t="s">
        <v>300</v>
      </c>
      <c r="G2914" s="88">
        <v>46181.688564814802</v>
      </c>
      <c r="H2914" s="89">
        <v>46181</v>
      </c>
      <c r="I2914" s="71" t="s">
        <v>336</v>
      </c>
      <c r="J2914" s="71">
        <v>0</v>
      </c>
      <c r="K2914" s="71" t="s">
        <v>302</v>
      </c>
      <c r="L2914" s="71">
        <f t="shared" si="405"/>
        <v>6</v>
      </c>
      <c r="M2914" s="71" t="str">
        <f>IFERROR(INDEX(KALENDER!$D$3:$D$132,MATCH(H2914,KALENDER!$A$3:$A$132,0)),"Di luar periode")</f>
        <v>Hari Kerja</v>
      </c>
      <c r="N2914" s="71">
        <f t="shared" si="406"/>
        <v>0</v>
      </c>
      <c r="O2914" s="71">
        <f t="shared" si="407"/>
        <v>1</v>
      </c>
      <c r="P2914" s="71">
        <f t="shared" si="408"/>
        <v>0</v>
      </c>
      <c r="Q2914" s="71">
        <f t="shared" si="409"/>
        <v>0</v>
      </c>
      <c r="R2914" s="71">
        <f t="shared" si="410"/>
        <v>0</v>
      </c>
      <c r="S2914" s="71">
        <f t="shared" si="411"/>
        <v>0</v>
      </c>
      <c r="T2914" s="71">
        <f t="shared" si="412"/>
        <v>0</v>
      </c>
      <c r="U2914" s="71">
        <f>IF(AND(N2914=1,V2914=1),IF(COUNTIFS(AKTIVITAS!$B$2:$B$3052,B2914,AKTIVITAS!$E$2:$E$3052,H2914)&gt;0,1,0),0)</f>
        <v>0</v>
      </c>
      <c r="V2914" s="71">
        <f>IFERROR(IF(AND(H2914&gt;=INDEX(PEMAGANG!$J$3:$J$36,MATCH(B2914,PEMAGANG!$C$3:$C$36,0)),H2914&lt;=INDEX(PEMAGANG!$K$3:$K$36,MATCH(B2914,PEMAGANG!$C$3:$C$36,0))),1,0),0)</f>
        <v>1</v>
      </c>
      <c r="W2914" s="71">
        <f t="shared" si="413"/>
        <v>0</v>
      </c>
    </row>
    <row r="2915" spans="1:23" x14ac:dyDescent="0.2">
      <c r="A2915" s="71" t="s">
        <v>202</v>
      </c>
      <c r="B2915" s="71" t="s">
        <v>203</v>
      </c>
      <c r="C2915" s="71" t="s">
        <v>187</v>
      </c>
      <c r="D2915" s="71" t="s">
        <v>204</v>
      </c>
      <c r="E2915" s="71" t="s">
        <v>692</v>
      </c>
      <c r="F2915" s="71" t="s">
        <v>298</v>
      </c>
      <c r="G2915" s="88">
        <v>46182.316516203697</v>
      </c>
      <c r="H2915" s="89">
        <v>46182</v>
      </c>
      <c r="I2915" s="71" t="s">
        <v>339</v>
      </c>
      <c r="J2915" s="71">
        <v>4.9999999999999796</v>
      </c>
      <c r="K2915" s="71" t="s">
        <v>293</v>
      </c>
      <c r="L2915" s="71">
        <f t="shared" si="405"/>
        <v>6</v>
      </c>
      <c r="M2915" s="71" t="str">
        <f>IFERROR(INDEX(KALENDER!$D$3:$D$132,MATCH(H2915,KALENDER!$A$3:$A$132,0)),"Di luar periode")</f>
        <v>Hari Kerja</v>
      </c>
      <c r="N2915" s="71">
        <f t="shared" si="406"/>
        <v>1</v>
      </c>
      <c r="O2915" s="71">
        <f t="shared" si="407"/>
        <v>1</v>
      </c>
      <c r="P2915" s="71">
        <f t="shared" si="408"/>
        <v>1</v>
      </c>
      <c r="Q2915" s="71">
        <f t="shared" si="409"/>
        <v>0</v>
      </c>
      <c r="R2915" s="71">
        <f t="shared" si="410"/>
        <v>1</v>
      </c>
      <c r="S2915" s="71">
        <f t="shared" si="411"/>
        <v>4.9999999999999796</v>
      </c>
      <c r="T2915" s="71">
        <f t="shared" si="412"/>
        <v>0</v>
      </c>
      <c r="U2915" s="71">
        <f>IF(AND(N2915=1,V2915=1),IF(COUNTIFS(AKTIVITAS!$B$2:$B$3052,B2915,AKTIVITAS!$E$2:$E$3052,H2915)&gt;0,1,0),0)</f>
        <v>1</v>
      </c>
      <c r="V2915" s="71">
        <f>IFERROR(IF(AND(H2915&gt;=INDEX(PEMAGANG!$J$3:$J$36,MATCH(B2915,PEMAGANG!$C$3:$C$36,0)),H2915&lt;=INDEX(PEMAGANG!$K$3:$K$36,MATCH(B2915,PEMAGANG!$C$3:$C$36,0))),1,0),0)</f>
        <v>1</v>
      </c>
      <c r="W2915" s="71">
        <f t="shared" si="413"/>
        <v>1</v>
      </c>
    </row>
    <row r="2916" spans="1:23" x14ac:dyDescent="0.2">
      <c r="A2916" s="71" t="s">
        <v>202</v>
      </c>
      <c r="B2916" s="71" t="s">
        <v>203</v>
      </c>
      <c r="C2916" s="71" t="s">
        <v>187</v>
      </c>
      <c r="D2916" s="71" t="s">
        <v>204</v>
      </c>
      <c r="E2916" s="71" t="s">
        <v>692</v>
      </c>
      <c r="F2916" s="71" t="s">
        <v>300</v>
      </c>
      <c r="G2916" s="88">
        <v>46182.687847222202</v>
      </c>
      <c r="H2916" s="89">
        <v>46182</v>
      </c>
      <c r="I2916" s="71" t="s">
        <v>330</v>
      </c>
      <c r="J2916" s="71">
        <v>0</v>
      </c>
      <c r="K2916" s="71" t="s">
        <v>302</v>
      </c>
      <c r="L2916" s="71">
        <f t="shared" si="405"/>
        <v>6</v>
      </c>
      <c r="M2916" s="71" t="str">
        <f>IFERROR(INDEX(KALENDER!$D$3:$D$132,MATCH(H2916,KALENDER!$A$3:$A$132,0)),"Di luar periode")</f>
        <v>Hari Kerja</v>
      </c>
      <c r="N2916" s="71">
        <f t="shared" si="406"/>
        <v>0</v>
      </c>
      <c r="O2916" s="71">
        <f t="shared" si="407"/>
        <v>1</v>
      </c>
      <c r="P2916" s="71">
        <f t="shared" si="408"/>
        <v>0</v>
      </c>
      <c r="Q2916" s="71">
        <f t="shared" si="409"/>
        <v>0</v>
      </c>
      <c r="R2916" s="71">
        <f t="shared" si="410"/>
        <v>0</v>
      </c>
      <c r="S2916" s="71">
        <f t="shared" si="411"/>
        <v>0</v>
      </c>
      <c r="T2916" s="71">
        <f t="shared" si="412"/>
        <v>0</v>
      </c>
      <c r="U2916" s="71">
        <f>IF(AND(N2916=1,V2916=1),IF(COUNTIFS(AKTIVITAS!$B$2:$B$3052,B2916,AKTIVITAS!$E$2:$E$3052,H2916)&gt;0,1,0),0)</f>
        <v>0</v>
      </c>
      <c r="V2916" s="71">
        <f>IFERROR(IF(AND(H2916&gt;=INDEX(PEMAGANG!$J$3:$J$36,MATCH(B2916,PEMAGANG!$C$3:$C$36,0)),H2916&lt;=INDEX(PEMAGANG!$K$3:$K$36,MATCH(B2916,PEMAGANG!$C$3:$C$36,0))),1,0),0)</f>
        <v>1</v>
      </c>
      <c r="W2916" s="71">
        <f t="shared" si="413"/>
        <v>0</v>
      </c>
    </row>
    <row r="2917" spans="1:23" x14ac:dyDescent="0.2">
      <c r="A2917" s="71" t="s">
        <v>202</v>
      </c>
      <c r="B2917" s="71" t="s">
        <v>203</v>
      </c>
      <c r="C2917" s="71" t="s">
        <v>187</v>
      </c>
      <c r="D2917" s="71" t="s">
        <v>204</v>
      </c>
      <c r="E2917" s="71" t="s">
        <v>692</v>
      </c>
      <c r="F2917" s="71" t="s">
        <v>298</v>
      </c>
      <c r="G2917" s="88">
        <v>46183.312280092599</v>
      </c>
      <c r="H2917" s="89">
        <v>46183</v>
      </c>
      <c r="I2917" s="71" t="s">
        <v>365</v>
      </c>
      <c r="J2917" s="71">
        <v>-0.999999999999996</v>
      </c>
      <c r="K2917" s="71" t="s">
        <v>302</v>
      </c>
      <c r="L2917" s="71">
        <f t="shared" si="405"/>
        <v>6</v>
      </c>
      <c r="M2917" s="71" t="str">
        <f>IFERROR(INDEX(KALENDER!$D$3:$D$132,MATCH(H2917,KALENDER!$A$3:$A$132,0)),"Di luar periode")</f>
        <v>WFH</v>
      </c>
      <c r="N2917" s="71">
        <f t="shared" si="406"/>
        <v>1</v>
      </c>
      <c r="O2917" s="71">
        <f t="shared" si="407"/>
        <v>1</v>
      </c>
      <c r="P2917" s="71">
        <f t="shared" si="408"/>
        <v>0</v>
      </c>
      <c r="Q2917" s="71">
        <f t="shared" si="409"/>
        <v>1</v>
      </c>
      <c r="R2917" s="71">
        <f t="shared" si="410"/>
        <v>0</v>
      </c>
      <c r="S2917" s="71">
        <f t="shared" si="411"/>
        <v>0</v>
      </c>
      <c r="T2917" s="71">
        <f t="shared" si="412"/>
        <v>0</v>
      </c>
      <c r="U2917" s="71">
        <f>IF(AND(N2917=1,V2917=1),IF(COUNTIFS(AKTIVITAS!$B$2:$B$3052,B2917,AKTIVITAS!$E$2:$E$3052,H2917)&gt;0,1,0),0)</f>
        <v>1</v>
      </c>
      <c r="V2917" s="71">
        <f>IFERROR(IF(AND(H2917&gt;=INDEX(PEMAGANG!$J$3:$J$36,MATCH(B2917,PEMAGANG!$C$3:$C$36,0)),H2917&lt;=INDEX(PEMAGANG!$K$3:$K$36,MATCH(B2917,PEMAGANG!$C$3:$C$36,0))),1,0),0)</f>
        <v>1</v>
      </c>
      <c r="W2917" s="71">
        <f t="shared" si="413"/>
        <v>1</v>
      </c>
    </row>
    <row r="2918" spans="1:23" x14ac:dyDescent="0.2">
      <c r="A2918" s="71" t="s">
        <v>202</v>
      </c>
      <c r="B2918" s="71" t="s">
        <v>203</v>
      </c>
      <c r="C2918" s="71" t="s">
        <v>187</v>
      </c>
      <c r="D2918" s="71" t="s">
        <v>204</v>
      </c>
      <c r="E2918" s="71" t="s">
        <v>692</v>
      </c>
      <c r="F2918" s="71" t="s">
        <v>300</v>
      </c>
      <c r="G2918" s="88">
        <v>46183.701712962997</v>
      </c>
      <c r="H2918" s="89">
        <v>46183</v>
      </c>
      <c r="I2918" s="71" t="s">
        <v>334</v>
      </c>
      <c r="J2918" s="71">
        <v>0</v>
      </c>
      <c r="K2918" s="71" t="s">
        <v>302</v>
      </c>
      <c r="L2918" s="71">
        <f t="shared" si="405"/>
        <v>6</v>
      </c>
      <c r="M2918" s="71" t="str">
        <f>IFERROR(INDEX(KALENDER!$D$3:$D$132,MATCH(H2918,KALENDER!$A$3:$A$132,0)),"Di luar periode")</f>
        <v>WFH</v>
      </c>
      <c r="N2918" s="71">
        <f t="shared" si="406"/>
        <v>0</v>
      </c>
      <c r="O2918" s="71">
        <f t="shared" si="407"/>
        <v>1</v>
      </c>
      <c r="P2918" s="71">
        <f t="shared" si="408"/>
        <v>0</v>
      </c>
      <c r="Q2918" s="71">
        <f t="shared" si="409"/>
        <v>0</v>
      </c>
      <c r="R2918" s="71">
        <f t="shared" si="410"/>
        <v>0</v>
      </c>
      <c r="S2918" s="71">
        <f t="shared" si="411"/>
        <v>0</v>
      </c>
      <c r="T2918" s="71">
        <f t="shared" si="412"/>
        <v>0</v>
      </c>
      <c r="U2918" s="71">
        <f>IF(AND(N2918=1,V2918=1),IF(COUNTIFS(AKTIVITAS!$B$2:$B$3052,B2918,AKTIVITAS!$E$2:$E$3052,H2918)&gt;0,1,0),0)</f>
        <v>0</v>
      </c>
      <c r="V2918" s="71">
        <f>IFERROR(IF(AND(H2918&gt;=INDEX(PEMAGANG!$J$3:$J$36,MATCH(B2918,PEMAGANG!$C$3:$C$36,0)),H2918&lt;=INDEX(PEMAGANG!$K$3:$K$36,MATCH(B2918,PEMAGANG!$C$3:$C$36,0))),1,0),0)</f>
        <v>1</v>
      </c>
      <c r="W2918" s="71">
        <f t="shared" si="413"/>
        <v>0</v>
      </c>
    </row>
    <row r="2919" spans="1:23" x14ac:dyDescent="0.2">
      <c r="A2919" s="71" t="s">
        <v>202</v>
      </c>
      <c r="B2919" s="71" t="s">
        <v>203</v>
      </c>
      <c r="C2919" s="71" t="s">
        <v>187</v>
      </c>
      <c r="D2919" s="71" t="s">
        <v>204</v>
      </c>
      <c r="E2919" s="71" t="s">
        <v>692</v>
      </c>
      <c r="F2919" s="71" t="s">
        <v>298</v>
      </c>
      <c r="G2919" s="88">
        <v>46184.309386574103</v>
      </c>
      <c r="H2919" s="89">
        <v>46184</v>
      </c>
      <c r="I2919" s="71" t="s">
        <v>307</v>
      </c>
      <c r="J2919" s="71">
        <v>-4.9999999999999796</v>
      </c>
      <c r="K2919" s="71" t="s">
        <v>302</v>
      </c>
      <c r="L2919" s="71">
        <f t="shared" si="405"/>
        <v>6</v>
      </c>
      <c r="M2919" s="71" t="str">
        <f>IFERROR(INDEX(KALENDER!$D$3:$D$132,MATCH(H2919,KALENDER!$A$3:$A$132,0)),"Di luar periode")</f>
        <v>Hari Kerja</v>
      </c>
      <c r="N2919" s="71">
        <f t="shared" si="406"/>
        <v>1</v>
      </c>
      <c r="O2919" s="71">
        <f t="shared" si="407"/>
        <v>1</v>
      </c>
      <c r="P2919" s="71">
        <f t="shared" si="408"/>
        <v>1</v>
      </c>
      <c r="Q2919" s="71">
        <f t="shared" si="409"/>
        <v>0</v>
      </c>
      <c r="R2919" s="71">
        <f t="shared" si="410"/>
        <v>0</v>
      </c>
      <c r="S2919" s="71">
        <f t="shared" si="411"/>
        <v>0</v>
      </c>
      <c r="T2919" s="71">
        <f t="shared" si="412"/>
        <v>0</v>
      </c>
      <c r="U2919" s="71">
        <f>IF(AND(N2919=1,V2919=1),IF(COUNTIFS(AKTIVITAS!$B$2:$B$3052,B2919,AKTIVITAS!$E$2:$E$3052,H2919)&gt;0,1,0),0)</f>
        <v>1</v>
      </c>
      <c r="V2919" s="71">
        <f>IFERROR(IF(AND(H2919&gt;=INDEX(PEMAGANG!$J$3:$J$36,MATCH(B2919,PEMAGANG!$C$3:$C$36,0)),H2919&lt;=INDEX(PEMAGANG!$K$3:$K$36,MATCH(B2919,PEMAGANG!$C$3:$C$36,0))),1,0),0)</f>
        <v>1</v>
      </c>
      <c r="W2919" s="71">
        <f t="shared" si="413"/>
        <v>1</v>
      </c>
    </row>
    <row r="2920" spans="1:23" x14ac:dyDescent="0.2">
      <c r="A2920" s="71" t="s">
        <v>202</v>
      </c>
      <c r="B2920" s="71" t="s">
        <v>203</v>
      </c>
      <c r="C2920" s="71" t="s">
        <v>187</v>
      </c>
      <c r="D2920" s="71" t="s">
        <v>204</v>
      </c>
      <c r="E2920" s="71" t="s">
        <v>692</v>
      </c>
      <c r="F2920" s="71" t="s">
        <v>300</v>
      </c>
      <c r="G2920" s="88">
        <v>46184.706828703696</v>
      </c>
      <c r="H2920" s="89">
        <v>46184</v>
      </c>
      <c r="I2920" s="71" t="s">
        <v>671</v>
      </c>
      <c r="J2920" s="71">
        <v>0</v>
      </c>
      <c r="K2920" s="71" t="s">
        <v>302</v>
      </c>
      <c r="L2920" s="71">
        <f t="shared" si="405"/>
        <v>6</v>
      </c>
      <c r="M2920" s="71" t="str">
        <f>IFERROR(INDEX(KALENDER!$D$3:$D$132,MATCH(H2920,KALENDER!$A$3:$A$132,0)),"Di luar periode")</f>
        <v>Hari Kerja</v>
      </c>
      <c r="N2920" s="71">
        <f t="shared" si="406"/>
        <v>0</v>
      </c>
      <c r="O2920" s="71">
        <f t="shared" si="407"/>
        <v>1</v>
      </c>
      <c r="P2920" s="71">
        <f t="shared" si="408"/>
        <v>0</v>
      </c>
      <c r="Q2920" s="71">
        <f t="shared" si="409"/>
        <v>0</v>
      </c>
      <c r="R2920" s="71">
        <f t="shared" si="410"/>
        <v>0</v>
      </c>
      <c r="S2920" s="71">
        <f t="shared" si="411"/>
        <v>0</v>
      </c>
      <c r="T2920" s="71">
        <f t="shared" si="412"/>
        <v>0</v>
      </c>
      <c r="U2920" s="71">
        <f>IF(AND(N2920=1,V2920=1),IF(COUNTIFS(AKTIVITAS!$B$2:$B$3052,B2920,AKTIVITAS!$E$2:$E$3052,H2920)&gt;0,1,0),0)</f>
        <v>0</v>
      </c>
      <c r="V2920" s="71">
        <f>IFERROR(IF(AND(H2920&gt;=INDEX(PEMAGANG!$J$3:$J$36,MATCH(B2920,PEMAGANG!$C$3:$C$36,0)),H2920&lt;=INDEX(PEMAGANG!$K$3:$K$36,MATCH(B2920,PEMAGANG!$C$3:$C$36,0))),1,0),0)</f>
        <v>1</v>
      </c>
      <c r="W2920" s="71">
        <f t="shared" si="413"/>
        <v>0</v>
      </c>
    </row>
    <row r="2921" spans="1:23" x14ac:dyDescent="0.2">
      <c r="A2921" s="71" t="s">
        <v>202</v>
      </c>
      <c r="B2921" s="71" t="s">
        <v>203</v>
      </c>
      <c r="C2921" s="71" t="s">
        <v>187</v>
      </c>
      <c r="D2921" s="71" t="s">
        <v>204</v>
      </c>
      <c r="E2921" s="71" t="s">
        <v>692</v>
      </c>
      <c r="F2921" s="71" t="s">
        <v>298</v>
      </c>
      <c r="G2921" s="88">
        <v>46190.303553240701</v>
      </c>
      <c r="H2921" s="89">
        <v>46190</v>
      </c>
      <c r="I2921" s="71" t="s">
        <v>331</v>
      </c>
      <c r="J2921" s="71">
        <v>-13</v>
      </c>
      <c r="K2921" s="71" t="s">
        <v>302</v>
      </c>
      <c r="L2921" s="71">
        <f t="shared" si="405"/>
        <v>6</v>
      </c>
      <c r="M2921" s="71" t="str">
        <f>IFERROR(INDEX(KALENDER!$D$3:$D$132,MATCH(H2921,KALENDER!$A$3:$A$132,0)),"Di luar periode")</f>
        <v>WFH</v>
      </c>
      <c r="N2921" s="71">
        <f t="shared" si="406"/>
        <v>1</v>
      </c>
      <c r="O2921" s="71">
        <f t="shared" si="407"/>
        <v>1</v>
      </c>
      <c r="P2921" s="71">
        <f t="shared" si="408"/>
        <v>0</v>
      </c>
      <c r="Q2921" s="71">
        <f t="shared" si="409"/>
        <v>1</v>
      </c>
      <c r="R2921" s="71">
        <f t="shared" si="410"/>
        <v>0</v>
      </c>
      <c r="S2921" s="71">
        <f t="shared" si="411"/>
        <v>0</v>
      </c>
      <c r="T2921" s="71">
        <f t="shared" si="412"/>
        <v>0</v>
      </c>
      <c r="U2921" s="71">
        <f>IF(AND(N2921=1,V2921=1),IF(COUNTIFS(AKTIVITAS!$B$2:$B$3052,B2921,AKTIVITAS!$E$2:$E$3052,H2921)&gt;0,1,0),0)</f>
        <v>1</v>
      </c>
      <c r="V2921" s="71">
        <f>IFERROR(IF(AND(H2921&gt;=INDEX(PEMAGANG!$J$3:$J$36,MATCH(B2921,PEMAGANG!$C$3:$C$36,0)),H2921&lt;=INDEX(PEMAGANG!$K$3:$K$36,MATCH(B2921,PEMAGANG!$C$3:$C$36,0))),1,0),0)</f>
        <v>1</v>
      </c>
      <c r="W2921" s="71">
        <f t="shared" si="413"/>
        <v>1</v>
      </c>
    </row>
    <row r="2922" spans="1:23" x14ac:dyDescent="0.2">
      <c r="A2922" s="71" t="s">
        <v>202</v>
      </c>
      <c r="B2922" s="71" t="s">
        <v>203</v>
      </c>
      <c r="C2922" s="71" t="s">
        <v>187</v>
      </c>
      <c r="D2922" s="71" t="s">
        <v>204</v>
      </c>
      <c r="E2922" s="71" t="s">
        <v>692</v>
      </c>
      <c r="F2922" s="71" t="s">
        <v>300</v>
      </c>
      <c r="G2922" s="88">
        <v>46190.689178240696</v>
      </c>
      <c r="H2922" s="89">
        <v>46190</v>
      </c>
      <c r="I2922" s="71" t="s">
        <v>306</v>
      </c>
      <c r="J2922" s="71">
        <v>0</v>
      </c>
      <c r="K2922" s="71" t="s">
        <v>302</v>
      </c>
      <c r="L2922" s="71">
        <f t="shared" si="405"/>
        <v>6</v>
      </c>
      <c r="M2922" s="71" t="str">
        <f>IFERROR(INDEX(KALENDER!$D$3:$D$132,MATCH(H2922,KALENDER!$A$3:$A$132,0)),"Di luar periode")</f>
        <v>WFH</v>
      </c>
      <c r="N2922" s="71">
        <f t="shared" si="406"/>
        <v>0</v>
      </c>
      <c r="O2922" s="71">
        <f t="shared" si="407"/>
        <v>1</v>
      </c>
      <c r="P2922" s="71">
        <f t="shared" si="408"/>
        <v>0</v>
      </c>
      <c r="Q2922" s="71">
        <f t="shared" si="409"/>
        <v>0</v>
      </c>
      <c r="R2922" s="71">
        <f t="shared" si="410"/>
        <v>0</v>
      </c>
      <c r="S2922" s="71">
        <f t="shared" si="411"/>
        <v>0</v>
      </c>
      <c r="T2922" s="71">
        <f t="shared" si="412"/>
        <v>0</v>
      </c>
      <c r="U2922" s="71">
        <f>IF(AND(N2922=1,V2922=1),IF(COUNTIFS(AKTIVITAS!$B$2:$B$3052,B2922,AKTIVITAS!$E$2:$E$3052,H2922)&gt;0,1,0),0)</f>
        <v>0</v>
      </c>
      <c r="V2922" s="71">
        <f>IFERROR(IF(AND(H2922&gt;=INDEX(PEMAGANG!$J$3:$J$36,MATCH(B2922,PEMAGANG!$C$3:$C$36,0)),H2922&lt;=INDEX(PEMAGANG!$K$3:$K$36,MATCH(B2922,PEMAGANG!$C$3:$C$36,0))),1,0),0)</f>
        <v>1</v>
      </c>
      <c r="W2922" s="71">
        <f t="shared" si="413"/>
        <v>0</v>
      </c>
    </row>
    <row r="2923" spans="1:23" x14ac:dyDescent="0.2">
      <c r="A2923" s="71" t="s">
        <v>202</v>
      </c>
      <c r="B2923" s="71" t="s">
        <v>203</v>
      </c>
      <c r="C2923" s="71" t="s">
        <v>187</v>
      </c>
      <c r="D2923" s="71" t="s">
        <v>204</v>
      </c>
      <c r="E2923" s="71" t="s">
        <v>692</v>
      </c>
      <c r="F2923" s="71" t="s">
        <v>298</v>
      </c>
      <c r="G2923" s="88">
        <v>46191.299467592602</v>
      </c>
      <c r="H2923" s="89">
        <v>46191</v>
      </c>
      <c r="I2923" s="71" t="s">
        <v>402</v>
      </c>
      <c r="J2923" s="71">
        <v>-19</v>
      </c>
      <c r="K2923" s="71" t="s">
        <v>302</v>
      </c>
      <c r="L2923" s="71">
        <f t="shared" si="405"/>
        <v>6</v>
      </c>
      <c r="M2923" s="71" t="str">
        <f>IFERROR(INDEX(KALENDER!$D$3:$D$132,MATCH(H2923,KALENDER!$A$3:$A$132,0)),"Di luar periode")</f>
        <v>Hari Kerja</v>
      </c>
      <c r="N2923" s="71">
        <f t="shared" si="406"/>
        <v>1</v>
      </c>
      <c r="O2923" s="71">
        <f t="shared" si="407"/>
        <v>1</v>
      </c>
      <c r="P2923" s="71">
        <f t="shared" si="408"/>
        <v>1</v>
      </c>
      <c r="Q2923" s="71">
        <f t="shared" si="409"/>
        <v>0</v>
      </c>
      <c r="R2923" s="71">
        <f t="shared" si="410"/>
        <v>0</v>
      </c>
      <c r="S2923" s="71">
        <f t="shared" si="411"/>
        <v>0</v>
      </c>
      <c r="T2923" s="71">
        <f t="shared" si="412"/>
        <v>1</v>
      </c>
      <c r="U2923" s="71">
        <f>IF(AND(N2923=1,V2923=1),IF(COUNTIFS(AKTIVITAS!$B$2:$B$3052,B2923,AKTIVITAS!$E$2:$E$3052,H2923)&gt;0,1,0),0)</f>
        <v>1</v>
      </c>
      <c r="V2923" s="71">
        <f>IFERROR(IF(AND(H2923&gt;=INDEX(PEMAGANG!$J$3:$J$36,MATCH(B2923,PEMAGANG!$C$3:$C$36,0)),H2923&lt;=INDEX(PEMAGANG!$K$3:$K$36,MATCH(B2923,PEMAGANG!$C$3:$C$36,0))),1,0),0)</f>
        <v>1</v>
      </c>
      <c r="W2923" s="71">
        <f t="shared" si="413"/>
        <v>1</v>
      </c>
    </row>
    <row r="2924" spans="1:23" x14ac:dyDescent="0.2">
      <c r="A2924" s="71" t="s">
        <v>202</v>
      </c>
      <c r="B2924" s="71" t="s">
        <v>203</v>
      </c>
      <c r="C2924" s="71" t="s">
        <v>187</v>
      </c>
      <c r="D2924" s="71" t="s">
        <v>204</v>
      </c>
      <c r="E2924" s="71" t="s">
        <v>692</v>
      </c>
      <c r="F2924" s="71" t="s">
        <v>298</v>
      </c>
      <c r="G2924" s="88">
        <v>46192.305601851898</v>
      </c>
      <c r="H2924" s="89">
        <v>46192</v>
      </c>
      <c r="I2924" s="71" t="s">
        <v>329</v>
      </c>
      <c r="J2924" s="71">
        <v>-10</v>
      </c>
      <c r="K2924" s="71" t="s">
        <v>302</v>
      </c>
      <c r="L2924" s="71">
        <f t="shared" si="405"/>
        <v>6</v>
      </c>
      <c r="M2924" s="71" t="str">
        <f>IFERROR(INDEX(KALENDER!$D$3:$D$132,MATCH(H2924,KALENDER!$A$3:$A$132,0)),"Di luar periode")</f>
        <v>Hari Kerja</v>
      </c>
      <c r="N2924" s="71">
        <f t="shared" si="406"/>
        <v>1</v>
      </c>
      <c r="O2924" s="71">
        <f t="shared" si="407"/>
        <v>1</v>
      </c>
      <c r="P2924" s="71">
        <f t="shared" si="408"/>
        <v>1</v>
      </c>
      <c r="Q2924" s="71">
        <f t="shared" si="409"/>
        <v>0</v>
      </c>
      <c r="R2924" s="71">
        <f t="shared" si="410"/>
        <v>0</v>
      </c>
      <c r="S2924" s="71">
        <f t="shared" si="411"/>
        <v>0</v>
      </c>
      <c r="T2924" s="71">
        <f t="shared" si="412"/>
        <v>0</v>
      </c>
      <c r="U2924" s="71">
        <f>IF(AND(N2924=1,V2924=1),IF(COUNTIFS(AKTIVITAS!$B$2:$B$3052,B2924,AKTIVITAS!$E$2:$E$3052,H2924)&gt;0,1,0),0)</f>
        <v>1</v>
      </c>
      <c r="V2924" s="71">
        <f>IFERROR(IF(AND(H2924&gt;=INDEX(PEMAGANG!$J$3:$J$36,MATCH(B2924,PEMAGANG!$C$3:$C$36,0)),H2924&lt;=INDEX(PEMAGANG!$K$3:$K$36,MATCH(B2924,PEMAGANG!$C$3:$C$36,0))),1,0),0)</f>
        <v>1</v>
      </c>
      <c r="W2924" s="71">
        <f t="shared" si="413"/>
        <v>1</v>
      </c>
    </row>
    <row r="2925" spans="1:23" x14ac:dyDescent="0.2">
      <c r="A2925" s="71" t="s">
        <v>202</v>
      </c>
      <c r="B2925" s="71" t="s">
        <v>203</v>
      </c>
      <c r="C2925" s="71" t="s">
        <v>187</v>
      </c>
      <c r="D2925" s="71" t="s">
        <v>204</v>
      </c>
      <c r="E2925" s="71" t="s">
        <v>692</v>
      </c>
      <c r="F2925" s="71" t="s">
        <v>300</v>
      </c>
      <c r="G2925" s="88">
        <v>46192.6896180556</v>
      </c>
      <c r="H2925" s="89">
        <v>46192</v>
      </c>
      <c r="I2925" s="71" t="s">
        <v>316</v>
      </c>
      <c r="J2925" s="71">
        <v>0</v>
      </c>
      <c r="K2925" s="71" t="s">
        <v>302</v>
      </c>
      <c r="L2925" s="71">
        <f t="shared" si="405"/>
        <v>6</v>
      </c>
      <c r="M2925" s="71" t="str">
        <f>IFERROR(INDEX(KALENDER!$D$3:$D$132,MATCH(H2925,KALENDER!$A$3:$A$132,0)),"Di luar periode")</f>
        <v>Hari Kerja</v>
      </c>
      <c r="N2925" s="71">
        <f t="shared" si="406"/>
        <v>0</v>
      </c>
      <c r="O2925" s="71">
        <f t="shared" si="407"/>
        <v>1</v>
      </c>
      <c r="P2925" s="71">
        <f t="shared" si="408"/>
        <v>0</v>
      </c>
      <c r="Q2925" s="71">
        <f t="shared" si="409"/>
        <v>0</v>
      </c>
      <c r="R2925" s="71">
        <f t="shared" si="410"/>
        <v>0</v>
      </c>
      <c r="S2925" s="71">
        <f t="shared" si="411"/>
        <v>0</v>
      </c>
      <c r="T2925" s="71">
        <f t="shared" si="412"/>
        <v>0</v>
      </c>
      <c r="U2925" s="71">
        <f>IF(AND(N2925=1,V2925=1),IF(COUNTIFS(AKTIVITAS!$B$2:$B$3052,B2925,AKTIVITAS!$E$2:$E$3052,H2925)&gt;0,1,0),0)</f>
        <v>0</v>
      </c>
      <c r="V2925" s="71">
        <f>IFERROR(IF(AND(H2925&gt;=INDEX(PEMAGANG!$J$3:$J$36,MATCH(B2925,PEMAGANG!$C$3:$C$36,0)),H2925&lt;=INDEX(PEMAGANG!$K$3:$K$36,MATCH(B2925,PEMAGANG!$C$3:$C$36,0))),1,0),0)</f>
        <v>1</v>
      </c>
      <c r="W2925" s="71">
        <f t="shared" si="413"/>
        <v>0</v>
      </c>
    </row>
    <row r="2926" spans="1:23" x14ac:dyDescent="0.2">
      <c r="A2926" s="71" t="s">
        <v>202</v>
      </c>
      <c r="B2926" s="71" t="s">
        <v>203</v>
      </c>
      <c r="C2926" s="71" t="s">
        <v>187</v>
      </c>
      <c r="D2926" s="71" t="s">
        <v>204</v>
      </c>
      <c r="E2926" s="71" t="s">
        <v>692</v>
      </c>
      <c r="F2926" s="71" t="s">
        <v>298</v>
      </c>
      <c r="G2926" s="88">
        <v>46195.303263888898</v>
      </c>
      <c r="H2926" s="89">
        <v>46195</v>
      </c>
      <c r="I2926" s="71" t="s">
        <v>327</v>
      </c>
      <c r="J2926" s="71">
        <v>-14</v>
      </c>
      <c r="K2926" s="71" t="s">
        <v>302</v>
      </c>
      <c r="L2926" s="71">
        <f t="shared" si="405"/>
        <v>6</v>
      </c>
      <c r="M2926" s="71" t="str">
        <f>IFERROR(INDEX(KALENDER!$D$3:$D$132,MATCH(H2926,KALENDER!$A$3:$A$132,0)),"Di luar periode")</f>
        <v>Hari Kerja</v>
      </c>
      <c r="N2926" s="71">
        <f t="shared" si="406"/>
        <v>1</v>
      </c>
      <c r="O2926" s="71">
        <f t="shared" si="407"/>
        <v>1</v>
      </c>
      <c r="P2926" s="71">
        <f t="shared" si="408"/>
        <v>1</v>
      </c>
      <c r="Q2926" s="71">
        <f t="shared" si="409"/>
        <v>0</v>
      </c>
      <c r="R2926" s="71">
        <f t="shared" si="410"/>
        <v>0</v>
      </c>
      <c r="S2926" s="71">
        <f t="shared" si="411"/>
        <v>0</v>
      </c>
      <c r="T2926" s="71">
        <f t="shared" si="412"/>
        <v>0</v>
      </c>
      <c r="U2926" s="71">
        <f>IF(AND(N2926=1,V2926=1),IF(COUNTIFS(AKTIVITAS!$B$2:$B$3052,B2926,AKTIVITAS!$E$2:$E$3052,H2926)&gt;0,1,0),0)</f>
        <v>1</v>
      </c>
      <c r="V2926" s="71">
        <f>IFERROR(IF(AND(H2926&gt;=INDEX(PEMAGANG!$J$3:$J$36,MATCH(B2926,PEMAGANG!$C$3:$C$36,0)),H2926&lt;=INDEX(PEMAGANG!$K$3:$K$36,MATCH(B2926,PEMAGANG!$C$3:$C$36,0))),1,0),0)</f>
        <v>1</v>
      </c>
      <c r="W2926" s="71">
        <f t="shared" si="413"/>
        <v>1</v>
      </c>
    </row>
    <row r="2927" spans="1:23" x14ac:dyDescent="0.2">
      <c r="A2927" s="71" t="s">
        <v>202</v>
      </c>
      <c r="B2927" s="71" t="s">
        <v>203</v>
      </c>
      <c r="C2927" s="71" t="s">
        <v>187</v>
      </c>
      <c r="D2927" s="71" t="s">
        <v>204</v>
      </c>
      <c r="E2927" s="71" t="s">
        <v>692</v>
      </c>
      <c r="F2927" s="71" t="s">
        <v>300</v>
      </c>
      <c r="G2927" s="88">
        <v>46195.6909606482</v>
      </c>
      <c r="H2927" s="89">
        <v>46195</v>
      </c>
      <c r="I2927" s="71" t="s">
        <v>314</v>
      </c>
      <c r="J2927" s="71">
        <v>0</v>
      </c>
      <c r="K2927" s="71" t="s">
        <v>302</v>
      </c>
      <c r="L2927" s="71">
        <f t="shared" si="405"/>
        <v>6</v>
      </c>
      <c r="M2927" s="71" t="str">
        <f>IFERROR(INDEX(KALENDER!$D$3:$D$132,MATCH(H2927,KALENDER!$A$3:$A$132,0)),"Di luar periode")</f>
        <v>Hari Kerja</v>
      </c>
      <c r="N2927" s="71">
        <f t="shared" si="406"/>
        <v>0</v>
      </c>
      <c r="O2927" s="71">
        <f t="shared" si="407"/>
        <v>1</v>
      </c>
      <c r="P2927" s="71">
        <f t="shared" si="408"/>
        <v>0</v>
      </c>
      <c r="Q2927" s="71">
        <f t="shared" si="409"/>
        <v>0</v>
      </c>
      <c r="R2927" s="71">
        <f t="shared" si="410"/>
        <v>0</v>
      </c>
      <c r="S2927" s="71">
        <f t="shared" si="411"/>
        <v>0</v>
      </c>
      <c r="T2927" s="71">
        <f t="shared" si="412"/>
        <v>0</v>
      </c>
      <c r="U2927" s="71">
        <f>IF(AND(N2927=1,V2927=1),IF(COUNTIFS(AKTIVITAS!$B$2:$B$3052,B2927,AKTIVITAS!$E$2:$E$3052,H2927)&gt;0,1,0),0)</f>
        <v>0</v>
      </c>
      <c r="V2927" s="71">
        <f>IFERROR(IF(AND(H2927&gt;=INDEX(PEMAGANG!$J$3:$J$36,MATCH(B2927,PEMAGANG!$C$3:$C$36,0)),H2927&lt;=INDEX(PEMAGANG!$K$3:$K$36,MATCH(B2927,PEMAGANG!$C$3:$C$36,0))),1,0),0)</f>
        <v>1</v>
      </c>
      <c r="W2927" s="71">
        <f t="shared" si="413"/>
        <v>0</v>
      </c>
    </row>
    <row r="2928" spans="1:23" x14ac:dyDescent="0.2">
      <c r="A2928" s="71" t="s">
        <v>202</v>
      </c>
      <c r="B2928" s="71" t="s">
        <v>203</v>
      </c>
      <c r="C2928" s="71" t="s">
        <v>187</v>
      </c>
      <c r="D2928" s="71" t="s">
        <v>204</v>
      </c>
      <c r="E2928" s="71" t="s">
        <v>692</v>
      </c>
      <c r="F2928" s="71" t="s">
        <v>298</v>
      </c>
      <c r="G2928" s="88">
        <v>46196.307800925897</v>
      </c>
      <c r="H2928" s="89">
        <v>46196</v>
      </c>
      <c r="I2928" s="71" t="s">
        <v>311</v>
      </c>
      <c r="J2928" s="71">
        <v>-6.9999999999999796</v>
      </c>
      <c r="K2928" s="71" t="s">
        <v>302</v>
      </c>
      <c r="L2928" s="71">
        <f t="shared" si="405"/>
        <v>6</v>
      </c>
      <c r="M2928" s="71" t="str">
        <f>IFERROR(INDEX(KALENDER!$D$3:$D$132,MATCH(H2928,KALENDER!$A$3:$A$132,0)),"Di luar periode")</f>
        <v>Hari Kerja</v>
      </c>
      <c r="N2928" s="71">
        <f t="shared" si="406"/>
        <v>1</v>
      </c>
      <c r="O2928" s="71">
        <f t="shared" si="407"/>
        <v>1</v>
      </c>
      <c r="P2928" s="71">
        <f t="shared" si="408"/>
        <v>1</v>
      </c>
      <c r="Q2928" s="71">
        <f t="shared" si="409"/>
        <v>0</v>
      </c>
      <c r="R2928" s="71">
        <f t="shared" si="410"/>
        <v>0</v>
      </c>
      <c r="S2928" s="71">
        <f t="shared" si="411"/>
        <v>0</v>
      </c>
      <c r="T2928" s="71">
        <f t="shared" si="412"/>
        <v>0</v>
      </c>
      <c r="U2928" s="71">
        <f>IF(AND(N2928=1,V2928=1),IF(COUNTIFS(AKTIVITAS!$B$2:$B$3052,B2928,AKTIVITAS!$E$2:$E$3052,H2928)&gt;0,1,0),0)</f>
        <v>1</v>
      </c>
      <c r="V2928" s="71">
        <f>IFERROR(IF(AND(H2928&gt;=INDEX(PEMAGANG!$J$3:$J$36,MATCH(B2928,PEMAGANG!$C$3:$C$36,0)),H2928&lt;=INDEX(PEMAGANG!$K$3:$K$36,MATCH(B2928,PEMAGANG!$C$3:$C$36,0))),1,0),0)</f>
        <v>1</v>
      </c>
      <c r="W2928" s="71">
        <f t="shared" si="413"/>
        <v>1</v>
      </c>
    </row>
    <row r="2929" spans="1:23" x14ac:dyDescent="0.2">
      <c r="A2929" s="71" t="s">
        <v>202</v>
      </c>
      <c r="B2929" s="71" t="s">
        <v>203</v>
      </c>
      <c r="C2929" s="71" t="s">
        <v>187</v>
      </c>
      <c r="D2929" s="71" t="s">
        <v>204</v>
      </c>
      <c r="E2929" s="71" t="s">
        <v>692</v>
      </c>
      <c r="F2929" s="71" t="s">
        <v>300</v>
      </c>
      <c r="G2929" s="88">
        <v>46196.688587962999</v>
      </c>
      <c r="H2929" s="89">
        <v>46196</v>
      </c>
      <c r="I2929" s="71" t="s">
        <v>336</v>
      </c>
      <c r="J2929" s="71">
        <v>0</v>
      </c>
      <c r="K2929" s="71" t="s">
        <v>302</v>
      </c>
      <c r="L2929" s="71">
        <f t="shared" si="405"/>
        <v>6</v>
      </c>
      <c r="M2929" s="71" t="str">
        <f>IFERROR(INDEX(KALENDER!$D$3:$D$132,MATCH(H2929,KALENDER!$A$3:$A$132,0)),"Di luar periode")</f>
        <v>Hari Kerja</v>
      </c>
      <c r="N2929" s="71">
        <f t="shared" si="406"/>
        <v>0</v>
      </c>
      <c r="O2929" s="71">
        <f t="shared" si="407"/>
        <v>1</v>
      </c>
      <c r="P2929" s="71">
        <f t="shared" si="408"/>
        <v>0</v>
      </c>
      <c r="Q2929" s="71">
        <f t="shared" si="409"/>
        <v>0</v>
      </c>
      <c r="R2929" s="71">
        <f t="shared" si="410"/>
        <v>0</v>
      </c>
      <c r="S2929" s="71">
        <f t="shared" si="411"/>
        <v>0</v>
      </c>
      <c r="T2929" s="71">
        <f t="shared" si="412"/>
        <v>0</v>
      </c>
      <c r="U2929" s="71">
        <f>IF(AND(N2929=1,V2929=1),IF(COUNTIFS(AKTIVITAS!$B$2:$B$3052,B2929,AKTIVITAS!$E$2:$E$3052,H2929)&gt;0,1,0),0)</f>
        <v>0</v>
      </c>
      <c r="V2929" s="71">
        <f>IFERROR(IF(AND(H2929&gt;=INDEX(PEMAGANG!$J$3:$J$36,MATCH(B2929,PEMAGANG!$C$3:$C$36,0)),H2929&lt;=INDEX(PEMAGANG!$K$3:$K$36,MATCH(B2929,PEMAGANG!$C$3:$C$36,0))),1,0),0)</f>
        <v>1</v>
      </c>
      <c r="W2929" s="71">
        <f t="shared" si="413"/>
        <v>0</v>
      </c>
    </row>
    <row r="2930" spans="1:23" x14ac:dyDescent="0.2">
      <c r="A2930" s="71" t="s">
        <v>202</v>
      </c>
      <c r="B2930" s="71" t="s">
        <v>203</v>
      </c>
      <c r="C2930" s="71" t="s">
        <v>187</v>
      </c>
      <c r="D2930" s="71" t="s">
        <v>204</v>
      </c>
      <c r="E2930" s="71" t="s">
        <v>692</v>
      </c>
      <c r="F2930" s="71" t="s">
        <v>298</v>
      </c>
      <c r="G2930" s="88">
        <v>46198.308530092603</v>
      </c>
      <c r="H2930" s="89">
        <v>46198</v>
      </c>
      <c r="I2930" s="71" t="s">
        <v>303</v>
      </c>
      <c r="J2930" s="71">
        <v>-5.9999999999999796</v>
      </c>
      <c r="K2930" s="71" t="s">
        <v>302</v>
      </c>
      <c r="L2930" s="71">
        <f t="shared" si="405"/>
        <v>6</v>
      </c>
      <c r="M2930" s="71" t="str">
        <f>IFERROR(INDEX(KALENDER!$D$3:$D$132,MATCH(H2930,KALENDER!$A$3:$A$132,0)),"Di luar periode")</f>
        <v>Hari Kerja</v>
      </c>
      <c r="N2930" s="71">
        <f t="shared" si="406"/>
        <v>1</v>
      </c>
      <c r="O2930" s="71">
        <f t="shared" si="407"/>
        <v>1</v>
      </c>
      <c r="P2930" s="71">
        <f t="shared" si="408"/>
        <v>1</v>
      </c>
      <c r="Q2930" s="71">
        <f t="shared" si="409"/>
        <v>0</v>
      </c>
      <c r="R2930" s="71">
        <f t="shared" si="410"/>
        <v>0</v>
      </c>
      <c r="S2930" s="71">
        <f t="shared" si="411"/>
        <v>0</v>
      </c>
      <c r="T2930" s="71">
        <f t="shared" si="412"/>
        <v>0</v>
      </c>
      <c r="U2930" s="71">
        <f>IF(AND(N2930=1,V2930=1),IF(COUNTIFS(AKTIVITAS!$B$2:$B$3052,B2930,AKTIVITAS!$E$2:$E$3052,H2930)&gt;0,1,0),0)</f>
        <v>1</v>
      </c>
      <c r="V2930" s="71">
        <f>IFERROR(IF(AND(H2930&gt;=INDEX(PEMAGANG!$J$3:$J$36,MATCH(B2930,PEMAGANG!$C$3:$C$36,0)),H2930&lt;=INDEX(PEMAGANG!$K$3:$K$36,MATCH(B2930,PEMAGANG!$C$3:$C$36,0))),1,0),0)</f>
        <v>1</v>
      </c>
      <c r="W2930" s="71">
        <f t="shared" si="413"/>
        <v>1</v>
      </c>
    </row>
    <row r="2931" spans="1:23" x14ac:dyDescent="0.2">
      <c r="A2931" s="71" t="s">
        <v>202</v>
      </c>
      <c r="B2931" s="71" t="s">
        <v>203</v>
      </c>
      <c r="C2931" s="71" t="s">
        <v>187</v>
      </c>
      <c r="D2931" s="71" t="s">
        <v>204</v>
      </c>
      <c r="E2931" s="71" t="s">
        <v>692</v>
      </c>
      <c r="F2931" s="71" t="s">
        <v>300</v>
      </c>
      <c r="G2931" s="88">
        <v>46198.688657407401</v>
      </c>
      <c r="H2931" s="89">
        <v>46198</v>
      </c>
      <c r="I2931" s="71" t="s">
        <v>336</v>
      </c>
      <c r="J2931" s="71">
        <v>0</v>
      </c>
      <c r="K2931" s="71" t="s">
        <v>302</v>
      </c>
      <c r="L2931" s="71">
        <f t="shared" si="405"/>
        <v>6</v>
      </c>
      <c r="M2931" s="71" t="str">
        <f>IFERROR(INDEX(KALENDER!$D$3:$D$132,MATCH(H2931,KALENDER!$A$3:$A$132,0)),"Di luar periode")</f>
        <v>Hari Kerja</v>
      </c>
      <c r="N2931" s="71">
        <f t="shared" si="406"/>
        <v>0</v>
      </c>
      <c r="O2931" s="71">
        <f t="shared" si="407"/>
        <v>1</v>
      </c>
      <c r="P2931" s="71">
        <f t="shared" si="408"/>
        <v>0</v>
      </c>
      <c r="Q2931" s="71">
        <f t="shared" si="409"/>
        <v>0</v>
      </c>
      <c r="R2931" s="71">
        <f t="shared" si="410"/>
        <v>0</v>
      </c>
      <c r="S2931" s="71">
        <f t="shared" si="411"/>
        <v>0</v>
      </c>
      <c r="T2931" s="71">
        <f t="shared" si="412"/>
        <v>0</v>
      </c>
      <c r="U2931" s="71">
        <f>IF(AND(N2931=1,V2931=1),IF(COUNTIFS(AKTIVITAS!$B$2:$B$3052,B2931,AKTIVITAS!$E$2:$E$3052,H2931)&gt;0,1,0),0)</f>
        <v>0</v>
      </c>
      <c r="V2931" s="71">
        <f>IFERROR(IF(AND(H2931&gt;=INDEX(PEMAGANG!$J$3:$J$36,MATCH(B2931,PEMAGANG!$C$3:$C$36,0)),H2931&lt;=INDEX(PEMAGANG!$K$3:$K$36,MATCH(B2931,PEMAGANG!$C$3:$C$36,0))),1,0),0)</f>
        <v>1</v>
      </c>
      <c r="W2931" s="71">
        <f t="shared" si="413"/>
        <v>0</v>
      </c>
    </row>
    <row r="2932" spans="1:23" x14ac:dyDescent="0.2">
      <c r="A2932" s="71" t="s">
        <v>202</v>
      </c>
      <c r="B2932" s="71" t="s">
        <v>203</v>
      </c>
      <c r="C2932" s="71" t="s">
        <v>187</v>
      </c>
      <c r="D2932" s="71" t="s">
        <v>204</v>
      </c>
      <c r="E2932" s="71" t="s">
        <v>692</v>
      </c>
      <c r="F2932" s="71" t="s">
        <v>298</v>
      </c>
      <c r="G2932" s="88">
        <v>46199.284733796303</v>
      </c>
      <c r="H2932" s="89">
        <v>46199</v>
      </c>
      <c r="I2932" s="71" t="s">
        <v>514</v>
      </c>
      <c r="J2932" s="71">
        <v>-40</v>
      </c>
      <c r="K2932" s="71" t="s">
        <v>302</v>
      </c>
      <c r="L2932" s="71">
        <f t="shared" si="405"/>
        <v>6</v>
      </c>
      <c r="M2932" s="71" t="str">
        <f>IFERROR(INDEX(KALENDER!$D$3:$D$132,MATCH(H2932,KALENDER!$A$3:$A$132,0)),"Di luar periode")</f>
        <v>Hari Kerja</v>
      </c>
      <c r="N2932" s="71">
        <f t="shared" si="406"/>
        <v>1</v>
      </c>
      <c r="O2932" s="71">
        <f t="shared" si="407"/>
        <v>1</v>
      </c>
      <c r="P2932" s="71">
        <f t="shared" si="408"/>
        <v>1</v>
      </c>
      <c r="Q2932" s="71">
        <f t="shared" si="409"/>
        <v>0</v>
      </c>
      <c r="R2932" s="71">
        <f t="shared" si="410"/>
        <v>0</v>
      </c>
      <c r="S2932" s="71">
        <f t="shared" si="411"/>
        <v>0</v>
      </c>
      <c r="T2932" s="71">
        <f t="shared" si="412"/>
        <v>0</v>
      </c>
      <c r="U2932" s="71">
        <f>IF(AND(N2932=1,V2932=1),IF(COUNTIFS(AKTIVITAS!$B$2:$B$3052,B2932,AKTIVITAS!$E$2:$E$3052,H2932)&gt;0,1,0),0)</f>
        <v>1</v>
      </c>
      <c r="V2932" s="71">
        <f>IFERROR(IF(AND(H2932&gt;=INDEX(PEMAGANG!$J$3:$J$36,MATCH(B2932,PEMAGANG!$C$3:$C$36,0)),H2932&lt;=INDEX(PEMAGANG!$K$3:$K$36,MATCH(B2932,PEMAGANG!$C$3:$C$36,0))),1,0),0)</f>
        <v>1</v>
      </c>
      <c r="W2932" s="71">
        <f t="shared" si="413"/>
        <v>1</v>
      </c>
    </row>
    <row r="2933" spans="1:23" x14ac:dyDescent="0.2">
      <c r="A2933" s="71" t="s">
        <v>202</v>
      </c>
      <c r="B2933" s="71" t="s">
        <v>203</v>
      </c>
      <c r="C2933" s="71" t="s">
        <v>187</v>
      </c>
      <c r="D2933" s="71" t="s">
        <v>204</v>
      </c>
      <c r="E2933" s="71" t="s">
        <v>692</v>
      </c>
      <c r="F2933" s="71" t="s">
        <v>300</v>
      </c>
      <c r="G2933" s="88">
        <v>46199.690231481502</v>
      </c>
      <c r="H2933" s="89">
        <v>46199</v>
      </c>
      <c r="I2933" s="71" t="s">
        <v>316</v>
      </c>
      <c r="J2933" s="71">
        <v>0</v>
      </c>
      <c r="K2933" s="71" t="s">
        <v>302</v>
      </c>
      <c r="L2933" s="71">
        <f t="shared" si="405"/>
        <v>6</v>
      </c>
      <c r="M2933" s="71" t="str">
        <f>IFERROR(INDEX(KALENDER!$D$3:$D$132,MATCH(H2933,KALENDER!$A$3:$A$132,0)),"Di luar periode")</f>
        <v>Hari Kerja</v>
      </c>
      <c r="N2933" s="71">
        <f t="shared" si="406"/>
        <v>0</v>
      </c>
      <c r="O2933" s="71">
        <f t="shared" si="407"/>
        <v>1</v>
      </c>
      <c r="P2933" s="71">
        <f t="shared" si="408"/>
        <v>0</v>
      </c>
      <c r="Q2933" s="71">
        <f t="shared" si="409"/>
        <v>0</v>
      </c>
      <c r="R2933" s="71">
        <f t="shared" si="410"/>
        <v>0</v>
      </c>
      <c r="S2933" s="71">
        <f t="shared" si="411"/>
        <v>0</v>
      </c>
      <c r="T2933" s="71">
        <f t="shared" si="412"/>
        <v>0</v>
      </c>
      <c r="U2933" s="71">
        <f>IF(AND(N2933=1,V2933=1),IF(COUNTIFS(AKTIVITAS!$B$2:$B$3052,B2933,AKTIVITAS!$E$2:$E$3052,H2933)&gt;0,1,0),0)</f>
        <v>0</v>
      </c>
      <c r="V2933" s="71">
        <f>IFERROR(IF(AND(H2933&gt;=INDEX(PEMAGANG!$J$3:$J$36,MATCH(B2933,PEMAGANG!$C$3:$C$36,0)),H2933&lt;=INDEX(PEMAGANG!$K$3:$K$36,MATCH(B2933,PEMAGANG!$C$3:$C$36,0))),1,0),0)</f>
        <v>1</v>
      </c>
      <c r="W2933" s="71">
        <f t="shared" si="413"/>
        <v>0</v>
      </c>
    </row>
    <row r="2934" spans="1:23" x14ac:dyDescent="0.2">
      <c r="A2934" s="71" t="s">
        <v>202</v>
      </c>
      <c r="B2934" s="71" t="s">
        <v>203</v>
      </c>
      <c r="C2934" s="71" t="s">
        <v>187</v>
      </c>
      <c r="D2934" s="71" t="s">
        <v>204</v>
      </c>
      <c r="E2934" s="71" t="s">
        <v>692</v>
      </c>
      <c r="F2934" s="71" t="s">
        <v>298</v>
      </c>
      <c r="G2934" s="88">
        <v>46202.308055555601</v>
      </c>
      <c r="H2934" s="89">
        <v>46202</v>
      </c>
      <c r="I2934" s="71" t="s">
        <v>311</v>
      </c>
      <c r="J2934" s="71">
        <v>-6.9999999999999796</v>
      </c>
      <c r="K2934" s="71" t="s">
        <v>302</v>
      </c>
      <c r="L2934" s="71">
        <f t="shared" si="405"/>
        <v>6</v>
      </c>
      <c r="M2934" s="71" t="str">
        <f>IFERROR(INDEX(KALENDER!$D$3:$D$132,MATCH(H2934,KALENDER!$A$3:$A$132,0)),"Di luar periode")</f>
        <v>Hari Kerja</v>
      </c>
      <c r="N2934" s="71">
        <f t="shared" si="406"/>
        <v>1</v>
      </c>
      <c r="O2934" s="71">
        <f t="shared" si="407"/>
        <v>1</v>
      </c>
      <c r="P2934" s="71">
        <f t="shared" si="408"/>
        <v>1</v>
      </c>
      <c r="Q2934" s="71">
        <f t="shared" si="409"/>
        <v>0</v>
      </c>
      <c r="R2934" s="71">
        <f t="shared" si="410"/>
        <v>0</v>
      </c>
      <c r="S2934" s="71">
        <f t="shared" si="411"/>
        <v>0</v>
      </c>
      <c r="T2934" s="71">
        <f t="shared" si="412"/>
        <v>0</v>
      </c>
      <c r="U2934" s="71">
        <f>IF(AND(N2934=1,V2934=1),IF(COUNTIFS(AKTIVITAS!$B$2:$B$3052,B2934,AKTIVITAS!$E$2:$E$3052,H2934)&gt;0,1,0),0)</f>
        <v>1</v>
      </c>
      <c r="V2934" s="71">
        <f>IFERROR(IF(AND(H2934&gt;=INDEX(PEMAGANG!$J$3:$J$36,MATCH(B2934,PEMAGANG!$C$3:$C$36,0)),H2934&lt;=INDEX(PEMAGANG!$K$3:$K$36,MATCH(B2934,PEMAGANG!$C$3:$C$36,0))),1,0),0)</f>
        <v>1</v>
      </c>
      <c r="W2934" s="71">
        <f t="shared" si="413"/>
        <v>1</v>
      </c>
    </row>
    <row r="2935" spans="1:23" x14ac:dyDescent="0.2">
      <c r="A2935" s="71" t="s">
        <v>202</v>
      </c>
      <c r="B2935" s="71" t="s">
        <v>203</v>
      </c>
      <c r="C2935" s="71" t="s">
        <v>187</v>
      </c>
      <c r="D2935" s="71" t="s">
        <v>204</v>
      </c>
      <c r="E2935" s="71" t="s">
        <v>692</v>
      </c>
      <c r="F2935" s="71" t="s">
        <v>300</v>
      </c>
      <c r="G2935" s="88">
        <v>46202.688587962999</v>
      </c>
      <c r="H2935" s="89">
        <v>46202</v>
      </c>
      <c r="I2935" s="71" t="s">
        <v>336</v>
      </c>
      <c r="J2935" s="71">
        <v>0</v>
      </c>
      <c r="K2935" s="71" t="s">
        <v>302</v>
      </c>
      <c r="L2935" s="71">
        <f t="shared" si="405"/>
        <v>6</v>
      </c>
      <c r="M2935" s="71" t="str">
        <f>IFERROR(INDEX(KALENDER!$D$3:$D$132,MATCH(H2935,KALENDER!$A$3:$A$132,0)),"Di luar periode")</f>
        <v>Hari Kerja</v>
      </c>
      <c r="N2935" s="71">
        <f t="shared" si="406"/>
        <v>0</v>
      </c>
      <c r="O2935" s="71">
        <f t="shared" si="407"/>
        <v>1</v>
      </c>
      <c r="P2935" s="71">
        <f t="shared" si="408"/>
        <v>0</v>
      </c>
      <c r="Q2935" s="71">
        <f t="shared" si="409"/>
        <v>0</v>
      </c>
      <c r="R2935" s="71">
        <f t="shared" si="410"/>
        <v>0</v>
      </c>
      <c r="S2935" s="71">
        <f t="shared" si="411"/>
        <v>0</v>
      </c>
      <c r="T2935" s="71">
        <f t="shared" si="412"/>
        <v>0</v>
      </c>
      <c r="U2935" s="71">
        <f>IF(AND(N2935=1,V2935=1),IF(COUNTIFS(AKTIVITAS!$B$2:$B$3052,B2935,AKTIVITAS!$E$2:$E$3052,H2935)&gt;0,1,0),0)</f>
        <v>0</v>
      </c>
      <c r="V2935" s="71">
        <f>IFERROR(IF(AND(H2935&gt;=INDEX(PEMAGANG!$J$3:$J$36,MATCH(B2935,PEMAGANG!$C$3:$C$36,0)),H2935&lt;=INDEX(PEMAGANG!$K$3:$K$36,MATCH(B2935,PEMAGANG!$C$3:$C$36,0))),1,0),0)</f>
        <v>1</v>
      </c>
      <c r="W2935" s="71">
        <f t="shared" si="413"/>
        <v>0</v>
      </c>
    </row>
    <row r="2936" spans="1:23" x14ac:dyDescent="0.2">
      <c r="A2936" s="71" t="s">
        <v>202</v>
      </c>
      <c r="B2936" s="71" t="s">
        <v>203</v>
      </c>
      <c r="C2936" s="71" t="s">
        <v>187</v>
      </c>
      <c r="D2936" s="71" t="s">
        <v>204</v>
      </c>
      <c r="E2936" s="71" t="s">
        <v>692</v>
      </c>
      <c r="F2936" s="71" t="s">
        <v>298</v>
      </c>
      <c r="G2936" s="88">
        <v>46203.302777777797</v>
      </c>
      <c r="H2936" s="89">
        <v>46203</v>
      </c>
      <c r="I2936" s="71" t="s">
        <v>327</v>
      </c>
      <c r="J2936" s="71">
        <v>-14</v>
      </c>
      <c r="K2936" s="71" t="s">
        <v>302</v>
      </c>
      <c r="L2936" s="71">
        <f t="shared" si="405"/>
        <v>6</v>
      </c>
      <c r="M2936" s="71" t="str">
        <f>IFERROR(INDEX(KALENDER!$D$3:$D$132,MATCH(H2936,KALENDER!$A$3:$A$132,0)),"Di luar periode")</f>
        <v>Hari Kerja</v>
      </c>
      <c r="N2936" s="71">
        <f t="shared" si="406"/>
        <v>1</v>
      </c>
      <c r="O2936" s="71">
        <f t="shared" si="407"/>
        <v>1</v>
      </c>
      <c r="P2936" s="71">
        <f t="shared" si="408"/>
        <v>1</v>
      </c>
      <c r="Q2936" s="71">
        <f t="shared" si="409"/>
        <v>0</v>
      </c>
      <c r="R2936" s="71">
        <f t="shared" si="410"/>
        <v>0</v>
      </c>
      <c r="S2936" s="71">
        <f t="shared" si="411"/>
        <v>0</v>
      </c>
      <c r="T2936" s="71">
        <f t="shared" si="412"/>
        <v>1</v>
      </c>
      <c r="U2936" s="71">
        <f>IF(AND(N2936=1,V2936=1),IF(COUNTIFS(AKTIVITAS!$B$2:$B$3052,B2936,AKTIVITAS!$E$2:$E$3052,H2936)&gt;0,1,0),0)</f>
        <v>0</v>
      </c>
      <c r="V2936" s="71">
        <f>IFERROR(IF(AND(H2936&gt;=INDEX(PEMAGANG!$J$3:$J$36,MATCH(B2936,PEMAGANG!$C$3:$C$36,0)),H2936&lt;=INDEX(PEMAGANG!$K$3:$K$36,MATCH(B2936,PEMAGANG!$C$3:$C$36,0))),1,0),0)</f>
        <v>1</v>
      </c>
      <c r="W2936" s="71">
        <f t="shared" si="413"/>
        <v>1</v>
      </c>
    </row>
    <row r="2937" spans="1:23" x14ac:dyDescent="0.2">
      <c r="A2937" s="71" t="s">
        <v>202</v>
      </c>
      <c r="B2937" s="71" t="s">
        <v>203</v>
      </c>
      <c r="C2937" s="71" t="s">
        <v>187</v>
      </c>
      <c r="D2937" s="71" t="s">
        <v>204</v>
      </c>
      <c r="E2937" s="71" t="s">
        <v>692</v>
      </c>
      <c r="F2937" s="71" t="s">
        <v>298</v>
      </c>
      <c r="G2937" s="88">
        <v>46204.310949074097</v>
      </c>
      <c r="H2937" s="89">
        <v>46204</v>
      </c>
      <c r="I2937" s="71" t="s">
        <v>309</v>
      </c>
      <c r="J2937" s="71">
        <v>-2.9999999999999898</v>
      </c>
      <c r="K2937" s="71" t="s">
        <v>302</v>
      </c>
      <c r="L2937" s="71">
        <f t="shared" si="405"/>
        <v>7</v>
      </c>
      <c r="M2937" s="71" t="str">
        <f>IFERROR(INDEX(KALENDER!$D$3:$D$132,MATCH(H2937,KALENDER!$A$3:$A$132,0)),"Di luar periode")</f>
        <v>WFH</v>
      </c>
      <c r="N2937" s="71">
        <f t="shared" si="406"/>
        <v>1</v>
      </c>
      <c r="O2937" s="71">
        <f t="shared" si="407"/>
        <v>1</v>
      </c>
      <c r="P2937" s="71">
        <f t="shared" si="408"/>
        <v>0</v>
      </c>
      <c r="Q2937" s="71">
        <f t="shared" si="409"/>
        <v>1</v>
      </c>
      <c r="R2937" s="71">
        <f t="shared" si="410"/>
        <v>0</v>
      </c>
      <c r="S2937" s="71">
        <f t="shared" si="411"/>
        <v>0</v>
      </c>
      <c r="T2937" s="71">
        <f t="shared" si="412"/>
        <v>0</v>
      </c>
      <c r="U2937" s="71">
        <f>IF(AND(N2937=1,V2937=1),IF(COUNTIFS(AKTIVITAS!$B$2:$B$3052,B2937,AKTIVITAS!$E$2:$E$3052,H2937)&gt;0,1,0),0)</f>
        <v>1</v>
      </c>
      <c r="V2937" s="71">
        <f>IFERROR(IF(AND(H2937&gt;=INDEX(PEMAGANG!$J$3:$J$36,MATCH(B2937,PEMAGANG!$C$3:$C$36,0)),H2937&lt;=INDEX(PEMAGANG!$K$3:$K$36,MATCH(B2937,PEMAGANG!$C$3:$C$36,0))),1,0),0)</f>
        <v>1</v>
      </c>
      <c r="W2937" s="71">
        <f t="shared" si="413"/>
        <v>1</v>
      </c>
    </row>
    <row r="2938" spans="1:23" x14ac:dyDescent="0.2">
      <c r="A2938" s="71" t="s">
        <v>202</v>
      </c>
      <c r="B2938" s="71" t="s">
        <v>203</v>
      </c>
      <c r="C2938" s="71" t="s">
        <v>187</v>
      </c>
      <c r="D2938" s="71" t="s">
        <v>204</v>
      </c>
      <c r="E2938" s="71" t="s">
        <v>692</v>
      </c>
      <c r="F2938" s="71" t="s">
        <v>300</v>
      </c>
      <c r="G2938" s="88">
        <v>46204.693634259304</v>
      </c>
      <c r="H2938" s="89">
        <v>46204</v>
      </c>
      <c r="I2938" s="71" t="s">
        <v>317</v>
      </c>
      <c r="J2938" s="71">
        <v>0</v>
      </c>
      <c r="K2938" s="71" t="s">
        <v>302</v>
      </c>
      <c r="L2938" s="71">
        <f t="shared" si="405"/>
        <v>7</v>
      </c>
      <c r="M2938" s="71" t="str">
        <f>IFERROR(INDEX(KALENDER!$D$3:$D$132,MATCH(H2938,KALENDER!$A$3:$A$132,0)),"Di luar periode")</f>
        <v>WFH</v>
      </c>
      <c r="N2938" s="71">
        <f t="shared" si="406"/>
        <v>0</v>
      </c>
      <c r="O2938" s="71">
        <f t="shared" si="407"/>
        <v>1</v>
      </c>
      <c r="P2938" s="71">
        <f t="shared" si="408"/>
        <v>0</v>
      </c>
      <c r="Q2938" s="71">
        <f t="shared" si="409"/>
        <v>0</v>
      </c>
      <c r="R2938" s="71">
        <f t="shared" si="410"/>
        <v>0</v>
      </c>
      <c r="S2938" s="71">
        <f t="shared" si="411"/>
        <v>0</v>
      </c>
      <c r="T2938" s="71">
        <f t="shared" si="412"/>
        <v>0</v>
      </c>
      <c r="U2938" s="71">
        <f>IF(AND(N2938=1,V2938=1),IF(COUNTIFS(AKTIVITAS!$B$2:$B$3052,B2938,AKTIVITAS!$E$2:$E$3052,H2938)&gt;0,1,0),0)</f>
        <v>0</v>
      </c>
      <c r="V2938" s="71">
        <f>IFERROR(IF(AND(H2938&gt;=INDEX(PEMAGANG!$J$3:$J$36,MATCH(B2938,PEMAGANG!$C$3:$C$36,0)),H2938&lt;=INDEX(PEMAGANG!$K$3:$K$36,MATCH(B2938,PEMAGANG!$C$3:$C$36,0))),1,0),0)</f>
        <v>1</v>
      </c>
      <c r="W2938" s="71">
        <f t="shared" si="413"/>
        <v>0</v>
      </c>
    </row>
    <row r="2939" spans="1:23" x14ac:dyDescent="0.2">
      <c r="A2939" s="71" t="s">
        <v>202</v>
      </c>
      <c r="B2939" s="71" t="s">
        <v>203</v>
      </c>
      <c r="C2939" s="71" t="s">
        <v>187</v>
      </c>
      <c r="D2939" s="71" t="s">
        <v>204</v>
      </c>
      <c r="E2939" s="71" t="s">
        <v>692</v>
      </c>
      <c r="F2939" s="71" t="s">
        <v>298</v>
      </c>
      <c r="G2939" s="88">
        <v>46205.306226851899</v>
      </c>
      <c r="H2939" s="89">
        <v>46205</v>
      </c>
      <c r="I2939" s="71" t="s">
        <v>329</v>
      </c>
      <c r="J2939" s="71">
        <v>-10</v>
      </c>
      <c r="K2939" s="71" t="s">
        <v>302</v>
      </c>
      <c r="L2939" s="71">
        <f t="shared" si="405"/>
        <v>7</v>
      </c>
      <c r="M2939" s="71" t="str">
        <f>IFERROR(INDEX(KALENDER!$D$3:$D$132,MATCH(H2939,KALENDER!$A$3:$A$132,0)),"Di luar periode")</f>
        <v>Hari Kerja</v>
      </c>
      <c r="N2939" s="71">
        <f t="shared" si="406"/>
        <v>1</v>
      </c>
      <c r="O2939" s="71">
        <f t="shared" si="407"/>
        <v>1</v>
      </c>
      <c r="P2939" s="71">
        <f t="shared" si="408"/>
        <v>1</v>
      </c>
      <c r="Q2939" s="71">
        <f t="shared" si="409"/>
        <v>0</v>
      </c>
      <c r="R2939" s="71">
        <f t="shared" si="410"/>
        <v>0</v>
      </c>
      <c r="S2939" s="71">
        <f t="shared" si="411"/>
        <v>0</v>
      </c>
      <c r="T2939" s="71">
        <f t="shared" si="412"/>
        <v>0</v>
      </c>
      <c r="U2939" s="71">
        <f>IF(AND(N2939=1,V2939=1),IF(COUNTIFS(AKTIVITAS!$B$2:$B$3052,B2939,AKTIVITAS!$E$2:$E$3052,H2939)&gt;0,1,0),0)</f>
        <v>1</v>
      </c>
      <c r="V2939" s="71">
        <f>IFERROR(IF(AND(H2939&gt;=INDEX(PEMAGANG!$J$3:$J$36,MATCH(B2939,PEMAGANG!$C$3:$C$36,0)),H2939&lt;=INDEX(PEMAGANG!$K$3:$K$36,MATCH(B2939,PEMAGANG!$C$3:$C$36,0))),1,0),0)</f>
        <v>1</v>
      </c>
      <c r="W2939" s="71">
        <f t="shared" si="413"/>
        <v>1</v>
      </c>
    </row>
    <row r="2940" spans="1:23" x14ac:dyDescent="0.2">
      <c r="A2940" s="71" t="s">
        <v>202</v>
      </c>
      <c r="B2940" s="71" t="s">
        <v>203</v>
      </c>
      <c r="C2940" s="71" t="s">
        <v>187</v>
      </c>
      <c r="D2940" s="71" t="s">
        <v>204</v>
      </c>
      <c r="E2940" s="71" t="s">
        <v>692</v>
      </c>
      <c r="F2940" s="71" t="s">
        <v>300</v>
      </c>
      <c r="G2940" s="88">
        <v>46205.688842592601</v>
      </c>
      <c r="H2940" s="89">
        <v>46205</v>
      </c>
      <c r="I2940" s="71" t="s">
        <v>336</v>
      </c>
      <c r="J2940" s="71">
        <v>0</v>
      </c>
      <c r="K2940" s="71" t="s">
        <v>302</v>
      </c>
      <c r="L2940" s="71">
        <f t="shared" si="405"/>
        <v>7</v>
      </c>
      <c r="M2940" s="71" t="str">
        <f>IFERROR(INDEX(KALENDER!$D$3:$D$132,MATCH(H2940,KALENDER!$A$3:$A$132,0)),"Di luar periode")</f>
        <v>Hari Kerja</v>
      </c>
      <c r="N2940" s="71">
        <f t="shared" si="406"/>
        <v>0</v>
      </c>
      <c r="O2940" s="71">
        <f t="shared" si="407"/>
        <v>1</v>
      </c>
      <c r="P2940" s="71">
        <f t="shared" si="408"/>
        <v>0</v>
      </c>
      <c r="Q2940" s="71">
        <f t="shared" si="409"/>
        <v>0</v>
      </c>
      <c r="R2940" s="71">
        <f t="shared" si="410"/>
        <v>0</v>
      </c>
      <c r="S2940" s="71">
        <f t="shared" si="411"/>
        <v>0</v>
      </c>
      <c r="T2940" s="71">
        <f t="shared" si="412"/>
        <v>0</v>
      </c>
      <c r="U2940" s="71">
        <f>IF(AND(N2940=1,V2940=1),IF(COUNTIFS(AKTIVITAS!$B$2:$B$3052,B2940,AKTIVITAS!$E$2:$E$3052,H2940)&gt;0,1,0),0)</f>
        <v>0</v>
      </c>
      <c r="V2940" s="71">
        <f>IFERROR(IF(AND(H2940&gt;=INDEX(PEMAGANG!$J$3:$J$36,MATCH(B2940,PEMAGANG!$C$3:$C$36,0)),H2940&lt;=INDEX(PEMAGANG!$K$3:$K$36,MATCH(B2940,PEMAGANG!$C$3:$C$36,0))),1,0),0)</f>
        <v>1</v>
      </c>
      <c r="W2940" s="71">
        <f t="shared" si="413"/>
        <v>0</v>
      </c>
    </row>
    <row r="2941" spans="1:23" x14ac:dyDescent="0.2">
      <c r="A2941" s="71" t="s">
        <v>202</v>
      </c>
      <c r="B2941" s="71" t="s">
        <v>203</v>
      </c>
      <c r="C2941" s="71" t="s">
        <v>187</v>
      </c>
      <c r="D2941" s="71" t="s">
        <v>204</v>
      </c>
      <c r="E2941" s="71" t="s">
        <v>692</v>
      </c>
      <c r="F2941" s="71" t="s">
        <v>298</v>
      </c>
      <c r="G2941" s="88">
        <v>46206.3066666667</v>
      </c>
      <c r="H2941" s="89">
        <v>46206</v>
      </c>
      <c r="I2941" s="71" t="s">
        <v>305</v>
      </c>
      <c r="J2941" s="71">
        <v>-9.0000000000000497</v>
      </c>
      <c r="K2941" s="71" t="s">
        <v>302</v>
      </c>
      <c r="L2941" s="71">
        <f t="shared" si="405"/>
        <v>7</v>
      </c>
      <c r="M2941" s="71" t="str">
        <f>IFERROR(INDEX(KALENDER!$D$3:$D$132,MATCH(H2941,KALENDER!$A$3:$A$132,0)),"Di luar periode")</f>
        <v>Hari Kerja</v>
      </c>
      <c r="N2941" s="71">
        <f t="shared" si="406"/>
        <v>1</v>
      </c>
      <c r="O2941" s="71">
        <f t="shared" si="407"/>
        <v>1</v>
      </c>
      <c r="P2941" s="71">
        <f t="shared" si="408"/>
        <v>1</v>
      </c>
      <c r="Q2941" s="71">
        <f t="shared" si="409"/>
        <v>0</v>
      </c>
      <c r="R2941" s="71">
        <f t="shared" si="410"/>
        <v>0</v>
      </c>
      <c r="S2941" s="71">
        <f t="shared" si="411"/>
        <v>0</v>
      </c>
      <c r="T2941" s="71">
        <f t="shared" si="412"/>
        <v>0</v>
      </c>
      <c r="U2941" s="71">
        <f>IF(AND(N2941=1,V2941=1),IF(COUNTIFS(AKTIVITAS!$B$2:$B$3052,B2941,AKTIVITAS!$E$2:$E$3052,H2941)&gt;0,1,0),0)</f>
        <v>1</v>
      </c>
      <c r="V2941" s="71">
        <f>IFERROR(IF(AND(H2941&gt;=INDEX(PEMAGANG!$J$3:$J$36,MATCH(B2941,PEMAGANG!$C$3:$C$36,0)),H2941&lt;=INDEX(PEMAGANG!$K$3:$K$36,MATCH(B2941,PEMAGANG!$C$3:$C$36,0))),1,0),0)</f>
        <v>1</v>
      </c>
      <c r="W2941" s="71">
        <f t="shared" si="413"/>
        <v>1</v>
      </c>
    </row>
    <row r="2942" spans="1:23" x14ac:dyDescent="0.2">
      <c r="A2942" s="71" t="s">
        <v>202</v>
      </c>
      <c r="B2942" s="71" t="s">
        <v>203</v>
      </c>
      <c r="C2942" s="71" t="s">
        <v>187</v>
      </c>
      <c r="D2942" s="71" t="s">
        <v>204</v>
      </c>
      <c r="E2942" s="71" t="s">
        <v>692</v>
      </c>
      <c r="F2942" s="71" t="s">
        <v>300</v>
      </c>
      <c r="G2942" s="88">
        <v>46206.691712963002</v>
      </c>
      <c r="H2942" s="89">
        <v>46206</v>
      </c>
      <c r="I2942" s="71" t="s">
        <v>344</v>
      </c>
      <c r="J2942" s="71">
        <v>0</v>
      </c>
      <c r="K2942" s="71" t="s">
        <v>302</v>
      </c>
      <c r="L2942" s="71">
        <f t="shared" si="405"/>
        <v>7</v>
      </c>
      <c r="M2942" s="71" t="str">
        <f>IFERROR(INDEX(KALENDER!$D$3:$D$132,MATCH(H2942,KALENDER!$A$3:$A$132,0)),"Di luar periode")</f>
        <v>Hari Kerja</v>
      </c>
      <c r="N2942" s="71">
        <f t="shared" si="406"/>
        <v>0</v>
      </c>
      <c r="O2942" s="71">
        <f t="shared" si="407"/>
        <v>1</v>
      </c>
      <c r="P2942" s="71">
        <f t="shared" si="408"/>
        <v>0</v>
      </c>
      <c r="Q2942" s="71">
        <f t="shared" si="409"/>
        <v>0</v>
      </c>
      <c r="R2942" s="71">
        <f t="shared" si="410"/>
        <v>0</v>
      </c>
      <c r="S2942" s="71">
        <f t="shared" si="411"/>
        <v>0</v>
      </c>
      <c r="T2942" s="71">
        <f t="shared" si="412"/>
        <v>0</v>
      </c>
      <c r="U2942" s="71">
        <f>IF(AND(N2942=1,V2942=1),IF(COUNTIFS(AKTIVITAS!$B$2:$B$3052,B2942,AKTIVITAS!$E$2:$E$3052,H2942)&gt;0,1,0),0)</f>
        <v>0</v>
      </c>
      <c r="V2942" s="71">
        <f>IFERROR(IF(AND(H2942&gt;=INDEX(PEMAGANG!$J$3:$J$36,MATCH(B2942,PEMAGANG!$C$3:$C$36,0)),H2942&lt;=INDEX(PEMAGANG!$K$3:$K$36,MATCH(B2942,PEMAGANG!$C$3:$C$36,0))),1,0),0)</f>
        <v>1</v>
      </c>
      <c r="W2942" s="71">
        <f t="shared" si="413"/>
        <v>0</v>
      </c>
    </row>
    <row r="2943" spans="1:23" x14ac:dyDescent="0.2">
      <c r="A2943" s="71" t="s">
        <v>202</v>
      </c>
      <c r="B2943" s="71" t="s">
        <v>203</v>
      </c>
      <c r="C2943" s="71" t="s">
        <v>187</v>
      </c>
      <c r="D2943" s="71" t="s">
        <v>204</v>
      </c>
      <c r="E2943" s="71" t="s">
        <v>692</v>
      </c>
      <c r="F2943" s="71" t="s">
        <v>298</v>
      </c>
      <c r="G2943" s="88">
        <v>46209.308321759301</v>
      </c>
      <c r="H2943" s="89">
        <v>46209</v>
      </c>
      <c r="I2943" s="71" t="s">
        <v>311</v>
      </c>
      <c r="J2943" s="71">
        <v>-6.9999999999999796</v>
      </c>
      <c r="K2943" s="71" t="s">
        <v>302</v>
      </c>
      <c r="L2943" s="71">
        <f t="shared" si="405"/>
        <v>7</v>
      </c>
      <c r="M2943" s="71" t="str">
        <f>IFERROR(INDEX(KALENDER!$D$3:$D$132,MATCH(H2943,KALENDER!$A$3:$A$132,0)),"Di luar periode")</f>
        <v>Hari Kerja</v>
      </c>
      <c r="N2943" s="71">
        <f t="shared" si="406"/>
        <v>1</v>
      </c>
      <c r="O2943" s="71">
        <f t="shared" si="407"/>
        <v>1</v>
      </c>
      <c r="P2943" s="71">
        <f t="shared" si="408"/>
        <v>1</v>
      </c>
      <c r="Q2943" s="71">
        <f t="shared" si="409"/>
        <v>0</v>
      </c>
      <c r="R2943" s="71">
        <f t="shared" si="410"/>
        <v>0</v>
      </c>
      <c r="S2943" s="71">
        <f t="shared" si="411"/>
        <v>0</v>
      </c>
      <c r="T2943" s="71">
        <f t="shared" si="412"/>
        <v>0</v>
      </c>
      <c r="U2943" s="71">
        <f>IF(AND(N2943=1,V2943=1),IF(COUNTIFS(AKTIVITAS!$B$2:$B$3052,B2943,AKTIVITAS!$E$2:$E$3052,H2943)&gt;0,1,0),0)</f>
        <v>1</v>
      </c>
      <c r="V2943" s="71">
        <f>IFERROR(IF(AND(H2943&gt;=INDEX(PEMAGANG!$J$3:$J$36,MATCH(B2943,PEMAGANG!$C$3:$C$36,0)),H2943&lt;=INDEX(PEMAGANG!$K$3:$K$36,MATCH(B2943,PEMAGANG!$C$3:$C$36,0))),1,0),0)</f>
        <v>1</v>
      </c>
      <c r="W2943" s="71">
        <f t="shared" si="413"/>
        <v>1</v>
      </c>
    </row>
    <row r="2944" spans="1:23" x14ac:dyDescent="0.2">
      <c r="A2944" s="71" t="s">
        <v>202</v>
      </c>
      <c r="B2944" s="71" t="s">
        <v>203</v>
      </c>
      <c r="C2944" s="71" t="s">
        <v>187</v>
      </c>
      <c r="D2944" s="71" t="s">
        <v>204</v>
      </c>
      <c r="E2944" s="71" t="s">
        <v>692</v>
      </c>
      <c r="F2944" s="71" t="s">
        <v>300</v>
      </c>
      <c r="G2944" s="88">
        <v>46209.692939814799</v>
      </c>
      <c r="H2944" s="89">
        <v>46209</v>
      </c>
      <c r="I2944" s="71" t="s">
        <v>328</v>
      </c>
      <c r="J2944" s="71">
        <v>0</v>
      </c>
      <c r="K2944" s="71" t="s">
        <v>302</v>
      </c>
      <c r="L2944" s="71">
        <f t="shared" si="405"/>
        <v>7</v>
      </c>
      <c r="M2944" s="71" t="str">
        <f>IFERROR(INDEX(KALENDER!$D$3:$D$132,MATCH(H2944,KALENDER!$A$3:$A$132,0)),"Di luar periode")</f>
        <v>Hari Kerja</v>
      </c>
      <c r="N2944" s="71">
        <f t="shared" si="406"/>
        <v>0</v>
      </c>
      <c r="O2944" s="71">
        <f t="shared" si="407"/>
        <v>1</v>
      </c>
      <c r="P2944" s="71">
        <f t="shared" si="408"/>
        <v>0</v>
      </c>
      <c r="Q2944" s="71">
        <f t="shared" si="409"/>
        <v>0</v>
      </c>
      <c r="R2944" s="71">
        <f t="shared" si="410"/>
        <v>0</v>
      </c>
      <c r="S2944" s="71">
        <f t="shared" si="411"/>
        <v>0</v>
      </c>
      <c r="T2944" s="71">
        <f t="shared" si="412"/>
        <v>0</v>
      </c>
      <c r="U2944" s="71">
        <f>IF(AND(N2944=1,V2944=1),IF(COUNTIFS(AKTIVITAS!$B$2:$B$3052,B2944,AKTIVITAS!$E$2:$E$3052,H2944)&gt;0,1,0),0)</f>
        <v>0</v>
      </c>
      <c r="V2944" s="71">
        <f>IFERROR(IF(AND(H2944&gt;=INDEX(PEMAGANG!$J$3:$J$36,MATCH(B2944,PEMAGANG!$C$3:$C$36,0)),H2944&lt;=INDEX(PEMAGANG!$K$3:$K$36,MATCH(B2944,PEMAGANG!$C$3:$C$36,0))),1,0),0)</f>
        <v>1</v>
      </c>
      <c r="W2944" s="71">
        <f t="shared" si="413"/>
        <v>0</v>
      </c>
    </row>
    <row r="2945" spans="1:23" x14ac:dyDescent="0.2">
      <c r="A2945" s="71" t="s">
        <v>202</v>
      </c>
      <c r="B2945" s="71" t="s">
        <v>203</v>
      </c>
      <c r="C2945" s="71" t="s">
        <v>187</v>
      </c>
      <c r="D2945" s="71" t="s">
        <v>204</v>
      </c>
      <c r="E2945" s="71" t="s">
        <v>692</v>
      </c>
      <c r="F2945" s="71" t="s">
        <v>298</v>
      </c>
      <c r="G2945" s="88">
        <v>46210.308773148201</v>
      </c>
      <c r="H2945" s="89">
        <v>46210</v>
      </c>
      <c r="I2945" s="71" t="s">
        <v>303</v>
      </c>
      <c r="J2945" s="71">
        <v>-5.9999999999999796</v>
      </c>
      <c r="K2945" s="71" t="s">
        <v>302</v>
      </c>
      <c r="L2945" s="71">
        <f t="shared" si="405"/>
        <v>7</v>
      </c>
      <c r="M2945" s="71" t="str">
        <f>IFERROR(INDEX(KALENDER!$D$3:$D$132,MATCH(H2945,KALENDER!$A$3:$A$132,0)),"Di luar periode")</f>
        <v>Hari Kerja</v>
      </c>
      <c r="N2945" s="71">
        <f t="shared" si="406"/>
        <v>1</v>
      </c>
      <c r="O2945" s="71">
        <f t="shared" si="407"/>
        <v>1</v>
      </c>
      <c r="P2945" s="71">
        <f t="shared" si="408"/>
        <v>1</v>
      </c>
      <c r="Q2945" s="71">
        <f t="shared" si="409"/>
        <v>0</v>
      </c>
      <c r="R2945" s="71">
        <f t="shared" si="410"/>
        <v>0</v>
      </c>
      <c r="S2945" s="71">
        <f t="shared" si="411"/>
        <v>0</v>
      </c>
      <c r="T2945" s="71">
        <f t="shared" si="412"/>
        <v>0</v>
      </c>
      <c r="U2945" s="71">
        <f>IF(AND(N2945=1,V2945=1),IF(COUNTIFS(AKTIVITAS!$B$2:$B$3052,B2945,AKTIVITAS!$E$2:$E$3052,H2945)&gt;0,1,0),0)</f>
        <v>1</v>
      </c>
      <c r="V2945" s="71">
        <f>IFERROR(IF(AND(H2945&gt;=INDEX(PEMAGANG!$J$3:$J$36,MATCH(B2945,PEMAGANG!$C$3:$C$36,0)),H2945&lt;=INDEX(PEMAGANG!$K$3:$K$36,MATCH(B2945,PEMAGANG!$C$3:$C$36,0))),1,0),0)</f>
        <v>1</v>
      </c>
      <c r="W2945" s="71">
        <f t="shared" si="413"/>
        <v>1</v>
      </c>
    </row>
    <row r="2946" spans="1:23" x14ac:dyDescent="0.2">
      <c r="A2946" s="71" t="s">
        <v>202</v>
      </c>
      <c r="B2946" s="71" t="s">
        <v>203</v>
      </c>
      <c r="C2946" s="71" t="s">
        <v>187</v>
      </c>
      <c r="D2946" s="71" t="s">
        <v>204</v>
      </c>
      <c r="E2946" s="71" t="s">
        <v>692</v>
      </c>
      <c r="F2946" s="71" t="s">
        <v>300</v>
      </c>
      <c r="G2946" s="88">
        <v>46210.6932407407</v>
      </c>
      <c r="H2946" s="89">
        <v>46210</v>
      </c>
      <c r="I2946" s="71" t="s">
        <v>317</v>
      </c>
      <c r="J2946" s="71">
        <v>0</v>
      </c>
      <c r="K2946" s="71" t="s">
        <v>302</v>
      </c>
      <c r="L2946" s="71">
        <f t="shared" ref="L2946:L3009" si="414">MONTH(H2946)</f>
        <v>7</v>
      </c>
      <c r="M2946" s="71" t="str">
        <f>IFERROR(INDEX(KALENDER!$D$3:$D$132,MATCH(H2946,KALENDER!$A$3:$A$132,0)),"Di luar periode")</f>
        <v>Hari Kerja</v>
      </c>
      <c r="N2946" s="71">
        <f t="shared" ref="N2946:N3009" si="415">IF(AND(B2946=B2945,H2946=H2945),0,1)</f>
        <v>0</v>
      </c>
      <c r="O2946" s="71">
        <f t="shared" ref="O2946:O3009" si="416">IF(N2946=1,0,O2945)+IF(F2946="MASUK",1,0)</f>
        <v>1</v>
      </c>
      <c r="P2946" s="71">
        <f t="shared" ref="P2946:P3009" si="417">IF(AND(N2946=1,M2946="Hari Kerja",V2946=1),1,0)</f>
        <v>0</v>
      </c>
      <c r="Q2946" s="71">
        <f t="shared" ref="Q2946:Q3009" si="418">IF(AND(N2946=1,OR(M2946&lt;&gt;"Hari Kerja",V2946=0)),1,0)</f>
        <v>0</v>
      </c>
      <c r="R2946" s="71">
        <f t="shared" ref="R2946:R3009" si="419">IF(AND(F2946="MASUK",O2946=1,N(J2946)&gt;0,V2946=1),1,0)</f>
        <v>0</v>
      </c>
      <c r="S2946" s="71">
        <f t="shared" ref="S2946:S3009" si="420">R2946*N(J2946)</f>
        <v>0</v>
      </c>
      <c r="T2946" s="71">
        <f t="shared" ref="T2946:T3009" si="421">IF(AND(N2946=1,V2946=1),IF(AND(COUNTIFS($B$2:$B$4094,B2946,$H$2:$H$4094,H2946,$F$2:$F$4094,"MASUK")&gt;0,COUNTIFS($B$2:$B$4094,B2946,$H$2:$H$4094,H2946,$F$2:$F$4094,"PULANG")=0),1,0),0)</f>
        <v>0</v>
      </c>
      <c r="U2946" s="71">
        <f>IF(AND(N2946=1,V2946=1),IF(COUNTIFS(AKTIVITAS!$B$2:$B$3052,B2946,AKTIVITAS!$E$2:$E$3052,H2946)&gt;0,1,0),0)</f>
        <v>0</v>
      </c>
      <c r="V2946" s="71">
        <f>IFERROR(IF(AND(H2946&gt;=INDEX(PEMAGANG!$J$3:$J$36,MATCH(B2946,PEMAGANG!$C$3:$C$36,0)),H2946&lt;=INDEX(PEMAGANG!$K$3:$K$36,MATCH(B2946,PEMAGANG!$C$3:$C$36,0))),1,0),0)</f>
        <v>1</v>
      </c>
      <c r="W2946" s="71">
        <f t="shared" ref="W2946:W3009" si="422">N2946*V2946</f>
        <v>0</v>
      </c>
    </row>
    <row r="2947" spans="1:23" x14ac:dyDescent="0.2">
      <c r="A2947" s="71" t="s">
        <v>202</v>
      </c>
      <c r="B2947" s="71" t="s">
        <v>203</v>
      </c>
      <c r="C2947" s="71" t="s">
        <v>187</v>
      </c>
      <c r="D2947" s="71" t="s">
        <v>204</v>
      </c>
      <c r="E2947" s="71" t="s">
        <v>692</v>
      </c>
      <c r="F2947" s="71" t="s">
        <v>298</v>
      </c>
      <c r="G2947" s="88">
        <v>46211.309641203698</v>
      </c>
      <c r="H2947" s="89">
        <v>46211</v>
      </c>
      <c r="I2947" s="71" t="s">
        <v>307</v>
      </c>
      <c r="J2947" s="71">
        <v>-4.9999999999999796</v>
      </c>
      <c r="K2947" s="71" t="s">
        <v>302</v>
      </c>
      <c r="L2947" s="71">
        <f t="shared" si="414"/>
        <v>7</v>
      </c>
      <c r="M2947" s="71" t="str">
        <f>IFERROR(INDEX(KALENDER!$D$3:$D$132,MATCH(H2947,KALENDER!$A$3:$A$132,0)),"Di luar periode")</f>
        <v>WFH</v>
      </c>
      <c r="N2947" s="71">
        <f t="shared" si="415"/>
        <v>1</v>
      </c>
      <c r="O2947" s="71">
        <f t="shared" si="416"/>
        <v>1</v>
      </c>
      <c r="P2947" s="71">
        <f t="shared" si="417"/>
        <v>0</v>
      </c>
      <c r="Q2947" s="71">
        <f t="shared" si="418"/>
        <v>1</v>
      </c>
      <c r="R2947" s="71">
        <f t="shared" si="419"/>
        <v>0</v>
      </c>
      <c r="S2947" s="71">
        <f t="shared" si="420"/>
        <v>0</v>
      </c>
      <c r="T2947" s="71">
        <f t="shared" si="421"/>
        <v>0</v>
      </c>
      <c r="U2947" s="71">
        <f>IF(AND(N2947=1,V2947=1),IF(COUNTIFS(AKTIVITAS!$B$2:$B$3052,B2947,AKTIVITAS!$E$2:$E$3052,H2947)&gt;0,1,0),0)</f>
        <v>1</v>
      </c>
      <c r="V2947" s="71">
        <f>IFERROR(IF(AND(H2947&gt;=INDEX(PEMAGANG!$J$3:$J$36,MATCH(B2947,PEMAGANG!$C$3:$C$36,0)),H2947&lt;=INDEX(PEMAGANG!$K$3:$K$36,MATCH(B2947,PEMAGANG!$C$3:$C$36,0))),1,0),0)</f>
        <v>1</v>
      </c>
      <c r="W2947" s="71">
        <f t="shared" si="422"/>
        <v>1</v>
      </c>
    </row>
    <row r="2948" spans="1:23" x14ac:dyDescent="0.2">
      <c r="A2948" s="71" t="s">
        <v>202</v>
      </c>
      <c r="B2948" s="71" t="s">
        <v>203</v>
      </c>
      <c r="C2948" s="71" t="s">
        <v>187</v>
      </c>
      <c r="D2948" s="71" t="s">
        <v>204</v>
      </c>
      <c r="E2948" s="71" t="s">
        <v>692</v>
      </c>
      <c r="F2948" s="71" t="s">
        <v>300</v>
      </c>
      <c r="G2948" s="88">
        <v>46211.690358796302</v>
      </c>
      <c r="H2948" s="89">
        <v>46211</v>
      </c>
      <c r="I2948" s="71" t="s">
        <v>314</v>
      </c>
      <c r="J2948" s="71">
        <v>0</v>
      </c>
      <c r="K2948" s="71" t="s">
        <v>302</v>
      </c>
      <c r="L2948" s="71">
        <f t="shared" si="414"/>
        <v>7</v>
      </c>
      <c r="M2948" s="71" t="str">
        <f>IFERROR(INDEX(KALENDER!$D$3:$D$132,MATCH(H2948,KALENDER!$A$3:$A$132,0)),"Di luar periode")</f>
        <v>WFH</v>
      </c>
      <c r="N2948" s="71">
        <f t="shared" si="415"/>
        <v>0</v>
      </c>
      <c r="O2948" s="71">
        <f t="shared" si="416"/>
        <v>1</v>
      </c>
      <c r="P2948" s="71">
        <f t="shared" si="417"/>
        <v>0</v>
      </c>
      <c r="Q2948" s="71">
        <f t="shared" si="418"/>
        <v>0</v>
      </c>
      <c r="R2948" s="71">
        <f t="shared" si="419"/>
        <v>0</v>
      </c>
      <c r="S2948" s="71">
        <f t="shared" si="420"/>
        <v>0</v>
      </c>
      <c r="T2948" s="71">
        <f t="shared" si="421"/>
        <v>0</v>
      </c>
      <c r="U2948" s="71">
        <f>IF(AND(N2948=1,V2948=1),IF(COUNTIFS(AKTIVITAS!$B$2:$B$3052,B2948,AKTIVITAS!$E$2:$E$3052,H2948)&gt;0,1,0),0)</f>
        <v>0</v>
      </c>
      <c r="V2948" s="71">
        <f>IFERROR(IF(AND(H2948&gt;=INDEX(PEMAGANG!$J$3:$J$36,MATCH(B2948,PEMAGANG!$C$3:$C$36,0)),H2948&lt;=INDEX(PEMAGANG!$K$3:$K$36,MATCH(B2948,PEMAGANG!$C$3:$C$36,0))),1,0),0)</f>
        <v>1</v>
      </c>
      <c r="W2948" s="71">
        <f t="shared" si="422"/>
        <v>0</v>
      </c>
    </row>
    <row r="2949" spans="1:23" x14ac:dyDescent="0.2">
      <c r="A2949" s="71" t="s">
        <v>202</v>
      </c>
      <c r="B2949" s="71" t="s">
        <v>203</v>
      </c>
      <c r="C2949" s="71" t="s">
        <v>187</v>
      </c>
      <c r="D2949" s="71" t="s">
        <v>204</v>
      </c>
      <c r="E2949" s="71" t="s">
        <v>692</v>
      </c>
      <c r="F2949" s="71" t="s">
        <v>298</v>
      </c>
      <c r="G2949" s="88">
        <v>46212.315231481502</v>
      </c>
      <c r="H2949" s="89">
        <v>46212</v>
      </c>
      <c r="I2949" s="71" t="s">
        <v>383</v>
      </c>
      <c r="J2949" s="71">
        <v>2.9999999999999898</v>
      </c>
      <c r="K2949" s="71" t="s">
        <v>293</v>
      </c>
      <c r="L2949" s="71">
        <f t="shared" si="414"/>
        <v>7</v>
      </c>
      <c r="M2949" s="71" t="str">
        <f>IFERROR(INDEX(KALENDER!$D$3:$D$132,MATCH(H2949,KALENDER!$A$3:$A$132,0)),"Di luar periode")</f>
        <v>Hari Kerja</v>
      </c>
      <c r="N2949" s="71">
        <f t="shared" si="415"/>
        <v>1</v>
      </c>
      <c r="O2949" s="71">
        <f t="shared" si="416"/>
        <v>1</v>
      </c>
      <c r="P2949" s="71">
        <f t="shared" si="417"/>
        <v>1</v>
      </c>
      <c r="Q2949" s="71">
        <f t="shared" si="418"/>
        <v>0</v>
      </c>
      <c r="R2949" s="71">
        <f t="shared" si="419"/>
        <v>1</v>
      </c>
      <c r="S2949" s="71">
        <f t="shared" si="420"/>
        <v>2.9999999999999898</v>
      </c>
      <c r="T2949" s="71">
        <f t="shared" si="421"/>
        <v>0</v>
      </c>
      <c r="U2949" s="71">
        <f>IF(AND(N2949=1,V2949=1),IF(COUNTIFS(AKTIVITAS!$B$2:$B$3052,B2949,AKTIVITAS!$E$2:$E$3052,H2949)&gt;0,1,0),0)</f>
        <v>1</v>
      </c>
      <c r="V2949" s="71">
        <f>IFERROR(IF(AND(H2949&gt;=INDEX(PEMAGANG!$J$3:$J$36,MATCH(B2949,PEMAGANG!$C$3:$C$36,0)),H2949&lt;=INDEX(PEMAGANG!$K$3:$K$36,MATCH(B2949,PEMAGANG!$C$3:$C$36,0))),1,0),0)</f>
        <v>1</v>
      </c>
      <c r="W2949" s="71">
        <f t="shared" si="422"/>
        <v>1</v>
      </c>
    </row>
    <row r="2950" spans="1:23" x14ac:dyDescent="0.2">
      <c r="A2950" s="71" t="s">
        <v>202</v>
      </c>
      <c r="B2950" s="71" t="s">
        <v>203</v>
      </c>
      <c r="C2950" s="71" t="s">
        <v>187</v>
      </c>
      <c r="D2950" s="71" t="s">
        <v>204</v>
      </c>
      <c r="E2950" s="71" t="s">
        <v>692</v>
      </c>
      <c r="F2950" s="71" t="s">
        <v>300</v>
      </c>
      <c r="G2950" s="88">
        <v>46212.688796296301</v>
      </c>
      <c r="H2950" s="89">
        <v>46212</v>
      </c>
      <c r="I2950" s="71" t="s">
        <v>336</v>
      </c>
      <c r="J2950" s="71">
        <v>0</v>
      </c>
      <c r="K2950" s="71" t="s">
        <v>302</v>
      </c>
      <c r="L2950" s="71">
        <f t="shared" si="414"/>
        <v>7</v>
      </c>
      <c r="M2950" s="71" t="str">
        <f>IFERROR(INDEX(KALENDER!$D$3:$D$132,MATCH(H2950,KALENDER!$A$3:$A$132,0)),"Di luar periode")</f>
        <v>Hari Kerja</v>
      </c>
      <c r="N2950" s="71">
        <f t="shared" si="415"/>
        <v>0</v>
      </c>
      <c r="O2950" s="71">
        <f t="shared" si="416"/>
        <v>1</v>
      </c>
      <c r="P2950" s="71">
        <f t="shared" si="417"/>
        <v>0</v>
      </c>
      <c r="Q2950" s="71">
        <f t="shared" si="418"/>
        <v>0</v>
      </c>
      <c r="R2950" s="71">
        <f t="shared" si="419"/>
        <v>0</v>
      </c>
      <c r="S2950" s="71">
        <f t="shared" si="420"/>
        <v>0</v>
      </c>
      <c r="T2950" s="71">
        <f t="shared" si="421"/>
        <v>0</v>
      </c>
      <c r="U2950" s="71">
        <f>IF(AND(N2950=1,V2950=1),IF(COUNTIFS(AKTIVITAS!$B$2:$B$3052,B2950,AKTIVITAS!$E$2:$E$3052,H2950)&gt;0,1,0),0)</f>
        <v>0</v>
      </c>
      <c r="V2950" s="71">
        <f>IFERROR(IF(AND(H2950&gt;=INDEX(PEMAGANG!$J$3:$J$36,MATCH(B2950,PEMAGANG!$C$3:$C$36,0)),H2950&lt;=INDEX(PEMAGANG!$K$3:$K$36,MATCH(B2950,PEMAGANG!$C$3:$C$36,0))),1,0),0)</f>
        <v>1</v>
      </c>
      <c r="W2950" s="71">
        <f t="shared" si="422"/>
        <v>0</v>
      </c>
    </row>
    <row r="2951" spans="1:23" x14ac:dyDescent="0.2">
      <c r="A2951" s="71" t="s">
        <v>202</v>
      </c>
      <c r="B2951" s="71" t="s">
        <v>203</v>
      </c>
      <c r="C2951" s="71" t="s">
        <v>187</v>
      </c>
      <c r="D2951" s="71" t="s">
        <v>204</v>
      </c>
      <c r="E2951" s="71" t="s">
        <v>692</v>
      </c>
      <c r="F2951" s="71" t="s">
        <v>298</v>
      </c>
      <c r="G2951" s="88">
        <v>46213.307418981502</v>
      </c>
      <c r="H2951" s="89">
        <v>46213</v>
      </c>
      <c r="I2951" s="71" t="s">
        <v>313</v>
      </c>
      <c r="J2951" s="71">
        <v>-8.0000000000000497</v>
      </c>
      <c r="K2951" s="71" t="s">
        <v>302</v>
      </c>
      <c r="L2951" s="71">
        <f t="shared" si="414"/>
        <v>7</v>
      </c>
      <c r="M2951" s="71" t="str">
        <f>IFERROR(INDEX(KALENDER!$D$3:$D$132,MATCH(H2951,KALENDER!$A$3:$A$132,0)),"Di luar periode")</f>
        <v>Hari Kerja</v>
      </c>
      <c r="N2951" s="71">
        <f t="shared" si="415"/>
        <v>1</v>
      </c>
      <c r="O2951" s="71">
        <f t="shared" si="416"/>
        <v>1</v>
      </c>
      <c r="P2951" s="71">
        <f t="shared" si="417"/>
        <v>1</v>
      </c>
      <c r="Q2951" s="71">
        <f t="shared" si="418"/>
        <v>0</v>
      </c>
      <c r="R2951" s="71">
        <f t="shared" si="419"/>
        <v>0</v>
      </c>
      <c r="S2951" s="71">
        <f t="shared" si="420"/>
        <v>0</v>
      </c>
      <c r="T2951" s="71">
        <f t="shared" si="421"/>
        <v>0</v>
      </c>
      <c r="U2951" s="71">
        <f>IF(AND(N2951=1,V2951=1),IF(COUNTIFS(AKTIVITAS!$B$2:$B$3052,B2951,AKTIVITAS!$E$2:$E$3052,H2951)&gt;0,1,0),0)</f>
        <v>1</v>
      </c>
      <c r="V2951" s="71">
        <f>IFERROR(IF(AND(H2951&gt;=INDEX(PEMAGANG!$J$3:$J$36,MATCH(B2951,PEMAGANG!$C$3:$C$36,0)),H2951&lt;=INDEX(PEMAGANG!$K$3:$K$36,MATCH(B2951,PEMAGANG!$C$3:$C$36,0))),1,0),0)</f>
        <v>1</v>
      </c>
      <c r="W2951" s="71">
        <f t="shared" si="422"/>
        <v>1</v>
      </c>
    </row>
    <row r="2952" spans="1:23" x14ac:dyDescent="0.2">
      <c r="A2952" s="71" t="s">
        <v>202</v>
      </c>
      <c r="B2952" s="71" t="s">
        <v>203</v>
      </c>
      <c r="C2952" s="71" t="s">
        <v>187</v>
      </c>
      <c r="D2952" s="71" t="s">
        <v>204</v>
      </c>
      <c r="E2952" s="71" t="s">
        <v>692</v>
      </c>
      <c r="F2952" s="71" t="s">
        <v>300</v>
      </c>
      <c r="G2952" s="88">
        <v>46213.693969907399</v>
      </c>
      <c r="H2952" s="89">
        <v>46213</v>
      </c>
      <c r="I2952" s="71" t="s">
        <v>308</v>
      </c>
      <c r="J2952" s="71">
        <v>0</v>
      </c>
      <c r="K2952" s="71" t="s">
        <v>302</v>
      </c>
      <c r="L2952" s="71">
        <f t="shared" si="414"/>
        <v>7</v>
      </c>
      <c r="M2952" s="71" t="str">
        <f>IFERROR(INDEX(KALENDER!$D$3:$D$132,MATCH(H2952,KALENDER!$A$3:$A$132,0)),"Di luar periode")</f>
        <v>Hari Kerja</v>
      </c>
      <c r="N2952" s="71">
        <f t="shared" si="415"/>
        <v>0</v>
      </c>
      <c r="O2952" s="71">
        <f t="shared" si="416"/>
        <v>1</v>
      </c>
      <c r="P2952" s="71">
        <f t="shared" si="417"/>
        <v>0</v>
      </c>
      <c r="Q2952" s="71">
        <f t="shared" si="418"/>
        <v>0</v>
      </c>
      <c r="R2952" s="71">
        <f t="shared" si="419"/>
        <v>0</v>
      </c>
      <c r="S2952" s="71">
        <f t="shared" si="420"/>
        <v>0</v>
      </c>
      <c r="T2952" s="71">
        <f t="shared" si="421"/>
        <v>0</v>
      </c>
      <c r="U2952" s="71">
        <f>IF(AND(N2952=1,V2952=1),IF(COUNTIFS(AKTIVITAS!$B$2:$B$3052,B2952,AKTIVITAS!$E$2:$E$3052,H2952)&gt;0,1,0),0)</f>
        <v>0</v>
      </c>
      <c r="V2952" s="71">
        <f>IFERROR(IF(AND(H2952&gt;=INDEX(PEMAGANG!$J$3:$J$36,MATCH(B2952,PEMAGANG!$C$3:$C$36,0)),H2952&lt;=INDEX(PEMAGANG!$K$3:$K$36,MATCH(B2952,PEMAGANG!$C$3:$C$36,0))),1,0),0)</f>
        <v>1</v>
      </c>
      <c r="W2952" s="71">
        <f t="shared" si="422"/>
        <v>0</v>
      </c>
    </row>
    <row r="2953" spans="1:23" x14ac:dyDescent="0.2">
      <c r="A2953" s="71" t="s">
        <v>202</v>
      </c>
      <c r="B2953" s="71" t="s">
        <v>203</v>
      </c>
      <c r="C2953" s="71" t="s">
        <v>187</v>
      </c>
      <c r="D2953" s="71" t="s">
        <v>204</v>
      </c>
      <c r="E2953" s="71" t="s">
        <v>692</v>
      </c>
      <c r="F2953" s="71" t="s">
        <v>298</v>
      </c>
      <c r="G2953" s="88">
        <v>46216.310335648202</v>
      </c>
      <c r="H2953" s="89">
        <v>46216</v>
      </c>
      <c r="I2953" s="71" t="s">
        <v>315</v>
      </c>
      <c r="J2953" s="71">
        <v>-3.9999999999999898</v>
      </c>
      <c r="K2953" s="71" t="s">
        <v>302</v>
      </c>
      <c r="L2953" s="71">
        <f t="shared" si="414"/>
        <v>7</v>
      </c>
      <c r="M2953" s="71" t="str">
        <f>IFERROR(INDEX(KALENDER!$D$3:$D$132,MATCH(H2953,KALENDER!$A$3:$A$132,0)),"Di luar periode")</f>
        <v>Hari Kerja</v>
      </c>
      <c r="N2953" s="71">
        <f t="shared" si="415"/>
        <v>1</v>
      </c>
      <c r="O2953" s="71">
        <f t="shared" si="416"/>
        <v>1</v>
      </c>
      <c r="P2953" s="71">
        <f t="shared" si="417"/>
        <v>1</v>
      </c>
      <c r="Q2953" s="71">
        <f t="shared" si="418"/>
        <v>0</v>
      </c>
      <c r="R2953" s="71">
        <f t="shared" si="419"/>
        <v>0</v>
      </c>
      <c r="S2953" s="71">
        <f t="shared" si="420"/>
        <v>0</v>
      </c>
      <c r="T2953" s="71">
        <f t="shared" si="421"/>
        <v>0</v>
      </c>
      <c r="U2953" s="71">
        <f>IF(AND(N2953=1,V2953=1),IF(COUNTIFS(AKTIVITAS!$B$2:$B$3052,B2953,AKTIVITAS!$E$2:$E$3052,H2953)&gt;0,1,0),0)</f>
        <v>1</v>
      </c>
      <c r="V2953" s="71">
        <f>IFERROR(IF(AND(H2953&gt;=INDEX(PEMAGANG!$J$3:$J$36,MATCH(B2953,PEMAGANG!$C$3:$C$36,0)),H2953&lt;=INDEX(PEMAGANG!$K$3:$K$36,MATCH(B2953,PEMAGANG!$C$3:$C$36,0))),1,0),0)</f>
        <v>1</v>
      </c>
      <c r="W2953" s="71">
        <f t="shared" si="422"/>
        <v>1</v>
      </c>
    </row>
    <row r="2954" spans="1:23" x14ac:dyDescent="0.2">
      <c r="A2954" s="71" t="s">
        <v>202</v>
      </c>
      <c r="B2954" s="71" t="s">
        <v>203</v>
      </c>
      <c r="C2954" s="71" t="s">
        <v>187</v>
      </c>
      <c r="D2954" s="71" t="s">
        <v>204</v>
      </c>
      <c r="E2954" s="71" t="s">
        <v>692</v>
      </c>
      <c r="F2954" s="71" t="s">
        <v>300</v>
      </c>
      <c r="G2954" s="88">
        <v>46216.688900462999</v>
      </c>
      <c r="H2954" s="89">
        <v>46216</v>
      </c>
      <c r="I2954" s="71" t="s">
        <v>306</v>
      </c>
      <c r="J2954" s="71">
        <v>0</v>
      </c>
      <c r="K2954" s="71" t="s">
        <v>302</v>
      </c>
      <c r="L2954" s="71">
        <f t="shared" si="414"/>
        <v>7</v>
      </c>
      <c r="M2954" s="71" t="str">
        <f>IFERROR(INDEX(KALENDER!$D$3:$D$132,MATCH(H2954,KALENDER!$A$3:$A$132,0)),"Di luar periode")</f>
        <v>Hari Kerja</v>
      </c>
      <c r="N2954" s="71">
        <f t="shared" si="415"/>
        <v>0</v>
      </c>
      <c r="O2954" s="71">
        <f t="shared" si="416"/>
        <v>1</v>
      </c>
      <c r="P2954" s="71">
        <f t="shared" si="417"/>
        <v>0</v>
      </c>
      <c r="Q2954" s="71">
        <f t="shared" si="418"/>
        <v>0</v>
      </c>
      <c r="R2954" s="71">
        <f t="shared" si="419"/>
        <v>0</v>
      </c>
      <c r="S2954" s="71">
        <f t="shared" si="420"/>
        <v>0</v>
      </c>
      <c r="T2954" s="71">
        <f t="shared" si="421"/>
        <v>0</v>
      </c>
      <c r="U2954" s="71">
        <f>IF(AND(N2954=1,V2954=1),IF(COUNTIFS(AKTIVITAS!$B$2:$B$3052,B2954,AKTIVITAS!$E$2:$E$3052,H2954)&gt;0,1,0),0)</f>
        <v>0</v>
      </c>
      <c r="V2954" s="71">
        <f>IFERROR(IF(AND(H2954&gt;=INDEX(PEMAGANG!$J$3:$J$36,MATCH(B2954,PEMAGANG!$C$3:$C$36,0)),H2954&lt;=INDEX(PEMAGANG!$K$3:$K$36,MATCH(B2954,PEMAGANG!$C$3:$C$36,0))),1,0),0)</f>
        <v>1</v>
      </c>
      <c r="W2954" s="71">
        <f t="shared" si="422"/>
        <v>0</v>
      </c>
    </row>
    <row r="2955" spans="1:23" x14ac:dyDescent="0.2">
      <c r="A2955" s="71" t="s">
        <v>202</v>
      </c>
      <c r="B2955" s="71" t="s">
        <v>203</v>
      </c>
      <c r="C2955" s="71" t="s">
        <v>187</v>
      </c>
      <c r="D2955" s="71" t="s">
        <v>204</v>
      </c>
      <c r="E2955" s="71" t="s">
        <v>692</v>
      </c>
      <c r="F2955" s="71" t="s">
        <v>298</v>
      </c>
      <c r="G2955" s="88">
        <v>46217.309583333299</v>
      </c>
      <c r="H2955" s="89">
        <v>46217</v>
      </c>
      <c r="I2955" s="71" t="s">
        <v>307</v>
      </c>
      <c r="J2955" s="71">
        <v>-4.9999999999999796</v>
      </c>
      <c r="K2955" s="71" t="s">
        <v>302</v>
      </c>
      <c r="L2955" s="71">
        <f t="shared" si="414"/>
        <v>7</v>
      </c>
      <c r="M2955" s="71" t="str">
        <f>IFERROR(INDEX(KALENDER!$D$3:$D$132,MATCH(H2955,KALENDER!$A$3:$A$132,0)),"Di luar periode")</f>
        <v>Hari Kerja</v>
      </c>
      <c r="N2955" s="71">
        <f t="shared" si="415"/>
        <v>1</v>
      </c>
      <c r="O2955" s="71">
        <f t="shared" si="416"/>
        <v>1</v>
      </c>
      <c r="P2955" s="71">
        <f t="shared" si="417"/>
        <v>1</v>
      </c>
      <c r="Q2955" s="71">
        <f t="shared" si="418"/>
        <v>0</v>
      </c>
      <c r="R2955" s="71">
        <f t="shared" si="419"/>
        <v>0</v>
      </c>
      <c r="S2955" s="71">
        <f t="shared" si="420"/>
        <v>0</v>
      </c>
      <c r="T2955" s="71">
        <f t="shared" si="421"/>
        <v>0</v>
      </c>
      <c r="U2955" s="71">
        <f>IF(AND(N2955=1,V2955=1),IF(COUNTIFS(AKTIVITAS!$B$2:$B$3052,B2955,AKTIVITAS!$E$2:$E$3052,H2955)&gt;0,1,0),0)</f>
        <v>1</v>
      </c>
      <c r="V2955" s="71">
        <f>IFERROR(IF(AND(H2955&gt;=INDEX(PEMAGANG!$J$3:$J$36,MATCH(B2955,PEMAGANG!$C$3:$C$36,0)),H2955&lt;=INDEX(PEMAGANG!$K$3:$K$36,MATCH(B2955,PEMAGANG!$C$3:$C$36,0))),1,0),0)</f>
        <v>1</v>
      </c>
      <c r="W2955" s="71">
        <f t="shared" si="422"/>
        <v>1</v>
      </c>
    </row>
    <row r="2956" spans="1:23" x14ac:dyDescent="0.2">
      <c r="A2956" s="71" t="s">
        <v>202</v>
      </c>
      <c r="B2956" s="71" t="s">
        <v>203</v>
      </c>
      <c r="C2956" s="71" t="s">
        <v>187</v>
      </c>
      <c r="D2956" s="71" t="s">
        <v>204</v>
      </c>
      <c r="E2956" s="71" t="s">
        <v>692</v>
      </c>
      <c r="F2956" s="71" t="s">
        <v>300</v>
      </c>
      <c r="G2956" s="88">
        <v>46217.688599537003</v>
      </c>
      <c r="H2956" s="89">
        <v>46217</v>
      </c>
      <c r="I2956" s="71" t="s">
        <v>336</v>
      </c>
      <c r="J2956" s="71">
        <v>0</v>
      </c>
      <c r="K2956" s="71" t="s">
        <v>302</v>
      </c>
      <c r="L2956" s="71">
        <f t="shared" si="414"/>
        <v>7</v>
      </c>
      <c r="M2956" s="71" t="str">
        <f>IFERROR(INDEX(KALENDER!$D$3:$D$132,MATCH(H2956,KALENDER!$A$3:$A$132,0)),"Di luar periode")</f>
        <v>Hari Kerja</v>
      </c>
      <c r="N2956" s="71">
        <f t="shared" si="415"/>
        <v>0</v>
      </c>
      <c r="O2956" s="71">
        <f t="shared" si="416"/>
        <v>1</v>
      </c>
      <c r="P2956" s="71">
        <f t="shared" si="417"/>
        <v>0</v>
      </c>
      <c r="Q2956" s="71">
        <f t="shared" si="418"/>
        <v>0</v>
      </c>
      <c r="R2956" s="71">
        <f t="shared" si="419"/>
        <v>0</v>
      </c>
      <c r="S2956" s="71">
        <f t="shared" si="420"/>
        <v>0</v>
      </c>
      <c r="T2956" s="71">
        <f t="shared" si="421"/>
        <v>0</v>
      </c>
      <c r="U2956" s="71">
        <f>IF(AND(N2956=1,V2956=1),IF(COUNTIFS(AKTIVITAS!$B$2:$B$3052,B2956,AKTIVITAS!$E$2:$E$3052,H2956)&gt;0,1,0),0)</f>
        <v>0</v>
      </c>
      <c r="V2956" s="71">
        <f>IFERROR(IF(AND(H2956&gt;=INDEX(PEMAGANG!$J$3:$J$36,MATCH(B2956,PEMAGANG!$C$3:$C$36,0)),H2956&lt;=INDEX(PEMAGANG!$K$3:$K$36,MATCH(B2956,PEMAGANG!$C$3:$C$36,0))),1,0),0)</f>
        <v>1</v>
      </c>
      <c r="W2956" s="71">
        <f t="shared" si="422"/>
        <v>0</v>
      </c>
    </row>
    <row r="2957" spans="1:23" x14ac:dyDescent="0.2">
      <c r="A2957" s="71" t="s">
        <v>202</v>
      </c>
      <c r="B2957" s="71" t="s">
        <v>203</v>
      </c>
      <c r="C2957" s="71" t="s">
        <v>187</v>
      </c>
      <c r="D2957" s="71" t="s">
        <v>204</v>
      </c>
      <c r="E2957" s="71" t="s">
        <v>692</v>
      </c>
      <c r="F2957" s="71" t="s">
        <v>298</v>
      </c>
      <c r="G2957" s="88">
        <v>46219.295671296299</v>
      </c>
      <c r="H2957" s="89">
        <v>46219</v>
      </c>
      <c r="I2957" s="71" t="s">
        <v>355</v>
      </c>
      <c r="J2957" s="71">
        <v>-25</v>
      </c>
      <c r="K2957" s="71" t="s">
        <v>302</v>
      </c>
      <c r="L2957" s="71">
        <f t="shared" si="414"/>
        <v>7</v>
      </c>
      <c r="M2957" s="71" t="str">
        <f>IFERROR(INDEX(KALENDER!$D$3:$D$132,MATCH(H2957,KALENDER!$A$3:$A$132,0)),"Di luar periode")</f>
        <v>Hari Kerja</v>
      </c>
      <c r="N2957" s="71">
        <f t="shared" si="415"/>
        <v>1</v>
      </c>
      <c r="O2957" s="71">
        <f t="shared" si="416"/>
        <v>1</v>
      </c>
      <c r="P2957" s="71">
        <f t="shared" si="417"/>
        <v>1</v>
      </c>
      <c r="Q2957" s="71">
        <f t="shared" si="418"/>
        <v>0</v>
      </c>
      <c r="R2957" s="71">
        <f t="shared" si="419"/>
        <v>0</v>
      </c>
      <c r="S2957" s="71">
        <f t="shared" si="420"/>
        <v>0</v>
      </c>
      <c r="T2957" s="71">
        <f t="shared" si="421"/>
        <v>0</v>
      </c>
      <c r="U2957" s="71">
        <f>IF(AND(N2957=1,V2957=1),IF(COUNTIFS(AKTIVITAS!$B$2:$B$3052,B2957,AKTIVITAS!$E$2:$E$3052,H2957)&gt;0,1,0),0)</f>
        <v>1</v>
      </c>
      <c r="V2957" s="71">
        <f>IFERROR(IF(AND(H2957&gt;=INDEX(PEMAGANG!$J$3:$J$36,MATCH(B2957,PEMAGANG!$C$3:$C$36,0)),H2957&lt;=INDEX(PEMAGANG!$K$3:$K$36,MATCH(B2957,PEMAGANG!$C$3:$C$36,0))),1,0),0)</f>
        <v>1</v>
      </c>
      <c r="W2957" s="71">
        <f t="shared" si="422"/>
        <v>1</v>
      </c>
    </row>
    <row r="2958" spans="1:23" x14ac:dyDescent="0.2">
      <c r="A2958" s="71" t="s">
        <v>202</v>
      </c>
      <c r="B2958" s="71" t="s">
        <v>203</v>
      </c>
      <c r="C2958" s="71" t="s">
        <v>187</v>
      </c>
      <c r="D2958" s="71" t="s">
        <v>204</v>
      </c>
      <c r="E2958" s="71" t="s">
        <v>692</v>
      </c>
      <c r="F2958" s="71" t="s">
        <v>300</v>
      </c>
      <c r="G2958" s="88">
        <v>46219.6886226852</v>
      </c>
      <c r="H2958" s="89">
        <v>46219</v>
      </c>
      <c r="I2958" s="71" t="s">
        <v>336</v>
      </c>
      <c r="J2958" s="71">
        <v>0</v>
      </c>
      <c r="K2958" s="71" t="s">
        <v>302</v>
      </c>
      <c r="L2958" s="71">
        <f t="shared" si="414"/>
        <v>7</v>
      </c>
      <c r="M2958" s="71" t="str">
        <f>IFERROR(INDEX(KALENDER!$D$3:$D$132,MATCH(H2958,KALENDER!$A$3:$A$132,0)),"Di luar periode")</f>
        <v>Hari Kerja</v>
      </c>
      <c r="N2958" s="71">
        <f t="shared" si="415"/>
        <v>0</v>
      </c>
      <c r="O2958" s="71">
        <f t="shared" si="416"/>
        <v>1</v>
      </c>
      <c r="P2958" s="71">
        <f t="shared" si="417"/>
        <v>0</v>
      </c>
      <c r="Q2958" s="71">
        <f t="shared" si="418"/>
        <v>0</v>
      </c>
      <c r="R2958" s="71">
        <f t="shared" si="419"/>
        <v>0</v>
      </c>
      <c r="S2958" s="71">
        <f t="shared" si="420"/>
        <v>0</v>
      </c>
      <c r="T2958" s="71">
        <f t="shared" si="421"/>
        <v>0</v>
      </c>
      <c r="U2958" s="71">
        <f>IF(AND(N2958=1,V2958=1),IF(COUNTIFS(AKTIVITAS!$B$2:$B$3052,B2958,AKTIVITAS!$E$2:$E$3052,H2958)&gt;0,1,0),0)</f>
        <v>0</v>
      </c>
      <c r="V2958" s="71">
        <f>IFERROR(IF(AND(H2958&gt;=INDEX(PEMAGANG!$J$3:$J$36,MATCH(B2958,PEMAGANG!$C$3:$C$36,0)),H2958&lt;=INDEX(PEMAGANG!$K$3:$K$36,MATCH(B2958,PEMAGANG!$C$3:$C$36,0))),1,0),0)</f>
        <v>1</v>
      </c>
      <c r="W2958" s="71">
        <f t="shared" si="422"/>
        <v>0</v>
      </c>
    </row>
    <row r="2959" spans="1:23" x14ac:dyDescent="0.2">
      <c r="A2959" s="71" t="s">
        <v>202</v>
      </c>
      <c r="B2959" s="71" t="s">
        <v>203</v>
      </c>
      <c r="C2959" s="71" t="s">
        <v>187</v>
      </c>
      <c r="D2959" s="71" t="s">
        <v>204</v>
      </c>
      <c r="E2959" s="71" t="s">
        <v>692</v>
      </c>
      <c r="F2959" s="71" t="s">
        <v>298</v>
      </c>
      <c r="G2959" s="88">
        <v>46220.312303240702</v>
      </c>
      <c r="H2959" s="89">
        <v>46220</v>
      </c>
      <c r="I2959" s="71" t="s">
        <v>365</v>
      </c>
      <c r="J2959" s="71">
        <v>-0.999999999999996</v>
      </c>
      <c r="K2959" s="71" t="s">
        <v>302</v>
      </c>
      <c r="L2959" s="71">
        <f t="shared" si="414"/>
        <v>7</v>
      </c>
      <c r="M2959" s="71" t="str">
        <f>IFERROR(INDEX(KALENDER!$D$3:$D$132,MATCH(H2959,KALENDER!$A$3:$A$132,0)),"Di luar periode")</f>
        <v>Hari Kerja</v>
      </c>
      <c r="N2959" s="71">
        <f t="shared" si="415"/>
        <v>1</v>
      </c>
      <c r="O2959" s="71">
        <f t="shared" si="416"/>
        <v>1</v>
      </c>
      <c r="P2959" s="71">
        <f t="shared" si="417"/>
        <v>1</v>
      </c>
      <c r="Q2959" s="71">
        <f t="shared" si="418"/>
        <v>0</v>
      </c>
      <c r="R2959" s="71">
        <f t="shared" si="419"/>
        <v>0</v>
      </c>
      <c r="S2959" s="71">
        <f t="shared" si="420"/>
        <v>0</v>
      </c>
      <c r="T2959" s="71">
        <f t="shared" si="421"/>
        <v>0</v>
      </c>
      <c r="U2959" s="71">
        <f>IF(AND(N2959=1,V2959=1),IF(COUNTIFS(AKTIVITAS!$B$2:$B$3052,B2959,AKTIVITAS!$E$2:$E$3052,H2959)&gt;0,1,0),0)</f>
        <v>1</v>
      </c>
      <c r="V2959" s="71">
        <f>IFERROR(IF(AND(H2959&gt;=INDEX(PEMAGANG!$J$3:$J$36,MATCH(B2959,PEMAGANG!$C$3:$C$36,0)),H2959&lt;=INDEX(PEMAGANG!$K$3:$K$36,MATCH(B2959,PEMAGANG!$C$3:$C$36,0))),1,0),0)</f>
        <v>1</v>
      </c>
      <c r="W2959" s="71">
        <f t="shared" si="422"/>
        <v>1</v>
      </c>
    </row>
    <row r="2960" spans="1:23" x14ac:dyDescent="0.2">
      <c r="A2960" s="71" t="s">
        <v>202</v>
      </c>
      <c r="B2960" s="71" t="s">
        <v>203</v>
      </c>
      <c r="C2960" s="71" t="s">
        <v>187</v>
      </c>
      <c r="D2960" s="71" t="s">
        <v>204</v>
      </c>
      <c r="E2960" s="71" t="s">
        <v>692</v>
      </c>
      <c r="F2960" s="71" t="s">
        <v>300</v>
      </c>
      <c r="G2960" s="88">
        <v>46220.690439814804</v>
      </c>
      <c r="H2960" s="89">
        <v>46220</v>
      </c>
      <c r="I2960" s="71" t="s">
        <v>314</v>
      </c>
      <c r="J2960" s="71">
        <v>0</v>
      </c>
      <c r="K2960" s="71" t="s">
        <v>302</v>
      </c>
      <c r="L2960" s="71">
        <f t="shared" si="414"/>
        <v>7</v>
      </c>
      <c r="M2960" s="71" t="str">
        <f>IFERROR(INDEX(KALENDER!$D$3:$D$132,MATCH(H2960,KALENDER!$A$3:$A$132,0)),"Di luar periode")</f>
        <v>Hari Kerja</v>
      </c>
      <c r="N2960" s="71">
        <f t="shared" si="415"/>
        <v>0</v>
      </c>
      <c r="O2960" s="71">
        <f t="shared" si="416"/>
        <v>1</v>
      </c>
      <c r="P2960" s="71">
        <f t="shared" si="417"/>
        <v>0</v>
      </c>
      <c r="Q2960" s="71">
        <f t="shared" si="418"/>
        <v>0</v>
      </c>
      <c r="R2960" s="71">
        <f t="shared" si="419"/>
        <v>0</v>
      </c>
      <c r="S2960" s="71">
        <f t="shared" si="420"/>
        <v>0</v>
      </c>
      <c r="T2960" s="71">
        <f t="shared" si="421"/>
        <v>0</v>
      </c>
      <c r="U2960" s="71">
        <f>IF(AND(N2960=1,V2960=1),IF(COUNTIFS(AKTIVITAS!$B$2:$B$3052,B2960,AKTIVITAS!$E$2:$E$3052,H2960)&gt;0,1,0),0)</f>
        <v>0</v>
      </c>
      <c r="V2960" s="71">
        <f>IFERROR(IF(AND(H2960&gt;=INDEX(PEMAGANG!$J$3:$J$36,MATCH(B2960,PEMAGANG!$C$3:$C$36,0)),H2960&lt;=INDEX(PEMAGANG!$K$3:$K$36,MATCH(B2960,PEMAGANG!$C$3:$C$36,0))),1,0),0)</f>
        <v>1</v>
      </c>
      <c r="W2960" s="71">
        <f t="shared" si="422"/>
        <v>0</v>
      </c>
    </row>
    <row r="2961" spans="1:23" x14ac:dyDescent="0.2">
      <c r="A2961" s="71" t="s">
        <v>202</v>
      </c>
      <c r="B2961" s="71" t="s">
        <v>203</v>
      </c>
      <c r="C2961" s="71" t="s">
        <v>187</v>
      </c>
      <c r="D2961" s="71" t="s">
        <v>204</v>
      </c>
      <c r="E2961" s="71" t="s">
        <v>692</v>
      </c>
      <c r="F2961" s="71" t="s">
        <v>298</v>
      </c>
      <c r="G2961" s="88">
        <v>46223.3025694444</v>
      </c>
      <c r="H2961" s="89">
        <v>46223</v>
      </c>
      <c r="I2961" s="71" t="s">
        <v>370</v>
      </c>
      <c r="J2961" s="71">
        <v>-15</v>
      </c>
      <c r="K2961" s="71" t="s">
        <v>302</v>
      </c>
      <c r="L2961" s="71">
        <f t="shared" si="414"/>
        <v>7</v>
      </c>
      <c r="M2961" s="71" t="str">
        <f>IFERROR(INDEX(KALENDER!$D$3:$D$132,MATCH(H2961,KALENDER!$A$3:$A$132,0)),"Di luar periode")</f>
        <v>Hari Kerja</v>
      </c>
      <c r="N2961" s="71">
        <f t="shared" si="415"/>
        <v>1</v>
      </c>
      <c r="O2961" s="71">
        <f t="shared" si="416"/>
        <v>1</v>
      </c>
      <c r="P2961" s="71">
        <f t="shared" si="417"/>
        <v>1</v>
      </c>
      <c r="Q2961" s="71">
        <f t="shared" si="418"/>
        <v>0</v>
      </c>
      <c r="R2961" s="71">
        <f t="shared" si="419"/>
        <v>0</v>
      </c>
      <c r="S2961" s="71">
        <f t="shared" si="420"/>
        <v>0</v>
      </c>
      <c r="T2961" s="71">
        <f t="shared" si="421"/>
        <v>0</v>
      </c>
      <c r="U2961" s="71">
        <f>IF(AND(N2961=1,V2961=1),IF(COUNTIFS(AKTIVITAS!$B$2:$B$3052,B2961,AKTIVITAS!$E$2:$E$3052,H2961)&gt;0,1,0),0)</f>
        <v>1</v>
      </c>
      <c r="V2961" s="71">
        <f>IFERROR(IF(AND(H2961&gt;=INDEX(PEMAGANG!$J$3:$J$36,MATCH(B2961,PEMAGANG!$C$3:$C$36,0)),H2961&lt;=INDEX(PEMAGANG!$K$3:$K$36,MATCH(B2961,PEMAGANG!$C$3:$C$36,0))),1,0),0)</f>
        <v>1</v>
      </c>
      <c r="W2961" s="71">
        <f t="shared" si="422"/>
        <v>1</v>
      </c>
    </row>
    <row r="2962" spans="1:23" x14ac:dyDescent="0.2">
      <c r="A2962" s="71" t="s">
        <v>202</v>
      </c>
      <c r="B2962" s="71" t="s">
        <v>203</v>
      </c>
      <c r="C2962" s="71" t="s">
        <v>187</v>
      </c>
      <c r="D2962" s="71" t="s">
        <v>204</v>
      </c>
      <c r="E2962" s="71" t="s">
        <v>692</v>
      </c>
      <c r="F2962" s="71" t="s">
        <v>300</v>
      </c>
      <c r="G2962" s="88">
        <v>46223.689340277801</v>
      </c>
      <c r="H2962" s="89">
        <v>46223</v>
      </c>
      <c r="I2962" s="71" t="s">
        <v>306</v>
      </c>
      <c r="J2962" s="71">
        <v>0</v>
      </c>
      <c r="K2962" s="71" t="s">
        <v>302</v>
      </c>
      <c r="L2962" s="71">
        <f t="shared" si="414"/>
        <v>7</v>
      </c>
      <c r="M2962" s="71" t="str">
        <f>IFERROR(INDEX(KALENDER!$D$3:$D$132,MATCH(H2962,KALENDER!$A$3:$A$132,0)),"Di luar periode")</f>
        <v>Hari Kerja</v>
      </c>
      <c r="N2962" s="71">
        <f t="shared" si="415"/>
        <v>0</v>
      </c>
      <c r="O2962" s="71">
        <f t="shared" si="416"/>
        <v>1</v>
      </c>
      <c r="P2962" s="71">
        <f t="shared" si="417"/>
        <v>0</v>
      </c>
      <c r="Q2962" s="71">
        <f t="shared" si="418"/>
        <v>0</v>
      </c>
      <c r="R2962" s="71">
        <f t="shared" si="419"/>
        <v>0</v>
      </c>
      <c r="S2962" s="71">
        <f t="shared" si="420"/>
        <v>0</v>
      </c>
      <c r="T2962" s="71">
        <f t="shared" si="421"/>
        <v>0</v>
      </c>
      <c r="U2962" s="71">
        <f>IF(AND(N2962=1,V2962=1),IF(COUNTIFS(AKTIVITAS!$B$2:$B$3052,B2962,AKTIVITAS!$E$2:$E$3052,H2962)&gt;0,1,0),0)</f>
        <v>0</v>
      </c>
      <c r="V2962" s="71">
        <f>IFERROR(IF(AND(H2962&gt;=INDEX(PEMAGANG!$J$3:$J$36,MATCH(B2962,PEMAGANG!$C$3:$C$36,0)),H2962&lt;=INDEX(PEMAGANG!$K$3:$K$36,MATCH(B2962,PEMAGANG!$C$3:$C$36,0))),1,0),0)</f>
        <v>1</v>
      </c>
      <c r="W2962" s="71">
        <f t="shared" si="422"/>
        <v>0</v>
      </c>
    </row>
    <row r="2963" spans="1:23" x14ac:dyDescent="0.2">
      <c r="A2963" s="71" t="s">
        <v>202</v>
      </c>
      <c r="B2963" s="71" t="s">
        <v>203</v>
      </c>
      <c r="C2963" s="71" t="s">
        <v>187</v>
      </c>
      <c r="D2963" s="71" t="s">
        <v>204</v>
      </c>
      <c r="E2963" s="71" t="s">
        <v>692</v>
      </c>
      <c r="F2963" s="71" t="s">
        <v>298</v>
      </c>
      <c r="G2963" s="88">
        <v>46224.310185185197</v>
      </c>
      <c r="H2963" s="89">
        <v>46224</v>
      </c>
      <c r="I2963" s="71" t="s">
        <v>315</v>
      </c>
      <c r="J2963" s="71">
        <v>-3.9999999999999898</v>
      </c>
      <c r="K2963" s="71" t="s">
        <v>302</v>
      </c>
      <c r="L2963" s="71">
        <f t="shared" si="414"/>
        <v>7</v>
      </c>
      <c r="M2963" s="71" t="str">
        <f>IFERROR(INDEX(KALENDER!$D$3:$D$132,MATCH(H2963,KALENDER!$A$3:$A$132,0)),"Di luar periode")</f>
        <v>Hari Kerja</v>
      </c>
      <c r="N2963" s="71">
        <f t="shared" si="415"/>
        <v>1</v>
      </c>
      <c r="O2963" s="71">
        <f t="shared" si="416"/>
        <v>1</v>
      </c>
      <c r="P2963" s="71">
        <f t="shared" si="417"/>
        <v>1</v>
      </c>
      <c r="Q2963" s="71">
        <f t="shared" si="418"/>
        <v>0</v>
      </c>
      <c r="R2963" s="71">
        <f t="shared" si="419"/>
        <v>0</v>
      </c>
      <c r="S2963" s="71">
        <f t="shared" si="420"/>
        <v>0</v>
      </c>
      <c r="T2963" s="71">
        <f t="shared" si="421"/>
        <v>0</v>
      </c>
      <c r="U2963" s="71">
        <f>IF(AND(N2963=1,V2963=1),IF(COUNTIFS(AKTIVITAS!$B$2:$B$3052,B2963,AKTIVITAS!$E$2:$E$3052,H2963)&gt;0,1,0),0)</f>
        <v>1</v>
      </c>
      <c r="V2963" s="71">
        <f>IFERROR(IF(AND(H2963&gt;=INDEX(PEMAGANG!$J$3:$J$36,MATCH(B2963,PEMAGANG!$C$3:$C$36,0)),H2963&lt;=INDEX(PEMAGANG!$K$3:$K$36,MATCH(B2963,PEMAGANG!$C$3:$C$36,0))),1,0),0)</f>
        <v>1</v>
      </c>
      <c r="W2963" s="71">
        <f t="shared" si="422"/>
        <v>1</v>
      </c>
    </row>
    <row r="2964" spans="1:23" x14ac:dyDescent="0.2">
      <c r="A2964" s="71" t="s">
        <v>202</v>
      </c>
      <c r="B2964" s="71" t="s">
        <v>203</v>
      </c>
      <c r="C2964" s="71" t="s">
        <v>187</v>
      </c>
      <c r="D2964" s="71" t="s">
        <v>204</v>
      </c>
      <c r="E2964" s="71" t="s">
        <v>692</v>
      </c>
      <c r="F2964" s="71" t="s">
        <v>300</v>
      </c>
      <c r="G2964" s="88">
        <v>46224.689490740697</v>
      </c>
      <c r="H2964" s="89">
        <v>46224</v>
      </c>
      <c r="I2964" s="71" t="s">
        <v>306</v>
      </c>
      <c r="J2964" s="71">
        <v>0</v>
      </c>
      <c r="K2964" s="71" t="s">
        <v>302</v>
      </c>
      <c r="L2964" s="71">
        <f t="shared" si="414"/>
        <v>7</v>
      </c>
      <c r="M2964" s="71" t="str">
        <f>IFERROR(INDEX(KALENDER!$D$3:$D$132,MATCH(H2964,KALENDER!$A$3:$A$132,0)),"Di luar periode")</f>
        <v>Hari Kerja</v>
      </c>
      <c r="N2964" s="71">
        <f t="shared" si="415"/>
        <v>0</v>
      </c>
      <c r="O2964" s="71">
        <f t="shared" si="416"/>
        <v>1</v>
      </c>
      <c r="P2964" s="71">
        <f t="shared" si="417"/>
        <v>0</v>
      </c>
      <c r="Q2964" s="71">
        <f t="shared" si="418"/>
        <v>0</v>
      </c>
      <c r="R2964" s="71">
        <f t="shared" si="419"/>
        <v>0</v>
      </c>
      <c r="S2964" s="71">
        <f t="shared" si="420"/>
        <v>0</v>
      </c>
      <c r="T2964" s="71">
        <f t="shared" si="421"/>
        <v>0</v>
      </c>
      <c r="U2964" s="71">
        <f>IF(AND(N2964=1,V2964=1),IF(COUNTIFS(AKTIVITAS!$B$2:$B$3052,B2964,AKTIVITAS!$E$2:$E$3052,H2964)&gt;0,1,0),0)</f>
        <v>0</v>
      </c>
      <c r="V2964" s="71">
        <f>IFERROR(IF(AND(H2964&gt;=INDEX(PEMAGANG!$J$3:$J$36,MATCH(B2964,PEMAGANG!$C$3:$C$36,0)),H2964&lt;=INDEX(PEMAGANG!$K$3:$K$36,MATCH(B2964,PEMAGANG!$C$3:$C$36,0))),1,0),0)</f>
        <v>1</v>
      </c>
      <c r="W2964" s="71">
        <f t="shared" si="422"/>
        <v>0</v>
      </c>
    </row>
    <row r="2965" spans="1:23" x14ac:dyDescent="0.2">
      <c r="A2965" s="71" t="s">
        <v>202</v>
      </c>
      <c r="B2965" s="71" t="s">
        <v>203</v>
      </c>
      <c r="C2965" s="71" t="s">
        <v>187</v>
      </c>
      <c r="D2965" s="71" t="s">
        <v>204</v>
      </c>
      <c r="E2965" s="71" t="s">
        <v>692</v>
      </c>
      <c r="F2965" s="71" t="s">
        <v>298</v>
      </c>
      <c r="G2965" s="88">
        <v>46225.313090277799</v>
      </c>
      <c r="H2965" s="89">
        <v>46225</v>
      </c>
      <c r="I2965" s="71" t="s">
        <v>335</v>
      </c>
      <c r="J2965" s="71">
        <v>0</v>
      </c>
      <c r="K2965" s="71" t="s">
        <v>302</v>
      </c>
      <c r="L2965" s="71">
        <f t="shared" si="414"/>
        <v>7</v>
      </c>
      <c r="M2965" s="71" t="str">
        <f>IFERROR(INDEX(KALENDER!$D$3:$D$132,MATCH(H2965,KALENDER!$A$3:$A$132,0)),"Di luar periode")</f>
        <v>WFH</v>
      </c>
      <c r="N2965" s="71">
        <f t="shared" si="415"/>
        <v>1</v>
      </c>
      <c r="O2965" s="71">
        <f t="shared" si="416"/>
        <v>1</v>
      </c>
      <c r="P2965" s="71">
        <f t="shared" si="417"/>
        <v>0</v>
      </c>
      <c r="Q2965" s="71">
        <f t="shared" si="418"/>
        <v>1</v>
      </c>
      <c r="R2965" s="71">
        <f t="shared" si="419"/>
        <v>0</v>
      </c>
      <c r="S2965" s="71">
        <f t="shared" si="420"/>
        <v>0</v>
      </c>
      <c r="T2965" s="71">
        <f t="shared" si="421"/>
        <v>0</v>
      </c>
      <c r="U2965" s="71">
        <f>IF(AND(N2965=1,V2965=1),IF(COUNTIFS(AKTIVITAS!$B$2:$B$3052,B2965,AKTIVITAS!$E$2:$E$3052,H2965)&gt;0,1,0),0)</f>
        <v>1</v>
      </c>
      <c r="V2965" s="71">
        <f>IFERROR(IF(AND(H2965&gt;=INDEX(PEMAGANG!$J$3:$J$36,MATCH(B2965,PEMAGANG!$C$3:$C$36,0)),H2965&lt;=INDEX(PEMAGANG!$K$3:$K$36,MATCH(B2965,PEMAGANG!$C$3:$C$36,0))),1,0),0)</f>
        <v>1</v>
      </c>
      <c r="W2965" s="71">
        <f t="shared" si="422"/>
        <v>1</v>
      </c>
    </row>
    <row r="2966" spans="1:23" x14ac:dyDescent="0.2">
      <c r="A2966" s="71" t="s">
        <v>202</v>
      </c>
      <c r="B2966" s="71" t="s">
        <v>203</v>
      </c>
      <c r="C2966" s="71" t="s">
        <v>187</v>
      </c>
      <c r="D2966" s="71" t="s">
        <v>204</v>
      </c>
      <c r="E2966" s="71" t="s">
        <v>692</v>
      </c>
      <c r="F2966" s="71" t="s">
        <v>300</v>
      </c>
      <c r="G2966" s="88">
        <v>46225.696539351899</v>
      </c>
      <c r="H2966" s="89">
        <v>46225</v>
      </c>
      <c r="I2966" s="71" t="s">
        <v>347</v>
      </c>
      <c r="J2966" s="71">
        <v>0</v>
      </c>
      <c r="K2966" s="71" t="s">
        <v>302</v>
      </c>
      <c r="L2966" s="71">
        <f t="shared" si="414"/>
        <v>7</v>
      </c>
      <c r="M2966" s="71" t="str">
        <f>IFERROR(INDEX(KALENDER!$D$3:$D$132,MATCH(H2966,KALENDER!$A$3:$A$132,0)),"Di luar periode")</f>
        <v>WFH</v>
      </c>
      <c r="N2966" s="71">
        <f t="shared" si="415"/>
        <v>0</v>
      </c>
      <c r="O2966" s="71">
        <f t="shared" si="416"/>
        <v>1</v>
      </c>
      <c r="P2966" s="71">
        <f t="shared" si="417"/>
        <v>0</v>
      </c>
      <c r="Q2966" s="71">
        <f t="shared" si="418"/>
        <v>0</v>
      </c>
      <c r="R2966" s="71">
        <f t="shared" si="419"/>
        <v>0</v>
      </c>
      <c r="S2966" s="71">
        <f t="shared" si="420"/>
        <v>0</v>
      </c>
      <c r="T2966" s="71">
        <f t="shared" si="421"/>
        <v>0</v>
      </c>
      <c r="U2966" s="71">
        <f>IF(AND(N2966=1,V2966=1),IF(COUNTIFS(AKTIVITAS!$B$2:$B$3052,B2966,AKTIVITAS!$E$2:$E$3052,H2966)&gt;0,1,0),0)</f>
        <v>0</v>
      </c>
      <c r="V2966" s="71">
        <f>IFERROR(IF(AND(H2966&gt;=INDEX(PEMAGANG!$J$3:$J$36,MATCH(B2966,PEMAGANG!$C$3:$C$36,0)),H2966&lt;=INDEX(PEMAGANG!$K$3:$K$36,MATCH(B2966,PEMAGANG!$C$3:$C$36,0))),1,0),0)</f>
        <v>1</v>
      </c>
      <c r="W2966" s="71">
        <f t="shared" si="422"/>
        <v>0</v>
      </c>
    </row>
    <row r="2967" spans="1:23" x14ac:dyDescent="0.2">
      <c r="A2967" s="71" t="s">
        <v>202</v>
      </c>
      <c r="B2967" s="71" t="s">
        <v>203</v>
      </c>
      <c r="C2967" s="71" t="s">
        <v>187</v>
      </c>
      <c r="D2967" s="71" t="s">
        <v>204</v>
      </c>
      <c r="E2967" s="71" t="s">
        <v>692</v>
      </c>
      <c r="F2967" s="71" t="s">
        <v>298</v>
      </c>
      <c r="G2967" s="88">
        <v>46226.305208333302</v>
      </c>
      <c r="H2967" s="89">
        <v>46226</v>
      </c>
      <c r="I2967" s="71" t="s">
        <v>321</v>
      </c>
      <c r="J2967" s="71">
        <v>-11</v>
      </c>
      <c r="K2967" s="71" t="s">
        <v>302</v>
      </c>
      <c r="L2967" s="71">
        <f t="shared" si="414"/>
        <v>7</v>
      </c>
      <c r="M2967" s="71" t="str">
        <f>IFERROR(INDEX(KALENDER!$D$3:$D$132,MATCH(H2967,KALENDER!$A$3:$A$132,0)),"Di luar periode")</f>
        <v>Hari Kerja</v>
      </c>
      <c r="N2967" s="71">
        <f t="shared" si="415"/>
        <v>1</v>
      </c>
      <c r="O2967" s="71">
        <f t="shared" si="416"/>
        <v>1</v>
      </c>
      <c r="P2967" s="71">
        <f t="shared" si="417"/>
        <v>1</v>
      </c>
      <c r="Q2967" s="71">
        <f t="shared" si="418"/>
        <v>0</v>
      </c>
      <c r="R2967" s="71">
        <f t="shared" si="419"/>
        <v>0</v>
      </c>
      <c r="S2967" s="71">
        <f t="shared" si="420"/>
        <v>0</v>
      </c>
      <c r="T2967" s="71">
        <f t="shared" si="421"/>
        <v>0</v>
      </c>
      <c r="U2967" s="71">
        <f>IF(AND(N2967=1,V2967=1),IF(COUNTIFS(AKTIVITAS!$B$2:$B$3052,B2967,AKTIVITAS!$E$2:$E$3052,H2967)&gt;0,1,0),0)</f>
        <v>1</v>
      </c>
      <c r="V2967" s="71">
        <f>IFERROR(IF(AND(H2967&gt;=INDEX(PEMAGANG!$J$3:$J$36,MATCH(B2967,PEMAGANG!$C$3:$C$36,0)),H2967&lt;=INDEX(PEMAGANG!$K$3:$K$36,MATCH(B2967,PEMAGANG!$C$3:$C$36,0))),1,0),0)</f>
        <v>1</v>
      </c>
      <c r="W2967" s="71">
        <f t="shared" si="422"/>
        <v>1</v>
      </c>
    </row>
    <row r="2968" spans="1:23" x14ac:dyDescent="0.2">
      <c r="A2968" s="71" t="s">
        <v>202</v>
      </c>
      <c r="B2968" s="71" t="s">
        <v>203</v>
      </c>
      <c r="C2968" s="71" t="s">
        <v>187</v>
      </c>
      <c r="D2968" s="71" t="s">
        <v>204</v>
      </c>
      <c r="E2968" s="71" t="s">
        <v>692</v>
      </c>
      <c r="F2968" s="71" t="s">
        <v>300</v>
      </c>
      <c r="G2968" s="88">
        <v>46226.689085648199</v>
      </c>
      <c r="H2968" s="89">
        <v>46226</v>
      </c>
      <c r="I2968" s="71" t="s">
        <v>306</v>
      </c>
      <c r="J2968" s="71">
        <v>0</v>
      </c>
      <c r="K2968" s="71" t="s">
        <v>302</v>
      </c>
      <c r="L2968" s="71">
        <f t="shared" si="414"/>
        <v>7</v>
      </c>
      <c r="M2968" s="71" t="str">
        <f>IFERROR(INDEX(KALENDER!$D$3:$D$132,MATCH(H2968,KALENDER!$A$3:$A$132,0)),"Di luar periode")</f>
        <v>Hari Kerja</v>
      </c>
      <c r="N2968" s="71">
        <f t="shared" si="415"/>
        <v>0</v>
      </c>
      <c r="O2968" s="71">
        <f t="shared" si="416"/>
        <v>1</v>
      </c>
      <c r="P2968" s="71">
        <f t="shared" si="417"/>
        <v>0</v>
      </c>
      <c r="Q2968" s="71">
        <f t="shared" si="418"/>
        <v>0</v>
      </c>
      <c r="R2968" s="71">
        <f t="shared" si="419"/>
        <v>0</v>
      </c>
      <c r="S2968" s="71">
        <f t="shared" si="420"/>
        <v>0</v>
      </c>
      <c r="T2968" s="71">
        <f t="shared" si="421"/>
        <v>0</v>
      </c>
      <c r="U2968" s="71">
        <f>IF(AND(N2968=1,V2968=1),IF(COUNTIFS(AKTIVITAS!$B$2:$B$3052,B2968,AKTIVITAS!$E$2:$E$3052,H2968)&gt;0,1,0),0)</f>
        <v>0</v>
      </c>
      <c r="V2968" s="71">
        <f>IFERROR(IF(AND(H2968&gt;=INDEX(PEMAGANG!$J$3:$J$36,MATCH(B2968,PEMAGANG!$C$3:$C$36,0)),H2968&lt;=INDEX(PEMAGANG!$K$3:$K$36,MATCH(B2968,PEMAGANG!$C$3:$C$36,0))),1,0),0)</f>
        <v>1</v>
      </c>
      <c r="W2968" s="71">
        <f t="shared" si="422"/>
        <v>0</v>
      </c>
    </row>
    <row r="2969" spans="1:23" x14ac:dyDescent="0.2">
      <c r="A2969" s="71" t="s">
        <v>202</v>
      </c>
      <c r="B2969" s="71" t="s">
        <v>203</v>
      </c>
      <c r="C2969" s="71" t="s">
        <v>187</v>
      </c>
      <c r="D2969" s="71" t="s">
        <v>204</v>
      </c>
      <c r="E2969" s="71" t="s">
        <v>692</v>
      </c>
      <c r="F2969" s="71" t="s">
        <v>298</v>
      </c>
      <c r="G2969" s="88">
        <v>46227.3072106482</v>
      </c>
      <c r="H2969" s="89">
        <v>46227</v>
      </c>
      <c r="I2969" s="71" t="s">
        <v>313</v>
      </c>
      <c r="J2969" s="71">
        <v>-8.0000000000000497</v>
      </c>
      <c r="K2969" s="71" t="s">
        <v>302</v>
      </c>
      <c r="L2969" s="71">
        <f t="shared" si="414"/>
        <v>7</v>
      </c>
      <c r="M2969" s="71" t="str">
        <f>IFERROR(INDEX(KALENDER!$D$3:$D$132,MATCH(H2969,KALENDER!$A$3:$A$132,0)),"Di luar periode")</f>
        <v>Hari Kerja</v>
      </c>
      <c r="N2969" s="71">
        <f t="shared" si="415"/>
        <v>1</v>
      </c>
      <c r="O2969" s="71">
        <f t="shared" si="416"/>
        <v>1</v>
      </c>
      <c r="P2969" s="71">
        <f t="shared" si="417"/>
        <v>1</v>
      </c>
      <c r="Q2969" s="71">
        <f t="shared" si="418"/>
        <v>0</v>
      </c>
      <c r="R2969" s="71">
        <f t="shared" si="419"/>
        <v>0</v>
      </c>
      <c r="S2969" s="71">
        <f t="shared" si="420"/>
        <v>0</v>
      </c>
      <c r="T2969" s="71">
        <f t="shared" si="421"/>
        <v>1</v>
      </c>
      <c r="U2969" s="71">
        <f>IF(AND(N2969=1,V2969=1),IF(COUNTIFS(AKTIVITAS!$B$2:$B$3052,B2969,AKTIVITAS!$E$2:$E$3052,H2969)&gt;0,1,0),0)</f>
        <v>1</v>
      </c>
      <c r="V2969" s="71">
        <f>IFERROR(IF(AND(H2969&gt;=INDEX(PEMAGANG!$J$3:$J$36,MATCH(B2969,PEMAGANG!$C$3:$C$36,0)),H2969&lt;=INDEX(PEMAGANG!$K$3:$K$36,MATCH(B2969,PEMAGANG!$C$3:$C$36,0))),1,0),0)</f>
        <v>1</v>
      </c>
      <c r="W2969" s="71">
        <f t="shared" si="422"/>
        <v>1</v>
      </c>
    </row>
    <row r="2970" spans="1:23" x14ac:dyDescent="0.2">
      <c r="A2970" s="71" t="s">
        <v>202</v>
      </c>
      <c r="B2970" s="71" t="s">
        <v>203</v>
      </c>
      <c r="C2970" s="71" t="s">
        <v>187</v>
      </c>
      <c r="D2970" s="71" t="s">
        <v>204</v>
      </c>
      <c r="E2970" s="71" t="s">
        <v>692</v>
      </c>
      <c r="F2970" s="71" t="s">
        <v>298</v>
      </c>
      <c r="G2970" s="88">
        <v>46230.3103819444</v>
      </c>
      <c r="H2970" s="89">
        <v>46230</v>
      </c>
      <c r="I2970" s="71" t="s">
        <v>315</v>
      </c>
      <c r="J2970" s="71">
        <v>-3.9999999999999898</v>
      </c>
      <c r="K2970" s="71" t="s">
        <v>302</v>
      </c>
      <c r="L2970" s="71">
        <f t="shared" si="414"/>
        <v>7</v>
      </c>
      <c r="M2970" s="71" t="str">
        <f>IFERROR(INDEX(KALENDER!$D$3:$D$132,MATCH(H2970,KALENDER!$A$3:$A$132,0)),"Di luar periode")</f>
        <v>Hari Kerja</v>
      </c>
      <c r="N2970" s="71">
        <f t="shared" si="415"/>
        <v>1</v>
      </c>
      <c r="O2970" s="71">
        <f t="shared" si="416"/>
        <v>1</v>
      </c>
      <c r="P2970" s="71">
        <f t="shared" si="417"/>
        <v>1</v>
      </c>
      <c r="Q2970" s="71">
        <f t="shared" si="418"/>
        <v>0</v>
      </c>
      <c r="R2970" s="71">
        <f t="shared" si="419"/>
        <v>0</v>
      </c>
      <c r="S2970" s="71">
        <f t="shared" si="420"/>
        <v>0</v>
      </c>
      <c r="T2970" s="71">
        <f t="shared" si="421"/>
        <v>0</v>
      </c>
      <c r="U2970" s="71">
        <f>IF(AND(N2970=1,V2970=1),IF(COUNTIFS(AKTIVITAS!$B$2:$B$3052,B2970,AKTIVITAS!$E$2:$E$3052,H2970)&gt;0,1,0),0)</f>
        <v>1</v>
      </c>
      <c r="V2970" s="71">
        <f>IFERROR(IF(AND(H2970&gt;=INDEX(PEMAGANG!$J$3:$J$36,MATCH(B2970,PEMAGANG!$C$3:$C$36,0)),H2970&lt;=INDEX(PEMAGANG!$K$3:$K$36,MATCH(B2970,PEMAGANG!$C$3:$C$36,0))),1,0),0)</f>
        <v>1</v>
      </c>
      <c r="W2970" s="71">
        <f t="shared" si="422"/>
        <v>1</v>
      </c>
    </row>
    <row r="2971" spans="1:23" x14ac:dyDescent="0.2">
      <c r="A2971" s="71" t="s">
        <v>202</v>
      </c>
      <c r="B2971" s="71" t="s">
        <v>203</v>
      </c>
      <c r="C2971" s="71" t="s">
        <v>187</v>
      </c>
      <c r="D2971" s="71" t="s">
        <v>204</v>
      </c>
      <c r="E2971" s="71" t="s">
        <v>692</v>
      </c>
      <c r="F2971" s="71" t="s">
        <v>300</v>
      </c>
      <c r="G2971" s="88">
        <v>46230.688564814802</v>
      </c>
      <c r="H2971" s="89">
        <v>46230</v>
      </c>
      <c r="I2971" s="71" t="s">
        <v>336</v>
      </c>
      <c r="J2971" s="71">
        <v>0</v>
      </c>
      <c r="K2971" s="71" t="s">
        <v>302</v>
      </c>
      <c r="L2971" s="71">
        <f t="shared" si="414"/>
        <v>7</v>
      </c>
      <c r="M2971" s="71" t="str">
        <f>IFERROR(INDEX(KALENDER!$D$3:$D$132,MATCH(H2971,KALENDER!$A$3:$A$132,0)),"Di luar periode")</f>
        <v>Hari Kerja</v>
      </c>
      <c r="N2971" s="71">
        <f t="shared" si="415"/>
        <v>0</v>
      </c>
      <c r="O2971" s="71">
        <f t="shared" si="416"/>
        <v>1</v>
      </c>
      <c r="P2971" s="71">
        <f t="shared" si="417"/>
        <v>0</v>
      </c>
      <c r="Q2971" s="71">
        <f t="shared" si="418"/>
        <v>0</v>
      </c>
      <c r="R2971" s="71">
        <f t="shared" si="419"/>
        <v>0</v>
      </c>
      <c r="S2971" s="71">
        <f t="shared" si="420"/>
        <v>0</v>
      </c>
      <c r="T2971" s="71">
        <f t="shared" si="421"/>
        <v>0</v>
      </c>
      <c r="U2971" s="71">
        <f>IF(AND(N2971=1,V2971=1),IF(COUNTIFS(AKTIVITAS!$B$2:$B$3052,B2971,AKTIVITAS!$E$2:$E$3052,H2971)&gt;0,1,0),0)</f>
        <v>0</v>
      </c>
      <c r="V2971" s="71">
        <f>IFERROR(IF(AND(H2971&gt;=INDEX(PEMAGANG!$J$3:$J$36,MATCH(B2971,PEMAGANG!$C$3:$C$36,0)),H2971&lt;=INDEX(PEMAGANG!$K$3:$K$36,MATCH(B2971,PEMAGANG!$C$3:$C$36,0))),1,0),0)</f>
        <v>1</v>
      </c>
      <c r="W2971" s="71">
        <f t="shared" si="422"/>
        <v>0</v>
      </c>
    </row>
    <row r="2972" spans="1:23" x14ac:dyDescent="0.2">
      <c r="A2972" s="71" t="s">
        <v>202</v>
      </c>
      <c r="B2972" s="71" t="s">
        <v>203</v>
      </c>
      <c r="C2972" s="71" t="s">
        <v>187</v>
      </c>
      <c r="D2972" s="71" t="s">
        <v>204</v>
      </c>
      <c r="E2972" s="71" t="s">
        <v>692</v>
      </c>
      <c r="F2972" s="71" t="s">
        <v>298</v>
      </c>
      <c r="G2972" s="88">
        <v>46231.307268518503</v>
      </c>
      <c r="H2972" s="89">
        <v>46231</v>
      </c>
      <c r="I2972" s="71" t="s">
        <v>313</v>
      </c>
      <c r="J2972" s="71">
        <v>-8.0000000000000497</v>
      </c>
      <c r="K2972" s="71" t="s">
        <v>302</v>
      </c>
      <c r="L2972" s="71">
        <f t="shared" si="414"/>
        <v>7</v>
      </c>
      <c r="M2972" s="71" t="str">
        <f>IFERROR(INDEX(KALENDER!$D$3:$D$132,MATCH(H2972,KALENDER!$A$3:$A$132,0)),"Di luar periode")</f>
        <v>Hari Kerja</v>
      </c>
      <c r="N2972" s="71">
        <f t="shared" si="415"/>
        <v>1</v>
      </c>
      <c r="O2972" s="71">
        <f t="shared" si="416"/>
        <v>1</v>
      </c>
      <c r="P2972" s="71">
        <f t="shared" si="417"/>
        <v>1</v>
      </c>
      <c r="Q2972" s="71">
        <f t="shared" si="418"/>
        <v>0</v>
      </c>
      <c r="R2972" s="71">
        <f t="shared" si="419"/>
        <v>0</v>
      </c>
      <c r="S2972" s="71">
        <f t="shared" si="420"/>
        <v>0</v>
      </c>
      <c r="T2972" s="71">
        <f t="shared" si="421"/>
        <v>0</v>
      </c>
      <c r="U2972" s="71">
        <f>IF(AND(N2972=1,V2972=1),IF(COUNTIFS(AKTIVITAS!$B$2:$B$3052,B2972,AKTIVITAS!$E$2:$E$3052,H2972)&gt;0,1,0),0)</f>
        <v>1</v>
      </c>
      <c r="V2972" s="71">
        <f>IFERROR(IF(AND(H2972&gt;=INDEX(PEMAGANG!$J$3:$J$36,MATCH(B2972,PEMAGANG!$C$3:$C$36,0)),H2972&lt;=INDEX(PEMAGANG!$K$3:$K$36,MATCH(B2972,PEMAGANG!$C$3:$C$36,0))),1,0),0)</f>
        <v>1</v>
      </c>
      <c r="W2972" s="71">
        <f t="shared" si="422"/>
        <v>1</v>
      </c>
    </row>
    <row r="2973" spans="1:23" x14ac:dyDescent="0.2">
      <c r="A2973" s="71" t="s">
        <v>202</v>
      </c>
      <c r="B2973" s="71" t="s">
        <v>203</v>
      </c>
      <c r="C2973" s="71" t="s">
        <v>187</v>
      </c>
      <c r="D2973" s="71" t="s">
        <v>204</v>
      </c>
      <c r="E2973" s="71" t="s">
        <v>692</v>
      </c>
      <c r="F2973" s="71" t="s">
        <v>300</v>
      </c>
      <c r="G2973" s="88">
        <v>46231.689629629604</v>
      </c>
      <c r="H2973" s="89">
        <v>46231</v>
      </c>
      <c r="I2973" s="71" t="s">
        <v>316</v>
      </c>
      <c r="J2973" s="71">
        <v>0</v>
      </c>
      <c r="K2973" s="71" t="s">
        <v>302</v>
      </c>
      <c r="L2973" s="71">
        <f t="shared" si="414"/>
        <v>7</v>
      </c>
      <c r="M2973" s="71" t="str">
        <f>IFERROR(INDEX(KALENDER!$D$3:$D$132,MATCH(H2973,KALENDER!$A$3:$A$132,0)),"Di luar periode")</f>
        <v>Hari Kerja</v>
      </c>
      <c r="N2973" s="71">
        <f t="shared" si="415"/>
        <v>0</v>
      </c>
      <c r="O2973" s="71">
        <f t="shared" si="416"/>
        <v>1</v>
      </c>
      <c r="P2973" s="71">
        <f t="shared" si="417"/>
        <v>0</v>
      </c>
      <c r="Q2973" s="71">
        <f t="shared" si="418"/>
        <v>0</v>
      </c>
      <c r="R2973" s="71">
        <f t="shared" si="419"/>
        <v>0</v>
      </c>
      <c r="S2973" s="71">
        <f t="shared" si="420"/>
        <v>0</v>
      </c>
      <c r="T2973" s="71">
        <f t="shared" si="421"/>
        <v>0</v>
      </c>
      <c r="U2973" s="71">
        <f>IF(AND(N2973=1,V2973=1),IF(COUNTIFS(AKTIVITAS!$B$2:$B$3052,B2973,AKTIVITAS!$E$2:$E$3052,H2973)&gt;0,1,0),0)</f>
        <v>0</v>
      </c>
      <c r="V2973" s="71">
        <f>IFERROR(IF(AND(H2973&gt;=INDEX(PEMAGANG!$J$3:$J$36,MATCH(B2973,PEMAGANG!$C$3:$C$36,0)),H2973&lt;=INDEX(PEMAGANG!$K$3:$K$36,MATCH(B2973,PEMAGANG!$C$3:$C$36,0))),1,0),0)</f>
        <v>1</v>
      </c>
      <c r="W2973" s="71">
        <f t="shared" si="422"/>
        <v>0</v>
      </c>
    </row>
    <row r="2974" spans="1:23" x14ac:dyDescent="0.2">
      <c r="A2974" s="71" t="s">
        <v>202</v>
      </c>
      <c r="B2974" s="71" t="s">
        <v>203</v>
      </c>
      <c r="C2974" s="71" t="s">
        <v>187</v>
      </c>
      <c r="D2974" s="71" t="s">
        <v>204</v>
      </c>
      <c r="E2974" s="71" t="s">
        <v>692</v>
      </c>
      <c r="F2974" s="71" t="s">
        <v>298</v>
      </c>
      <c r="G2974" s="88">
        <v>46232.307407407403</v>
      </c>
      <c r="H2974" s="89">
        <v>46232</v>
      </c>
      <c r="I2974" s="71" t="s">
        <v>313</v>
      </c>
      <c r="J2974" s="71">
        <v>-8.0000000000000497</v>
      </c>
      <c r="K2974" s="71" t="s">
        <v>302</v>
      </c>
      <c r="L2974" s="71">
        <f t="shared" si="414"/>
        <v>7</v>
      </c>
      <c r="M2974" s="71" t="str">
        <f>IFERROR(INDEX(KALENDER!$D$3:$D$132,MATCH(H2974,KALENDER!$A$3:$A$132,0)),"Di luar periode")</f>
        <v>WFH</v>
      </c>
      <c r="N2974" s="71">
        <f t="shared" si="415"/>
        <v>1</v>
      </c>
      <c r="O2974" s="71">
        <f t="shared" si="416"/>
        <v>1</v>
      </c>
      <c r="P2974" s="71">
        <f t="shared" si="417"/>
        <v>0</v>
      </c>
      <c r="Q2974" s="71">
        <f t="shared" si="418"/>
        <v>1</v>
      </c>
      <c r="R2974" s="71">
        <f t="shared" si="419"/>
        <v>0</v>
      </c>
      <c r="S2974" s="71">
        <f t="shared" si="420"/>
        <v>0</v>
      </c>
      <c r="T2974" s="71">
        <f t="shared" si="421"/>
        <v>0</v>
      </c>
      <c r="U2974" s="71">
        <f>IF(AND(N2974=1,V2974=1),IF(COUNTIFS(AKTIVITAS!$B$2:$B$3052,B2974,AKTIVITAS!$E$2:$E$3052,H2974)&gt;0,1,0),0)</f>
        <v>1</v>
      </c>
      <c r="V2974" s="71">
        <f>IFERROR(IF(AND(H2974&gt;=INDEX(PEMAGANG!$J$3:$J$36,MATCH(B2974,PEMAGANG!$C$3:$C$36,0)),H2974&lt;=INDEX(PEMAGANG!$K$3:$K$36,MATCH(B2974,PEMAGANG!$C$3:$C$36,0))),1,0),0)</f>
        <v>1</v>
      </c>
      <c r="W2974" s="71">
        <f t="shared" si="422"/>
        <v>1</v>
      </c>
    </row>
    <row r="2975" spans="1:23" x14ac:dyDescent="0.2">
      <c r="A2975" s="71" t="s">
        <v>202</v>
      </c>
      <c r="B2975" s="71" t="s">
        <v>203</v>
      </c>
      <c r="C2975" s="71" t="s">
        <v>187</v>
      </c>
      <c r="D2975" s="71" t="s">
        <v>204</v>
      </c>
      <c r="E2975" s="71" t="s">
        <v>692</v>
      </c>
      <c r="F2975" s="71" t="s">
        <v>300</v>
      </c>
      <c r="G2975" s="88">
        <v>46232.711770833303</v>
      </c>
      <c r="H2975" s="89">
        <v>46232</v>
      </c>
      <c r="I2975" s="71" t="s">
        <v>378</v>
      </c>
      <c r="J2975" s="71">
        <v>0</v>
      </c>
      <c r="K2975" s="71" t="s">
        <v>302</v>
      </c>
      <c r="L2975" s="71">
        <f t="shared" si="414"/>
        <v>7</v>
      </c>
      <c r="M2975" s="71" t="str">
        <f>IFERROR(INDEX(KALENDER!$D$3:$D$132,MATCH(H2975,KALENDER!$A$3:$A$132,0)),"Di luar periode")</f>
        <v>WFH</v>
      </c>
      <c r="N2975" s="71">
        <f t="shared" si="415"/>
        <v>0</v>
      </c>
      <c r="O2975" s="71">
        <f t="shared" si="416"/>
        <v>1</v>
      </c>
      <c r="P2975" s="71">
        <f t="shared" si="417"/>
        <v>0</v>
      </c>
      <c r="Q2975" s="71">
        <f t="shared" si="418"/>
        <v>0</v>
      </c>
      <c r="R2975" s="71">
        <f t="shared" si="419"/>
        <v>0</v>
      </c>
      <c r="S2975" s="71">
        <f t="shared" si="420"/>
        <v>0</v>
      </c>
      <c r="T2975" s="71">
        <f t="shared" si="421"/>
        <v>0</v>
      </c>
      <c r="U2975" s="71">
        <f>IF(AND(N2975=1,V2975=1),IF(COUNTIFS(AKTIVITAS!$B$2:$B$3052,B2975,AKTIVITAS!$E$2:$E$3052,H2975)&gt;0,1,0),0)</f>
        <v>0</v>
      </c>
      <c r="V2975" s="71">
        <f>IFERROR(IF(AND(H2975&gt;=INDEX(PEMAGANG!$J$3:$J$36,MATCH(B2975,PEMAGANG!$C$3:$C$36,0)),H2975&lt;=INDEX(PEMAGANG!$K$3:$K$36,MATCH(B2975,PEMAGANG!$C$3:$C$36,0))),1,0),0)</f>
        <v>1</v>
      </c>
      <c r="W2975" s="71">
        <f t="shared" si="422"/>
        <v>0</v>
      </c>
    </row>
    <row r="2976" spans="1:23" x14ac:dyDescent="0.2">
      <c r="A2976" s="71" t="s">
        <v>202</v>
      </c>
      <c r="B2976" s="71" t="s">
        <v>203</v>
      </c>
      <c r="C2976" s="71" t="s">
        <v>187</v>
      </c>
      <c r="D2976" s="71" t="s">
        <v>204</v>
      </c>
      <c r="E2976" s="71" t="s">
        <v>692</v>
      </c>
      <c r="F2976" s="71" t="s">
        <v>298</v>
      </c>
      <c r="G2976" s="88">
        <v>46233.309479166703</v>
      </c>
      <c r="H2976" s="89">
        <v>46233</v>
      </c>
      <c r="I2976" s="71" t="s">
        <v>307</v>
      </c>
      <c r="J2976" s="71">
        <v>-4.9999999999999796</v>
      </c>
      <c r="K2976" s="71" t="s">
        <v>302</v>
      </c>
      <c r="L2976" s="71">
        <f t="shared" si="414"/>
        <v>7</v>
      </c>
      <c r="M2976" s="71" t="str">
        <f>IFERROR(INDEX(KALENDER!$D$3:$D$132,MATCH(H2976,KALENDER!$A$3:$A$132,0)),"Di luar periode")</f>
        <v>Hari Kerja</v>
      </c>
      <c r="N2976" s="71">
        <f t="shared" si="415"/>
        <v>1</v>
      </c>
      <c r="O2976" s="71">
        <f t="shared" si="416"/>
        <v>1</v>
      </c>
      <c r="P2976" s="71">
        <f t="shared" si="417"/>
        <v>1</v>
      </c>
      <c r="Q2976" s="71">
        <f t="shared" si="418"/>
        <v>0</v>
      </c>
      <c r="R2976" s="71">
        <f t="shared" si="419"/>
        <v>0</v>
      </c>
      <c r="S2976" s="71">
        <f t="shared" si="420"/>
        <v>0</v>
      </c>
      <c r="T2976" s="71">
        <f t="shared" si="421"/>
        <v>0</v>
      </c>
      <c r="U2976" s="71">
        <f>IF(AND(N2976=1,V2976=1),IF(COUNTIFS(AKTIVITAS!$B$2:$B$3052,B2976,AKTIVITAS!$E$2:$E$3052,H2976)&gt;0,1,0),0)</f>
        <v>1</v>
      </c>
      <c r="V2976" s="71">
        <f>IFERROR(IF(AND(H2976&gt;=INDEX(PEMAGANG!$J$3:$J$36,MATCH(B2976,PEMAGANG!$C$3:$C$36,0)),H2976&lt;=INDEX(PEMAGANG!$K$3:$K$36,MATCH(B2976,PEMAGANG!$C$3:$C$36,0))),1,0),0)</f>
        <v>1</v>
      </c>
      <c r="W2976" s="71">
        <f t="shared" si="422"/>
        <v>1</v>
      </c>
    </row>
    <row r="2977" spans="1:23" x14ac:dyDescent="0.2">
      <c r="A2977" s="71" t="s">
        <v>202</v>
      </c>
      <c r="B2977" s="71" t="s">
        <v>203</v>
      </c>
      <c r="C2977" s="71" t="s">
        <v>187</v>
      </c>
      <c r="D2977" s="71" t="s">
        <v>204</v>
      </c>
      <c r="E2977" s="71" t="s">
        <v>692</v>
      </c>
      <c r="F2977" s="71" t="s">
        <v>300</v>
      </c>
      <c r="G2977" s="88">
        <v>46233.692557870403</v>
      </c>
      <c r="H2977" s="89">
        <v>46233</v>
      </c>
      <c r="I2977" s="71" t="s">
        <v>328</v>
      </c>
      <c r="J2977" s="71">
        <v>0</v>
      </c>
      <c r="K2977" s="71" t="s">
        <v>302</v>
      </c>
      <c r="L2977" s="71">
        <f t="shared" si="414"/>
        <v>7</v>
      </c>
      <c r="M2977" s="71" t="str">
        <f>IFERROR(INDEX(KALENDER!$D$3:$D$132,MATCH(H2977,KALENDER!$A$3:$A$132,0)),"Di luar periode")</f>
        <v>Hari Kerja</v>
      </c>
      <c r="N2977" s="71">
        <f t="shared" si="415"/>
        <v>0</v>
      </c>
      <c r="O2977" s="71">
        <f t="shared" si="416"/>
        <v>1</v>
      </c>
      <c r="P2977" s="71">
        <f t="shared" si="417"/>
        <v>0</v>
      </c>
      <c r="Q2977" s="71">
        <f t="shared" si="418"/>
        <v>0</v>
      </c>
      <c r="R2977" s="71">
        <f t="shared" si="419"/>
        <v>0</v>
      </c>
      <c r="S2977" s="71">
        <f t="shared" si="420"/>
        <v>0</v>
      </c>
      <c r="T2977" s="71">
        <f t="shared" si="421"/>
        <v>0</v>
      </c>
      <c r="U2977" s="71">
        <f>IF(AND(N2977=1,V2977=1),IF(COUNTIFS(AKTIVITAS!$B$2:$B$3052,B2977,AKTIVITAS!$E$2:$E$3052,H2977)&gt;0,1,0),0)</f>
        <v>0</v>
      </c>
      <c r="V2977" s="71">
        <f>IFERROR(IF(AND(H2977&gt;=INDEX(PEMAGANG!$J$3:$J$36,MATCH(B2977,PEMAGANG!$C$3:$C$36,0)),H2977&lt;=INDEX(PEMAGANG!$K$3:$K$36,MATCH(B2977,PEMAGANG!$C$3:$C$36,0))),1,0),0)</f>
        <v>1</v>
      </c>
      <c r="W2977" s="71">
        <f t="shared" si="422"/>
        <v>0</v>
      </c>
    </row>
    <row r="2978" spans="1:23" x14ac:dyDescent="0.2">
      <c r="A2978" s="71" t="s">
        <v>202</v>
      </c>
      <c r="B2978" s="71" t="s">
        <v>203</v>
      </c>
      <c r="C2978" s="71" t="s">
        <v>187</v>
      </c>
      <c r="D2978" s="71" t="s">
        <v>204</v>
      </c>
      <c r="E2978" s="71" t="s">
        <v>692</v>
      </c>
      <c r="F2978" s="71" t="s">
        <v>298</v>
      </c>
      <c r="G2978" s="88">
        <v>46234.3074768519</v>
      </c>
      <c r="H2978" s="89">
        <v>46234</v>
      </c>
      <c r="I2978" s="71" t="s">
        <v>313</v>
      </c>
      <c r="J2978" s="71">
        <v>-8.0000000000000497</v>
      </c>
      <c r="K2978" s="71" t="s">
        <v>302</v>
      </c>
      <c r="L2978" s="71">
        <f t="shared" si="414"/>
        <v>7</v>
      </c>
      <c r="M2978" s="71" t="str">
        <f>IFERROR(INDEX(KALENDER!$D$3:$D$132,MATCH(H2978,KALENDER!$A$3:$A$132,0)),"Di luar periode")</f>
        <v>Hari Kerja</v>
      </c>
      <c r="N2978" s="71">
        <f t="shared" si="415"/>
        <v>1</v>
      </c>
      <c r="O2978" s="71">
        <f t="shared" si="416"/>
        <v>1</v>
      </c>
      <c r="P2978" s="71">
        <f t="shared" si="417"/>
        <v>1</v>
      </c>
      <c r="Q2978" s="71">
        <f t="shared" si="418"/>
        <v>0</v>
      </c>
      <c r="R2978" s="71">
        <f t="shared" si="419"/>
        <v>0</v>
      </c>
      <c r="S2978" s="71">
        <f t="shared" si="420"/>
        <v>0</v>
      </c>
      <c r="T2978" s="71">
        <f t="shared" si="421"/>
        <v>0</v>
      </c>
      <c r="U2978" s="71">
        <f>IF(AND(N2978=1,V2978=1),IF(COUNTIFS(AKTIVITAS!$B$2:$B$3052,B2978,AKTIVITAS!$E$2:$E$3052,H2978)&gt;0,1,0),0)</f>
        <v>1</v>
      </c>
      <c r="V2978" s="71">
        <f>IFERROR(IF(AND(H2978&gt;=INDEX(PEMAGANG!$J$3:$J$36,MATCH(B2978,PEMAGANG!$C$3:$C$36,0)),H2978&lt;=INDEX(PEMAGANG!$K$3:$K$36,MATCH(B2978,PEMAGANG!$C$3:$C$36,0))),1,0),0)</f>
        <v>1</v>
      </c>
      <c r="W2978" s="71">
        <f t="shared" si="422"/>
        <v>1</v>
      </c>
    </row>
    <row r="2979" spans="1:23" x14ac:dyDescent="0.2">
      <c r="A2979" s="71" t="s">
        <v>202</v>
      </c>
      <c r="B2979" s="71" t="s">
        <v>203</v>
      </c>
      <c r="C2979" s="71" t="s">
        <v>187</v>
      </c>
      <c r="D2979" s="71" t="s">
        <v>204</v>
      </c>
      <c r="E2979" s="71" t="s">
        <v>692</v>
      </c>
      <c r="F2979" s="71" t="s">
        <v>300</v>
      </c>
      <c r="G2979" s="88">
        <v>46234.6887152778</v>
      </c>
      <c r="H2979" s="89">
        <v>46234</v>
      </c>
      <c r="I2979" s="71" t="s">
        <v>336</v>
      </c>
      <c r="J2979" s="71">
        <v>0</v>
      </c>
      <c r="K2979" s="71" t="s">
        <v>302</v>
      </c>
      <c r="L2979" s="71">
        <f t="shared" si="414"/>
        <v>7</v>
      </c>
      <c r="M2979" s="71" t="str">
        <f>IFERROR(INDEX(KALENDER!$D$3:$D$132,MATCH(H2979,KALENDER!$A$3:$A$132,0)),"Di luar periode")</f>
        <v>Hari Kerja</v>
      </c>
      <c r="N2979" s="71">
        <f t="shared" si="415"/>
        <v>0</v>
      </c>
      <c r="O2979" s="71">
        <f t="shared" si="416"/>
        <v>1</v>
      </c>
      <c r="P2979" s="71">
        <f t="shared" si="417"/>
        <v>0</v>
      </c>
      <c r="Q2979" s="71">
        <f t="shared" si="418"/>
        <v>0</v>
      </c>
      <c r="R2979" s="71">
        <f t="shared" si="419"/>
        <v>0</v>
      </c>
      <c r="S2979" s="71">
        <f t="shared" si="420"/>
        <v>0</v>
      </c>
      <c r="T2979" s="71">
        <f t="shared" si="421"/>
        <v>0</v>
      </c>
      <c r="U2979" s="71">
        <f>IF(AND(N2979=1,V2979=1),IF(COUNTIFS(AKTIVITAS!$B$2:$B$3052,B2979,AKTIVITAS!$E$2:$E$3052,H2979)&gt;0,1,0),0)</f>
        <v>0</v>
      </c>
      <c r="V2979" s="71">
        <f>IFERROR(IF(AND(H2979&gt;=INDEX(PEMAGANG!$J$3:$J$36,MATCH(B2979,PEMAGANG!$C$3:$C$36,0)),H2979&lt;=INDEX(PEMAGANG!$K$3:$K$36,MATCH(B2979,PEMAGANG!$C$3:$C$36,0))),1,0),0)</f>
        <v>1</v>
      </c>
      <c r="W2979" s="71">
        <f t="shared" si="422"/>
        <v>0</v>
      </c>
    </row>
    <row r="2980" spans="1:23" x14ac:dyDescent="0.2">
      <c r="A2980" s="71" t="s">
        <v>202</v>
      </c>
      <c r="B2980" s="71" t="s">
        <v>203</v>
      </c>
      <c r="C2980" s="71" t="s">
        <v>187</v>
      </c>
      <c r="D2980" s="71" t="s">
        <v>204</v>
      </c>
      <c r="E2980" s="71" t="s">
        <v>692</v>
      </c>
      <c r="F2980" s="71" t="s">
        <v>298</v>
      </c>
      <c r="G2980" s="88">
        <v>46237.301284722198</v>
      </c>
      <c r="H2980" s="89">
        <v>46237</v>
      </c>
      <c r="I2980" s="71" t="s">
        <v>475</v>
      </c>
      <c r="J2980" s="71">
        <v>-17</v>
      </c>
      <c r="K2980" s="71" t="s">
        <v>302</v>
      </c>
      <c r="L2980" s="71">
        <f t="shared" si="414"/>
        <v>8</v>
      </c>
      <c r="M2980" s="71" t="str">
        <f>IFERROR(INDEX(KALENDER!$D$3:$D$132,MATCH(H2980,KALENDER!$A$3:$A$132,0)),"Di luar periode")</f>
        <v>Hari Kerja</v>
      </c>
      <c r="N2980" s="71">
        <f t="shared" si="415"/>
        <v>1</v>
      </c>
      <c r="O2980" s="71">
        <f t="shared" si="416"/>
        <v>1</v>
      </c>
      <c r="P2980" s="71">
        <f t="shared" si="417"/>
        <v>1</v>
      </c>
      <c r="Q2980" s="71">
        <f t="shared" si="418"/>
        <v>0</v>
      </c>
      <c r="R2980" s="71">
        <f t="shared" si="419"/>
        <v>0</v>
      </c>
      <c r="S2980" s="71">
        <f t="shared" si="420"/>
        <v>0</v>
      </c>
      <c r="T2980" s="71">
        <f t="shared" si="421"/>
        <v>0</v>
      </c>
      <c r="U2980" s="71">
        <f>IF(AND(N2980=1,V2980=1),IF(COUNTIFS(AKTIVITAS!$B$2:$B$3052,B2980,AKTIVITAS!$E$2:$E$3052,H2980)&gt;0,1,0),0)</f>
        <v>1</v>
      </c>
      <c r="V2980" s="71">
        <f>IFERROR(IF(AND(H2980&gt;=INDEX(PEMAGANG!$J$3:$J$36,MATCH(B2980,PEMAGANG!$C$3:$C$36,0)),H2980&lt;=INDEX(PEMAGANG!$K$3:$K$36,MATCH(B2980,PEMAGANG!$C$3:$C$36,0))),1,0),0)</f>
        <v>1</v>
      </c>
      <c r="W2980" s="71">
        <f t="shared" si="422"/>
        <v>1</v>
      </c>
    </row>
    <row r="2981" spans="1:23" x14ac:dyDescent="0.2">
      <c r="A2981" s="71" t="s">
        <v>202</v>
      </c>
      <c r="B2981" s="71" t="s">
        <v>203</v>
      </c>
      <c r="C2981" s="71" t="s">
        <v>187</v>
      </c>
      <c r="D2981" s="71" t="s">
        <v>204</v>
      </c>
      <c r="E2981" s="71" t="s">
        <v>692</v>
      </c>
      <c r="F2981" s="71" t="s">
        <v>300</v>
      </c>
      <c r="G2981" s="88">
        <v>46237.705115740697</v>
      </c>
      <c r="H2981" s="89">
        <v>46237</v>
      </c>
      <c r="I2981" s="71" t="s">
        <v>585</v>
      </c>
      <c r="J2981" s="71">
        <v>0</v>
      </c>
      <c r="K2981" s="71" t="s">
        <v>302</v>
      </c>
      <c r="L2981" s="71">
        <f t="shared" si="414"/>
        <v>8</v>
      </c>
      <c r="M2981" s="71" t="str">
        <f>IFERROR(INDEX(KALENDER!$D$3:$D$132,MATCH(H2981,KALENDER!$A$3:$A$132,0)),"Di luar periode")</f>
        <v>Hari Kerja</v>
      </c>
      <c r="N2981" s="71">
        <f t="shared" si="415"/>
        <v>0</v>
      </c>
      <c r="O2981" s="71">
        <f t="shared" si="416"/>
        <v>1</v>
      </c>
      <c r="P2981" s="71">
        <f t="shared" si="417"/>
        <v>0</v>
      </c>
      <c r="Q2981" s="71">
        <f t="shared" si="418"/>
        <v>0</v>
      </c>
      <c r="R2981" s="71">
        <f t="shared" si="419"/>
        <v>0</v>
      </c>
      <c r="S2981" s="71">
        <f t="shared" si="420"/>
        <v>0</v>
      </c>
      <c r="T2981" s="71">
        <f t="shared" si="421"/>
        <v>0</v>
      </c>
      <c r="U2981" s="71">
        <f>IF(AND(N2981=1,V2981=1),IF(COUNTIFS(AKTIVITAS!$B$2:$B$3052,B2981,AKTIVITAS!$E$2:$E$3052,H2981)&gt;0,1,0),0)</f>
        <v>0</v>
      </c>
      <c r="V2981" s="71">
        <f>IFERROR(IF(AND(H2981&gt;=INDEX(PEMAGANG!$J$3:$J$36,MATCH(B2981,PEMAGANG!$C$3:$C$36,0)),H2981&lt;=INDEX(PEMAGANG!$K$3:$K$36,MATCH(B2981,PEMAGANG!$C$3:$C$36,0))),1,0),0)</f>
        <v>1</v>
      </c>
      <c r="W2981" s="71">
        <f t="shared" si="422"/>
        <v>0</v>
      </c>
    </row>
    <row r="2982" spans="1:23" x14ac:dyDescent="0.2">
      <c r="A2982" s="71" t="s">
        <v>202</v>
      </c>
      <c r="B2982" s="71" t="s">
        <v>203</v>
      </c>
      <c r="C2982" s="71" t="s">
        <v>187</v>
      </c>
      <c r="D2982" s="71" t="s">
        <v>204</v>
      </c>
      <c r="E2982" s="71" t="s">
        <v>692</v>
      </c>
      <c r="F2982" s="71" t="s">
        <v>298</v>
      </c>
      <c r="G2982" s="88">
        <v>46238.3062615741</v>
      </c>
      <c r="H2982" s="89">
        <v>46238</v>
      </c>
      <c r="I2982" s="71" t="s">
        <v>305</v>
      </c>
      <c r="J2982" s="71">
        <v>-9.0000000000000497</v>
      </c>
      <c r="K2982" s="71" t="s">
        <v>302</v>
      </c>
      <c r="L2982" s="71">
        <f t="shared" si="414"/>
        <v>8</v>
      </c>
      <c r="M2982" s="71" t="str">
        <f>IFERROR(INDEX(KALENDER!$D$3:$D$132,MATCH(H2982,KALENDER!$A$3:$A$132,0)),"Di luar periode")</f>
        <v>Hari Kerja</v>
      </c>
      <c r="N2982" s="71">
        <f t="shared" si="415"/>
        <v>1</v>
      </c>
      <c r="O2982" s="71">
        <f t="shared" si="416"/>
        <v>1</v>
      </c>
      <c r="P2982" s="71">
        <f t="shared" si="417"/>
        <v>1</v>
      </c>
      <c r="Q2982" s="71">
        <f t="shared" si="418"/>
        <v>0</v>
      </c>
      <c r="R2982" s="71">
        <f t="shared" si="419"/>
        <v>0</v>
      </c>
      <c r="S2982" s="71">
        <f t="shared" si="420"/>
        <v>0</v>
      </c>
      <c r="T2982" s="71">
        <f t="shared" si="421"/>
        <v>1</v>
      </c>
      <c r="U2982" s="71">
        <f>IF(AND(N2982=1,V2982=1),IF(COUNTIFS(AKTIVITAS!$B$2:$B$3052,B2982,AKTIVITAS!$E$2:$E$3052,H2982)&gt;0,1,0),0)</f>
        <v>0</v>
      </c>
      <c r="V2982" s="71">
        <f>IFERROR(IF(AND(H2982&gt;=INDEX(PEMAGANG!$J$3:$J$36,MATCH(B2982,PEMAGANG!$C$3:$C$36,0)),H2982&lt;=INDEX(PEMAGANG!$K$3:$K$36,MATCH(B2982,PEMAGANG!$C$3:$C$36,0))),1,0),0)</f>
        <v>1</v>
      </c>
      <c r="W2982" s="71">
        <f t="shared" si="422"/>
        <v>1</v>
      </c>
    </row>
    <row r="2983" spans="1:23" x14ac:dyDescent="0.2">
      <c r="A2983" s="71" t="s">
        <v>202</v>
      </c>
      <c r="B2983" s="71" t="s">
        <v>203</v>
      </c>
      <c r="C2983" s="71" t="s">
        <v>187</v>
      </c>
      <c r="D2983" s="71" t="s">
        <v>204</v>
      </c>
      <c r="E2983" s="71" t="s">
        <v>692</v>
      </c>
      <c r="F2983" s="71" t="s">
        <v>298</v>
      </c>
      <c r="G2983" s="88">
        <v>46239.305960648198</v>
      </c>
      <c r="H2983" s="89">
        <v>46239</v>
      </c>
      <c r="I2983" s="71" t="s">
        <v>329</v>
      </c>
      <c r="J2983" s="71">
        <v>-10</v>
      </c>
      <c r="K2983" s="71" t="s">
        <v>302</v>
      </c>
      <c r="L2983" s="71">
        <f t="shared" si="414"/>
        <v>8</v>
      </c>
      <c r="M2983" s="71" t="str">
        <f>IFERROR(INDEX(KALENDER!$D$3:$D$132,MATCH(H2983,KALENDER!$A$3:$A$132,0)),"Di luar periode")</f>
        <v>Hari Kerja</v>
      </c>
      <c r="N2983" s="71">
        <f t="shared" si="415"/>
        <v>1</v>
      </c>
      <c r="O2983" s="71">
        <f t="shared" si="416"/>
        <v>1</v>
      </c>
      <c r="P2983" s="71">
        <f t="shared" si="417"/>
        <v>1</v>
      </c>
      <c r="Q2983" s="71">
        <f t="shared" si="418"/>
        <v>0</v>
      </c>
      <c r="R2983" s="71">
        <f t="shared" si="419"/>
        <v>0</v>
      </c>
      <c r="S2983" s="71">
        <f t="shared" si="420"/>
        <v>0</v>
      </c>
      <c r="T2983" s="71">
        <f t="shared" si="421"/>
        <v>0</v>
      </c>
      <c r="U2983" s="71">
        <f>IF(AND(N2983=1,V2983=1),IF(COUNTIFS(AKTIVITAS!$B$2:$B$3052,B2983,AKTIVITAS!$E$2:$E$3052,H2983)&gt;0,1,0),0)</f>
        <v>1</v>
      </c>
      <c r="V2983" s="71">
        <f>IFERROR(IF(AND(H2983&gt;=INDEX(PEMAGANG!$J$3:$J$36,MATCH(B2983,PEMAGANG!$C$3:$C$36,0)),H2983&lt;=INDEX(PEMAGANG!$K$3:$K$36,MATCH(B2983,PEMAGANG!$C$3:$C$36,0))),1,0),0)</f>
        <v>1</v>
      </c>
      <c r="W2983" s="71">
        <f t="shared" si="422"/>
        <v>1</v>
      </c>
    </row>
    <row r="2984" spans="1:23" x14ac:dyDescent="0.2">
      <c r="A2984" s="71" t="s">
        <v>202</v>
      </c>
      <c r="B2984" s="71" t="s">
        <v>203</v>
      </c>
      <c r="C2984" s="71" t="s">
        <v>187</v>
      </c>
      <c r="D2984" s="71" t="s">
        <v>204</v>
      </c>
      <c r="E2984" s="71" t="s">
        <v>692</v>
      </c>
      <c r="F2984" s="71" t="s">
        <v>300</v>
      </c>
      <c r="G2984" s="88">
        <v>46239.694398148204</v>
      </c>
      <c r="H2984" s="89">
        <v>46239</v>
      </c>
      <c r="I2984" s="71" t="s">
        <v>308</v>
      </c>
      <c r="J2984" s="71">
        <v>0</v>
      </c>
      <c r="K2984" s="71" t="s">
        <v>302</v>
      </c>
      <c r="L2984" s="71">
        <f t="shared" si="414"/>
        <v>8</v>
      </c>
      <c r="M2984" s="71" t="str">
        <f>IFERROR(INDEX(KALENDER!$D$3:$D$132,MATCH(H2984,KALENDER!$A$3:$A$132,0)),"Di luar periode")</f>
        <v>Hari Kerja</v>
      </c>
      <c r="N2984" s="71">
        <f t="shared" si="415"/>
        <v>0</v>
      </c>
      <c r="O2984" s="71">
        <f t="shared" si="416"/>
        <v>1</v>
      </c>
      <c r="P2984" s="71">
        <f t="shared" si="417"/>
        <v>0</v>
      </c>
      <c r="Q2984" s="71">
        <f t="shared" si="418"/>
        <v>0</v>
      </c>
      <c r="R2984" s="71">
        <f t="shared" si="419"/>
        <v>0</v>
      </c>
      <c r="S2984" s="71">
        <f t="shared" si="420"/>
        <v>0</v>
      </c>
      <c r="T2984" s="71">
        <f t="shared" si="421"/>
        <v>0</v>
      </c>
      <c r="U2984" s="71">
        <f>IF(AND(N2984=1,V2984=1),IF(COUNTIFS(AKTIVITAS!$B$2:$B$3052,B2984,AKTIVITAS!$E$2:$E$3052,H2984)&gt;0,1,0),0)</f>
        <v>0</v>
      </c>
      <c r="V2984" s="71">
        <f>IFERROR(IF(AND(H2984&gt;=INDEX(PEMAGANG!$J$3:$J$36,MATCH(B2984,PEMAGANG!$C$3:$C$36,0)),H2984&lt;=INDEX(PEMAGANG!$K$3:$K$36,MATCH(B2984,PEMAGANG!$C$3:$C$36,0))),1,0),0)</f>
        <v>1</v>
      </c>
      <c r="W2984" s="71">
        <f t="shared" si="422"/>
        <v>0</v>
      </c>
    </row>
    <row r="2985" spans="1:23" x14ac:dyDescent="0.2">
      <c r="A2985" s="71" t="s">
        <v>202</v>
      </c>
      <c r="B2985" s="71" t="s">
        <v>203</v>
      </c>
      <c r="C2985" s="71" t="s">
        <v>187</v>
      </c>
      <c r="D2985" s="71" t="s">
        <v>204</v>
      </c>
      <c r="E2985" s="71" t="s">
        <v>692</v>
      </c>
      <c r="F2985" s="71" t="s">
        <v>298</v>
      </c>
      <c r="G2985" s="88">
        <v>46240.304039351897</v>
      </c>
      <c r="H2985" s="89">
        <v>46240</v>
      </c>
      <c r="I2985" s="71" t="s">
        <v>331</v>
      </c>
      <c r="J2985" s="71">
        <v>-13</v>
      </c>
      <c r="K2985" s="71" t="s">
        <v>302</v>
      </c>
      <c r="L2985" s="71">
        <f t="shared" si="414"/>
        <v>8</v>
      </c>
      <c r="M2985" s="71" t="str">
        <f>IFERROR(INDEX(KALENDER!$D$3:$D$132,MATCH(H2985,KALENDER!$A$3:$A$132,0)),"Di luar periode")</f>
        <v>Hari Kerja</v>
      </c>
      <c r="N2985" s="71">
        <f t="shared" si="415"/>
        <v>1</v>
      </c>
      <c r="O2985" s="71">
        <f t="shared" si="416"/>
        <v>1</v>
      </c>
      <c r="P2985" s="71">
        <f t="shared" si="417"/>
        <v>1</v>
      </c>
      <c r="Q2985" s="71">
        <f t="shared" si="418"/>
        <v>0</v>
      </c>
      <c r="R2985" s="71">
        <f t="shared" si="419"/>
        <v>0</v>
      </c>
      <c r="S2985" s="71">
        <f t="shared" si="420"/>
        <v>0</v>
      </c>
      <c r="T2985" s="71">
        <f t="shared" si="421"/>
        <v>0</v>
      </c>
      <c r="U2985" s="71">
        <f>IF(AND(N2985=1,V2985=1),IF(COUNTIFS(AKTIVITAS!$B$2:$B$3052,B2985,AKTIVITAS!$E$2:$E$3052,H2985)&gt;0,1,0),0)</f>
        <v>1</v>
      </c>
      <c r="V2985" s="71">
        <f>IFERROR(IF(AND(H2985&gt;=INDEX(PEMAGANG!$J$3:$J$36,MATCH(B2985,PEMAGANG!$C$3:$C$36,0)),H2985&lt;=INDEX(PEMAGANG!$K$3:$K$36,MATCH(B2985,PEMAGANG!$C$3:$C$36,0))),1,0),0)</f>
        <v>1</v>
      </c>
      <c r="W2985" s="71">
        <f t="shared" si="422"/>
        <v>1</v>
      </c>
    </row>
    <row r="2986" spans="1:23" x14ac:dyDescent="0.2">
      <c r="A2986" s="71" t="s">
        <v>202</v>
      </c>
      <c r="B2986" s="71" t="s">
        <v>203</v>
      </c>
      <c r="C2986" s="71" t="s">
        <v>187</v>
      </c>
      <c r="D2986" s="71" t="s">
        <v>204</v>
      </c>
      <c r="E2986" s="71" t="s">
        <v>692</v>
      </c>
      <c r="F2986" s="71" t="s">
        <v>300</v>
      </c>
      <c r="G2986" s="88">
        <v>46240.6885763889</v>
      </c>
      <c r="H2986" s="89">
        <v>46240</v>
      </c>
      <c r="I2986" s="71" t="s">
        <v>336</v>
      </c>
      <c r="J2986" s="71">
        <v>0</v>
      </c>
      <c r="K2986" s="71" t="s">
        <v>302</v>
      </c>
      <c r="L2986" s="71">
        <f t="shared" si="414"/>
        <v>8</v>
      </c>
      <c r="M2986" s="71" t="str">
        <f>IFERROR(INDEX(KALENDER!$D$3:$D$132,MATCH(H2986,KALENDER!$A$3:$A$132,0)),"Di luar periode")</f>
        <v>Hari Kerja</v>
      </c>
      <c r="N2986" s="71">
        <f t="shared" si="415"/>
        <v>0</v>
      </c>
      <c r="O2986" s="71">
        <f t="shared" si="416"/>
        <v>1</v>
      </c>
      <c r="P2986" s="71">
        <f t="shared" si="417"/>
        <v>0</v>
      </c>
      <c r="Q2986" s="71">
        <f t="shared" si="418"/>
        <v>0</v>
      </c>
      <c r="R2986" s="71">
        <f t="shared" si="419"/>
        <v>0</v>
      </c>
      <c r="S2986" s="71">
        <f t="shared" si="420"/>
        <v>0</v>
      </c>
      <c r="T2986" s="71">
        <f t="shared" si="421"/>
        <v>0</v>
      </c>
      <c r="U2986" s="71">
        <f>IF(AND(N2986=1,V2986=1),IF(COUNTIFS(AKTIVITAS!$B$2:$B$3052,B2986,AKTIVITAS!$E$2:$E$3052,H2986)&gt;0,1,0),0)</f>
        <v>0</v>
      </c>
      <c r="V2986" s="71">
        <f>IFERROR(IF(AND(H2986&gt;=INDEX(PEMAGANG!$J$3:$J$36,MATCH(B2986,PEMAGANG!$C$3:$C$36,0)),H2986&lt;=INDEX(PEMAGANG!$K$3:$K$36,MATCH(B2986,PEMAGANG!$C$3:$C$36,0))),1,0),0)</f>
        <v>1</v>
      </c>
      <c r="W2986" s="71">
        <f t="shared" si="422"/>
        <v>0</v>
      </c>
    </row>
    <row r="2987" spans="1:23" x14ac:dyDescent="0.2">
      <c r="A2987" s="71" t="s">
        <v>202</v>
      </c>
      <c r="B2987" s="71" t="s">
        <v>203</v>
      </c>
      <c r="C2987" s="71" t="s">
        <v>187</v>
      </c>
      <c r="D2987" s="71" t="s">
        <v>204</v>
      </c>
      <c r="E2987" s="71" t="s">
        <v>692</v>
      </c>
      <c r="F2987" s="71" t="s">
        <v>298</v>
      </c>
      <c r="G2987" s="88">
        <v>46241.303645833301</v>
      </c>
      <c r="H2987" s="89">
        <v>46241</v>
      </c>
      <c r="I2987" s="71" t="s">
        <v>331</v>
      </c>
      <c r="J2987" s="71">
        <v>-13</v>
      </c>
      <c r="K2987" s="71" t="s">
        <v>302</v>
      </c>
      <c r="L2987" s="71">
        <f t="shared" si="414"/>
        <v>8</v>
      </c>
      <c r="M2987" s="71" t="str">
        <f>IFERROR(INDEX(KALENDER!$D$3:$D$132,MATCH(H2987,KALENDER!$A$3:$A$132,0)),"Di luar periode")</f>
        <v>Hari Kerja</v>
      </c>
      <c r="N2987" s="71">
        <f t="shared" si="415"/>
        <v>1</v>
      </c>
      <c r="O2987" s="71">
        <f t="shared" si="416"/>
        <v>1</v>
      </c>
      <c r="P2987" s="71">
        <f t="shared" si="417"/>
        <v>1</v>
      </c>
      <c r="Q2987" s="71">
        <f t="shared" si="418"/>
        <v>0</v>
      </c>
      <c r="R2987" s="71">
        <f t="shared" si="419"/>
        <v>0</v>
      </c>
      <c r="S2987" s="71">
        <f t="shared" si="420"/>
        <v>0</v>
      </c>
      <c r="T2987" s="71">
        <f t="shared" si="421"/>
        <v>0</v>
      </c>
      <c r="U2987" s="71">
        <f>IF(AND(N2987=1,V2987=1),IF(COUNTIFS(AKTIVITAS!$B$2:$B$3052,B2987,AKTIVITAS!$E$2:$E$3052,H2987)&gt;0,1,0),0)</f>
        <v>1</v>
      </c>
      <c r="V2987" s="71">
        <f>IFERROR(IF(AND(H2987&gt;=INDEX(PEMAGANG!$J$3:$J$36,MATCH(B2987,PEMAGANG!$C$3:$C$36,0)),H2987&lt;=INDEX(PEMAGANG!$K$3:$K$36,MATCH(B2987,PEMAGANG!$C$3:$C$36,0))),1,0),0)</f>
        <v>1</v>
      </c>
      <c r="W2987" s="71">
        <f t="shared" si="422"/>
        <v>1</v>
      </c>
    </row>
    <row r="2988" spans="1:23" x14ac:dyDescent="0.2">
      <c r="A2988" s="71" t="s">
        <v>202</v>
      </c>
      <c r="B2988" s="71" t="s">
        <v>203</v>
      </c>
      <c r="C2988" s="71" t="s">
        <v>187</v>
      </c>
      <c r="D2988" s="71" t="s">
        <v>204</v>
      </c>
      <c r="E2988" s="71" t="s">
        <v>692</v>
      </c>
      <c r="F2988" s="71" t="s">
        <v>300</v>
      </c>
      <c r="G2988" s="88">
        <v>46241.695543981499</v>
      </c>
      <c r="H2988" s="89">
        <v>46241</v>
      </c>
      <c r="I2988" s="71" t="s">
        <v>319</v>
      </c>
      <c r="J2988" s="71">
        <v>0</v>
      </c>
      <c r="K2988" s="71" t="s">
        <v>302</v>
      </c>
      <c r="L2988" s="71">
        <f t="shared" si="414"/>
        <v>8</v>
      </c>
      <c r="M2988" s="71" t="str">
        <f>IFERROR(INDEX(KALENDER!$D$3:$D$132,MATCH(H2988,KALENDER!$A$3:$A$132,0)),"Di luar periode")</f>
        <v>Hari Kerja</v>
      </c>
      <c r="N2988" s="71">
        <f t="shared" si="415"/>
        <v>0</v>
      </c>
      <c r="O2988" s="71">
        <f t="shared" si="416"/>
        <v>1</v>
      </c>
      <c r="P2988" s="71">
        <f t="shared" si="417"/>
        <v>0</v>
      </c>
      <c r="Q2988" s="71">
        <f t="shared" si="418"/>
        <v>0</v>
      </c>
      <c r="R2988" s="71">
        <f t="shared" si="419"/>
        <v>0</v>
      </c>
      <c r="S2988" s="71">
        <f t="shared" si="420"/>
        <v>0</v>
      </c>
      <c r="T2988" s="71">
        <f t="shared" si="421"/>
        <v>0</v>
      </c>
      <c r="U2988" s="71">
        <f>IF(AND(N2988=1,V2988=1),IF(COUNTIFS(AKTIVITAS!$B$2:$B$3052,B2988,AKTIVITAS!$E$2:$E$3052,H2988)&gt;0,1,0),0)</f>
        <v>0</v>
      </c>
      <c r="V2988" s="71">
        <f>IFERROR(IF(AND(H2988&gt;=INDEX(PEMAGANG!$J$3:$J$36,MATCH(B2988,PEMAGANG!$C$3:$C$36,0)),H2988&lt;=INDEX(PEMAGANG!$K$3:$K$36,MATCH(B2988,PEMAGANG!$C$3:$C$36,0))),1,0),0)</f>
        <v>1</v>
      </c>
      <c r="W2988" s="71">
        <f t="shared" si="422"/>
        <v>0</v>
      </c>
    </row>
    <row r="2989" spans="1:23" x14ac:dyDescent="0.2">
      <c r="A2989" s="71" t="s">
        <v>202</v>
      </c>
      <c r="B2989" s="71" t="s">
        <v>203</v>
      </c>
      <c r="C2989" s="71" t="s">
        <v>187</v>
      </c>
      <c r="D2989" s="71" t="s">
        <v>204</v>
      </c>
      <c r="E2989" s="71" t="s">
        <v>692</v>
      </c>
      <c r="F2989" s="71" t="s">
        <v>298</v>
      </c>
      <c r="G2989" s="88">
        <v>46244.308680555601</v>
      </c>
      <c r="H2989" s="89">
        <v>46244</v>
      </c>
      <c r="I2989" s="71" t="s">
        <v>303</v>
      </c>
      <c r="J2989" s="71">
        <v>-5.9999999999999796</v>
      </c>
      <c r="K2989" s="71" t="s">
        <v>302</v>
      </c>
      <c r="L2989" s="71">
        <f t="shared" si="414"/>
        <v>8</v>
      </c>
      <c r="M2989" s="71" t="str">
        <f>IFERROR(INDEX(KALENDER!$D$3:$D$132,MATCH(H2989,KALENDER!$A$3:$A$132,0)),"Di luar periode")</f>
        <v>Hari Kerja</v>
      </c>
      <c r="N2989" s="71">
        <f t="shared" si="415"/>
        <v>1</v>
      </c>
      <c r="O2989" s="71">
        <f t="shared" si="416"/>
        <v>1</v>
      </c>
      <c r="P2989" s="71">
        <f t="shared" si="417"/>
        <v>1</v>
      </c>
      <c r="Q2989" s="71">
        <f t="shared" si="418"/>
        <v>0</v>
      </c>
      <c r="R2989" s="71">
        <f t="shared" si="419"/>
        <v>0</v>
      </c>
      <c r="S2989" s="71">
        <f t="shared" si="420"/>
        <v>0</v>
      </c>
      <c r="T2989" s="71">
        <f t="shared" si="421"/>
        <v>0</v>
      </c>
      <c r="U2989" s="71">
        <f>IF(AND(N2989=1,V2989=1),IF(COUNTIFS(AKTIVITAS!$B$2:$B$3052,B2989,AKTIVITAS!$E$2:$E$3052,H2989)&gt;0,1,0),0)</f>
        <v>1</v>
      </c>
      <c r="V2989" s="71">
        <f>IFERROR(IF(AND(H2989&gt;=INDEX(PEMAGANG!$J$3:$J$36,MATCH(B2989,PEMAGANG!$C$3:$C$36,0)),H2989&lt;=INDEX(PEMAGANG!$K$3:$K$36,MATCH(B2989,PEMAGANG!$C$3:$C$36,0))),1,0),0)</f>
        <v>1</v>
      </c>
      <c r="W2989" s="71">
        <f t="shared" si="422"/>
        <v>1</v>
      </c>
    </row>
    <row r="2990" spans="1:23" x14ac:dyDescent="0.2">
      <c r="A2990" s="71" t="s">
        <v>202</v>
      </c>
      <c r="B2990" s="71" t="s">
        <v>203</v>
      </c>
      <c r="C2990" s="71" t="s">
        <v>187</v>
      </c>
      <c r="D2990" s="71" t="s">
        <v>204</v>
      </c>
      <c r="E2990" s="71" t="s">
        <v>692</v>
      </c>
      <c r="F2990" s="71" t="s">
        <v>300</v>
      </c>
      <c r="G2990" s="88">
        <v>46244.6962152778</v>
      </c>
      <c r="H2990" s="89">
        <v>46244</v>
      </c>
      <c r="I2990" s="71" t="s">
        <v>320</v>
      </c>
      <c r="J2990" s="71">
        <v>0</v>
      </c>
      <c r="K2990" s="71" t="s">
        <v>302</v>
      </c>
      <c r="L2990" s="71">
        <f t="shared" si="414"/>
        <v>8</v>
      </c>
      <c r="M2990" s="71" t="str">
        <f>IFERROR(INDEX(KALENDER!$D$3:$D$132,MATCH(H2990,KALENDER!$A$3:$A$132,0)),"Di luar periode")</f>
        <v>Hari Kerja</v>
      </c>
      <c r="N2990" s="71">
        <f t="shared" si="415"/>
        <v>0</v>
      </c>
      <c r="O2990" s="71">
        <f t="shared" si="416"/>
        <v>1</v>
      </c>
      <c r="P2990" s="71">
        <f t="shared" si="417"/>
        <v>0</v>
      </c>
      <c r="Q2990" s="71">
        <f t="shared" si="418"/>
        <v>0</v>
      </c>
      <c r="R2990" s="71">
        <f t="shared" si="419"/>
        <v>0</v>
      </c>
      <c r="S2990" s="71">
        <f t="shared" si="420"/>
        <v>0</v>
      </c>
      <c r="T2990" s="71">
        <f t="shared" si="421"/>
        <v>0</v>
      </c>
      <c r="U2990" s="71">
        <f>IF(AND(N2990=1,V2990=1),IF(COUNTIFS(AKTIVITAS!$B$2:$B$3052,B2990,AKTIVITAS!$E$2:$E$3052,H2990)&gt;0,1,0),0)</f>
        <v>0</v>
      </c>
      <c r="V2990" s="71">
        <f>IFERROR(IF(AND(H2990&gt;=INDEX(PEMAGANG!$J$3:$J$36,MATCH(B2990,PEMAGANG!$C$3:$C$36,0)),H2990&lt;=INDEX(PEMAGANG!$K$3:$K$36,MATCH(B2990,PEMAGANG!$C$3:$C$36,0))),1,0),0)</f>
        <v>1</v>
      </c>
      <c r="W2990" s="71">
        <f t="shared" si="422"/>
        <v>0</v>
      </c>
    </row>
    <row r="2991" spans="1:23" x14ac:dyDescent="0.2">
      <c r="A2991" s="71" t="s">
        <v>202</v>
      </c>
      <c r="B2991" s="71" t="s">
        <v>203</v>
      </c>
      <c r="C2991" s="71" t="s">
        <v>187</v>
      </c>
      <c r="D2991" s="71" t="s">
        <v>204</v>
      </c>
      <c r="E2991" s="71" t="s">
        <v>692</v>
      </c>
      <c r="F2991" s="71" t="s">
        <v>298</v>
      </c>
      <c r="G2991" s="88">
        <v>46245.3043287037</v>
      </c>
      <c r="H2991" s="89">
        <v>46245</v>
      </c>
      <c r="I2991" s="71" t="s">
        <v>326</v>
      </c>
      <c r="J2991" s="71">
        <v>-12</v>
      </c>
      <c r="K2991" s="71" t="s">
        <v>302</v>
      </c>
      <c r="L2991" s="71">
        <f t="shared" si="414"/>
        <v>8</v>
      </c>
      <c r="M2991" s="71" t="str">
        <f>IFERROR(INDEX(KALENDER!$D$3:$D$132,MATCH(H2991,KALENDER!$A$3:$A$132,0)),"Di luar periode")</f>
        <v>Hari Kerja</v>
      </c>
      <c r="N2991" s="71">
        <f t="shared" si="415"/>
        <v>1</v>
      </c>
      <c r="O2991" s="71">
        <f t="shared" si="416"/>
        <v>1</v>
      </c>
      <c r="P2991" s="71">
        <f t="shared" si="417"/>
        <v>1</v>
      </c>
      <c r="Q2991" s="71">
        <f t="shared" si="418"/>
        <v>0</v>
      </c>
      <c r="R2991" s="71">
        <f t="shared" si="419"/>
        <v>0</v>
      </c>
      <c r="S2991" s="71">
        <f t="shared" si="420"/>
        <v>0</v>
      </c>
      <c r="T2991" s="71">
        <f t="shared" si="421"/>
        <v>0</v>
      </c>
      <c r="U2991" s="71">
        <f>IF(AND(N2991=1,V2991=1),IF(COUNTIFS(AKTIVITAS!$B$2:$B$3052,B2991,AKTIVITAS!$E$2:$E$3052,H2991)&gt;0,1,0),0)</f>
        <v>1</v>
      </c>
      <c r="V2991" s="71">
        <f>IFERROR(IF(AND(H2991&gt;=INDEX(PEMAGANG!$J$3:$J$36,MATCH(B2991,PEMAGANG!$C$3:$C$36,0)),H2991&lt;=INDEX(PEMAGANG!$K$3:$K$36,MATCH(B2991,PEMAGANG!$C$3:$C$36,0))),1,0),0)</f>
        <v>1</v>
      </c>
      <c r="W2991" s="71">
        <f t="shared" si="422"/>
        <v>1</v>
      </c>
    </row>
    <row r="2992" spans="1:23" x14ac:dyDescent="0.2">
      <c r="A2992" s="71" t="s">
        <v>202</v>
      </c>
      <c r="B2992" s="71" t="s">
        <v>203</v>
      </c>
      <c r="C2992" s="71" t="s">
        <v>187</v>
      </c>
      <c r="D2992" s="71" t="s">
        <v>204</v>
      </c>
      <c r="E2992" s="71" t="s">
        <v>692</v>
      </c>
      <c r="F2992" s="71" t="s">
        <v>300</v>
      </c>
      <c r="G2992" s="88">
        <v>46245.689189814802</v>
      </c>
      <c r="H2992" s="89">
        <v>46245</v>
      </c>
      <c r="I2992" s="71" t="s">
        <v>306</v>
      </c>
      <c r="J2992" s="71">
        <v>0</v>
      </c>
      <c r="K2992" s="71" t="s">
        <v>302</v>
      </c>
      <c r="L2992" s="71">
        <f t="shared" si="414"/>
        <v>8</v>
      </c>
      <c r="M2992" s="71" t="str">
        <f>IFERROR(INDEX(KALENDER!$D$3:$D$132,MATCH(H2992,KALENDER!$A$3:$A$132,0)),"Di luar periode")</f>
        <v>Hari Kerja</v>
      </c>
      <c r="N2992" s="71">
        <f t="shared" si="415"/>
        <v>0</v>
      </c>
      <c r="O2992" s="71">
        <f t="shared" si="416"/>
        <v>1</v>
      </c>
      <c r="P2992" s="71">
        <f t="shared" si="417"/>
        <v>0</v>
      </c>
      <c r="Q2992" s="71">
        <f t="shared" si="418"/>
        <v>0</v>
      </c>
      <c r="R2992" s="71">
        <f t="shared" si="419"/>
        <v>0</v>
      </c>
      <c r="S2992" s="71">
        <f t="shared" si="420"/>
        <v>0</v>
      </c>
      <c r="T2992" s="71">
        <f t="shared" si="421"/>
        <v>0</v>
      </c>
      <c r="U2992" s="71">
        <f>IF(AND(N2992=1,V2992=1),IF(COUNTIFS(AKTIVITAS!$B$2:$B$3052,B2992,AKTIVITAS!$E$2:$E$3052,H2992)&gt;0,1,0),0)</f>
        <v>0</v>
      </c>
      <c r="V2992" s="71">
        <f>IFERROR(IF(AND(H2992&gt;=INDEX(PEMAGANG!$J$3:$J$36,MATCH(B2992,PEMAGANG!$C$3:$C$36,0)),H2992&lt;=INDEX(PEMAGANG!$K$3:$K$36,MATCH(B2992,PEMAGANG!$C$3:$C$36,0))),1,0),0)</f>
        <v>1</v>
      </c>
      <c r="W2992" s="71">
        <f t="shared" si="422"/>
        <v>0</v>
      </c>
    </row>
    <row r="2993" spans="1:23" x14ac:dyDescent="0.2">
      <c r="A2993" s="71" t="s">
        <v>202</v>
      </c>
      <c r="B2993" s="71" t="s">
        <v>203</v>
      </c>
      <c r="C2993" s="71" t="s">
        <v>187</v>
      </c>
      <c r="D2993" s="71" t="s">
        <v>204</v>
      </c>
      <c r="E2993" s="71" t="s">
        <v>692</v>
      </c>
      <c r="F2993" s="71" t="s">
        <v>298</v>
      </c>
      <c r="G2993" s="88">
        <v>46246.310462963003</v>
      </c>
      <c r="H2993" s="89">
        <v>46246</v>
      </c>
      <c r="I2993" s="71" t="s">
        <v>309</v>
      </c>
      <c r="J2993" s="71">
        <v>-2.9999999999999898</v>
      </c>
      <c r="K2993" s="71" t="s">
        <v>302</v>
      </c>
      <c r="L2993" s="71">
        <f t="shared" si="414"/>
        <v>8</v>
      </c>
      <c r="M2993" s="71" t="str">
        <f>IFERROR(INDEX(KALENDER!$D$3:$D$132,MATCH(H2993,KALENDER!$A$3:$A$132,0)),"Di luar periode")</f>
        <v>Hari Kerja</v>
      </c>
      <c r="N2993" s="71">
        <f t="shared" si="415"/>
        <v>1</v>
      </c>
      <c r="O2993" s="71">
        <f t="shared" si="416"/>
        <v>1</v>
      </c>
      <c r="P2993" s="71">
        <f t="shared" si="417"/>
        <v>1</v>
      </c>
      <c r="Q2993" s="71">
        <f t="shared" si="418"/>
        <v>0</v>
      </c>
      <c r="R2993" s="71">
        <f t="shared" si="419"/>
        <v>0</v>
      </c>
      <c r="S2993" s="71">
        <f t="shared" si="420"/>
        <v>0</v>
      </c>
      <c r="T2993" s="71">
        <f t="shared" si="421"/>
        <v>0</v>
      </c>
      <c r="U2993" s="71">
        <f>IF(AND(N2993=1,V2993=1),IF(COUNTIFS(AKTIVITAS!$B$2:$B$3052,B2993,AKTIVITAS!$E$2:$E$3052,H2993)&gt;0,1,0),0)</f>
        <v>1</v>
      </c>
      <c r="V2993" s="71">
        <f>IFERROR(IF(AND(H2993&gt;=INDEX(PEMAGANG!$J$3:$J$36,MATCH(B2993,PEMAGANG!$C$3:$C$36,0)),H2993&lt;=INDEX(PEMAGANG!$K$3:$K$36,MATCH(B2993,PEMAGANG!$C$3:$C$36,0))),1,0),0)</f>
        <v>1</v>
      </c>
      <c r="W2993" s="71">
        <f t="shared" si="422"/>
        <v>1</v>
      </c>
    </row>
    <row r="2994" spans="1:23" x14ac:dyDescent="0.2">
      <c r="A2994" s="71" t="s">
        <v>202</v>
      </c>
      <c r="B2994" s="71" t="s">
        <v>203</v>
      </c>
      <c r="C2994" s="71" t="s">
        <v>187</v>
      </c>
      <c r="D2994" s="71" t="s">
        <v>204</v>
      </c>
      <c r="E2994" s="71" t="s">
        <v>692</v>
      </c>
      <c r="F2994" s="71" t="s">
        <v>300</v>
      </c>
      <c r="G2994" s="88">
        <v>46246.688877314802</v>
      </c>
      <c r="H2994" s="89">
        <v>46246</v>
      </c>
      <c r="I2994" s="71" t="s">
        <v>336</v>
      </c>
      <c r="J2994" s="71">
        <v>0</v>
      </c>
      <c r="K2994" s="71" t="s">
        <v>302</v>
      </c>
      <c r="L2994" s="71">
        <f t="shared" si="414"/>
        <v>8</v>
      </c>
      <c r="M2994" s="71" t="str">
        <f>IFERROR(INDEX(KALENDER!$D$3:$D$132,MATCH(H2994,KALENDER!$A$3:$A$132,0)),"Di luar periode")</f>
        <v>Hari Kerja</v>
      </c>
      <c r="N2994" s="71">
        <f t="shared" si="415"/>
        <v>0</v>
      </c>
      <c r="O2994" s="71">
        <f t="shared" si="416"/>
        <v>1</v>
      </c>
      <c r="P2994" s="71">
        <f t="shared" si="417"/>
        <v>0</v>
      </c>
      <c r="Q2994" s="71">
        <f t="shared" si="418"/>
        <v>0</v>
      </c>
      <c r="R2994" s="71">
        <f t="shared" si="419"/>
        <v>0</v>
      </c>
      <c r="S2994" s="71">
        <f t="shared" si="420"/>
        <v>0</v>
      </c>
      <c r="T2994" s="71">
        <f t="shared" si="421"/>
        <v>0</v>
      </c>
      <c r="U2994" s="71">
        <f>IF(AND(N2994=1,V2994=1),IF(COUNTIFS(AKTIVITAS!$B$2:$B$3052,B2994,AKTIVITAS!$E$2:$E$3052,H2994)&gt;0,1,0),0)</f>
        <v>0</v>
      </c>
      <c r="V2994" s="71">
        <f>IFERROR(IF(AND(H2994&gt;=INDEX(PEMAGANG!$J$3:$J$36,MATCH(B2994,PEMAGANG!$C$3:$C$36,0)),H2994&lt;=INDEX(PEMAGANG!$K$3:$K$36,MATCH(B2994,PEMAGANG!$C$3:$C$36,0))),1,0),0)</f>
        <v>1</v>
      </c>
      <c r="W2994" s="71">
        <f t="shared" si="422"/>
        <v>0</v>
      </c>
    </row>
    <row r="2995" spans="1:23" x14ac:dyDescent="0.2">
      <c r="A2995" s="71" t="s">
        <v>202</v>
      </c>
      <c r="B2995" s="71" t="s">
        <v>203</v>
      </c>
      <c r="C2995" s="71" t="s">
        <v>187</v>
      </c>
      <c r="D2995" s="71" t="s">
        <v>204</v>
      </c>
      <c r="E2995" s="71" t="s">
        <v>692</v>
      </c>
      <c r="F2995" s="71" t="s">
        <v>298</v>
      </c>
      <c r="G2995" s="88">
        <v>46248.307129629597</v>
      </c>
      <c r="H2995" s="89">
        <v>46248</v>
      </c>
      <c r="I2995" s="71" t="s">
        <v>313</v>
      </c>
      <c r="J2995" s="71">
        <v>-8.0000000000000497</v>
      </c>
      <c r="K2995" s="71" t="s">
        <v>302</v>
      </c>
      <c r="L2995" s="71">
        <f t="shared" si="414"/>
        <v>8</v>
      </c>
      <c r="M2995" s="71" t="str">
        <f>IFERROR(INDEX(KALENDER!$D$3:$D$132,MATCH(H2995,KALENDER!$A$3:$A$132,0)),"Di luar periode")</f>
        <v>Hari Kerja</v>
      </c>
      <c r="N2995" s="71">
        <f t="shared" si="415"/>
        <v>1</v>
      </c>
      <c r="O2995" s="71">
        <f t="shared" si="416"/>
        <v>1</v>
      </c>
      <c r="P2995" s="71">
        <f t="shared" si="417"/>
        <v>1</v>
      </c>
      <c r="Q2995" s="71">
        <f t="shared" si="418"/>
        <v>0</v>
      </c>
      <c r="R2995" s="71">
        <f t="shared" si="419"/>
        <v>0</v>
      </c>
      <c r="S2995" s="71">
        <f t="shared" si="420"/>
        <v>0</v>
      </c>
      <c r="T2995" s="71">
        <f t="shared" si="421"/>
        <v>0</v>
      </c>
      <c r="U2995" s="71">
        <f>IF(AND(N2995=1,V2995=1),IF(COUNTIFS(AKTIVITAS!$B$2:$B$3052,B2995,AKTIVITAS!$E$2:$E$3052,H2995)&gt;0,1,0),0)</f>
        <v>1</v>
      </c>
      <c r="V2995" s="71">
        <f>IFERROR(IF(AND(H2995&gt;=INDEX(PEMAGANG!$J$3:$J$36,MATCH(B2995,PEMAGANG!$C$3:$C$36,0)),H2995&lt;=INDEX(PEMAGANG!$K$3:$K$36,MATCH(B2995,PEMAGANG!$C$3:$C$36,0))),1,0),0)</f>
        <v>1</v>
      </c>
      <c r="W2995" s="71">
        <f t="shared" si="422"/>
        <v>1</v>
      </c>
    </row>
    <row r="2996" spans="1:23" x14ac:dyDescent="0.2">
      <c r="A2996" s="71" t="s">
        <v>202</v>
      </c>
      <c r="B2996" s="71" t="s">
        <v>203</v>
      </c>
      <c r="C2996" s="71" t="s">
        <v>187</v>
      </c>
      <c r="D2996" s="71" t="s">
        <v>204</v>
      </c>
      <c r="E2996" s="71" t="s">
        <v>692</v>
      </c>
      <c r="F2996" s="71" t="s">
        <v>300</v>
      </c>
      <c r="G2996" s="88">
        <v>46248.7040277778</v>
      </c>
      <c r="H2996" s="89">
        <v>46248</v>
      </c>
      <c r="I2996" s="71" t="s">
        <v>403</v>
      </c>
      <c r="J2996" s="71">
        <v>0</v>
      </c>
      <c r="K2996" s="71" t="s">
        <v>302</v>
      </c>
      <c r="L2996" s="71">
        <f t="shared" si="414"/>
        <v>8</v>
      </c>
      <c r="M2996" s="71" t="str">
        <f>IFERROR(INDEX(KALENDER!$D$3:$D$132,MATCH(H2996,KALENDER!$A$3:$A$132,0)),"Di luar periode")</f>
        <v>Hari Kerja</v>
      </c>
      <c r="N2996" s="71">
        <f t="shared" si="415"/>
        <v>0</v>
      </c>
      <c r="O2996" s="71">
        <f t="shared" si="416"/>
        <v>1</v>
      </c>
      <c r="P2996" s="71">
        <f t="shared" si="417"/>
        <v>0</v>
      </c>
      <c r="Q2996" s="71">
        <f t="shared" si="418"/>
        <v>0</v>
      </c>
      <c r="R2996" s="71">
        <f t="shared" si="419"/>
        <v>0</v>
      </c>
      <c r="S2996" s="71">
        <f t="shared" si="420"/>
        <v>0</v>
      </c>
      <c r="T2996" s="71">
        <f t="shared" si="421"/>
        <v>0</v>
      </c>
      <c r="U2996" s="71">
        <f>IF(AND(N2996=1,V2996=1),IF(COUNTIFS(AKTIVITAS!$B$2:$B$3052,B2996,AKTIVITAS!$E$2:$E$3052,H2996)&gt;0,1,0),0)</f>
        <v>0</v>
      </c>
      <c r="V2996" s="71">
        <f>IFERROR(IF(AND(H2996&gt;=INDEX(PEMAGANG!$J$3:$J$36,MATCH(B2996,PEMAGANG!$C$3:$C$36,0)),H2996&lt;=INDEX(PEMAGANG!$K$3:$K$36,MATCH(B2996,PEMAGANG!$C$3:$C$36,0))),1,0),0)</f>
        <v>1</v>
      </c>
      <c r="W2996" s="71">
        <f t="shared" si="422"/>
        <v>0</v>
      </c>
    </row>
    <row r="2997" spans="1:23" x14ac:dyDescent="0.2">
      <c r="A2997" s="71" t="s">
        <v>202</v>
      </c>
      <c r="B2997" s="71" t="s">
        <v>203</v>
      </c>
      <c r="C2997" s="71" t="s">
        <v>187</v>
      </c>
      <c r="D2997" s="71" t="s">
        <v>204</v>
      </c>
      <c r="E2997" s="71" t="s">
        <v>692</v>
      </c>
      <c r="F2997" s="71" t="s">
        <v>298</v>
      </c>
      <c r="G2997" s="88">
        <v>46252.307083333297</v>
      </c>
      <c r="H2997" s="89">
        <v>46252</v>
      </c>
      <c r="I2997" s="71" t="s">
        <v>313</v>
      </c>
      <c r="J2997" s="71">
        <v>-8.0000000000000497</v>
      </c>
      <c r="K2997" s="71" t="s">
        <v>302</v>
      </c>
      <c r="L2997" s="71">
        <f t="shared" si="414"/>
        <v>8</v>
      </c>
      <c r="M2997" s="71" t="str">
        <f>IFERROR(INDEX(KALENDER!$D$3:$D$132,MATCH(H2997,KALENDER!$A$3:$A$132,0)),"Di luar periode")</f>
        <v>Hari Kerja</v>
      </c>
      <c r="N2997" s="71">
        <f t="shared" si="415"/>
        <v>1</v>
      </c>
      <c r="O2997" s="71">
        <f t="shared" si="416"/>
        <v>1</v>
      </c>
      <c r="P2997" s="71">
        <f t="shared" si="417"/>
        <v>1</v>
      </c>
      <c r="Q2997" s="71">
        <f t="shared" si="418"/>
        <v>0</v>
      </c>
      <c r="R2997" s="71">
        <f t="shared" si="419"/>
        <v>0</v>
      </c>
      <c r="S2997" s="71">
        <f t="shared" si="420"/>
        <v>0</v>
      </c>
      <c r="T2997" s="71">
        <f t="shared" si="421"/>
        <v>0</v>
      </c>
      <c r="U2997" s="71">
        <f>IF(AND(N2997=1,V2997=1),IF(COUNTIFS(AKTIVITAS!$B$2:$B$3052,B2997,AKTIVITAS!$E$2:$E$3052,H2997)&gt;0,1,0),0)</f>
        <v>1</v>
      </c>
      <c r="V2997" s="71">
        <f>IFERROR(IF(AND(H2997&gt;=INDEX(PEMAGANG!$J$3:$J$36,MATCH(B2997,PEMAGANG!$C$3:$C$36,0)),H2997&lt;=INDEX(PEMAGANG!$K$3:$K$36,MATCH(B2997,PEMAGANG!$C$3:$C$36,0))),1,0),0)</f>
        <v>1</v>
      </c>
      <c r="W2997" s="71">
        <f t="shared" si="422"/>
        <v>1</v>
      </c>
    </row>
    <row r="2998" spans="1:23" x14ac:dyDescent="0.2">
      <c r="A2998" s="71" t="s">
        <v>202</v>
      </c>
      <c r="B2998" s="71" t="s">
        <v>203</v>
      </c>
      <c r="C2998" s="71" t="s">
        <v>187</v>
      </c>
      <c r="D2998" s="71" t="s">
        <v>204</v>
      </c>
      <c r="E2998" s="71" t="s">
        <v>692</v>
      </c>
      <c r="F2998" s="71" t="s">
        <v>300</v>
      </c>
      <c r="G2998" s="88">
        <v>46252.691689814797</v>
      </c>
      <c r="H2998" s="89">
        <v>46252</v>
      </c>
      <c r="I2998" s="71" t="s">
        <v>344</v>
      </c>
      <c r="J2998" s="71">
        <v>0</v>
      </c>
      <c r="K2998" s="71" t="s">
        <v>302</v>
      </c>
      <c r="L2998" s="71">
        <f t="shared" si="414"/>
        <v>8</v>
      </c>
      <c r="M2998" s="71" t="str">
        <f>IFERROR(INDEX(KALENDER!$D$3:$D$132,MATCH(H2998,KALENDER!$A$3:$A$132,0)),"Di luar periode")</f>
        <v>Hari Kerja</v>
      </c>
      <c r="N2998" s="71">
        <f t="shared" si="415"/>
        <v>0</v>
      </c>
      <c r="O2998" s="71">
        <f t="shared" si="416"/>
        <v>1</v>
      </c>
      <c r="P2998" s="71">
        <f t="shared" si="417"/>
        <v>0</v>
      </c>
      <c r="Q2998" s="71">
        <f t="shared" si="418"/>
        <v>0</v>
      </c>
      <c r="R2998" s="71">
        <f t="shared" si="419"/>
        <v>0</v>
      </c>
      <c r="S2998" s="71">
        <f t="shared" si="420"/>
        <v>0</v>
      </c>
      <c r="T2998" s="71">
        <f t="shared" si="421"/>
        <v>0</v>
      </c>
      <c r="U2998" s="71">
        <f>IF(AND(N2998=1,V2998=1),IF(COUNTIFS(AKTIVITAS!$B$2:$B$3052,B2998,AKTIVITAS!$E$2:$E$3052,H2998)&gt;0,1,0),0)</f>
        <v>0</v>
      </c>
      <c r="V2998" s="71">
        <f>IFERROR(IF(AND(H2998&gt;=INDEX(PEMAGANG!$J$3:$J$36,MATCH(B2998,PEMAGANG!$C$3:$C$36,0)),H2998&lt;=INDEX(PEMAGANG!$K$3:$K$36,MATCH(B2998,PEMAGANG!$C$3:$C$36,0))),1,0),0)</f>
        <v>1</v>
      </c>
      <c r="W2998" s="71">
        <f t="shared" si="422"/>
        <v>0</v>
      </c>
    </row>
    <row r="2999" spans="1:23" x14ac:dyDescent="0.2">
      <c r="A2999" s="71" t="s">
        <v>202</v>
      </c>
      <c r="B2999" s="71" t="s">
        <v>203</v>
      </c>
      <c r="C2999" s="71" t="s">
        <v>187</v>
      </c>
      <c r="D2999" s="71" t="s">
        <v>204</v>
      </c>
      <c r="E2999" s="71" t="s">
        <v>692</v>
      </c>
      <c r="F2999" s="71" t="s">
        <v>298</v>
      </c>
      <c r="G2999" s="88">
        <v>46253.301921296297</v>
      </c>
      <c r="H2999" s="89">
        <v>46253</v>
      </c>
      <c r="I2999" s="71" t="s">
        <v>416</v>
      </c>
      <c r="J2999" s="71">
        <v>-16</v>
      </c>
      <c r="K2999" s="71" t="s">
        <v>302</v>
      </c>
      <c r="L2999" s="71">
        <f t="shared" si="414"/>
        <v>8</v>
      </c>
      <c r="M2999" s="71" t="str">
        <f>IFERROR(INDEX(KALENDER!$D$3:$D$132,MATCH(H2999,KALENDER!$A$3:$A$132,0)),"Di luar periode")</f>
        <v>Hari Kerja</v>
      </c>
      <c r="N2999" s="71">
        <f t="shared" si="415"/>
        <v>1</v>
      </c>
      <c r="O2999" s="71">
        <f t="shared" si="416"/>
        <v>1</v>
      </c>
      <c r="P2999" s="71">
        <f t="shared" si="417"/>
        <v>1</v>
      </c>
      <c r="Q2999" s="71">
        <f t="shared" si="418"/>
        <v>0</v>
      </c>
      <c r="R2999" s="71">
        <f t="shared" si="419"/>
        <v>0</v>
      </c>
      <c r="S2999" s="71">
        <f t="shared" si="420"/>
        <v>0</v>
      </c>
      <c r="T2999" s="71">
        <f t="shared" si="421"/>
        <v>0</v>
      </c>
      <c r="U2999" s="71">
        <f>IF(AND(N2999=1,V2999=1),IF(COUNTIFS(AKTIVITAS!$B$2:$B$3052,B2999,AKTIVITAS!$E$2:$E$3052,H2999)&gt;0,1,0),0)</f>
        <v>1</v>
      </c>
      <c r="V2999" s="71">
        <f>IFERROR(IF(AND(H2999&gt;=INDEX(PEMAGANG!$J$3:$J$36,MATCH(B2999,PEMAGANG!$C$3:$C$36,0)),H2999&lt;=INDEX(PEMAGANG!$K$3:$K$36,MATCH(B2999,PEMAGANG!$C$3:$C$36,0))),1,0),0)</f>
        <v>1</v>
      </c>
      <c r="W2999" s="71">
        <f t="shared" si="422"/>
        <v>1</v>
      </c>
    </row>
    <row r="3000" spans="1:23" x14ac:dyDescent="0.2">
      <c r="A3000" s="71" t="s">
        <v>202</v>
      </c>
      <c r="B3000" s="71" t="s">
        <v>203</v>
      </c>
      <c r="C3000" s="71" t="s">
        <v>187</v>
      </c>
      <c r="D3000" s="71" t="s">
        <v>204</v>
      </c>
      <c r="E3000" s="71" t="s">
        <v>692</v>
      </c>
      <c r="F3000" s="71" t="s">
        <v>300</v>
      </c>
      <c r="G3000" s="88">
        <v>46253.691620370402</v>
      </c>
      <c r="H3000" s="89">
        <v>46253</v>
      </c>
      <c r="I3000" s="71" t="s">
        <v>310</v>
      </c>
      <c r="J3000" s="71">
        <v>0</v>
      </c>
      <c r="K3000" s="71" t="s">
        <v>302</v>
      </c>
      <c r="L3000" s="71">
        <f t="shared" si="414"/>
        <v>8</v>
      </c>
      <c r="M3000" s="71" t="str">
        <f>IFERROR(INDEX(KALENDER!$D$3:$D$132,MATCH(H3000,KALENDER!$A$3:$A$132,0)),"Di luar periode")</f>
        <v>Hari Kerja</v>
      </c>
      <c r="N3000" s="71">
        <f t="shared" si="415"/>
        <v>0</v>
      </c>
      <c r="O3000" s="71">
        <f t="shared" si="416"/>
        <v>1</v>
      </c>
      <c r="P3000" s="71">
        <f t="shared" si="417"/>
        <v>0</v>
      </c>
      <c r="Q3000" s="71">
        <f t="shared" si="418"/>
        <v>0</v>
      </c>
      <c r="R3000" s="71">
        <f t="shared" si="419"/>
        <v>0</v>
      </c>
      <c r="S3000" s="71">
        <f t="shared" si="420"/>
        <v>0</v>
      </c>
      <c r="T3000" s="71">
        <f t="shared" si="421"/>
        <v>0</v>
      </c>
      <c r="U3000" s="71">
        <f>IF(AND(N3000=1,V3000=1),IF(COUNTIFS(AKTIVITAS!$B$2:$B$3052,B3000,AKTIVITAS!$E$2:$E$3052,H3000)&gt;0,1,0),0)</f>
        <v>0</v>
      </c>
      <c r="V3000" s="71">
        <f>IFERROR(IF(AND(H3000&gt;=INDEX(PEMAGANG!$J$3:$J$36,MATCH(B3000,PEMAGANG!$C$3:$C$36,0)),H3000&lt;=INDEX(PEMAGANG!$K$3:$K$36,MATCH(B3000,PEMAGANG!$C$3:$C$36,0))),1,0),0)</f>
        <v>1</v>
      </c>
      <c r="W3000" s="71">
        <f t="shared" si="422"/>
        <v>0</v>
      </c>
    </row>
    <row r="3001" spans="1:23" x14ac:dyDescent="0.2">
      <c r="A3001" s="71" t="s">
        <v>202</v>
      </c>
      <c r="B3001" s="71" t="s">
        <v>203</v>
      </c>
      <c r="C3001" s="71" t="s">
        <v>187</v>
      </c>
      <c r="D3001" s="71" t="s">
        <v>204</v>
      </c>
      <c r="E3001" s="71" t="s">
        <v>692</v>
      </c>
      <c r="F3001" s="71" t="s">
        <v>298</v>
      </c>
      <c r="G3001" s="88">
        <v>46254.308298611097</v>
      </c>
      <c r="H3001" s="89">
        <v>46254</v>
      </c>
      <c r="I3001" s="71" t="s">
        <v>311</v>
      </c>
      <c r="J3001" s="71">
        <v>-6.9999999999999796</v>
      </c>
      <c r="K3001" s="71" t="s">
        <v>302</v>
      </c>
      <c r="L3001" s="71">
        <f t="shared" si="414"/>
        <v>8</v>
      </c>
      <c r="M3001" s="71" t="str">
        <f>IFERROR(INDEX(KALENDER!$D$3:$D$132,MATCH(H3001,KALENDER!$A$3:$A$132,0)),"Di luar periode")</f>
        <v>Hari Kerja</v>
      </c>
      <c r="N3001" s="71">
        <f t="shared" si="415"/>
        <v>1</v>
      </c>
      <c r="O3001" s="71">
        <f t="shared" si="416"/>
        <v>1</v>
      </c>
      <c r="P3001" s="71">
        <f t="shared" si="417"/>
        <v>1</v>
      </c>
      <c r="Q3001" s="71">
        <f t="shared" si="418"/>
        <v>0</v>
      </c>
      <c r="R3001" s="71">
        <f t="shared" si="419"/>
        <v>0</v>
      </c>
      <c r="S3001" s="71">
        <f t="shared" si="420"/>
        <v>0</v>
      </c>
      <c r="T3001" s="71">
        <f t="shared" si="421"/>
        <v>0</v>
      </c>
      <c r="U3001" s="71">
        <f>IF(AND(N3001=1,V3001=1),IF(COUNTIFS(AKTIVITAS!$B$2:$B$3052,B3001,AKTIVITAS!$E$2:$E$3052,H3001)&gt;0,1,0),0)</f>
        <v>1</v>
      </c>
      <c r="V3001" s="71">
        <f>IFERROR(IF(AND(H3001&gt;=INDEX(PEMAGANG!$J$3:$J$36,MATCH(B3001,PEMAGANG!$C$3:$C$36,0)),H3001&lt;=INDEX(PEMAGANG!$K$3:$K$36,MATCH(B3001,PEMAGANG!$C$3:$C$36,0))),1,0),0)</f>
        <v>1</v>
      </c>
      <c r="W3001" s="71">
        <f t="shared" si="422"/>
        <v>1</v>
      </c>
    </row>
    <row r="3002" spans="1:23" x14ac:dyDescent="0.2">
      <c r="A3002" s="71" t="s">
        <v>202</v>
      </c>
      <c r="B3002" s="71" t="s">
        <v>203</v>
      </c>
      <c r="C3002" s="71" t="s">
        <v>187</v>
      </c>
      <c r="D3002" s="71" t="s">
        <v>204</v>
      </c>
      <c r="E3002" s="71" t="s">
        <v>692</v>
      </c>
      <c r="F3002" s="71" t="s">
        <v>300</v>
      </c>
      <c r="G3002" s="88">
        <v>46254.688831018502</v>
      </c>
      <c r="H3002" s="89">
        <v>46254</v>
      </c>
      <c r="I3002" s="71" t="s">
        <v>336</v>
      </c>
      <c r="J3002" s="71">
        <v>0</v>
      </c>
      <c r="K3002" s="71" t="s">
        <v>302</v>
      </c>
      <c r="L3002" s="71">
        <f t="shared" si="414"/>
        <v>8</v>
      </c>
      <c r="M3002" s="71" t="str">
        <f>IFERROR(INDEX(KALENDER!$D$3:$D$132,MATCH(H3002,KALENDER!$A$3:$A$132,0)),"Di luar periode")</f>
        <v>Hari Kerja</v>
      </c>
      <c r="N3002" s="71">
        <f t="shared" si="415"/>
        <v>0</v>
      </c>
      <c r="O3002" s="71">
        <f t="shared" si="416"/>
        <v>1</v>
      </c>
      <c r="P3002" s="71">
        <f t="shared" si="417"/>
        <v>0</v>
      </c>
      <c r="Q3002" s="71">
        <f t="shared" si="418"/>
        <v>0</v>
      </c>
      <c r="R3002" s="71">
        <f t="shared" si="419"/>
        <v>0</v>
      </c>
      <c r="S3002" s="71">
        <f t="shared" si="420"/>
        <v>0</v>
      </c>
      <c r="T3002" s="71">
        <f t="shared" si="421"/>
        <v>0</v>
      </c>
      <c r="U3002" s="71">
        <f>IF(AND(N3002=1,V3002=1),IF(COUNTIFS(AKTIVITAS!$B$2:$B$3052,B3002,AKTIVITAS!$E$2:$E$3052,H3002)&gt;0,1,0),0)</f>
        <v>0</v>
      </c>
      <c r="V3002" s="71">
        <f>IFERROR(IF(AND(H3002&gt;=INDEX(PEMAGANG!$J$3:$J$36,MATCH(B3002,PEMAGANG!$C$3:$C$36,0)),H3002&lt;=INDEX(PEMAGANG!$K$3:$K$36,MATCH(B3002,PEMAGANG!$C$3:$C$36,0))),1,0),0)</f>
        <v>1</v>
      </c>
      <c r="W3002" s="71">
        <f t="shared" si="422"/>
        <v>0</v>
      </c>
    </row>
    <row r="3003" spans="1:23" x14ac:dyDescent="0.2">
      <c r="A3003" s="71" t="s">
        <v>202</v>
      </c>
      <c r="B3003" s="71" t="s">
        <v>203</v>
      </c>
      <c r="C3003" s="71" t="s">
        <v>187</v>
      </c>
      <c r="D3003" s="71" t="s">
        <v>204</v>
      </c>
      <c r="E3003" s="71" t="s">
        <v>692</v>
      </c>
      <c r="F3003" s="71" t="s">
        <v>298</v>
      </c>
      <c r="G3003" s="88">
        <v>46255.307615740698</v>
      </c>
      <c r="H3003" s="89">
        <v>46255</v>
      </c>
      <c r="I3003" s="71" t="s">
        <v>313</v>
      </c>
      <c r="J3003" s="71">
        <v>-38</v>
      </c>
      <c r="K3003" s="71" t="s">
        <v>302</v>
      </c>
      <c r="L3003" s="71">
        <f t="shared" si="414"/>
        <v>8</v>
      </c>
      <c r="M3003" s="71" t="str">
        <f>IFERROR(INDEX(KALENDER!$D$3:$D$132,MATCH(H3003,KALENDER!$A$3:$A$132,0)),"Di luar periode")</f>
        <v>Hari Kerja</v>
      </c>
      <c r="N3003" s="71">
        <f t="shared" si="415"/>
        <v>1</v>
      </c>
      <c r="O3003" s="71">
        <f t="shared" si="416"/>
        <v>1</v>
      </c>
      <c r="P3003" s="71">
        <f t="shared" si="417"/>
        <v>1</v>
      </c>
      <c r="Q3003" s="71">
        <f t="shared" si="418"/>
        <v>0</v>
      </c>
      <c r="R3003" s="71">
        <f t="shared" si="419"/>
        <v>0</v>
      </c>
      <c r="S3003" s="71">
        <f t="shared" si="420"/>
        <v>0</v>
      </c>
      <c r="T3003" s="71">
        <f t="shared" si="421"/>
        <v>0</v>
      </c>
      <c r="U3003" s="71">
        <f>IF(AND(N3003=1,V3003=1),IF(COUNTIFS(AKTIVITAS!$B$2:$B$3052,B3003,AKTIVITAS!$E$2:$E$3052,H3003)&gt;0,1,0),0)</f>
        <v>1</v>
      </c>
      <c r="V3003" s="71">
        <f>IFERROR(IF(AND(H3003&gt;=INDEX(PEMAGANG!$J$3:$J$36,MATCH(B3003,PEMAGANG!$C$3:$C$36,0)),H3003&lt;=INDEX(PEMAGANG!$K$3:$K$36,MATCH(B3003,PEMAGANG!$C$3:$C$36,0))),1,0),0)</f>
        <v>1</v>
      </c>
      <c r="W3003" s="71">
        <f t="shared" si="422"/>
        <v>1</v>
      </c>
    </row>
    <row r="3004" spans="1:23" x14ac:dyDescent="0.2">
      <c r="A3004" s="71" t="s">
        <v>202</v>
      </c>
      <c r="B3004" s="71" t="s">
        <v>203</v>
      </c>
      <c r="C3004" s="71" t="s">
        <v>187</v>
      </c>
      <c r="D3004" s="71" t="s">
        <v>204</v>
      </c>
      <c r="E3004" s="71" t="s">
        <v>692</v>
      </c>
      <c r="F3004" s="71" t="s">
        <v>300</v>
      </c>
      <c r="G3004" s="88">
        <v>46255.695914351898</v>
      </c>
      <c r="H3004" s="89">
        <v>46255</v>
      </c>
      <c r="I3004" s="71" t="s">
        <v>320</v>
      </c>
      <c r="J3004" s="71">
        <v>0</v>
      </c>
      <c r="K3004" s="71" t="s">
        <v>302</v>
      </c>
      <c r="L3004" s="71">
        <f t="shared" si="414"/>
        <v>8</v>
      </c>
      <c r="M3004" s="71" t="str">
        <f>IFERROR(INDEX(KALENDER!$D$3:$D$132,MATCH(H3004,KALENDER!$A$3:$A$132,0)),"Di luar periode")</f>
        <v>Hari Kerja</v>
      </c>
      <c r="N3004" s="71">
        <f t="shared" si="415"/>
        <v>0</v>
      </c>
      <c r="O3004" s="71">
        <f t="shared" si="416"/>
        <v>1</v>
      </c>
      <c r="P3004" s="71">
        <f t="shared" si="417"/>
        <v>0</v>
      </c>
      <c r="Q3004" s="71">
        <f t="shared" si="418"/>
        <v>0</v>
      </c>
      <c r="R3004" s="71">
        <f t="shared" si="419"/>
        <v>0</v>
      </c>
      <c r="S3004" s="71">
        <f t="shared" si="420"/>
        <v>0</v>
      </c>
      <c r="T3004" s="71">
        <f t="shared" si="421"/>
        <v>0</v>
      </c>
      <c r="U3004" s="71">
        <f>IF(AND(N3004=1,V3004=1),IF(COUNTIFS(AKTIVITAS!$B$2:$B$3052,B3004,AKTIVITAS!$E$2:$E$3052,H3004)&gt;0,1,0),0)</f>
        <v>0</v>
      </c>
      <c r="V3004" s="71">
        <f>IFERROR(IF(AND(H3004&gt;=INDEX(PEMAGANG!$J$3:$J$36,MATCH(B3004,PEMAGANG!$C$3:$C$36,0)),H3004&lt;=INDEX(PEMAGANG!$K$3:$K$36,MATCH(B3004,PEMAGANG!$C$3:$C$36,0))),1,0),0)</f>
        <v>1</v>
      </c>
      <c r="W3004" s="71">
        <f t="shared" si="422"/>
        <v>0</v>
      </c>
    </row>
    <row r="3005" spans="1:23" x14ac:dyDescent="0.2">
      <c r="A3005" s="71" t="s">
        <v>202</v>
      </c>
      <c r="B3005" s="71" t="s">
        <v>203</v>
      </c>
      <c r="C3005" s="71" t="s">
        <v>187</v>
      </c>
      <c r="D3005" s="71" t="s">
        <v>204</v>
      </c>
      <c r="E3005" s="71" t="s">
        <v>692</v>
      </c>
      <c r="F3005" s="71" t="s">
        <v>298</v>
      </c>
      <c r="G3005" s="88">
        <v>46258.312754629602</v>
      </c>
      <c r="H3005" s="89">
        <v>46258</v>
      </c>
      <c r="I3005" s="71" t="s">
        <v>335</v>
      </c>
      <c r="J3005" s="71">
        <v>-30</v>
      </c>
      <c r="K3005" s="71" t="s">
        <v>302</v>
      </c>
      <c r="L3005" s="71">
        <f t="shared" si="414"/>
        <v>8</v>
      </c>
      <c r="M3005" s="71" t="str">
        <f>IFERROR(INDEX(KALENDER!$D$3:$D$132,MATCH(H3005,KALENDER!$A$3:$A$132,0)),"Di luar periode")</f>
        <v>Hari Kerja</v>
      </c>
      <c r="N3005" s="71">
        <f t="shared" si="415"/>
        <v>1</v>
      </c>
      <c r="O3005" s="71">
        <f t="shared" si="416"/>
        <v>1</v>
      </c>
      <c r="P3005" s="71">
        <f t="shared" si="417"/>
        <v>1</v>
      </c>
      <c r="Q3005" s="71">
        <f t="shared" si="418"/>
        <v>0</v>
      </c>
      <c r="R3005" s="71">
        <f t="shared" si="419"/>
        <v>0</v>
      </c>
      <c r="S3005" s="71">
        <f t="shared" si="420"/>
        <v>0</v>
      </c>
      <c r="T3005" s="71">
        <f t="shared" si="421"/>
        <v>0</v>
      </c>
      <c r="U3005" s="71">
        <f>IF(AND(N3005=1,V3005=1),IF(COUNTIFS(AKTIVITAS!$B$2:$B$3052,B3005,AKTIVITAS!$E$2:$E$3052,H3005)&gt;0,1,0),0)</f>
        <v>1</v>
      </c>
      <c r="V3005" s="71">
        <f>IFERROR(IF(AND(H3005&gt;=INDEX(PEMAGANG!$J$3:$J$36,MATCH(B3005,PEMAGANG!$C$3:$C$36,0)),H3005&lt;=INDEX(PEMAGANG!$K$3:$K$36,MATCH(B3005,PEMAGANG!$C$3:$C$36,0))),1,0),0)</f>
        <v>1</v>
      </c>
      <c r="W3005" s="71">
        <f t="shared" si="422"/>
        <v>1</v>
      </c>
    </row>
    <row r="3006" spans="1:23" x14ac:dyDescent="0.2">
      <c r="A3006" s="71" t="s">
        <v>202</v>
      </c>
      <c r="B3006" s="71" t="s">
        <v>203</v>
      </c>
      <c r="C3006" s="71" t="s">
        <v>187</v>
      </c>
      <c r="D3006" s="71" t="s">
        <v>204</v>
      </c>
      <c r="E3006" s="71" t="s">
        <v>692</v>
      </c>
      <c r="F3006" s="71" t="s">
        <v>300</v>
      </c>
      <c r="G3006" s="88">
        <v>46258.698854166701</v>
      </c>
      <c r="H3006" s="89">
        <v>46258</v>
      </c>
      <c r="I3006" s="71" t="s">
        <v>488</v>
      </c>
      <c r="J3006" s="71">
        <v>0</v>
      </c>
      <c r="K3006" s="71" t="s">
        <v>302</v>
      </c>
      <c r="L3006" s="71">
        <f t="shared" si="414"/>
        <v>8</v>
      </c>
      <c r="M3006" s="71" t="str">
        <f>IFERROR(INDEX(KALENDER!$D$3:$D$132,MATCH(H3006,KALENDER!$A$3:$A$132,0)),"Di luar periode")</f>
        <v>Hari Kerja</v>
      </c>
      <c r="N3006" s="71">
        <f t="shared" si="415"/>
        <v>0</v>
      </c>
      <c r="O3006" s="71">
        <f t="shared" si="416"/>
        <v>1</v>
      </c>
      <c r="P3006" s="71">
        <f t="shared" si="417"/>
        <v>0</v>
      </c>
      <c r="Q3006" s="71">
        <f t="shared" si="418"/>
        <v>0</v>
      </c>
      <c r="R3006" s="71">
        <f t="shared" si="419"/>
        <v>0</v>
      </c>
      <c r="S3006" s="71">
        <f t="shared" si="420"/>
        <v>0</v>
      </c>
      <c r="T3006" s="71">
        <f t="shared" si="421"/>
        <v>0</v>
      </c>
      <c r="U3006" s="71">
        <f>IF(AND(N3006=1,V3006=1),IF(COUNTIFS(AKTIVITAS!$B$2:$B$3052,B3006,AKTIVITAS!$E$2:$E$3052,H3006)&gt;0,1,0),0)</f>
        <v>0</v>
      </c>
      <c r="V3006" s="71">
        <f>IFERROR(IF(AND(H3006&gt;=INDEX(PEMAGANG!$J$3:$J$36,MATCH(B3006,PEMAGANG!$C$3:$C$36,0)),H3006&lt;=INDEX(PEMAGANG!$K$3:$K$36,MATCH(B3006,PEMAGANG!$C$3:$C$36,0))),1,0),0)</f>
        <v>1</v>
      </c>
      <c r="W3006" s="71">
        <f t="shared" si="422"/>
        <v>0</v>
      </c>
    </row>
    <row r="3007" spans="1:23" x14ac:dyDescent="0.2">
      <c r="A3007" s="71" t="s">
        <v>202</v>
      </c>
      <c r="B3007" s="71" t="s">
        <v>203</v>
      </c>
      <c r="C3007" s="71" t="s">
        <v>187</v>
      </c>
      <c r="D3007" s="71" t="s">
        <v>204</v>
      </c>
      <c r="E3007" s="71" t="s">
        <v>692</v>
      </c>
      <c r="F3007" s="71" t="s">
        <v>298</v>
      </c>
      <c r="G3007" s="88">
        <v>46261.303217592598</v>
      </c>
      <c r="H3007" s="89">
        <v>46261</v>
      </c>
      <c r="I3007" s="71" t="s">
        <v>327</v>
      </c>
      <c r="J3007" s="71">
        <v>-44</v>
      </c>
      <c r="K3007" s="71" t="s">
        <v>302</v>
      </c>
      <c r="L3007" s="71">
        <f t="shared" si="414"/>
        <v>8</v>
      </c>
      <c r="M3007" s="71" t="str">
        <f>IFERROR(INDEX(KALENDER!$D$3:$D$132,MATCH(H3007,KALENDER!$A$3:$A$132,0)),"Di luar periode")</f>
        <v>Hari Kerja</v>
      </c>
      <c r="N3007" s="71">
        <f t="shared" si="415"/>
        <v>1</v>
      </c>
      <c r="O3007" s="71">
        <f t="shared" si="416"/>
        <v>1</v>
      </c>
      <c r="P3007" s="71">
        <f t="shared" si="417"/>
        <v>1</v>
      </c>
      <c r="Q3007" s="71">
        <f t="shared" si="418"/>
        <v>0</v>
      </c>
      <c r="R3007" s="71">
        <f t="shared" si="419"/>
        <v>0</v>
      </c>
      <c r="S3007" s="71">
        <f t="shared" si="420"/>
        <v>0</v>
      </c>
      <c r="T3007" s="71">
        <f t="shared" si="421"/>
        <v>0</v>
      </c>
      <c r="U3007" s="71">
        <f>IF(AND(N3007=1,V3007=1),IF(COUNTIFS(AKTIVITAS!$B$2:$B$3052,B3007,AKTIVITAS!$E$2:$E$3052,H3007)&gt;0,1,0),0)</f>
        <v>1</v>
      </c>
      <c r="V3007" s="71">
        <f>IFERROR(IF(AND(H3007&gt;=INDEX(PEMAGANG!$J$3:$J$36,MATCH(B3007,PEMAGANG!$C$3:$C$36,0)),H3007&lt;=INDEX(PEMAGANG!$K$3:$K$36,MATCH(B3007,PEMAGANG!$C$3:$C$36,0))),1,0),0)</f>
        <v>1</v>
      </c>
      <c r="W3007" s="71">
        <f t="shared" si="422"/>
        <v>1</v>
      </c>
    </row>
    <row r="3008" spans="1:23" x14ac:dyDescent="0.2">
      <c r="A3008" s="71" t="s">
        <v>202</v>
      </c>
      <c r="B3008" s="71" t="s">
        <v>203</v>
      </c>
      <c r="C3008" s="71" t="s">
        <v>187</v>
      </c>
      <c r="D3008" s="71" t="s">
        <v>204</v>
      </c>
      <c r="E3008" s="71" t="s">
        <v>692</v>
      </c>
      <c r="F3008" s="71" t="s">
        <v>300</v>
      </c>
      <c r="G3008" s="88">
        <v>46261.689849536997</v>
      </c>
      <c r="H3008" s="89">
        <v>46261</v>
      </c>
      <c r="I3008" s="71" t="s">
        <v>316</v>
      </c>
      <c r="J3008" s="71">
        <v>0</v>
      </c>
      <c r="K3008" s="71" t="s">
        <v>302</v>
      </c>
      <c r="L3008" s="71">
        <f t="shared" si="414"/>
        <v>8</v>
      </c>
      <c r="M3008" s="71" t="str">
        <f>IFERROR(INDEX(KALENDER!$D$3:$D$132,MATCH(H3008,KALENDER!$A$3:$A$132,0)),"Di luar periode")</f>
        <v>Hari Kerja</v>
      </c>
      <c r="N3008" s="71">
        <f t="shared" si="415"/>
        <v>0</v>
      </c>
      <c r="O3008" s="71">
        <f t="shared" si="416"/>
        <v>1</v>
      </c>
      <c r="P3008" s="71">
        <f t="shared" si="417"/>
        <v>0</v>
      </c>
      <c r="Q3008" s="71">
        <f t="shared" si="418"/>
        <v>0</v>
      </c>
      <c r="R3008" s="71">
        <f t="shared" si="419"/>
        <v>0</v>
      </c>
      <c r="S3008" s="71">
        <f t="shared" si="420"/>
        <v>0</v>
      </c>
      <c r="T3008" s="71">
        <f t="shared" si="421"/>
        <v>0</v>
      </c>
      <c r="U3008" s="71">
        <f>IF(AND(N3008=1,V3008=1),IF(COUNTIFS(AKTIVITAS!$B$2:$B$3052,B3008,AKTIVITAS!$E$2:$E$3052,H3008)&gt;0,1,0),0)</f>
        <v>0</v>
      </c>
      <c r="V3008" s="71">
        <f>IFERROR(IF(AND(H3008&gt;=INDEX(PEMAGANG!$J$3:$J$36,MATCH(B3008,PEMAGANG!$C$3:$C$36,0)),H3008&lt;=INDEX(PEMAGANG!$K$3:$K$36,MATCH(B3008,PEMAGANG!$C$3:$C$36,0))),1,0),0)</f>
        <v>1</v>
      </c>
      <c r="W3008" s="71">
        <f t="shared" si="422"/>
        <v>0</v>
      </c>
    </row>
    <row r="3009" spans="1:23" x14ac:dyDescent="0.2">
      <c r="A3009" s="71" t="s">
        <v>202</v>
      </c>
      <c r="B3009" s="71" t="s">
        <v>203</v>
      </c>
      <c r="C3009" s="71" t="s">
        <v>187</v>
      </c>
      <c r="D3009" s="71" t="s">
        <v>204</v>
      </c>
      <c r="E3009" s="71" t="s">
        <v>692</v>
      </c>
      <c r="F3009" s="71" t="s">
        <v>298</v>
      </c>
      <c r="G3009" s="88">
        <v>46262.306909722203</v>
      </c>
      <c r="H3009" s="89">
        <v>46262</v>
      </c>
      <c r="I3009" s="71" t="s">
        <v>305</v>
      </c>
      <c r="J3009" s="71">
        <v>-39</v>
      </c>
      <c r="K3009" s="71" t="s">
        <v>302</v>
      </c>
      <c r="L3009" s="71">
        <f t="shared" si="414"/>
        <v>8</v>
      </c>
      <c r="M3009" s="71" t="str">
        <f>IFERROR(INDEX(KALENDER!$D$3:$D$132,MATCH(H3009,KALENDER!$A$3:$A$132,0)),"Di luar periode")</f>
        <v>Hari Kerja</v>
      </c>
      <c r="N3009" s="71">
        <f t="shared" si="415"/>
        <v>1</v>
      </c>
      <c r="O3009" s="71">
        <f t="shared" si="416"/>
        <v>1</v>
      </c>
      <c r="P3009" s="71">
        <f t="shared" si="417"/>
        <v>1</v>
      </c>
      <c r="Q3009" s="71">
        <f t="shared" si="418"/>
        <v>0</v>
      </c>
      <c r="R3009" s="71">
        <f t="shared" si="419"/>
        <v>0</v>
      </c>
      <c r="S3009" s="71">
        <f t="shared" si="420"/>
        <v>0</v>
      </c>
      <c r="T3009" s="71">
        <f t="shared" si="421"/>
        <v>0</v>
      </c>
      <c r="U3009" s="71">
        <f>IF(AND(N3009=1,V3009=1),IF(COUNTIFS(AKTIVITAS!$B$2:$B$3052,B3009,AKTIVITAS!$E$2:$E$3052,H3009)&gt;0,1,0),0)</f>
        <v>1</v>
      </c>
      <c r="V3009" s="71">
        <f>IFERROR(IF(AND(H3009&gt;=INDEX(PEMAGANG!$J$3:$J$36,MATCH(B3009,PEMAGANG!$C$3:$C$36,0)),H3009&lt;=INDEX(PEMAGANG!$K$3:$K$36,MATCH(B3009,PEMAGANG!$C$3:$C$36,0))),1,0),0)</f>
        <v>1</v>
      </c>
      <c r="W3009" s="71">
        <f t="shared" si="422"/>
        <v>1</v>
      </c>
    </row>
    <row r="3010" spans="1:23" x14ac:dyDescent="0.2">
      <c r="A3010" s="71" t="s">
        <v>202</v>
      </c>
      <c r="B3010" s="71" t="s">
        <v>203</v>
      </c>
      <c r="C3010" s="71" t="s">
        <v>187</v>
      </c>
      <c r="D3010" s="71" t="s">
        <v>204</v>
      </c>
      <c r="E3010" s="71" t="s">
        <v>692</v>
      </c>
      <c r="F3010" s="71" t="s">
        <v>300</v>
      </c>
      <c r="G3010" s="88">
        <v>46262.704965277801</v>
      </c>
      <c r="H3010" s="89">
        <v>46262</v>
      </c>
      <c r="I3010" s="71" t="s">
        <v>585</v>
      </c>
      <c r="J3010" s="71">
        <v>0</v>
      </c>
      <c r="K3010" s="71" t="s">
        <v>302</v>
      </c>
      <c r="L3010" s="71">
        <f t="shared" ref="L3010:L3073" si="423">MONTH(H3010)</f>
        <v>8</v>
      </c>
      <c r="M3010" s="71" t="str">
        <f>IFERROR(INDEX(KALENDER!$D$3:$D$132,MATCH(H3010,KALENDER!$A$3:$A$132,0)),"Di luar periode")</f>
        <v>Hari Kerja</v>
      </c>
      <c r="N3010" s="71">
        <f t="shared" ref="N3010:N3073" si="424">IF(AND(B3010=B3009,H3010=H3009),0,1)</f>
        <v>0</v>
      </c>
      <c r="O3010" s="71">
        <f t="shared" ref="O3010:O3073" si="425">IF(N3010=1,0,O3009)+IF(F3010="MASUK",1,0)</f>
        <v>1</v>
      </c>
      <c r="P3010" s="71">
        <f t="shared" ref="P3010:P3073" si="426">IF(AND(N3010=1,M3010="Hari Kerja",V3010=1),1,0)</f>
        <v>0</v>
      </c>
      <c r="Q3010" s="71">
        <f t="shared" ref="Q3010:Q3073" si="427">IF(AND(N3010=1,OR(M3010&lt;&gt;"Hari Kerja",V3010=0)),1,0)</f>
        <v>0</v>
      </c>
      <c r="R3010" s="71">
        <f t="shared" ref="R3010:R3073" si="428">IF(AND(F3010="MASUK",O3010=1,N(J3010)&gt;0,V3010=1),1,0)</f>
        <v>0</v>
      </c>
      <c r="S3010" s="71">
        <f t="shared" ref="S3010:S3073" si="429">R3010*N(J3010)</f>
        <v>0</v>
      </c>
      <c r="T3010" s="71">
        <f t="shared" ref="T3010:T3073" si="430">IF(AND(N3010=1,V3010=1),IF(AND(COUNTIFS($B$2:$B$4094,B3010,$H$2:$H$4094,H3010,$F$2:$F$4094,"MASUK")&gt;0,COUNTIFS($B$2:$B$4094,B3010,$H$2:$H$4094,H3010,$F$2:$F$4094,"PULANG")=0),1,0),0)</f>
        <v>0</v>
      </c>
      <c r="U3010" s="71">
        <f>IF(AND(N3010=1,V3010=1),IF(COUNTIFS(AKTIVITAS!$B$2:$B$3052,B3010,AKTIVITAS!$E$2:$E$3052,H3010)&gt;0,1,0),0)</f>
        <v>0</v>
      </c>
      <c r="V3010" s="71">
        <f>IFERROR(IF(AND(H3010&gt;=INDEX(PEMAGANG!$J$3:$J$36,MATCH(B3010,PEMAGANG!$C$3:$C$36,0)),H3010&lt;=INDEX(PEMAGANG!$K$3:$K$36,MATCH(B3010,PEMAGANG!$C$3:$C$36,0))),1,0),0)</f>
        <v>1</v>
      </c>
      <c r="W3010" s="71">
        <f t="shared" ref="W3010:W3073" si="431">N3010*V3010</f>
        <v>0</v>
      </c>
    </row>
    <row r="3011" spans="1:23" x14ac:dyDescent="0.2">
      <c r="A3011" s="71" t="s">
        <v>202</v>
      </c>
      <c r="B3011" s="71" t="s">
        <v>203</v>
      </c>
      <c r="C3011" s="71" t="s">
        <v>187</v>
      </c>
      <c r="D3011" s="71" t="s">
        <v>204</v>
      </c>
      <c r="E3011" s="71" t="s">
        <v>692</v>
      </c>
      <c r="F3011" s="71" t="s">
        <v>298</v>
      </c>
      <c r="G3011" s="88">
        <v>46265.305</v>
      </c>
      <c r="H3011" s="89">
        <v>46265</v>
      </c>
      <c r="I3011" s="71" t="s">
        <v>321</v>
      </c>
      <c r="J3011" s="71">
        <v>-41</v>
      </c>
      <c r="K3011" s="71" t="s">
        <v>302</v>
      </c>
      <c r="L3011" s="71">
        <f t="shared" si="423"/>
        <v>8</v>
      </c>
      <c r="M3011" s="71" t="str">
        <f>IFERROR(INDEX(KALENDER!$D$3:$D$132,MATCH(H3011,KALENDER!$A$3:$A$132,0)),"Di luar periode")</f>
        <v>Hari Kerja</v>
      </c>
      <c r="N3011" s="71">
        <f t="shared" si="424"/>
        <v>1</v>
      </c>
      <c r="O3011" s="71">
        <f t="shared" si="425"/>
        <v>1</v>
      </c>
      <c r="P3011" s="71">
        <f t="shared" si="426"/>
        <v>0</v>
      </c>
      <c r="Q3011" s="71">
        <f t="shared" si="427"/>
        <v>1</v>
      </c>
      <c r="R3011" s="71">
        <f t="shared" si="428"/>
        <v>0</v>
      </c>
      <c r="S3011" s="71">
        <f t="shared" si="429"/>
        <v>0</v>
      </c>
      <c r="T3011" s="71">
        <f t="shared" si="430"/>
        <v>0</v>
      </c>
      <c r="U3011" s="71">
        <f>IF(AND(N3011=1,V3011=1),IF(COUNTIFS(AKTIVITAS!$B$2:$B$3052,B3011,AKTIVITAS!$E$2:$E$3052,H3011)&gt;0,1,0),0)</f>
        <v>0</v>
      </c>
      <c r="V3011" s="71">
        <f>IFERROR(IF(AND(H3011&gt;=INDEX(PEMAGANG!$J$3:$J$36,MATCH(B3011,PEMAGANG!$C$3:$C$36,0)),H3011&lt;=INDEX(PEMAGANG!$K$3:$K$36,MATCH(B3011,PEMAGANG!$C$3:$C$36,0))),1,0),0)</f>
        <v>0</v>
      </c>
      <c r="W3011" s="71">
        <f t="shared" si="431"/>
        <v>0</v>
      </c>
    </row>
    <row r="3012" spans="1:23" x14ac:dyDescent="0.2">
      <c r="A3012" s="71" t="s">
        <v>272</v>
      </c>
      <c r="B3012" s="71" t="s">
        <v>273</v>
      </c>
      <c r="C3012" s="71" t="s">
        <v>187</v>
      </c>
      <c r="D3012" s="71" t="s">
        <v>274</v>
      </c>
      <c r="E3012" s="71" t="s">
        <v>693</v>
      </c>
      <c r="F3012" s="71" t="s">
        <v>298</v>
      </c>
      <c r="G3012" s="88">
        <v>46175.309097222198</v>
      </c>
      <c r="H3012" s="89">
        <v>46175</v>
      </c>
      <c r="I3012" s="71" t="s">
        <v>307</v>
      </c>
      <c r="J3012" s="71">
        <v>-4.9999999999999796</v>
      </c>
      <c r="K3012" s="71" t="s">
        <v>302</v>
      </c>
      <c r="L3012" s="71">
        <f t="shared" si="423"/>
        <v>6</v>
      </c>
      <c r="M3012" s="71" t="str">
        <f>IFERROR(INDEX(KALENDER!$D$3:$D$132,MATCH(H3012,KALENDER!$A$3:$A$132,0)),"Di luar periode")</f>
        <v>Hari Kerja</v>
      </c>
      <c r="N3012" s="71">
        <f t="shared" si="424"/>
        <v>1</v>
      </c>
      <c r="O3012" s="71">
        <f t="shared" si="425"/>
        <v>1</v>
      </c>
      <c r="P3012" s="71">
        <f t="shared" si="426"/>
        <v>1</v>
      </c>
      <c r="Q3012" s="71">
        <f t="shared" si="427"/>
        <v>0</v>
      </c>
      <c r="R3012" s="71">
        <f t="shared" si="428"/>
        <v>0</v>
      </c>
      <c r="S3012" s="71">
        <f t="shared" si="429"/>
        <v>0</v>
      </c>
      <c r="T3012" s="71">
        <f t="shared" si="430"/>
        <v>1</v>
      </c>
      <c r="U3012" s="71">
        <f>IF(AND(N3012=1,V3012=1),IF(COUNTIFS(AKTIVITAS!$B$2:$B$3052,B3012,AKTIVITAS!$E$2:$E$3052,H3012)&gt;0,1,0),0)</f>
        <v>1</v>
      </c>
      <c r="V3012" s="71">
        <f>IFERROR(IF(AND(H3012&gt;=INDEX(PEMAGANG!$J$3:$J$36,MATCH(B3012,PEMAGANG!$C$3:$C$36,0)),H3012&lt;=INDEX(PEMAGANG!$K$3:$K$36,MATCH(B3012,PEMAGANG!$C$3:$C$36,0))),1,0),0)</f>
        <v>1</v>
      </c>
      <c r="W3012" s="71">
        <f t="shared" si="431"/>
        <v>1</v>
      </c>
    </row>
    <row r="3013" spans="1:23" x14ac:dyDescent="0.2">
      <c r="A3013" s="71" t="s">
        <v>272</v>
      </c>
      <c r="B3013" s="71" t="s">
        <v>273</v>
      </c>
      <c r="C3013" s="71" t="s">
        <v>187</v>
      </c>
      <c r="D3013" s="71" t="s">
        <v>274</v>
      </c>
      <c r="E3013" s="71" t="s">
        <v>693</v>
      </c>
      <c r="F3013" s="71" t="s">
        <v>298</v>
      </c>
      <c r="G3013" s="88">
        <v>46177.308425925898</v>
      </c>
      <c r="H3013" s="89">
        <v>46177</v>
      </c>
      <c r="I3013" s="71" t="s">
        <v>303</v>
      </c>
      <c r="J3013" s="71">
        <v>-5.9999999999999796</v>
      </c>
      <c r="K3013" s="71" t="s">
        <v>302</v>
      </c>
      <c r="L3013" s="71">
        <f t="shared" si="423"/>
        <v>6</v>
      </c>
      <c r="M3013" s="71" t="str">
        <f>IFERROR(INDEX(KALENDER!$D$3:$D$132,MATCH(H3013,KALENDER!$A$3:$A$132,0)),"Di luar periode")</f>
        <v>Hari Kerja</v>
      </c>
      <c r="N3013" s="71">
        <f t="shared" si="424"/>
        <v>1</v>
      </c>
      <c r="O3013" s="71">
        <f t="shared" si="425"/>
        <v>1</v>
      </c>
      <c r="P3013" s="71">
        <f t="shared" si="426"/>
        <v>1</v>
      </c>
      <c r="Q3013" s="71">
        <f t="shared" si="427"/>
        <v>0</v>
      </c>
      <c r="R3013" s="71">
        <f t="shared" si="428"/>
        <v>0</v>
      </c>
      <c r="S3013" s="71">
        <f t="shared" si="429"/>
        <v>0</v>
      </c>
      <c r="T3013" s="71">
        <f t="shared" si="430"/>
        <v>0</v>
      </c>
      <c r="U3013" s="71">
        <f>IF(AND(N3013=1,V3013=1),IF(COUNTIFS(AKTIVITAS!$B$2:$B$3052,B3013,AKTIVITAS!$E$2:$E$3052,H3013)&gt;0,1,0),0)</f>
        <v>1</v>
      </c>
      <c r="V3013" s="71">
        <f>IFERROR(IF(AND(H3013&gt;=INDEX(PEMAGANG!$J$3:$J$36,MATCH(B3013,PEMAGANG!$C$3:$C$36,0)),H3013&lt;=INDEX(PEMAGANG!$K$3:$K$36,MATCH(B3013,PEMAGANG!$C$3:$C$36,0))),1,0),0)</f>
        <v>1</v>
      </c>
      <c r="W3013" s="71">
        <f t="shared" si="431"/>
        <v>1</v>
      </c>
    </row>
    <row r="3014" spans="1:23" x14ac:dyDescent="0.2">
      <c r="A3014" s="71" t="s">
        <v>272</v>
      </c>
      <c r="B3014" s="71" t="s">
        <v>273</v>
      </c>
      <c r="C3014" s="71" t="s">
        <v>187</v>
      </c>
      <c r="D3014" s="71" t="s">
        <v>274</v>
      </c>
      <c r="E3014" s="71" t="s">
        <v>693</v>
      </c>
      <c r="F3014" s="71" t="s">
        <v>300</v>
      </c>
      <c r="G3014" s="88">
        <v>46177.690474536997</v>
      </c>
      <c r="H3014" s="89">
        <v>46177</v>
      </c>
      <c r="I3014" s="71" t="s">
        <v>314</v>
      </c>
      <c r="J3014" s="71">
        <v>0</v>
      </c>
      <c r="K3014" s="71" t="s">
        <v>302</v>
      </c>
      <c r="L3014" s="71">
        <f t="shared" si="423"/>
        <v>6</v>
      </c>
      <c r="M3014" s="71" t="str">
        <f>IFERROR(INDEX(KALENDER!$D$3:$D$132,MATCH(H3014,KALENDER!$A$3:$A$132,0)),"Di luar periode")</f>
        <v>Hari Kerja</v>
      </c>
      <c r="N3014" s="71">
        <f t="shared" si="424"/>
        <v>0</v>
      </c>
      <c r="O3014" s="71">
        <f t="shared" si="425"/>
        <v>1</v>
      </c>
      <c r="P3014" s="71">
        <f t="shared" si="426"/>
        <v>0</v>
      </c>
      <c r="Q3014" s="71">
        <f t="shared" si="427"/>
        <v>0</v>
      </c>
      <c r="R3014" s="71">
        <f t="shared" si="428"/>
        <v>0</v>
      </c>
      <c r="S3014" s="71">
        <f t="shared" si="429"/>
        <v>0</v>
      </c>
      <c r="T3014" s="71">
        <f t="shared" si="430"/>
        <v>0</v>
      </c>
      <c r="U3014" s="71">
        <f>IF(AND(N3014=1,V3014=1),IF(COUNTIFS(AKTIVITAS!$B$2:$B$3052,B3014,AKTIVITAS!$E$2:$E$3052,H3014)&gt;0,1,0),0)</f>
        <v>0</v>
      </c>
      <c r="V3014" s="71">
        <f>IFERROR(IF(AND(H3014&gt;=INDEX(PEMAGANG!$J$3:$J$36,MATCH(B3014,PEMAGANG!$C$3:$C$36,0)),H3014&lt;=INDEX(PEMAGANG!$K$3:$K$36,MATCH(B3014,PEMAGANG!$C$3:$C$36,0))),1,0),0)</f>
        <v>1</v>
      </c>
      <c r="W3014" s="71">
        <f t="shared" si="431"/>
        <v>0</v>
      </c>
    </row>
    <row r="3015" spans="1:23" x14ac:dyDescent="0.2">
      <c r="A3015" s="71" t="s">
        <v>272</v>
      </c>
      <c r="B3015" s="71" t="s">
        <v>273</v>
      </c>
      <c r="C3015" s="71" t="s">
        <v>187</v>
      </c>
      <c r="D3015" s="71" t="s">
        <v>274</v>
      </c>
      <c r="E3015" s="71" t="s">
        <v>693</v>
      </c>
      <c r="F3015" s="71" t="s">
        <v>298</v>
      </c>
      <c r="G3015" s="88">
        <v>46178.307372685202</v>
      </c>
      <c r="H3015" s="89">
        <v>46178</v>
      </c>
      <c r="I3015" s="71" t="s">
        <v>313</v>
      </c>
      <c r="J3015" s="71">
        <v>-8.0000000000000497</v>
      </c>
      <c r="K3015" s="71" t="s">
        <v>302</v>
      </c>
      <c r="L3015" s="71">
        <f t="shared" si="423"/>
        <v>6</v>
      </c>
      <c r="M3015" s="71" t="str">
        <f>IFERROR(INDEX(KALENDER!$D$3:$D$132,MATCH(H3015,KALENDER!$A$3:$A$132,0)),"Di luar periode")</f>
        <v>Hari Kerja</v>
      </c>
      <c r="N3015" s="71">
        <f t="shared" si="424"/>
        <v>1</v>
      </c>
      <c r="O3015" s="71">
        <f t="shared" si="425"/>
        <v>1</v>
      </c>
      <c r="P3015" s="71">
        <f t="shared" si="426"/>
        <v>1</v>
      </c>
      <c r="Q3015" s="71">
        <f t="shared" si="427"/>
        <v>0</v>
      </c>
      <c r="R3015" s="71">
        <f t="shared" si="428"/>
        <v>0</v>
      </c>
      <c r="S3015" s="71">
        <f t="shared" si="429"/>
        <v>0</v>
      </c>
      <c r="T3015" s="71">
        <f t="shared" si="430"/>
        <v>0</v>
      </c>
      <c r="U3015" s="71">
        <f>IF(AND(N3015=1,V3015=1),IF(COUNTIFS(AKTIVITAS!$B$2:$B$3052,B3015,AKTIVITAS!$E$2:$E$3052,H3015)&gt;0,1,0),0)</f>
        <v>1</v>
      </c>
      <c r="V3015" s="71">
        <f>IFERROR(IF(AND(H3015&gt;=INDEX(PEMAGANG!$J$3:$J$36,MATCH(B3015,PEMAGANG!$C$3:$C$36,0)),H3015&lt;=INDEX(PEMAGANG!$K$3:$K$36,MATCH(B3015,PEMAGANG!$C$3:$C$36,0))),1,0),0)</f>
        <v>1</v>
      </c>
      <c r="W3015" s="71">
        <f t="shared" si="431"/>
        <v>1</v>
      </c>
    </row>
    <row r="3016" spans="1:23" x14ac:dyDescent="0.2">
      <c r="A3016" s="71" t="s">
        <v>272</v>
      </c>
      <c r="B3016" s="71" t="s">
        <v>273</v>
      </c>
      <c r="C3016" s="71" t="s">
        <v>187</v>
      </c>
      <c r="D3016" s="71" t="s">
        <v>274</v>
      </c>
      <c r="E3016" s="71" t="s">
        <v>693</v>
      </c>
      <c r="F3016" s="71" t="s">
        <v>300</v>
      </c>
      <c r="G3016" s="88">
        <v>46178.688634259299</v>
      </c>
      <c r="H3016" s="89">
        <v>46178</v>
      </c>
      <c r="I3016" s="71" t="s">
        <v>336</v>
      </c>
      <c r="J3016" s="71">
        <v>0</v>
      </c>
      <c r="K3016" s="71" t="s">
        <v>302</v>
      </c>
      <c r="L3016" s="71">
        <f t="shared" si="423"/>
        <v>6</v>
      </c>
      <c r="M3016" s="71" t="str">
        <f>IFERROR(INDEX(KALENDER!$D$3:$D$132,MATCH(H3016,KALENDER!$A$3:$A$132,0)),"Di luar periode")</f>
        <v>Hari Kerja</v>
      </c>
      <c r="N3016" s="71">
        <f t="shared" si="424"/>
        <v>0</v>
      </c>
      <c r="O3016" s="71">
        <f t="shared" si="425"/>
        <v>1</v>
      </c>
      <c r="P3016" s="71">
        <f t="shared" si="426"/>
        <v>0</v>
      </c>
      <c r="Q3016" s="71">
        <f t="shared" si="427"/>
        <v>0</v>
      </c>
      <c r="R3016" s="71">
        <f t="shared" si="428"/>
        <v>0</v>
      </c>
      <c r="S3016" s="71">
        <f t="shared" si="429"/>
        <v>0</v>
      </c>
      <c r="T3016" s="71">
        <f t="shared" si="430"/>
        <v>0</v>
      </c>
      <c r="U3016" s="71">
        <f>IF(AND(N3016=1,V3016=1),IF(COUNTIFS(AKTIVITAS!$B$2:$B$3052,B3016,AKTIVITAS!$E$2:$E$3052,H3016)&gt;0,1,0),0)</f>
        <v>0</v>
      </c>
      <c r="V3016" s="71">
        <f>IFERROR(IF(AND(H3016&gt;=INDEX(PEMAGANG!$J$3:$J$36,MATCH(B3016,PEMAGANG!$C$3:$C$36,0)),H3016&lt;=INDEX(PEMAGANG!$K$3:$K$36,MATCH(B3016,PEMAGANG!$C$3:$C$36,0))),1,0),0)</f>
        <v>1</v>
      </c>
      <c r="W3016" s="71">
        <f t="shared" si="431"/>
        <v>0</v>
      </c>
    </row>
    <row r="3017" spans="1:23" x14ac:dyDescent="0.2">
      <c r="A3017" s="71" t="s">
        <v>272</v>
      </c>
      <c r="B3017" s="71" t="s">
        <v>273</v>
      </c>
      <c r="C3017" s="71" t="s">
        <v>187</v>
      </c>
      <c r="D3017" s="71" t="s">
        <v>274</v>
      </c>
      <c r="E3017" s="71" t="s">
        <v>693</v>
      </c>
      <c r="F3017" s="71" t="s">
        <v>298</v>
      </c>
      <c r="G3017" s="88">
        <v>46181.310543981497</v>
      </c>
      <c r="H3017" s="89">
        <v>46181</v>
      </c>
      <c r="I3017" s="71" t="s">
        <v>309</v>
      </c>
      <c r="J3017" s="71">
        <v>-2.9999999999999898</v>
      </c>
      <c r="K3017" s="71" t="s">
        <v>302</v>
      </c>
      <c r="L3017" s="71">
        <f t="shared" si="423"/>
        <v>6</v>
      </c>
      <c r="M3017" s="71" t="str">
        <f>IFERROR(INDEX(KALENDER!$D$3:$D$132,MATCH(H3017,KALENDER!$A$3:$A$132,0)),"Di luar periode")</f>
        <v>Hari Kerja</v>
      </c>
      <c r="N3017" s="71">
        <f t="shared" si="424"/>
        <v>1</v>
      </c>
      <c r="O3017" s="71">
        <f t="shared" si="425"/>
        <v>1</v>
      </c>
      <c r="P3017" s="71">
        <f t="shared" si="426"/>
        <v>1</v>
      </c>
      <c r="Q3017" s="71">
        <f t="shared" si="427"/>
        <v>0</v>
      </c>
      <c r="R3017" s="71">
        <f t="shared" si="428"/>
        <v>0</v>
      </c>
      <c r="S3017" s="71">
        <f t="shared" si="429"/>
        <v>0</v>
      </c>
      <c r="T3017" s="71">
        <f t="shared" si="430"/>
        <v>0</v>
      </c>
      <c r="U3017" s="71">
        <f>IF(AND(N3017=1,V3017=1),IF(COUNTIFS(AKTIVITAS!$B$2:$B$3052,B3017,AKTIVITAS!$E$2:$E$3052,H3017)&gt;0,1,0),0)</f>
        <v>1</v>
      </c>
      <c r="V3017" s="71">
        <f>IFERROR(IF(AND(H3017&gt;=INDEX(PEMAGANG!$J$3:$J$36,MATCH(B3017,PEMAGANG!$C$3:$C$36,0)),H3017&lt;=INDEX(PEMAGANG!$K$3:$K$36,MATCH(B3017,PEMAGANG!$C$3:$C$36,0))),1,0),0)</f>
        <v>1</v>
      </c>
      <c r="W3017" s="71">
        <f t="shared" si="431"/>
        <v>1</v>
      </c>
    </row>
    <row r="3018" spans="1:23" x14ac:dyDescent="0.2">
      <c r="A3018" s="71" t="s">
        <v>272</v>
      </c>
      <c r="B3018" s="71" t="s">
        <v>273</v>
      </c>
      <c r="C3018" s="71" t="s">
        <v>187</v>
      </c>
      <c r="D3018" s="71" t="s">
        <v>274</v>
      </c>
      <c r="E3018" s="71" t="s">
        <v>693</v>
      </c>
      <c r="F3018" s="71" t="s">
        <v>300</v>
      </c>
      <c r="G3018" s="88">
        <v>46181.694780092599</v>
      </c>
      <c r="H3018" s="89">
        <v>46181</v>
      </c>
      <c r="I3018" s="71" t="s">
        <v>343</v>
      </c>
      <c r="J3018" s="71">
        <v>0</v>
      </c>
      <c r="K3018" s="71" t="s">
        <v>302</v>
      </c>
      <c r="L3018" s="71">
        <f t="shared" si="423"/>
        <v>6</v>
      </c>
      <c r="M3018" s="71" t="str">
        <f>IFERROR(INDEX(KALENDER!$D$3:$D$132,MATCH(H3018,KALENDER!$A$3:$A$132,0)),"Di luar periode")</f>
        <v>Hari Kerja</v>
      </c>
      <c r="N3018" s="71">
        <f t="shared" si="424"/>
        <v>0</v>
      </c>
      <c r="O3018" s="71">
        <f t="shared" si="425"/>
        <v>1</v>
      </c>
      <c r="P3018" s="71">
        <f t="shared" si="426"/>
        <v>0</v>
      </c>
      <c r="Q3018" s="71">
        <f t="shared" si="427"/>
        <v>0</v>
      </c>
      <c r="R3018" s="71">
        <f t="shared" si="428"/>
        <v>0</v>
      </c>
      <c r="S3018" s="71">
        <f t="shared" si="429"/>
        <v>0</v>
      </c>
      <c r="T3018" s="71">
        <f t="shared" si="430"/>
        <v>0</v>
      </c>
      <c r="U3018" s="71">
        <f>IF(AND(N3018=1,V3018=1),IF(COUNTIFS(AKTIVITAS!$B$2:$B$3052,B3018,AKTIVITAS!$E$2:$E$3052,H3018)&gt;0,1,0),0)</f>
        <v>0</v>
      </c>
      <c r="V3018" s="71">
        <f>IFERROR(IF(AND(H3018&gt;=INDEX(PEMAGANG!$J$3:$J$36,MATCH(B3018,PEMAGANG!$C$3:$C$36,0)),H3018&lt;=INDEX(PEMAGANG!$K$3:$K$36,MATCH(B3018,PEMAGANG!$C$3:$C$36,0))),1,0),0)</f>
        <v>1</v>
      </c>
      <c r="W3018" s="71">
        <f t="shared" si="431"/>
        <v>0</v>
      </c>
    </row>
    <row r="3019" spans="1:23" x14ac:dyDescent="0.2">
      <c r="A3019" s="71" t="s">
        <v>272</v>
      </c>
      <c r="B3019" s="71" t="s">
        <v>273</v>
      </c>
      <c r="C3019" s="71" t="s">
        <v>187</v>
      </c>
      <c r="D3019" s="71" t="s">
        <v>274</v>
      </c>
      <c r="E3019" s="71" t="s">
        <v>693</v>
      </c>
      <c r="F3019" s="71" t="s">
        <v>298</v>
      </c>
      <c r="G3019" s="88">
        <v>46182.308564814797</v>
      </c>
      <c r="H3019" s="89">
        <v>46182</v>
      </c>
      <c r="I3019" s="71" t="s">
        <v>303</v>
      </c>
      <c r="J3019" s="71">
        <v>-5.9999999999999796</v>
      </c>
      <c r="K3019" s="71" t="s">
        <v>302</v>
      </c>
      <c r="L3019" s="71">
        <f t="shared" si="423"/>
        <v>6</v>
      </c>
      <c r="M3019" s="71" t="str">
        <f>IFERROR(INDEX(KALENDER!$D$3:$D$132,MATCH(H3019,KALENDER!$A$3:$A$132,0)),"Di luar periode")</f>
        <v>Hari Kerja</v>
      </c>
      <c r="N3019" s="71">
        <f t="shared" si="424"/>
        <v>1</v>
      </c>
      <c r="O3019" s="71">
        <f t="shared" si="425"/>
        <v>1</v>
      </c>
      <c r="P3019" s="71">
        <f t="shared" si="426"/>
        <v>1</v>
      </c>
      <c r="Q3019" s="71">
        <f t="shared" si="427"/>
        <v>0</v>
      </c>
      <c r="R3019" s="71">
        <f t="shared" si="428"/>
        <v>0</v>
      </c>
      <c r="S3019" s="71">
        <f t="shared" si="429"/>
        <v>0</v>
      </c>
      <c r="T3019" s="71">
        <f t="shared" si="430"/>
        <v>1</v>
      </c>
      <c r="U3019" s="71">
        <f>IF(AND(N3019=1,V3019=1),IF(COUNTIFS(AKTIVITAS!$B$2:$B$3052,B3019,AKTIVITAS!$E$2:$E$3052,H3019)&gt;0,1,0),0)</f>
        <v>1</v>
      </c>
      <c r="V3019" s="71">
        <f>IFERROR(IF(AND(H3019&gt;=INDEX(PEMAGANG!$J$3:$J$36,MATCH(B3019,PEMAGANG!$C$3:$C$36,0)),H3019&lt;=INDEX(PEMAGANG!$K$3:$K$36,MATCH(B3019,PEMAGANG!$C$3:$C$36,0))),1,0),0)</f>
        <v>1</v>
      </c>
      <c r="W3019" s="71">
        <f t="shared" si="431"/>
        <v>1</v>
      </c>
    </row>
    <row r="3020" spans="1:23" x14ac:dyDescent="0.2">
      <c r="A3020" s="71" t="s">
        <v>272</v>
      </c>
      <c r="B3020" s="71" t="s">
        <v>273</v>
      </c>
      <c r="C3020" s="71" t="s">
        <v>187</v>
      </c>
      <c r="D3020" s="71" t="s">
        <v>274</v>
      </c>
      <c r="E3020" s="71" t="s">
        <v>693</v>
      </c>
      <c r="F3020" s="71" t="s">
        <v>298</v>
      </c>
      <c r="G3020" s="88">
        <v>46184.315717592603</v>
      </c>
      <c r="H3020" s="89">
        <v>46184</v>
      </c>
      <c r="I3020" s="71" t="s">
        <v>373</v>
      </c>
      <c r="J3020" s="71">
        <v>3.9999999999999898</v>
      </c>
      <c r="K3020" s="71" t="s">
        <v>293</v>
      </c>
      <c r="L3020" s="71">
        <f t="shared" si="423"/>
        <v>6</v>
      </c>
      <c r="M3020" s="71" t="str">
        <f>IFERROR(INDEX(KALENDER!$D$3:$D$132,MATCH(H3020,KALENDER!$A$3:$A$132,0)),"Di luar periode")</f>
        <v>Hari Kerja</v>
      </c>
      <c r="N3020" s="71">
        <f t="shared" si="424"/>
        <v>1</v>
      </c>
      <c r="O3020" s="71">
        <f t="shared" si="425"/>
        <v>1</v>
      </c>
      <c r="P3020" s="71">
        <f t="shared" si="426"/>
        <v>1</v>
      </c>
      <c r="Q3020" s="71">
        <f t="shared" si="427"/>
        <v>0</v>
      </c>
      <c r="R3020" s="71">
        <f t="shared" si="428"/>
        <v>1</v>
      </c>
      <c r="S3020" s="71">
        <f t="shared" si="429"/>
        <v>3.9999999999999898</v>
      </c>
      <c r="T3020" s="71">
        <f t="shared" si="430"/>
        <v>0</v>
      </c>
      <c r="U3020" s="71">
        <f>IF(AND(N3020=1,V3020=1),IF(COUNTIFS(AKTIVITAS!$B$2:$B$3052,B3020,AKTIVITAS!$E$2:$E$3052,H3020)&gt;0,1,0),0)</f>
        <v>1</v>
      </c>
      <c r="V3020" s="71">
        <f>IFERROR(IF(AND(H3020&gt;=INDEX(PEMAGANG!$J$3:$J$36,MATCH(B3020,PEMAGANG!$C$3:$C$36,0)),H3020&lt;=INDEX(PEMAGANG!$K$3:$K$36,MATCH(B3020,PEMAGANG!$C$3:$C$36,0))),1,0),0)</f>
        <v>1</v>
      </c>
      <c r="W3020" s="71">
        <f t="shared" si="431"/>
        <v>1</v>
      </c>
    </row>
    <row r="3021" spans="1:23" x14ac:dyDescent="0.2">
      <c r="A3021" s="71" t="s">
        <v>272</v>
      </c>
      <c r="B3021" s="71" t="s">
        <v>273</v>
      </c>
      <c r="C3021" s="71" t="s">
        <v>187</v>
      </c>
      <c r="D3021" s="71" t="s">
        <v>274</v>
      </c>
      <c r="E3021" s="71" t="s">
        <v>693</v>
      </c>
      <c r="F3021" s="71" t="s">
        <v>300</v>
      </c>
      <c r="G3021" s="88">
        <v>46184.690370370401</v>
      </c>
      <c r="H3021" s="89">
        <v>46184</v>
      </c>
      <c r="I3021" s="71" t="s">
        <v>314</v>
      </c>
      <c r="J3021" s="71">
        <v>0</v>
      </c>
      <c r="K3021" s="71" t="s">
        <v>302</v>
      </c>
      <c r="L3021" s="71">
        <f t="shared" si="423"/>
        <v>6</v>
      </c>
      <c r="M3021" s="71" t="str">
        <f>IFERROR(INDEX(KALENDER!$D$3:$D$132,MATCH(H3021,KALENDER!$A$3:$A$132,0)),"Di luar periode")</f>
        <v>Hari Kerja</v>
      </c>
      <c r="N3021" s="71">
        <f t="shared" si="424"/>
        <v>0</v>
      </c>
      <c r="O3021" s="71">
        <f t="shared" si="425"/>
        <v>1</v>
      </c>
      <c r="P3021" s="71">
        <f t="shared" si="426"/>
        <v>0</v>
      </c>
      <c r="Q3021" s="71">
        <f t="shared" si="427"/>
        <v>0</v>
      </c>
      <c r="R3021" s="71">
        <f t="shared" si="428"/>
        <v>0</v>
      </c>
      <c r="S3021" s="71">
        <f t="shared" si="429"/>
        <v>0</v>
      </c>
      <c r="T3021" s="71">
        <f t="shared" si="430"/>
        <v>0</v>
      </c>
      <c r="U3021" s="71">
        <f>IF(AND(N3021=1,V3021=1),IF(COUNTIFS(AKTIVITAS!$B$2:$B$3052,B3021,AKTIVITAS!$E$2:$E$3052,H3021)&gt;0,1,0),0)</f>
        <v>0</v>
      </c>
      <c r="V3021" s="71">
        <f>IFERROR(IF(AND(H3021&gt;=INDEX(PEMAGANG!$J$3:$J$36,MATCH(B3021,PEMAGANG!$C$3:$C$36,0)),H3021&lt;=INDEX(PEMAGANG!$K$3:$K$36,MATCH(B3021,PEMAGANG!$C$3:$C$36,0))),1,0),0)</f>
        <v>1</v>
      </c>
      <c r="W3021" s="71">
        <f t="shared" si="431"/>
        <v>0</v>
      </c>
    </row>
    <row r="3022" spans="1:23" x14ac:dyDescent="0.2">
      <c r="A3022" s="71" t="s">
        <v>272</v>
      </c>
      <c r="B3022" s="71" t="s">
        <v>273</v>
      </c>
      <c r="C3022" s="71" t="s">
        <v>187</v>
      </c>
      <c r="D3022" s="71" t="s">
        <v>274</v>
      </c>
      <c r="E3022" s="71" t="s">
        <v>693</v>
      </c>
      <c r="F3022" s="71" t="s">
        <v>298</v>
      </c>
      <c r="G3022" s="88">
        <v>46185.315879629597</v>
      </c>
      <c r="H3022" s="89">
        <v>46185</v>
      </c>
      <c r="I3022" s="71" t="s">
        <v>373</v>
      </c>
      <c r="J3022" s="71">
        <v>3.9999999999999898</v>
      </c>
      <c r="K3022" s="71" t="s">
        <v>293</v>
      </c>
      <c r="L3022" s="71">
        <f t="shared" si="423"/>
        <v>6</v>
      </c>
      <c r="M3022" s="71" t="str">
        <f>IFERROR(INDEX(KALENDER!$D$3:$D$132,MATCH(H3022,KALENDER!$A$3:$A$132,0)),"Di luar periode")</f>
        <v>Hari Kerja</v>
      </c>
      <c r="N3022" s="71">
        <f t="shared" si="424"/>
        <v>1</v>
      </c>
      <c r="O3022" s="71">
        <f t="shared" si="425"/>
        <v>1</v>
      </c>
      <c r="P3022" s="71">
        <f t="shared" si="426"/>
        <v>1</v>
      </c>
      <c r="Q3022" s="71">
        <f t="shared" si="427"/>
        <v>0</v>
      </c>
      <c r="R3022" s="71">
        <f t="shared" si="428"/>
        <v>1</v>
      </c>
      <c r="S3022" s="71">
        <f t="shared" si="429"/>
        <v>3.9999999999999898</v>
      </c>
      <c r="T3022" s="71">
        <f t="shared" si="430"/>
        <v>0</v>
      </c>
      <c r="U3022" s="71">
        <f>IF(AND(N3022=1,V3022=1),IF(COUNTIFS(AKTIVITAS!$B$2:$B$3052,B3022,AKTIVITAS!$E$2:$E$3052,H3022)&gt;0,1,0),0)</f>
        <v>1</v>
      </c>
      <c r="V3022" s="71">
        <f>IFERROR(IF(AND(H3022&gt;=INDEX(PEMAGANG!$J$3:$J$36,MATCH(B3022,PEMAGANG!$C$3:$C$36,0)),H3022&lt;=INDEX(PEMAGANG!$K$3:$K$36,MATCH(B3022,PEMAGANG!$C$3:$C$36,0))),1,0),0)</f>
        <v>1</v>
      </c>
      <c r="W3022" s="71">
        <f t="shared" si="431"/>
        <v>1</v>
      </c>
    </row>
    <row r="3023" spans="1:23" x14ac:dyDescent="0.2">
      <c r="A3023" s="71" t="s">
        <v>272</v>
      </c>
      <c r="B3023" s="71" t="s">
        <v>273</v>
      </c>
      <c r="C3023" s="71" t="s">
        <v>187</v>
      </c>
      <c r="D3023" s="71" t="s">
        <v>274</v>
      </c>
      <c r="E3023" s="71" t="s">
        <v>693</v>
      </c>
      <c r="F3023" s="71" t="s">
        <v>300</v>
      </c>
      <c r="G3023" s="88">
        <v>46185.6933796296</v>
      </c>
      <c r="H3023" s="89">
        <v>46185</v>
      </c>
      <c r="I3023" s="71" t="s">
        <v>317</v>
      </c>
      <c r="J3023" s="71">
        <v>0</v>
      </c>
      <c r="K3023" s="71" t="s">
        <v>302</v>
      </c>
      <c r="L3023" s="71">
        <f t="shared" si="423"/>
        <v>6</v>
      </c>
      <c r="M3023" s="71" t="str">
        <f>IFERROR(INDEX(KALENDER!$D$3:$D$132,MATCH(H3023,KALENDER!$A$3:$A$132,0)),"Di luar periode")</f>
        <v>Hari Kerja</v>
      </c>
      <c r="N3023" s="71">
        <f t="shared" si="424"/>
        <v>0</v>
      </c>
      <c r="O3023" s="71">
        <f t="shared" si="425"/>
        <v>1</v>
      </c>
      <c r="P3023" s="71">
        <f t="shared" si="426"/>
        <v>0</v>
      </c>
      <c r="Q3023" s="71">
        <f t="shared" si="427"/>
        <v>0</v>
      </c>
      <c r="R3023" s="71">
        <f t="shared" si="428"/>
        <v>0</v>
      </c>
      <c r="S3023" s="71">
        <f t="shared" si="429"/>
        <v>0</v>
      </c>
      <c r="T3023" s="71">
        <f t="shared" si="430"/>
        <v>0</v>
      </c>
      <c r="U3023" s="71">
        <f>IF(AND(N3023=1,V3023=1),IF(COUNTIFS(AKTIVITAS!$B$2:$B$3052,B3023,AKTIVITAS!$E$2:$E$3052,H3023)&gt;0,1,0),0)</f>
        <v>0</v>
      </c>
      <c r="V3023" s="71">
        <f>IFERROR(IF(AND(H3023&gt;=INDEX(PEMAGANG!$J$3:$J$36,MATCH(B3023,PEMAGANG!$C$3:$C$36,0)),H3023&lt;=INDEX(PEMAGANG!$K$3:$K$36,MATCH(B3023,PEMAGANG!$C$3:$C$36,0))),1,0),0)</f>
        <v>1</v>
      </c>
      <c r="W3023" s="71">
        <f t="shared" si="431"/>
        <v>0</v>
      </c>
    </row>
    <row r="3024" spans="1:23" x14ac:dyDescent="0.2">
      <c r="A3024" s="71" t="s">
        <v>272</v>
      </c>
      <c r="B3024" s="71" t="s">
        <v>273</v>
      </c>
      <c r="C3024" s="71" t="s">
        <v>187</v>
      </c>
      <c r="D3024" s="71" t="s">
        <v>274</v>
      </c>
      <c r="E3024" s="71" t="s">
        <v>693</v>
      </c>
      <c r="F3024" s="71" t="s">
        <v>298</v>
      </c>
      <c r="G3024" s="88">
        <v>46188.323240740698</v>
      </c>
      <c r="H3024" s="89">
        <v>46188</v>
      </c>
      <c r="I3024" s="71" t="s">
        <v>531</v>
      </c>
      <c r="J3024" s="71">
        <v>15</v>
      </c>
      <c r="K3024" s="71" t="s">
        <v>293</v>
      </c>
      <c r="L3024" s="71">
        <f t="shared" si="423"/>
        <v>6</v>
      </c>
      <c r="M3024" s="71" t="str">
        <f>IFERROR(INDEX(KALENDER!$D$3:$D$132,MATCH(H3024,KALENDER!$A$3:$A$132,0)),"Di luar periode")</f>
        <v>Hari Kerja</v>
      </c>
      <c r="N3024" s="71">
        <f t="shared" si="424"/>
        <v>1</v>
      </c>
      <c r="O3024" s="71">
        <f t="shared" si="425"/>
        <v>1</v>
      </c>
      <c r="P3024" s="71">
        <f t="shared" si="426"/>
        <v>1</v>
      </c>
      <c r="Q3024" s="71">
        <f t="shared" si="427"/>
        <v>0</v>
      </c>
      <c r="R3024" s="71">
        <f t="shared" si="428"/>
        <v>1</v>
      </c>
      <c r="S3024" s="71">
        <f t="shared" si="429"/>
        <v>15</v>
      </c>
      <c r="T3024" s="71">
        <f t="shared" si="430"/>
        <v>0</v>
      </c>
      <c r="U3024" s="71">
        <f>IF(AND(N3024=1,V3024=1),IF(COUNTIFS(AKTIVITAS!$B$2:$B$3052,B3024,AKTIVITAS!$E$2:$E$3052,H3024)&gt;0,1,0),0)</f>
        <v>1</v>
      </c>
      <c r="V3024" s="71">
        <f>IFERROR(IF(AND(H3024&gt;=INDEX(PEMAGANG!$J$3:$J$36,MATCH(B3024,PEMAGANG!$C$3:$C$36,0)),H3024&lt;=INDEX(PEMAGANG!$K$3:$K$36,MATCH(B3024,PEMAGANG!$C$3:$C$36,0))),1,0),0)</f>
        <v>1</v>
      </c>
      <c r="W3024" s="71">
        <f t="shared" si="431"/>
        <v>1</v>
      </c>
    </row>
    <row r="3025" spans="1:23" x14ac:dyDescent="0.2">
      <c r="A3025" s="71" t="s">
        <v>272</v>
      </c>
      <c r="B3025" s="71" t="s">
        <v>273</v>
      </c>
      <c r="C3025" s="71" t="s">
        <v>187</v>
      </c>
      <c r="D3025" s="71" t="s">
        <v>274</v>
      </c>
      <c r="E3025" s="71" t="s">
        <v>693</v>
      </c>
      <c r="F3025" s="71" t="s">
        <v>300</v>
      </c>
      <c r="G3025" s="88">
        <v>46188.695601851898</v>
      </c>
      <c r="H3025" s="89">
        <v>46188</v>
      </c>
      <c r="I3025" s="71" t="s">
        <v>319</v>
      </c>
      <c r="J3025" s="71">
        <v>0</v>
      </c>
      <c r="K3025" s="71" t="s">
        <v>302</v>
      </c>
      <c r="L3025" s="71">
        <f t="shared" si="423"/>
        <v>6</v>
      </c>
      <c r="M3025" s="71" t="str">
        <f>IFERROR(INDEX(KALENDER!$D$3:$D$132,MATCH(H3025,KALENDER!$A$3:$A$132,0)),"Di luar periode")</f>
        <v>Hari Kerja</v>
      </c>
      <c r="N3025" s="71">
        <f t="shared" si="424"/>
        <v>0</v>
      </c>
      <c r="O3025" s="71">
        <f t="shared" si="425"/>
        <v>1</v>
      </c>
      <c r="P3025" s="71">
        <f t="shared" si="426"/>
        <v>0</v>
      </c>
      <c r="Q3025" s="71">
        <f t="shared" si="427"/>
        <v>0</v>
      </c>
      <c r="R3025" s="71">
        <f t="shared" si="428"/>
        <v>0</v>
      </c>
      <c r="S3025" s="71">
        <f t="shared" si="429"/>
        <v>0</v>
      </c>
      <c r="T3025" s="71">
        <f t="shared" si="430"/>
        <v>0</v>
      </c>
      <c r="U3025" s="71">
        <f>IF(AND(N3025=1,V3025=1),IF(COUNTIFS(AKTIVITAS!$B$2:$B$3052,B3025,AKTIVITAS!$E$2:$E$3052,H3025)&gt;0,1,0),0)</f>
        <v>0</v>
      </c>
      <c r="V3025" s="71">
        <f>IFERROR(IF(AND(H3025&gt;=INDEX(PEMAGANG!$J$3:$J$36,MATCH(B3025,PEMAGANG!$C$3:$C$36,0)),H3025&lt;=INDEX(PEMAGANG!$K$3:$K$36,MATCH(B3025,PEMAGANG!$C$3:$C$36,0))),1,0),0)</f>
        <v>1</v>
      </c>
      <c r="W3025" s="71">
        <f t="shared" si="431"/>
        <v>0</v>
      </c>
    </row>
    <row r="3026" spans="1:23" x14ac:dyDescent="0.2">
      <c r="A3026" s="71" t="s">
        <v>272</v>
      </c>
      <c r="B3026" s="71" t="s">
        <v>273</v>
      </c>
      <c r="C3026" s="71" t="s">
        <v>187</v>
      </c>
      <c r="D3026" s="71" t="s">
        <v>274</v>
      </c>
      <c r="E3026" s="71" t="s">
        <v>693</v>
      </c>
      <c r="F3026" s="71" t="s">
        <v>298</v>
      </c>
      <c r="G3026" s="88">
        <v>46190.573692129597</v>
      </c>
      <c r="H3026" s="89">
        <v>46190</v>
      </c>
      <c r="I3026" s="71" t="s">
        <v>694</v>
      </c>
      <c r="J3026" s="71">
        <v>376</v>
      </c>
      <c r="K3026" s="71" t="s">
        <v>293</v>
      </c>
      <c r="L3026" s="71">
        <f t="shared" si="423"/>
        <v>6</v>
      </c>
      <c r="M3026" s="71" t="str">
        <f>IFERROR(INDEX(KALENDER!$D$3:$D$132,MATCH(H3026,KALENDER!$A$3:$A$132,0)),"Di luar periode")</f>
        <v>WFH</v>
      </c>
      <c r="N3026" s="71">
        <f t="shared" si="424"/>
        <v>1</v>
      </c>
      <c r="O3026" s="71">
        <f t="shared" si="425"/>
        <v>1</v>
      </c>
      <c r="P3026" s="71">
        <f t="shared" si="426"/>
        <v>0</v>
      </c>
      <c r="Q3026" s="71">
        <f t="shared" si="427"/>
        <v>1</v>
      </c>
      <c r="R3026" s="71">
        <f t="shared" si="428"/>
        <v>1</v>
      </c>
      <c r="S3026" s="71">
        <f t="shared" si="429"/>
        <v>376</v>
      </c>
      <c r="T3026" s="71">
        <f t="shared" si="430"/>
        <v>0</v>
      </c>
      <c r="U3026" s="71">
        <f>IF(AND(N3026=1,V3026=1),IF(COUNTIFS(AKTIVITAS!$B$2:$B$3052,B3026,AKTIVITAS!$E$2:$E$3052,H3026)&gt;0,1,0),0)</f>
        <v>1</v>
      </c>
      <c r="V3026" s="71">
        <f>IFERROR(IF(AND(H3026&gt;=INDEX(PEMAGANG!$J$3:$J$36,MATCH(B3026,PEMAGANG!$C$3:$C$36,0)),H3026&lt;=INDEX(PEMAGANG!$K$3:$K$36,MATCH(B3026,PEMAGANG!$C$3:$C$36,0))),1,0),0)</f>
        <v>1</v>
      </c>
      <c r="W3026" s="71">
        <f t="shared" si="431"/>
        <v>1</v>
      </c>
    </row>
    <row r="3027" spans="1:23" x14ac:dyDescent="0.2">
      <c r="A3027" s="71" t="s">
        <v>272</v>
      </c>
      <c r="B3027" s="71" t="s">
        <v>273</v>
      </c>
      <c r="C3027" s="71" t="s">
        <v>187</v>
      </c>
      <c r="D3027" s="71" t="s">
        <v>274</v>
      </c>
      <c r="E3027" s="71" t="s">
        <v>693</v>
      </c>
      <c r="F3027" s="71" t="s">
        <v>300</v>
      </c>
      <c r="G3027" s="88">
        <v>46190.692789351902</v>
      </c>
      <c r="H3027" s="89">
        <v>46190</v>
      </c>
      <c r="I3027" s="71" t="s">
        <v>328</v>
      </c>
      <c r="J3027" s="71">
        <v>0</v>
      </c>
      <c r="K3027" s="71" t="s">
        <v>302</v>
      </c>
      <c r="L3027" s="71">
        <f t="shared" si="423"/>
        <v>6</v>
      </c>
      <c r="M3027" s="71" t="str">
        <f>IFERROR(INDEX(KALENDER!$D$3:$D$132,MATCH(H3027,KALENDER!$A$3:$A$132,0)),"Di luar periode")</f>
        <v>WFH</v>
      </c>
      <c r="N3027" s="71">
        <f t="shared" si="424"/>
        <v>0</v>
      </c>
      <c r="O3027" s="71">
        <f t="shared" si="425"/>
        <v>1</v>
      </c>
      <c r="P3027" s="71">
        <f t="shared" si="426"/>
        <v>0</v>
      </c>
      <c r="Q3027" s="71">
        <f t="shared" si="427"/>
        <v>0</v>
      </c>
      <c r="R3027" s="71">
        <f t="shared" si="428"/>
        <v>0</v>
      </c>
      <c r="S3027" s="71">
        <f t="shared" si="429"/>
        <v>0</v>
      </c>
      <c r="T3027" s="71">
        <f t="shared" si="430"/>
        <v>0</v>
      </c>
      <c r="U3027" s="71">
        <f>IF(AND(N3027=1,V3027=1),IF(COUNTIFS(AKTIVITAS!$B$2:$B$3052,B3027,AKTIVITAS!$E$2:$E$3052,H3027)&gt;0,1,0),0)</f>
        <v>0</v>
      </c>
      <c r="V3027" s="71">
        <f>IFERROR(IF(AND(H3027&gt;=INDEX(PEMAGANG!$J$3:$J$36,MATCH(B3027,PEMAGANG!$C$3:$C$36,0)),H3027&lt;=INDEX(PEMAGANG!$K$3:$K$36,MATCH(B3027,PEMAGANG!$C$3:$C$36,0))),1,0),0)</f>
        <v>1</v>
      </c>
      <c r="W3027" s="71">
        <f t="shared" si="431"/>
        <v>0</v>
      </c>
    </row>
    <row r="3028" spans="1:23" x14ac:dyDescent="0.2">
      <c r="A3028" s="71" t="s">
        <v>272</v>
      </c>
      <c r="B3028" s="71" t="s">
        <v>273</v>
      </c>
      <c r="C3028" s="71" t="s">
        <v>187</v>
      </c>
      <c r="D3028" s="71" t="s">
        <v>274</v>
      </c>
      <c r="E3028" s="71" t="s">
        <v>693</v>
      </c>
      <c r="F3028" s="71" t="s">
        <v>298</v>
      </c>
      <c r="G3028" s="88">
        <v>46191.314062500001</v>
      </c>
      <c r="H3028" s="89">
        <v>46191</v>
      </c>
      <c r="I3028" s="71" t="s">
        <v>338</v>
      </c>
      <c r="J3028" s="71">
        <v>1.99999999999999</v>
      </c>
      <c r="K3028" s="71" t="s">
        <v>293</v>
      </c>
      <c r="L3028" s="71">
        <f t="shared" si="423"/>
        <v>6</v>
      </c>
      <c r="M3028" s="71" t="str">
        <f>IFERROR(INDEX(KALENDER!$D$3:$D$132,MATCH(H3028,KALENDER!$A$3:$A$132,0)),"Di luar periode")</f>
        <v>Hari Kerja</v>
      </c>
      <c r="N3028" s="71">
        <f t="shared" si="424"/>
        <v>1</v>
      </c>
      <c r="O3028" s="71">
        <f t="shared" si="425"/>
        <v>1</v>
      </c>
      <c r="P3028" s="71">
        <f t="shared" si="426"/>
        <v>1</v>
      </c>
      <c r="Q3028" s="71">
        <f t="shared" si="427"/>
        <v>0</v>
      </c>
      <c r="R3028" s="71">
        <f t="shared" si="428"/>
        <v>1</v>
      </c>
      <c r="S3028" s="71">
        <f t="shared" si="429"/>
        <v>1.99999999999999</v>
      </c>
      <c r="T3028" s="71">
        <f t="shared" si="430"/>
        <v>0</v>
      </c>
      <c r="U3028" s="71">
        <f>IF(AND(N3028=1,V3028=1),IF(COUNTIFS(AKTIVITAS!$B$2:$B$3052,B3028,AKTIVITAS!$E$2:$E$3052,H3028)&gt;0,1,0),0)</f>
        <v>1</v>
      </c>
      <c r="V3028" s="71">
        <f>IFERROR(IF(AND(H3028&gt;=INDEX(PEMAGANG!$J$3:$J$36,MATCH(B3028,PEMAGANG!$C$3:$C$36,0)),H3028&lt;=INDEX(PEMAGANG!$K$3:$K$36,MATCH(B3028,PEMAGANG!$C$3:$C$36,0))),1,0),0)</f>
        <v>1</v>
      </c>
      <c r="W3028" s="71">
        <f t="shared" si="431"/>
        <v>1</v>
      </c>
    </row>
    <row r="3029" spans="1:23" x14ac:dyDescent="0.2">
      <c r="A3029" s="71" t="s">
        <v>272</v>
      </c>
      <c r="B3029" s="71" t="s">
        <v>273</v>
      </c>
      <c r="C3029" s="71" t="s">
        <v>187</v>
      </c>
      <c r="D3029" s="71" t="s">
        <v>274</v>
      </c>
      <c r="E3029" s="71" t="s">
        <v>693</v>
      </c>
      <c r="F3029" s="71" t="s">
        <v>300</v>
      </c>
      <c r="G3029" s="88">
        <v>46191.699884259302</v>
      </c>
      <c r="H3029" s="89">
        <v>46191</v>
      </c>
      <c r="I3029" s="71" t="s">
        <v>337</v>
      </c>
      <c r="J3029" s="71">
        <v>0</v>
      </c>
      <c r="K3029" s="71" t="s">
        <v>302</v>
      </c>
      <c r="L3029" s="71">
        <f t="shared" si="423"/>
        <v>6</v>
      </c>
      <c r="M3029" s="71" t="str">
        <f>IFERROR(INDEX(KALENDER!$D$3:$D$132,MATCH(H3029,KALENDER!$A$3:$A$132,0)),"Di luar periode")</f>
        <v>Hari Kerja</v>
      </c>
      <c r="N3029" s="71">
        <f t="shared" si="424"/>
        <v>0</v>
      </c>
      <c r="O3029" s="71">
        <f t="shared" si="425"/>
        <v>1</v>
      </c>
      <c r="P3029" s="71">
        <f t="shared" si="426"/>
        <v>0</v>
      </c>
      <c r="Q3029" s="71">
        <f t="shared" si="427"/>
        <v>0</v>
      </c>
      <c r="R3029" s="71">
        <f t="shared" si="428"/>
        <v>0</v>
      </c>
      <c r="S3029" s="71">
        <f t="shared" si="429"/>
        <v>0</v>
      </c>
      <c r="T3029" s="71">
        <f t="shared" si="430"/>
        <v>0</v>
      </c>
      <c r="U3029" s="71">
        <f>IF(AND(N3029=1,V3029=1),IF(COUNTIFS(AKTIVITAS!$B$2:$B$3052,B3029,AKTIVITAS!$E$2:$E$3052,H3029)&gt;0,1,0),0)</f>
        <v>0</v>
      </c>
      <c r="V3029" s="71">
        <f>IFERROR(IF(AND(H3029&gt;=INDEX(PEMAGANG!$J$3:$J$36,MATCH(B3029,PEMAGANG!$C$3:$C$36,0)),H3029&lt;=INDEX(PEMAGANG!$K$3:$K$36,MATCH(B3029,PEMAGANG!$C$3:$C$36,0))),1,0),0)</f>
        <v>1</v>
      </c>
      <c r="W3029" s="71">
        <f t="shared" si="431"/>
        <v>0</v>
      </c>
    </row>
    <row r="3030" spans="1:23" x14ac:dyDescent="0.2">
      <c r="A3030" s="71" t="s">
        <v>272</v>
      </c>
      <c r="B3030" s="71" t="s">
        <v>273</v>
      </c>
      <c r="C3030" s="71" t="s">
        <v>187</v>
      </c>
      <c r="D3030" s="71" t="s">
        <v>274</v>
      </c>
      <c r="E3030" s="71" t="s">
        <v>693</v>
      </c>
      <c r="F3030" s="71" t="s">
        <v>298</v>
      </c>
      <c r="G3030" s="88">
        <v>46192.308113425897</v>
      </c>
      <c r="H3030" s="89">
        <v>46192</v>
      </c>
      <c r="I3030" s="71" t="s">
        <v>311</v>
      </c>
      <c r="J3030" s="71">
        <v>-6.9999999999999796</v>
      </c>
      <c r="K3030" s="71" t="s">
        <v>302</v>
      </c>
      <c r="L3030" s="71">
        <f t="shared" si="423"/>
        <v>6</v>
      </c>
      <c r="M3030" s="71" t="str">
        <f>IFERROR(INDEX(KALENDER!$D$3:$D$132,MATCH(H3030,KALENDER!$A$3:$A$132,0)),"Di luar periode")</f>
        <v>Hari Kerja</v>
      </c>
      <c r="N3030" s="71">
        <f t="shared" si="424"/>
        <v>1</v>
      </c>
      <c r="O3030" s="71">
        <f t="shared" si="425"/>
        <v>1</v>
      </c>
      <c r="P3030" s="71">
        <f t="shared" si="426"/>
        <v>1</v>
      </c>
      <c r="Q3030" s="71">
        <f t="shared" si="427"/>
        <v>0</v>
      </c>
      <c r="R3030" s="71">
        <f t="shared" si="428"/>
        <v>0</v>
      </c>
      <c r="S3030" s="71">
        <f t="shared" si="429"/>
        <v>0</v>
      </c>
      <c r="T3030" s="71">
        <f t="shared" si="430"/>
        <v>0</v>
      </c>
      <c r="U3030" s="71">
        <f>IF(AND(N3030=1,V3030=1),IF(COUNTIFS(AKTIVITAS!$B$2:$B$3052,B3030,AKTIVITAS!$E$2:$E$3052,H3030)&gt;0,1,0),0)</f>
        <v>1</v>
      </c>
      <c r="V3030" s="71">
        <f>IFERROR(IF(AND(H3030&gt;=INDEX(PEMAGANG!$J$3:$J$36,MATCH(B3030,PEMAGANG!$C$3:$C$36,0)),H3030&lt;=INDEX(PEMAGANG!$K$3:$K$36,MATCH(B3030,PEMAGANG!$C$3:$C$36,0))),1,0),0)</f>
        <v>1</v>
      </c>
      <c r="W3030" s="71">
        <f t="shared" si="431"/>
        <v>1</v>
      </c>
    </row>
    <row r="3031" spans="1:23" x14ac:dyDescent="0.2">
      <c r="A3031" s="71" t="s">
        <v>272</v>
      </c>
      <c r="B3031" s="71" t="s">
        <v>273</v>
      </c>
      <c r="C3031" s="71" t="s">
        <v>187</v>
      </c>
      <c r="D3031" s="71" t="s">
        <v>274</v>
      </c>
      <c r="E3031" s="71" t="s">
        <v>693</v>
      </c>
      <c r="F3031" s="71" t="s">
        <v>300</v>
      </c>
      <c r="G3031" s="88">
        <v>46192.688657407401</v>
      </c>
      <c r="H3031" s="89">
        <v>46192</v>
      </c>
      <c r="I3031" s="71" t="s">
        <v>336</v>
      </c>
      <c r="J3031" s="71">
        <v>0</v>
      </c>
      <c r="K3031" s="71" t="s">
        <v>302</v>
      </c>
      <c r="L3031" s="71">
        <f t="shared" si="423"/>
        <v>6</v>
      </c>
      <c r="M3031" s="71" t="str">
        <f>IFERROR(INDEX(KALENDER!$D$3:$D$132,MATCH(H3031,KALENDER!$A$3:$A$132,0)),"Di luar periode")</f>
        <v>Hari Kerja</v>
      </c>
      <c r="N3031" s="71">
        <f t="shared" si="424"/>
        <v>0</v>
      </c>
      <c r="O3031" s="71">
        <f t="shared" si="425"/>
        <v>1</v>
      </c>
      <c r="P3031" s="71">
        <f t="shared" si="426"/>
        <v>0</v>
      </c>
      <c r="Q3031" s="71">
        <f t="shared" si="427"/>
        <v>0</v>
      </c>
      <c r="R3031" s="71">
        <f t="shared" si="428"/>
        <v>0</v>
      </c>
      <c r="S3031" s="71">
        <f t="shared" si="429"/>
        <v>0</v>
      </c>
      <c r="T3031" s="71">
        <f t="shared" si="430"/>
        <v>0</v>
      </c>
      <c r="U3031" s="71">
        <f>IF(AND(N3031=1,V3031=1),IF(COUNTIFS(AKTIVITAS!$B$2:$B$3052,B3031,AKTIVITAS!$E$2:$E$3052,H3031)&gt;0,1,0),0)</f>
        <v>0</v>
      </c>
      <c r="V3031" s="71">
        <f>IFERROR(IF(AND(H3031&gt;=INDEX(PEMAGANG!$J$3:$J$36,MATCH(B3031,PEMAGANG!$C$3:$C$36,0)),H3031&lt;=INDEX(PEMAGANG!$K$3:$K$36,MATCH(B3031,PEMAGANG!$C$3:$C$36,0))),1,0),0)</f>
        <v>1</v>
      </c>
      <c r="W3031" s="71">
        <f t="shared" si="431"/>
        <v>0</v>
      </c>
    </row>
    <row r="3032" spans="1:23" x14ac:dyDescent="0.2">
      <c r="A3032" s="71" t="s">
        <v>272</v>
      </c>
      <c r="B3032" s="71" t="s">
        <v>273</v>
      </c>
      <c r="C3032" s="71" t="s">
        <v>187</v>
      </c>
      <c r="D3032" s="71" t="s">
        <v>274</v>
      </c>
      <c r="E3032" s="71" t="s">
        <v>693</v>
      </c>
      <c r="F3032" s="71" t="s">
        <v>298</v>
      </c>
      <c r="G3032" s="88">
        <v>46195.308182870402</v>
      </c>
      <c r="H3032" s="89">
        <v>46195</v>
      </c>
      <c r="I3032" s="71" t="s">
        <v>311</v>
      </c>
      <c r="J3032" s="71">
        <v>-6.9999999999999796</v>
      </c>
      <c r="K3032" s="71" t="s">
        <v>302</v>
      </c>
      <c r="L3032" s="71">
        <f t="shared" si="423"/>
        <v>6</v>
      </c>
      <c r="M3032" s="71" t="str">
        <f>IFERROR(INDEX(KALENDER!$D$3:$D$132,MATCH(H3032,KALENDER!$A$3:$A$132,0)),"Di luar periode")</f>
        <v>Hari Kerja</v>
      </c>
      <c r="N3032" s="71">
        <f t="shared" si="424"/>
        <v>1</v>
      </c>
      <c r="O3032" s="71">
        <f t="shared" si="425"/>
        <v>1</v>
      </c>
      <c r="P3032" s="71">
        <f t="shared" si="426"/>
        <v>1</v>
      </c>
      <c r="Q3032" s="71">
        <f t="shared" si="427"/>
        <v>0</v>
      </c>
      <c r="R3032" s="71">
        <f t="shared" si="428"/>
        <v>0</v>
      </c>
      <c r="S3032" s="71">
        <f t="shared" si="429"/>
        <v>0</v>
      </c>
      <c r="T3032" s="71">
        <f t="shared" si="430"/>
        <v>0</v>
      </c>
      <c r="U3032" s="71">
        <f>IF(AND(N3032=1,V3032=1),IF(COUNTIFS(AKTIVITAS!$B$2:$B$3052,B3032,AKTIVITAS!$E$2:$E$3052,H3032)&gt;0,1,0),0)</f>
        <v>1</v>
      </c>
      <c r="V3032" s="71">
        <f>IFERROR(IF(AND(H3032&gt;=INDEX(PEMAGANG!$J$3:$J$36,MATCH(B3032,PEMAGANG!$C$3:$C$36,0)),H3032&lt;=INDEX(PEMAGANG!$K$3:$K$36,MATCH(B3032,PEMAGANG!$C$3:$C$36,0))),1,0),0)</f>
        <v>1</v>
      </c>
      <c r="W3032" s="71">
        <f t="shared" si="431"/>
        <v>1</v>
      </c>
    </row>
    <row r="3033" spans="1:23" x14ac:dyDescent="0.2">
      <c r="A3033" s="71" t="s">
        <v>272</v>
      </c>
      <c r="B3033" s="71" t="s">
        <v>273</v>
      </c>
      <c r="C3033" s="71" t="s">
        <v>187</v>
      </c>
      <c r="D3033" s="71" t="s">
        <v>274</v>
      </c>
      <c r="E3033" s="71" t="s">
        <v>693</v>
      </c>
      <c r="F3033" s="71" t="s">
        <v>300</v>
      </c>
      <c r="G3033" s="88">
        <v>46195.697569444397</v>
      </c>
      <c r="H3033" s="89">
        <v>46195</v>
      </c>
      <c r="I3033" s="71" t="s">
        <v>312</v>
      </c>
      <c r="J3033" s="71">
        <v>0</v>
      </c>
      <c r="K3033" s="71" t="s">
        <v>302</v>
      </c>
      <c r="L3033" s="71">
        <f t="shared" si="423"/>
        <v>6</v>
      </c>
      <c r="M3033" s="71" t="str">
        <f>IFERROR(INDEX(KALENDER!$D$3:$D$132,MATCH(H3033,KALENDER!$A$3:$A$132,0)),"Di luar periode")</f>
        <v>Hari Kerja</v>
      </c>
      <c r="N3033" s="71">
        <f t="shared" si="424"/>
        <v>0</v>
      </c>
      <c r="O3033" s="71">
        <f t="shared" si="425"/>
        <v>1</v>
      </c>
      <c r="P3033" s="71">
        <f t="shared" si="426"/>
        <v>0</v>
      </c>
      <c r="Q3033" s="71">
        <f t="shared" si="427"/>
        <v>0</v>
      </c>
      <c r="R3033" s="71">
        <f t="shared" si="428"/>
        <v>0</v>
      </c>
      <c r="S3033" s="71">
        <f t="shared" si="429"/>
        <v>0</v>
      </c>
      <c r="T3033" s="71">
        <f t="shared" si="430"/>
        <v>0</v>
      </c>
      <c r="U3033" s="71">
        <f>IF(AND(N3033=1,V3033=1),IF(COUNTIFS(AKTIVITAS!$B$2:$B$3052,B3033,AKTIVITAS!$E$2:$E$3052,H3033)&gt;0,1,0),0)</f>
        <v>0</v>
      </c>
      <c r="V3033" s="71">
        <f>IFERROR(IF(AND(H3033&gt;=INDEX(PEMAGANG!$J$3:$J$36,MATCH(B3033,PEMAGANG!$C$3:$C$36,0)),H3033&lt;=INDEX(PEMAGANG!$K$3:$K$36,MATCH(B3033,PEMAGANG!$C$3:$C$36,0))),1,0),0)</f>
        <v>1</v>
      </c>
      <c r="W3033" s="71">
        <f t="shared" si="431"/>
        <v>0</v>
      </c>
    </row>
    <row r="3034" spans="1:23" x14ac:dyDescent="0.2">
      <c r="A3034" s="71" t="s">
        <v>272</v>
      </c>
      <c r="B3034" s="71" t="s">
        <v>273</v>
      </c>
      <c r="C3034" s="71" t="s">
        <v>187</v>
      </c>
      <c r="D3034" s="71" t="s">
        <v>274</v>
      </c>
      <c r="E3034" s="71" t="s">
        <v>693</v>
      </c>
      <c r="F3034" s="71" t="s">
        <v>298</v>
      </c>
      <c r="G3034" s="88">
        <v>46196.313854166699</v>
      </c>
      <c r="H3034" s="89">
        <v>46196</v>
      </c>
      <c r="I3034" s="71" t="s">
        <v>392</v>
      </c>
      <c r="J3034" s="71">
        <v>0.999999999999996</v>
      </c>
      <c r="K3034" s="71" t="s">
        <v>293</v>
      </c>
      <c r="L3034" s="71">
        <f t="shared" si="423"/>
        <v>6</v>
      </c>
      <c r="M3034" s="71" t="str">
        <f>IFERROR(INDEX(KALENDER!$D$3:$D$132,MATCH(H3034,KALENDER!$A$3:$A$132,0)),"Di luar periode")</f>
        <v>Hari Kerja</v>
      </c>
      <c r="N3034" s="71">
        <f t="shared" si="424"/>
        <v>1</v>
      </c>
      <c r="O3034" s="71">
        <f t="shared" si="425"/>
        <v>1</v>
      </c>
      <c r="P3034" s="71">
        <f t="shared" si="426"/>
        <v>1</v>
      </c>
      <c r="Q3034" s="71">
        <f t="shared" si="427"/>
        <v>0</v>
      </c>
      <c r="R3034" s="71">
        <f t="shared" si="428"/>
        <v>1</v>
      </c>
      <c r="S3034" s="71">
        <f t="shared" si="429"/>
        <v>0.999999999999996</v>
      </c>
      <c r="T3034" s="71">
        <f t="shared" si="430"/>
        <v>0</v>
      </c>
      <c r="U3034" s="71">
        <f>IF(AND(N3034=1,V3034=1),IF(COUNTIFS(AKTIVITAS!$B$2:$B$3052,B3034,AKTIVITAS!$E$2:$E$3052,H3034)&gt;0,1,0),0)</f>
        <v>1</v>
      </c>
      <c r="V3034" s="71">
        <f>IFERROR(IF(AND(H3034&gt;=INDEX(PEMAGANG!$J$3:$J$36,MATCH(B3034,PEMAGANG!$C$3:$C$36,0)),H3034&lt;=INDEX(PEMAGANG!$K$3:$K$36,MATCH(B3034,PEMAGANG!$C$3:$C$36,0))),1,0),0)</f>
        <v>1</v>
      </c>
      <c r="W3034" s="71">
        <f t="shared" si="431"/>
        <v>1</v>
      </c>
    </row>
    <row r="3035" spans="1:23" x14ac:dyDescent="0.2">
      <c r="A3035" s="71" t="s">
        <v>272</v>
      </c>
      <c r="B3035" s="71" t="s">
        <v>273</v>
      </c>
      <c r="C3035" s="71" t="s">
        <v>187</v>
      </c>
      <c r="D3035" s="71" t="s">
        <v>274</v>
      </c>
      <c r="E3035" s="71" t="s">
        <v>693</v>
      </c>
      <c r="F3035" s="71" t="s">
        <v>300</v>
      </c>
      <c r="G3035" s="88">
        <v>46196.688518518502</v>
      </c>
      <c r="H3035" s="89">
        <v>46196</v>
      </c>
      <c r="I3035" s="71" t="s">
        <v>336</v>
      </c>
      <c r="J3035" s="71">
        <v>0</v>
      </c>
      <c r="K3035" s="71" t="s">
        <v>302</v>
      </c>
      <c r="L3035" s="71">
        <f t="shared" si="423"/>
        <v>6</v>
      </c>
      <c r="M3035" s="71" t="str">
        <f>IFERROR(INDEX(KALENDER!$D$3:$D$132,MATCH(H3035,KALENDER!$A$3:$A$132,0)),"Di luar periode")</f>
        <v>Hari Kerja</v>
      </c>
      <c r="N3035" s="71">
        <f t="shared" si="424"/>
        <v>0</v>
      </c>
      <c r="O3035" s="71">
        <f t="shared" si="425"/>
        <v>1</v>
      </c>
      <c r="P3035" s="71">
        <f t="shared" si="426"/>
        <v>0</v>
      </c>
      <c r="Q3035" s="71">
        <f t="shared" si="427"/>
        <v>0</v>
      </c>
      <c r="R3035" s="71">
        <f t="shared" si="428"/>
        <v>0</v>
      </c>
      <c r="S3035" s="71">
        <f t="shared" si="429"/>
        <v>0</v>
      </c>
      <c r="T3035" s="71">
        <f t="shared" si="430"/>
        <v>0</v>
      </c>
      <c r="U3035" s="71">
        <f>IF(AND(N3035=1,V3035=1),IF(COUNTIFS(AKTIVITAS!$B$2:$B$3052,B3035,AKTIVITAS!$E$2:$E$3052,H3035)&gt;0,1,0),0)</f>
        <v>0</v>
      </c>
      <c r="V3035" s="71">
        <f>IFERROR(IF(AND(H3035&gt;=INDEX(PEMAGANG!$J$3:$J$36,MATCH(B3035,PEMAGANG!$C$3:$C$36,0)),H3035&lt;=INDEX(PEMAGANG!$K$3:$K$36,MATCH(B3035,PEMAGANG!$C$3:$C$36,0))),1,0),0)</f>
        <v>1</v>
      </c>
      <c r="W3035" s="71">
        <f t="shared" si="431"/>
        <v>0</v>
      </c>
    </row>
    <row r="3036" spans="1:23" x14ac:dyDescent="0.2">
      <c r="A3036" s="71" t="s">
        <v>272</v>
      </c>
      <c r="B3036" s="71" t="s">
        <v>273</v>
      </c>
      <c r="C3036" s="71" t="s">
        <v>187</v>
      </c>
      <c r="D3036" s="71" t="s">
        <v>274</v>
      </c>
      <c r="E3036" s="71" t="s">
        <v>693</v>
      </c>
      <c r="F3036" s="71" t="s">
        <v>298</v>
      </c>
      <c r="G3036" s="88">
        <v>46197.315613425897</v>
      </c>
      <c r="H3036" s="89">
        <v>46197</v>
      </c>
      <c r="I3036" s="71" t="s">
        <v>373</v>
      </c>
      <c r="J3036" s="71">
        <v>3.9999999999999898</v>
      </c>
      <c r="K3036" s="71" t="s">
        <v>293</v>
      </c>
      <c r="L3036" s="71">
        <f t="shared" si="423"/>
        <v>6</v>
      </c>
      <c r="M3036" s="71" t="str">
        <f>IFERROR(INDEX(KALENDER!$D$3:$D$132,MATCH(H3036,KALENDER!$A$3:$A$132,0)),"Di luar periode")</f>
        <v>WFH</v>
      </c>
      <c r="N3036" s="71">
        <f t="shared" si="424"/>
        <v>1</v>
      </c>
      <c r="O3036" s="71">
        <f t="shared" si="425"/>
        <v>1</v>
      </c>
      <c r="P3036" s="71">
        <f t="shared" si="426"/>
        <v>0</v>
      </c>
      <c r="Q3036" s="71">
        <f t="shared" si="427"/>
        <v>1</v>
      </c>
      <c r="R3036" s="71">
        <f t="shared" si="428"/>
        <v>1</v>
      </c>
      <c r="S3036" s="71">
        <f t="shared" si="429"/>
        <v>3.9999999999999898</v>
      </c>
      <c r="T3036" s="71">
        <f t="shared" si="430"/>
        <v>0</v>
      </c>
      <c r="U3036" s="71">
        <f>IF(AND(N3036=1,V3036=1),IF(COUNTIFS(AKTIVITAS!$B$2:$B$3052,B3036,AKTIVITAS!$E$2:$E$3052,H3036)&gt;0,1,0),0)</f>
        <v>1</v>
      </c>
      <c r="V3036" s="71">
        <f>IFERROR(IF(AND(H3036&gt;=INDEX(PEMAGANG!$J$3:$J$36,MATCH(B3036,PEMAGANG!$C$3:$C$36,0)),H3036&lt;=INDEX(PEMAGANG!$K$3:$K$36,MATCH(B3036,PEMAGANG!$C$3:$C$36,0))),1,0),0)</f>
        <v>1</v>
      </c>
      <c r="W3036" s="71">
        <f t="shared" si="431"/>
        <v>1</v>
      </c>
    </row>
    <row r="3037" spans="1:23" x14ac:dyDescent="0.2">
      <c r="A3037" s="71" t="s">
        <v>272</v>
      </c>
      <c r="B3037" s="71" t="s">
        <v>273</v>
      </c>
      <c r="C3037" s="71" t="s">
        <v>187</v>
      </c>
      <c r="D3037" s="71" t="s">
        <v>274</v>
      </c>
      <c r="E3037" s="71" t="s">
        <v>693</v>
      </c>
      <c r="F3037" s="71" t="s">
        <v>300</v>
      </c>
      <c r="G3037" s="88">
        <v>46197.794687499998</v>
      </c>
      <c r="H3037" s="89">
        <v>46197</v>
      </c>
      <c r="I3037" s="71" t="s">
        <v>449</v>
      </c>
      <c r="J3037" s="71">
        <v>0</v>
      </c>
      <c r="K3037" s="71" t="s">
        <v>302</v>
      </c>
      <c r="L3037" s="71">
        <f t="shared" si="423"/>
        <v>6</v>
      </c>
      <c r="M3037" s="71" t="str">
        <f>IFERROR(INDEX(KALENDER!$D$3:$D$132,MATCH(H3037,KALENDER!$A$3:$A$132,0)),"Di luar periode")</f>
        <v>WFH</v>
      </c>
      <c r="N3037" s="71">
        <f t="shared" si="424"/>
        <v>0</v>
      </c>
      <c r="O3037" s="71">
        <f t="shared" si="425"/>
        <v>1</v>
      </c>
      <c r="P3037" s="71">
        <f t="shared" si="426"/>
        <v>0</v>
      </c>
      <c r="Q3037" s="71">
        <f t="shared" si="427"/>
        <v>0</v>
      </c>
      <c r="R3037" s="71">
        <f t="shared" si="428"/>
        <v>0</v>
      </c>
      <c r="S3037" s="71">
        <f t="shared" si="429"/>
        <v>0</v>
      </c>
      <c r="T3037" s="71">
        <f t="shared" si="430"/>
        <v>0</v>
      </c>
      <c r="U3037" s="71">
        <f>IF(AND(N3037=1,V3037=1),IF(COUNTIFS(AKTIVITAS!$B$2:$B$3052,B3037,AKTIVITAS!$E$2:$E$3052,H3037)&gt;0,1,0),0)</f>
        <v>0</v>
      </c>
      <c r="V3037" s="71">
        <f>IFERROR(IF(AND(H3037&gt;=INDEX(PEMAGANG!$J$3:$J$36,MATCH(B3037,PEMAGANG!$C$3:$C$36,0)),H3037&lt;=INDEX(PEMAGANG!$K$3:$K$36,MATCH(B3037,PEMAGANG!$C$3:$C$36,0))),1,0),0)</f>
        <v>1</v>
      </c>
      <c r="W3037" s="71">
        <f t="shared" si="431"/>
        <v>0</v>
      </c>
    </row>
    <row r="3038" spans="1:23" x14ac:dyDescent="0.2">
      <c r="A3038" s="71" t="s">
        <v>272</v>
      </c>
      <c r="B3038" s="71" t="s">
        <v>273</v>
      </c>
      <c r="C3038" s="71" t="s">
        <v>187</v>
      </c>
      <c r="D3038" s="71" t="s">
        <v>274</v>
      </c>
      <c r="E3038" s="71" t="s">
        <v>693</v>
      </c>
      <c r="F3038" s="71" t="s">
        <v>298</v>
      </c>
      <c r="G3038" s="88">
        <v>46198.313159722202</v>
      </c>
      <c r="H3038" s="89">
        <v>46198</v>
      </c>
      <c r="I3038" s="71" t="s">
        <v>335</v>
      </c>
      <c r="J3038" s="71">
        <v>0</v>
      </c>
      <c r="K3038" s="71" t="s">
        <v>302</v>
      </c>
      <c r="L3038" s="71">
        <f t="shared" si="423"/>
        <v>6</v>
      </c>
      <c r="M3038" s="71" t="str">
        <f>IFERROR(INDEX(KALENDER!$D$3:$D$132,MATCH(H3038,KALENDER!$A$3:$A$132,0)),"Di luar periode")</f>
        <v>Hari Kerja</v>
      </c>
      <c r="N3038" s="71">
        <f t="shared" si="424"/>
        <v>1</v>
      </c>
      <c r="O3038" s="71">
        <f t="shared" si="425"/>
        <v>1</v>
      </c>
      <c r="P3038" s="71">
        <f t="shared" si="426"/>
        <v>1</v>
      </c>
      <c r="Q3038" s="71">
        <f t="shared" si="427"/>
        <v>0</v>
      </c>
      <c r="R3038" s="71">
        <f t="shared" si="428"/>
        <v>0</v>
      </c>
      <c r="S3038" s="71">
        <f t="shared" si="429"/>
        <v>0</v>
      </c>
      <c r="T3038" s="71">
        <f t="shared" si="430"/>
        <v>0</v>
      </c>
      <c r="U3038" s="71">
        <f>IF(AND(N3038=1,V3038=1),IF(COUNTIFS(AKTIVITAS!$B$2:$B$3052,B3038,AKTIVITAS!$E$2:$E$3052,H3038)&gt;0,1,0),0)</f>
        <v>1</v>
      </c>
      <c r="V3038" s="71">
        <f>IFERROR(IF(AND(H3038&gt;=INDEX(PEMAGANG!$J$3:$J$36,MATCH(B3038,PEMAGANG!$C$3:$C$36,0)),H3038&lt;=INDEX(PEMAGANG!$K$3:$K$36,MATCH(B3038,PEMAGANG!$C$3:$C$36,0))),1,0),0)</f>
        <v>1</v>
      </c>
      <c r="W3038" s="71">
        <f t="shared" si="431"/>
        <v>1</v>
      </c>
    </row>
    <row r="3039" spans="1:23" x14ac:dyDescent="0.2">
      <c r="A3039" s="71" t="s">
        <v>272</v>
      </c>
      <c r="B3039" s="71" t="s">
        <v>273</v>
      </c>
      <c r="C3039" s="71" t="s">
        <v>187</v>
      </c>
      <c r="D3039" s="71" t="s">
        <v>274</v>
      </c>
      <c r="E3039" s="71" t="s">
        <v>693</v>
      </c>
      <c r="F3039" s="71" t="s">
        <v>300</v>
      </c>
      <c r="G3039" s="88">
        <v>46198.7043865741</v>
      </c>
      <c r="H3039" s="89">
        <v>46198</v>
      </c>
      <c r="I3039" s="71" t="s">
        <v>394</v>
      </c>
      <c r="J3039" s="71">
        <v>0</v>
      </c>
      <c r="K3039" s="71" t="s">
        <v>302</v>
      </c>
      <c r="L3039" s="71">
        <f t="shared" si="423"/>
        <v>6</v>
      </c>
      <c r="M3039" s="71" t="str">
        <f>IFERROR(INDEX(KALENDER!$D$3:$D$132,MATCH(H3039,KALENDER!$A$3:$A$132,0)),"Di luar periode")</f>
        <v>Hari Kerja</v>
      </c>
      <c r="N3039" s="71">
        <f t="shared" si="424"/>
        <v>0</v>
      </c>
      <c r="O3039" s="71">
        <f t="shared" si="425"/>
        <v>1</v>
      </c>
      <c r="P3039" s="71">
        <f t="shared" si="426"/>
        <v>0</v>
      </c>
      <c r="Q3039" s="71">
        <f t="shared" si="427"/>
        <v>0</v>
      </c>
      <c r="R3039" s="71">
        <f t="shared" si="428"/>
        <v>0</v>
      </c>
      <c r="S3039" s="71">
        <f t="shared" si="429"/>
        <v>0</v>
      </c>
      <c r="T3039" s="71">
        <f t="shared" si="430"/>
        <v>0</v>
      </c>
      <c r="U3039" s="71">
        <f>IF(AND(N3039=1,V3039=1),IF(COUNTIFS(AKTIVITAS!$B$2:$B$3052,B3039,AKTIVITAS!$E$2:$E$3052,H3039)&gt;0,1,0),0)</f>
        <v>0</v>
      </c>
      <c r="V3039" s="71">
        <f>IFERROR(IF(AND(H3039&gt;=INDEX(PEMAGANG!$J$3:$J$36,MATCH(B3039,PEMAGANG!$C$3:$C$36,0)),H3039&lt;=INDEX(PEMAGANG!$K$3:$K$36,MATCH(B3039,PEMAGANG!$C$3:$C$36,0))),1,0),0)</f>
        <v>1</v>
      </c>
      <c r="W3039" s="71">
        <f t="shared" si="431"/>
        <v>0</v>
      </c>
    </row>
    <row r="3040" spans="1:23" x14ac:dyDescent="0.2">
      <c r="A3040" s="71" t="s">
        <v>272</v>
      </c>
      <c r="B3040" s="71" t="s">
        <v>273</v>
      </c>
      <c r="C3040" s="71" t="s">
        <v>187</v>
      </c>
      <c r="D3040" s="71" t="s">
        <v>274</v>
      </c>
      <c r="E3040" s="71" t="s">
        <v>693</v>
      </c>
      <c r="F3040" s="71" t="s">
        <v>298</v>
      </c>
      <c r="G3040" s="88">
        <v>46199.2956134259</v>
      </c>
      <c r="H3040" s="89">
        <v>46199</v>
      </c>
      <c r="I3040" s="71" t="s">
        <v>355</v>
      </c>
      <c r="J3040" s="71">
        <v>-25</v>
      </c>
      <c r="K3040" s="71" t="s">
        <v>302</v>
      </c>
      <c r="L3040" s="71">
        <f t="shared" si="423"/>
        <v>6</v>
      </c>
      <c r="M3040" s="71" t="str">
        <f>IFERROR(INDEX(KALENDER!$D$3:$D$132,MATCH(H3040,KALENDER!$A$3:$A$132,0)),"Di luar periode")</f>
        <v>Hari Kerja</v>
      </c>
      <c r="N3040" s="71">
        <f t="shared" si="424"/>
        <v>1</v>
      </c>
      <c r="O3040" s="71">
        <f t="shared" si="425"/>
        <v>1</v>
      </c>
      <c r="P3040" s="71">
        <f t="shared" si="426"/>
        <v>1</v>
      </c>
      <c r="Q3040" s="71">
        <f t="shared" si="427"/>
        <v>0</v>
      </c>
      <c r="R3040" s="71">
        <f t="shared" si="428"/>
        <v>0</v>
      </c>
      <c r="S3040" s="71">
        <f t="shared" si="429"/>
        <v>0</v>
      </c>
      <c r="T3040" s="71">
        <f t="shared" si="430"/>
        <v>0</v>
      </c>
      <c r="U3040" s="71">
        <f>IF(AND(N3040=1,V3040=1),IF(COUNTIFS(AKTIVITAS!$B$2:$B$3052,B3040,AKTIVITAS!$E$2:$E$3052,H3040)&gt;0,1,0),0)</f>
        <v>1</v>
      </c>
      <c r="V3040" s="71">
        <f>IFERROR(IF(AND(H3040&gt;=INDEX(PEMAGANG!$J$3:$J$36,MATCH(B3040,PEMAGANG!$C$3:$C$36,0)),H3040&lt;=INDEX(PEMAGANG!$K$3:$K$36,MATCH(B3040,PEMAGANG!$C$3:$C$36,0))),1,0),0)</f>
        <v>1</v>
      </c>
      <c r="W3040" s="71">
        <f t="shared" si="431"/>
        <v>1</v>
      </c>
    </row>
    <row r="3041" spans="1:23" x14ac:dyDescent="0.2">
      <c r="A3041" s="71" t="s">
        <v>272</v>
      </c>
      <c r="B3041" s="71" t="s">
        <v>273</v>
      </c>
      <c r="C3041" s="71" t="s">
        <v>187</v>
      </c>
      <c r="D3041" s="71" t="s">
        <v>274</v>
      </c>
      <c r="E3041" s="71" t="s">
        <v>693</v>
      </c>
      <c r="F3041" s="71" t="s">
        <v>300</v>
      </c>
      <c r="G3041" s="88">
        <v>46199.696423611102</v>
      </c>
      <c r="H3041" s="89">
        <v>46199</v>
      </c>
      <c r="I3041" s="71" t="s">
        <v>320</v>
      </c>
      <c r="J3041" s="71">
        <v>0</v>
      </c>
      <c r="K3041" s="71" t="s">
        <v>302</v>
      </c>
      <c r="L3041" s="71">
        <f t="shared" si="423"/>
        <v>6</v>
      </c>
      <c r="M3041" s="71" t="str">
        <f>IFERROR(INDEX(KALENDER!$D$3:$D$132,MATCH(H3041,KALENDER!$A$3:$A$132,0)),"Di luar periode")</f>
        <v>Hari Kerja</v>
      </c>
      <c r="N3041" s="71">
        <f t="shared" si="424"/>
        <v>0</v>
      </c>
      <c r="O3041" s="71">
        <f t="shared" si="425"/>
        <v>1</v>
      </c>
      <c r="P3041" s="71">
        <f t="shared" si="426"/>
        <v>0</v>
      </c>
      <c r="Q3041" s="71">
        <f t="shared" si="427"/>
        <v>0</v>
      </c>
      <c r="R3041" s="71">
        <f t="shared" si="428"/>
        <v>0</v>
      </c>
      <c r="S3041" s="71">
        <f t="shared" si="429"/>
        <v>0</v>
      </c>
      <c r="T3041" s="71">
        <f t="shared" si="430"/>
        <v>0</v>
      </c>
      <c r="U3041" s="71">
        <f>IF(AND(N3041=1,V3041=1),IF(COUNTIFS(AKTIVITAS!$B$2:$B$3052,B3041,AKTIVITAS!$E$2:$E$3052,H3041)&gt;0,1,0),0)</f>
        <v>0</v>
      </c>
      <c r="V3041" s="71">
        <f>IFERROR(IF(AND(H3041&gt;=INDEX(PEMAGANG!$J$3:$J$36,MATCH(B3041,PEMAGANG!$C$3:$C$36,0)),H3041&lt;=INDEX(PEMAGANG!$K$3:$K$36,MATCH(B3041,PEMAGANG!$C$3:$C$36,0))),1,0),0)</f>
        <v>1</v>
      </c>
      <c r="W3041" s="71">
        <f t="shared" si="431"/>
        <v>0</v>
      </c>
    </row>
    <row r="3042" spans="1:23" x14ac:dyDescent="0.2">
      <c r="A3042" s="71" t="s">
        <v>272</v>
      </c>
      <c r="B3042" s="71" t="s">
        <v>273</v>
      </c>
      <c r="C3042" s="71" t="s">
        <v>187</v>
      </c>
      <c r="D3042" s="71" t="s">
        <v>274</v>
      </c>
      <c r="E3042" s="71" t="s">
        <v>693</v>
      </c>
      <c r="F3042" s="71" t="s">
        <v>298</v>
      </c>
      <c r="G3042" s="88">
        <v>46202.308796296304</v>
      </c>
      <c r="H3042" s="89">
        <v>46202</v>
      </c>
      <c r="I3042" s="71" t="s">
        <v>303</v>
      </c>
      <c r="J3042" s="71">
        <v>-5.9999999999999796</v>
      </c>
      <c r="K3042" s="71" t="s">
        <v>302</v>
      </c>
      <c r="L3042" s="71">
        <f t="shared" si="423"/>
        <v>6</v>
      </c>
      <c r="M3042" s="71" t="str">
        <f>IFERROR(INDEX(KALENDER!$D$3:$D$132,MATCH(H3042,KALENDER!$A$3:$A$132,0)),"Di luar periode")</f>
        <v>Hari Kerja</v>
      </c>
      <c r="N3042" s="71">
        <f t="shared" si="424"/>
        <v>1</v>
      </c>
      <c r="O3042" s="71">
        <f t="shared" si="425"/>
        <v>1</v>
      </c>
      <c r="P3042" s="71">
        <f t="shared" si="426"/>
        <v>1</v>
      </c>
      <c r="Q3042" s="71">
        <f t="shared" si="427"/>
        <v>0</v>
      </c>
      <c r="R3042" s="71">
        <f t="shared" si="428"/>
        <v>0</v>
      </c>
      <c r="S3042" s="71">
        <f t="shared" si="429"/>
        <v>0</v>
      </c>
      <c r="T3042" s="71">
        <f t="shared" si="430"/>
        <v>0</v>
      </c>
      <c r="U3042" s="71">
        <f>IF(AND(N3042=1,V3042=1),IF(COUNTIFS(AKTIVITAS!$B$2:$B$3052,B3042,AKTIVITAS!$E$2:$E$3052,H3042)&gt;0,1,0),0)</f>
        <v>1</v>
      </c>
      <c r="V3042" s="71">
        <f>IFERROR(IF(AND(H3042&gt;=INDEX(PEMAGANG!$J$3:$J$36,MATCH(B3042,PEMAGANG!$C$3:$C$36,0)),H3042&lt;=INDEX(PEMAGANG!$K$3:$K$36,MATCH(B3042,PEMAGANG!$C$3:$C$36,0))),1,0),0)</f>
        <v>1</v>
      </c>
      <c r="W3042" s="71">
        <f t="shared" si="431"/>
        <v>1</v>
      </c>
    </row>
    <row r="3043" spans="1:23" x14ac:dyDescent="0.2">
      <c r="A3043" s="71" t="s">
        <v>272</v>
      </c>
      <c r="B3043" s="71" t="s">
        <v>273</v>
      </c>
      <c r="C3043" s="71" t="s">
        <v>187</v>
      </c>
      <c r="D3043" s="71" t="s">
        <v>274</v>
      </c>
      <c r="E3043" s="71" t="s">
        <v>693</v>
      </c>
      <c r="F3043" s="71" t="s">
        <v>300</v>
      </c>
      <c r="G3043" s="88">
        <v>46202.708726851903</v>
      </c>
      <c r="H3043" s="89">
        <v>46202</v>
      </c>
      <c r="I3043" s="71" t="s">
        <v>350</v>
      </c>
      <c r="J3043" s="71">
        <v>0</v>
      </c>
      <c r="K3043" s="71" t="s">
        <v>302</v>
      </c>
      <c r="L3043" s="71">
        <f t="shared" si="423"/>
        <v>6</v>
      </c>
      <c r="M3043" s="71" t="str">
        <f>IFERROR(INDEX(KALENDER!$D$3:$D$132,MATCH(H3043,KALENDER!$A$3:$A$132,0)),"Di luar periode")</f>
        <v>Hari Kerja</v>
      </c>
      <c r="N3043" s="71">
        <f t="shared" si="424"/>
        <v>0</v>
      </c>
      <c r="O3043" s="71">
        <f t="shared" si="425"/>
        <v>1</v>
      </c>
      <c r="P3043" s="71">
        <f t="shared" si="426"/>
        <v>0</v>
      </c>
      <c r="Q3043" s="71">
        <f t="shared" si="427"/>
        <v>0</v>
      </c>
      <c r="R3043" s="71">
        <f t="shared" si="428"/>
        <v>0</v>
      </c>
      <c r="S3043" s="71">
        <f t="shared" si="429"/>
        <v>0</v>
      </c>
      <c r="T3043" s="71">
        <f t="shared" si="430"/>
        <v>0</v>
      </c>
      <c r="U3043" s="71">
        <f>IF(AND(N3043=1,V3043=1),IF(COUNTIFS(AKTIVITAS!$B$2:$B$3052,B3043,AKTIVITAS!$E$2:$E$3052,H3043)&gt;0,1,0),0)</f>
        <v>0</v>
      </c>
      <c r="V3043" s="71">
        <f>IFERROR(IF(AND(H3043&gt;=INDEX(PEMAGANG!$J$3:$J$36,MATCH(B3043,PEMAGANG!$C$3:$C$36,0)),H3043&lt;=INDEX(PEMAGANG!$K$3:$K$36,MATCH(B3043,PEMAGANG!$C$3:$C$36,0))),1,0),0)</f>
        <v>1</v>
      </c>
      <c r="W3043" s="71">
        <f t="shared" si="431"/>
        <v>0</v>
      </c>
    </row>
    <row r="3044" spans="1:23" x14ac:dyDescent="0.2">
      <c r="A3044" s="71" t="s">
        <v>272</v>
      </c>
      <c r="B3044" s="71" t="s">
        <v>273</v>
      </c>
      <c r="C3044" s="71" t="s">
        <v>187</v>
      </c>
      <c r="D3044" s="71" t="s">
        <v>274</v>
      </c>
      <c r="E3044" s="71" t="s">
        <v>693</v>
      </c>
      <c r="F3044" s="71" t="s">
        <v>298</v>
      </c>
      <c r="G3044" s="88">
        <v>46203.308298611097</v>
      </c>
      <c r="H3044" s="89">
        <v>46203</v>
      </c>
      <c r="I3044" s="71" t="s">
        <v>311</v>
      </c>
      <c r="J3044" s="71">
        <v>-6.9999999999999796</v>
      </c>
      <c r="K3044" s="71" t="s">
        <v>302</v>
      </c>
      <c r="L3044" s="71">
        <f t="shared" si="423"/>
        <v>6</v>
      </c>
      <c r="M3044" s="71" t="str">
        <f>IFERROR(INDEX(KALENDER!$D$3:$D$132,MATCH(H3044,KALENDER!$A$3:$A$132,0)),"Di luar periode")</f>
        <v>Hari Kerja</v>
      </c>
      <c r="N3044" s="71">
        <f t="shared" si="424"/>
        <v>1</v>
      </c>
      <c r="O3044" s="71">
        <f t="shared" si="425"/>
        <v>1</v>
      </c>
      <c r="P3044" s="71">
        <f t="shared" si="426"/>
        <v>1</v>
      </c>
      <c r="Q3044" s="71">
        <f t="shared" si="427"/>
        <v>0</v>
      </c>
      <c r="R3044" s="71">
        <f t="shared" si="428"/>
        <v>0</v>
      </c>
      <c r="S3044" s="71">
        <f t="shared" si="429"/>
        <v>0</v>
      </c>
      <c r="T3044" s="71">
        <f t="shared" si="430"/>
        <v>1</v>
      </c>
      <c r="U3044" s="71">
        <f>IF(AND(N3044=1,V3044=1),IF(COUNTIFS(AKTIVITAS!$B$2:$B$3052,B3044,AKTIVITAS!$E$2:$E$3052,H3044)&gt;0,1,0),0)</f>
        <v>0</v>
      </c>
      <c r="V3044" s="71">
        <f>IFERROR(IF(AND(H3044&gt;=INDEX(PEMAGANG!$J$3:$J$36,MATCH(B3044,PEMAGANG!$C$3:$C$36,0)),H3044&lt;=INDEX(PEMAGANG!$K$3:$K$36,MATCH(B3044,PEMAGANG!$C$3:$C$36,0))),1,0),0)</f>
        <v>1</v>
      </c>
      <c r="W3044" s="71">
        <f t="shared" si="431"/>
        <v>1</v>
      </c>
    </row>
    <row r="3045" spans="1:23" x14ac:dyDescent="0.2">
      <c r="A3045" s="71" t="s">
        <v>272</v>
      </c>
      <c r="B3045" s="71" t="s">
        <v>273</v>
      </c>
      <c r="C3045" s="71" t="s">
        <v>187</v>
      </c>
      <c r="D3045" s="71" t="s">
        <v>274</v>
      </c>
      <c r="E3045" s="71" t="s">
        <v>693</v>
      </c>
      <c r="F3045" s="71" t="s">
        <v>298</v>
      </c>
      <c r="G3045" s="88">
        <v>46204.324699074103</v>
      </c>
      <c r="H3045" s="89">
        <v>46204</v>
      </c>
      <c r="I3045" s="71" t="s">
        <v>695</v>
      </c>
      <c r="J3045" s="71">
        <v>17</v>
      </c>
      <c r="K3045" s="71" t="s">
        <v>293</v>
      </c>
      <c r="L3045" s="71">
        <f t="shared" si="423"/>
        <v>7</v>
      </c>
      <c r="M3045" s="71" t="str">
        <f>IFERROR(INDEX(KALENDER!$D$3:$D$132,MATCH(H3045,KALENDER!$A$3:$A$132,0)),"Di luar periode")</f>
        <v>WFH</v>
      </c>
      <c r="N3045" s="71">
        <f t="shared" si="424"/>
        <v>1</v>
      </c>
      <c r="O3045" s="71">
        <f t="shared" si="425"/>
        <v>1</v>
      </c>
      <c r="P3045" s="71">
        <f t="shared" si="426"/>
        <v>0</v>
      </c>
      <c r="Q3045" s="71">
        <f t="shared" si="427"/>
        <v>1</v>
      </c>
      <c r="R3045" s="71">
        <f t="shared" si="428"/>
        <v>1</v>
      </c>
      <c r="S3045" s="71">
        <f t="shared" si="429"/>
        <v>17</v>
      </c>
      <c r="T3045" s="71">
        <f t="shared" si="430"/>
        <v>0</v>
      </c>
      <c r="U3045" s="71">
        <f>IF(AND(N3045=1,V3045=1),IF(COUNTIFS(AKTIVITAS!$B$2:$B$3052,B3045,AKTIVITAS!$E$2:$E$3052,H3045)&gt;0,1,0),0)</f>
        <v>1</v>
      </c>
      <c r="V3045" s="71">
        <f>IFERROR(IF(AND(H3045&gt;=INDEX(PEMAGANG!$J$3:$J$36,MATCH(B3045,PEMAGANG!$C$3:$C$36,0)),H3045&lt;=INDEX(PEMAGANG!$K$3:$K$36,MATCH(B3045,PEMAGANG!$C$3:$C$36,0))),1,0),0)</f>
        <v>1</v>
      </c>
      <c r="W3045" s="71">
        <f t="shared" si="431"/>
        <v>1</v>
      </c>
    </row>
    <row r="3046" spans="1:23" x14ac:dyDescent="0.2">
      <c r="A3046" s="71" t="s">
        <v>272</v>
      </c>
      <c r="B3046" s="71" t="s">
        <v>273</v>
      </c>
      <c r="C3046" s="71" t="s">
        <v>187</v>
      </c>
      <c r="D3046" s="71" t="s">
        <v>274</v>
      </c>
      <c r="E3046" s="71" t="s">
        <v>693</v>
      </c>
      <c r="F3046" s="71" t="s">
        <v>300</v>
      </c>
      <c r="G3046" s="88">
        <v>46204.719409722202</v>
      </c>
      <c r="H3046" s="89">
        <v>46204</v>
      </c>
      <c r="I3046" s="71" t="s">
        <v>399</v>
      </c>
      <c r="J3046" s="71">
        <v>0</v>
      </c>
      <c r="K3046" s="71" t="s">
        <v>302</v>
      </c>
      <c r="L3046" s="71">
        <f t="shared" si="423"/>
        <v>7</v>
      </c>
      <c r="M3046" s="71" t="str">
        <f>IFERROR(INDEX(KALENDER!$D$3:$D$132,MATCH(H3046,KALENDER!$A$3:$A$132,0)),"Di luar periode")</f>
        <v>WFH</v>
      </c>
      <c r="N3046" s="71">
        <f t="shared" si="424"/>
        <v>0</v>
      </c>
      <c r="O3046" s="71">
        <f t="shared" si="425"/>
        <v>1</v>
      </c>
      <c r="P3046" s="71">
        <f t="shared" si="426"/>
        <v>0</v>
      </c>
      <c r="Q3046" s="71">
        <f t="shared" si="427"/>
        <v>0</v>
      </c>
      <c r="R3046" s="71">
        <f t="shared" si="428"/>
        <v>0</v>
      </c>
      <c r="S3046" s="71">
        <f t="shared" si="429"/>
        <v>0</v>
      </c>
      <c r="T3046" s="71">
        <f t="shared" si="430"/>
        <v>0</v>
      </c>
      <c r="U3046" s="71">
        <f>IF(AND(N3046=1,V3046=1),IF(COUNTIFS(AKTIVITAS!$B$2:$B$3052,B3046,AKTIVITAS!$E$2:$E$3052,H3046)&gt;0,1,0),0)</f>
        <v>0</v>
      </c>
      <c r="V3046" s="71">
        <f>IFERROR(IF(AND(H3046&gt;=INDEX(PEMAGANG!$J$3:$J$36,MATCH(B3046,PEMAGANG!$C$3:$C$36,0)),H3046&lt;=INDEX(PEMAGANG!$K$3:$K$36,MATCH(B3046,PEMAGANG!$C$3:$C$36,0))),1,0),0)</f>
        <v>1</v>
      </c>
      <c r="W3046" s="71">
        <f t="shared" si="431"/>
        <v>0</v>
      </c>
    </row>
    <row r="3047" spans="1:23" x14ac:dyDescent="0.2">
      <c r="A3047" s="71" t="s">
        <v>272</v>
      </c>
      <c r="B3047" s="71" t="s">
        <v>273</v>
      </c>
      <c r="C3047" s="71" t="s">
        <v>187</v>
      </c>
      <c r="D3047" s="71" t="s">
        <v>274</v>
      </c>
      <c r="E3047" s="71" t="s">
        <v>693</v>
      </c>
      <c r="F3047" s="71" t="s">
        <v>298</v>
      </c>
      <c r="G3047" s="88">
        <v>46205.311296296299</v>
      </c>
      <c r="H3047" s="89">
        <v>46205</v>
      </c>
      <c r="I3047" s="71" t="s">
        <v>377</v>
      </c>
      <c r="J3047" s="71">
        <v>-1.99999999999999</v>
      </c>
      <c r="K3047" s="71" t="s">
        <v>302</v>
      </c>
      <c r="L3047" s="71">
        <f t="shared" si="423"/>
        <v>7</v>
      </c>
      <c r="M3047" s="71" t="str">
        <f>IFERROR(INDEX(KALENDER!$D$3:$D$132,MATCH(H3047,KALENDER!$A$3:$A$132,0)),"Di luar periode")</f>
        <v>Hari Kerja</v>
      </c>
      <c r="N3047" s="71">
        <f t="shared" si="424"/>
        <v>1</v>
      </c>
      <c r="O3047" s="71">
        <f t="shared" si="425"/>
        <v>1</v>
      </c>
      <c r="P3047" s="71">
        <f t="shared" si="426"/>
        <v>1</v>
      </c>
      <c r="Q3047" s="71">
        <f t="shared" si="427"/>
        <v>0</v>
      </c>
      <c r="R3047" s="71">
        <f t="shared" si="428"/>
        <v>0</v>
      </c>
      <c r="S3047" s="71">
        <f t="shared" si="429"/>
        <v>0</v>
      </c>
      <c r="T3047" s="71">
        <f t="shared" si="430"/>
        <v>0</v>
      </c>
      <c r="U3047" s="71">
        <f>IF(AND(N3047=1,V3047=1),IF(COUNTIFS(AKTIVITAS!$B$2:$B$3052,B3047,AKTIVITAS!$E$2:$E$3052,H3047)&gt;0,1,0),0)</f>
        <v>1</v>
      </c>
      <c r="V3047" s="71">
        <f>IFERROR(IF(AND(H3047&gt;=INDEX(PEMAGANG!$J$3:$J$36,MATCH(B3047,PEMAGANG!$C$3:$C$36,0)),H3047&lt;=INDEX(PEMAGANG!$K$3:$K$36,MATCH(B3047,PEMAGANG!$C$3:$C$36,0))),1,0),0)</f>
        <v>1</v>
      </c>
      <c r="W3047" s="71">
        <f t="shared" si="431"/>
        <v>1</v>
      </c>
    </row>
    <row r="3048" spans="1:23" x14ac:dyDescent="0.2">
      <c r="A3048" s="71" t="s">
        <v>272</v>
      </c>
      <c r="B3048" s="71" t="s">
        <v>273</v>
      </c>
      <c r="C3048" s="71" t="s">
        <v>187</v>
      </c>
      <c r="D3048" s="71" t="s">
        <v>274</v>
      </c>
      <c r="E3048" s="71" t="s">
        <v>693</v>
      </c>
      <c r="F3048" s="71" t="s">
        <v>300</v>
      </c>
      <c r="G3048" s="88">
        <v>46205.695416666698</v>
      </c>
      <c r="H3048" s="89">
        <v>46205</v>
      </c>
      <c r="I3048" s="71" t="s">
        <v>319</v>
      </c>
      <c r="J3048" s="71">
        <v>0</v>
      </c>
      <c r="K3048" s="71" t="s">
        <v>302</v>
      </c>
      <c r="L3048" s="71">
        <f t="shared" si="423"/>
        <v>7</v>
      </c>
      <c r="M3048" s="71" t="str">
        <f>IFERROR(INDEX(KALENDER!$D$3:$D$132,MATCH(H3048,KALENDER!$A$3:$A$132,0)),"Di luar periode")</f>
        <v>Hari Kerja</v>
      </c>
      <c r="N3048" s="71">
        <f t="shared" si="424"/>
        <v>0</v>
      </c>
      <c r="O3048" s="71">
        <f t="shared" si="425"/>
        <v>1</v>
      </c>
      <c r="P3048" s="71">
        <f t="shared" si="426"/>
        <v>0</v>
      </c>
      <c r="Q3048" s="71">
        <f t="shared" si="427"/>
        <v>0</v>
      </c>
      <c r="R3048" s="71">
        <f t="shared" si="428"/>
        <v>0</v>
      </c>
      <c r="S3048" s="71">
        <f t="shared" si="429"/>
        <v>0</v>
      </c>
      <c r="T3048" s="71">
        <f t="shared" si="430"/>
        <v>0</v>
      </c>
      <c r="U3048" s="71">
        <f>IF(AND(N3048=1,V3048=1),IF(COUNTIFS(AKTIVITAS!$B$2:$B$3052,B3048,AKTIVITAS!$E$2:$E$3052,H3048)&gt;0,1,0),0)</f>
        <v>0</v>
      </c>
      <c r="V3048" s="71">
        <f>IFERROR(IF(AND(H3048&gt;=INDEX(PEMAGANG!$J$3:$J$36,MATCH(B3048,PEMAGANG!$C$3:$C$36,0)),H3048&lt;=INDEX(PEMAGANG!$K$3:$K$36,MATCH(B3048,PEMAGANG!$C$3:$C$36,0))),1,0),0)</f>
        <v>1</v>
      </c>
      <c r="W3048" s="71">
        <f t="shared" si="431"/>
        <v>0</v>
      </c>
    </row>
    <row r="3049" spans="1:23" x14ac:dyDescent="0.2">
      <c r="A3049" s="71" t="s">
        <v>272</v>
      </c>
      <c r="B3049" s="71" t="s">
        <v>273</v>
      </c>
      <c r="C3049" s="71" t="s">
        <v>187</v>
      </c>
      <c r="D3049" s="71" t="s">
        <v>274</v>
      </c>
      <c r="E3049" s="71" t="s">
        <v>693</v>
      </c>
      <c r="F3049" s="71" t="s">
        <v>298</v>
      </c>
      <c r="G3049" s="88">
        <v>46206.311157407399</v>
      </c>
      <c r="H3049" s="89">
        <v>46206</v>
      </c>
      <c r="I3049" s="71" t="s">
        <v>377</v>
      </c>
      <c r="J3049" s="71">
        <v>-1.99999999999999</v>
      </c>
      <c r="K3049" s="71" t="s">
        <v>302</v>
      </c>
      <c r="L3049" s="71">
        <f t="shared" si="423"/>
        <v>7</v>
      </c>
      <c r="M3049" s="71" t="str">
        <f>IFERROR(INDEX(KALENDER!$D$3:$D$132,MATCH(H3049,KALENDER!$A$3:$A$132,0)),"Di luar periode")</f>
        <v>Hari Kerja</v>
      </c>
      <c r="N3049" s="71">
        <f t="shared" si="424"/>
        <v>1</v>
      </c>
      <c r="O3049" s="71">
        <f t="shared" si="425"/>
        <v>1</v>
      </c>
      <c r="P3049" s="71">
        <f t="shared" si="426"/>
        <v>1</v>
      </c>
      <c r="Q3049" s="71">
        <f t="shared" si="427"/>
        <v>0</v>
      </c>
      <c r="R3049" s="71">
        <f t="shared" si="428"/>
        <v>0</v>
      </c>
      <c r="S3049" s="71">
        <f t="shared" si="429"/>
        <v>0</v>
      </c>
      <c r="T3049" s="71">
        <f t="shared" si="430"/>
        <v>0</v>
      </c>
      <c r="U3049" s="71">
        <f>IF(AND(N3049=1,V3049=1),IF(COUNTIFS(AKTIVITAS!$B$2:$B$3052,B3049,AKTIVITAS!$E$2:$E$3052,H3049)&gt;0,1,0),0)</f>
        <v>1</v>
      </c>
      <c r="V3049" s="71">
        <f>IFERROR(IF(AND(H3049&gt;=INDEX(PEMAGANG!$J$3:$J$36,MATCH(B3049,PEMAGANG!$C$3:$C$36,0)),H3049&lt;=INDEX(PEMAGANG!$K$3:$K$36,MATCH(B3049,PEMAGANG!$C$3:$C$36,0))),1,0),0)</f>
        <v>1</v>
      </c>
      <c r="W3049" s="71">
        <f t="shared" si="431"/>
        <v>1</v>
      </c>
    </row>
    <row r="3050" spans="1:23" x14ac:dyDescent="0.2">
      <c r="A3050" s="71" t="s">
        <v>272</v>
      </c>
      <c r="B3050" s="71" t="s">
        <v>273</v>
      </c>
      <c r="C3050" s="71" t="s">
        <v>187</v>
      </c>
      <c r="D3050" s="71" t="s">
        <v>274</v>
      </c>
      <c r="E3050" s="71" t="s">
        <v>693</v>
      </c>
      <c r="F3050" s="71" t="s">
        <v>300</v>
      </c>
      <c r="G3050" s="88">
        <v>46206.697500000002</v>
      </c>
      <c r="H3050" s="89">
        <v>46206</v>
      </c>
      <c r="I3050" s="71" t="s">
        <v>312</v>
      </c>
      <c r="J3050" s="71">
        <v>0</v>
      </c>
      <c r="K3050" s="71" t="s">
        <v>302</v>
      </c>
      <c r="L3050" s="71">
        <f t="shared" si="423"/>
        <v>7</v>
      </c>
      <c r="M3050" s="71" t="str">
        <f>IFERROR(INDEX(KALENDER!$D$3:$D$132,MATCH(H3050,KALENDER!$A$3:$A$132,0)),"Di luar periode")</f>
        <v>Hari Kerja</v>
      </c>
      <c r="N3050" s="71">
        <f t="shared" si="424"/>
        <v>0</v>
      </c>
      <c r="O3050" s="71">
        <f t="shared" si="425"/>
        <v>1</v>
      </c>
      <c r="P3050" s="71">
        <f t="shared" si="426"/>
        <v>0</v>
      </c>
      <c r="Q3050" s="71">
        <f t="shared" si="427"/>
        <v>0</v>
      </c>
      <c r="R3050" s="71">
        <f t="shared" si="428"/>
        <v>0</v>
      </c>
      <c r="S3050" s="71">
        <f t="shared" si="429"/>
        <v>0</v>
      </c>
      <c r="T3050" s="71">
        <f t="shared" si="430"/>
        <v>0</v>
      </c>
      <c r="U3050" s="71">
        <f>IF(AND(N3050=1,V3050=1),IF(COUNTIFS(AKTIVITAS!$B$2:$B$3052,B3050,AKTIVITAS!$E$2:$E$3052,H3050)&gt;0,1,0),0)</f>
        <v>0</v>
      </c>
      <c r="V3050" s="71">
        <f>IFERROR(IF(AND(H3050&gt;=INDEX(PEMAGANG!$J$3:$J$36,MATCH(B3050,PEMAGANG!$C$3:$C$36,0)),H3050&lt;=INDEX(PEMAGANG!$K$3:$K$36,MATCH(B3050,PEMAGANG!$C$3:$C$36,0))),1,0),0)</f>
        <v>1</v>
      </c>
      <c r="W3050" s="71">
        <f t="shared" si="431"/>
        <v>0</v>
      </c>
    </row>
    <row r="3051" spans="1:23" x14ac:dyDescent="0.2">
      <c r="A3051" s="71" t="s">
        <v>272</v>
      </c>
      <c r="B3051" s="71" t="s">
        <v>273</v>
      </c>
      <c r="C3051" s="71" t="s">
        <v>187</v>
      </c>
      <c r="D3051" s="71" t="s">
        <v>274</v>
      </c>
      <c r="E3051" s="71" t="s">
        <v>693</v>
      </c>
      <c r="F3051" s="71" t="s">
        <v>298</v>
      </c>
      <c r="G3051" s="88">
        <v>46209.309270833299</v>
      </c>
      <c r="H3051" s="89">
        <v>46209</v>
      </c>
      <c r="I3051" s="71" t="s">
        <v>307</v>
      </c>
      <c r="J3051" s="71">
        <v>-4.9999999999999796</v>
      </c>
      <c r="K3051" s="71" t="s">
        <v>302</v>
      </c>
      <c r="L3051" s="71">
        <f t="shared" si="423"/>
        <v>7</v>
      </c>
      <c r="M3051" s="71" t="str">
        <f>IFERROR(INDEX(KALENDER!$D$3:$D$132,MATCH(H3051,KALENDER!$A$3:$A$132,0)),"Di luar periode")</f>
        <v>Hari Kerja</v>
      </c>
      <c r="N3051" s="71">
        <f t="shared" si="424"/>
        <v>1</v>
      </c>
      <c r="O3051" s="71">
        <f t="shared" si="425"/>
        <v>1</v>
      </c>
      <c r="P3051" s="71">
        <f t="shared" si="426"/>
        <v>1</v>
      </c>
      <c r="Q3051" s="71">
        <f t="shared" si="427"/>
        <v>0</v>
      </c>
      <c r="R3051" s="71">
        <f t="shared" si="428"/>
        <v>0</v>
      </c>
      <c r="S3051" s="71">
        <f t="shared" si="429"/>
        <v>0</v>
      </c>
      <c r="T3051" s="71">
        <f t="shared" si="430"/>
        <v>0</v>
      </c>
      <c r="U3051" s="71">
        <f>IF(AND(N3051=1,V3051=1),IF(COUNTIFS(AKTIVITAS!$B$2:$B$3052,B3051,AKTIVITAS!$E$2:$E$3052,H3051)&gt;0,1,0),0)</f>
        <v>1</v>
      </c>
      <c r="V3051" s="71">
        <f>IFERROR(IF(AND(H3051&gt;=INDEX(PEMAGANG!$J$3:$J$36,MATCH(B3051,PEMAGANG!$C$3:$C$36,0)),H3051&lt;=INDEX(PEMAGANG!$K$3:$K$36,MATCH(B3051,PEMAGANG!$C$3:$C$36,0))),1,0),0)</f>
        <v>1</v>
      </c>
      <c r="W3051" s="71">
        <f t="shared" si="431"/>
        <v>1</v>
      </c>
    </row>
    <row r="3052" spans="1:23" x14ac:dyDescent="0.2">
      <c r="A3052" s="71" t="s">
        <v>272</v>
      </c>
      <c r="B3052" s="71" t="s">
        <v>273</v>
      </c>
      <c r="C3052" s="71" t="s">
        <v>187</v>
      </c>
      <c r="D3052" s="71" t="s">
        <v>274</v>
      </c>
      <c r="E3052" s="71" t="s">
        <v>693</v>
      </c>
      <c r="F3052" s="71" t="s">
        <v>300</v>
      </c>
      <c r="G3052" s="88">
        <v>46209.699606481503</v>
      </c>
      <c r="H3052" s="89">
        <v>46209</v>
      </c>
      <c r="I3052" s="71" t="s">
        <v>337</v>
      </c>
      <c r="J3052" s="71">
        <v>0</v>
      </c>
      <c r="K3052" s="71" t="s">
        <v>302</v>
      </c>
      <c r="L3052" s="71">
        <f t="shared" si="423"/>
        <v>7</v>
      </c>
      <c r="M3052" s="71" t="str">
        <f>IFERROR(INDEX(KALENDER!$D$3:$D$132,MATCH(H3052,KALENDER!$A$3:$A$132,0)),"Di luar periode")</f>
        <v>Hari Kerja</v>
      </c>
      <c r="N3052" s="71">
        <f t="shared" si="424"/>
        <v>0</v>
      </c>
      <c r="O3052" s="71">
        <f t="shared" si="425"/>
        <v>1</v>
      </c>
      <c r="P3052" s="71">
        <f t="shared" si="426"/>
        <v>0</v>
      </c>
      <c r="Q3052" s="71">
        <f t="shared" si="427"/>
        <v>0</v>
      </c>
      <c r="R3052" s="71">
        <f t="shared" si="428"/>
        <v>0</v>
      </c>
      <c r="S3052" s="71">
        <f t="shared" si="429"/>
        <v>0</v>
      </c>
      <c r="T3052" s="71">
        <f t="shared" si="430"/>
        <v>0</v>
      </c>
      <c r="U3052" s="71">
        <f>IF(AND(N3052=1,V3052=1),IF(COUNTIFS(AKTIVITAS!$B$2:$B$3052,B3052,AKTIVITAS!$E$2:$E$3052,H3052)&gt;0,1,0),0)</f>
        <v>0</v>
      </c>
      <c r="V3052" s="71">
        <f>IFERROR(IF(AND(H3052&gt;=INDEX(PEMAGANG!$J$3:$J$36,MATCH(B3052,PEMAGANG!$C$3:$C$36,0)),H3052&lt;=INDEX(PEMAGANG!$K$3:$K$36,MATCH(B3052,PEMAGANG!$C$3:$C$36,0))),1,0),0)</f>
        <v>1</v>
      </c>
      <c r="W3052" s="71">
        <f t="shared" si="431"/>
        <v>0</v>
      </c>
    </row>
    <row r="3053" spans="1:23" x14ac:dyDescent="0.2">
      <c r="A3053" s="71" t="s">
        <v>272</v>
      </c>
      <c r="B3053" s="71" t="s">
        <v>273</v>
      </c>
      <c r="C3053" s="71" t="s">
        <v>187</v>
      </c>
      <c r="D3053" s="71" t="s">
        <v>274</v>
      </c>
      <c r="E3053" s="71" t="s">
        <v>693</v>
      </c>
      <c r="F3053" s="71" t="s">
        <v>298</v>
      </c>
      <c r="G3053" s="88">
        <v>46210.310219907398</v>
      </c>
      <c r="H3053" s="89">
        <v>46210</v>
      </c>
      <c r="I3053" s="71" t="s">
        <v>315</v>
      </c>
      <c r="J3053" s="71">
        <v>-3.9999999999999898</v>
      </c>
      <c r="K3053" s="71" t="s">
        <v>302</v>
      </c>
      <c r="L3053" s="71">
        <f t="shared" si="423"/>
        <v>7</v>
      </c>
      <c r="M3053" s="71" t="str">
        <f>IFERROR(INDEX(KALENDER!$D$3:$D$132,MATCH(H3053,KALENDER!$A$3:$A$132,0)),"Di luar periode")</f>
        <v>Hari Kerja</v>
      </c>
      <c r="N3053" s="71">
        <f t="shared" si="424"/>
        <v>1</v>
      </c>
      <c r="O3053" s="71">
        <f t="shared" si="425"/>
        <v>1</v>
      </c>
      <c r="P3053" s="71">
        <f t="shared" si="426"/>
        <v>1</v>
      </c>
      <c r="Q3053" s="71">
        <f t="shared" si="427"/>
        <v>0</v>
      </c>
      <c r="R3053" s="71">
        <f t="shared" si="428"/>
        <v>0</v>
      </c>
      <c r="S3053" s="71">
        <f t="shared" si="429"/>
        <v>0</v>
      </c>
      <c r="T3053" s="71">
        <f t="shared" si="430"/>
        <v>0</v>
      </c>
      <c r="U3053" s="71">
        <f>IF(AND(N3053=1,V3053=1),IF(COUNTIFS(AKTIVITAS!$B$2:$B$3052,B3053,AKTIVITAS!$E$2:$E$3052,H3053)&gt;0,1,0),0)</f>
        <v>1</v>
      </c>
      <c r="V3053" s="71">
        <f>IFERROR(IF(AND(H3053&gt;=INDEX(PEMAGANG!$J$3:$J$36,MATCH(B3053,PEMAGANG!$C$3:$C$36,0)),H3053&lt;=INDEX(PEMAGANG!$K$3:$K$36,MATCH(B3053,PEMAGANG!$C$3:$C$36,0))),1,0),0)</f>
        <v>1</v>
      </c>
      <c r="W3053" s="71">
        <f t="shared" si="431"/>
        <v>1</v>
      </c>
    </row>
    <row r="3054" spans="1:23" x14ac:dyDescent="0.2">
      <c r="A3054" s="71" t="s">
        <v>272</v>
      </c>
      <c r="B3054" s="71" t="s">
        <v>273</v>
      </c>
      <c r="C3054" s="71" t="s">
        <v>187</v>
      </c>
      <c r="D3054" s="71" t="s">
        <v>274</v>
      </c>
      <c r="E3054" s="71" t="s">
        <v>693</v>
      </c>
      <c r="F3054" s="71" t="s">
        <v>300</v>
      </c>
      <c r="G3054" s="88">
        <v>46210.699456018498</v>
      </c>
      <c r="H3054" s="89">
        <v>46210</v>
      </c>
      <c r="I3054" s="71" t="s">
        <v>337</v>
      </c>
      <c r="J3054" s="71">
        <v>0</v>
      </c>
      <c r="K3054" s="71" t="s">
        <v>302</v>
      </c>
      <c r="L3054" s="71">
        <f t="shared" si="423"/>
        <v>7</v>
      </c>
      <c r="M3054" s="71" t="str">
        <f>IFERROR(INDEX(KALENDER!$D$3:$D$132,MATCH(H3054,KALENDER!$A$3:$A$132,0)),"Di luar periode")</f>
        <v>Hari Kerja</v>
      </c>
      <c r="N3054" s="71">
        <f t="shared" si="424"/>
        <v>0</v>
      </c>
      <c r="O3054" s="71">
        <f t="shared" si="425"/>
        <v>1</v>
      </c>
      <c r="P3054" s="71">
        <f t="shared" si="426"/>
        <v>0</v>
      </c>
      <c r="Q3054" s="71">
        <f t="shared" si="427"/>
        <v>0</v>
      </c>
      <c r="R3054" s="71">
        <f t="shared" si="428"/>
        <v>0</v>
      </c>
      <c r="S3054" s="71">
        <f t="shared" si="429"/>
        <v>0</v>
      </c>
      <c r="T3054" s="71">
        <f t="shared" si="430"/>
        <v>0</v>
      </c>
      <c r="U3054" s="71">
        <f>IF(AND(N3054=1,V3054=1),IF(COUNTIFS(AKTIVITAS!$B$2:$B$3052,B3054,AKTIVITAS!$E$2:$E$3052,H3054)&gt;0,1,0),0)</f>
        <v>0</v>
      </c>
      <c r="V3054" s="71">
        <f>IFERROR(IF(AND(H3054&gt;=INDEX(PEMAGANG!$J$3:$J$36,MATCH(B3054,PEMAGANG!$C$3:$C$36,0)),H3054&lt;=INDEX(PEMAGANG!$K$3:$K$36,MATCH(B3054,PEMAGANG!$C$3:$C$36,0))),1,0),0)</f>
        <v>1</v>
      </c>
      <c r="W3054" s="71">
        <f t="shared" si="431"/>
        <v>0</v>
      </c>
    </row>
    <row r="3055" spans="1:23" x14ac:dyDescent="0.2">
      <c r="A3055" s="71" t="s">
        <v>272</v>
      </c>
      <c r="B3055" s="71" t="s">
        <v>273</v>
      </c>
      <c r="C3055" s="71" t="s">
        <v>187</v>
      </c>
      <c r="D3055" s="71" t="s">
        <v>274</v>
      </c>
      <c r="E3055" s="71" t="s">
        <v>693</v>
      </c>
      <c r="F3055" s="71" t="s">
        <v>298</v>
      </c>
      <c r="G3055" s="88">
        <v>46211.298668981501</v>
      </c>
      <c r="H3055" s="89">
        <v>46211</v>
      </c>
      <c r="I3055" s="71" t="s">
        <v>481</v>
      </c>
      <c r="J3055" s="71">
        <v>-20</v>
      </c>
      <c r="K3055" s="71" t="s">
        <v>302</v>
      </c>
      <c r="L3055" s="71">
        <f t="shared" si="423"/>
        <v>7</v>
      </c>
      <c r="M3055" s="71" t="str">
        <f>IFERROR(INDEX(KALENDER!$D$3:$D$132,MATCH(H3055,KALENDER!$A$3:$A$132,0)),"Di luar periode")</f>
        <v>WFH</v>
      </c>
      <c r="N3055" s="71">
        <f t="shared" si="424"/>
        <v>1</v>
      </c>
      <c r="O3055" s="71">
        <f t="shared" si="425"/>
        <v>1</v>
      </c>
      <c r="P3055" s="71">
        <f t="shared" si="426"/>
        <v>0</v>
      </c>
      <c r="Q3055" s="71">
        <f t="shared" si="427"/>
        <v>1</v>
      </c>
      <c r="R3055" s="71">
        <f t="shared" si="428"/>
        <v>0</v>
      </c>
      <c r="S3055" s="71">
        <f t="shared" si="429"/>
        <v>0</v>
      </c>
      <c r="T3055" s="71">
        <f t="shared" si="430"/>
        <v>0</v>
      </c>
      <c r="U3055" s="71">
        <f>IF(AND(N3055=1,V3055=1),IF(COUNTIFS(AKTIVITAS!$B$2:$B$3052,B3055,AKTIVITAS!$E$2:$E$3052,H3055)&gt;0,1,0),0)</f>
        <v>1</v>
      </c>
      <c r="V3055" s="71">
        <f>IFERROR(IF(AND(H3055&gt;=INDEX(PEMAGANG!$J$3:$J$36,MATCH(B3055,PEMAGANG!$C$3:$C$36,0)),H3055&lt;=INDEX(PEMAGANG!$K$3:$K$36,MATCH(B3055,PEMAGANG!$C$3:$C$36,0))),1,0),0)</f>
        <v>1</v>
      </c>
      <c r="W3055" s="71">
        <f t="shared" si="431"/>
        <v>1</v>
      </c>
    </row>
    <row r="3056" spans="1:23" x14ac:dyDescent="0.2">
      <c r="A3056" s="71" t="s">
        <v>272</v>
      </c>
      <c r="B3056" s="71" t="s">
        <v>273</v>
      </c>
      <c r="C3056" s="71" t="s">
        <v>187</v>
      </c>
      <c r="D3056" s="71" t="s">
        <v>274</v>
      </c>
      <c r="E3056" s="71" t="s">
        <v>693</v>
      </c>
      <c r="F3056" s="71" t="s">
        <v>300</v>
      </c>
      <c r="G3056" s="88">
        <v>46211.747488425899</v>
      </c>
      <c r="H3056" s="89">
        <v>46211</v>
      </c>
      <c r="I3056" s="71" t="s">
        <v>368</v>
      </c>
      <c r="J3056" s="71">
        <v>0</v>
      </c>
      <c r="K3056" s="71" t="s">
        <v>302</v>
      </c>
      <c r="L3056" s="71">
        <f t="shared" si="423"/>
        <v>7</v>
      </c>
      <c r="M3056" s="71" t="str">
        <f>IFERROR(INDEX(KALENDER!$D$3:$D$132,MATCH(H3056,KALENDER!$A$3:$A$132,0)),"Di luar periode")</f>
        <v>WFH</v>
      </c>
      <c r="N3056" s="71">
        <f t="shared" si="424"/>
        <v>0</v>
      </c>
      <c r="O3056" s="71">
        <f t="shared" si="425"/>
        <v>1</v>
      </c>
      <c r="P3056" s="71">
        <f t="shared" si="426"/>
        <v>0</v>
      </c>
      <c r="Q3056" s="71">
        <f t="shared" si="427"/>
        <v>0</v>
      </c>
      <c r="R3056" s="71">
        <f t="shared" si="428"/>
        <v>0</v>
      </c>
      <c r="S3056" s="71">
        <f t="shared" si="429"/>
        <v>0</v>
      </c>
      <c r="T3056" s="71">
        <f t="shared" si="430"/>
        <v>0</v>
      </c>
      <c r="U3056" s="71">
        <f>IF(AND(N3056=1,V3056=1),IF(COUNTIFS(AKTIVITAS!$B$2:$B$3052,B3056,AKTIVITAS!$E$2:$E$3052,H3056)&gt;0,1,0),0)</f>
        <v>0</v>
      </c>
      <c r="V3056" s="71">
        <f>IFERROR(IF(AND(H3056&gt;=INDEX(PEMAGANG!$J$3:$J$36,MATCH(B3056,PEMAGANG!$C$3:$C$36,0)),H3056&lt;=INDEX(PEMAGANG!$K$3:$K$36,MATCH(B3056,PEMAGANG!$C$3:$C$36,0))),1,0),0)</f>
        <v>1</v>
      </c>
      <c r="W3056" s="71">
        <f t="shared" si="431"/>
        <v>0</v>
      </c>
    </row>
    <row r="3057" spans="1:23" x14ac:dyDescent="0.2">
      <c r="A3057" s="71" t="s">
        <v>272</v>
      </c>
      <c r="B3057" s="71" t="s">
        <v>273</v>
      </c>
      <c r="C3057" s="71" t="s">
        <v>187</v>
      </c>
      <c r="D3057" s="71" t="s">
        <v>274</v>
      </c>
      <c r="E3057" s="71" t="s">
        <v>693</v>
      </c>
      <c r="F3057" s="71" t="s">
        <v>298</v>
      </c>
      <c r="G3057" s="88">
        <v>46212.310451388897</v>
      </c>
      <c r="H3057" s="89">
        <v>46212</v>
      </c>
      <c r="I3057" s="71" t="s">
        <v>309</v>
      </c>
      <c r="J3057" s="71">
        <v>-2.9999999999999898</v>
      </c>
      <c r="K3057" s="71" t="s">
        <v>302</v>
      </c>
      <c r="L3057" s="71">
        <f t="shared" si="423"/>
        <v>7</v>
      </c>
      <c r="M3057" s="71" t="str">
        <f>IFERROR(INDEX(KALENDER!$D$3:$D$132,MATCH(H3057,KALENDER!$A$3:$A$132,0)),"Di luar periode")</f>
        <v>Hari Kerja</v>
      </c>
      <c r="N3057" s="71">
        <f t="shared" si="424"/>
        <v>1</v>
      </c>
      <c r="O3057" s="71">
        <f t="shared" si="425"/>
        <v>1</v>
      </c>
      <c r="P3057" s="71">
        <f t="shared" si="426"/>
        <v>1</v>
      </c>
      <c r="Q3057" s="71">
        <f t="shared" si="427"/>
        <v>0</v>
      </c>
      <c r="R3057" s="71">
        <f t="shared" si="428"/>
        <v>0</v>
      </c>
      <c r="S3057" s="71">
        <f t="shared" si="429"/>
        <v>0</v>
      </c>
      <c r="T3057" s="71">
        <f t="shared" si="430"/>
        <v>0</v>
      </c>
      <c r="U3057" s="71">
        <f>IF(AND(N3057=1,V3057=1),IF(COUNTIFS(AKTIVITAS!$B$2:$B$3052,B3057,AKTIVITAS!$E$2:$E$3052,H3057)&gt;0,1,0),0)</f>
        <v>1</v>
      </c>
      <c r="V3057" s="71">
        <f>IFERROR(IF(AND(H3057&gt;=INDEX(PEMAGANG!$J$3:$J$36,MATCH(B3057,PEMAGANG!$C$3:$C$36,0)),H3057&lt;=INDEX(PEMAGANG!$K$3:$K$36,MATCH(B3057,PEMAGANG!$C$3:$C$36,0))),1,0),0)</f>
        <v>1</v>
      </c>
      <c r="W3057" s="71">
        <f t="shared" si="431"/>
        <v>1</v>
      </c>
    </row>
    <row r="3058" spans="1:23" x14ac:dyDescent="0.2">
      <c r="A3058" s="71" t="s">
        <v>272</v>
      </c>
      <c r="B3058" s="71" t="s">
        <v>273</v>
      </c>
      <c r="C3058" s="71" t="s">
        <v>187</v>
      </c>
      <c r="D3058" s="71" t="s">
        <v>274</v>
      </c>
      <c r="E3058" s="71" t="s">
        <v>693</v>
      </c>
      <c r="F3058" s="71" t="s">
        <v>300</v>
      </c>
      <c r="G3058" s="88">
        <v>46212.689212963</v>
      </c>
      <c r="H3058" s="89">
        <v>46212</v>
      </c>
      <c r="I3058" s="71" t="s">
        <v>306</v>
      </c>
      <c r="J3058" s="71">
        <v>0</v>
      </c>
      <c r="K3058" s="71" t="s">
        <v>302</v>
      </c>
      <c r="L3058" s="71">
        <f t="shared" si="423"/>
        <v>7</v>
      </c>
      <c r="M3058" s="71" t="str">
        <f>IFERROR(INDEX(KALENDER!$D$3:$D$132,MATCH(H3058,KALENDER!$A$3:$A$132,0)),"Di luar periode")</f>
        <v>Hari Kerja</v>
      </c>
      <c r="N3058" s="71">
        <f t="shared" si="424"/>
        <v>0</v>
      </c>
      <c r="O3058" s="71">
        <f t="shared" si="425"/>
        <v>1</v>
      </c>
      <c r="P3058" s="71">
        <f t="shared" si="426"/>
        <v>0</v>
      </c>
      <c r="Q3058" s="71">
        <f t="shared" si="427"/>
        <v>0</v>
      </c>
      <c r="R3058" s="71">
        <f t="shared" si="428"/>
        <v>0</v>
      </c>
      <c r="S3058" s="71">
        <f t="shared" si="429"/>
        <v>0</v>
      </c>
      <c r="T3058" s="71">
        <f t="shared" si="430"/>
        <v>0</v>
      </c>
      <c r="U3058" s="71">
        <f>IF(AND(N3058=1,V3058=1),IF(COUNTIFS(AKTIVITAS!$B$2:$B$3052,B3058,AKTIVITAS!$E$2:$E$3052,H3058)&gt;0,1,0),0)</f>
        <v>0</v>
      </c>
      <c r="V3058" s="71">
        <f>IFERROR(IF(AND(H3058&gt;=INDEX(PEMAGANG!$J$3:$J$36,MATCH(B3058,PEMAGANG!$C$3:$C$36,0)),H3058&lt;=INDEX(PEMAGANG!$K$3:$K$36,MATCH(B3058,PEMAGANG!$C$3:$C$36,0))),1,0),0)</f>
        <v>1</v>
      </c>
      <c r="W3058" s="71">
        <f t="shared" si="431"/>
        <v>0</v>
      </c>
    </row>
    <row r="3059" spans="1:23" x14ac:dyDescent="0.2">
      <c r="A3059" s="71" t="s">
        <v>272</v>
      </c>
      <c r="B3059" s="71" t="s">
        <v>273</v>
      </c>
      <c r="C3059" s="71" t="s">
        <v>187</v>
      </c>
      <c r="D3059" s="71" t="s">
        <v>274</v>
      </c>
      <c r="E3059" s="71" t="s">
        <v>693</v>
      </c>
      <c r="F3059" s="71" t="s">
        <v>298</v>
      </c>
      <c r="G3059" s="88">
        <v>46213.313182870399</v>
      </c>
      <c r="H3059" s="89">
        <v>46213</v>
      </c>
      <c r="I3059" s="71" t="s">
        <v>335</v>
      </c>
      <c r="J3059" s="71">
        <v>0</v>
      </c>
      <c r="K3059" s="71" t="s">
        <v>302</v>
      </c>
      <c r="L3059" s="71">
        <f t="shared" si="423"/>
        <v>7</v>
      </c>
      <c r="M3059" s="71" t="str">
        <f>IFERROR(INDEX(KALENDER!$D$3:$D$132,MATCH(H3059,KALENDER!$A$3:$A$132,0)),"Di luar periode")</f>
        <v>Hari Kerja</v>
      </c>
      <c r="N3059" s="71">
        <f t="shared" si="424"/>
        <v>1</v>
      </c>
      <c r="O3059" s="71">
        <f t="shared" si="425"/>
        <v>1</v>
      </c>
      <c r="P3059" s="71">
        <f t="shared" si="426"/>
        <v>1</v>
      </c>
      <c r="Q3059" s="71">
        <f t="shared" si="427"/>
        <v>0</v>
      </c>
      <c r="R3059" s="71">
        <f t="shared" si="428"/>
        <v>0</v>
      </c>
      <c r="S3059" s="71">
        <f t="shared" si="429"/>
        <v>0</v>
      </c>
      <c r="T3059" s="71">
        <f t="shared" si="430"/>
        <v>0</v>
      </c>
      <c r="U3059" s="71">
        <f>IF(AND(N3059=1,V3059=1),IF(COUNTIFS(AKTIVITAS!$B$2:$B$3052,B3059,AKTIVITAS!$E$2:$E$3052,H3059)&gt;0,1,0),0)</f>
        <v>1</v>
      </c>
      <c r="V3059" s="71">
        <f>IFERROR(IF(AND(H3059&gt;=INDEX(PEMAGANG!$J$3:$J$36,MATCH(B3059,PEMAGANG!$C$3:$C$36,0)),H3059&lt;=INDEX(PEMAGANG!$K$3:$K$36,MATCH(B3059,PEMAGANG!$C$3:$C$36,0))),1,0),0)</f>
        <v>1</v>
      </c>
      <c r="W3059" s="71">
        <f t="shared" si="431"/>
        <v>1</v>
      </c>
    </row>
    <row r="3060" spans="1:23" x14ac:dyDescent="0.2">
      <c r="A3060" s="71" t="s">
        <v>272</v>
      </c>
      <c r="B3060" s="71" t="s">
        <v>273</v>
      </c>
      <c r="C3060" s="71" t="s">
        <v>187</v>
      </c>
      <c r="D3060" s="71" t="s">
        <v>274</v>
      </c>
      <c r="E3060" s="71" t="s">
        <v>693</v>
      </c>
      <c r="F3060" s="71" t="s">
        <v>300</v>
      </c>
      <c r="G3060" s="88">
        <v>46213.717314814799</v>
      </c>
      <c r="H3060" s="89">
        <v>46213</v>
      </c>
      <c r="I3060" s="71" t="s">
        <v>301</v>
      </c>
      <c r="J3060" s="71">
        <v>0</v>
      </c>
      <c r="K3060" s="71" t="s">
        <v>302</v>
      </c>
      <c r="L3060" s="71">
        <f t="shared" si="423"/>
        <v>7</v>
      </c>
      <c r="M3060" s="71" t="str">
        <f>IFERROR(INDEX(KALENDER!$D$3:$D$132,MATCH(H3060,KALENDER!$A$3:$A$132,0)),"Di luar periode")</f>
        <v>Hari Kerja</v>
      </c>
      <c r="N3060" s="71">
        <f t="shared" si="424"/>
        <v>0</v>
      </c>
      <c r="O3060" s="71">
        <f t="shared" si="425"/>
        <v>1</v>
      </c>
      <c r="P3060" s="71">
        <f t="shared" si="426"/>
        <v>0</v>
      </c>
      <c r="Q3060" s="71">
        <f t="shared" si="427"/>
        <v>0</v>
      </c>
      <c r="R3060" s="71">
        <f t="shared" si="428"/>
        <v>0</v>
      </c>
      <c r="S3060" s="71">
        <f t="shared" si="429"/>
        <v>0</v>
      </c>
      <c r="T3060" s="71">
        <f t="shared" si="430"/>
        <v>0</v>
      </c>
      <c r="U3060" s="71">
        <f>IF(AND(N3060=1,V3060=1),IF(COUNTIFS(AKTIVITAS!$B$2:$B$3052,B3060,AKTIVITAS!$E$2:$E$3052,H3060)&gt;0,1,0),0)</f>
        <v>0</v>
      </c>
      <c r="V3060" s="71">
        <f>IFERROR(IF(AND(H3060&gt;=INDEX(PEMAGANG!$J$3:$J$36,MATCH(B3060,PEMAGANG!$C$3:$C$36,0)),H3060&lt;=INDEX(PEMAGANG!$K$3:$K$36,MATCH(B3060,PEMAGANG!$C$3:$C$36,0))),1,0),0)</f>
        <v>1</v>
      </c>
      <c r="W3060" s="71">
        <f t="shared" si="431"/>
        <v>0</v>
      </c>
    </row>
    <row r="3061" spans="1:23" x14ac:dyDescent="0.2">
      <c r="A3061" s="71" t="s">
        <v>272</v>
      </c>
      <c r="B3061" s="71" t="s">
        <v>273</v>
      </c>
      <c r="C3061" s="71" t="s">
        <v>187</v>
      </c>
      <c r="D3061" s="71" t="s">
        <v>274</v>
      </c>
      <c r="E3061" s="71" t="s">
        <v>693</v>
      </c>
      <c r="F3061" s="71" t="s">
        <v>298</v>
      </c>
      <c r="G3061" s="88">
        <v>46216.311319444401</v>
      </c>
      <c r="H3061" s="89">
        <v>46216</v>
      </c>
      <c r="I3061" s="71" t="s">
        <v>377</v>
      </c>
      <c r="J3061" s="71">
        <v>-1.99999999999999</v>
      </c>
      <c r="K3061" s="71" t="s">
        <v>302</v>
      </c>
      <c r="L3061" s="71">
        <f t="shared" si="423"/>
        <v>7</v>
      </c>
      <c r="M3061" s="71" t="str">
        <f>IFERROR(INDEX(KALENDER!$D$3:$D$132,MATCH(H3061,KALENDER!$A$3:$A$132,0)),"Di luar periode")</f>
        <v>Hari Kerja</v>
      </c>
      <c r="N3061" s="71">
        <f t="shared" si="424"/>
        <v>1</v>
      </c>
      <c r="O3061" s="71">
        <f t="shared" si="425"/>
        <v>1</v>
      </c>
      <c r="P3061" s="71">
        <f t="shared" si="426"/>
        <v>1</v>
      </c>
      <c r="Q3061" s="71">
        <f t="shared" si="427"/>
        <v>0</v>
      </c>
      <c r="R3061" s="71">
        <f t="shared" si="428"/>
        <v>0</v>
      </c>
      <c r="S3061" s="71">
        <f t="shared" si="429"/>
        <v>0</v>
      </c>
      <c r="T3061" s="71">
        <f t="shared" si="430"/>
        <v>0</v>
      </c>
      <c r="U3061" s="71">
        <f>IF(AND(N3061=1,V3061=1),IF(COUNTIFS(AKTIVITAS!$B$2:$B$3052,B3061,AKTIVITAS!$E$2:$E$3052,H3061)&gt;0,1,0),0)</f>
        <v>1</v>
      </c>
      <c r="V3061" s="71">
        <f>IFERROR(IF(AND(H3061&gt;=INDEX(PEMAGANG!$J$3:$J$36,MATCH(B3061,PEMAGANG!$C$3:$C$36,0)),H3061&lt;=INDEX(PEMAGANG!$K$3:$K$36,MATCH(B3061,PEMAGANG!$C$3:$C$36,0))),1,0),0)</f>
        <v>1</v>
      </c>
      <c r="W3061" s="71">
        <f t="shared" si="431"/>
        <v>1</v>
      </c>
    </row>
    <row r="3062" spans="1:23" x14ac:dyDescent="0.2">
      <c r="A3062" s="71" t="s">
        <v>272</v>
      </c>
      <c r="B3062" s="71" t="s">
        <v>273</v>
      </c>
      <c r="C3062" s="71" t="s">
        <v>187</v>
      </c>
      <c r="D3062" s="71" t="s">
        <v>274</v>
      </c>
      <c r="E3062" s="71" t="s">
        <v>693</v>
      </c>
      <c r="F3062" s="71" t="s">
        <v>300</v>
      </c>
      <c r="G3062" s="88">
        <v>46216.691087963001</v>
      </c>
      <c r="H3062" s="89">
        <v>46216</v>
      </c>
      <c r="I3062" s="71" t="s">
        <v>310</v>
      </c>
      <c r="J3062" s="71">
        <v>0</v>
      </c>
      <c r="K3062" s="71" t="s">
        <v>302</v>
      </c>
      <c r="L3062" s="71">
        <f t="shared" si="423"/>
        <v>7</v>
      </c>
      <c r="M3062" s="71" t="str">
        <f>IFERROR(INDEX(KALENDER!$D$3:$D$132,MATCH(H3062,KALENDER!$A$3:$A$132,0)),"Di luar periode")</f>
        <v>Hari Kerja</v>
      </c>
      <c r="N3062" s="71">
        <f t="shared" si="424"/>
        <v>0</v>
      </c>
      <c r="O3062" s="71">
        <f t="shared" si="425"/>
        <v>1</v>
      </c>
      <c r="P3062" s="71">
        <f t="shared" si="426"/>
        <v>0</v>
      </c>
      <c r="Q3062" s="71">
        <f t="shared" si="427"/>
        <v>0</v>
      </c>
      <c r="R3062" s="71">
        <f t="shared" si="428"/>
        <v>0</v>
      </c>
      <c r="S3062" s="71">
        <f t="shared" si="429"/>
        <v>0</v>
      </c>
      <c r="T3062" s="71">
        <f t="shared" si="430"/>
        <v>0</v>
      </c>
      <c r="U3062" s="71">
        <f>IF(AND(N3062=1,V3062=1),IF(COUNTIFS(AKTIVITAS!$B$2:$B$3052,B3062,AKTIVITAS!$E$2:$E$3052,H3062)&gt;0,1,0),0)</f>
        <v>0</v>
      </c>
      <c r="V3062" s="71">
        <f>IFERROR(IF(AND(H3062&gt;=INDEX(PEMAGANG!$J$3:$J$36,MATCH(B3062,PEMAGANG!$C$3:$C$36,0)),H3062&lt;=INDEX(PEMAGANG!$K$3:$K$36,MATCH(B3062,PEMAGANG!$C$3:$C$36,0))),1,0),0)</f>
        <v>1</v>
      </c>
      <c r="W3062" s="71">
        <f t="shared" si="431"/>
        <v>0</v>
      </c>
    </row>
    <row r="3063" spans="1:23" x14ac:dyDescent="0.2">
      <c r="A3063" s="71" t="s">
        <v>272</v>
      </c>
      <c r="B3063" s="71" t="s">
        <v>273</v>
      </c>
      <c r="C3063" s="71" t="s">
        <v>187</v>
      </c>
      <c r="D3063" s="71" t="s">
        <v>274</v>
      </c>
      <c r="E3063" s="71" t="s">
        <v>693</v>
      </c>
      <c r="F3063" s="71" t="s">
        <v>298</v>
      </c>
      <c r="G3063" s="88">
        <v>46217.306157407402</v>
      </c>
      <c r="H3063" s="89">
        <v>46217</v>
      </c>
      <c r="I3063" s="71" t="s">
        <v>329</v>
      </c>
      <c r="J3063" s="71">
        <v>-10</v>
      </c>
      <c r="K3063" s="71" t="s">
        <v>302</v>
      </c>
      <c r="L3063" s="71">
        <f t="shared" si="423"/>
        <v>7</v>
      </c>
      <c r="M3063" s="71" t="str">
        <f>IFERROR(INDEX(KALENDER!$D$3:$D$132,MATCH(H3063,KALENDER!$A$3:$A$132,0)),"Di luar periode")</f>
        <v>Hari Kerja</v>
      </c>
      <c r="N3063" s="71">
        <f t="shared" si="424"/>
        <v>1</v>
      </c>
      <c r="O3063" s="71">
        <f t="shared" si="425"/>
        <v>1</v>
      </c>
      <c r="P3063" s="71">
        <f t="shared" si="426"/>
        <v>1</v>
      </c>
      <c r="Q3063" s="71">
        <f t="shared" si="427"/>
        <v>0</v>
      </c>
      <c r="R3063" s="71">
        <f t="shared" si="428"/>
        <v>0</v>
      </c>
      <c r="S3063" s="71">
        <f t="shared" si="429"/>
        <v>0</v>
      </c>
      <c r="T3063" s="71">
        <f t="shared" si="430"/>
        <v>1</v>
      </c>
      <c r="U3063" s="71">
        <f>IF(AND(N3063=1,V3063=1),IF(COUNTIFS(AKTIVITAS!$B$2:$B$3052,B3063,AKTIVITAS!$E$2:$E$3052,H3063)&gt;0,1,0),0)</f>
        <v>1</v>
      </c>
      <c r="V3063" s="71">
        <f>IFERROR(IF(AND(H3063&gt;=INDEX(PEMAGANG!$J$3:$J$36,MATCH(B3063,PEMAGANG!$C$3:$C$36,0)),H3063&lt;=INDEX(PEMAGANG!$K$3:$K$36,MATCH(B3063,PEMAGANG!$C$3:$C$36,0))),1,0),0)</f>
        <v>1</v>
      </c>
      <c r="W3063" s="71">
        <f t="shared" si="431"/>
        <v>1</v>
      </c>
    </row>
    <row r="3064" spans="1:23" x14ac:dyDescent="0.2">
      <c r="A3064" s="71" t="s">
        <v>272</v>
      </c>
      <c r="B3064" s="71" t="s">
        <v>273</v>
      </c>
      <c r="C3064" s="71" t="s">
        <v>187</v>
      </c>
      <c r="D3064" s="71" t="s">
        <v>274</v>
      </c>
      <c r="E3064" s="71" t="s">
        <v>693</v>
      </c>
      <c r="F3064" s="71" t="s">
        <v>298</v>
      </c>
      <c r="G3064" s="88">
        <v>46218.309259259302</v>
      </c>
      <c r="H3064" s="89">
        <v>46218</v>
      </c>
      <c r="I3064" s="71" t="s">
        <v>307</v>
      </c>
      <c r="J3064" s="71">
        <v>-4.9999999999999796</v>
      </c>
      <c r="K3064" s="71" t="s">
        <v>302</v>
      </c>
      <c r="L3064" s="71">
        <f t="shared" si="423"/>
        <v>7</v>
      </c>
      <c r="M3064" s="71" t="str">
        <f>IFERROR(INDEX(KALENDER!$D$3:$D$132,MATCH(H3064,KALENDER!$A$3:$A$132,0)),"Di luar periode")</f>
        <v>WFH</v>
      </c>
      <c r="N3064" s="71">
        <f t="shared" si="424"/>
        <v>1</v>
      </c>
      <c r="O3064" s="71">
        <f t="shared" si="425"/>
        <v>1</v>
      </c>
      <c r="P3064" s="71">
        <f t="shared" si="426"/>
        <v>0</v>
      </c>
      <c r="Q3064" s="71">
        <f t="shared" si="427"/>
        <v>1</v>
      </c>
      <c r="R3064" s="71">
        <f t="shared" si="428"/>
        <v>0</v>
      </c>
      <c r="S3064" s="71">
        <f t="shared" si="429"/>
        <v>0</v>
      </c>
      <c r="T3064" s="71">
        <f t="shared" si="430"/>
        <v>0</v>
      </c>
      <c r="U3064" s="71">
        <f>IF(AND(N3064=1,V3064=1),IF(COUNTIFS(AKTIVITAS!$B$2:$B$3052,B3064,AKTIVITAS!$E$2:$E$3052,H3064)&gt;0,1,0),0)</f>
        <v>1</v>
      </c>
      <c r="V3064" s="71">
        <f>IFERROR(IF(AND(H3064&gt;=INDEX(PEMAGANG!$J$3:$J$36,MATCH(B3064,PEMAGANG!$C$3:$C$36,0)),H3064&lt;=INDEX(PEMAGANG!$K$3:$K$36,MATCH(B3064,PEMAGANG!$C$3:$C$36,0))),1,0),0)</f>
        <v>1</v>
      </c>
      <c r="W3064" s="71">
        <f t="shared" si="431"/>
        <v>1</v>
      </c>
    </row>
    <row r="3065" spans="1:23" x14ac:dyDescent="0.2">
      <c r="A3065" s="71" t="s">
        <v>272</v>
      </c>
      <c r="B3065" s="71" t="s">
        <v>273</v>
      </c>
      <c r="C3065" s="71" t="s">
        <v>187</v>
      </c>
      <c r="D3065" s="71" t="s">
        <v>274</v>
      </c>
      <c r="E3065" s="71" t="s">
        <v>693</v>
      </c>
      <c r="F3065" s="71" t="s">
        <v>300</v>
      </c>
      <c r="G3065" s="88">
        <v>46218.6965740741</v>
      </c>
      <c r="H3065" s="89">
        <v>46218</v>
      </c>
      <c r="I3065" s="71" t="s">
        <v>347</v>
      </c>
      <c r="J3065" s="71">
        <v>0</v>
      </c>
      <c r="K3065" s="71" t="s">
        <v>302</v>
      </c>
      <c r="L3065" s="71">
        <f t="shared" si="423"/>
        <v>7</v>
      </c>
      <c r="M3065" s="71" t="str">
        <f>IFERROR(INDEX(KALENDER!$D$3:$D$132,MATCH(H3065,KALENDER!$A$3:$A$132,0)),"Di luar periode")</f>
        <v>WFH</v>
      </c>
      <c r="N3065" s="71">
        <f t="shared" si="424"/>
        <v>0</v>
      </c>
      <c r="O3065" s="71">
        <f t="shared" si="425"/>
        <v>1</v>
      </c>
      <c r="P3065" s="71">
        <f t="shared" si="426"/>
        <v>0</v>
      </c>
      <c r="Q3065" s="71">
        <f t="shared" si="427"/>
        <v>0</v>
      </c>
      <c r="R3065" s="71">
        <f t="shared" si="428"/>
        <v>0</v>
      </c>
      <c r="S3065" s="71">
        <f t="shared" si="429"/>
        <v>0</v>
      </c>
      <c r="T3065" s="71">
        <f t="shared" si="430"/>
        <v>0</v>
      </c>
      <c r="U3065" s="71">
        <f>IF(AND(N3065=1,V3065=1),IF(COUNTIFS(AKTIVITAS!$B$2:$B$3052,B3065,AKTIVITAS!$E$2:$E$3052,H3065)&gt;0,1,0),0)</f>
        <v>0</v>
      </c>
      <c r="V3065" s="71">
        <f>IFERROR(IF(AND(H3065&gt;=INDEX(PEMAGANG!$J$3:$J$36,MATCH(B3065,PEMAGANG!$C$3:$C$36,0)),H3065&lt;=INDEX(PEMAGANG!$K$3:$K$36,MATCH(B3065,PEMAGANG!$C$3:$C$36,0))),1,0),0)</f>
        <v>1</v>
      </c>
      <c r="W3065" s="71">
        <f t="shared" si="431"/>
        <v>0</v>
      </c>
    </row>
    <row r="3066" spans="1:23" x14ac:dyDescent="0.2">
      <c r="A3066" s="71" t="s">
        <v>272</v>
      </c>
      <c r="B3066" s="71" t="s">
        <v>273</v>
      </c>
      <c r="C3066" s="71" t="s">
        <v>187</v>
      </c>
      <c r="D3066" s="71" t="s">
        <v>274</v>
      </c>
      <c r="E3066" s="71" t="s">
        <v>693</v>
      </c>
      <c r="F3066" s="71" t="s">
        <v>298</v>
      </c>
      <c r="G3066" s="88">
        <v>46219.309143518498</v>
      </c>
      <c r="H3066" s="89">
        <v>46219</v>
      </c>
      <c r="I3066" s="71" t="s">
        <v>307</v>
      </c>
      <c r="J3066" s="71">
        <v>-4.9999999999999796</v>
      </c>
      <c r="K3066" s="71" t="s">
        <v>302</v>
      </c>
      <c r="L3066" s="71">
        <f t="shared" si="423"/>
        <v>7</v>
      </c>
      <c r="M3066" s="71" t="str">
        <f>IFERROR(INDEX(KALENDER!$D$3:$D$132,MATCH(H3066,KALENDER!$A$3:$A$132,0)),"Di luar periode")</f>
        <v>Hari Kerja</v>
      </c>
      <c r="N3066" s="71">
        <f t="shared" si="424"/>
        <v>1</v>
      </c>
      <c r="O3066" s="71">
        <f t="shared" si="425"/>
        <v>1</v>
      </c>
      <c r="P3066" s="71">
        <f t="shared" si="426"/>
        <v>1</v>
      </c>
      <c r="Q3066" s="71">
        <f t="shared" si="427"/>
        <v>0</v>
      </c>
      <c r="R3066" s="71">
        <f t="shared" si="428"/>
        <v>0</v>
      </c>
      <c r="S3066" s="71">
        <f t="shared" si="429"/>
        <v>0</v>
      </c>
      <c r="T3066" s="71">
        <f t="shared" si="430"/>
        <v>0</v>
      </c>
      <c r="U3066" s="71">
        <f>IF(AND(N3066=1,V3066=1),IF(COUNTIFS(AKTIVITAS!$B$2:$B$3052,B3066,AKTIVITAS!$E$2:$E$3052,H3066)&gt;0,1,0),0)</f>
        <v>1</v>
      </c>
      <c r="V3066" s="71">
        <f>IFERROR(IF(AND(H3066&gt;=INDEX(PEMAGANG!$J$3:$J$36,MATCH(B3066,PEMAGANG!$C$3:$C$36,0)),H3066&lt;=INDEX(PEMAGANG!$K$3:$K$36,MATCH(B3066,PEMAGANG!$C$3:$C$36,0))),1,0),0)</f>
        <v>1</v>
      </c>
      <c r="W3066" s="71">
        <f t="shared" si="431"/>
        <v>1</v>
      </c>
    </row>
    <row r="3067" spans="1:23" x14ac:dyDescent="0.2">
      <c r="A3067" s="71" t="s">
        <v>272</v>
      </c>
      <c r="B3067" s="71" t="s">
        <v>273</v>
      </c>
      <c r="C3067" s="71" t="s">
        <v>187</v>
      </c>
      <c r="D3067" s="71" t="s">
        <v>274</v>
      </c>
      <c r="E3067" s="71" t="s">
        <v>693</v>
      </c>
      <c r="F3067" s="71" t="s">
        <v>300</v>
      </c>
      <c r="G3067" s="88">
        <v>46219.731053240699</v>
      </c>
      <c r="H3067" s="89">
        <v>46219</v>
      </c>
      <c r="I3067" s="71" t="s">
        <v>696</v>
      </c>
      <c r="J3067" s="71">
        <v>0</v>
      </c>
      <c r="K3067" s="71" t="s">
        <v>302</v>
      </c>
      <c r="L3067" s="71">
        <f t="shared" si="423"/>
        <v>7</v>
      </c>
      <c r="M3067" s="71" t="str">
        <f>IFERROR(INDEX(KALENDER!$D$3:$D$132,MATCH(H3067,KALENDER!$A$3:$A$132,0)),"Di luar periode")</f>
        <v>Hari Kerja</v>
      </c>
      <c r="N3067" s="71">
        <f t="shared" si="424"/>
        <v>0</v>
      </c>
      <c r="O3067" s="71">
        <f t="shared" si="425"/>
        <v>1</v>
      </c>
      <c r="P3067" s="71">
        <f t="shared" si="426"/>
        <v>0</v>
      </c>
      <c r="Q3067" s="71">
        <f t="shared" si="427"/>
        <v>0</v>
      </c>
      <c r="R3067" s="71">
        <f t="shared" si="428"/>
        <v>0</v>
      </c>
      <c r="S3067" s="71">
        <f t="shared" si="429"/>
        <v>0</v>
      </c>
      <c r="T3067" s="71">
        <f t="shared" si="430"/>
        <v>0</v>
      </c>
      <c r="U3067" s="71">
        <f>IF(AND(N3067=1,V3067=1),IF(COUNTIFS(AKTIVITAS!$B$2:$B$3052,B3067,AKTIVITAS!$E$2:$E$3052,H3067)&gt;0,1,0),0)</f>
        <v>0</v>
      </c>
      <c r="V3067" s="71">
        <f>IFERROR(IF(AND(H3067&gt;=INDEX(PEMAGANG!$J$3:$J$36,MATCH(B3067,PEMAGANG!$C$3:$C$36,0)),H3067&lt;=INDEX(PEMAGANG!$K$3:$K$36,MATCH(B3067,PEMAGANG!$C$3:$C$36,0))),1,0),0)</f>
        <v>1</v>
      </c>
      <c r="W3067" s="71">
        <f t="shared" si="431"/>
        <v>0</v>
      </c>
    </row>
    <row r="3068" spans="1:23" x14ac:dyDescent="0.2">
      <c r="A3068" s="71" t="s">
        <v>272</v>
      </c>
      <c r="B3068" s="71" t="s">
        <v>273</v>
      </c>
      <c r="C3068" s="71" t="s">
        <v>187</v>
      </c>
      <c r="D3068" s="71" t="s">
        <v>274</v>
      </c>
      <c r="E3068" s="71" t="s">
        <v>693</v>
      </c>
      <c r="F3068" s="71" t="s">
        <v>298</v>
      </c>
      <c r="G3068" s="88">
        <v>46220.308680555601</v>
      </c>
      <c r="H3068" s="89">
        <v>46220</v>
      </c>
      <c r="I3068" s="71" t="s">
        <v>303</v>
      </c>
      <c r="J3068" s="71">
        <v>-5.9999999999999796</v>
      </c>
      <c r="K3068" s="71" t="s">
        <v>302</v>
      </c>
      <c r="L3068" s="71">
        <f t="shared" si="423"/>
        <v>7</v>
      </c>
      <c r="M3068" s="71" t="str">
        <f>IFERROR(INDEX(KALENDER!$D$3:$D$132,MATCH(H3068,KALENDER!$A$3:$A$132,0)),"Di luar periode")</f>
        <v>Hari Kerja</v>
      </c>
      <c r="N3068" s="71">
        <f t="shared" si="424"/>
        <v>1</v>
      </c>
      <c r="O3068" s="71">
        <f t="shared" si="425"/>
        <v>1</v>
      </c>
      <c r="P3068" s="71">
        <f t="shared" si="426"/>
        <v>1</v>
      </c>
      <c r="Q3068" s="71">
        <f t="shared" si="427"/>
        <v>0</v>
      </c>
      <c r="R3068" s="71">
        <f t="shared" si="428"/>
        <v>0</v>
      </c>
      <c r="S3068" s="71">
        <f t="shared" si="429"/>
        <v>0</v>
      </c>
      <c r="T3068" s="71">
        <f t="shared" si="430"/>
        <v>0</v>
      </c>
      <c r="U3068" s="71">
        <f>IF(AND(N3068=1,V3068=1),IF(COUNTIFS(AKTIVITAS!$B$2:$B$3052,B3068,AKTIVITAS!$E$2:$E$3052,H3068)&gt;0,1,0),0)</f>
        <v>1</v>
      </c>
      <c r="V3068" s="71">
        <f>IFERROR(IF(AND(H3068&gt;=INDEX(PEMAGANG!$J$3:$J$36,MATCH(B3068,PEMAGANG!$C$3:$C$36,0)),H3068&lt;=INDEX(PEMAGANG!$K$3:$K$36,MATCH(B3068,PEMAGANG!$C$3:$C$36,0))),1,0),0)</f>
        <v>1</v>
      </c>
      <c r="W3068" s="71">
        <f t="shared" si="431"/>
        <v>1</v>
      </c>
    </row>
    <row r="3069" spans="1:23" x14ac:dyDescent="0.2">
      <c r="A3069" s="71" t="s">
        <v>272</v>
      </c>
      <c r="B3069" s="71" t="s">
        <v>273</v>
      </c>
      <c r="C3069" s="71" t="s">
        <v>187</v>
      </c>
      <c r="D3069" s="71" t="s">
        <v>274</v>
      </c>
      <c r="E3069" s="71" t="s">
        <v>693</v>
      </c>
      <c r="F3069" s="71" t="s">
        <v>300</v>
      </c>
      <c r="G3069" s="88">
        <v>46220.722083333298</v>
      </c>
      <c r="H3069" s="89">
        <v>46220</v>
      </c>
      <c r="I3069" s="71" t="s">
        <v>382</v>
      </c>
      <c r="J3069" s="71">
        <v>0</v>
      </c>
      <c r="K3069" s="71" t="s">
        <v>302</v>
      </c>
      <c r="L3069" s="71">
        <f t="shared" si="423"/>
        <v>7</v>
      </c>
      <c r="M3069" s="71" t="str">
        <f>IFERROR(INDEX(KALENDER!$D$3:$D$132,MATCH(H3069,KALENDER!$A$3:$A$132,0)),"Di luar periode")</f>
        <v>Hari Kerja</v>
      </c>
      <c r="N3069" s="71">
        <f t="shared" si="424"/>
        <v>0</v>
      </c>
      <c r="O3069" s="71">
        <f t="shared" si="425"/>
        <v>1</v>
      </c>
      <c r="P3069" s="71">
        <f t="shared" si="426"/>
        <v>0</v>
      </c>
      <c r="Q3069" s="71">
        <f t="shared" si="427"/>
        <v>0</v>
      </c>
      <c r="R3069" s="71">
        <f t="shared" si="428"/>
        <v>0</v>
      </c>
      <c r="S3069" s="71">
        <f t="shared" si="429"/>
        <v>0</v>
      </c>
      <c r="T3069" s="71">
        <f t="shared" si="430"/>
        <v>0</v>
      </c>
      <c r="U3069" s="71">
        <f>IF(AND(N3069=1,V3069=1),IF(COUNTIFS(AKTIVITAS!$B$2:$B$3052,B3069,AKTIVITAS!$E$2:$E$3052,H3069)&gt;0,1,0),0)</f>
        <v>0</v>
      </c>
      <c r="V3069" s="71">
        <f>IFERROR(IF(AND(H3069&gt;=INDEX(PEMAGANG!$J$3:$J$36,MATCH(B3069,PEMAGANG!$C$3:$C$36,0)),H3069&lt;=INDEX(PEMAGANG!$K$3:$K$36,MATCH(B3069,PEMAGANG!$C$3:$C$36,0))),1,0),0)</f>
        <v>1</v>
      </c>
      <c r="W3069" s="71">
        <f t="shared" si="431"/>
        <v>0</v>
      </c>
    </row>
    <row r="3070" spans="1:23" x14ac:dyDescent="0.2">
      <c r="A3070" s="71" t="s">
        <v>272</v>
      </c>
      <c r="B3070" s="71" t="s">
        <v>273</v>
      </c>
      <c r="C3070" s="71" t="s">
        <v>187</v>
      </c>
      <c r="D3070" s="71" t="s">
        <v>274</v>
      </c>
      <c r="E3070" s="71" t="s">
        <v>693</v>
      </c>
      <c r="F3070" s="71" t="s">
        <v>298</v>
      </c>
      <c r="G3070" s="88">
        <v>46223.308252314797</v>
      </c>
      <c r="H3070" s="89">
        <v>46223</v>
      </c>
      <c r="I3070" s="71" t="s">
        <v>311</v>
      </c>
      <c r="J3070" s="71">
        <v>-6.9999999999999796</v>
      </c>
      <c r="K3070" s="71" t="s">
        <v>302</v>
      </c>
      <c r="L3070" s="71">
        <f t="shared" si="423"/>
        <v>7</v>
      </c>
      <c r="M3070" s="71" t="str">
        <f>IFERROR(INDEX(KALENDER!$D$3:$D$132,MATCH(H3070,KALENDER!$A$3:$A$132,0)),"Di luar periode")</f>
        <v>Hari Kerja</v>
      </c>
      <c r="N3070" s="71">
        <f t="shared" si="424"/>
        <v>1</v>
      </c>
      <c r="O3070" s="71">
        <f t="shared" si="425"/>
        <v>1</v>
      </c>
      <c r="P3070" s="71">
        <f t="shared" si="426"/>
        <v>1</v>
      </c>
      <c r="Q3070" s="71">
        <f t="shared" si="427"/>
        <v>0</v>
      </c>
      <c r="R3070" s="71">
        <f t="shared" si="428"/>
        <v>0</v>
      </c>
      <c r="S3070" s="71">
        <f t="shared" si="429"/>
        <v>0</v>
      </c>
      <c r="T3070" s="71">
        <f t="shared" si="430"/>
        <v>0</v>
      </c>
      <c r="U3070" s="71">
        <f>IF(AND(N3070=1,V3070=1),IF(COUNTIFS(AKTIVITAS!$B$2:$B$3052,B3070,AKTIVITAS!$E$2:$E$3052,H3070)&gt;0,1,0),0)</f>
        <v>1</v>
      </c>
      <c r="V3070" s="71">
        <f>IFERROR(IF(AND(H3070&gt;=INDEX(PEMAGANG!$J$3:$J$36,MATCH(B3070,PEMAGANG!$C$3:$C$36,0)),H3070&lt;=INDEX(PEMAGANG!$K$3:$K$36,MATCH(B3070,PEMAGANG!$C$3:$C$36,0))),1,0),0)</f>
        <v>1</v>
      </c>
      <c r="W3070" s="71">
        <f t="shared" si="431"/>
        <v>1</v>
      </c>
    </row>
    <row r="3071" spans="1:23" x14ac:dyDescent="0.2">
      <c r="A3071" s="71" t="s">
        <v>272</v>
      </c>
      <c r="B3071" s="71" t="s">
        <v>273</v>
      </c>
      <c r="C3071" s="71" t="s">
        <v>187</v>
      </c>
      <c r="D3071" s="71" t="s">
        <v>274</v>
      </c>
      <c r="E3071" s="71" t="s">
        <v>693</v>
      </c>
      <c r="F3071" s="71" t="s">
        <v>300</v>
      </c>
      <c r="G3071" s="88">
        <v>46223.706400463001</v>
      </c>
      <c r="H3071" s="89">
        <v>46223</v>
      </c>
      <c r="I3071" s="71" t="s">
        <v>671</v>
      </c>
      <c r="J3071" s="71">
        <v>0</v>
      </c>
      <c r="K3071" s="71" t="s">
        <v>302</v>
      </c>
      <c r="L3071" s="71">
        <f t="shared" si="423"/>
        <v>7</v>
      </c>
      <c r="M3071" s="71" t="str">
        <f>IFERROR(INDEX(KALENDER!$D$3:$D$132,MATCH(H3071,KALENDER!$A$3:$A$132,0)),"Di luar periode")</f>
        <v>Hari Kerja</v>
      </c>
      <c r="N3071" s="71">
        <f t="shared" si="424"/>
        <v>0</v>
      </c>
      <c r="O3071" s="71">
        <f t="shared" si="425"/>
        <v>1</v>
      </c>
      <c r="P3071" s="71">
        <f t="shared" si="426"/>
        <v>0</v>
      </c>
      <c r="Q3071" s="71">
        <f t="shared" si="427"/>
        <v>0</v>
      </c>
      <c r="R3071" s="71">
        <f t="shared" si="428"/>
        <v>0</v>
      </c>
      <c r="S3071" s="71">
        <f t="shared" si="429"/>
        <v>0</v>
      </c>
      <c r="T3071" s="71">
        <f t="shared" si="430"/>
        <v>0</v>
      </c>
      <c r="U3071" s="71">
        <f>IF(AND(N3071=1,V3071=1),IF(COUNTIFS(AKTIVITAS!$B$2:$B$3052,B3071,AKTIVITAS!$E$2:$E$3052,H3071)&gt;0,1,0),0)</f>
        <v>0</v>
      </c>
      <c r="V3071" s="71">
        <f>IFERROR(IF(AND(H3071&gt;=INDEX(PEMAGANG!$J$3:$J$36,MATCH(B3071,PEMAGANG!$C$3:$C$36,0)),H3071&lt;=INDEX(PEMAGANG!$K$3:$K$36,MATCH(B3071,PEMAGANG!$C$3:$C$36,0))),1,0),0)</f>
        <v>1</v>
      </c>
      <c r="W3071" s="71">
        <f t="shared" si="431"/>
        <v>0</v>
      </c>
    </row>
    <row r="3072" spans="1:23" x14ac:dyDescent="0.2">
      <c r="A3072" s="71" t="s">
        <v>272</v>
      </c>
      <c r="B3072" s="71" t="s">
        <v>273</v>
      </c>
      <c r="C3072" s="71" t="s">
        <v>187</v>
      </c>
      <c r="D3072" s="71" t="s">
        <v>274</v>
      </c>
      <c r="E3072" s="71" t="s">
        <v>693</v>
      </c>
      <c r="F3072" s="71" t="s">
        <v>298</v>
      </c>
      <c r="G3072" s="88">
        <v>46224.308564814797</v>
      </c>
      <c r="H3072" s="89">
        <v>46224</v>
      </c>
      <c r="I3072" s="71" t="s">
        <v>303</v>
      </c>
      <c r="J3072" s="71">
        <v>-5.9999999999999796</v>
      </c>
      <c r="K3072" s="71" t="s">
        <v>302</v>
      </c>
      <c r="L3072" s="71">
        <f t="shared" si="423"/>
        <v>7</v>
      </c>
      <c r="M3072" s="71" t="str">
        <f>IFERROR(INDEX(KALENDER!$D$3:$D$132,MATCH(H3072,KALENDER!$A$3:$A$132,0)),"Di luar periode")</f>
        <v>Hari Kerja</v>
      </c>
      <c r="N3072" s="71">
        <f t="shared" si="424"/>
        <v>1</v>
      </c>
      <c r="O3072" s="71">
        <f t="shared" si="425"/>
        <v>1</v>
      </c>
      <c r="P3072" s="71">
        <f t="shared" si="426"/>
        <v>1</v>
      </c>
      <c r="Q3072" s="71">
        <f t="shared" si="427"/>
        <v>0</v>
      </c>
      <c r="R3072" s="71">
        <f t="shared" si="428"/>
        <v>0</v>
      </c>
      <c r="S3072" s="71">
        <f t="shared" si="429"/>
        <v>0</v>
      </c>
      <c r="T3072" s="71">
        <f t="shared" si="430"/>
        <v>0</v>
      </c>
      <c r="U3072" s="71">
        <f>IF(AND(N3072=1,V3072=1),IF(COUNTIFS(AKTIVITAS!$B$2:$B$3052,B3072,AKTIVITAS!$E$2:$E$3052,H3072)&gt;0,1,0),0)</f>
        <v>1</v>
      </c>
      <c r="V3072" s="71">
        <f>IFERROR(IF(AND(H3072&gt;=INDEX(PEMAGANG!$J$3:$J$36,MATCH(B3072,PEMAGANG!$C$3:$C$36,0)),H3072&lt;=INDEX(PEMAGANG!$K$3:$K$36,MATCH(B3072,PEMAGANG!$C$3:$C$36,0))),1,0),0)</f>
        <v>1</v>
      </c>
      <c r="W3072" s="71">
        <f t="shared" si="431"/>
        <v>1</v>
      </c>
    </row>
    <row r="3073" spans="1:23" x14ac:dyDescent="0.2">
      <c r="A3073" s="71" t="s">
        <v>272</v>
      </c>
      <c r="B3073" s="71" t="s">
        <v>273</v>
      </c>
      <c r="C3073" s="71" t="s">
        <v>187</v>
      </c>
      <c r="D3073" s="71" t="s">
        <v>274</v>
      </c>
      <c r="E3073" s="71" t="s">
        <v>693</v>
      </c>
      <c r="F3073" s="71" t="s">
        <v>300</v>
      </c>
      <c r="G3073" s="88">
        <v>46224.692731481497</v>
      </c>
      <c r="H3073" s="89">
        <v>46224</v>
      </c>
      <c r="I3073" s="71" t="s">
        <v>328</v>
      </c>
      <c r="J3073" s="71">
        <v>0</v>
      </c>
      <c r="K3073" s="71" t="s">
        <v>302</v>
      </c>
      <c r="L3073" s="71">
        <f t="shared" si="423"/>
        <v>7</v>
      </c>
      <c r="M3073" s="71" t="str">
        <f>IFERROR(INDEX(KALENDER!$D$3:$D$132,MATCH(H3073,KALENDER!$A$3:$A$132,0)),"Di luar periode")</f>
        <v>Hari Kerja</v>
      </c>
      <c r="N3073" s="71">
        <f t="shared" si="424"/>
        <v>0</v>
      </c>
      <c r="O3073" s="71">
        <f t="shared" si="425"/>
        <v>1</v>
      </c>
      <c r="P3073" s="71">
        <f t="shared" si="426"/>
        <v>0</v>
      </c>
      <c r="Q3073" s="71">
        <f t="shared" si="427"/>
        <v>0</v>
      </c>
      <c r="R3073" s="71">
        <f t="shared" si="428"/>
        <v>0</v>
      </c>
      <c r="S3073" s="71">
        <f t="shared" si="429"/>
        <v>0</v>
      </c>
      <c r="T3073" s="71">
        <f t="shared" si="430"/>
        <v>0</v>
      </c>
      <c r="U3073" s="71">
        <f>IF(AND(N3073=1,V3073=1),IF(COUNTIFS(AKTIVITAS!$B$2:$B$3052,B3073,AKTIVITAS!$E$2:$E$3052,H3073)&gt;0,1,0),0)</f>
        <v>0</v>
      </c>
      <c r="V3073" s="71">
        <f>IFERROR(IF(AND(H3073&gt;=INDEX(PEMAGANG!$J$3:$J$36,MATCH(B3073,PEMAGANG!$C$3:$C$36,0)),H3073&lt;=INDEX(PEMAGANG!$K$3:$K$36,MATCH(B3073,PEMAGANG!$C$3:$C$36,0))),1,0),0)</f>
        <v>1</v>
      </c>
      <c r="W3073" s="71">
        <f t="shared" si="431"/>
        <v>0</v>
      </c>
    </row>
    <row r="3074" spans="1:23" x14ac:dyDescent="0.2">
      <c r="A3074" s="71" t="s">
        <v>272</v>
      </c>
      <c r="B3074" s="71" t="s">
        <v>273</v>
      </c>
      <c r="C3074" s="71" t="s">
        <v>187</v>
      </c>
      <c r="D3074" s="71" t="s">
        <v>274</v>
      </c>
      <c r="E3074" s="71" t="s">
        <v>693</v>
      </c>
      <c r="F3074" s="71" t="s">
        <v>298</v>
      </c>
      <c r="G3074" s="88">
        <v>46226.313564814802</v>
      </c>
      <c r="H3074" s="89">
        <v>46226</v>
      </c>
      <c r="I3074" s="71" t="s">
        <v>392</v>
      </c>
      <c r="J3074" s="71">
        <v>0.999999999999996</v>
      </c>
      <c r="K3074" s="71" t="s">
        <v>293</v>
      </c>
      <c r="L3074" s="71">
        <f t="shared" ref="L3074:L3137" si="432">MONTH(H3074)</f>
        <v>7</v>
      </c>
      <c r="M3074" s="71" t="str">
        <f>IFERROR(INDEX(KALENDER!$D$3:$D$132,MATCH(H3074,KALENDER!$A$3:$A$132,0)),"Di luar periode")</f>
        <v>Hari Kerja</v>
      </c>
      <c r="N3074" s="71">
        <f t="shared" ref="N3074:N3137" si="433">IF(AND(B3074=B3073,H3074=H3073),0,1)</f>
        <v>1</v>
      </c>
      <c r="O3074" s="71">
        <f t="shared" ref="O3074:O3137" si="434">IF(N3074=1,0,O3073)+IF(F3074="MASUK",1,0)</f>
        <v>1</v>
      </c>
      <c r="P3074" s="71">
        <f t="shared" ref="P3074:P3137" si="435">IF(AND(N3074=1,M3074="Hari Kerja",V3074=1),1,0)</f>
        <v>1</v>
      </c>
      <c r="Q3074" s="71">
        <f t="shared" ref="Q3074:Q3137" si="436">IF(AND(N3074=1,OR(M3074&lt;&gt;"Hari Kerja",V3074=0)),1,0)</f>
        <v>0</v>
      </c>
      <c r="R3074" s="71">
        <f t="shared" ref="R3074:R3137" si="437">IF(AND(F3074="MASUK",O3074=1,N(J3074)&gt;0,V3074=1),1,0)</f>
        <v>1</v>
      </c>
      <c r="S3074" s="71">
        <f t="shared" ref="S3074:S3137" si="438">R3074*N(J3074)</f>
        <v>0.999999999999996</v>
      </c>
      <c r="T3074" s="71">
        <f t="shared" ref="T3074:T3137" si="439">IF(AND(N3074=1,V3074=1),IF(AND(COUNTIFS($B$2:$B$4094,B3074,$H$2:$H$4094,H3074,$F$2:$F$4094,"MASUK")&gt;0,COUNTIFS($B$2:$B$4094,B3074,$H$2:$H$4094,H3074,$F$2:$F$4094,"PULANG")=0),1,0),0)</f>
        <v>0</v>
      </c>
      <c r="U3074" s="71">
        <f>IF(AND(N3074=1,V3074=1),IF(COUNTIFS(AKTIVITAS!$B$2:$B$3052,B3074,AKTIVITAS!$E$2:$E$3052,H3074)&gt;0,1,0),0)</f>
        <v>1</v>
      </c>
      <c r="V3074" s="71">
        <f>IFERROR(IF(AND(H3074&gt;=INDEX(PEMAGANG!$J$3:$J$36,MATCH(B3074,PEMAGANG!$C$3:$C$36,0)),H3074&lt;=INDEX(PEMAGANG!$K$3:$K$36,MATCH(B3074,PEMAGANG!$C$3:$C$36,0))),1,0),0)</f>
        <v>1</v>
      </c>
      <c r="W3074" s="71">
        <f t="shared" ref="W3074:W3137" si="440">N3074*V3074</f>
        <v>1</v>
      </c>
    </row>
    <row r="3075" spans="1:23" x14ac:dyDescent="0.2">
      <c r="A3075" s="71" t="s">
        <v>272</v>
      </c>
      <c r="B3075" s="71" t="s">
        <v>273</v>
      </c>
      <c r="C3075" s="71" t="s">
        <v>187</v>
      </c>
      <c r="D3075" s="71" t="s">
        <v>274</v>
      </c>
      <c r="E3075" s="71" t="s">
        <v>693</v>
      </c>
      <c r="F3075" s="71" t="s">
        <v>300</v>
      </c>
      <c r="G3075" s="88">
        <v>46226.729270833297</v>
      </c>
      <c r="H3075" s="89">
        <v>46226</v>
      </c>
      <c r="I3075" s="71" t="s">
        <v>552</v>
      </c>
      <c r="J3075" s="71">
        <v>0</v>
      </c>
      <c r="K3075" s="71" t="s">
        <v>302</v>
      </c>
      <c r="L3075" s="71">
        <f t="shared" si="432"/>
        <v>7</v>
      </c>
      <c r="M3075" s="71" t="str">
        <f>IFERROR(INDEX(KALENDER!$D$3:$D$132,MATCH(H3075,KALENDER!$A$3:$A$132,0)),"Di luar periode")</f>
        <v>Hari Kerja</v>
      </c>
      <c r="N3075" s="71">
        <f t="shared" si="433"/>
        <v>0</v>
      </c>
      <c r="O3075" s="71">
        <f t="shared" si="434"/>
        <v>1</v>
      </c>
      <c r="P3075" s="71">
        <f t="shared" si="435"/>
        <v>0</v>
      </c>
      <c r="Q3075" s="71">
        <f t="shared" si="436"/>
        <v>0</v>
      </c>
      <c r="R3075" s="71">
        <f t="shared" si="437"/>
        <v>0</v>
      </c>
      <c r="S3075" s="71">
        <f t="shared" si="438"/>
        <v>0</v>
      </c>
      <c r="T3075" s="71">
        <f t="shared" si="439"/>
        <v>0</v>
      </c>
      <c r="U3075" s="71">
        <f>IF(AND(N3075=1,V3075=1),IF(COUNTIFS(AKTIVITAS!$B$2:$B$3052,B3075,AKTIVITAS!$E$2:$E$3052,H3075)&gt;0,1,0),0)</f>
        <v>0</v>
      </c>
      <c r="V3075" s="71">
        <f>IFERROR(IF(AND(H3075&gt;=INDEX(PEMAGANG!$J$3:$J$36,MATCH(B3075,PEMAGANG!$C$3:$C$36,0)),H3075&lt;=INDEX(PEMAGANG!$K$3:$K$36,MATCH(B3075,PEMAGANG!$C$3:$C$36,0))),1,0),0)</f>
        <v>1</v>
      </c>
      <c r="W3075" s="71">
        <f t="shared" si="440"/>
        <v>0</v>
      </c>
    </row>
    <row r="3076" spans="1:23" x14ac:dyDescent="0.2">
      <c r="A3076" s="71" t="s">
        <v>272</v>
      </c>
      <c r="B3076" s="71" t="s">
        <v>273</v>
      </c>
      <c r="C3076" s="71" t="s">
        <v>187</v>
      </c>
      <c r="D3076" s="71" t="s">
        <v>274</v>
      </c>
      <c r="E3076" s="71" t="s">
        <v>693</v>
      </c>
      <c r="F3076" s="71" t="s">
        <v>298</v>
      </c>
      <c r="G3076" s="88">
        <v>46227.311342592599</v>
      </c>
      <c r="H3076" s="89">
        <v>46227</v>
      </c>
      <c r="I3076" s="71" t="s">
        <v>377</v>
      </c>
      <c r="J3076" s="71">
        <v>-1.99999999999999</v>
      </c>
      <c r="K3076" s="71" t="s">
        <v>302</v>
      </c>
      <c r="L3076" s="71">
        <f t="shared" si="432"/>
        <v>7</v>
      </c>
      <c r="M3076" s="71" t="str">
        <f>IFERROR(INDEX(KALENDER!$D$3:$D$132,MATCH(H3076,KALENDER!$A$3:$A$132,0)),"Di luar periode")</f>
        <v>Hari Kerja</v>
      </c>
      <c r="N3076" s="71">
        <f t="shared" si="433"/>
        <v>1</v>
      </c>
      <c r="O3076" s="71">
        <f t="shared" si="434"/>
        <v>1</v>
      </c>
      <c r="P3076" s="71">
        <f t="shared" si="435"/>
        <v>1</v>
      </c>
      <c r="Q3076" s="71">
        <f t="shared" si="436"/>
        <v>0</v>
      </c>
      <c r="R3076" s="71">
        <f t="shared" si="437"/>
        <v>0</v>
      </c>
      <c r="S3076" s="71">
        <f t="shared" si="438"/>
        <v>0</v>
      </c>
      <c r="T3076" s="71">
        <f t="shared" si="439"/>
        <v>0</v>
      </c>
      <c r="U3076" s="71">
        <f>IF(AND(N3076=1,V3076=1),IF(COUNTIFS(AKTIVITAS!$B$2:$B$3052,B3076,AKTIVITAS!$E$2:$E$3052,H3076)&gt;0,1,0),0)</f>
        <v>1</v>
      </c>
      <c r="V3076" s="71">
        <f>IFERROR(IF(AND(H3076&gt;=INDEX(PEMAGANG!$J$3:$J$36,MATCH(B3076,PEMAGANG!$C$3:$C$36,0)),H3076&lt;=INDEX(PEMAGANG!$K$3:$K$36,MATCH(B3076,PEMAGANG!$C$3:$C$36,0))),1,0),0)</f>
        <v>1</v>
      </c>
      <c r="W3076" s="71">
        <f t="shared" si="440"/>
        <v>1</v>
      </c>
    </row>
    <row r="3077" spans="1:23" x14ac:dyDescent="0.2">
      <c r="A3077" s="71" t="s">
        <v>272</v>
      </c>
      <c r="B3077" s="71" t="s">
        <v>273</v>
      </c>
      <c r="C3077" s="71" t="s">
        <v>187</v>
      </c>
      <c r="D3077" s="71" t="s">
        <v>274</v>
      </c>
      <c r="E3077" s="71" t="s">
        <v>693</v>
      </c>
      <c r="F3077" s="71" t="s">
        <v>300</v>
      </c>
      <c r="G3077" s="88">
        <v>46227.688518518502</v>
      </c>
      <c r="H3077" s="89">
        <v>46227</v>
      </c>
      <c r="I3077" s="71" t="s">
        <v>336</v>
      </c>
      <c r="J3077" s="71">
        <v>0</v>
      </c>
      <c r="K3077" s="71" t="s">
        <v>302</v>
      </c>
      <c r="L3077" s="71">
        <f t="shared" si="432"/>
        <v>7</v>
      </c>
      <c r="M3077" s="71" t="str">
        <f>IFERROR(INDEX(KALENDER!$D$3:$D$132,MATCH(H3077,KALENDER!$A$3:$A$132,0)),"Di luar periode")</f>
        <v>Hari Kerja</v>
      </c>
      <c r="N3077" s="71">
        <f t="shared" si="433"/>
        <v>0</v>
      </c>
      <c r="O3077" s="71">
        <f t="shared" si="434"/>
        <v>1</v>
      </c>
      <c r="P3077" s="71">
        <f t="shared" si="435"/>
        <v>0</v>
      </c>
      <c r="Q3077" s="71">
        <f t="shared" si="436"/>
        <v>0</v>
      </c>
      <c r="R3077" s="71">
        <f t="shared" si="437"/>
        <v>0</v>
      </c>
      <c r="S3077" s="71">
        <f t="shared" si="438"/>
        <v>0</v>
      </c>
      <c r="T3077" s="71">
        <f t="shared" si="439"/>
        <v>0</v>
      </c>
      <c r="U3077" s="71">
        <f>IF(AND(N3077=1,V3077=1),IF(COUNTIFS(AKTIVITAS!$B$2:$B$3052,B3077,AKTIVITAS!$E$2:$E$3052,H3077)&gt;0,1,0),0)</f>
        <v>0</v>
      </c>
      <c r="V3077" s="71">
        <f>IFERROR(IF(AND(H3077&gt;=INDEX(PEMAGANG!$J$3:$J$36,MATCH(B3077,PEMAGANG!$C$3:$C$36,0)),H3077&lt;=INDEX(PEMAGANG!$K$3:$K$36,MATCH(B3077,PEMAGANG!$C$3:$C$36,0))),1,0),0)</f>
        <v>1</v>
      </c>
      <c r="W3077" s="71">
        <f t="shared" si="440"/>
        <v>0</v>
      </c>
    </row>
    <row r="3078" spans="1:23" x14ac:dyDescent="0.2">
      <c r="A3078" s="71" t="s">
        <v>272</v>
      </c>
      <c r="B3078" s="71" t="s">
        <v>273</v>
      </c>
      <c r="C3078" s="71" t="s">
        <v>187</v>
      </c>
      <c r="D3078" s="71" t="s">
        <v>274</v>
      </c>
      <c r="E3078" s="71" t="s">
        <v>693</v>
      </c>
      <c r="F3078" s="71" t="s">
        <v>298</v>
      </c>
      <c r="G3078" s="88">
        <v>46230.312106481499</v>
      </c>
      <c r="H3078" s="89">
        <v>46230</v>
      </c>
      <c r="I3078" s="71" t="s">
        <v>365</v>
      </c>
      <c r="J3078" s="71">
        <v>-0.999999999999996</v>
      </c>
      <c r="K3078" s="71" t="s">
        <v>302</v>
      </c>
      <c r="L3078" s="71">
        <f t="shared" si="432"/>
        <v>7</v>
      </c>
      <c r="M3078" s="71" t="str">
        <f>IFERROR(INDEX(KALENDER!$D$3:$D$132,MATCH(H3078,KALENDER!$A$3:$A$132,0)),"Di luar periode")</f>
        <v>Hari Kerja</v>
      </c>
      <c r="N3078" s="71">
        <f t="shared" si="433"/>
        <v>1</v>
      </c>
      <c r="O3078" s="71">
        <f t="shared" si="434"/>
        <v>1</v>
      </c>
      <c r="P3078" s="71">
        <f t="shared" si="435"/>
        <v>1</v>
      </c>
      <c r="Q3078" s="71">
        <f t="shared" si="436"/>
        <v>0</v>
      </c>
      <c r="R3078" s="71">
        <f t="shared" si="437"/>
        <v>0</v>
      </c>
      <c r="S3078" s="71">
        <f t="shared" si="438"/>
        <v>0</v>
      </c>
      <c r="T3078" s="71">
        <f t="shared" si="439"/>
        <v>0</v>
      </c>
      <c r="U3078" s="71">
        <f>IF(AND(N3078=1,V3078=1),IF(COUNTIFS(AKTIVITAS!$B$2:$B$3052,B3078,AKTIVITAS!$E$2:$E$3052,H3078)&gt;0,1,0),0)</f>
        <v>1</v>
      </c>
      <c r="V3078" s="71">
        <f>IFERROR(IF(AND(H3078&gt;=INDEX(PEMAGANG!$J$3:$J$36,MATCH(B3078,PEMAGANG!$C$3:$C$36,0)),H3078&lt;=INDEX(PEMAGANG!$K$3:$K$36,MATCH(B3078,PEMAGANG!$C$3:$C$36,0))),1,0),0)</f>
        <v>1</v>
      </c>
      <c r="W3078" s="71">
        <f t="shared" si="440"/>
        <v>1</v>
      </c>
    </row>
    <row r="3079" spans="1:23" x14ac:dyDescent="0.2">
      <c r="A3079" s="71" t="s">
        <v>272</v>
      </c>
      <c r="B3079" s="71" t="s">
        <v>273</v>
      </c>
      <c r="C3079" s="71" t="s">
        <v>187</v>
      </c>
      <c r="D3079" s="71" t="s">
        <v>274</v>
      </c>
      <c r="E3079" s="71" t="s">
        <v>693</v>
      </c>
      <c r="F3079" s="71" t="s">
        <v>300</v>
      </c>
      <c r="G3079" s="88">
        <v>46230.739780092597</v>
      </c>
      <c r="H3079" s="89">
        <v>46230</v>
      </c>
      <c r="I3079" s="71" t="s">
        <v>375</v>
      </c>
      <c r="J3079" s="71">
        <v>0</v>
      </c>
      <c r="K3079" s="71" t="s">
        <v>302</v>
      </c>
      <c r="L3079" s="71">
        <f t="shared" si="432"/>
        <v>7</v>
      </c>
      <c r="M3079" s="71" t="str">
        <f>IFERROR(INDEX(KALENDER!$D$3:$D$132,MATCH(H3079,KALENDER!$A$3:$A$132,0)),"Di luar periode")</f>
        <v>Hari Kerja</v>
      </c>
      <c r="N3079" s="71">
        <f t="shared" si="433"/>
        <v>0</v>
      </c>
      <c r="O3079" s="71">
        <f t="shared" si="434"/>
        <v>1</v>
      </c>
      <c r="P3079" s="71">
        <f t="shared" si="435"/>
        <v>0</v>
      </c>
      <c r="Q3079" s="71">
        <f t="shared" si="436"/>
        <v>0</v>
      </c>
      <c r="R3079" s="71">
        <f t="shared" si="437"/>
        <v>0</v>
      </c>
      <c r="S3079" s="71">
        <f t="shared" si="438"/>
        <v>0</v>
      </c>
      <c r="T3079" s="71">
        <f t="shared" si="439"/>
        <v>0</v>
      </c>
      <c r="U3079" s="71">
        <f>IF(AND(N3079=1,V3079=1),IF(COUNTIFS(AKTIVITAS!$B$2:$B$3052,B3079,AKTIVITAS!$E$2:$E$3052,H3079)&gt;0,1,0),0)</f>
        <v>0</v>
      </c>
      <c r="V3079" s="71">
        <f>IFERROR(IF(AND(H3079&gt;=INDEX(PEMAGANG!$J$3:$J$36,MATCH(B3079,PEMAGANG!$C$3:$C$36,0)),H3079&lt;=INDEX(PEMAGANG!$K$3:$K$36,MATCH(B3079,PEMAGANG!$C$3:$C$36,0))),1,0),0)</f>
        <v>1</v>
      </c>
      <c r="W3079" s="71">
        <f t="shared" si="440"/>
        <v>0</v>
      </c>
    </row>
    <row r="3080" spans="1:23" x14ac:dyDescent="0.2">
      <c r="A3080" s="71" t="s">
        <v>272</v>
      </c>
      <c r="B3080" s="71" t="s">
        <v>273</v>
      </c>
      <c r="C3080" s="71" t="s">
        <v>187</v>
      </c>
      <c r="D3080" s="71" t="s">
        <v>274</v>
      </c>
      <c r="E3080" s="71" t="s">
        <v>693</v>
      </c>
      <c r="F3080" s="71" t="s">
        <v>298</v>
      </c>
      <c r="G3080" s="88">
        <v>46231.309085648201</v>
      </c>
      <c r="H3080" s="89">
        <v>46231</v>
      </c>
      <c r="I3080" s="71" t="s">
        <v>307</v>
      </c>
      <c r="J3080" s="71">
        <v>-4.9999999999999796</v>
      </c>
      <c r="K3080" s="71" t="s">
        <v>302</v>
      </c>
      <c r="L3080" s="71">
        <f t="shared" si="432"/>
        <v>7</v>
      </c>
      <c r="M3080" s="71" t="str">
        <f>IFERROR(INDEX(KALENDER!$D$3:$D$132,MATCH(H3080,KALENDER!$A$3:$A$132,0)),"Di luar periode")</f>
        <v>Hari Kerja</v>
      </c>
      <c r="N3080" s="71">
        <f t="shared" si="433"/>
        <v>1</v>
      </c>
      <c r="O3080" s="71">
        <f t="shared" si="434"/>
        <v>1</v>
      </c>
      <c r="P3080" s="71">
        <f t="shared" si="435"/>
        <v>1</v>
      </c>
      <c r="Q3080" s="71">
        <f t="shared" si="436"/>
        <v>0</v>
      </c>
      <c r="R3080" s="71">
        <f t="shared" si="437"/>
        <v>0</v>
      </c>
      <c r="S3080" s="71">
        <f t="shared" si="438"/>
        <v>0</v>
      </c>
      <c r="T3080" s="71">
        <f t="shared" si="439"/>
        <v>0</v>
      </c>
      <c r="U3080" s="71">
        <f>IF(AND(N3080=1,V3080=1),IF(COUNTIFS(AKTIVITAS!$B$2:$B$3052,B3080,AKTIVITAS!$E$2:$E$3052,H3080)&gt;0,1,0),0)</f>
        <v>1</v>
      </c>
      <c r="V3080" s="71">
        <f>IFERROR(IF(AND(H3080&gt;=INDEX(PEMAGANG!$J$3:$J$36,MATCH(B3080,PEMAGANG!$C$3:$C$36,0)),H3080&lt;=INDEX(PEMAGANG!$K$3:$K$36,MATCH(B3080,PEMAGANG!$C$3:$C$36,0))),1,0),0)</f>
        <v>1</v>
      </c>
      <c r="W3080" s="71">
        <f t="shared" si="440"/>
        <v>1</v>
      </c>
    </row>
    <row r="3081" spans="1:23" x14ac:dyDescent="0.2">
      <c r="A3081" s="71" t="s">
        <v>272</v>
      </c>
      <c r="B3081" s="71" t="s">
        <v>273</v>
      </c>
      <c r="C3081" s="71" t="s">
        <v>187</v>
      </c>
      <c r="D3081" s="71" t="s">
        <v>274</v>
      </c>
      <c r="E3081" s="71" t="s">
        <v>693</v>
      </c>
      <c r="F3081" s="71" t="s">
        <v>300</v>
      </c>
      <c r="G3081" s="88">
        <v>46231.7168171296</v>
      </c>
      <c r="H3081" s="89">
        <v>46231</v>
      </c>
      <c r="I3081" s="71" t="s">
        <v>301</v>
      </c>
      <c r="J3081" s="71">
        <v>0</v>
      </c>
      <c r="K3081" s="71" t="s">
        <v>302</v>
      </c>
      <c r="L3081" s="71">
        <f t="shared" si="432"/>
        <v>7</v>
      </c>
      <c r="M3081" s="71" t="str">
        <f>IFERROR(INDEX(KALENDER!$D$3:$D$132,MATCH(H3081,KALENDER!$A$3:$A$132,0)),"Di luar periode")</f>
        <v>Hari Kerja</v>
      </c>
      <c r="N3081" s="71">
        <f t="shared" si="433"/>
        <v>0</v>
      </c>
      <c r="O3081" s="71">
        <f t="shared" si="434"/>
        <v>1</v>
      </c>
      <c r="P3081" s="71">
        <f t="shared" si="435"/>
        <v>0</v>
      </c>
      <c r="Q3081" s="71">
        <f t="shared" si="436"/>
        <v>0</v>
      </c>
      <c r="R3081" s="71">
        <f t="shared" si="437"/>
        <v>0</v>
      </c>
      <c r="S3081" s="71">
        <f t="shared" si="438"/>
        <v>0</v>
      </c>
      <c r="T3081" s="71">
        <f t="shared" si="439"/>
        <v>0</v>
      </c>
      <c r="U3081" s="71">
        <f>IF(AND(N3081=1,V3081=1),IF(COUNTIFS(AKTIVITAS!$B$2:$B$3052,B3081,AKTIVITAS!$E$2:$E$3052,H3081)&gt;0,1,0),0)</f>
        <v>0</v>
      </c>
      <c r="V3081" s="71">
        <f>IFERROR(IF(AND(H3081&gt;=INDEX(PEMAGANG!$J$3:$J$36,MATCH(B3081,PEMAGANG!$C$3:$C$36,0)),H3081&lt;=INDEX(PEMAGANG!$K$3:$K$36,MATCH(B3081,PEMAGANG!$C$3:$C$36,0))),1,0),0)</f>
        <v>1</v>
      </c>
      <c r="W3081" s="71">
        <f t="shared" si="440"/>
        <v>0</v>
      </c>
    </row>
    <row r="3082" spans="1:23" x14ac:dyDescent="0.2">
      <c r="A3082" s="71" t="s">
        <v>272</v>
      </c>
      <c r="B3082" s="71" t="s">
        <v>273</v>
      </c>
      <c r="C3082" s="71" t="s">
        <v>187</v>
      </c>
      <c r="D3082" s="71" t="s">
        <v>274</v>
      </c>
      <c r="E3082" s="71" t="s">
        <v>693</v>
      </c>
      <c r="F3082" s="71" t="s">
        <v>298</v>
      </c>
      <c r="G3082" s="88">
        <v>46233.309340277803</v>
      </c>
      <c r="H3082" s="89">
        <v>46233</v>
      </c>
      <c r="I3082" s="71" t="s">
        <v>307</v>
      </c>
      <c r="J3082" s="71">
        <v>-4.9999999999999796</v>
      </c>
      <c r="K3082" s="71" t="s">
        <v>302</v>
      </c>
      <c r="L3082" s="71">
        <f t="shared" si="432"/>
        <v>7</v>
      </c>
      <c r="M3082" s="71" t="str">
        <f>IFERROR(INDEX(KALENDER!$D$3:$D$132,MATCH(H3082,KALENDER!$A$3:$A$132,0)),"Di luar periode")</f>
        <v>Hari Kerja</v>
      </c>
      <c r="N3082" s="71">
        <f t="shared" si="433"/>
        <v>1</v>
      </c>
      <c r="O3082" s="71">
        <f t="shared" si="434"/>
        <v>1</v>
      </c>
      <c r="P3082" s="71">
        <f t="shared" si="435"/>
        <v>1</v>
      </c>
      <c r="Q3082" s="71">
        <f t="shared" si="436"/>
        <v>0</v>
      </c>
      <c r="R3082" s="71">
        <f t="shared" si="437"/>
        <v>0</v>
      </c>
      <c r="S3082" s="71">
        <f t="shared" si="438"/>
        <v>0</v>
      </c>
      <c r="T3082" s="71">
        <f t="shared" si="439"/>
        <v>0</v>
      </c>
      <c r="U3082" s="71">
        <f>IF(AND(N3082=1,V3082=1),IF(COUNTIFS(AKTIVITAS!$B$2:$B$3052,B3082,AKTIVITAS!$E$2:$E$3052,H3082)&gt;0,1,0),0)</f>
        <v>1</v>
      </c>
      <c r="V3082" s="71">
        <f>IFERROR(IF(AND(H3082&gt;=INDEX(PEMAGANG!$J$3:$J$36,MATCH(B3082,PEMAGANG!$C$3:$C$36,0)),H3082&lt;=INDEX(PEMAGANG!$K$3:$K$36,MATCH(B3082,PEMAGANG!$C$3:$C$36,0))),1,0),0)</f>
        <v>1</v>
      </c>
      <c r="W3082" s="71">
        <f t="shared" si="440"/>
        <v>1</v>
      </c>
    </row>
    <row r="3083" spans="1:23" x14ac:dyDescent="0.2">
      <c r="A3083" s="71" t="s">
        <v>272</v>
      </c>
      <c r="B3083" s="71" t="s">
        <v>273</v>
      </c>
      <c r="C3083" s="71" t="s">
        <v>187</v>
      </c>
      <c r="D3083" s="71" t="s">
        <v>274</v>
      </c>
      <c r="E3083" s="71" t="s">
        <v>693</v>
      </c>
      <c r="F3083" s="71" t="s">
        <v>300</v>
      </c>
      <c r="G3083" s="88">
        <v>46233.776793981502</v>
      </c>
      <c r="H3083" s="89">
        <v>46233</v>
      </c>
      <c r="I3083" s="71" t="s">
        <v>697</v>
      </c>
      <c r="J3083" s="71">
        <v>0</v>
      </c>
      <c r="K3083" s="71" t="s">
        <v>302</v>
      </c>
      <c r="L3083" s="71">
        <f t="shared" si="432"/>
        <v>7</v>
      </c>
      <c r="M3083" s="71" t="str">
        <f>IFERROR(INDEX(KALENDER!$D$3:$D$132,MATCH(H3083,KALENDER!$A$3:$A$132,0)),"Di luar periode")</f>
        <v>Hari Kerja</v>
      </c>
      <c r="N3083" s="71">
        <f t="shared" si="433"/>
        <v>0</v>
      </c>
      <c r="O3083" s="71">
        <f t="shared" si="434"/>
        <v>1</v>
      </c>
      <c r="P3083" s="71">
        <f t="shared" si="435"/>
        <v>0</v>
      </c>
      <c r="Q3083" s="71">
        <f t="shared" si="436"/>
        <v>0</v>
      </c>
      <c r="R3083" s="71">
        <f t="shared" si="437"/>
        <v>0</v>
      </c>
      <c r="S3083" s="71">
        <f t="shared" si="438"/>
        <v>0</v>
      </c>
      <c r="T3083" s="71">
        <f t="shared" si="439"/>
        <v>0</v>
      </c>
      <c r="U3083" s="71">
        <f>IF(AND(N3083=1,V3083=1),IF(COUNTIFS(AKTIVITAS!$B$2:$B$3052,B3083,AKTIVITAS!$E$2:$E$3052,H3083)&gt;0,1,0),0)</f>
        <v>0</v>
      </c>
      <c r="V3083" s="71">
        <f>IFERROR(IF(AND(H3083&gt;=INDEX(PEMAGANG!$J$3:$J$36,MATCH(B3083,PEMAGANG!$C$3:$C$36,0)),H3083&lt;=INDEX(PEMAGANG!$K$3:$K$36,MATCH(B3083,PEMAGANG!$C$3:$C$36,0))),1,0),0)</f>
        <v>1</v>
      </c>
      <c r="W3083" s="71">
        <f t="shared" si="440"/>
        <v>0</v>
      </c>
    </row>
    <row r="3084" spans="1:23" x14ac:dyDescent="0.2">
      <c r="A3084" s="71" t="s">
        <v>272</v>
      </c>
      <c r="B3084" s="71" t="s">
        <v>273</v>
      </c>
      <c r="C3084" s="71" t="s">
        <v>187</v>
      </c>
      <c r="D3084" s="71" t="s">
        <v>274</v>
      </c>
      <c r="E3084" s="71" t="s">
        <v>693</v>
      </c>
      <c r="F3084" s="71" t="s">
        <v>298</v>
      </c>
      <c r="G3084" s="88">
        <v>46234.310763888898</v>
      </c>
      <c r="H3084" s="89">
        <v>46234</v>
      </c>
      <c r="I3084" s="71" t="s">
        <v>309</v>
      </c>
      <c r="J3084" s="71">
        <v>-2.9999999999999898</v>
      </c>
      <c r="K3084" s="71" t="s">
        <v>302</v>
      </c>
      <c r="L3084" s="71">
        <f t="shared" si="432"/>
        <v>7</v>
      </c>
      <c r="M3084" s="71" t="str">
        <f>IFERROR(INDEX(KALENDER!$D$3:$D$132,MATCH(H3084,KALENDER!$A$3:$A$132,0)),"Di luar periode")</f>
        <v>Hari Kerja</v>
      </c>
      <c r="N3084" s="71">
        <f t="shared" si="433"/>
        <v>1</v>
      </c>
      <c r="O3084" s="71">
        <f t="shared" si="434"/>
        <v>1</v>
      </c>
      <c r="P3084" s="71">
        <f t="shared" si="435"/>
        <v>1</v>
      </c>
      <c r="Q3084" s="71">
        <f t="shared" si="436"/>
        <v>0</v>
      </c>
      <c r="R3084" s="71">
        <f t="shared" si="437"/>
        <v>0</v>
      </c>
      <c r="S3084" s="71">
        <f t="shared" si="438"/>
        <v>0</v>
      </c>
      <c r="T3084" s="71">
        <f t="shared" si="439"/>
        <v>0</v>
      </c>
      <c r="U3084" s="71">
        <f>IF(AND(N3084=1,V3084=1),IF(COUNTIFS(AKTIVITAS!$B$2:$B$3052,B3084,AKTIVITAS!$E$2:$E$3052,H3084)&gt;0,1,0),0)</f>
        <v>1</v>
      </c>
      <c r="V3084" s="71">
        <f>IFERROR(IF(AND(H3084&gt;=INDEX(PEMAGANG!$J$3:$J$36,MATCH(B3084,PEMAGANG!$C$3:$C$36,0)),H3084&lt;=INDEX(PEMAGANG!$K$3:$K$36,MATCH(B3084,PEMAGANG!$C$3:$C$36,0))),1,0),0)</f>
        <v>1</v>
      </c>
      <c r="W3084" s="71">
        <f t="shared" si="440"/>
        <v>1</v>
      </c>
    </row>
    <row r="3085" spans="1:23" x14ac:dyDescent="0.2">
      <c r="A3085" s="71" t="s">
        <v>272</v>
      </c>
      <c r="B3085" s="71" t="s">
        <v>273</v>
      </c>
      <c r="C3085" s="71" t="s">
        <v>187</v>
      </c>
      <c r="D3085" s="71" t="s">
        <v>274</v>
      </c>
      <c r="E3085" s="71" t="s">
        <v>693</v>
      </c>
      <c r="F3085" s="71" t="s">
        <v>300</v>
      </c>
      <c r="G3085" s="88">
        <v>46234.730694444399</v>
      </c>
      <c r="H3085" s="89">
        <v>46234</v>
      </c>
      <c r="I3085" s="71" t="s">
        <v>696</v>
      </c>
      <c r="J3085" s="71">
        <v>0</v>
      </c>
      <c r="K3085" s="71" t="s">
        <v>302</v>
      </c>
      <c r="L3085" s="71">
        <f t="shared" si="432"/>
        <v>7</v>
      </c>
      <c r="M3085" s="71" t="str">
        <f>IFERROR(INDEX(KALENDER!$D$3:$D$132,MATCH(H3085,KALENDER!$A$3:$A$132,0)),"Di luar periode")</f>
        <v>Hari Kerja</v>
      </c>
      <c r="N3085" s="71">
        <f t="shared" si="433"/>
        <v>0</v>
      </c>
      <c r="O3085" s="71">
        <f t="shared" si="434"/>
        <v>1</v>
      </c>
      <c r="P3085" s="71">
        <f t="shared" si="435"/>
        <v>0</v>
      </c>
      <c r="Q3085" s="71">
        <f t="shared" si="436"/>
        <v>0</v>
      </c>
      <c r="R3085" s="71">
        <f t="shared" si="437"/>
        <v>0</v>
      </c>
      <c r="S3085" s="71">
        <f t="shared" si="438"/>
        <v>0</v>
      </c>
      <c r="T3085" s="71">
        <f t="shared" si="439"/>
        <v>0</v>
      </c>
      <c r="U3085" s="71">
        <f>IF(AND(N3085=1,V3085=1),IF(COUNTIFS(AKTIVITAS!$B$2:$B$3052,B3085,AKTIVITAS!$E$2:$E$3052,H3085)&gt;0,1,0),0)</f>
        <v>0</v>
      </c>
      <c r="V3085" s="71">
        <f>IFERROR(IF(AND(H3085&gt;=INDEX(PEMAGANG!$J$3:$J$36,MATCH(B3085,PEMAGANG!$C$3:$C$36,0)),H3085&lt;=INDEX(PEMAGANG!$K$3:$K$36,MATCH(B3085,PEMAGANG!$C$3:$C$36,0))),1,0),0)</f>
        <v>1</v>
      </c>
      <c r="W3085" s="71">
        <f t="shared" si="440"/>
        <v>0</v>
      </c>
    </row>
    <row r="3086" spans="1:23" x14ac:dyDescent="0.2">
      <c r="A3086" s="71" t="s">
        <v>272</v>
      </c>
      <c r="B3086" s="71" t="s">
        <v>273</v>
      </c>
      <c r="C3086" s="71" t="s">
        <v>187</v>
      </c>
      <c r="D3086" s="71" t="s">
        <v>274</v>
      </c>
      <c r="E3086" s="71" t="s">
        <v>693</v>
      </c>
      <c r="F3086" s="71" t="s">
        <v>298</v>
      </c>
      <c r="G3086" s="88">
        <v>46237.304085648197</v>
      </c>
      <c r="H3086" s="89">
        <v>46237</v>
      </c>
      <c r="I3086" s="71" t="s">
        <v>331</v>
      </c>
      <c r="J3086" s="71">
        <v>-13</v>
      </c>
      <c r="K3086" s="71" t="s">
        <v>302</v>
      </c>
      <c r="L3086" s="71">
        <f t="shared" si="432"/>
        <v>8</v>
      </c>
      <c r="M3086" s="71" t="str">
        <f>IFERROR(INDEX(KALENDER!$D$3:$D$132,MATCH(H3086,KALENDER!$A$3:$A$132,0)),"Di luar periode")</f>
        <v>Hari Kerja</v>
      </c>
      <c r="N3086" s="71">
        <f t="shared" si="433"/>
        <v>1</v>
      </c>
      <c r="O3086" s="71">
        <f t="shared" si="434"/>
        <v>1</v>
      </c>
      <c r="P3086" s="71">
        <f t="shared" si="435"/>
        <v>1</v>
      </c>
      <c r="Q3086" s="71">
        <f t="shared" si="436"/>
        <v>0</v>
      </c>
      <c r="R3086" s="71">
        <f t="shared" si="437"/>
        <v>0</v>
      </c>
      <c r="S3086" s="71">
        <f t="shared" si="438"/>
        <v>0</v>
      </c>
      <c r="T3086" s="71">
        <f t="shared" si="439"/>
        <v>0</v>
      </c>
      <c r="U3086" s="71">
        <f>IF(AND(N3086=1,V3086=1),IF(COUNTIFS(AKTIVITAS!$B$2:$B$3052,B3086,AKTIVITAS!$E$2:$E$3052,H3086)&gt;0,1,0),0)</f>
        <v>1</v>
      </c>
      <c r="V3086" s="71">
        <f>IFERROR(IF(AND(H3086&gt;=INDEX(PEMAGANG!$J$3:$J$36,MATCH(B3086,PEMAGANG!$C$3:$C$36,0)),H3086&lt;=INDEX(PEMAGANG!$K$3:$K$36,MATCH(B3086,PEMAGANG!$C$3:$C$36,0))),1,0),0)</f>
        <v>1</v>
      </c>
      <c r="W3086" s="71">
        <f t="shared" si="440"/>
        <v>1</v>
      </c>
    </row>
    <row r="3087" spans="1:23" x14ac:dyDescent="0.2">
      <c r="A3087" s="71" t="s">
        <v>272</v>
      </c>
      <c r="B3087" s="71" t="s">
        <v>273</v>
      </c>
      <c r="C3087" s="71" t="s">
        <v>187</v>
      </c>
      <c r="D3087" s="71" t="s">
        <v>274</v>
      </c>
      <c r="E3087" s="71" t="s">
        <v>693</v>
      </c>
      <c r="F3087" s="71" t="s">
        <v>300</v>
      </c>
      <c r="G3087" s="88">
        <v>46237.691990740699</v>
      </c>
      <c r="H3087" s="89">
        <v>46237</v>
      </c>
      <c r="I3087" s="71" t="s">
        <v>344</v>
      </c>
      <c r="J3087" s="71">
        <v>0</v>
      </c>
      <c r="K3087" s="71" t="s">
        <v>302</v>
      </c>
      <c r="L3087" s="71">
        <f t="shared" si="432"/>
        <v>8</v>
      </c>
      <c r="M3087" s="71" t="str">
        <f>IFERROR(INDEX(KALENDER!$D$3:$D$132,MATCH(H3087,KALENDER!$A$3:$A$132,0)),"Di luar periode")</f>
        <v>Hari Kerja</v>
      </c>
      <c r="N3087" s="71">
        <f t="shared" si="433"/>
        <v>0</v>
      </c>
      <c r="O3087" s="71">
        <f t="shared" si="434"/>
        <v>1</v>
      </c>
      <c r="P3087" s="71">
        <f t="shared" si="435"/>
        <v>0</v>
      </c>
      <c r="Q3087" s="71">
        <f t="shared" si="436"/>
        <v>0</v>
      </c>
      <c r="R3087" s="71">
        <f t="shared" si="437"/>
        <v>0</v>
      </c>
      <c r="S3087" s="71">
        <f t="shared" si="438"/>
        <v>0</v>
      </c>
      <c r="T3087" s="71">
        <f t="shared" si="439"/>
        <v>0</v>
      </c>
      <c r="U3087" s="71">
        <f>IF(AND(N3087=1,V3087=1),IF(COUNTIFS(AKTIVITAS!$B$2:$B$3052,B3087,AKTIVITAS!$E$2:$E$3052,H3087)&gt;0,1,0),0)</f>
        <v>0</v>
      </c>
      <c r="V3087" s="71">
        <f>IFERROR(IF(AND(H3087&gt;=INDEX(PEMAGANG!$J$3:$J$36,MATCH(B3087,PEMAGANG!$C$3:$C$36,0)),H3087&lt;=INDEX(PEMAGANG!$K$3:$K$36,MATCH(B3087,PEMAGANG!$C$3:$C$36,0))),1,0),0)</f>
        <v>1</v>
      </c>
      <c r="W3087" s="71">
        <f t="shared" si="440"/>
        <v>0</v>
      </c>
    </row>
    <row r="3088" spans="1:23" x14ac:dyDescent="0.2">
      <c r="A3088" s="71" t="s">
        <v>272</v>
      </c>
      <c r="B3088" s="71" t="s">
        <v>273</v>
      </c>
      <c r="C3088" s="71" t="s">
        <v>187</v>
      </c>
      <c r="D3088" s="71" t="s">
        <v>274</v>
      </c>
      <c r="E3088" s="71" t="s">
        <v>693</v>
      </c>
      <c r="F3088" s="71" t="s">
        <v>298</v>
      </c>
      <c r="G3088" s="88">
        <v>46238.310578703698</v>
      </c>
      <c r="H3088" s="89">
        <v>46238</v>
      </c>
      <c r="I3088" s="71" t="s">
        <v>309</v>
      </c>
      <c r="J3088" s="71">
        <v>-2.9999999999999898</v>
      </c>
      <c r="K3088" s="71" t="s">
        <v>302</v>
      </c>
      <c r="L3088" s="71">
        <f t="shared" si="432"/>
        <v>8</v>
      </c>
      <c r="M3088" s="71" t="str">
        <f>IFERROR(INDEX(KALENDER!$D$3:$D$132,MATCH(H3088,KALENDER!$A$3:$A$132,0)),"Di luar periode")</f>
        <v>Hari Kerja</v>
      </c>
      <c r="N3088" s="71">
        <f t="shared" si="433"/>
        <v>1</v>
      </c>
      <c r="O3088" s="71">
        <f t="shared" si="434"/>
        <v>1</v>
      </c>
      <c r="P3088" s="71">
        <f t="shared" si="435"/>
        <v>1</v>
      </c>
      <c r="Q3088" s="71">
        <f t="shared" si="436"/>
        <v>0</v>
      </c>
      <c r="R3088" s="71">
        <f t="shared" si="437"/>
        <v>0</v>
      </c>
      <c r="S3088" s="71">
        <f t="shared" si="438"/>
        <v>0</v>
      </c>
      <c r="T3088" s="71">
        <f t="shared" si="439"/>
        <v>0</v>
      </c>
      <c r="U3088" s="71">
        <f>IF(AND(N3088=1,V3088=1),IF(COUNTIFS(AKTIVITAS!$B$2:$B$3052,B3088,AKTIVITAS!$E$2:$E$3052,H3088)&gt;0,1,0),0)</f>
        <v>1</v>
      </c>
      <c r="V3088" s="71">
        <f>IFERROR(IF(AND(H3088&gt;=INDEX(PEMAGANG!$J$3:$J$36,MATCH(B3088,PEMAGANG!$C$3:$C$36,0)),H3088&lt;=INDEX(PEMAGANG!$K$3:$K$36,MATCH(B3088,PEMAGANG!$C$3:$C$36,0))),1,0),0)</f>
        <v>1</v>
      </c>
      <c r="W3088" s="71">
        <f t="shared" si="440"/>
        <v>1</v>
      </c>
    </row>
    <row r="3089" spans="1:23" x14ac:dyDescent="0.2">
      <c r="A3089" s="71" t="s">
        <v>272</v>
      </c>
      <c r="B3089" s="71" t="s">
        <v>273</v>
      </c>
      <c r="C3089" s="71" t="s">
        <v>187</v>
      </c>
      <c r="D3089" s="71" t="s">
        <v>274</v>
      </c>
      <c r="E3089" s="71" t="s">
        <v>693</v>
      </c>
      <c r="F3089" s="71" t="s">
        <v>300</v>
      </c>
      <c r="G3089" s="88">
        <v>46238.7191550926</v>
      </c>
      <c r="H3089" s="89">
        <v>46238</v>
      </c>
      <c r="I3089" s="71" t="s">
        <v>399</v>
      </c>
      <c r="J3089" s="71">
        <v>0</v>
      </c>
      <c r="K3089" s="71" t="s">
        <v>302</v>
      </c>
      <c r="L3089" s="71">
        <f t="shared" si="432"/>
        <v>8</v>
      </c>
      <c r="M3089" s="71" t="str">
        <f>IFERROR(INDEX(KALENDER!$D$3:$D$132,MATCH(H3089,KALENDER!$A$3:$A$132,0)),"Di luar periode")</f>
        <v>Hari Kerja</v>
      </c>
      <c r="N3089" s="71">
        <f t="shared" si="433"/>
        <v>0</v>
      </c>
      <c r="O3089" s="71">
        <f t="shared" si="434"/>
        <v>1</v>
      </c>
      <c r="P3089" s="71">
        <f t="shared" si="435"/>
        <v>0</v>
      </c>
      <c r="Q3089" s="71">
        <f t="shared" si="436"/>
        <v>0</v>
      </c>
      <c r="R3089" s="71">
        <f t="shared" si="437"/>
        <v>0</v>
      </c>
      <c r="S3089" s="71">
        <f t="shared" si="438"/>
        <v>0</v>
      </c>
      <c r="T3089" s="71">
        <f t="shared" si="439"/>
        <v>0</v>
      </c>
      <c r="U3089" s="71">
        <f>IF(AND(N3089=1,V3089=1),IF(COUNTIFS(AKTIVITAS!$B$2:$B$3052,B3089,AKTIVITAS!$E$2:$E$3052,H3089)&gt;0,1,0),0)</f>
        <v>0</v>
      </c>
      <c r="V3089" s="71">
        <f>IFERROR(IF(AND(H3089&gt;=INDEX(PEMAGANG!$J$3:$J$36,MATCH(B3089,PEMAGANG!$C$3:$C$36,0)),H3089&lt;=INDEX(PEMAGANG!$K$3:$K$36,MATCH(B3089,PEMAGANG!$C$3:$C$36,0))),1,0),0)</f>
        <v>1</v>
      </c>
      <c r="W3089" s="71">
        <f t="shared" si="440"/>
        <v>0</v>
      </c>
    </row>
    <row r="3090" spans="1:23" x14ac:dyDescent="0.2">
      <c r="A3090" s="71" t="s">
        <v>272</v>
      </c>
      <c r="B3090" s="71" t="s">
        <v>273</v>
      </c>
      <c r="C3090" s="71" t="s">
        <v>187</v>
      </c>
      <c r="D3090" s="71" t="s">
        <v>274</v>
      </c>
      <c r="E3090" s="71" t="s">
        <v>693</v>
      </c>
      <c r="F3090" s="71" t="s">
        <v>298</v>
      </c>
      <c r="G3090" s="88">
        <v>46239.3070717593</v>
      </c>
      <c r="H3090" s="89">
        <v>46239</v>
      </c>
      <c r="I3090" s="71" t="s">
        <v>313</v>
      </c>
      <c r="J3090" s="71">
        <v>-8.0000000000000497</v>
      </c>
      <c r="K3090" s="71" t="s">
        <v>302</v>
      </c>
      <c r="L3090" s="71">
        <f t="shared" si="432"/>
        <v>8</v>
      </c>
      <c r="M3090" s="71" t="str">
        <f>IFERROR(INDEX(KALENDER!$D$3:$D$132,MATCH(H3090,KALENDER!$A$3:$A$132,0)),"Di luar periode")</f>
        <v>Hari Kerja</v>
      </c>
      <c r="N3090" s="71">
        <f t="shared" si="433"/>
        <v>1</v>
      </c>
      <c r="O3090" s="71">
        <f t="shared" si="434"/>
        <v>1</v>
      </c>
      <c r="P3090" s="71">
        <f t="shared" si="435"/>
        <v>1</v>
      </c>
      <c r="Q3090" s="71">
        <f t="shared" si="436"/>
        <v>0</v>
      </c>
      <c r="R3090" s="71">
        <f t="shared" si="437"/>
        <v>0</v>
      </c>
      <c r="S3090" s="71">
        <f t="shared" si="438"/>
        <v>0</v>
      </c>
      <c r="T3090" s="71">
        <f t="shared" si="439"/>
        <v>0</v>
      </c>
      <c r="U3090" s="71">
        <f>IF(AND(N3090=1,V3090=1),IF(COUNTIFS(AKTIVITAS!$B$2:$B$3052,B3090,AKTIVITAS!$E$2:$E$3052,H3090)&gt;0,1,0),0)</f>
        <v>1</v>
      </c>
      <c r="V3090" s="71">
        <f>IFERROR(IF(AND(H3090&gt;=INDEX(PEMAGANG!$J$3:$J$36,MATCH(B3090,PEMAGANG!$C$3:$C$36,0)),H3090&lt;=INDEX(PEMAGANG!$K$3:$K$36,MATCH(B3090,PEMAGANG!$C$3:$C$36,0))),1,0),0)</f>
        <v>1</v>
      </c>
      <c r="W3090" s="71">
        <f t="shared" si="440"/>
        <v>1</v>
      </c>
    </row>
    <row r="3091" spans="1:23" x14ac:dyDescent="0.2">
      <c r="A3091" s="71" t="s">
        <v>272</v>
      </c>
      <c r="B3091" s="71" t="s">
        <v>273</v>
      </c>
      <c r="C3091" s="71" t="s">
        <v>187</v>
      </c>
      <c r="D3091" s="71" t="s">
        <v>274</v>
      </c>
      <c r="E3091" s="71" t="s">
        <v>693</v>
      </c>
      <c r="F3091" s="71" t="s">
        <v>300</v>
      </c>
      <c r="G3091" s="88">
        <v>46239.696875000001</v>
      </c>
      <c r="H3091" s="89">
        <v>46239</v>
      </c>
      <c r="I3091" s="71" t="s">
        <v>347</v>
      </c>
      <c r="J3091" s="71">
        <v>0</v>
      </c>
      <c r="K3091" s="71" t="s">
        <v>302</v>
      </c>
      <c r="L3091" s="71">
        <f t="shared" si="432"/>
        <v>8</v>
      </c>
      <c r="M3091" s="71" t="str">
        <f>IFERROR(INDEX(KALENDER!$D$3:$D$132,MATCH(H3091,KALENDER!$A$3:$A$132,0)),"Di luar periode")</f>
        <v>Hari Kerja</v>
      </c>
      <c r="N3091" s="71">
        <f t="shared" si="433"/>
        <v>0</v>
      </c>
      <c r="O3091" s="71">
        <f t="shared" si="434"/>
        <v>1</v>
      </c>
      <c r="P3091" s="71">
        <f t="shared" si="435"/>
        <v>0</v>
      </c>
      <c r="Q3091" s="71">
        <f t="shared" si="436"/>
        <v>0</v>
      </c>
      <c r="R3091" s="71">
        <f t="shared" si="437"/>
        <v>0</v>
      </c>
      <c r="S3091" s="71">
        <f t="shared" si="438"/>
        <v>0</v>
      </c>
      <c r="T3091" s="71">
        <f t="shared" si="439"/>
        <v>0</v>
      </c>
      <c r="U3091" s="71">
        <f>IF(AND(N3091=1,V3091=1),IF(COUNTIFS(AKTIVITAS!$B$2:$B$3052,B3091,AKTIVITAS!$E$2:$E$3052,H3091)&gt;0,1,0),0)</f>
        <v>0</v>
      </c>
      <c r="V3091" s="71">
        <f>IFERROR(IF(AND(H3091&gt;=INDEX(PEMAGANG!$J$3:$J$36,MATCH(B3091,PEMAGANG!$C$3:$C$36,0)),H3091&lt;=INDEX(PEMAGANG!$K$3:$K$36,MATCH(B3091,PEMAGANG!$C$3:$C$36,0))),1,0),0)</f>
        <v>1</v>
      </c>
      <c r="W3091" s="71">
        <f t="shared" si="440"/>
        <v>0</v>
      </c>
    </row>
    <row r="3092" spans="1:23" x14ac:dyDescent="0.2">
      <c r="A3092" s="71" t="s">
        <v>272</v>
      </c>
      <c r="B3092" s="71" t="s">
        <v>273</v>
      </c>
      <c r="C3092" s="71" t="s">
        <v>187</v>
      </c>
      <c r="D3092" s="71" t="s">
        <v>274</v>
      </c>
      <c r="E3092" s="71" t="s">
        <v>693</v>
      </c>
      <c r="F3092" s="71" t="s">
        <v>298</v>
      </c>
      <c r="G3092" s="88">
        <v>46240.306689814803</v>
      </c>
      <c r="H3092" s="89">
        <v>46240</v>
      </c>
      <c r="I3092" s="71" t="s">
        <v>305</v>
      </c>
      <c r="J3092" s="71">
        <v>-9.0000000000000497</v>
      </c>
      <c r="K3092" s="71" t="s">
        <v>302</v>
      </c>
      <c r="L3092" s="71">
        <f t="shared" si="432"/>
        <v>8</v>
      </c>
      <c r="M3092" s="71" t="str">
        <f>IFERROR(INDEX(KALENDER!$D$3:$D$132,MATCH(H3092,KALENDER!$A$3:$A$132,0)),"Di luar periode")</f>
        <v>Hari Kerja</v>
      </c>
      <c r="N3092" s="71">
        <f t="shared" si="433"/>
        <v>1</v>
      </c>
      <c r="O3092" s="71">
        <f t="shared" si="434"/>
        <v>1</v>
      </c>
      <c r="P3092" s="71">
        <f t="shared" si="435"/>
        <v>1</v>
      </c>
      <c r="Q3092" s="71">
        <f t="shared" si="436"/>
        <v>0</v>
      </c>
      <c r="R3092" s="71">
        <f t="shared" si="437"/>
        <v>0</v>
      </c>
      <c r="S3092" s="71">
        <f t="shared" si="438"/>
        <v>0</v>
      </c>
      <c r="T3092" s="71">
        <f t="shared" si="439"/>
        <v>0</v>
      </c>
      <c r="U3092" s="71">
        <f>IF(AND(N3092=1,V3092=1),IF(COUNTIFS(AKTIVITAS!$B$2:$B$3052,B3092,AKTIVITAS!$E$2:$E$3052,H3092)&gt;0,1,0),0)</f>
        <v>1</v>
      </c>
      <c r="V3092" s="71">
        <f>IFERROR(IF(AND(H3092&gt;=INDEX(PEMAGANG!$J$3:$J$36,MATCH(B3092,PEMAGANG!$C$3:$C$36,0)),H3092&lt;=INDEX(PEMAGANG!$K$3:$K$36,MATCH(B3092,PEMAGANG!$C$3:$C$36,0))),1,0),0)</f>
        <v>1</v>
      </c>
      <c r="W3092" s="71">
        <f t="shared" si="440"/>
        <v>1</v>
      </c>
    </row>
    <row r="3093" spans="1:23" x14ac:dyDescent="0.2">
      <c r="A3093" s="71" t="s">
        <v>272</v>
      </c>
      <c r="B3093" s="71" t="s">
        <v>273</v>
      </c>
      <c r="C3093" s="71" t="s">
        <v>187</v>
      </c>
      <c r="D3093" s="71" t="s">
        <v>274</v>
      </c>
      <c r="E3093" s="71" t="s">
        <v>693</v>
      </c>
      <c r="F3093" s="71" t="s">
        <v>300</v>
      </c>
      <c r="G3093" s="88">
        <v>46240.688634259299</v>
      </c>
      <c r="H3093" s="89">
        <v>46240</v>
      </c>
      <c r="I3093" s="71" t="s">
        <v>336</v>
      </c>
      <c r="J3093" s="71">
        <v>0</v>
      </c>
      <c r="K3093" s="71" t="s">
        <v>302</v>
      </c>
      <c r="L3093" s="71">
        <f t="shared" si="432"/>
        <v>8</v>
      </c>
      <c r="M3093" s="71" t="str">
        <f>IFERROR(INDEX(KALENDER!$D$3:$D$132,MATCH(H3093,KALENDER!$A$3:$A$132,0)),"Di luar periode")</f>
        <v>Hari Kerja</v>
      </c>
      <c r="N3093" s="71">
        <f t="shared" si="433"/>
        <v>0</v>
      </c>
      <c r="O3093" s="71">
        <f t="shared" si="434"/>
        <v>1</v>
      </c>
      <c r="P3093" s="71">
        <f t="shared" si="435"/>
        <v>0</v>
      </c>
      <c r="Q3093" s="71">
        <f t="shared" si="436"/>
        <v>0</v>
      </c>
      <c r="R3093" s="71">
        <f t="shared" si="437"/>
        <v>0</v>
      </c>
      <c r="S3093" s="71">
        <f t="shared" si="438"/>
        <v>0</v>
      </c>
      <c r="T3093" s="71">
        <f t="shared" si="439"/>
        <v>0</v>
      </c>
      <c r="U3093" s="71">
        <f>IF(AND(N3093=1,V3093=1),IF(COUNTIFS(AKTIVITAS!$B$2:$B$3052,B3093,AKTIVITAS!$E$2:$E$3052,H3093)&gt;0,1,0),0)</f>
        <v>0</v>
      </c>
      <c r="V3093" s="71">
        <f>IFERROR(IF(AND(H3093&gt;=INDEX(PEMAGANG!$J$3:$J$36,MATCH(B3093,PEMAGANG!$C$3:$C$36,0)),H3093&lt;=INDEX(PEMAGANG!$K$3:$K$36,MATCH(B3093,PEMAGANG!$C$3:$C$36,0))),1,0),0)</f>
        <v>1</v>
      </c>
      <c r="W3093" s="71">
        <f t="shared" si="440"/>
        <v>0</v>
      </c>
    </row>
    <row r="3094" spans="1:23" x14ac:dyDescent="0.2">
      <c r="A3094" s="71" t="s">
        <v>272</v>
      </c>
      <c r="B3094" s="71" t="s">
        <v>273</v>
      </c>
      <c r="C3094" s="71" t="s">
        <v>187</v>
      </c>
      <c r="D3094" s="71" t="s">
        <v>274</v>
      </c>
      <c r="E3094" s="71" t="s">
        <v>693</v>
      </c>
      <c r="F3094" s="71" t="s">
        <v>298</v>
      </c>
      <c r="G3094" s="88">
        <v>46241.310011574104</v>
      </c>
      <c r="H3094" s="89">
        <v>46241</v>
      </c>
      <c r="I3094" s="71" t="s">
        <v>315</v>
      </c>
      <c r="J3094" s="71">
        <v>-3.9999999999999898</v>
      </c>
      <c r="K3094" s="71" t="s">
        <v>302</v>
      </c>
      <c r="L3094" s="71">
        <f t="shared" si="432"/>
        <v>8</v>
      </c>
      <c r="M3094" s="71" t="str">
        <f>IFERROR(INDEX(KALENDER!$D$3:$D$132,MATCH(H3094,KALENDER!$A$3:$A$132,0)),"Di luar periode")</f>
        <v>Hari Kerja</v>
      </c>
      <c r="N3094" s="71">
        <f t="shared" si="433"/>
        <v>1</v>
      </c>
      <c r="O3094" s="71">
        <f t="shared" si="434"/>
        <v>1</v>
      </c>
      <c r="P3094" s="71">
        <f t="shared" si="435"/>
        <v>1</v>
      </c>
      <c r="Q3094" s="71">
        <f t="shared" si="436"/>
        <v>0</v>
      </c>
      <c r="R3094" s="71">
        <f t="shared" si="437"/>
        <v>0</v>
      </c>
      <c r="S3094" s="71">
        <f t="shared" si="438"/>
        <v>0</v>
      </c>
      <c r="T3094" s="71">
        <f t="shared" si="439"/>
        <v>0</v>
      </c>
      <c r="U3094" s="71">
        <f>IF(AND(N3094=1,V3094=1),IF(COUNTIFS(AKTIVITAS!$B$2:$B$3052,B3094,AKTIVITAS!$E$2:$E$3052,H3094)&gt;0,1,0),0)</f>
        <v>1</v>
      </c>
      <c r="V3094" s="71">
        <f>IFERROR(IF(AND(H3094&gt;=INDEX(PEMAGANG!$J$3:$J$36,MATCH(B3094,PEMAGANG!$C$3:$C$36,0)),H3094&lt;=INDEX(PEMAGANG!$K$3:$K$36,MATCH(B3094,PEMAGANG!$C$3:$C$36,0))),1,0),0)</f>
        <v>1</v>
      </c>
      <c r="W3094" s="71">
        <f t="shared" si="440"/>
        <v>1</v>
      </c>
    </row>
    <row r="3095" spans="1:23" x14ac:dyDescent="0.2">
      <c r="A3095" s="71" t="s">
        <v>272</v>
      </c>
      <c r="B3095" s="71" t="s">
        <v>273</v>
      </c>
      <c r="C3095" s="71" t="s">
        <v>187</v>
      </c>
      <c r="D3095" s="71" t="s">
        <v>274</v>
      </c>
      <c r="E3095" s="71" t="s">
        <v>693</v>
      </c>
      <c r="F3095" s="71" t="s">
        <v>300</v>
      </c>
      <c r="G3095" s="88">
        <v>46241.688344907401</v>
      </c>
      <c r="H3095" s="89">
        <v>46241</v>
      </c>
      <c r="I3095" s="71" t="s">
        <v>336</v>
      </c>
      <c r="J3095" s="71">
        <v>0</v>
      </c>
      <c r="K3095" s="71" t="s">
        <v>302</v>
      </c>
      <c r="L3095" s="71">
        <f t="shared" si="432"/>
        <v>8</v>
      </c>
      <c r="M3095" s="71" t="str">
        <f>IFERROR(INDEX(KALENDER!$D$3:$D$132,MATCH(H3095,KALENDER!$A$3:$A$132,0)),"Di luar periode")</f>
        <v>Hari Kerja</v>
      </c>
      <c r="N3095" s="71">
        <f t="shared" si="433"/>
        <v>0</v>
      </c>
      <c r="O3095" s="71">
        <f t="shared" si="434"/>
        <v>1</v>
      </c>
      <c r="P3095" s="71">
        <f t="shared" si="435"/>
        <v>0</v>
      </c>
      <c r="Q3095" s="71">
        <f t="shared" si="436"/>
        <v>0</v>
      </c>
      <c r="R3095" s="71">
        <f t="shared" si="437"/>
        <v>0</v>
      </c>
      <c r="S3095" s="71">
        <f t="shared" si="438"/>
        <v>0</v>
      </c>
      <c r="T3095" s="71">
        <f t="shared" si="439"/>
        <v>0</v>
      </c>
      <c r="U3095" s="71">
        <f>IF(AND(N3095=1,V3095=1),IF(COUNTIFS(AKTIVITAS!$B$2:$B$3052,B3095,AKTIVITAS!$E$2:$E$3052,H3095)&gt;0,1,0),0)</f>
        <v>0</v>
      </c>
      <c r="V3095" s="71">
        <f>IFERROR(IF(AND(H3095&gt;=INDEX(PEMAGANG!$J$3:$J$36,MATCH(B3095,PEMAGANG!$C$3:$C$36,0)),H3095&lt;=INDEX(PEMAGANG!$K$3:$K$36,MATCH(B3095,PEMAGANG!$C$3:$C$36,0))),1,0),0)</f>
        <v>1</v>
      </c>
      <c r="W3095" s="71">
        <f t="shared" si="440"/>
        <v>0</v>
      </c>
    </row>
    <row r="3096" spans="1:23" x14ac:dyDescent="0.2">
      <c r="A3096" s="71" t="s">
        <v>272</v>
      </c>
      <c r="B3096" s="71" t="s">
        <v>273</v>
      </c>
      <c r="C3096" s="71" t="s">
        <v>187</v>
      </c>
      <c r="D3096" s="71" t="s">
        <v>274</v>
      </c>
      <c r="E3096" s="71" t="s">
        <v>693</v>
      </c>
      <c r="F3096" s="71" t="s">
        <v>298</v>
      </c>
      <c r="G3096" s="88">
        <v>46244.313206018502</v>
      </c>
      <c r="H3096" s="89">
        <v>46244</v>
      </c>
      <c r="I3096" s="71" t="s">
        <v>392</v>
      </c>
      <c r="J3096" s="71">
        <v>0.999999999999996</v>
      </c>
      <c r="K3096" s="71" t="s">
        <v>293</v>
      </c>
      <c r="L3096" s="71">
        <f t="shared" si="432"/>
        <v>8</v>
      </c>
      <c r="M3096" s="71" t="str">
        <f>IFERROR(INDEX(KALENDER!$D$3:$D$132,MATCH(H3096,KALENDER!$A$3:$A$132,0)),"Di luar periode")</f>
        <v>Hari Kerja</v>
      </c>
      <c r="N3096" s="71">
        <f t="shared" si="433"/>
        <v>1</v>
      </c>
      <c r="O3096" s="71">
        <f t="shared" si="434"/>
        <v>1</v>
      </c>
      <c r="P3096" s="71">
        <f t="shared" si="435"/>
        <v>1</v>
      </c>
      <c r="Q3096" s="71">
        <f t="shared" si="436"/>
        <v>0</v>
      </c>
      <c r="R3096" s="71">
        <f t="shared" si="437"/>
        <v>1</v>
      </c>
      <c r="S3096" s="71">
        <f t="shared" si="438"/>
        <v>0.999999999999996</v>
      </c>
      <c r="T3096" s="71">
        <f t="shared" si="439"/>
        <v>0</v>
      </c>
      <c r="U3096" s="71">
        <f>IF(AND(N3096=1,V3096=1),IF(COUNTIFS(AKTIVITAS!$B$2:$B$3052,B3096,AKTIVITAS!$E$2:$E$3052,H3096)&gt;0,1,0),0)</f>
        <v>1</v>
      </c>
      <c r="V3096" s="71">
        <f>IFERROR(IF(AND(H3096&gt;=INDEX(PEMAGANG!$J$3:$J$36,MATCH(B3096,PEMAGANG!$C$3:$C$36,0)),H3096&lt;=INDEX(PEMAGANG!$K$3:$K$36,MATCH(B3096,PEMAGANG!$C$3:$C$36,0))),1,0),0)</f>
        <v>1</v>
      </c>
      <c r="W3096" s="71">
        <f t="shared" si="440"/>
        <v>1</v>
      </c>
    </row>
    <row r="3097" spans="1:23" x14ac:dyDescent="0.2">
      <c r="A3097" s="71" t="s">
        <v>272</v>
      </c>
      <c r="B3097" s="71" t="s">
        <v>273</v>
      </c>
      <c r="C3097" s="71" t="s">
        <v>187</v>
      </c>
      <c r="D3097" s="71" t="s">
        <v>274</v>
      </c>
      <c r="E3097" s="71" t="s">
        <v>693</v>
      </c>
      <c r="F3097" s="71" t="s">
        <v>300</v>
      </c>
      <c r="G3097" s="88">
        <v>46244.714421296303</v>
      </c>
      <c r="H3097" s="89">
        <v>46244</v>
      </c>
      <c r="I3097" s="71" t="s">
        <v>401</v>
      </c>
      <c r="J3097" s="71">
        <v>0</v>
      </c>
      <c r="K3097" s="71" t="s">
        <v>302</v>
      </c>
      <c r="L3097" s="71">
        <f t="shared" si="432"/>
        <v>8</v>
      </c>
      <c r="M3097" s="71" t="str">
        <f>IFERROR(INDEX(KALENDER!$D$3:$D$132,MATCH(H3097,KALENDER!$A$3:$A$132,0)),"Di luar periode")</f>
        <v>Hari Kerja</v>
      </c>
      <c r="N3097" s="71">
        <f t="shared" si="433"/>
        <v>0</v>
      </c>
      <c r="O3097" s="71">
        <f t="shared" si="434"/>
        <v>1</v>
      </c>
      <c r="P3097" s="71">
        <f t="shared" si="435"/>
        <v>0</v>
      </c>
      <c r="Q3097" s="71">
        <f t="shared" si="436"/>
        <v>0</v>
      </c>
      <c r="R3097" s="71">
        <f t="shared" si="437"/>
        <v>0</v>
      </c>
      <c r="S3097" s="71">
        <f t="shared" si="438"/>
        <v>0</v>
      </c>
      <c r="T3097" s="71">
        <f t="shared" si="439"/>
        <v>0</v>
      </c>
      <c r="U3097" s="71">
        <f>IF(AND(N3097=1,V3097=1),IF(COUNTIFS(AKTIVITAS!$B$2:$B$3052,B3097,AKTIVITAS!$E$2:$E$3052,H3097)&gt;0,1,0),0)</f>
        <v>0</v>
      </c>
      <c r="V3097" s="71">
        <f>IFERROR(IF(AND(H3097&gt;=INDEX(PEMAGANG!$J$3:$J$36,MATCH(B3097,PEMAGANG!$C$3:$C$36,0)),H3097&lt;=INDEX(PEMAGANG!$K$3:$K$36,MATCH(B3097,PEMAGANG!$C$3:$C$36,0))),1,0),0)</f>
        <v>1</v>
      </c>
      <c r="W3097" s="71">
        <f t="shared" si="440"/>
        <v>0</v>
      </c>
    </row>
    <row r="3098" spans="1:23" x14ac:dyDescent="0.2">
      <c r="A3098" s="71" t="s">
        <v>272</v>
      </c>
      <c r="B3098" s="71" t="s">
        <v>273</v>
      </c>
      <c r="C3098" s="71" t="s">
        <v>187</v>
      </c>
      <c r="D3098" s="71" t="s">
        <v>274</v>
      </c>
      <c r="E3098" s="71" t="s">
        <v>693</v>
      </c>
      <c r="F3098" s="71" t="s">
        <v>298</v>
      </c>
      <c r="G3098" s="88">
        <v>46245.689733796302</v>
      </c>
      <c r="H3098" s="89">
        <v>46245</v>
      </c>
      <c r="I3098" s="71" t="s">
        <v>316</v>
      </c>
      <c r="J3098" s="71">
        <v>543</v>
      </c>
      <c r="K3098" s="71" t="s">
        <v>293</v>
      </c>
      <c r="L3098" s="71">
        <f t="shared" si="432"/>
        <v>8</v>
      </c>
      <c r="M3098" s="71" t="str">
        <f>IFERROR(INDEX(KALENDER!$D$3:$D$132,MATCH(H3098,KALENDER!$A$3:$A$132,0)),"Di luar periode")</f>
        <v>Hari Kerja</v>
      </c>
      <c r="N3098" s="71">
        <f t="shared" si="433"/>
        <v>1</v>
      </c>
      <c r="O3098" s="71">
        <f t="shared" si="434"/>
        <v>1</v>
      </c>
      <c r="P3098" s="71">
        <f t="shared" si="435"/>
        <v>1</v>
      </c>
      <c r="Q3098" s="71">
        <f t="shared" si="436"/>
        <v>0</v>
      </c>
      <c r="R3098" s="71">
        <f t="shared" si="437"/>
        <v>1</v>
      </c>
      <c r="S3098" s="71">
        <f t="shared" si="438"/>
        <v>543</v>
      </c>
      <c r="T3098" s="71">
        <f t="shared" si="439"/>
        <v>0</v>
      </c>
      <c r="U3098" s="71">
        <f>IF(AND(N3098=1,V3098=1),IF(COUNTIFS(AKTIVITAS!$B$2:$B$3052,B3098,AKTIVITAS!$E$2:$E$3052,H3098)&gt;0,1,0),0)</f>
        <v>1</v>
      </c>
      <c r="V3098" s="71">
        <f>IFERROR(IF(AND(H3098&gt;=INDEX(PEMAGANG!$J$3:$J$36,MATCH(B3098,PEMAGANG!$C$3:$C$36,0)),H3098&lt;=INDEX(PEMAGANG!$K$3:$K$36,MATCH(B3098,PEMAGANG!$C$3:$C$36,0))),1,0),0)</f>
        <v>1</v>
      </c>
      <c r="W3098" s="71">
        <f t="shared" si="440"/>
        <v>1</v>
      </c>
    </row>
    <row r="3099" spans="1:23" x14ac:dyDescent="0.2">
      <c r="A3099" s="71" t="s">
        <v>272</v>
      </c>
      <c r="B3099" s="71" t="s">
        <v>273</v>
      </c>
      <c r="C3099" s="71" t="s">
        <v>187</v>
      </c>
      <c r="D3099" s="71" t="s">
        <v>274</v>
      </c>
      <c r="E3099" s="71" t="s">
        <v>693</v>
      </c>
      <c r="F3099" s="71" t="s">
        <v>300</v>
      </c>
      <c r="G3099" s="88">
        <v>46245.691886574103</v>
      </c>
      <c r="H3099" s="89">
        <v>46245</v>
      </c>
      <c r="I3099" s="71" t="s">
        <v>344</v>
      </c>
      <c r="J3099" s="71">
        <v>0</v>
      </c>
      <c r="K3099" s="71" t="s">
        <v>302</v>
      </c>
      <c r="L3099" s="71">
        <f t="shared" si="432"/>
        <v>8</v>
      </c>
      <c r="M3099" s="71" t="str">
        <f>IFERROR(INDEX(KALENDER!$D$3:$D$132,MATCH(H3099,KALENDER!$A$3:$A$132,0)),"Di luar periode")</f>
        <v>Hari Kerja</v>
      </c>
      <c r="N3099" s="71">
        <f t="shared" si="433"/>
        <v>0</v>
      </c>
      <c r="O3099" s="71">
        <f t="shared" si="434"/>
        <v>1</v>
      </c>
      <c r="P3099" s="71">
        <f t="shared" si="435"/>
        <v>0</v>
      </c>
      <c r="Q3099" s="71">
        <f t="shared" si="436"/>
        <v>0</v>
      </c>
      <c r="R3099" s="71">
        <f t="shared" si="437"/>
        <v>0</v>
      </c>
      <c r="S3099" s="71">
        <f t="shared" si="438"/>
        <v>0</v>
      </c>
      <c r="T3099" s="71">
        <f t="shared" si="439"/>
        <v>0</v>
      </c>
      <c r="U3099" s="71">
        <f>IF(AND(N3099=1,V3099=1),IF(COUNTIFS(AKTIVITAS!$B$2:$B$3052,B3099,AKTIVITAS!$E$2:$E$3052,H3099)&gt;0,1,0),0)</f>
        <v>0</v>
      </c>
      <c r="V3099" s="71">
        <f>IFERROR(IF(AND(H3099&gt;=INDEX(PEMAGANG!$J$3:$J$36,MATCH(B3099,PEMAGANG!$C$3:$C$36,0)),H3099&lt;=INDEX(PEMAGANG!$K$3:$K$36,MATCH(B3099,PEMAGANG!$C$3:$C$36,0))),1,0),0)</f>
        <v>1</v>
      </c>
      <c r="W3099" s="71">
        <f t="shared" si="440"/>
        <v>0</v>
      </c>
    </row>
    <row r="3100" spans="1:23" x14ac:dyDescent="0.2">
      <c r="A3100" s="71" t="s">
        <v>272</v>
      </c>
      <c r="B3100" s="71" t="s">
        <v>273</v>
      </c>
      <c r="C3100" s="71" t="s">
        <v>187</v>
      </c>
      <c r="D3100" s="71" t="s">
        <v>274</v>
      </c>
      <c r="E3100" s="71" t="s">
        <v>693</v>
      </c>
      <c r="F3100" s="71" t="s">
        <v>298</v>
      </c>
      <c r="G3100" s="88">
        <v>46246.306840277801</v>
      </c>
      <c r="H3100" s="89">
        <v>46246</v>
      </c>
      <c r="I3100" s="71" t="s">
        <v>305</v>
      </c>
      <c r="J3100" s="71">
        <v>-9.0000000000000497</v>
      </c>
      <c r="K3100" s="71" t="s">
        <v>302</v>
      </c>
      <c r="L3100" s="71">
        <f t="shared" si="432"/>
        <v>8</v>
      </c>
      <c r="M3100" s="71" t="str">
        <f>IFERROR(INDEX(KALENDER!$D$3:$D$132,MATCH(H3100,KALENDER!$A$3:$A$132,0)),"Di luar periode")</f>
        <v>Hari Kerja</v>
      </c>
      <c r="N3100" s="71">
        <f t="shared" si="433"/>
        <v>1</v>
      </c>
      <c r="O3100" s="71">
        <f t="shared" si="434"/>
        <v>1</v>
      </c>
      <c r="P3100" s="71">
        <f t="shared" si="435"/>
        <v>1</v>
      </c>
      <c r="Q3100" s="71">
        <f t="shared" si="436"/>
        <v>0</v>
      </c>
      <c r="R3100" s="71">
        <f t="shared" si="437"/>
        <v>0</v>
      </c>
      <c r="S3100" s="71">
        <f t="shared" si="438"/>
        <v>0</v>
      </c>
      <c r="T3100" s="71">
        <f t="shared" si="439"/>
        <v>0</v>
      </c>
      <c r="U3100" s="71">
        <f>IF(AND(N3100=1,V3100=1),IF(COUNTIFS(AKTIVITAS!$B$2:$B$3052,B3100,AKTIVITAS!$E$2:$E$3052,H3100)&gt;0,1,0),0)</f>
        <v>1</v>
      </c>
      <c r="V3100" s="71">
        <f>IFERROR(IF(AND(H3100&gt;=INDEX(PEMAGANG!$J$3:$J$36,MATCH(B3100,PEMAGANG!$C$3:$C$36,0)),H3100&lt;=INDEX(PEMAGANG!$K$3:$K$36,MATCH(B3100,PEMAGANG!$C$3:$C$36,0))),1,0),0)</f>
        <v>1</v>
      </c>
      <c r="W3100" s="71">
        <f t="shared" si="440"/>
        <v>1</v>
      </c>
    </row>
    <row r="3101" spans="1:23" x14ac:dyDescent="0.2">
      <c r="A3101" s="71" t="s">
        <v>272</v>
      </c>
      <c r="B3101" s="71" t="s">
        <v>273</v>
      </c>
      <c r="C3101" s="71" t="s">
        <v>187</v>
      </c>
      <c r="D3101" s="71" t="s">
        <v>274</v>
      </c>
      <c r="E3101" s="71" t="s">
        <v>693</v>
      </c>
      <c r="F3101" s="71" t="s">
        <v>300</v>
      </c>
      <c r="G3101" s="88">
        <v>46246.6905555556</v>
      </c>
      <c r="H3101" s="89">
        <v>46246</v>
      </c>
      <c r="I3101" s="71" t="s">
        <v>314</v>
      </c>
      <c r="J3101" s="71">
        <v>0</v>
      </c>
      <c r="K3101" s="71" t="s">
        <v>302</v>
      </c>
      <c r="L3101" s="71">
        <f t="shared" si="432"/>
        <v>8</v>
      </c>
      <c r="M3101" s="71" t="str">
        <f>IFERROR(INDEX(KALENDER!$D$3:$D$132,MATCH(H3101,KALENDER!$A$3:$A$132,0)),"Di luar periode")</f>
        <v>Hari Kerja</v>
      </c>
      <c r="N3101" s="71">
        <f t="shared" si="433"/>
        <v>0</v>
      </c>
      <c r="O3101" s="71">
        <f t="shared" si="434"/>
        <v>1</v>
      </c>
      <c r="P3101" s="71">
        <f t="shared" si="435"/>
        <v>0</v>
      </c>
      <c r="Q3101" s="71">
        <f t="shared" si="436"/>
        <v>0</v>
      </c>
      <c r="R3101" s="71">
        <f t="shared" si="437"/>
        <v>0</v>
      </c>
      <c r="S3101" s="71">
        <f t="shared" si="438"/>
        <v>0</v>
      </c>
      <c r="T3101" s="71">
        <f t="shared" si="439"/>
        <v>0</v>
      </c>
      <c r="U3101" s="71">
        <f>IF(AND(N3101=1,V3101=1),IF(COUNTIFS(AKTIVITAS!$B$2:$B$3052,B3101,AKTIVITAS!$E$2:$E$3052,H3101)&gt;0,1,0),0)</f>
        <v>0</v>
      </c>
      <c r="V3101" s="71">
        <f>IFERROR(IF(AND(H3101&gt;=INDEX(PEMAGANG!$J$3:$J$36,MATCH(B3101,PEMAGANG!$C$3:$C$36,0)),H3101&lt;=INDEX(PEMAGANG!$K$3:$K$36,MATCH(B3101,PEMAGANG!$C$3:$C$36,0))),1,0),0)</f>
        <v>1</v>
      </c>
      <c r="W3101" s="71">
        <f t="shared" si="440"/>
        <v>0</v>
      </c>
    </row>
    <row r="3102" spans="1:23" x14ac:dyDescent="0.2">
      <c r="A3102" s="71" t="s">
        <v>272</v>
      </c>
      <c r="B3102" s="71" t="s">
        <v>273</v>
      </c>
      <c r="C3102" s="71" t="s">
        <v>187</v>
      </c>
      <c r="D3102" s="71" t="s">
        <v>274</v>
      </c>
      <c r="E3102" s="71" t="s">
        <v>693</v>
      </c>
      <c r="F3102" s="71" t="s">
        <v>298</v>
      </c>
      <c r="G3102" s="88">
        <v>46247.3062615741</v>
      </c>
      <c r="H3102" s="89">
        <v>46247</v>
      </c>
      <c r="I3102" s="71" t="s">
        <v>305</v>
      </c>
      <c r="J3102" s="71">
        <v>-9.0000000000000497</v>
      </c>
      <c r="K3102" s="71" t="s">
        <v>302</v>
      </c>
      <c r="L3102" s="71">
        <f t="shared" si="432"/>
        <v>8</v>
      </c>
      <c r="M3102" s="71" t="str">
        <f>IFERROR(INDEX(KALENDER!$D$3:$D$132,MATCH(H3102,KALENDER!$A$3:$A$132,0)),"Di luar periode")</f>
        <v>Hari Kerja</v>
      </c>
      <c r="N3102" s="71">
        <f t="shared" si="433"/>
        <v>1</v>
      </c>
      <c r="O3102" s="71">
        <f t="shared" si="434"/>
        <v>1</v>
      </c>
      <c r="P3102" s="71">
        <f t="shared" si="435"/>
        <v>1</v>
      </c>
      <c r="Q3102" s="71">
        <f t="shared" si="436"/>
        <v>0</v>
      </c>
      <c r="R3102" s="71">
        <f t="shared" si="437"/>
        <v>0</v>
      </c>
      <c r="S3102" s="71">
        <f t="shared" si="438"/>
        <v>0</v>
      </c>
      <c r="T3102" s="71">
        <f t="shared" si="439"/>
        <v>0</v>
      </c>
      <c r="U3102" s="71">
        <f>IF(AND(N3102=1,V3102=1),IF(COUNTIFS(AKTIVITAS!$B$2:$B$3052,B3102,AKTIVITAS!$E$2:$E$3052,H3102)&gt;0,1,0),0)</f>
        <v>1</v>
      </c>
      <c r="V3102" s="71">
        <f>IFERROR(IF(AND(H3102&gt;=INDEX(PEMAGANG!$J$3:$J$36,MATCH(B3102,PEMAGANG!$C$3:$C$36,0)),H3102&lt;=INDEX(PEMAGANG!$K$3:$K$36,MATCH(B3102,PEMAGANG!$C$3:$C$36,0))),1,0),0)</f>
        <v>1</v>
      </c>
      <c r="W3102" s="71">
        <f t="shared" si="440"/>
        <v>1</v>
      </c>
    </row>
    <row r="3103" spans="1:23" x14ac:dyDescent="0.2">
      <c r="A3103" s="71" t="s">
        <v>272</v>
      </c>
      <c r="B3103" s="71" t="s">
        <v>273</v>
      </c>
      <c r="C3103" s="71" t="s">
        <v>187</v>
      </c>
      <c r="D3103" s="71" t="s">
        <v>274</v>
      </c>
      <c r="E3103" s="71" t="s">
        <v>693</v>
      </c>
      <c r="F3103" s="71" t="s">
        <v>300</v>
      </c>
      <c r="G3103" s="88">
        <v>46247.689606481501</v>
      </c>
      <c r="H3103" s="89">
        <v>46247</v>
      </c>
      <c r="I3103" s="71" t="s">
        <v>316</v>
      </c>
      <c r="J3103" s="71">
        <v>0</v>
      </c>
      <c r="K3103" s="71" t="s">
        <v>302</v>
      </c>
      <c r="L3103" s="71">
        <f t="shared" si="432"/>
        <v>8</v>
      </c>
      <c r="M3103" s="71" t="str">
        <f>IFERROR(INDEX(KALENDER!$D$3:$D$132,MATCH(H3103,KALENDER!$A$3:$A$132,0)),"Di luar periode")</f>
        <v>Hari Kerja</v>
      </c>
      <c r="N3103" s="71">
        <f t="shared" si="433"/>
        <v>0</v>
      </c>
      <c r="O3103" s="71">
        <f t="shared" si="434"/>
        <v>1</v>
      </c>
      <c r="P3103" s="71">
        <f t="shared" si="435"/>
        <v>0</v>
      </c>
      <c r="Q3103" s="71">
        <f t="shared" si="436"/>
        <v>0</v>
      </c>
      <c r="R3103" s="71">
        <f t="shared" si="437"/>
        <v>0</v>
      </c>
      <c r="S3103" s="71">
        <f t="shared" si="438"/>
        <v>0</v>
      </c>
      <c r="T3103" s="71">
        <f t="shared" si="439"/>
        <v>0</v>
      </c>
      <c r="U3103" s="71">
        <f>IF(AND(N3103=1,V3103=1),IF(COUNTIFS(AKTIVITAS!$B$2:$B$3052,B3103,AKTIVITAS!$E$2:$E$3052,H3103)&gt;0,1,0),0)</f>
        <v>0</v>
      </c>
      <c r="V3103" s="71">
        <f>IFERROR(IF(AND(H3103&gt;=INDEX(PEMAGANG!$J$3:$J$36,MATCH(B3103,PEMAGANG!$C$3:$C$36,0)),H3103&lt;=INDEX(PEMAGANG!$K$3:$K$36,MATCH(B3103,PEMAGANG!$C$3:$C$36,0))),1,0),0)</f>
        <v>1</v>
      </c>
      <c r="W3103" s="71">
        <f t="shared" si="440"/>
        <v>0</v>
      </c>
    </row>
    <row r="3104" spans="1:23" x14ac:dyDescent="0.2">
      <c r="A3104" s="71" t="s">
        <v>272</v>
      </c>
      <c r="B3104" s="71" t="s">
        <v>273</v>
      </c>
      <c r="C3104" s="71" t="s">
        <v>187</v>
      </c>
      <c r="D3104" s="71" t="s">
        <v>274</v>
      </c>
      <c r="E3104" s="71" t="s">
        <v>693</v>
      </c>
      <c r="F3104" s="71" t="s">
        <v>298</v>
      </c>
      <c r="G3104" s="88">
        <v>46248.305601851898</v>
      </c>
      <c r="H3104" s="89">
        <v>46248</v>
      </c>
      <c r="I3104" s="71" t="s">
        <v>329</v>
      </c>
      <c r="J3104" s="71">
        <v>-10</v>
      </c>
      <c r="K3104" s="71" t="s">
        <v>302</v>
      </c>
      <c r="L3104" s="71">
        <f t="shared" si="432"/>
        <v>8</v>
      </c>
      <c r="M3104" s="71" t="str">
        <f>IFERROR(INDEX(KALENDER!$D$3:$D$132,MATCH(H3104,KALENDER!$A$3:$A$132,0)),"Di luar periode")</f>
        <v>Hari Kerja</v>
      </c>
      <c r="N3104" s="71">
        <f t="shared" si="433"/>
        <v>1</v>
      </c>
      <c r="O3104" s="71">
        <f t="shared" si="434"/>
        <v>1</v>
      </c>
      <c r="P3104" s="71">
        <f t="shared" si="435"/>
        <v>1</v>
      </c>
      <c r="Q3104" s="71">
        <f t="shared" si="436"/>
        <v>0</v>
      </c>
      <c r="R3104" s="71">
        <f t="shared" si="437"/>
        <v>0</v>
      </c>
      <c r="S3104" s="71">
        <f t="shared" si="438"/>
        <v>0</v>
      </c>
      <c r="T3104" s="71">
        <f t="shared" si="439"/>
        <v>0</v>
      </c>
      <c r="U3104" s="71">
        <f>IF(AND(N3104=1,V3104=1),IF(COUNTIFS(AKTIVITAS!$B$2:$B$3052,B3104,AKTIVITAS!$E$2:$E$3052,H3104)&gt;0,1,0),0)</f>
        <v>1</v>
      </c>
      <c r="V3104" s="71">
        <f>IFERROR(IF(AND(H3104&gt;=INDEX(PEMAGANG!$J$3:$J$36,MATCH(B3104,PEMAGANG!$C$3:$C$36,0)),H3104&lt;=INDEX(PEMAGANG!$K$3:$K$36,MATCH(B3104,PEMAGANG!$C$3:$C$36,0))),1,0),0)</f>
        <v>1</v>
      </c>
      <c r="W3104" s="71">
        <f t="shared" si="440"/>
        <v>1</v>
      </c>
    </row>
    <row r="3105" spans="1:23" x14ac:dyDescent="0.2">
      <c r="A3105" s="71" t="s">
        <v>272</v>
      </c>
      <c r="B3105" s="71" t="s">
        <v>273</v>
      </c>
      <c r="C3105" s="71" t="s">
        <v>187</v>
      </c>
      <c r="D3105" s="71" t="s">
        <v>274</v>
      </c>
      <c r="E3105" s="71" t="s">
        <v>693</v>
      </c>
      <c r="F3105" s="71" t="s">
        <v>300</v>
      </c>
      <c r="G3105" s="88">
        <v>46248.724027777796</v>
      </c>
      <c r="H3105" s="89">
        <v>46248</v>
      </c>
      <c r="I3105" s="71" t="s">
        <v>385</v>
      </c>
      <c r="J3105" s="71">
        <v>0</v>
      </c>
      <c r="K3105" s="71" t="s">
        <v>302</v>
      </c>
      <c r="L3105" s="71">
        <f t="shared" si="432"/>
        <v>8</v>
      </c>
      <c r="M3105" s="71" t="str">
        <f>IFERROR(INDEX(KALENDER!$D$3:$D$132,MATCH(H3105,KALENDER!$A$3:$A$132,0)),"Di luar periode")</f>
        <v>Hari Kerja</v>
      </c>
      <c r="N3105" s="71">
        <f t="shared" si="433"/>
        <v>0</v>
      </c>
      <c r="O3105" s="71">
        <f t="shared" si="434"/>
        <v>1</v>
      </c>
      <c r="P3105" s="71">
        <f t="shared" si="435"/>
        <v>0</v>
      </c>
      <c r="Q3105" s="71">
        <f t="shared" si="436"/>
        <v>0</v>
      </c>
      <c r="R3105" s="71">
        <f t="shared" si="437"/>
        <v>0</v>
      </c>
      <c r="S3105" s="71">
        <f t="shared" si="438"/>
        <v>0</v>
      </c>
      <c r="T3105" s="71">
        <f t="shared" si="439"/>
        <v>0</v>
      </c>
      <c r="U3105" s="71">
        <f>IF(AND(N3105=1,V3105=1),IF(COUNTIFS(AKTIVITAS!$B$2:$B$3052,B3105,AKTIVITAS!$E$2:$E$3052,H3105)&gt;0,1,0),0)</f>
        <v>0</v>
      </c>
      <c r="V3105" s="71">
        <f>IFERROR(IF(AND(H3105&gt;=INDEX(PEMAGANG!$J$3:$J$36,MATCH(B3105,PEMAGANG!$C$3:$C$36,0)),H3105&lt;=INDEX(PEMAGANG!$K$3:$K$36,MATCH(B3105,PEMAGANG!$C$3:$C$36,0))),1,0),0)</f>
        <v>1</v>
      </c>
      <c r="W3105" s="71">
        <f t="shared" si="440"/>
        <v>0</v>
      </c>
    </row>
    <row r="3106" spans="1:23" x14ac:dyDescent="0.2">
      <c r="A3106" s="71" t="s">
        <v>272</v>
      </c>
      <c r="B3106" s="71" t="s">
        <v>273</v>
      </c>
      <c r="C3106" s="71" t="s">
        <v>187</v>
      </c>
      <c r="D3106" s="71" t="s">
        <v>274</v>
      </c>
      <c r="E3106" s="71" t="s">
        <v>693</v>
      </c>
      <c r="F3106" s="71" t="s">
        <v>298</v>
      </c>
      <c r="G3106" s="88">
        <v>46252.691712963002</v>
      </c>
      <c r="H3106" s="89">
        <v>46252</v>
      </c>
      <c r="I3106" s="71" t="s">
        <v>344</v>
      </c>
      <c r="J3106" s="71">
        <v>546</v>
      </c>
      <c r="K3106" s="71" t="s">
        <v>293</v>
      </c>
      <c r="L3106" s="71">
        <f t="shared" si="432"/>
        <v>8</v>
      </c>
      <c r="M3106" s="71" t="str">
        <f>IFERROR(INDEX(KALENDER!$D$3:$D$132,MATCH(H3106,KALENDER!$A$3:$A$132,0)),"Di luar periode")</f>
        <v>Hari Kerja</v>
      </c>
      <c r="N3106" s="71">
        <f t="shared" si="433"/>
        <v>1</v>
      </c>
      <c r="O3106" s="71">
        <f t="shared" si="434"/>
        <v>1</v>
      </c>
      <c r="P3106" s="71">
        <f t="shared" si="435"/>
        <v>1</v>
      </c>
      <c r="Q3106" s="71">
        <f t="shared" si="436"/>
        <v>0</v>
      </c>
      <c r="R3106" s="71">
        <f t="shared" si="437"/>
        <v>1</v>
      </c>
      <c r="S3106" s="71">
        <f t="shared" si="438"/>
        <v>546</v>
      </c>
      <c r="T3106" s="71">
        <f t="shared" si="439"/>
        <v>0</v>
      </c>
      <c r="U3106" s="71">
        <f>IF(AND(N3106=1,V3106=1),IF(COUNTIFS(AKTIVITAS!$B$2:$B$3052,B3106,AKTIVITAS!$E$2:$E$3052,H3106)&gt;0,1,0),0)</f>
        <v>1</v>
      </c>
      <c r="V3106" s="71">
        <f>IFERROR(IF(AND(H3106&gt;=INDEX(PEMAGANG!$J$3:$J$36,MATCH(B3106,PEMAGANG!$C$3:$C$36,0)),H3106&lt;=INDEX(PEMAGANG!$K$3:$K$36,MATCH(B3106,PEMAGANG!$C$3:$C$36,0))),1,0),0)</f>
        <v>1</v>
      </c>
      <c r="W3106" s="71">
        <f t="shared" si="440"/>
        <v>1</v>
      </c>
    </row>
    <row r="3107" spans="1:23" x14ac:dyDescent="0.2">
      <c r="A3107" s="71" t="s">
        <v>272</v>
      </c>
      <c r="B3107" s="71" t="s">
        <v>273</v>
      </c>
      <c r="C3107" s="71" t="s">
        <v>187</v>
      </c>
      <c r="D3107" s="71" t="s">
        <v>274</v>
      </c>
      <c r="E3107" s="71" t="s">
        <v>693</v>
      </c>
      <c r="F3107" s="71" t="s">
        <v>300</v>
      </c>
      <c r="G3107" s="88">
        <v>46252.692118055602</v>
      </c>
      <c r="H3107" s="89">
        <v>46252</v>
      </c>
      <c r="I3107" s="71" t="s">
        <v>344</v>
      </c>
      <c r="J3107" s="71">
        <v>0</v>
      </c>
      <c r="K3107" s="71" t="s">
        <v>302</v>
      </c>
      <c r="L3107" s="71">
        <f t="shared" si="432"/>
        <v>8</v>
      </c>
      <c r="M3107" s="71" t="str">
        <f>IFERROR(INDEX(KALENDER!$D$3:$D$132,MATCH(H3107,KALENDER!$A$3:$A$132,0)),"Di luar periode")</f>
        <v>Hari Kerja</v>
      </c>
      <c r="N3107" s="71">
        <f t="shared" si="433"/>
        <v>0</v>
      </c>
      <c r="O3107" s="71">
        <f t="shared" si="434"/>
        <v>1</v>
      </c>
      <c r="P3107" s="71">
        <f t="shared" si="435"/>
        <v>0</v>
      </c>
      <c r="Q3107" s="71">
        <f t="shared" si="436"/>
        <v>0</v>
      </c>
      <c r="R3107" s="71">
        <f t="shared" si="437"/>
        <v>0</v>
      </c>
      <c r="S3107" s="71">
        <f t="shared" si="438"/>
        <v>0</v>
      </c>
      <c r="T3107" s="71">
        <f t="shared" si="439"/>
        <v>0</v>
      </c>
      <c r="U3107" s="71">
        <f>IF(AND(N3107=1,V3107=1),IF(COUNTIFS(AKTIVITAS!$B$2:$B$3052,B3107,AKTIVITAS!$E$2:$E$3052,H3107)&gt;0,1,0),0)</f>
        <v>0</v>
      </c>
      <c r="V3107" s="71">
        <f>IFERROR(IF(AND(H3107&gt;=INDEX(PEMAGANG!$J$3:$J$36,MATCH(B3107,PEMAGANG!$C$3:$C$36,0)),H3107&lt;=INDEX(PEMAGANG!$K$3:$K$36,MATCH(B3107,PEMAGANG!$C$3:$C$36,0))),1,0),0)</f>
        <v>1</v>
      </c>
      <c r="W3107" s="71">
        <f t="shared" si="440"/>
        <v>0</v>
      </c>
    </row>
    <row r="3108" spans="1:23" x14ac:dyDescent="0.2">
      <c r="A3108" s="71" t="s">
        <v>272</v>
      </c>
      <c r="B3108" s="71" t="s">
        <v>273</v>
      </c>
      <c r="C3108" s="71" t="s">
        <v>187</v>
      </c>
      <c r="D3108" s="71" t="s">
        <v>274</v>
      </c>
      <c r="E3108" s="71" t="s">
        <v>693</v>
      </c>
      <c r="F3108" s="71" t="s">
        <v>298</v>
      </c>
      <c r="G3108" s="88">
        <v>46253.308726851901</v>
      </c>
      <c r="H3108" s="89">
        <v>46253</v>
      </c>
      <c r="I3108" s="71" t="s">
        <v>303</v>
      </c>
      <c r="J3108" s="71">
        <v>-5.9999999999999796</v>
      </c>
      <c r="K3108" s="71" t="s">
        <v>302</v>
      </c>
      <c r="L3108" s="71">
        <f t="shared" si="432"/>
        <v>8</v>
      </c>
      <c r="M3108" s="71" t="str">
        <f>IFERROR(INDEX(KALENDER!$D$3:$D$132,MATCH(H3108,KALENDER!$A$3:$A$132,0)),"Di luar periode")</f>
        <v>Hari Kerja</v>
      </c>
      <c r="N3108" s="71">
        <f t="shared" si="433"/>
        <v>1</v>
      </c>
      <c r="O3108" s="71">
        <f t="shared" si="434"/>
        <v>1</v>
      </c>
      <c r="P3108" s="71">
        <f t="shared" si="435"/>
        <v>1</v>
      </c>
      <c r="Q3108" s="71">
        <f t="shared" si="436"/>
        <v>0</v>
      </c>
      <c r="R3108" s="71">
        <f t="shared" si="437"/>
        <v>0</v>
      </c>
      <c r="S3108" s="71">
        <f t="shared" si="438"/>
        <v>0</v>
      </c>
      <c r="T3108" s="71">
        <f t="shared" si="439"/>
        <v>0</v>
      </c>
      <c r="U3108" s="71">
        <f>IF(AND(N3108=1,V3108=1),IF(COUNTIFS(AKTIVITAS!$B$2:$B$3052,B3108,AKTIVITAS!$E$2:$E$3052,H3108)&gt;0,1,0),0)</f>
        <v>1</v>
      </c>
      <c r="V3108" s="71">
        <f>IFERROR(IF(AND(H3108&gt;=INDEX(PEMAGANG!$J$3:$J$36,MATCH(B3108,PEMAGANG!$C$3:$C$36,0)),H3108&lt;=INDEX(PEMAGANG!$K$3:$K$36,MATCH(B3108,PEMAGANG!$C$3:$C$36,0))),1,0),0)</f>
        <v>1</v>
      </c>
      <c r="W3108" s="71">
        <f t="shared" si="440"/>
        <v>1</v>
      </c>
    </row>
    <row r="3109" spans="1:23" x14ac:dyDescent="0.2">
      <c r="A3109" s="71" t="s">
        <v>272</v>
      </c>
      <c r="B3109" s="71" t="s">
        <v>273</v>
      </c>
      <c r="C3109" s="71" t="s">
        <v>187</v>
      </c>
      <c r="D3109" s="71" t="s">
        <v>274</v>
      </c>
      <c r="E3109" s="71" t="s">
        <v>693</v>
      </c>
      <c r="F3109" s="71" t="s">
        <v>300</v>
      </c>
      <c r="G3109" s="88">
        <v>46253.689016203702</v>
      </c>
      <c r="H3109" s="89">
        <v>46253</v>
      </c>
      <c r="I3109" s="71" t="s">
        <v>306</v>
      </c>
      <c r="J3109" s="71">
        <v>0</v>
      </c>
      <c r="K3109" s="71" t="s">
        <v>302</v>
      </c>
      <c r="L3109" s="71">
        <f t="shared" si="432"/>
        <v>8</v>
      </c>
      <c r="M3109" s="71" t="str">
        <f>IFERROR(INDEX(KALENDER!$D$3:$D$132,MATCH(H3109,KALENDER!$A$3:$A$132,0)),"Di luar periode")</f>
        <v>Hari Kerja</v>
      </c>
      <c r="N3109" s="71">
        <f t="shared" si="433"/>
        <v>0</v>
      </c>
      <c r="O3109" s="71">
        <f t="shared" si="434"/>
        <v>1</v>
      </c>
      <c r="P3109" s="71">
        <f t="shared" si="435"/>
        <v>0</v>
      </c>
      <c r="Q3109" s="71">
        <f t="shared" si="436"/>
        <v>0</v>
      </c>
      <c r="R3109" s="71">
        <f t="shared" si="437"/>
        <v>0</v>
      </c>
      <c r="S3109" s="71">
        <f t="shared" si="438"/>
        <v>0</v>
      </c>
      <c r="T3109" s="71">
        <f t="shared" si="439"/>
        <v>0</v>
      </c>
      <c r="U3109" s="71">
        <f>IF(AND(N3109=1,V3109=1),IF(COUNTIFS(AKTIVITAS!$B$2:$B$3052,B3109,AKTIVITAS!$E$2:$E$3052,H3109)&gt;0,1,0),0)</f>
        <v>0</v>
      </c>
      <c r="V3109" s="71">
        <f>IFERROR(IF(AND(H3109&gt;=INDEX(PEMAGANG!$J$3:$J$36,MATCH(B3109,PEMAGANG!$C$3:$C$36,0)),H3109&lt;=INDEX(PEMAGANG!$K$3:$K$36,MATCH(B3109,PEMAGANG!$C$3:$C$36,0))),1,0),0)</f>
        <v>1</v>
      </c>
      <c r="W3109" s="71">
        <f t="shared" si="440"/>
        <v>0</v>
      </c>
    </row>
    <row r="3110" spans="1:23" x14ac:dyDescent="0.2">
      <c r="A3110" s="71" t="s">
        <v>272</v>
      </c>
      <c r="B3110" s="71" t="s">
        <v>273</v>
      </c>
      <c r="C3110" s="71" t="s">
        <v>187</v>
      </c>
      <c r="D3110" s="71" t="s">
        <v>274</v>
      </c>
      <c r="E3110" s="71" t="s">
        <v>693</v>
      </c>
      <c r="F3110" s="71" t="s">
        <v>298</v>
      </c>
      <c r="G3110" s="88">
        <v>46254.305416666699</v>
      </c>
      <c r="H3110" s="89">
        <v>46254</v>
      </c>
      <c r="I3110" s="71" t="s">
        <v>321</v>
      </c>
      <c r="J3110" s="71">
        <v>-11</v>
      </c>
      <c r="K3110" s="71" t="s">
        <v>302</v>
      </c>
      <c r="L3110" s="71">
        <f t="shared" si="432"/>
        <v>8</v>
      </c>
      <c r="M3110" s="71" t="str">
        <f>IFERROR(INDEX(KALENDER!$D$3:$D$132,MATCH(H3110,KALENDER!$A$3:$A$132,0)),"Di luar periode")</f>
        <v>Hari Kerja</v>
      </c>
      <c r="N3110" s="71">
        <f t="shared" si="433"/>
        <v>1</v>
      </c>
      <c r="O3110" s="71">
        <f t="shared" si="434"/>
        <v>1</v>
      </c>
      <c r="P3110" s="71">
        <f t="shared" si="435"/>
        <v>1</v>
      </c>
      <c r="Q3110" s="71">
        <f t="shared" si="436"/>
        <v>0</v>
      </c>
      <c r="R3110" s="71">
        <f t="shared" si="437"/>
        <v>0</v>
      </c>
      <c r="S3110" s="71">
        <f t="shared" si="438"/>
        <v>0</v>
      </c>
      <c r="T3110" s="71">
        <f t="shared" si="439"/>
        <v>0</v>
      </c>
      <c r="U3110" s="71">
        <f>IF(AND(N3110=1,V3110=1),IF(COUNTIFS(AKTIVITAS!$B$2:$B$3052,B3110,AKTIVITAS!$E$2:$E$3052,H3110)&gt;0,1,0),0)</f>
        <v>1</v>
      </c>
      <c r="V3110" s="71">
        <f>IFERROR(IF(AND(H3110&gt;=INDEX(PEMAGANG!$J$3:$J$36,MATCH(B3110,PEMAGANG!$C$3:$C$36,0)),H3110&lt;=INDEX(PEMAGANG!$K$3:$K$36,MATCH(B3110,PEMAGANG!$C$3:$C$36,0))),1,0),0)</f>
        <v>1</v>
      </c>
      <c r="W3110" s="71">
        <f t="shared" si="440"/>
        <v>1</v>
      </c>
    </row>
    <row r="3111" spans="1:23" x14ac:dyDescent="0.2">
      <c r="A3111" s="71" t="s">
        <v>272</v>
      </c>
      <c r="B3111" s="71" t="s">
        <v>273</v>
      </c>
      <c r="C3111" s="71" t="s">
        <v>187</v>
      </c>
      <c r="D3111" s="71" t="s">
        <v>274</v>
      </c>
      <c r="E3111" s="71" t="s">
        <v>693</v>
      </c>
      <c r="F3111" s="71" t="s">
        <v>300</v>
      </c>
      <c r="G3111" s="88">
        <v>46254.688946759299</v>
      </c>
      <c r="H3111" s="89">
        <v>46254</v>
      </c>
      <c r="I3111" s="71" t="s">
        <v>306</v>
      </c>
      <c r="J3111" s="71">
        <v>0</v>
      </c>
      <c r="K3111" s="71" t="s">
        <v>302</v>
      </c>
      <c r="L3111" s="71">
        <f t="shared" si="432"/>
        <v>8</v>
      </c>
      <c r="M3111" s="71" t="str">
        <f>IFERROR(INDEX(KALENDER!$D$3:$D$132,MATCH(H3111,KALENDER!$A$3:$A$132,0)),"Di luar periode")</f>
        <v>Hari Kerja</v>
      </c>
      <c r="N3111" s="71">
        <f t="shared" si="433"/>
        <v>0</v>
      </c>
      <c r="O3111" s="71">
        <f t="shared" si="434"/>
        <v>1</v>
      </c>
      <c r="P3111" s="71">
        <f t="shared" si="435"/>
        <v>0</v>
      </c>
      <c r="Q3111" s="71">
        <f t="shared" si="436"/>
        <v>0</v>
      </c>
      <c r="R3111" s="71">
        <f t="shared" si="437"/>
        <v>0</v>
      </c>
      <c r="S3111" s="71">
        <f t="shared" si="438"/>
        <v>0</v>
      </c>
      <c r="T3111" s="71">
        <f t="shared" si="439"/>
        <v>0</v>
      </c>
      <c r="U3111" s="71">
        <f>IF(AND(N3111=1,V3111=1),IF(COUNTIFS(AKTIVITAS!$B$2:$B$3052,B3111,AKTIVITAS!$E$2:$E$3052,H3111)&gt;0,1,0),0)</f>
        <v>0</v>
      </c>
      <c r="V3111" s="71">
        <f>IFERROR(IF(AND(H3111&gt;=INDEX(PEMAGANG!$J$3:$J$36,MATCH(B3111,PEMAGANG!$C$3:$C$36,0)),H3111&lt;=INDEX(PEMAGANG!$K$3:$K$36,MATCH(B3111,PEMAGANG!$C$3:$C$36,0))),1,0),0)</f>
        <v>1</v>
      </c>
      <c r="W3111" s="71">
        <f t="shared" si="440"/>
        <v>0</v>
      </c>
    </row>
    <row r="3112" spans="1:23" x14ac:dyDescent="0.2">
      <c r="A3112" s="71" t="s">
        <v>272</v>
      </c>
      <c r="B3112" s="71" t="s">
        <v>273</v>
      </c>
      <c r="C3112" s="71" t="s">
        <v>187</v>
      </c>
      <c r="D3112" s="71" t="s">
        <v>274</v>
      </c>
      <c r="E3112" s="71" t="s">
        <v>693</v>
      </c>
      <c r="F3112" s="71" t="s">
        <v>298</v>
      </c>
      <c r="G3112" s="88">
        <v>46255.306388888901</v>
      </c>
      <c r="H3112" s="89">
        <v>46255</v>
      </c>
      <c r="I3112" s="71" t="s">
        <v>305</v>
      </c>
      <c r="J3112" s="71">
        <v>-39</v>
      </c>
      <c r="K3112" s="71" t="s">
        <v>302</v>
      </c>
      <c r="L3112" s="71">
        <f t="shared" si="432"/>
        <v>8</v>
      </c>
      <c r="M3112" s="71" t="str">
        <f>IFERROR(INDEX(KALENDER!$D$3:$D$132,MATCH(H3112,KALENDER!$A$3:$A$132,0)),"Di luar periode")</f>
        <v>Hari Kerja</v>
      </c>
      <c r="N3112" s="71">
        <f t="shared" si="433"/>
        <v>1</v>
      </c>
      <c r="O3112" s="71">
        <f t="shared" si="434"/>
        <v>1</v>
      </c>
      <c r="P3112" s="71">
        <f t="shared" si="435"/>
        <v>1</v>
      </c>
      <c r="Q3112" s="71">
        <f t="shared" si="436"/>
        <v>0</v>
      </c>
      <c r="R3112" s="71">
        <f t="shared" si="437"/>
        <v>0</v>
      </c>
      <c r="S3112" s="71">
        <f t="shared" si="438"/>
        <v>0</v>
      </c>
      <c r="T3112" s="71">
        <f t="shared" si="439"/>
        <v>0</v>
      </c>
      <c r="U3112" s="71">
        <f>IF(AND(N3112=1,V3112=1),IF(COUNTIFS(AKTIVITAS!$B$2:$B$3052,B3112,AKTIVITAS!$E$2:$E$3052,H3112)&gt;0,1,0),0)</f>
        <v>1</v>
      </c>
      <c r="V3112" s="71">
        <f>IFERROR(IF(AND(H3112&gt;=INDEX(PEMAGANG!$J$3:$J$36,MATCH(B3112,PEMAGANG!$C$3:$C$36,0)),H3112&lt;=INDEX(PEMAGANG!$K$3:$K$36,MATCH(B3112,PEMAGANG!$C$3:$C$36,0))),1,0),0)</f>
        <v>1</v>
      </c>
      <c r="W3112" s="71">
        <f t="shared" si="440"/>
        <v>1</v>
      </c>
    </row>
    <row r="3113" spans="1:23" x14ac:dyDescent="0.2">
      <c r="A3113" s="71" t="s">
        <v>272</v>
      </c>
      <c r="B3113" s="71" t="s">
        <v>273</v>
      </c>
      <c r="C3113" s="71" t="s">
        <v>187</v>
      </c>
      <c r="D3113" s="71" t="s">
        <v>274</v>
      </c>
      <c r="E3113" s="71" t="s">
        <v>693</v>
      </c>
      <c r="F3113" s="71" t="s">
        <v>300</v>
      </c>
      <c r="G3113" s="88">
        <v>46255.693124999998</v>
      </c>
      <c r="H3113" s="89">
        <v>46255</v>
      </c>
      <c r="I3113" s="71" t="s">
        <v>317</v>
      </c>
      <c r="J3113" s="71">
        <v>0</v>
      </c>
      <c r="K3113" s="71" t="s">
        <v>302</v>
      </c>
      <c r="L3113" s="71">
        <f t="shared" si="432"/>
        <v>8</v>
      </c>
      <c r="M3113" s="71" t="str">
        <f>IFERROR(INDEX(KALENDER!$D$3:$D$132,MATCH(H3113,KALENDER!$A$3:$A$132,0)),"Di luar periode")</f>
        <v>Hari Kerja</v>
      </c>
      <c r="N3113" s="71">
        <f t="shared" si="433"/>
        <v>0</v>
      </c>
      <c r="O3113" s="71">
        <f t="shared" si="434"/>
        <v>1</v>
      </c>
      <c r="P3113" s="71">
        <f t="shared" si="435"/>
        <v>0</v>
      </c>
      <c r="Q3113" s="71">
        <f t="shared" si="436"/>
        <v>0</v>
      </c>
      <c r="R3113" s="71">
        <f t="shared" si="437"/>
        <v>0</v>
      </c>
      <c r="S3113" s="71">
        <f t="shared" si="438"/>
        <v>0</v>
      </c>
      <c r="T3113" s="71">
        <f t="shared" si="439"/>
        <v>0</v>
      </c>
      <c r="U3113" s="71">
        <f>IF(AND(N3113=1,V3113=1),IF(COUNTIFS(AKTIVITAS!$B$2:$B$3052,B3113,AKTIVITAS!$E$2:$E$3052,H3113)&gt;0,1,0),0)</f>
        <v>0</v>
      </c>
      <c r="V3113" s="71">
        <f>IFERROR(IF(AND(H3113&gt;=INDEX(PEMAGANG!$J$3:$J$36,MATCH(B3113,PEMAGANG!$C$3:$C$36,0)),H3113&lt;=INDEX(PEMAGANG!$K$3:$K$36,MATCH(B3113,PEMAGANG!$C$3:$C$36,0))),1,0),0)</f>
        <v>1</v>
      </c>
      <c r="W3113" s="71">
        <f t="shared" si="440"/>
        <v>0</v>
      </c>
    </row>
    <row r="3114" spans="1:23" x14ac:dyDescent="0.2">
      <c r="A3114" s="71" t="s">
        <v>272</v>
      </c>
      <c r="B3114" s="71" t="s">
        <v>273</v>
      </c>
      <c r="C3114" s="71" t="s">
        <v>187</v>
      </c>
      <c r="D3114" s="71" t="s">
        <v>274</v>
      </c>
      <c r="E3114" s="71" t="s">
        <v>693</v>
      </c>
      <c r="F3114" s="71" t="s">
        <v>298</v>
      </c>
      <c r="G3114" s="88">
        <v>46258.314664351899</v>
      </c>
      <c r="H3114" s="89">
        <v>46258</v>
      </c>
      <c r="I3114" s="71" t="s">
        <v>383</v>
      </c>
      <c r="J3114" s="71">
        <v>-27</v>
      </c>
      <c r="K3114" s="71" t="s">
        <v>302</v>
      </c>
      <c r="L3114" s="71">
        <f t="shared" si="432"/>
        <v>8</v>
      </c>
      <c r="M3114" s="71" t="str">
        <f>IFERROR(INDEX(KALENDER!$D$3:$D$132,MATCH(H3114,KALENDER!$A$3:$A$132,0)),"Di luar periode")</f>
        <v>Hari Kerja</v>
      </c>
      <c r="N3114" s="71">
        <f t="shared" si="433"/>
        <v>1</v>
      </c>
      <c r="O3114" s="71">
        <f t="shared" si="434"/>
        <v>1</v>
      </c>
      <c r="P3114" s="71">
        <f t="shared" si="435"/>
        <v>1</v>
      </c>
      <c r="Q3114" s="71">
        <f t="shared" si="436"/>
        <v>0</v>
      </c>
      <c r="R3114" s="71">
        <f t="shared" si="437"/>
        <v>0</v>
      </c>
      <c r="S3114" s="71">
        <f t="shared" si="438"/>
        <v>0</v>
      </c>
      <c r="T3114" s="71">
        <f t="shared" si="439"/>
        <v>0</v>
      </c>
      <c r="U3114" s="71">
        <f>IF(AND(N3114=1,V3114=1),IF(COUNTIFS(AKTIVITAS!$B$2:$B$3052,B3114,AKTIVITAS!$E$2:$E$3052,H3114)&gt;0,1,0),0)</f>
        <v>1</v>
      </c>
      <c r="V3114" s="71">
        <f>IFERROR(IF(AND(H3114&gt;=INDEX(PEMAGANG!$J$3:$J$36,MATCH(B3114,PEMAGANG!$C$3:$C$36,0)),H3114&lt;=INDEX(PEMAGANG!$K$3:$K$36,MATCH(B3114,PEMAGANG!$C$3:$C$36,0))),1,0),0)</f>
        <v>1</v>
      </c>
      <c r="W3114" s="71">
        <f t="shared" si="440"/>
        <v>1</v>
      </c>
    </row>
    <row r="3115" spans="1:23" x14ac:dyDescent="0.2">
      <c r="A3115" s="71" t="s">
        <v>272</v>
      </c>
      <c r="B3115" s="71" t="s">
        <v>273</v>
      </c>
      <c r="C3115" s="71" t="s">
        <v>187</v>
      </c>
      <c r="D3115" s="71" t="s">
        <v>274</v>
      </c>
      <c r="E3115" s="71" t="s">
        <v>693</v>
      </c>
      <c r="F3115" s="71" t="s">
        <v>300</v>
      </c>
      <c r="G3115" s="88">
        <v>46258.689456018503</v>
      </c>
      <c r="H3115" s="89">
        <v>46258</v>
      </c>
      <c r="I3115" s="71" t="s">
        <v>306</v>
      </c>
      <c r="J3115" s="71">
        <v>0</v>
      </c>
      <c r="K3115" s="71" t="s">
        <v>302</v>
      </c>
      <c r="L3115" s="71">
        <f t="shared" si="432"/>
        <v>8</v>
      </c>
      <c r="M3115" s="71" t="str">
        <f>IFERROR(INDEX(KALENDER!$D$3:$D$132,MATCH(H3115,KALENDER!$A$3:$A$132,0)),"Di luar periode")</f>
        <v>Hari Kerja</v>
      </c>
      <c r="N3115" s="71">
        <f t="shared" si="433"/>
        <v>0</v>
      </c>
      <c r="O3115" s="71">
        <f t="shared" si="434"/>
        <v>1</v>
      </c>
      <c r="P3115" s="71">
        <f t="shared" si="435"/>
        <v>0</v>
      </c>
      <c r="Q3115" s="71">
        <f t="shared" si="436"/>
        <v>0</v>
      </c>
      <c r="R3115" s="71">
        <f t="shared" si="437"/>
        <v>0</v>
      </c>
      <c r="S3115" s="71">
        <f t="shared" si="438"/>
        <v>0</v>
      </c>
      <c r="T3115" s="71">
        <f t="shared" si="439"/>
        <v>0</v>
      </c>
      <c r="U3115" s="71">
        <f>IF(AND(N3115=1,V3115=1),IF(COUNTIFS(AKTIVITAS!$B$2:$B$3052,B3115,AKTIVITAS!$E$2:$E$3052,H3115)&gt;0,1,0),0)</f>
        <v>0</v>
      </c>
      <c r="V3115" s="71">
        <f>IFERROR(IF(AND(H3115&gt;=INDEX(PEMAGANG!$J$3:$J$36,MATCH(B3115,PEMAGANG!$C$3:$C$36,0)),H3115&lt;=INDEX(PEMAGANG!$K$3:$K$36,MATCH(B3115,PEMAGANG!$C$3:$C$36,0))),1,0),0)</f>
        <v>1</v>
      </c>
      <c r="W3115" s="71">
        <f t="shared" si="440"/>
        <v>0</v>
      </c>
    </row>
    <row r="3116" spans="1:23" x14ac:dyDescent="0.2">
      <c r="A3116" s="71" t="s">
        <v>272</v>
      </c>
      <c r="B3116" s="71" t="s">
        <v>273</v>
      </c>
      <c r="C3116" s="71" t="s">
        <v>187</v>
      </c>
      <c r="D3116" s="71" t="s">
        <v>274</v>
      </c>
      <c r="E3116" s="71" t="s">
        <v>693</v>
      </c>
      <c r="F3116" s="71" t="s">
        <v>298</v>
      </c>
      <c r="G3116" s="88">
        <v>46260.307395833297</v>
      </c>
      <c r="H3116" s="89">
        <v>46260</v>
      </c>
      <c r="I3116" s="71" t="s">
        <v>313</v>
      </c>
      <c r="J3116" s="71">
        <v>-38</v>
      </c>
      <c r="K3116" s="71" t="s">
        <v>302</v>
      </c>
      <c r="L3116" s="71">
        <f t="shared" si="432"/>
        <v>8</v>
      </c>
      <c r="M3116" s="71" t="str">
        <f>IFERROR(INDEX(KALENDER!$D$3:$D$132,MATCH(H3116,KALENDER!$A$3:$A$132,0)),"Di luar periode")</f>
        <v>Hari Kerja</v>
      </c>
      <c r="N3116" s="71">
        <f t="shared" si="433"/>
        <v>1</v>
      </c>
      <c r="O3116" s="71">
        <f t="shared" si="434"/>
        <v>1</v>
      </c>
      <c r="P3116" s="71">
        <f t="shared" si="435"/>
        <v>1</v>
      </c>
      <c r="Q3116" s="71">
        <f t="shared" si="436"/>
        <v>0</v>
      </c>
      <c r="R3116" s="71">
        <f t="shared" si="437"/>
        <v>0</v>
      </c>
      <c r="S3116" s="71">
        <f t="shared" si="438"/>
        <v>0</v>
      </c>
      <c r="T3116" s="71">
        <f t="shared" si="439"/>
        <v>0</v>
      </c>
      <c r="U3116" s="71">
        <f>IF(AND(N3116=1,V3116=1),IF(COUNTIFS(AKTIVITAS!$B$2:$B$3052,B3116,AKTIVITAS!$E$2:$E$3052,H3116)&gt;0,1,0),0)</f>
        <v>1</v>
      </c>
      <c r="V3116" s="71">
        <f>IFERROR(IF(AND(H3116&gt;=INDEX(PEMAGANG!$J$3:$J$36,MATCH(B3116,PEMAGANG!$C$3:$C$36,0)),H3116&lt;=INDEX(PEMAGANG!$K$3:$K$36,MATCH(B3116,PEMAGANG!$C$3:$C$36,0))),1,0),0)</f>
        <v>1</v>
      </c>
      <c r="W3116" s="71">
        <f t="shared" si="440"/>
        <v>1</v>
      </c>
    </row>
    <row r="3117" spans="1:23" x14ac:dyDescent="0.2">
      <c r="A3117" s="71" t="s">
        <v>272</v>
      </c>
      <c r="B3117" s="71" t="s">
        <v>273</v>
      </c>
      <c r="C3117" s="71" t="s">
        <v>187</v>
      </c>
      <c r="D3117" s="71" t="s">
        <v>274</v>
      </c>
      <c r="E3117" s="71" t="s">
        <v>693</v>
      </c>
      <c r="F3117" s="71" t="s">
        <v>300</v>
      </c>
      <c r="G3117" s="88">
        <v>46260.693495370397</v>
      </c>
      <c r="H3117" s="89">
        <v>46260</v>
      </c>
      <c r="I3117" s="71" t="s">
        <v>317</v>
      </c>
      <c r="J3117" s="71">
        <v>0</v>
      </c>
      <c r="K3117" s="71" t="s">
        <v>302</v>
      </c>
      <c r="L3117" s="71">
        <f t="shared" si="432"/>
        <v>8</v>
      </c>
      <c r="M3117" s="71" t="str">
        <f>IFERROR(INDEX(KALENDER!$D$3:$D$132,MATCH(H3117,KALENDER!$A$3:$A$132,0)),"Di luar periode")</f>
        <v>Hari Kerja</v>
      </c>
      <c r="N3117" s="71">
        <f t="shared" si="433"/>
        <v>0</v>
      </c>
      <c r="O3117" s="71">
        <f t="shared" si="434"/>
        <v>1</v>
      </c>
      <c r="P3117" s="71">
        <f t="shared" si="435"/>
        <v>0</v>
      </c>
      <c r="Q3117" s="71">
        <f t="shared" si="436"/>
        <v>0</v>
      </c>
      <c r="R3117" s="71">
        <f t="shared" si="437"/>
        <v>0</v>
      </c>
      <c r="S3117" s="71">
        <f t="shared" si="438"/>
        <v>0</v>
      </c>
      <c r="T3117" s="71">
        <f t="shared" si="439"/>
        <v>0</v>
      </c>
      <c r="U3117" s="71">
        <f>IF(AND(N3117=1,V3117=1),IF(COUNTIFS(AKTIVITAS!$B$2:$B$3052,B3117,AKTIVITAS!$E$2:$E$3052,H3117)&gt;0,1,0),0)</f>
        <v>0</v>
      </c>
      <c r="V3117" s="71">
        <f>IFERROR(IF(AND(H3117&gt;=INDEX(PEMAGANG!$J$3:$J$36,MATCH(B3117,PEMAGANG!$C$3:$C$36,0)),H3117&lt;=INDEX(PEMAGANG!$K$3:$K$36,MATCH(B3117,PEMAGANG!$C$3:$C$36,0))),1,0),0)</f>
        <v>1</v>
      </c>
      <c r="W3117" s="71">
        <f t="shared" si="440"/>
        <v>0</v>
      </c>
    </row>
    <row r="3118" spans="1:23" x14ac:dyDescent="0.2">
      <c r="A3118" s="71" t="s">
        <v>272</v>
      </c>
      <c r="B3118" s="71" t="s">
        <v>273</v>
      </c>
      <c r="C3118" s="71" t="s">
        <v>187</v>
      </c>
      <c r="D3118" s="71" t="s">
        <v>274</v>
      </c>
      <c r="E3118" s="71" t="s">
        <v>693</v>
      </c>
      <c r="F3118" s="71" t="s">
        <v>298</v>
      </c>
      <c r="G3118" s="88">
        <v>46261.308807870402</v>
      </c>
      <c r="H3118" s="89">
        <v>46261</v>
      </c>
      <c r="I3118" s="71" t="s">
        <v>303</v>
      </c>
      <c r="J3118" s="71">
        <v>-36</v>
      </c>
      <c r="K3118" s="71" t="s">
        <v>302</v>
      </c>
      <c r="L3118" s="71">
        <f t="shared" si="432"/>
        <v>8</v>
      </c>
      <c r="M3118" s="71" t="str">
        <f>IFERROR(INDEX(KALENDER!$D$3:$D$132,MATCH(H3118,KALENDER!$A$3:$A$132,0)),"Di luar periode")</f>
        <v>Hari Kerja</v>
      </c>
      <c r="N3118" s="71">
        <f t="shared" si="433"/>
        <v>1</v>
      </c>
      <c r="O3118" s="71">
        <f t="shared" si="434"/>
        <v>1</v>
      </c>
      <c r="P3118" s="71">
        <f t="shared" si="435"/>
        <v>1</v>
      </c>
      <c r="Q3118" s="71">
        <f t="shared" si="436"/>
        <v>0</v>
      </c>
      <c r="R3118" s="71">
        <f t="shared" si="437"/>
        <v>0</v>
      </c>
      <c r="S3118" s="71">
        <f t="shared" si="438"/>
        <v>0</v>
      </c>
      <c r="T3118" s="71">
        <f t="shared" si="439"/>
        <v>0</v>
      </c>
      <c r="U3118" s="71">
        <f>IF(AND(N3118=1,V3118=1),IF(COUNTIFS(AKTIVITAS!$B$2:$B$3052,B3118,AKTIVITAS!$E$2:$E$3052,H3118)&gt;0,1,0),0)</f>
        <v>1</v>
      </c>
      <c r="V3118" s="71">
        <f>IFERROR(IF(AND(H3118&gt;=INDEX(PEMAGANG!$J$3:$J$36,MATCH(B3118,PEMAGANG!$C$3:$C$36,0)),H3118&lt;=INDEX(PEMAGANG!$K$3:$K$36,MATCH(B3118,PEMAGANG!$C$3:$C$36,0))),1,0),0)</f>
        <v>1</v>
      </c>
      <c r="W3118" s="71">
        <f t="shared" si="440"/>
        <v>1</v>
      </c>
    </row>
    <row r="3119" spans="1:23" x14ac:dyDescent="0.2">
      <c r="A3119" s="71" t="s">
        <v>272</v>
      </c>
      <c r="B3119" s="71" t="s">
        <v>273</v>
      </c>
      <c r="C3119" s="71" t="s">
        <v>187</v>
      </c>
      <c r="D3119" s="71" t="s">
        <v>274</v>
      </c>
      <c r="E3119" s="71" t="s">
        <v>693</v>
      </c>
      <c r="F3119" s="71" t="s">
        <v>300</v>
      </c>
      <c r="G3119" s="88">
        <v>46261.693865740701</v>
      </c>
      <c r="H3119" s="89">
        <v>46261</v>
      </c>
      <c r="I3119" s="71" t="s">
        <v>308</v>
      </c>
      <c r="J3119" s="71">
        <v>0</v>
      </c>
      <c r="K3119" s="71" t="s">
        <v>302</v>
      </c>
      <c r="L3119" s="71">
        <f t="shared" si="432"/>
        <v>8</v>
      </c>
      <c r="M3119" s="71" t="str">
        <f>IFERROR(INDEX(KALENDER!$D$3:$D$132,MATCH(H3119,KALENDER!$A$3:$A$132,0)),"Di luar periode")</f>
        <v>Hari Kerja</v>
      </c>
      <c r="N3119" s="71">
        <f t="shared" si="433"/>
        <v>0</v>
      </c>
      <c r="O3119" s="71">
        <f t="shared" si="434"/>
        <v>1</v>
      </c>
      <c r="P3119" s="71">
        <f t="shared" si="435"/>
        <v>0</v>
      </c>
      <c r="Q3119" s="71">
        <f t="shared" si="436"/>
        <v>0</v>
      </c>
      <c r="R3119" s="71">
        <f t="shared" si="437"/>
        <v>0</v>
      </c>
      <c r="S3119" s="71">
        <f t="shared" si="438"/>
        <v>0</v>
      </c>
      <c r="T3119" s="71">
        <f t="shared" si="439"/>
        <v>0</v>
      </c>
      <c r="U3119" s="71">
        <f>IF(AND(N3119=1,V3119=1),IF(COUNTIFS(AKTIVITAS!$B$2:$B$3052,B3119,AKTIVITAS!$E$2:$E$3052,H3119)&gt;0,1,0),0)</f>
        <v>0</v>
      </c>
      <c r="V3119" s="71">
        <f>IFERROR(IF(AND(H3119&gt;=INDEX(PEMAGANG!$J$3:$J$36,MATCH(B3119,PEMAGANG!$C$3:$C$36,0)),H3119&lt;=INDEX(PEMAGANG!$K$3:$K$36,MATCH(B3119,PEMAGANG!$C$3:$C$36,0))),1,0),0)</f>
        <v>1</v>
      </c>
      <c r="W3119" s="71">
        <f t="shared" si="440"/>
        <v>0</v>
      </c>
    </row>
    <row r="3120" spans="1:23" x14ac:dyDescent="0.2">
      <c r="A3120" s="71" t="s">
        <v>272</v>
      </c>
      <c r="B3120" s="71" t="s">
        <v>273</v>
      </c>
      <c r="C3120" s="71" t="s">
        <v>187</v>
      </c>
      <c r="D3120" s="71" t="s">
        <v>274</v>
      </c>
      <c r="E3120" s="71" t="s">
        <v>693</v>
      </c>
      <c r="F3120" s="71" t="s">
        <v>298</v>
      </c>
      <c r="G3120" s="88">
        <v>46262.309768518498</v>
      </c>
      <c r="H3120" s="89">
        <v>46262</v>
      </c>
      <c r="I3120" s="71" t="s">
        <v>315</v>
      </c>
      <c r="J3120" s="71">
        <v>-34</v>
      </c>
      <c r="K3120" s="71" t="s">
        <v>302</v>
      </c>
      <c r="L3120" s="71">
        <f t="shared" si="432"/>
        <v>8</v>
      </c>
      <c r="M3120" s="71" t="str">
        <f>IFERROR(INDEX(KALENDER!$D$3:$D$132,MATCH(H3120,KALENDER!$A$3:$A$132,0)),"Di luar periode")</f>
        <v>Hari Kerja</v>
      </c>
      <c r="N3120" s="71">
        <f t="shared" si="433"/>
        <v>1</v>
      </c>
      <c r="O3120" s="71">
        <f t="shared" si="434"/>
        <v>1</v>
      </c>
      <c r="P3120" s="71">
        <f t="shared" si="435"/>
        <v>1</v>
      </c>
      <c r="Q3120" s="71">
        <f t="shared" si="436"/>
        <v>0</v>
      </c>
      <c r="R3120" s="71">
        <f t="shared" si="437"/>
        <v>0</v>
      </c>
      <c r="S3120" s="71">
        <f t="shared" si="438"/>
        <v>0</v>
      </c>
      <c r="T3120" s="71">
        <f t="shared" si="439"/>
        <v>0</v>
      </c>
      <c r="U3120" s="71">
        <f>IF(AND(N3120=1,V3120=1),IF(COUNTIFS(AKTIVITAS!$B$2:$B$3052,B3120,AKTIVITAS!$E$2:$E$3052,H3120)&gt;0,1,0),0)</f>
        <v>1</v>
      </c>
      <c r="V3120" s="71">
        <f>IFERROR(IF(AND(H3120&gt;=INDEX(PEMAGANG!$J$3:$J$36,MATCH(B3120,PEMAGANG!$C$3:$C$36,0)),H3120&lt;=INDEX(PEMAGANG!$K$3:$K$36,MATCH(B3120,PEMAGANG!$C$3:$C$36,0))),1,0),0)</f>
        <v>1</v>
      </c>
      <c r="W3120" s="71">
        <f t="shared" si="440"/>
        <v>1</v>
      </c>
    </row>
    <row r="3121" spans="1:23" x14ac:dyDescent="0.2">
      <c r="A3121" s="71" t="s">
        <v>272</v>
      </c>
      <c r="B3121" s="71" t="s">
        <v>273</v>
      </c>
      <c r="C3121" s="71" t="s">
        <v>187</v>
      </c>
      <c r="D3121" s="71" t="s">
        <v>274</v>
      </c>
      <c r="E3121" s="71" t="s">
        <v>693</v>
      </c>
      <c r="F3121" s="71" t="s">
        <v>300</v>
      </c>
      <c r="G3121" s="88">
        <v>46262.694687499999</v>
      </c>
      <c r="H3121" s="89">
        <v>46262</v>
      </c>
      <c r="I3121" s="71" t="s">
        <v>343</v>
      </c>
      <c r="J3121" s="71">
        <v>0</v>
      </c>
      <c r="K3121" s="71" t="s">
        <v>302</v>
      </c>
      <c r="L3121" s="71">
        <f t="shared" si="432"/>
        <v>8</v>
      </c>
      <c r="M3121" s="71" t="str">
        <f>IFERROR(INDEX(KALENDER!$D$3:$D$132,MATCH(H3121,KALENDER!$A$3:$A$132,0)),"Di luar periode")</f>
        <v>Hari Kerja</v>
      </c>
      <c r="N3121" s="71">
        <f t="shared" si="433"/>
        <v>0</v>
      </c>
      <c r="O3121" s="71">
        <f t="shared" si="434"/>
        <v>1</v>
      </c>
      <c r="P3121" s="71">
        <f t="shared" si="435"/>
        <v>0</v>
      </c>
      <c r="Q3121" s="71">
        <f t="shared" si="436"/>
        <v>0</v>
      </c>
      <c r="R3121" s="71">
        <f t="shared" si="437"/>
        <v>0</v>
      </c>
      <c r="S3121" s="71">
        <f t="shared" si="438"/>
        <v>0</v>
      </c>
      <c r="T3121" s="71">
        <f t="shared" si="439"/>
        <v>0</v>
      </c>
      <c r="U3121" s="71">
        <f>IF(AND(N3121=1,V3121=1),IF(COUNTIFS(AKTIVITAS!$B$2:$B$3052,B3121,AKTIVITAS!$E$2:$E$3052,H3121)&gt;0,1,0),0)</f>
        <v>0</v>
      </c>
      <c r="V3121" s="71">
        <f>IFERROR(IF(AND(H3121&gt;=INDEX(PEMAGANG!$J$3:$J$36,MATCH(B3121,PEMAGANG!$C$3:$C$36,0)),H3121&lt;=INDEX(PEMAGANG!$K$3:$K$36,MATCH(B3121,PEMAGANG!$C$3:$C$36,0))),1,0),0)</f>
        <v>1</v>
      </c>
      <c r="W3121" s="71">
        <f t="shared" si="440"/>
        <v>0</v>
      </c>
    </row>
    <row r="3122" spans="1:23" x14ac:dyDescent="0.2">
      <c r="A3122" s="71" t="s">
        <v>272</v>
      </c>
      <c r="B3122" s="71" t="s">
        <v>273</v>
      </c>
      <c r="C3122" s="71" t="s">
        <v>187</v>
      </c>
      <c r="D3122" s="71" t="s">
        <v>274</v>
      </c>
      <c r="E3122" s="71" t="s">
        <v>693</v>
      </c>
      <c r="F3122" s="71" t="s">
        <v>298</v>
      </c>
      <c r="G3122" s="88">
        <v>46265.311631944503</v>
      </c>
      <c r="H3122" s="89">
        <v>46265</v>
      </c>
      <c r="I3122" s="71" t="s">
        <v>377</v>
      </c>
      <c r="J3122" s="71">
        <v>-32</v>
      </c>
      <c r="K3122" s="71" t="s">
        <v>302</v>
      </c>
      <c r="L3122" s="71">
        <f t="shared" si="432"/>
        <v>8</v>
      </c>
      <c r="M3122" s="71" t="str">
        <f>IFERROR(INDEX(KALENDER!$D$3:$D$132,MATCH(H3122,KALENDER!$A$3:$A$132,0)),"Di luar periode")</f>
        <v>Hari Kerja</v>
      </c>
      <c r="N3122" s="71">
        <f t="shared" si="433"/>
        <v>1</v>
      </c>
      <c r="O3122" s="71">
        <f t="shared" si="434"/>
        <v>1</v>
      </c>
      <c r="P3122" s="71">
        <f t="shared" si="435"/>
        <v>1</v>
      </c>
      <c r="Q3122" s="71">
        <f t="shared" si="436"/>
        <v>0</v>
      </c>
      <c r="R3122" s="71">
        <f t="shared" si="437"/>
        <v>0</v>
      </c>
      <c r="S3122" s="71">
        <f t="shared" si="438"/>
        <v>0</v>
      </c>
      <c r="T3122" s="71">
        <f t="shared" si="439"/>
        <v>0</v>
      </c>
      <c r="U3122" s="71">
        <f>IF(AND(N3122=1,V3122=1),IF(COUNTIFS(AKTIVITAS!$B$2:$B$3052,B3122,AKTIVITAS!$E$2:$E$3052,H3122)&gt;0,1,0),0)</f>
        <v>1</v>
      </c>
      <c r="V3122" s="71">
        <f>IFERROR(IF(AND(H3122&gt;=INDEX(PEMAGANG!$J$3:$J$36,MATCH(B3122,PEMAGANG!$C$3:$C$36,0)),H3122&lt;=INDEX(PEMAGANG!$K$3:$K$36,MATCH(B3122,PEMAGANG!$C$3:$C$36,0))),1,0),0)</f>
        <v>1</v>
      </c>
      <c r="W3122" s="71">
        <f t="shared" si="440"/>
        <v>1</v>
      </c>
    </row>
    <row r="3123" spans="1:23" x14ac:dyDescent="0.2">
      <c r="A3123" s="71">
        <v>85337263831</v>
      </c>
      <c r="B3123" s="71" t="s">
        <v>273</v>
      </c>
      <c r="C3123" s="71" t="s">
        <v>187</v>
      </c>
      <c r="D3123" s="71" t="s">
        <v>274</v>
      </c>
      <c r="E3123" s="71" t="s">
        <v>693</v>
      </c>
      <c r="F3123" s="71" t="s">
        <v>298</v>
      </c>
      <c r="G3123" s="88">
        <v>46265.311631944503</v>
      </c>
      <c r="H3123" s="89">
        <v>46265</v>
      </c>
      <c r="I3123" s="71" t="s">
        <v>377</v>
      </c>
      <c r="J3123" s="71">
        <v>-32</v>
      </c>
      <c r="K3123" s="71" t="s">
        <v>302</v>
      </c>
      <c r="L3123" s="71">
        <f t="shared" si="432"/>
        <v>8</v>
      </c>
      <c r="M3123" s="71" t="str">
        <f>IFERROR(INDEX(KALENDER!$D$3:$D$132,MATCH(H3123,KALENDER!$A$3:$A$132,0)),"Di luar periode")</f>
        <v>Hari Kerja</v>
      </c>
      <c r="N3123" s="71">
        <f t="shared" si="433"/>
        <v>0</v>
      </c>
      <c r="O3123" s="71">
        <f t="shared" si="434"/>
        <v>2</v>
      </c>
      <c r="P3123" s="71">
        <f t="shared" si="435"/>
        <v>0</v>
      </c>
      <c r="Q3123" s="71">
        <f t="shared" si="436"/>
        <v>0</v>
      </c>
      <c r="R3123" s="71">
        <f t="shared" si="437"/>
        <v>0</v>
      </c>
      <c r="S3123" s="71">
        <f t="shared" si="438"/>
        <v>0</v>
      </c>
      <c r="T3123" s="71">
        <f t="shared" si="439"/>
        <v>0</v>
      </c>
      <c r="U3123" s="71">
        <f>IF(AND(N3123=1,V3123=1),IF(COUNTIFS(AKTIVITAS!$B$2:$B$3052,B3123,AKTIVITAS!$E$2:$E$3052,H3123)&gt;0,1,0),0)</f>
        <v>0</v>
      </c>
      <c r="V3123" s="71">
        <f>IFERROR(IF(AND(H3123&gt;=INDEX(PEMAGANG!$J$3:$J$36,MATCH(B3123,PEMAGANG!$C$3:$C$36,0)),H3123&lt;=INDEX(PEMAGANG!$K$3:$K$36,MATCH(B3123,PEMAGANG!$C$3:$C$36,0))),1,0),0)</f>
        <v>1</v>
      </c>
      <c r="W3123" s="71">
        <f t="shared" si="440"/>
        <v>0</v>
      </c>
    </row>
    <row r="3124" spans="1:23" x14ac:dyDescent="0.2">
      <c r="A3124" s="71">
        <v>85337263831</v>
      </c>
      <c r="B3124" s="71" t="s">
        <v>273</v>
      </c>
      <c r="C3124" s="71" t="s">
        <v>187</v>
      </c>
      <c r="D3124" s="71" t="s">
        <v>274</v>
      </c>
      <c r="E3124" s="71" t="s">
        <v>693</v>
      </c>
      <c r="F3124" s="71" t="s">
        <v>300</v>
      </c>
      <c r="G3124" s="88">
        <v>46265.721030092602</v>
      </c>
      <c r="H3124" s="89">
        <v>46265</v>
      </c>
      <c r="I3124" s="71" t="s">
        <v>473</v>
      </c>
      <c r="J3124" s="71">
        <v>0</v>
      </c>
      <c r="K3124" s="71" t="s">
        <v>302</v>
      </c>
      <c r="L3124" s="71">
        <f t="shared" si="432"/>
        <v>8</v>
      </c>
      <c r="M3124" s="71" t="str">
        <f>IFERROR(INDEX(KALENDER!$D$3:$D$132,MATCH(H3124,KALENDER!$A$3:$A$132,0)),"Di luar periode")</f>
        <v>Hari Kerja</v>
      </c>
      <c r="N3124" s="71">
        <f t="shared" si="433"/>
        <v>0</v>
      </c>
      <c r="O3124" s="71">
        <f t="shared" si="434"/>
        <v>2</v>
      </c>
      <c r="P3124" s="71">
        <f t="shared" si="435"/>
        <v>0</v>
      </c>
      <c r="Q3124" s="71">
        <f t="shared" si="436"/>
        <v>0</v>
      </c>
      <c r="R3124" s="71">
        <f t="shared" si="437"/>
        <v>0</v>
      </c>
      <c r="S3124" s="71">
        <f t="shared" si="438"/>
        <v>0</v>
      </c>
      <c r="T3124" s="71">
        <f t="shared" si="439"/>
        <v>0</v>
      </c>
      <c r="U3124" s="71">
        <f>IF(AND(N3124=1,V3124=1),IF(COUNTIFS(AKTIVITAS!$B$2:$B$3052,B3124,AKTIVITAS!$E$2:$E$3052,H3124)&gt;0,1,0),0)</f>
        <v>0</v>
      </c>
      <c r="V3124" s="71">
        <f>IFERROR(IF(AND(H3124&gt;=INDEX(PEMAGANG!$J$3:$J$36,MATCH(B3124,PEMAGANG!$C$3:$C$36,0)),H3124&lt;=INDEX(PEMAGANG!$K$3:$K$36,MATCH(B3124,PEMAGANG!$C$3:$C$36,0))),1,0),0)</f>
        <v>1</v>
      </c>
      <c r="W3124" s="71">
        <f t="shared" si="440"/>
        <v>0</v>
      </c>
    </row>
    <row r="3125" spans="1:23" x14ac:dyDescent="0.2">
      <c r="A3125" s="71">
        <v>85337263831</v>
      </c>
      <c r="B3125" s="71" t="s">
        <v>273</v>
      </c>
      <c r="C3125" s="71" t="s">
        <v>187</v>
      </c>
      <c r="D3125" s="71" t="s">
        <v>274</v>
      </c>
      <c r="E3125" s="71" t="s">
        <v>693</v>
      </c>
      <c r="F3125" s="71" t="s">
        <v>298</v>
      </c>
      <c r="G3125" s="88">
        <v>46266.308553240699</v>
      </c>
      <c r="H3125" s="89">
        <v>46266</v>
      </c>
      <c r="I3125" s="71" t="s">
        <v>303</v>
      </c>
      <c r="J3125" s="71">
        <v>-36</v>
      </c>
      <c r="K3125" s="71" t="s">
        <v>302</v>
      </c>
      <c r="L3125" s="71">
        <f t="shared" si="432"/>
        <v>9</v>
      </c>
      <c r="M3125" s="71" t="str">
        <f>IFERROR(INDEX(KALENDER!$D$3:$D$132,MATCH(H3125,KALENDER!$A$3:$A$132,0)),"Di luar periode")</f>
        <v>Hari Kerja</v>
      </c>
      <c r="N3125" s="71">
        <f t="shared" si="433"/>
        <v>1</v>
      </c>
      <c r="O3125" s="71">
        <f t="shared" si="434"/>
        <v>1</v>
      </c>
      <c r="P3125" s="71">
        <f t="shared" si="435"/>
        <v>1</v>
      </c>
      <c r="Q3125" s="71">
        <f t="shared" si="436"/>
        <v>0</v>
      </c>
      <c r="R3125" s="71">
        <f t="shared" si="437"/>
        <v>0</v>
      </c>
      <c r="S3125" s="71">
        <f t="shared" si="438"/>
        <v>0</v>
      </c>
      <c r="T3125" s="71">
        <f t="shared" si="439"/>
        <v>0</v>
      </c>
      <c r="U3125" s="71">
        <f>IF(AND(N3125=1,V3125=1),IF(COUNTIFS(AKTIVITAS!$B$2:$B$3052,B3125,AKTIVITAS!$E$2:$E$3052,H3125)&gt;0,1,0),0)</f>
        <v>1</v>
      </c>
      <c r="V3125" s="71">
        <f>IFERROR(IF(AND(H3125&gt;=INDEX(PEMAGANG!$J$3:$J$36,MATCH(B3125,PEMAGANG!$C$3:$C$36,0)),H3125&lt;=INDEX(PEMAGANG!$K$3:$K$36,MATCH(B3125,PEMAGANG!$C$3:$C$36,0))),1,0),0)</f>
        <v>1</v>
      </c>
      <c r="W3125" s="71">
        <f t="shared" si="440"/>
        <v>1</v>
      </c>
    </row>
    <row r="3126" spans="1:23" x14ac:dyDescent="0.2">
      <c r="A3126" s="71">
        <v>85337263831</v>
      </c>
      <c r="B3126" s="71" t="s">
        <v>273</v>
      </c>
      <c r="C3126" s="71" t="s">
        <v>187</v>
      </c>
      <c r="D3126" s="71" t="s">
        <v>274</v>
      </c>
      <c r="E3126" s="71" t="s">
        <v>693</v>
      </c>
      <c r="F3126" s="71" t="s">
        <v>300</v>
      </c>
      <c r="G3126" s="88">
        <v>46266.6964351852</v>
      </c>
      <c r="H3126" s="89">
        <v>46266</v>
      </c>
      <c r="I3126" s="71" t="s">
        <v>320</v>
      </c>
      <c r="J3126" s="71">
        <v>0</v>
      </c>
      <c r="K3126" s="71" t="s">
        <v>302</v>
      </c>
      <c r="L3126" s="71">
        <f t="shared" si="432"/>
        <v>9</v>
      </c>
      <c r="M3126" s="71" t="str">
        <f>IFERROR(INDEX(KALENDER!$D$3:$D$132,MATCH(H3126,KALENDER!$A$3:$A$132,0)),"Di luar periode")</f>
        <v>Hari Kerja</v>
      </c>
      <c r="N3126" s="71">
        <f t="shared" si="433"/>
        <v>0</v>
      </c>
      <c r="O3126" s="71">
        <f t="shared" si="434"/>
        <v>1</v>
      </c>
      <c r="P3126" s="71">
        <f t="shared" si="435"/>
        <v>0</v>
      </c>
      <c r="Q3126" s="71">
        <f t="shared" si="436"/>
        <v>0</v>
      </c>
      <c r="R3126" s="71">
        <f t="shared" si="437"/>
        <v>0</v>
      </c>
      <c r="S3126" s="71">
        <f t="shared" si="438"/>
        <v>0</v>
      </c>
      <c r="T3126" s="71">
        <f t="shared" si="439"/>
        <v>0</v>
      </c>
      <c r="U3126" s="71">
        <f>IF(AND(N3126=1,V3126=1),IF(COUNTIFS(AKTIVITAS!$B$2:$B$3052,B3126,AKTIVITAS!$E$2:$E$3052,H3126)&gt;0,1,0),0)</f>
        <v>0</v>
      </c>
      <c r="V3126" s="71">
        <f>IFERROR(IF(AND(H3126&gt;=INDEX(PEMAGANG!$J$3:$J$36,MATCH(B3126,PEMAGANG!$C$3:$C$36,0)),H3126&lt;=INDEX(PEMAGANG!$K$3:$K$36,MATCH(B3126,PEMAGANG!$C$3:$C$36,0))),1,0),0)</f>
        <v>1</v>
      </c>
      <c r="W3126" s="71">
        <f t="shared" si="440"/>
        <v>0</v>
      </c>
    </row>
    <row r="3127" spans="1:23" x14ac:dyDescent="0.2">
      <c r="A3127" s="71">
        <v>85337263831</v>
      </c>
      <c r="B3127" s="71" t="s">
        <v>273</v>
      </c>
      <c r="C3127" s="71" t="s">
        <v>187</v>
      </c>
      <c r="D3127" s="71" t="s">
        <v>274</v>
      </c>
      <c r="E3127" s="71" t="s">
        <v>693</v>
      </c>
      <c r="F3127" s="71" t="s">
        <v>298</v>
      </c>
      <c r="G3127" s="88">
        <v>46267.308634259301</v>
      </c>
      <c r="H3127" s="89">
        <v>46267</v>
      </c>
      <c r="I3127" s="71" t="s">
        <v>303</v>
      </c>
      <c r="J3127" s="71">
        <v>-36</v>
      </c>
      <c r="K3127" s="71" t="s">
        <v>302</v>
      </c>
      <c r="L3127" s="71">
        <f t="shared" si="432"/>
        <v>9</v>
      </c>
      <c r="M3127" s="71" t="str">
        <f>IFERROR(INDEX(KALENDER!$D$3:$D$132,MATCH(H3127,KALENDER!$A$3:$A$132,0)),"Di luar periode")</f>
        <v>Hari Kerja</v>
      </c>
      <c r="N3127" s="71">
        <f t="shared" si="433"/>
        <v>1</v>
      </c>
      <c r="O3127" s="71">
        <f t="shared" si="434"/>
        <v>1</v>
      </c>
      <c r="P3127" s="71">
        <f t="shared" si="435"/>
        <v>1</v>
      </c>
      <c r="Q3127" s="71">
        <f t="shared" si="436"/>
        <v>0</v>
      </c>
      <c r="R3127" s="71">
        <f t="shared" si="437"/>
        <v>0</v>
      </c>
      <c r="S3127" s="71">
        <f t="shared" si="438"/>
        <v>0</v>
      </c>
      <c r="T3127" s="71">
        <f t="shared" si="439"/>
        <v>0</v>
      </c>
      <c r="U3127" s="71">
        <f>IF(AND(N3127=1,V3127=1),IF(COUNTIFS(AKTIVITAS!$B$2:$B$3052,B3127,AKTIVITAS!$E$2:$E$3052,H3127)&gt;0,1,0),0)</f>
        <v>1</v>
      </c>
      <c r="V3127" s="71">
        <f>IFERROR(IF(AND(H3127&gt;=INDEX(PEMAGANG!$J$3:$J$36,MATCH(B3127,PEMAGANG!$C$3:$C$36,0)),H3127&lt;=INDEX(PEMAGANG!$K$3:$K$36,MATCH(B3127,PEMAGANG!$C$3:$C$36,0))),1,0),0)</f>
        <v>1</v>
      </c>
      <c r="W3127" s="71">
        <f t="shared" si="440"/>
        <v>1</v>
      </c>
    </row>
    <row r="3128" spans="1:23" x14ac:dyDescent="0.2">
      <c r="A3128" s="71">
        <v>85337263831</v>
      </c>
      <c r="B3128" s="71" t="s">
        <v>273</v>
      </c>
      <c r="C3128" s="71" t="s">
        <v>187</v>
      </c>
      <c r="D3128" s="71" t="s">
        <v>274</v>
      </c>
      <c r="E3128" s="71" t="s">
        <v>693</v>
      </c>
      <c r="F3128" s="71" t="s">
        <v>300</v>
      </c>
      <c r="G3128" s="88">
        <v>46267.689305555599</v>
      </c>
      <c r="H3128" s="89">
        <v>46267</v>
      </c>
      <c r="I3128" s="71" t="s">
        <v>306</v>
      </c>
      <c r="J3128" s="71">
        <v>0</v>
      </c>
      <c r="K3128" s="71" t="s">
        <v>302</v>
      </c>
      <c r="L3128" s="71">
        <f t="shared" si="432"/>
        <v>9</v>
      </c>
      <c r="M3128" s="71" t="str">
        <f>IFERROR(INDEX(KALENDER!$D$3:$D$132,MATCH(H3128,KALENDER!$A$3:$A$132,0)),"Di luar periode")</f>
        <v>Hari Kerja</v>
      </c>
      <c r="N3128" s="71">
        <f t="shared" si="433"/>
        <v>0</v>
      </c>
      <c r="O3128" s="71">
        <f t="shared" si="434"/>
        <v>1</v>
      </c>
      <c r="P3128" s="71">
        <f t="shared" si="435"/>
        <v>0</v>
      </c>
      <c r="Q3128" s="71">
        <f t="shared" si="436"/>
        <v>0</v>
      </c>
      <c r="R3128" s="71">
        <f t="shared" si="437"/>
        <v>0</v>
      </c>
      <c r="S3128" s="71">
        <f t="shared" si="438"/>
        <v>0</v>
      </c>
      <c r="T3128" s="71">
        <f t="shared" si="439"/>
        <v>0</v>
      </c>
      <c r="U3128" s="71">
        <f>IF(AND(N3128=1,V3128=1),IF(COUNTIFS(AKTIVITAS!$B$2:$B$3052,B3128,AKTIVITAS!$E$2:$E$3052,H3128)&gt;0,1,0),0)</f>
        <v>0</v>
      </c>
      <c r="V3128" s="71">
        <f>IFERROR(IF(AND(H3128&gt;=INDEX(PEMAGANG!$J$3:$J$36,MATCH(B3128,PEMAGANG!$C$3:$C$36,0)),H3128&lt;=INDEX(PEMAGANG!$K$3:$K$36,MATCH(B3128,PEMAGANG!$C$3:$C$36,0))),1,0),0)</f>
        <v>1</v>
      </c>
      <c r="W3128" s="71">
        <f t="shared" si="440"/>
        <v>0</v>
      </c>
    </row>
    <row r="3129" spans="1:23" x14ac:dyDescent="0.2">
      <c r="A3129" s="71">
        <v>85337263831</v>
      </c>
      <c r="B3129" s="71" t="s">
        <v>273</v>
      </c>
      <c r="C3129" s="71" t="s">
        <v>187</v>
      </c>
      <c r="D3129" s="71" t="s">
        <v>274</v>
      </c>
      <c r="E3129" s="71" t="s">
        <v>693</v>
      </c>
      <c r="F3129" s="71" t="s">
        <v>298</v>
      </c>
      <c r="G3129" s="88">
        <v>46268.302812499998</v>
      </c>
      <c r="H3129" s="89">
        <v>46268</v>
      </c>
      <c r="I3129" s="71" t="s">
        <v>327</v>
      </c>
      <c r="J3129" s="71">
        <v>-44</v>
      </c>
      <c r="K3129" s="71" t="s">
        <v>302</v>
      </c>
      <c r="L3129" s="71">
        <f t="shared" si="432"/>
        <v>9</v>
      </c>
      <c r="M3129" s="71" t="str">
        <f>IFERROR(INDEX(KALENDER!$D$3:$D$132,MATCH(H3129,KALENDER!$A$3:$A$132,0)),"Di luar periode")</f>
        <v>Hari Kerja</v>
      </c>
      <c r="N3129" s="71">
        <f t="shared" si="433"/>
        <v>1</v>
      </c>
      <c r="O3129" s="71">
        <f t="shared" si="434"/>
        <v>1</v>
      </c>
      <c r="P3129" s="71">
        <f t="shared" si="435"/>
        <v>1</v>
      </c>
      <c r="Q3129" s="71">
        <f t="shared" si="436"/>
        <v>0</v>
      </c>
      <c r="R3129" s="71">
        <f t="shared" si="437"/>
        <v>0</v>
      </c>
      <c r="S3129" s="71">
        <f t="shared" si="438"/>
        <v>0</v>
      </c>
      <c r="T3129" s="71">
        <f t="shared" si="439"/>
        <v>0</v>
      </c>
      <c r="U3129" s="71">
        <f>IF(AND(N3129=1,V3129=1),IF(COUNTIFS(AKTIVITAS!$B$2:$B$3052,B3129,AKTIVITAS!$E$2:$E$3052,H3129)&gt;0,1,0),0)</f>
        <v>1</v>
      </c>
      <c r="V3129" s="71">
        <f>IFERROR(IF(AND(H3129&gt;=INDEX(PEMAGANG!$J$3:$J$36,MATCH(B3129,PEMAGANG!$C$3:$C$36,0)),H3129&lt;=INDEX(PEMAGANG!$K$3:$K$36,MATCH(B3129,PEMAGANG!$C$3:$C$36,0))),1,0),0)</f>
        <v>1</v>
      </c>
      <c r="W3129" s="71">
        <f t="shared" si="440"/>
        <v>1</v>
      </c>
    </row>
    <row r="3130" spans="1:23" x14ac:dyDescent="0.2">
      <c r="A3130" s="71">
        <v>85337263831</v>
      </c>
      <c r="B3130" s="71" t="s">
        <v>273</v>
      </c>
      <c r="C3130" s="71" t="s">
        <v>187</v>
      </c>
      <c r="D3130" s="71" t="s">
        <v>274</v>
      </c>
      <c r="E3130" s="71" t="s">
        <v>693</v>
      </c>
      <c r="F3130" s="71" t="s">
        <v>300</v>
      </c>
      <c r="G3130" s="88">
        <v>46268.690509259301</v>
      </c>
      <c r="H3130" s="89">
        <v>46268</v>
      </c>
      <c r="I3130" s="71" t="s">
        <v>314</v>
      </c>
      <c r="J3130" s="71">
        <v>0</v>
      </c>
      <c r="K3130" s="71" t="s">
        <v>302</v>
      </c>
      <c r="L3130" s="71">
        <f t="shared" si="432"/>
        <v>9</v>
      </c>
      <c r="M3130" s="71" t="str">
        <f>IFERROR(INDEX(KALENDER!$D$3:$D$132,MATCH(H3130,KALENDER!$A$3:$A$132,0)),"Di luar periode")</f>
        <v>Hari Kerja</v>
      </c>
      <c r="N3130" s="71">
        <f t="shared" si="433"/>
        <v>0</v>
      </c>
      <c r="O3130" s="71">
        <f t="shared" si="434"/>
        <v>1</v>
      </c>
      <c r="P3130" s="71">
        <f t="shared" si="435"/>
        <v>0</v>
      </c>
      <c r="Q3130" s="71">
        <f t="shared" si="436"/>
        <v>0</v>
      </c>
      <c r="R3130" s="71">
        <f t="shared" si="437"/>
        <v>0</v>
      </c>
      <c r="S3130" s="71">
        <f t="shared" si="438"/>
        <v>0</v>
      </c>
      <c r="T3130" s="71">
        <f t="shared" si="439"/>
        <v>0</v>
      </c>
      <c r="U3130" s="71">
        <f>IF(AND(N3130=1,V3130=1),IF(COUNTIFS(AKTIVITAS!$B$2:$B$3052,B3130,AKTIVITAS!$E$2:$E$3052,H3130)&gt;0,1,0),0)</f>
        <v>0</v>
      </c>
      <c r="V3130" s="71">
        <f>IFERROR(IF(AND(H3130&gt;=INDEX(PEMAGANG!$J$3:$J$36,MATCH(B3130,PEMAGANG!$C$3:$C$36,0)),H3130&lt;=INDEX(PEMAGANG!$K$3:$K$36,MATCH(B3130,PEMAGANG!$C$3:$C$36,0))),1,0),0)</f>
        <v>1</v>
      </c>
      <c r="W3130" s="71">
        <f t="shared" si="440"/>
        <v>0</v>
      </c>
    </row>
    <row r="3131" spans="1:23" x14ac:dyDescent="0.2">
      <c r="A3131" s="71">
        <v>85337263831</v>
      </c>
      <c r="B3131" s="71" t="s">
        <v>273</v>
      </c>
      <c r="C3131" s="71" t="s">
        <v>187</v>
      </c>
      <c r="D3131" s="71" t="s">
        <v>274</v>
      </c>
      <c r="E3131" s="71" t="s">
        <v>693</v>
      </c>
      <c r="F3131" s="71" t="s">
        <v>300</v>
      </c>
      <c r="G3131" s="88">
        <v>46269.714502314797</v>
      </c>
      <c r="H3131" s="89">
        <v>46269</v>
      </c>
      <c r="I3131" s="71" t="s">
        <v>401</v>
      </c>
      <c r="J3131" s="71">
        <v>0</v>
      </c>
      <c r="K3131" s="71" t="s">
        <v>302</v>
      </c>
      <c r="L3131" s="71">
        <f t="shared" si="432"/>
        <v>9</v>
      </c>
      <c r="M3131" s="71" t="str">
        <f>IFERROR(INDEX(KALENDER!$D$3:$D$132,MATCH(H3131,KALENDER!$A$3:$A$132,0)),"Di luar periode")</f>
        <v>Hari Kerja</v>
      </c>
      <c r="N3131" s="71">
        <f t="shared" si="433"/>
        <v>1</v>
      </c>
      <c r="O3131" s="71">
        <f t="shared" si="434"/>
        <v>0</v>
      </c>
      <c r="P3131" s="71">
        <f t="shared" si="435"/>
        <v>1</v>
      </c>
      <c r="Q3131" s="71">
        <f t="shared" si="436"/>
        <v>0</v>
      </c>
      <c r="R3131" s="71">
        <f t="shared" si="437"/>
        <v>0</v>
      </c>
      <c r="S3131" s="71">
        <f t="shared" si="438"/>
        <v>0</v>
      </c>
      <c r="T3131" s="71">
        <f t="shared" si="439"/>
        <v>0</v>
      </c>
      <c r="U3131" s="71">
        <f>IF(AND(N3131=1,V3131=1),IF(COUNTIFS(AKTIVITAS!$B$2:$B$3052,B3131,AKTIVITAS!$E$2:$E$3052,H3131)&gt;0,1,0),0)</f>
        <v>1</v>
      </c>
      <c r="V3131" s="71">
        <f>IFERROR(IF(AND(H3131&gt;=INDEX(PEMAGANG!$J$3:$J$36,MATCH(B3131,PEMAGANG!$C$3:$C$36,0)),H3131&lt;=INDEX(PEMAGANG!$K$3:$K$36,MATCH(B3131,PEMAGANG!$C$3:$C$36,0))),1,0),0)</f>
        <v>1</v>
      </c>
      <c r="W3131" s="71">
        <f t="shared" si="440"/>
        <v>1</v>
      </c>
    </row>
    <row r="3132" spans="1:23" x14ac:dyDescent="0.2">
      <c r="A3132" s="71">
        <v>85337263831</v>
      </c>
      <c r="B3132" s="71" t="s">
        <v>273</v>
      </c>
      <c r="C3132" s="71" t="s">
        <v>187</v>
      </c>
      <c r="D3132" s="71" t="s">
        <v>274</v>
      </c>
      <c r="E3132" s="71" t="s">
        <v>693</v>
      </c>
      <c r="F3132" s="71" t="s">
        <v>298</v>
      </c>
      <c r="G3132" s="88">
        <v>46272.302893518499</v>
      </c>
      <c r="H3132" s="89">
        <v>46272</v>
      </c>
      <c r="I3132" s="71" t="s">
        <v>327</v>
      </c>
      <c r="J3132" s="71">
        <v>-44</v>
      </c>
      <c r="K3132" s="71" t="s">
        <v>302</v>
      </c>
      <c r="L3132" s="71">
        <f t="shared" si="432"/>
        <v>9</v>
      </c>
      <c r="M3132" s="71" t="str">
        <f>IFERROR(INDEX(KALENDER!$D$3:$D$132,MATCH(H3132,KALENDER!$A$3:$A$132,0)),"Di luar periode")</f>
        <v>Hari Kerja</v>
      </c>
      <c r="N3132" s="71">
        <f t="shared" si="433"/>
        <v>1</v>
      </c>
      <c r="O3132" s="71">
        <f t="shared" si="434"/>
        <v>1</v>
      </c>
      <c r="P3132" s="71">
        <f t="shared" si="435"/>
        <v>1</v>
      </c>
      <c r="Q3132" s="71">
        <f t="shared" si="436"/>
        <v>0</v>
      </c>
      <c r="R3132" s="71">
        <f t="shared" si="437"/>
        <v>0</v>
      </c>
      <c r="S3132" s="71">
        <f t="shared" si="438"/>
        <v>0</v>
      </c>
      <c r="T3132" s="71">
        <f t="shared" si="439"/>
        <v>0</v>
      </c>
      <c r="U3132" s="71">
        <f>IF(AND(N3132=1,V3132=1),IF(COUNTIFS(AKTIVITAS!$B$2:$B$3052,B3132,AKTIVITAS!$E$2:$E$3052,H3132)&gt;0,1,0),0)</f>
        <v>1</v>
      </c>
      <c r="V3132" s="71">
        <f>IFERROR(IF(AND(H3132&gt;=INDEX(PEMAGANG!$J$3:$J$36,MATCH(B3132,PEMAGANG!$C$3:$C$36,0)),H3132&lt;=INDEX(PEMAGANG!$K$3:$K$36,MATCH(B3132,PEMAGANG!$C$3:$C$36,0))),1,0),0)</f>
        <v>1</v>
      </c>
      <c r="W3132" s="71">
        <f t="shared" si="440"/>
        <v>1</v>
      </c>
    </row>
    <row r="3133" spans="1:23" x14ac:dyDescent="0.2">
      <c r="A3133" s="71">
        <v>85337263831</v>
      </c>
      <c r="B3133" s="71" t="s">
        <v>273</v>
      </c>
      <c r="C3133" s="71" t="s">
        <v>187</v>
      </c>
      <c r="D3133" s="71" t="s">
        <v>274</v>
      </c>
      <c r="E3133" s="71" t="s">
        <v>693</v>
      </c>
      <c r="F3133" s="71" t="s">
        <v>300</v>
      </c>
      <c r="G3133" s="88">
        <v>46272.689375000002</v>
      </c>
      <c r="H3133" s="89">
        <v>46272</v>
      </c>
      <c r="I3133" s="71" t="s">
        <v>306</v>
      </c>
      <c r="J3133" s="71">
        <v>0</v>
      </c>
      <c r="K3133" s="71" t="s">
        <v>302</v>
      </c>
      <c r="L3133" s="71">
        <f t="shared" si="432"/>
        <v>9</v>
      </c>
      <c r="M3133" s="71" t="str">
        <f>IFERROR(INDEX(KALENDER!$D$3:$D$132,MATCH(H3133,KALENDER!$A$3:$A$132,0)),"Di luar periode")</f>
        <v>Hari Kerja</v>
      </c>
      <c r="N3133" s="71">
        <f t="shared" si="433"/>
        <v>0</v>
      </c>
      <c r="O3133" s="71">
        <f t="shared" si="434"/>
        <v>1</v>
      </c>
      <c r="P3133" s="71">
        <f t="shared" si="435"/>
        <v>0</v>
      </c>
      <c r="Q3133" s="71">
        <f t="shared" si="436"/>
        <v>0</v>
      </c>
      <c r="R3133" s="71">
        <f t="shared" si="437"/>
        <v>0</v>
      </c>
      <c r="S3133" s="71">
        <f t="shared" si="438"/>
        <v>0</v>
      </c>
      <c r="T3133" s="71">
        <f t="shared" si="439"/>
        <v>0</v>
      </c>
      <c r="U3133" s="71">
        <f>IF(AND(N3133=1,V3133=1),IF(COUNTIFS(AKTIVITAS!$B$2:$B$3052,B3133,AKTIVITAS!$E$2:$E$3052,H3133)&gt;0,1,0),0)</f>
        <v>0</v>
      </c>
      <c r="V3133" s="71">
        <f>IFERROR(IF(AND(H3133&gt;=INDEX(PEMAGANG!$J$3:$J$36,MATCH(B3133,PEMAGANG!$C$3:$C$36,0)),H3133&lt;=INDEX(PEMAGANG!$K$3:$K$36,MATCH(B3133,PEMAGANG!$C$3:$C$36,0))),1,0),0)</f>
        <v>1</v>
      </c>
      <c r="W3133" s="71">
        <f t="shared" si="440"/>
        <v>0</v>
      </c>
    </row>
    <row r="3134" spans="1:23" x14ac:dyDescent="0.2">
      <c r="A3134" s="71">
        <v>85337263831</v>
      </c>
      <c r="B3134" s="71" t="s">
        <v>273</v>
      </c>
      <c r="C3134" s="71" t="s">
        <v>187</v>
      </c>
      <c r="D3134" s="71" t="s">
        <v>274</v>
      </c>
      <c r="E3134" s="71" t="s">
        <v>693</v>
      </c>
      <c r="F3134" s="71" t="s">
        <v>298</v>
      </c>
      <c r="G3134" s="88">
        <v>46273.310555555603</v>
      </c>
      <c r="H3134" s="89">
        <v>46273</v>
      </c>
      <c r="I3134" s="71" t="s">
        <v>309</v>
      </c>
      <c r="J3134" s="71">
        <v>-33</v>
      </c>
      <c r="K3134" s="71" t="s">
        <v>302</v>
      </c>
      <c r="L3134" s="71">
        <f t="shared" si="432"/>
        <v>9</v>
      </c>
      <c r="M3134" s="71" t="str">
        <f>IFERROR(INDEX(KALENDER!$D$3:$D$132,MATCH(H3134,KALENDER!$A$3:$A$132,0)),"Di luar periode")</f>
        <v>Hari Kerja</v>
      </c>
      <c r="N3134" s="71">
        <f t="shared" si="433"/>
        <v>1</v>
      </c>
      <c r="O3134" s="71">
        <f t="shared" si="434"/>
        <v>1</v>
      </c>
      <c r="P3134" s="71">
        <f t="shared" si="435"/>
        <v>1</v>
      </c>
      <c r="Q3134" s="71">
        <f t="shared" si="436"/>
        <v>0</v>
      </c>
      <c r="R3134" s="71">
        <f t="shared" si="437"/>
        <v>0</v>
      </c>
      <c r="S3134" s="71">
        <f t="shared" si="438"/>
        <v>0</v>
      </c>
      <c r="T3134" s="71">
        <f t="shared" si="439"/>
        <v>0</v>
      </c>
      <c r="U3134" s="71">
        <f>IF(AND(N3134=1,V3134=1),IF(COUNTIFS(AKTIVITAS!$B$2:$B$3052,B3134,AKTIVITAS!$E$2:$E$3052,H3134)&gt;0,1,0),0)</f>
        <v>1</v>
      </c>
      <c r="V3134" s="71">
        <f>IFERROR(IF(AND(H3134&gt;=INDEX(PEMAGANG!$J$3:$J$36,MATCH(B3134,PEMAGANG!$C$3:$C$36,0)),H3134&lt;=INDEX(PEMAGANG!$K$3:$K$36,MATCH(B3134,PEMAGANG!$C$3:$C$36,0))),1,0),0)</f>
        <v>1</v>
      </c>
      <c r="W3134" s="71">
        <f t="shared" si="440"/>
        <v>1</v>
      </c>
    </row>
    <row r="3135" spans="1:23" x14ac:dyDescent="0.2">
      <c r="A3135" s="71">
        <v>85337263831</v>
      </c>
      <c r="B3135" s="71" t="s">
        <v>273</v>
      </c>
      <c r="C3135" s="71" t="s">
        <v>187</v>
      </c>
      <c r="D3135" s="71" t="s">
        <v>274</v>
      </c>
      <c r="E3135" s="71" t="s">
        <v>693</v>
      </c>
      <c r="F3135" s="71" t="s">
        <v>300</v>
      </c>
      <c r="G3135" s="88">
        <v>46273.692523148202</v>
      </c>
      <c r="H3135" s="89">
        <v>46273</v>
      </c>
      <c r="I3135" s="71" t="s">
        <v>328</v>
      </c>
      <c r="J3135" s="71">
        <v>0</v>
      </c>
      <c r="K3135" s="71" t="s">
        <v>302</v>
      </c>
      <c r="L3135" s="71">
        <f t="shared" si="432"/>
        <v>9</v>
      </c>
      <c r="M3135" s="71" t="str">
        <f>IFERROR(INDEX(KALENDER!$D$3:$D$132,MATCH(H3135,KALENDER!$A$3:$A$132,0)),"Di luar periode")</f>
        <v>Hari Kerja</v>
      </c>
      <c r="N3135" s="71">
        <f t="shared" si="433"/>
        <v>0</v>
      </c>
      <c r="O3135" s="71">
        <f t="shared" si="434"/>
        <v>1</v>
      </c>
      <c r="P3135" s="71">
        <f t="shared" si="435"/>
        <v>0</v>
      </c>
      <c r="Q3135" s="71">
        <f t="shared" si="436"/>
        <v>0</v>
      </c>
      <c r="R3135" s="71">
        <f t="shared" si="437"/>
        <v>0</v>
      </c>
      <c r="S3135" s="71">
        <f t="shared" si="438"/>
        <v>0</v>
      </c>
      <c r="T3135" s="71">
        <f t="shared" si="439"/>
        <v>0</v>
      </c>
      <c r="U3135" s="71">
        <f>IF(AND(N3135=1,V3135=1),IF(COUNTIFS(AKTIVITAS!$B$2:$B$3052,B3135,AKTIVITAS!$E$2:$E$3052,H3135)&gt;0,1,0),0)</f>
        <v>0</v>
      </c>
      <c r="V3135" s="71">
        <f>IFERROR(IF(AND(H3135&gt;=INDEX(PEMAGANG!$J$3:$J$36,MATCH(B3135,PEMAGANG!$C$3:$C$36,0)),H3135&lt;=INDEX(PEMAGANG!$K$3:$K$36,MATCH(B3135,PEMAGANG!$C$3:$C$36,0))),1,0),0)</f>
        <v>1</v>
      </c>
      <c r="W3135" s="71">
        <f t="shared" si="440"/>
        <v>0</v>
      </c>
    </row>
    <row r="3136" spans="1:23" x14ac:dyDescent="0.2">
      <c r="A3136" s="71">
        <v>85337263831</v>
      </c>
      <c r="B3136" s="71" t="s">
        <v>273</v>
      </c>
      <c r="C3136" s="71" t="s">
        <v>187</v>
      </c>
      <c r="D3136" s="71" t="s">
        <v>274</v>
      </c>
      <c r="E3136" s="71" t="s">
        <v>693</v>
      </c>
      <c r="F3136" s="71" t="s">
        <v>298</v>
      </c>
      <c r="G3136" s="88">
        <v>46274.311944444496</v>
      </c>
      <c r="H3136" s="89">
        <v>46274</v>
      </c>
      <c r="I3136" s="71" t="s">
        <v>365</v>
      </c>
      <c r="J3136" s="71">
        <v>-31</v>
      </c>
      <c r="K3136" s="71" t="s">
        <v>302</v>
      </c>
      <c r="L3136" s="71">
        <f t="shared" si="432"/>
        <v>9</v>
      </c>
      <c r="M3136" s="71" t="str">
        <f>IFERROR(INDEX(KALENDER!$D$3:$D$132,MATCH(H3136,KALENDER!$A$3:$A$132,0)),"Di luar periode")</f>
        <v>Hari Kerja</v>
      </c>
      <c r="N3136" s="71">
        <f t="shared" si="433"/>
        <v>1</v>
      </c>
      <c r="O3136" s="71">
        <f t="shared" si="434"/>
        <v>1</v>
      </c>
      <c r="P3136" s="71">
        <f t="shared" si="435"/>
        <v>1</v>
      </c>
      <c r="Q3136" s="71">
        <f t="shared" si="436"/>
        <v>0</v>
      </c>
      <c r="R3136" s="71">
        <f t="shared" si="437"/>
        <v>0</v>
      </c>
      <c r="S3136" s="71">
        <f t="shared" si="438"/>
        <v>0</v>
      </c>
      <c r="T3136" s="71">
        <f t="shared" si="439"/>
        <v>0</v>
      </c>
      <c r="U3136" s="71">
        <f>IF(AND(N3136=1,V3136=1),IF(COUNTIFS(AKTIVITAS!$B$2:$B$3052,B3136,AKTIVITAS!$E$2:$E$3052,H3136)&gt;0,1,0),0)</f>
        <v>1</v>
      </c>
      <c r="V3136" s="71">
        <f>IFERROR(IF(AND(H3136&gt;=INDEX(PEMAGANG!$J$3:$J$36,MATCH(B3136,PEMAGANG!$C$3:$C$36,0)),H3136&lt;=INDEX(PEMAGANG!$K$3:$K$36,MATCH(B3136,PEMAGANG!$C$3:$C$36,0))),1,0),0)</f>
        <v>1</v>
      </c>
      <c r="W3136" s="71">
        <f t="shared" si="440"/>
        <v>1</v>
      </c>
    </row>
    <row r="3137" spans="1:23" x14ac:dyDescent="0.2">
      <c r="A3137" s="71">
        <v>85337263831</v>
      </c>
      <c r="B3137" s="71" t="s">
        <v>273</v>
      </c>
      <c r="C3137" s="71" t="s">
        <v>187</v>
      </c>
      <c r="D3137" s="71" t="s">
        <v>274</v>
      </c>
      <c r="E3137" s="71" t="s">
        <v>693</v>
      </c>
      <c r="F3137" s="71" t="s">
        <v>298</v>
      </c>
      <c r="G3137" s="88">
        <v>46274.311944444496</v>
      </c>
      <c r="H3137" s="89">
        <v>46274</v>
      </c>
      <c r="I3137" s="71" t="s">
        <v>365</v>
      </c>
      <c r="J3137" s="71">
        <v>-0.999999999999996</v>
      </c>
      <c r="K3137" s="71" t="s">
        <v>302</v>
      </c>
      <c r="L3137" s="71">
        <f t="shared" si="432"/>
        <v>9</v>
      </c>
      <c r="M3137" s="71" t="str">
        <f>IFERROR(INDEX(KALENDER!$D$3:$D$132,MATCH(H3137,KALENDER!$A$3:$A$132,0)),"Di luar periode")</f>
        <v>Hari Kerja</v>
      </c>
      <c r="N3137" s="71">
        <f t="shared" si="433"/>
        <v>0</v>
      </c>
      <c r="O3137" s="71">
        <f t="shared" si="434"/>
        <v>2</v>
      </c>
      <c r="P3137" s="71">
        <f t="shared" si="435"/>
        <v>0</v>
      </c>
      <c r="Q3137" s="71">
        <f t="shared" si="436"/>
        <v>0</v>
      </c>
      <c r="R3137" s="71">
        <f t="shared" si="437"/>
        <v>0</v>
      </c>
      <c r="S3137" s="71">
        <f t="shared" si="438"/>
        <v>0</v>
      </c>
      <c r="T3137" s="71">
        <f t="shared" si="439"/>
        <v>0</v>
      </c>
      <c r="U3137" s="71">
        <f>IF(AND(N3137=1,V3137=1),IF(COUNTIFS(AKTIVITAS!$B$2:$B$3052,B3137,AKTIVITAS!$E$2:$E$3052,H3137)&gt;0,1,0),0)</f>
        <v>0</v>
      </c>
      <c r="V3137" s="71">
        <f>IFERROR(IF(AND(H3137&gt;=INDEX(PEMAGANG!$J$3:$J$36,MATCH(B3137,PEMAGANG!$C$3:$C$36,0)),H3137&lt;=INDEX(PEMAGANG!$K$3:$K$36,MATCH(B3137,PEMAGANG!$C$3:$C$36,0))),1,0),0)</f>
        <v>1</v>
      </c>
      <c r="W3137" s="71">
        <f t="shared" si="440"/>
        <v>0</v>
      </c>
    </row>
    <row r="3138" spans="1:23" x14ac:dyDescent="0.2">
      <c r="A3138" s="71">
        <v>85337263831</v>
      </c>
      <c r="B3138" s="71" t="s">
        <v>273</v>
      </c>
      <c r="C3138" s="71" t="s">
        <v>187</v>
      </c>
      <c r="D3138" s="71" t="s">
        <v>274</v>
      </c>
      <c r="E3138" s="71" t="s">
        <v>693</v>
      </c>
      <c r="F3138" s="71" t="s">
        <v>300</v>
      </c>
      <c r="G3138" s="88">
        <v>46274.696145833303</v>
      </c>
      <c r="H3138" s="89">
        <v>46274</v>
      </c>
      <c r="I3138" s="71" t="s">
        <v>320</v>
      </c>
      <c r="J3138" s="71">
        <v>0</v>
      </c>
      <c r="K3138" s="71" t="s">
        <v>302</v>
      </c>
      <c r="L3138" s="71">
        <f t="shared" ref="L3138:L3201" si="441">MONTH(H3138)</f>
        <v>9</v>
      </c>
      <c r="M3138" s="71" t="str">
        <f>IFERROR(INDEX(KALENDER!$D$3:$D$132,MATCH(H3138,KALENDER!$A$3:$A$132,0)),"Di luar periode")</f>
        <v>Hari Kerja</v>
      </c>
      <c r="N3138" s="71">
        <f t="shared" ref="N3138:N3201" si="442">IF(AND(B3138=B3137,H3138=H3137),0,1)</f>
        <v>0</v>
      </c>
      <c r="O3138" s="71">
        <f t="shared" ref="O3138:O3201" si="443">IF(N3138=1,0,O3137)+IF(F3138="MASUK",1,0)</f>
        <v>2</v>
      </c>
      <c r="P3138" s="71">
        <f t="shared" ref="P3138:P3201" si="444">IF(AND(N3138=1,M3138="Hari Kerja",V3138=1),1,0)</f>
        <v>0</v>
      </c>
      <c r="Q3138" s="71">
        <f t="shared" ref="Q3138:Q3201" si="445">IF(AND(N3138=1,OR(M3138&lt;&gt;"Hari Kerja",V3138=0)),1,0)</f>
        <v>0</v>
      </c>
      <c r="R3138" s="71">
        <f t="shared" ref="R3138:R3201" si="446">IF(AND(F3138="MASUK",O3138=1,N(J3138)&gt;0,V3138=1),1,0)</f>
        <v>0</v>
      </c>
      <c r="S3138" s="71">
        <f t="shared" ref="S3138:S3201" si="447">R3138*N(J3138)</f>
        <v>0</v>
      </c>
      <c r="T3138" s="71">
        <f t="shared" ref="T3138:T3201" si="448">IF(AND(N3138=1,V3138=1),IF(AND(COUNTIFS($B$2:$B$4094,B3138,$H$2:$H$4094,H3138,$F$2:$F$4094,"MASUK")&gt;0,COUNTIFS($B$2:$B$4094,B3138,$H$2:$H$4094,H3138,$F$2:$F$4094,"PULANG")=0),1,0),0)</f>
        <v>0</v>
      </c>
      <c r="U3138" s="71">
        <f>IF(AND(N3138=1,V3138=1),IF(COUNTIFS(AKTIVITAS!$B$2:$B$3052,B3138,AKTIVITAS!$E$2:$E$3052,H3138)&gt;0,1,0),0)</f>
        <v>0</v>
      </c>
      <c r="V3138" s="71">
        <f>IFERROR(IF(AND(H3138&gt;=INDEX(PEMAGANG!$J$3:$J$36,MATCH(B3138,PEMAGANG!$C$3:$C$36,0)),H3138&lt;=INDEX(PEMAGANG!$K$3:$K$36,MATCH(B3138,PEMAGANG!$C$3:$C$36,0))),1,0),0)</f>
        <v>1</v>
      </c>
      <c r="W3138" s="71">
        <f t="shared" ref="W3138:W3201" si="449">N3138*V3138</f>
        <v>0</v>
      </c>
    </row>
    <row r="3139" spans="1:23" x14ac:dyDescent="0.2">
      <c r="A3139" s="71">
        <v>85337263831</v>
      </c>
      <c r="B3139" s="71" t="s">
        <v>273</v>
      </c>
      <c r="C3139" s="71" t="s">
        <v>187</v>
      </c>
      <c r="D3139" s="71" t="s">
        <v>274</v>
      </c>
      <c r="E3139" s="71" t="s">
        <v>693</v>
      </c>
      <c r="F3139" s="71" t="s">
        <v>298</v>
      </c>
      <c r="G3139" s="88">
        <v>46275.310358796298</v>
      </c>
      <c r="H3139" s="89">
        <v>46275</v>
      </c>
      <c r="I3139" s="71" t="s">
        <v>315</v>
      </c>
      <c r="J3139" s="71">
        <v>-34</v>
      </c>
      <c r="K3139" s="71" t="s">
        <v>302</v>
      </c>
      <c r="L3139" s="71">
        <f t="shared" si="441"/>
        <v>9</v>
      </c>
      <c r="M3139" s="71" t="str">
        <f>IFERROR(INDEX(KALENDER!$D$3:$D$132,MATCH(H3139,KALENDER!$A$3:$A$132,0)),"Di luar periode")</f>
        <v>Hari Kerja</v>
      </c>
      <c r="N3139" s="71">
        <f t="shared" si="442"/>
        <v>1</v>
      </c>
      <c r="O3139" s="71">
        <f t="shared" si="443"/>
        <v>1</v>
      </c>
      <c r="P3139" s="71">
        <f t="shared" si="444"/>
        <v>1</v>
      </c>
      <c r="Q3139" s="71">
        <f t="shared" si="445"/>
        <v>0</v>
      </c>
      <c r="R3139" s="71">
        <f t="shared" si="446"/>
        <v>0</v>
      </c>
      <c r="S3139" s="71">
        <f t="shared" si="447"/>
        <v>0</v>
      </c>
      <c r="T3139" s="71">
        <f t="shared" si="448"/>
        <v>0</v>
      </c>
      <c r="U3139" s="71">
        <f>IF(AND(N3139=1,V3139=1),IF(COUNTIFS(AKTIVITAS!$B$2:$B$3052,B3139,AKTIVITAS!$E$2:$E$3052,H3139)&gt;0,1,0),0)</f>
        <v>1</v>
      </c>
      <c r="V3139" s="71">
        <f>IFERROR(IF(AND(H3139&gt;=INDEX(PEMAGANG!$J$3:$J$36,MATCH(B3139,PEMAGANG!$C$3:$C$36,0)),H3139&lt;=INDEX(PEMAGANG!$K$3:$K$36,MATCH(B3139,PEMAGANG!$C$3:$C$36,0))),1,0),0)</f>
        <v>1</v>
      </c>
      <c r="W3139" s="71">
        <f t="shared" si="449"/>
        <v>1</v>
      </c>
    </row>
    <row r="3140" spans="1:23" x14ac:dyDescent="0.2">
      <c r="A3140" s="71">
        <v>85337263831</v>
      </c>
      <c r="B3140" s="71" t="s">
        <v>273</v>
      </c>
      <c r="C3140" s="71" t="s">
        <v>187</v>
      </c>
      <c r="D3140" s="71" t="s">
        <v>274</v>
      </c>
      <c r="E3140" s="71" t="s">
        <v>693</v>
      </c>
      <c r="F3140" s="71" t="s">
        <v>298</v>
      </c>
      <c r="G3140" s="88">
        <v>46275.310358796298</v>
      </c>
      <c r="H3140" s="89">
        <v>46275</v>
      </c>
      <c r="I3140" s="71" t="s">
        <v>315</v>
      </c>
      <c r="J3140" s="71">
        <v>-3.9999999999999898</v>
      </c>
      <c r="K3140" s="71" t="s">
        <v>302</v>
      </c>
      <c r="L3140" s="71">
        <f t="shared" si="441"/>
        <v>9</v>
      </c>
      <c r="M3140" s="71" t="str">
        <f>IFERROR(INDEX(KALENDER!$D$3:$D$132,MATCH(H3140,KALENDER!$A$3:$A$132,0)),"Di luar periode")</f>
        <v>Hari Kerja</v>
      </c>
      <c r="N3140" s="71">
        <f t="shared" si="442"/>
        <v>0</v>
      </c>
      <c r="O3140" s="71">
        <f t="shared" si="443"/>
        <v>2</v>
      </c>
      <c r="P3140" s="71">
        <f t="shared" si="444"/>
        <v>0</v>
      </c>
      <c r="Q3140" s="71">
        <f t="shared" si="445"/>
        <v>0</v>
      </c>
      <c r="R3140" s="71">
        <f t="shared" si="446"/>
        <v>0</v>
      </c>
      <c r="S3140" s="71">
        <f t="shared" si="447"/>
        <v>0</v>
      </c>
      <c r="T3140" s="71">
        <f t="shared" si="448"/>
        <v>0</v>
      </c>
      <c r="U3140" s="71">
        <f>IF(AND(N3140=1,V3140=1),IF(COUNTIFS(AKTIVITAS!$B$2:$B$3052,B3140,AKTIVITAS!$E$2:$E$3052,H3140)&gt;0,1,0),0)</f>
        <v>0</v>
      </c>
      <c r="V3140" s="71">
        <f>IFERROR(IF(AND(H3140&gt;=INDEX(PEMAGANG!$J$3:$J$36,MATCH(B3140,PEMAGANG!$C$3:$C$36,0)),H3140&lt;=INDEX(PEMAGANG!$K$3:$K$36,MATCH(B3140,PEMAGANG!$C$3:$C$36,0))),1,0),0)</f>
        <v>1</v>
      </c>
      <c r="W3140" s="71">
        <f t="shared" si="449"/>
        <v>0</v>
      </c>
    </row>
    <row r="3141" spans="1:23" x14ac:dyDescent="0.2">
      <c r="A3141" s="71">
        <v>85337263831</v>
      </c>
      <c r="B3141" s="71" t="s">
        <v>273</v>
      </c>
      <c r="C3141" s="71" t="s">
        <v>187</v>
      </c>
      <c r="D3141" s="71" t="s">
        <v>274</v>
      </c>
      <c r="E3141" s="71" t="s">
        <v>693</v>
      </c>
      <c r="F3141" s="71" t="s">
        <v>300</v>
      </c>
      <c r="G3141" s="88">
        <v>46275.6929282407</v>
      </c>
      <c r="H3141" s="89">
        <v>46275</v>
      </c>
      <c r="I3141" s="71" t="s">
        <v>328</v>
      </c>
      <c r="J3141" s="71">
        <v>0</v>
      </c>
      <c r="K3141" s="71" t="s">
        <v>302</v>
      </c>
      <c r="L3141" s="71">
        <f t="shared" si="441"/>
        <v>9</v>
      </c>
      <c r="M3141" s="71" t="str">
        <f>IFERROR(INDEX(KALENDER!$D$3:$D$132,MATCH(H3141,KALENDER!$A$3:$A$132,0)),"Di luar periode")</f>
        <v>Hari Kerja</v>
      </c>
      <c r="N3141" s="71">
        <f t="shared" si="442"/>
        <v>0</v>
      </c>
      <c r="O3141" s="71">
        <f t="shared" si="443"/>
        <v>2</v>
      </c>
      <c r="P3141" s="71">
        <f t="shared" si="444"/>
        <v>0</v>
      </c>
      <c r="Q3141" s="71">
        <f t="shared" si="445"/>
        <v>0</v>
      </c>
      <c r="R3141" s="71">
        <f t="shared" si="446"/>
        <v>0</v>
      </c>
      <c r="S3141" s="71">
        <f t="shared" si="447"/>
        <v>0</v>
      </c>
      <c r="T3141" s="71">
        <f t="shared" si="448"/>
        <v>0</v>
      </c>
      <c r="U3141" s="71">
        <f>IF(AND(N3141=1,V3141=1),IF(COUNTIFS(AKTIVITAS!$B$2:$B$3052,B3141,AKTIVITAS!$E$2:$E$3052,H3141)&gt;0,1,0),0)</f>
        <v>0</v>
      </c>
      <c r="V3141" s="71">
        <f>IFERROR(IF(AND(H3141&gt;=INDEX(PEMAGANG!$J$3:$J$36,MATCH(B3141,PEMAGANG!$C$3:$C$36,0)),H3141&lt;=INDEX(PEMAGANG!$K$3:$K$36,MATCH(B3141,PEMAGANG!$C$3:$C$36,0))),1,0),0)</f>
        <v>1</v>
      </c>
      <c r="W3141" s="71">
        <f t="shared" si="449"/>
        <v>0</v>
      </c>
    </row>
    <row r="3142" spans="1:23" x14ac:dyDescent="0.2">
      <c r="A3142" s="71">
        <v>85337263831</v>
      </c>
      <c r="B3142" s="71" t="s">
        <v>273</v>
      </c>
      <c r="C3142" s="71" t="s">
        <v>187</v>
      </c>
      <c r="D3142" s="71" t="s">
        <v>274</v>
      </c>
      <c r="E3142" s="71" t="s">
        <v>693</v>
      </c>
      <c r="F3142" s="71" t="s">
        <v>298</v>
      </c>
      <c r="G3142" s="88">
        <v>46276.307175925896</v>
      </c>
      <c r="H3142" s="89">
        <v>46276</v>
      </c>
      <c r="I3142" s="71" t="s">
        <v>313</v>
      </c>
      <c r="J3142" s="71">
        <v>-8.0000000000000497</v>
      </c>
      <c r="K3142" s="71" t="s">
        <v>302</v>
      </c>
      <c r="L3142" s="71">
        <f t="shared" si="441"/>
        <v>9</v>
      </c>
      <c r="M3142" s="71" t="str">
        <f>IFERROR(INDEX(KALENDER!$D$3:$D$132,MATCH(H3142,KALENDER!$A$3:$A$132,0)),"Di luar periode")</f>
        <v>Hari Kerja</v>
      </c>
      <c r="N3142" s="71">
        <f t="shared" si="442"/>
        <v>1</v>
      </c>
      <c r="O3142" s="71">
        <f t="shared" si="443"/>
        <v>1</v>
      </c>
      <c r="P3142" s="71">
        <f t="shared" si="444"/>
        <v>1</v>
      </c>
      <c r="Q3142" s="71">
        <f t="shared" si="445"/>
        <v>0</v>
      </c>
      <c r="R3142" s="71">
        <f t="shared" si="446"/>
        <v>0</v>
      </c>
      <c r="S3142" s="71">
        <f t="shared" si="447"/>
        <v>0</v>
      </c>
      <c r="T3142" s="71">
        <f t="shared" si="448"/>
        <v>1</v>
      </c>
      <c r="U3142" s="71">
        <f>IF(AND(N3142=1,V3142=1),IF(COUNTIFS(AKTIVITAS!$B$2:$B$3052,B3142,AKTIVITAS!$E$2:$E$3052,H3142)&gt;0,1,0),0)</f>
        <v>1</v>
      </c>
      <c r="V3142" s="71">
        <f>IFERROR(IF(AND(H3142&gt;=INDEX(PEMAGANG!$J$3:$J$36,MATCH(B3142,PEMAGANG!$C$3:$C$36,0)),H3142&lt;=INDEX(PEMAGANG!$K$3:$K$36,MATCH(B3142,PEMAGANG!$C$3:$C$36,0))),1,0),0)</f>
        <v>1</v>
      </c>
      <c r="W3142" s="71">
        <f t="shared" si="449"/>
        <v>1</v>
      </c>
    </row>
    <row r="3143" spans="1:23" x14ac:dyDescent="0.2">
      <c r="A3143" s="71">
        <v>85337263831</v>
      </c>
      <c r="B3143" s="71" t="s">
        <v>273</v>
      </c>
      <c r="C3143" s="71" t="s">
        <v>187</v>
      </c>
      <c r="D3143" s="71" t="s">
        <v>274</v>
      </c>
      <c r="E3143" s="71" t="s">
        <v>693</v>
      </c>
      <c r="F3143" s="71" t="s">
        <v>298</v>
      </c>
      <c r="G3143" s="88">
        <v>46279.309895833299</v>
      </c>
      <c r="H3143" s="89">
        <v>46279</v>
      </c>
      <c r="I3143" s="71" t="s">
        <v>315</v>
      </c>
      <c r="J3143" s="71">
        <v>-3.9999999999999898</v>
      </c>
      <c r="K3143" s="71" t="s">
        <v>302</v>
      </c>
      <c r="L3143" s="71">
        <f t="shared" si="441"/>
        <v>9</v>
      </c>
      <c r="M3143" s="71" t="str">
        <f>IFERROR(INDEX(KALENDER!$D$3:$D$132,MATCH(H3143,KALENDER!$A$3:$A$132,0)),"Di luar periode")</f>
        <v>Hari Kerja</v>
      </c>
      <c r="N3143" s="71">
        <f t="shared" si="442"/>
        <v>1</v>
      </c>
      <c r="O3143" s="71">
        <f t="shared" si="443"/>
        <v>1</v>
      </c>
      <c r="P3143" s="71">
        <f t="shared" si="444"/>
        <v>1</v>
      </c>
      <c r="Q3143" s="71">
        <f t="shared" si="445"/>
        <v>0</v>
      </c>
      <c r="R3143" s="71">
        <f t="shared" si="446"/>
        <v>0</v>
      </c>
      <c r="S3143" s="71">
        <f t="shared" si="447"/>
        <v>0</v>
      </c>
      <c r="T3143" s="71">
        <f t="shared" si="448"/>
        <v>0</v>
      </c>
      <c r="U3143" s="71">
        <f>IF(AND(N3143=1,V3143=1),IF(COUNTIFS(AKTIVITAS!$B$2:$B$3052,B3143,AKTIVITAS!$E$2:$E$3052,H3143)&gt;0,1,0),0)</f>
        <v>1</v>
      </c>
      <c r="V3143" s="71">
        <f>IFERROR(IF(AND(H3143&gt;=INDEX(PEMAGANG!$J$3:$J$36,MATCH(B3143,PEMAGANG!$C$3:$C$36,0)),H3143&lt;=INDEX(PEMAGANG!$K$3:$K$36,MATCH(B3143,PEMAGANG!$C$3:$C$36,0))),1,0),0)</f>
        <v>1</v>
      </c>
      <c r="W3143" s="71">
        <f t="shared" si="449"/>
        <v>1</v>
      </c>
    </row>
    <row r="3144" spans="1:23" x14ac:dyDescent="0.2">
      <c r="A3144" s="71">
        <v>85337263831</v>
      </c>
      <c r="B3144" s="71" t="s">
        <v>273</v>
      </c>
      <c r="C3144" s="71" t="s">
        <v>187</v>
      </c>
      <c r="D3144" s="71" t="s">
        <v>274</v>
      </c>
      <c r="E3144" s="71" t="s">
        <v>693</v>
      </c>
      <c r="F3144" s="71" t="s">
        <v>300</v>
      </c>
      <c r="G3144" s="88">
        <v>46279.689189814802</v>
      </c>
      <c r="H3144" s="89">
        <v>46279</v>
      </c>
      <c r="I3144" s="71" t="s">
        <v>306</v>
      </c>
      <c r="J3144" s="71">
        <v>0</v>
      </c>
      <c r="K3144" s="71" t="s">
        <v>302</v>
      </c>
      <c r="L3144" s="71">
        <f t="shared" si="441"/>
        <v>9</v>
      </c>
      <c r="M3144" s="71" t="str">
        <f>IFERROR(INDEX(KALENDER!$D$3:$D$132,MATCH(H3144,KALENDER!$A$3:$A$132,0)),"Di luar periode")</f>
        <v>Hari Kerja</v>
      </c>
      <c r="N3144" s="71">
        <f t="shared" si="442"/>
        <v>0</v>
      </c>
      <c r="O3144" s="71">
        <f t="shared" si="443"/>
        <v>1</v>
      </c>
      <c r="P3144" s="71">
        <f t="shared" si="444"/>
        <v>0</v>
      </c>
      <c r="Q3144" s="71">
        <f t="shared" si="445"/>
        <v>0</v>
      </c>
      <c r="R3144" s="71">
        <f t="shared" si="446"/>
        <v>0</v>
      </c>
      <c r="S3144" s="71">
        <f t="shared" si="447"/>
        <v>0</v>
      </c>
      <c r="T3144" s="71">
        <f t="shared" si="448"/>
        <v>0</v>
      </c>
      <c r="U3144" s="71">
        <f>IF(AND(N3144=1,V3144=1),IF(COUNTIFS(AKTIVITAS!$B$2:$B$3052,B3144,AKTIVITAS!$E$2:$E$3052,H3144)&gt;0,1,0),0)</f>
        <v>0</v>
      </c>
      <c r="V3144" s="71">
        <f>IFERROR(IF(AND(H3144&gt;=INDEX(PEMAGANG!$J$3:$J$36,MATCH(B3144,PEMAGANG!$C$3:$C$36,0)),H3144&lt;=INDEX(PEMAGANG!$K$3:$K$36,MATCH(B3144,PEMAGANG!$C$3:$C$36,0))),1,0),0)</f>
        <v>1</v>
      </c>
      <c r="W3144" s="71">
        <f t="shared" si="449"/>
        <v>0</v>
      </c>
    </row>
    <row r="3145" spans="1:23" x14ac:dyDescent="0.2">
      <c r="A3145" s="71">
        <v>85337263831</v>
      </c>
      <c r="B3145" s="71" t="s">
        <v>273</v>
      </c>
      <c r="C3145" s="71" t="s">
        <v>187</v>
      </c>
      <c r="D3145" s="71" t="s">
        <v>274</v>
      </c>
      <c r="E3145" s="71" t="s">
        <v>693</v>
      </c>
      <c r="F3145" s="71" t="s">
        <v>298</v>
      </c>
      <c r="G3145" s="88">
        <v>46280.307511574101</v>
      </c>
      <c r="H3145" s="89">
        <v>46280</v>
      </c>
      <c r="I3145" s="71" t="s">
        <v>313</v>
      </c>
      <c r="J3145" s="71">
        <v>-8.0000000000000497</v>
      </c>
      <c r="K3145" s="71" t="s">
        <v>302</v>
      </c>
      <c r="L3145" s="71">
        <f t="shared" si="441"/>
        <v>9</v>
      </c>
      <c r="M3145" s="71" t="str">
        <f>IFERROR(INDEX(KALENDER!$D$3:$D$132,MATCH(H3145,KALENDER!$A$3:$A$132,0)),"Di luar periode")</f>
        <v>Hari Kerja</v>
      </c>
      <c r="N3145" s="71">
        <f t="shared" si="442"/>
        <v>1</v>
      </c>
      <c r="O3145" s="71">
        <f t="shared" si="443"/>
        <v>1</v>
      </c>
      <c r="P3145" s="71">
        <f t="shared" si="444"/>
        <v>1</v>
      </c>
      <c r="Q3145" s="71">
        <f t="shared" si="445"/>
        <v>0</v>
      </c>
      <c r="R3145" s="71">
        <f t="shared" si="446"/>
        <v>0</v>
      </c>
      <c r="S3145" s="71">
        <f t="shared" si="447"/>
        <v>0</v>
      </c>
      <c r="T3145" s="71">
        <f t="shared" si="448"/>
        <v>0</v>
      </c>
      <c r="U3145" s="71">
        <f>IF(AND(N3145=1,V3145=1),IF(COUNTIFS(AKTIVITAS!$B$2:$B$3052,B3145,AKTIVITAS!$E$2:$E$3052,H3145)&gt;0,1,0),0)</f>
        <v>1</v>
      </c>
      <c r="V3145" s="71">
        <f>IFERROR(IF(AND(H3145&gt;=INDEX(PEMAGANG!$J$3:$J$36,MATCH(B3145,PEMAGANG!$C$3:$C$36,0)),H3145&lt;=INDEX(PEMAGANG!$K$3:$K$36,MATCH(B3145,PEMAGANG!$C$3:$C$36,0))),1,0),0)</f>
        <v>1</v>
      </c>
      <c r="W3145" s="71">
        <f t="shared" si="449"/>
        <v>1</v>
      </c>
    </row>
    <row r="3146" spans="1:23" x14ac:dyDescent="0.2">
      <c r="A3146" s="71">
        <v>85337263831</v>
      </c>
      <c r="B3146" s="71" t="s">
        <v>273</v>
      </c>
      <c r="C3146" s="71" t="s">
        <v>187</v>
      </c>
      <c r="D3146" s="71" t="s">
        <v>274</v>
      </c>
      <c r="E3146" s="71" t="s">
        <v>693</v>
      </c>
      <c r="F3146" s="71" t="s">
        <v>300</v>
      </c>
      <c r="G3146" s="88">
        <v>46280.689537036997</v>
      </c>
      <c r="H3146" s="89">
        <v>46280</v>
      </c>
      <c r="I3146" s="71" t="s">
        <v>306</v>
      </c>
      <c r="J3146" s="71">
        <v>0</v>
      </c>
      <c r="K3146" s="71" t="s">
        <v>302</v>
      </c>
      <c r="L3146" s="71">
        <f t="shared" si="441"/>
        <v>9</v>
      </c>
      <c r="M3146" s="71" t="str">
        <f>IFERROR(INDEX(KALENDER!$D$3:$D$132,MATCH(H3146,KALENDER!$A$3:$A$132,0)),"Di luar periode")</f>
        <v>Hari Kerja</v>
      </c>
      <c r="N3146" s="71">
        <f t="shared" si="442"/>
        <v>0</v>
      </c>
      <c r="O3146" s="71">
        <f t="shared" si="443"/>
        <v>1</v>
      </c>
      <c r="P3146" s="71">
        <f t="shared" si="444"/>
        <v>0</v>
      </c>
      <c r="Q3146" s="71">
        <f t="shared" si="445"/>
        <v>0</v>
      </c>
      <c r="R3146" s="71">
        <f t="shared" si="446"/>
        <v>0</v>
      </c>
      <c r="S3146" s="71">
        <f t="shared" si="447"/>
        <v>0</v>
      </c>
      <c r="T3146" s="71">
        <f t="shared" si="448"/>
        <v>0</v>
      </c>
      <c r="U3146" s="71">
        <f>IF(AND(N3146=1,V3146=1),IF(COUNTIFS(AKTIVITAS!$B$2:$B$3052,B3146,AKTIVITAS!$E$2:$E$3052,H3146)&gt;0,1,0),0)</f>
        <v>0</v>
      </c>
      <c r="V3146" s="71">
        <f>IFERROR(IF(AND(H3146&gt;=INDEX(PEMAGANG!$J$3:$J$36,MATCH(B3146,PEMAGANG!$C$3:$C$36,0)),H3146&lt;=INDEX(PEMAGANG!$K$3:$K$36,MATCH(B3146,PEMAGANG!$C$3:$C$36,0))),1,0),0)</f>
        <v>1</v>
      </c>
      <c r="W3146" s="71">
        <f t="shared" si="449"/>
        <v>0</v>
      </c>
    </row>
    <row r="3147" spans="1:23" x14ac:dyDescent="0.2">
      <c r="A3147" s="71">
        <v>85337263831</v>
      </c>
      <c r="B3147" s="71" t="s">
        <v>273</v>
      </c>
      <c r="C3147" s="71" t="s">
        <v>187</v>
      </c>
      <c r="D3147" s="71" t="s">
        <v>274</v>
      </c>
      <c r="E3147" s="71" t="s">
        <v>693</v>
      </c>
      <c r="F3147" s="71" t="s">
        <v>298</v>
      </c>
      <c r="G3147" s="88">
        <v>46281.310081018499</v>
      </c>
      <c r="H3147" s="89">
        <v>46281</v>
      </c>
      <c r="I3147" s="71" t="s">
        <v>315</v>
      </c>
      <c r="J3147" s="71">
        <v>-3.9999999999999898</v>
      </c>
      <c r="K3147" s="71" t="s">
        <v>302</v>
      </c>
      <c r="L3147" s="71">
        <f t="shared" si="441"/>
        <v>9</v>
      </c>
      <c r="M3147" s="71" t="str">
        <f>IFERROR(INDEX(KALENDER!$D$3:$D$132,MATCH(H3147,KALENDER!$A$3:$A$132,0)),"Di luar periode")</f>
        <v>Hari Kerja</v>
      </c>
      <c r="N3147" s="71">
        <f t="shared" si="442"/>
        <v>1</v>
      </c>
      <c r="O3147" s="71">
        <f t="shared" si="443"/>
        <v>1</v>
      </c>
      <c r="P3147" s="71">
        <f t="shared" si="444"/>
        <v>1</v>
      </c>
      <c r="Q3147" s="71">
        <f t="shared" si="445"/>
        <v>0</v>
      </c>
      <c r="R3147" s="71">
        <f t="shared" si="446"/>
        <v>0</v>
      </c>
      <c r="S3147" s="71">
        <f t="shared" si="447"/>
        <v>0</v>
      </c>
      <c r="T3147" s="71">
        <f t="shared" si="448"/>
        <v>0</v>
      </c>
      <c r="U3147" s="71">
        <f>IF(AND(N3147=1,V3147=1),IF(COUNTIFS(AKTIVITAS!$B$2:$B$3052,B3147,AKTIVITAS!$E$2:$E$3052,H3147)&gt;0,1,0),0)</f>
        <v>1</v>
      </c>
      <c r="V3147" s="71">
        <f>IFERROR(IF(AND(H3147&gt;=INDEX(PEMAGANG!$J$3:$J$36,MATCH(B3147,PEMAGANG!$C$3:$C$36,0)),H3147&lt;=INDEX(PEMAGANG!$K$3:$K$36,MATCH(B3147,PEMAGANG!$C$3:$C$36,0))),1,0),0)</f>
        <v>1</v>
      </c>
      <c r="W3147" s="71">
        <f t="shared" si="449"/>
        <v>1</v>
      </c>
    </row>
    <row r="3148" spans="1:23" x14ac:dyDescent="0.2">
      <c r="A3148" s="71">
        <v>85337263831</v>
      </c>
      <c r="B3148" s="71" t="s">
        <v>273</v>
      </c>
      <c r="C3148" s="71" t="s">
        <v>187</v>
      </c>
      <c r="D3148" s="71" t="s">
        <v>274</v>
      </c>
      <c r="E3148" s="71" t="s">
        <v>693</v>
      </c>
      <c r="F3148" s="71" t="s">
        <v>300</v>
      </c>
      <c r="G3148" s="88">
        <v>46281.704097222202</v>
      </c>
      <c r="H3148" s="89">
        <v>46281</v>
      </c>
      <c r="I3148" s="71" t="s">
        <v>403</v>
      </c>
      <c r="J3148" s="71">
        <v>0</v>
      </c>
      <c r="K3148" s="71" t="s">
        <v>302</v>
      </c>
      <c r="L3148" s="71">
        <f t="shared" si="441"/>
        <v>9</v>
      </c>
      <c r="M3148" s="71" t="str">
        <f>IFERROR(INDEX(KALENDER!$D$3:$D$132,MATCH(H3148,KALENDER!$A$3:$A$132,0)),"Di luar periode")</f>
        <v>Hari Kerja</v>
      </c>
      <c r="N3148" s="71">
        <f t="shared" si="442"/>
        <v>0</v>
      </c>
      <c r="O3148" s="71">
        <f t="shared" si="443"/>
        <v>1</v>
      </c>
      <c r="P3148" s="71">
        <f t="shared" si="444"/>
        <v>0</v>
      </c>
      <c r="Q3148" s="71">
        <f t="shared" si="445"/>
        <v>0</v>
      </c>
      <c r="R3148" s="71">
        <f t="shared" si="446"/>
        <v>0</v>
      </c>
      <c r="S3148" s="71">
        <f t="shared" si="447"/>
        <v>0</v>
      </c>
      <c r="T3148" s="71">
        <f t="shared" si="448"/>
        <v>0</v>
      </c>
      <c r="U3148" s="71">
        <f>IF(AND(N3148=1,V3148=1),IF(COUNTIFS(AKTIVITAS!$B$2:$B$3052,B3148,AKTIVITAS!$E$2:$E$3052,H3148)&gt;0,1,0),0)</f>
        <v>0</v>
      </c>
      <c r="V3148" s="71">
        <f>IFERROR(IF(AND(H3148&gt;=INDEX(PEMAGANG!$J$3:$J$36,MATCH(B3148,PEMAGANG!$C$3:$C$36,0)),H3148&lt;=INDEX(PEMAGANG!$K$3:$K$36,MATCH(B3148,PEMAGANG!$C$3:$C$36,0))),1,0),0)</f>
        <v>1</v>
      </c>
      <c r="W3148" s="71">
        <f t="shared" si="449"/>
        <v>0</v>
      </c>
    </row>
    <row r="3149" spans="1:23" x14ac:dyDescent="0.2">
      <c r="A3149" s="71">
        <v>85337263831</v>
      </c>
      <c r="B3149" s="71" t="s">
        <v>273</v>
      </c>
      <c r="C3149" s="71" t="s">
        <v>187</v>
      </c>
      <c r="D3149" s="71" t="s">
        <v>274</v>
      </c>
      <c r="E3149" s="71" t="s">
        <v>693</v>
      </c>
      <c r="F3149" s="71" t="s">
        <v>298</v>
      </c>
      <c r="G3149" s="88">
        <v>46282.310636574097</v>
      </c>
      <c r="H3149" s="89">
        <v>46282</v>
      </c>
      <c r="I3149" s="71" t="s">
        <v>309</v>
      </c>
      <c r="J3149" s="71">
        <v>-2.9999999999999898</v>
      </c>
      <c r="K3149" s="71" t="s">
        <v>302</v>
      </c>
      <c r="L3149" s="71">
        <f t="shared" si="441"/>
        <v>9</v>
      </c>
      <c r="M3149" s="71" t="str">
        <f>IFERROR(INDEX(KALENDER!$D$3:$D$132,MATCH(H3149,KALENDER!$A$3:$A$132,0)),"Di luar periode")</f>
        <v>Hari Kerja</v>
      </c>
      <c r="N3149" s="71">
        <f t="shared" si="442"/>
        <v>1</v>
      </c>
      <c r="O3149" s="71">
        <f t="shared" si="443"/>
        <v>1</v>
      </c>
      <c r="P3149" s="71">
        <f t="shared" si="444"/>
        <v>1</v>
      </c>
      <c r="Q3149" s="71">
        <f t="shared" si="445"/>
        <v>0</v>
      </c>
      <c r="R3149" s="71">
        <f t="shared" si="446"/>
        <v>0</v>
      </c>
      <c r="S3149" s="71">
        <f t="shared" si="447"/>
        <v>0</v>
      </c>
      <c r="T3149" s="71">
        <f t="shared" si="448"/>
        <v>0</v>
      </c>
      <c r="U3149" s="71">
        <f>IF(AND(N3149=1,V3149=1),IF(COUNTIFS(AKTIVITAS!$B$2:$B$3052,B3149,AKTIVITAS!$E$2:$E$3052,H3149)&gt;0,1,0),0)</f>
        <v>1</v>
      </c>
      <c r="V3149" s="71">
        <f>IFERROR(IF(AND(H3149&gt;=INDEX(PEMAGANG!$J$3:$J$36,MATCH(B3149,PEMAGANG!$C$3:$C$36,0)),H3149&lt;=INDEX(PEMAGANG!$K$3:$K$36,MATCH(B3149,PEMAGANG!$C$3:$C$36,0))),1,0),0)</f>
        <v>1</v>
      </c>
      <c r="W3149" s="71">
        <f t="shared" si="449"/>
        <v>1</v>
      </c>
    </row>
    <row r="3150" spans="1:23" x14ac:dyDescent="0.2">
      <c r="A3150" s="71">
        <v>85337263831</v>
      </c>
      <c r="B3150" s="71" t="s">
        <v>273</v>
      </c>
      <c r="C3150" s="71" t="s">
        <v>187</v>
      </c>
      <c r="D3150" s="71" t="s">
        <v>274</v>
      </c>
      <c r="E3150" s="71" t="s">
        <v>693</v>
      </c>
      <c r="F3150" s="71" t="s">
        <v>300</v>
      </c>
      <c r="G3150" s="88">
        <v>46282.728738425903</v>
      </c>
      <c r="H3150" s="89">
        <v>46282</v>
      </c>
      <c r="I3150" s="71" t="s">
        <v>698</v>
      </c>
      <c r="J3150" s="71">
        <v>0</v>
      </c>
      <c r="K3150" s="71" t="s">
        <v>302</v>
      </c>
      <c r="L3150" s="71">
        <f t="shared" si="441"/>
        <v>9</v>
      </c>
      <c r="M3150" s="71" t="str">
        <f>IFERROR(INDEX(KALENDER!$D$3:$D$132,MATCH(H3150,KALENDER!$A$3:$A$132,0)),"Di luar periode")</f>
        <v>Hari Kerja</v>
      </c>
      <c r="N3150" s="71">
        <f t="shared" si="442"/>
        <v>0</v>
      </c>
      <c r="O3150" s="71">
        <f t="shared" si="443"/>
        <v>1</v>
      </c>
      <c r="P3150" s="71">
        <f t="shared" si="444"/>
        <v>0</v>
      </c>
      <c r="Q3150" s="71">
        <f t="shared" si="445"/>
        <v>0</v>
      </c>
      <c r="R3150" s="71">
        <f t="shared" si="446"/>
        <v>0</v>
      </c>
      <c r="S3150" s="71">
        <f t="shared" si="447"/>
        <v>0</v>
      </c>
      <c r="T3150" s="71">
        <f t="shared" si="448"/>
        <v>0</v>
      </c>
      <c r="U3150" s="71">
        <f>IF(AND(N3150=1,V3150=1),IF(COUNTIFS(AKTIVITAS!$B$2:$B$3052,B3150,AKTIVITAS!$E$2:$E$3052,H3150)&gt;0,1,0),0)</f>
        <v>0</v>
      </c>
      <c r="V3150" s="71">
        <f>IFERROR(IF(AND(H3150&gt;=INDEX(PEMAGANG!$J$3:$J$36,MATCH(B3150,PEMAGANG!$C$3:$C$36,0)),H3150&lt;=INDEX(PEMAGANG!$K$3:$K$36,MATCH(B3150,PEMAGANG!$C$3:$C$36,0))),1,0),0)</f>
        <v>1</v>
      </c>
      <c r="W3150" s="71">
        <f t="shared" si="449"/>
        <v>0</v>
      </c>
    </row>
    <row r="3151" spans="1:23" x14ac:dyDescent="0.2">
      <c r="A3151" s="71">
        <v>85337263831</v>
      </c>
      <c r="B3151" s="71" t="s">
        <v>273</v>
      </c>
      <c r="C3151" s="71" t="s">
        <v>187</v>
      </c>
      <c r="D3151" s="71" t="s">
        <v>274</v>
      </c>
      <c r="E3151" s="71" t="s">
        <v>693</v>
      </c>
      <c r="F3151" s="71" t="s">
        <v>298</v>
      </c>
      <c r="G3151" s="88">
        <v>46283.308078703703</v>
      </c>
      <c r="H3151" s="89">
        <v>46283</v>
      </c>
      <c r="I3151" s="71" t="s">
        <v>311</v>
      </c>
      <c r="J3151" s="71">
        <v>-6.9999999999999796</v>
      </c>
      <c r="K3151" s="71" t="s">
        <v>302</v>
      </c>
      <c r="L3151" s="71">
        <f t="shared" si="441"/>
        <v>9</v>
      </c>
      <c r="M3151" s="71" t="str">
        <f>IFERROR(INDEX(KALENDER!$D$3:$D$132,MATCH(H3151,KALENDER!$A$3:$A$132,0)),"Di luar periode")</f>
        <v>Hari Kerja</v>
      </c>
      <c r="N3151" s="71">
        <f t="shared" si="442"/>
        <v>1</v>
      </c>
      <c r="O3151" s="71">
        <f t="shared" si="443"/>
        <v>1</v>
      </c>
      <c r="P3151" s="71">
        <f t="shared" si="444"/>
        <v>1</v>
      </c>
      <c r="Q3151" s="71">
        <f t="shared" si="445"/>
        <v>0</v>
      </c>
      <c r="R3151" s="71">
        <f t="shared" si="446"/>
        <v>0</v>
      </c>
      <c r="S3151" s="71">
        <f t="shared" si="447"/>
        <v>0</v>
      </c>
      <c r="T3151" s="71">
        <f t="shared" si="448"/>
        <v>1</v>
      </c>
      <c r="U3151" s="71">
        <f>IF(AND(N3151=1,V3151=1),IF(COUNTIFS(AKTIVITAS!$B$2:$B$3052,B3151,AKTIVITAS!$E$2:$E$3052,H3151)&gt;0,1,0),0)</f>
        <v>1</v>
      </c>
      <c r="V3151" s="71">
        <f>IFERROR(IF(AND(H3151&gt;=INDEX(PEMAGANG!$J$3:$J$36,MATCH(B3151,PEMAGANG!$C$3:$C$36,0)),H3151&lt;=INDEX(PEMAGANG!$K$3:$K$36,MATCH(B3151,PEMAGANG!$C$3:$C$36,0))),1,0),0)</f>
        <v>1</v>
      </c>
      <c r="W3151" s="71">
        <f t="shared" si="449"/>
        <v>1</v>
      </c>
    </row>
    <row r="3152" spans="1:23" x14ac:dyDescent="0.2">
      <c r="A3152" s="71">
        <v>85337263831</v>
      </c>
      <c r="B3152" s="71" t="s">
        <v>273</v>
      </c>
      <c r="C3152" s="71" t="s">
        <v>187</v>
      </c>
      <c r="D3152" s="71" t="s">
        <v>274</v>
      </c>
      <c r="E3152" s="71" t="s">
        <v>693</v>
      </c>
      <c r="F3152" s="71" t="s">
        <v>298</v>
      </c>
      <c r="G3152" s="88">
        <v>46286.303576388898</v>
      </c>
      <c r="H3152" s="89">
        <v>46286</v>
      </c>
      <c r="I3152" s="71" t="s">
        <v>331</v>
      </c>
      <c r="J3152" s="71">
        <v>-13</v>
      </c>
      <c r="K3152" s="71" t="s">
        <v>302</v>
      </c>
      <c r="L3152" s="71">
        <f t="shared" si="441"/>
        <v>9</v>
      </c>
      <c r="M3152" s="71" t="str">
        <f>IFERROR(INDEX(KALENDER!$D$3:$D$132,MATCH(H3152,KALENDER!$A$3:$A$132,0)),"Di luar periode")</f>
        <v>Hari Kerja</v>
      </c>
      <c r="N3152" s="71">
        <f t="shared" si="442"/>
        <v>1</v>
      </c>
      <c r="O3152" s="71">
        <f t="shared" si="443"/>
        <v>1</v>
      </c>
      <c r="P3152" s="71">
        <f t="shared" si="444"/>
        <v>1</v>
      </c>
      <c r="Q3152" s="71">
        <f t="shared" si="445"/>
        <v>0</v>
      </c>
      <c r="R3152" s="71">
        <f t="shared" si="446"/>
        <v>0</v>
      </c>
      <c r="S3152" s="71">
        <f t="shared" si="447"/>
        <v>0</v>
      </c>
      <c r="T3152" s="71">
        <f t="shared" si="448"/>
        <v>0</v>
      </c>
      <c r="U3152" s="71">
        <f>IF(AND(N3152=1,V3152=1),IF(COUNTIFS(AKTIVITAS!$B$2:$B$3052,B3152,AKTIVITAS!$E$2:$E$3052,H3152)&gt;0,1,0),0)</f>
        <v>1</v>
      </c>
      <c r="V3152" s="71">
        <f>IFERROR(IF(AND(H3152&gt;=INDEX(PEMAGANG!$J$3:$J$36,MATCH(B3152,PEMAGANG!$C$3:$C$36,0)),H3152&lt;=INDEX(PEMAGANG!$K$3:$K$36,MATCH(B3152,PEMAGANG!$C$3:$C$36,0))),1,0),0)</f>
        <v>1</v>
      </c>
      <c r="W3152" s="71">
        <f t="shared" si="449"/>
        <v>1</v>
      </c>
    </row>
    <row r="3153" spans="1:23" x14ac:dyDescent="0.2">
      <c r="A3153" s="71">
        <v>85337263831</v>
      </c>
      <c r="B3153" s="71" t="s">
        <v>273</v>
      </c>
      <c r="C3153" s="71" t="s">
        <v>187</v>
      </c>
      <c r="D3153" s="71" t="s">
        <v>274</v>
      </c>
      <c r="E3153" s="71" t="s">
        <v>693</v>
      </c>
      <c r="F3153" s="71" t="s">
        <v>300</v>
      </c>
      <c r="G3153" s="88">
        <v>46286.698912036998</v>
      </c>
      <c r="H3153" s="89">
        <v>46286</v>
      </c>
      <c r="I3153" s="71" t="s">
        <v>488</v>
      </c>
      <c r="J3153" s="71">
        <v>0</v>
      </c>
      <c r="K3153" s="71" t="s">
        <v>302</v>
      </c>
      <c r="L3153" s="71">
        <f t="shared" si="441"/>
        <v>9</v>
      </c>
      <c r="M3153" s="71" t="str">
        <f>IFERROR(INDEX(KALENDER!$D$3:$D$132,MATCH(H3153,KALENDER!$A$3:$A$132,0)),"Di luar periode")</f>
        <v>Hari Kerja</v>
      </c>
      <c r="N3153" s="71">
        <f t="shared" si="442"/>
        <v>0</v>
      </c>
      <c r="O3153" s="71">
        <f t="shared" si="443"/>
        <v>1</v>
      </c>
      <c r="P3153" s="71">
        <f t="shared" si="444"/>
        <v>0</v>
      </c>
      <c r="Q3153" s="71">
        <f t="shared" si="445"/>
        <v>0</v>
      </c>
      <c r="R3153" s="71">
        <f t="shared" si="446"/>
        <v>0</v>
      </c>
      <c r="S3153" s="71">
        <f t="shared" si="447"/>
        <v>0</v>
      </c>
      <c r="T3153" s="71">
        <f t="shared" si="448"/>
        <v>0</v>
      </c>
      <c r="U3153" s="71">
        <f>IF(AND(N3153=1,V3153=1),IF(COUNTIFS(AKTIVITAS!$B$2:$B$3052,B3153,AKTIVITAS!$E$2:$E$3052,H3153)&gt;0,1,0),0)</f>
        <v>0</v>
      </c>
      <c r="V3153" s="71">
        <f>IFERROR(IF(AND(H3153&gt;=INDEX(PEMAGANG!$J$3:$J$36,MATCH(B3153,PEMAGANG!$C$3:$C$36,0)),H3153&lt;=INDEX(PEMAGANG!$K$3:$K$36,MATCH(B3153,PEMAGANG!$C$3:$C$36,0))),1,0),0)</f>
        <v>1</v>
      </c>
      <c r="W3153" s="71">
        <f t="shared" si="449"/>
        <v>0</v>
      </c>
    </row>
    <row r="3154" spans="1:23" x14ac:dyDescent="0.2">
      <c r="A3154" s="71">
        <v>85337263831</v>
      </c>
      <c r="B3154" s="71" t="s">
        <v>273</v>
      </c>
      <c r="C3154" s="71" t="s">
        <v>187</v>
      </c>
      <c r="D3154" s="71" t="s">
        <v>274</v>
      </c>
      <c r="E3154" s="71" t="s">
        <v>693</v>
      </c>
      <c r="F3154" s="71" t="s">
        <v>298</v>
      </c>
      <c r="G3154" s="88">
        <v>46287.304212962998</v>
      </c>
      <c r="H3154" s="89">
        <v>46287</v>
      </c>
      <c r="I3154" s="71" t="s">
        <v>326</v>
      </c>
      <c r="J3154" s="71">
        <v>-12</v>
      </c>
      <c r="K3154" s="71" t="s">
        <v>302</v>
      </c>
      <c r="L3154" s="71">
        <f t="shared" si="441"/>
        <v>9</v>
      </c>
      <c r="M3154" s="71" t="str">
        <f>IFERROR(INDEX(KALENDER!$D$3:$D$132,MATCH(H3154,KALENDER!$A$3:$A$132,0)),"Di luar periode")</f>
        <v>Hari Kerja</v>
      </c>
      <c r="N3154" s="71">
        <f t="shared" si="442"/>
        <v>1</v>
      </c>
      <c r="O3154" s="71">
        <f t="shared" si="443"/>
        <v>1</v>
      </c>
      <c r="P3154" s="71">
        <f t="shared" si="444"/>
        <v>1</v>
      </c>
      <c r="Q3154" s="71">
        <f t="shared" si="445"/>
        <v>0</v>
      </c>
      <c r="R3154" s="71">
        <f t="shared" si="446"/>
        <v>0</v>
      </c>
      <c r="S3154" s="71">
        <f t="shared" si="447"/>
        <v>0</v>
      </c>
      <c r="T3154" s="71">
        <f t="shared" si="448"/>
        <v>0</v>
      </c>
      <c r="U3154" s="71">
        <f>IF(AND(N3154=1,V3154=1),IF(COUNTIFS(AKTIVITAS!$B$2:$B$3052,B3154,AKTIVITAS!$E$2:$E$3052,H3154)&gt;0,1,0),0)</f>
        <v>1</v>
      </c>
      <c r="V3154" s="71">
        <f>IFERROR(IF(AND(H3154&gt;=INDEX(PEMAGANG!$J$3:$J$36,MATCH(B3154,PEMAGANG!$C$3:$C$36,0)),H3154&lt;=INDEX(PEMAGANG!$K$3:$K$36,MATCH(B3154,PEMAGANG!$C$3:$C$36,0))),1,0),0)</f>
        <v>1</v>
      </c>
      <c r="W3154" s="71">
        <f t="shared" si="449"/>
        <v>1</v>
      </c>
    </row>
    <row r="3155" spans="1:23" x14ac:dyDescent="0.2">
      <c r="A3155" s="71">
        <v>85337263831</v>
      </c>
      <c r="B3155" s="71" t="s">
        <v>273</v>
      </c>
      <c r="C3155" s="71" t="s">
        <v>187</v>
      </c>
      <c r="D3155" s="71" t="s">
        <v>274</v>
      </c>
      <c r="E3155" s="71" t="s">
        <v>693</v>
      </c>
      <c r="F3155" s="71" t="s">
        <v>300</v>
      </c>
      <c r="G3155" s="88">
        <v>46287.693437499998</v>
      </c>
      <c r="H3155" s="89">
        <v>46287</v>
      </c>
      <c r="I3155" s="71" t="s">
        <v>317</v>
      </c>
      <c r="J3155" s="71">
        <v>0</v>
      </c>
      <c r="K3155" s="71" t="s">
        <v>302</v>
      </c>
      <c r="L3155" s="71">
        <f t="shared" si="441"/>
        <v>9</v>
      </c>
      <c r="M3155" s="71" t="str">
        <f>IFERROR(INDEX(KALENDER!$D$3:$D$132,MATCH(H3155,KALENDER!$A$3:$A$132,0)),"Di luar periode")</f>
        <v>Hari Kerja</v>
      </c>
      <c r="N3155" s="71">
        <f t="shared" si="442"/>
        <v>0</v>
      </c>
      <c r="O3155" s="71">
        <f t="shared" si="443"/>
        <v>1</v>
      </c>
      <c r="P3155" s="71">
        <f t="shared" si="444"/>
        <v>0</v>
      </c>
      <c r="Q3155" s="71">
        <f t="shared" si="445"/>
        <v>0</v>
      </c>
      <c r="R3155" s="71">
        <f t="shared" si="446"/>
        <v>0</v>
      </c>
      <c r="S3155" s="71">
        <f t="shared" si="447"/>
        <v>0</v>
      </c>
      <c r="T3155" s="71">
        <f t="shared" si="448"/>
        <v>0</v>
      </c>
      <c r="U3155" s="71">
        <f>IF(AND(N3155=1,V3155=1),IF(COUNTIFS(AKTIVITAS!$B$2:$B$3052,B3155,AKTIVITAS!$E$2:$E$3052,H3155)&gt;0,1,0),0)</f>
        <v>0</v>
      </c>
      <c r="V3155" s="71">
        <f>IFERROR(IF(AND(H3155&gt;=INDEX(PEMAGANG!$J$3:$J$36,MATCH(B3155,PEMAGANG!$C$3:$C$36,0)),H3155&lt;=INDEX(PEMAGANG!$K$3:$K$36,MATCH(B3155,PEMAGANG!$C$3:$C$36,0))),1,0),0)</f>
        <v>1</v>
      </c>
      <c r="W3155" s="71">
        <f t="shared" si="449"/>
        <v>0</v>
      </c>
    </row>
    <row r="3156" spans="1:23" x14ac:dyDescent="0.2">
      <c r="A3156" s="71">
        <v>85337263831</v>
      </c>
      <c r="B3156" s="71" t="s">
        <v>273</v>
      </c>
      <c r="C3156" s="71" t="s">
        <v>187</v>
      </c>
      <c r="D3156" s="71" t="s">
        <v>274</v>
      </c>
      <c r="E3156" s="71" t="s">
        <v>693</v>
      </c>
      <c r="F3156" s="71" t="s">
        <v>298</v>
      </c>
      <c r="G3156" s="88">
        <v>46288.303819444503</v>
      </c>
      <c r="H3156" s="89">
        <v>46288</v>
      </c>
      <c r="I3156" s="71" t="s">
        <v>331</v>
      </c>
      <c r="J3156" s="71">
        <v>-13</v>
      </c>
      <c r="K3156" s="71" t="s">
        <v>302</v>
      </c>
      <c r="L3156" s="71">
        <f t="shared" si="441"/>
        <v>9</v>
      </c>
      <c r="M3156" s="71" t="str">
        <f>IFERROR(INDEX(KALENDER!$D$3:$D$132,MATCH(H3156,KALENDER!$A$3:$A$132,0)),"Di luar periode")</f>
        <v>Hari Kerja</v>
      </c>
      <c r="N3156" s="71">
        <f t="shared" si="442"/>
        <v>1</v>
      </c>
      <c r="O3156" s="71">
        <f t="shared" si="443"/>
        <v>1</v>
      </c>
      <c r="P3156" s="71">
        <f t="shared" si="444"/>
        <v>1</v>
      </c>
      <c r="Q3156" s="71">
        <f t="shared" si="445"/>
        <v>0</v>
      </c>
      <c r="R3156" s="71">
        <f t="shared" si="446"/>
        <v>0</v>
      </c>
      <c r="S3156" s="71">
        <f t="shared" si="447"/>
        <v>0</v>
      </c>
      <c r="T3156" s="71">
        <f t="shared" si="448"/>
        <v>0</v>
      </c>
      <c r="U3156" s="71">
        <f>IF(AND(N3156=1,V3156=1),IF(COUNTIFS(AKTIVITAS!$B$2:$B$3052,B3156,AKTIVITAS!$E$2:$E$3052,H3156)&gt;0,1,0),0)</f>
        <v>1</v>
      </c>
      <c r="V3156" s="71">
        <f>IFERROR(IF(AND(H3156&gt;=INDEX(PEMAGANG!$J$3:$J$36,MATCH(B3156,PEMAGANG!$C$3:$C$36,0)),H3156&lt;=INDEX(PEMAGANG!$K$3:$K$36,MATCH(B3156,PEMAGANG!$C$3:$C$36,0))),1,0),0)</f>
        <v>1</v>
      </c>
      <c r="W3156" s="71">
        <f t="shared" si="449"/>
        <v>1</v>
      </c>
    </row>
    <row r="3157" spans="1:23" x14ac:dyDescent="0.2">
      <c r="A3157" s="71">
        <v>85337263831</v>
      </c>
      <c r="B3157" s="71" t="s">
        <v>273</v>
      </c>
      <c r="C3157" s="71" t="s">
        <v>187</v>
      </c>
      <c r="D3157" s="71" t="s">
        <v>274</v>
      </c>
      <c r="E3157" s="71" t="s">
        <v>693</v>
      </c>
      <c r="F3157" s="71" t="s">
        <v>300</v>
      </c>
      <c r="G3157" s="88">
        <v>46288.689282407402</v>
      </c>
      <c r="H3157" s="89">
        <v>46288</v>
      </c>
      <c r="I3157" s="71" t="s">
        <v>306</v>
      </c>
      <c r="J3157" s="71">
        <v>0</v>
      </c>
      <c r="K3157" s="71" t="s">
        <v>302</v>
      </c>
      <c r="L3157" s="71">
        <f t="shared" si="441"/>
        <v>9</v>
      </c>
      <c r="M3157" s="71" t="str">
        <f>IFERROR(INDEX(KALENDER!$D$3:$D$132,MATCH(H3157,KALENDER!$A$3:$A$132,0)),"Di luar periode")</f>
        <v>Hari Kerja</v>
      </c>
      <c r="N3157" s="71">
        <f t="shared" si="442"/>
        <v>0</v>
      </c>
      <c r="O3157" s="71">
        <f t="shared" si="443"/>
        <v>1</v>
      </c>
      <c r="P3157" s="71">
        <f t="shared" si="444"/>
        <v>0</v>
      </c>
      <c r="Q3157" s="71">
        <f t="shared" si="445"/>
        <v>0</v>
      </c>
      <c r="R3157" s="71">
        <f t="shared" si="446"/>
        <v>0</v>
      </c>
      <c r="S3157" s="71">
        <f t="shared" si="447"/>
        <v>0</v>
      </c>
      <c r="T3157" s="71">
        <f t="shared" si="448"/>
        <v>0</v>
      </c>
      <c r="U3157" s="71">
        <f>IF(AND(N3157=1,V3157=1),IF(COUNTIFS(AKTIVITAS!$B$2:$B$3052,B3157,AKTIVITAS!$E$2:$E$3052,H3157)&gt;0,1,0),0)</f>
        <v>0</v>
      </c>
      <c r="V3157" s="71">
        <f>IFERROR(IF(AND(H3157&gt;=INDEX(PEMAGANG!$J$3:$J$36,MATCH(B3157,PEMAGANG!$C$3:$C$36,0)),H3157&lt;=INDEX(PEMAGANG!$K$3:$K$36,MATCH(B3157,PEMAGANG!$C$3:$C$36,0))),1,0),0)</f>
        <v>1</v>
      </c>
      <c r="W3157" s="71">
        <f t="shared" si="449"/>
        <v>0</v>
      </c>
    </row>
    <row r="3158" spans="1:23" x14ac:dyDescent="0.2">
      <c r="A3158" s="71">
        <v>85337263831</v>
      </c>
      <c r="B3158" s="71" t="s">
        <v>273</v>
      </c>
      <c r="C3158" s="71" t="s">
        <v>187</v>
      </c>
      <c r="D3158" s="71" t="s">
        <v>274</v>
      </c>
      <c r="E3158" s="71" t="s">
        <v>693</v>
      </c>
      <c r="F3158" s="71" t="s">
        <v>298</v>
      </c>
      <c r="G3158" s="88">
        <v>46289.3052314815</v>
      </c>
      <c r="H3158" s="89">
        <v>46289</v>
      </c>
      <c r="I3158" s="71" t="s">
        <v>321</v>
      </c>
      <c r="J3158" s="71">
        <v>-11</v>
      </c>
      <c r="K3158" s="71" t="s">
        <v>302</v>
      </c>
      <c r="L3158" s="71">
        <f t="shared" si="441"/>
        <v>9</v>
      </c>
      <c r="M3158" s="71" t="str">
        <f>IFERROR(INDEX(KALENDER!$D$3:$D$132,MATCH(H3158,KALENDER!$A$3:$A$132,0)),"Di luar periode")</f>
        <v>Hari Kerja</v>
      </c>
      <c r="N3158" s="71">
        <f t="shared" si="442"/>
        <v>1</v>
      </c>
      <c r="O3158" s="71">
        <f t="shared" si="443"/>
        <v>1</v>
      </c>
      <c r="P3158" s="71">
        <f t="shared" si="444"/>
        <v>1</v>
      </c>
      <c r="Q3158" s="71">
        <f t="shared" si="445"/>
        <v>0</v>
      </c>
      <c r="R3158" s="71">
        <f t="shared" si="446"/>
        <v>0</v>
      </c>
      <c r="S3158" s="71">
        <f t="shared" si="447"/>
        <v>0</v>
      </c>
      <c r="T3158" s="71">
        <f t="shared" si="448"/>
        <v>0</v>
      </c>
      <c r="U3158" s="71">
        <f>IF(AND(N3158=1,V3158=1),IF(COUNTIFS(AKTIVITAS!$B$2:$B$3052,B3158,AKTIVITAS!$E$2:$E$3052,H3158)&gt;0,1,0),0)</f>
        <v>1</v>
      </c>
      <c r="V3158" s="71">
        <f>IFERROR(IF(AND(H3158&gt;=INDEX(PEMAGANG!$J$3:$J$36,MATCH(B3158,PEMAGANG!$C$3:$C$36,0)),H3158&lt;=INDEX(PEMAGANG!$K$3:$K$36,MATCH(B3158,PEMAGANG!$C$3:$C$36,0))),1,0),0)</f>
        <v>1</v>
      </c>
      <c r="W3158" s="71">
        <f t="shared" si="449"/>
        <v>1</v>
      </c>
    </row>
    <row r="3159" spans="1:23" x14ac:dyDescent="0.2">
      <c r="A3159" s="71">
        <v>85337263831</v>
      </c>
      <c r="B3159" s="71" t="s">
        <v>273</v>
      </c>
      <c r="C3159" s="71" t="s">
        <v>187</v>
      </c>
      <c r="D3159" s="71" t="s">
        <v>274</v>
      </c>
      <c r="E3159" s="71" t="s">
        <v>693</v>
      </c>
      <c r="F3159" s="71" t="s">
        <v>300</v>
      </c>
      <c r="G3159" s="88">
        <v>46289.705844907403</v>
      </c>
      <c r="H3159" s="89">
        <v>46289</v>
      </c>
      <c r="I3159" s="71" t="s">
        <v>474</v>
      </c>
      <c r="J3159" s="71">
        <v>0</v>
      </c>
      <c r="K3159" s="71" t="s">
        <v>302</v>
      </c>
      <c r="L3159" s="71">
        <f t="shared" si="441"/>
        <v>9</v>
      </c>
      <c r="M3159" s="71" t="str">
        <f>IFERROR(INDEX(KALENDER!$D$3:$D$132,MATCH(H3159,KALENDER!$A$3:$A$132,0)),"Di luar periode")</f>
        <v>Hari Kerja</v>
      </c>
      <c r="N3159" s="71">
        <f t="shared" si="442"/>
        <v>0</v>
      </c>
      <c r="O3159" s="71">
        <f t="shared" si="443"/>
        <v>1</v>
      </c>
      <c r="P3159" s="71">
        <f t="shared" si="444"/>
        <v>0</v>
      </c>
      <c r="Q3159" s="71">
        <f t="shared" si="445"/>
        <v>0</v>
      </c>
      <c r="R3159" s="71">
        <f t="shared" si="446"/>
        <v>0</v>
      </c>
      <c r="S3159" s="71">
        <f t="shared" si="447"/>
        <v>0</v>
      </c>
      <c r="T3159" s="71">
        <f t="shared" si="448"/>
        <v>0</v>
      </c>
      <c r="U3159" s="71">
        <f>IF(AND(N3159=1,V3159=1),IF(COUNTIFS(AKTIVITAS!$B$2:$B$3052,B3159,AKTIVITAS!$E$2:$E$3052,H3159)&gt;0,1,0),0)</f>
        <v>0</v>
      </c>
      <c r="V3159" s="71">
        <f>IFERROR(IF(AND(H3159&gt;=INDEX(PEMAGANG!$J$3:$J$36,MATCH(B3159,PEMAGANG!$C$3:$C$36,0)),H3159&lt;=INDEX(PEMAGANG!$K$3:$K$36,MATCH(B3159,PEMAGANG!$C$3:$C$36,0))),1,0),0)</f>
        <v>1</v>
      </c>
      <c r="W3159" s="71">
        <f t="shared" si="449"/>
        <v>0</v>
      </c>
    </row>
    <row r="3160" spans="1:23" x14ac:dyDescent="0.2">
      <c r="A3160" s="71">
        <v>85337263831</v>
      </c>
      <c r="B3160" s="71" t="s">
        <v>273</v>
      </c>
      <c r="C3160" s="71" t="s">
        <v>187</v>
      </c>
      <c r="D3160" s="71" t="s">
        <v>274</v>
      </c>
      <c r="E3160" s="71" t="s">
        <v>693</v>
      </c>
      <c r="F3160" s="71" t="s">
        <v>298</v>
      </c>
      <c r="G3160" s="88">
        <v>46290.303935185198</v>
      </c>
      <c r="H3160" s="89">
        <v>46290</v>
      </c>
      <c r="I3160" s="71" t="s">
        <v>331</v>
      </c>
      <c r="J3160" s="71">
        <v>-13</v>
      </c>
      <c r="K3160" s="71" t="s">
        <v>302</v>
      </c>
      <c r="L3160" s="71">
        <f t="shared" si="441"/>
        <v>9</v>
      </c>
      <c r="M3160" s="71" t="str">
        <f>IFERROR(INDEX(KALENDER!$D$3:$D$132,MATCH(H3160,KALENDER!$A$3:$A$132,0)),"Di luar periode")</f>
        <v>Hari Kerja</v>
      </c>
      <c r="N3160" s="71">
        <f t="shared" si="442"/>
        <v>1</v>
      </c>
      <c r="O3160" s="71">
        <f t="shared" si="443"/>
        <v>1</v>
      </c>
      <c r="P3160" s="71">
        <f t="shared" si="444"/>
        <v>1</v>
      </c>
      <c r="Q3160" s="71">
        <f t="shared" si="445"/>
        <v>0</v>
      </c>
      <c r="R3160" s="71">
        <f t="shared" si="446"/>
        <v>0</v>
      </c>
      <c r="S3160" s="71">
        <f t="shared" si="447"/>
        <v>0</v>
      </c>
      <c r="T3160" s="71">
        <f t="shared" si="448"/>
        <v>0</v>
      </c>
      <c r="U3160" s="71">
        <f>IF(AND(N3160=1,V3160=1),IF(COUNTIFS(AKTIVITAS!$B$2:$B$3052,B3160,AKTIVITAS!$E$2:$E$3052,H3160)&gt;0,1,0),0)</f>
        <v>1</v>
      </c>
      <c r="V3160" s="71">
        <f>IFERROR(IF(AND(H3160&gt;=INDEX(PEMAGANG!$J$3:$J$36,MATCH(B3160,PEMAGANG!$C$3:$C$36,0)),H3160&lt;=INDEX(PEMAGANG!$K$3:$K$36,MATCH(B3160,PEMAGANG!$C$3:$C$36,0))),1,0),0)</f>
        <v>1</v>
      </c>
      <c r="W3160" s="71">
        <f t="shared" si="449"/>
        <v>1</v>
      </c>
    </row>
    <row r="3161" spans="1:23" x14ac:dyDescent="0.2">
      <c r="A3161" s="71">
        <v>85337263831</v>
      </c>
      <c r="B3161" s="71" t="s">
        <v>273</v>
      </c>
      <c r="C3161" s="71" t="s">
        <v>187</v>
      </c>
      <c r="D3161" s="71" t="s">
        <v>274</v>
      </c>
      <c r="E3161" s="71" t="s">
        <v>693</v>
      </c>
      <c r="F3161" s="71" t="s">
        <v>300</v>
      </c>
      <c r="G3161" s="88">
        <v>46290.691678240699</v>
      </c>
      <c r="H3161" s="89">
        <v>46290</v>
      </c>
      <c r="I3161" s="71" t="s">
        <v>344</v>
      </c>
      <c r="J3161" s="71">
        <v>0</v>
      </c>
      <c r="K3161" s="71" t="s">
        <v>302</v>
      </c>
      <c r="L3161" s="71">
        <f t="shared" si="441"/>
        <v>9</v>
      </c>
      <c r="M3161" s="71" t="str">
        <f>IFERROR(INDEX(KALENDER!$D$3:$D$132,MATCH(H3161,KALENDER!$A$3:$A$132,0)),"Di luar periode")</f>
        <v>Hari Kerja</v>
      </c>
      <c r="N3161" s="71">
        <f t="shared" si="442"/>
        <v>0</v>
      </c>
      <c r="O3161" s="71">
        <f t="shared" si="443"/>
        <v>1</v>
      </c>
      <c r="P3161" s="71">
        <f t="shared" si="444"/>
        <v>0</v>
      </c>
      <c r="Q3161" s="71">
        <f t="shared" si="445"/>
        <v>0</v>
      </c>
      <c r="R3161" s="71">
        <f t="shared" si="446"/>
        <v>0</v>
      </c>
      <c r="S3161" s="71">
        <f t="shared" si="447"/>
        <v>0</v>
      </c>
      <c r="T3161" s="71">
        <f t="shared" si="448"/>
        <v>0</v>
      </c>
      <c r="U3161" s="71">
        <f>IF(AND(N3161=1,V3161=1),IF(COUNTIFS(AKTIVITAS!$B$2:$B$3052,B3161,AKTIVITAS!$E$2:$E$3052,H3161)&gt;0,1,0),0)</f>
        <v>0</v>
      </c>
      <c r="V3161" s="71">
        <f>IFERROR(IF(AND(H3161&gt;=INDEX(PEMAGANG!$J$3:$J$36,MATCH(B3161,PEMAGANG!$C$3:$C$36,0)),H3161&lt;=INDEX(PEMAGANG!$K$3:$K$36,MATCH(B3161,PEMAGANG!$C$3:$C$36,0))),1,0),0)</f>
        <v>1</v>
      </c>
      <c r="W3161" s="71">
        <f t="shared" si="449"/>
        <v>0</v>
      </c>
    </row>
    <row r="3162" spans="1:23" x14ac:dyDescent="0.2">
      <c r="A3162" s="71">
        <v>85337263831</v>
      </c>
      <c r="B3162" s="71" t="s">
        <v>273</v>
      </c>
      <c r="C3162" s="71" t="s">
        <v>187</v>
      </c>
      <c r="D3162" s="71" t="s">
        <v>274</v>
      </c>
      <c r="E3162" s="71" t="s">
        <v>693</v>
      </c>
      <c r="F3162" s="71" t="s">
        <v>298</v>
      </c>
      <c r="G3162" s="88">
        <v>46293.306990740697</v>
      </c>
      <c r="H3162" s="89">
        <v>46293</v>
      </c>
      <c r="I3162" s="71" t="s">
        <v>313</v>
      </c>
      <c r="J3162" s="71">
        <v>-8.0000000000000497</v>
      </c>
      <c r="K3162" s="71" t="s">
        <v>302</v>
      </c>
      <c r="L3162" s="71">
        <f t="shared" si="441"/>
        <v>9</v>
      </c>
      <c r="M3162" s="71" t="str">
        <f>IFERROR(INDEX(KALENDER!$D$3:$D$132,MATCH(H3162,KALENDER!$A$3:$A$132,0)),"Di luar periode")</f>
        <v>Hari Kerja</v>
      </c>
      <c r="N3162" s="71">
        <f t="shared" si="442"/>
        <v>1</v>
      </c>
      <c r="O3162" s="71">
        <f t="shared" si="443"/>
        <v>1</v>
      </c>
      <c r="P3162" s="71">
        <f t="shared" si="444"/>
        <v>1</v>
      </c>
      <c r="Q3162" s="71">
        <f t="shared" si="445"/>
        <v>0</v>
      </c>
      <c r="R3162" s="71">
        <f t="shared" si="446"/>
        <v>0</v>
      </c>
      <c r="S3162" s="71">
        <f t="shared" si="447"/>
        <v>0</v>
      </c>
      <c r="T3162" s="71">
        <f t="shared" si="448"/>
        <v>0</v>
      </c>
      <c r="U3162" s="71">
        <f>IF(AND(N3162=1,V3162=1),IF(COUNTIFS(AKTIVITAS!$B$2:$B$3052,B3162,AKTIVITAS!$E$2:$E$3052,H3162)&gt;0,1,0),0)</f>
        <v>1</v>
      </c>
      <c r="V3162" s="71">
        <f>IFERROR(IF(AND(H3162&gt;=INDEX(PEMAGANG!$J$3:$J$36,MATCH(B3162,PEMAGANG!$C$3:$C$36,0)),H3162&lt;=INDEX(PEMAGANG!$K$3:$K$36,MATCH(B3162,PEMAGANG!$C$3:$C$36,0))),1,0),0)</f>
        <v>1</v>
      </c>
      <c r="W3162" s="71">
        <f t="shared" si="449"/>
        <v>1</v>
      </c>
    </row>
    <row r="3163" spans="1:23" x14ac:dyDescent="0.2">
      <c r="A3163" s="71">
        <v>85337263831</v>
      </c>
      <c r="B3163" s="71" t="s">
        <v>273</v>
      </c>
      <c r="C3163" s="71" t="s">
        <v>187</v>
      </c>
      <c r="D3163" s="71" t="s">
        <v>274</v>
      </c>
      <c r="E3163" s="71" t="s">
        <v>693</v>
      </c>
      <c r="F3163" s="71" t="s">
        <v>300</v>
      </c>
      <c r="G3163" s="88">
        <v>46293.692222222198</v>
      </c>
      <c r="H3163" s="89">
        <v>46293</v>
      </c>
      <c r="I3163" s="71" t="s">
        <v>344</v>
      </c>
      <c r="J3163" s="71">
        <v>0</v>
      </c>
      <c r="K3163" s="71" t="s">
        <v>302</v>
      </c>
      <c r="L3163" s="71">
        <f t="shared" si="441"/>
        <v>9</v>
      </c>
      <c r="M3163" s="71" t="str">
        <f>IFERROR(INDEX(KALENDER!$D$3:$D$132,MATCH(H3163,KALENDER!$A$3:$A$132,0)),"Di luar periode")</f>
        <v>Hari Kerja</v>
      </c>
      <c r="N3163" s="71">
        <f t="shared" si="442"/>
        <v>0</v>
      </c>
      <c r="O3163" s="71">
        <f t="shared" si="443"/>
        <v>1</v>
      </c>
      <c r="P3163" s="71">
        <f t="shared" si="444"/>
        <v>0</v>
      </c>
      <c r="Q3163" s="71">
        <f t="shared" si="445"/>
        <v>0</v>
      </c>
      <c r="R3163" s="71">
        <f t="shared" si="446"/>
        <v>0</v>
      </c>
      <c r="S3163" s="71">
        <f t="shared" si="447"/>
        <v>0</v>
      </c>
      <c r="T3163" s="71">
        <f t="shared" si="448"/>
        <v>0</v>
      </c>
      <c r="U3163" s="71">
        <f>IF(AND(N3163=1,V3163=1),IF(COUNTIFS(AKTIVITAS!$B$2:$B$3052,B3163,AKTIVITAS!$E$2:$E$3052,H3163)&gt;0,1,0),0)</f>
        <v>0</v>
      </c>
      <c r="V3163" s="71">
        <f>IFERROR(IF(AND(H3163&gt;=INDEX(PEMAGANG!$J$3:$J$36,MATCH(B3163,PEMAGANG!$C$3:$C$36,0)),H3163&lt;=INDEX(PEMAGANG!$K$3:$K$36,MATCH(B3163,PEMAGANG!$C$3:$C$36,0))),1,0),0)</f>
        <v>1</v>
      </c>
      <c r="W3163" s="71">
        <f t="shared" si="449"/>
        <v>0</v>
      </c>
    </row>
    <row r="3164" spans="1:23" x14ac:dyDescent="0.2">
      <c r="A3164" s="71">
        <v>85337263831</v>
      </c>
      <c r="B3164" s="71" t="s">
        <v>273</v>
      </c>
      <c r="C3164" s="71" t="s">
        <v>187</v>
      </c>
      <c r="D3164" s="71" t="s">
        <v>274</v>
      </c>
      <c r="E3164" s="71" t="s">
        <v>693</v>
      </c>
      <c r="F3164" s="71" t="s">
        <v>298</v>
      </c>
      <c r="G3164" s="88">
        <v>46294.307395833297</v>
      </c>
      <c r="H3164" s="89">
        <v>46294</v>
      </c>
      <c r="I3164" s="71" t="s">
        <v>313</v>
      </c>
      <c r="J3164" s="71">
        <v>-8.0000000000000497</v>
      </c>
      <c r="K3164" s="71" t="s">
        <v>302</v>
      </c>
      <c r="L3164" s="71">
        <f t="shared" si="441"/>
        <v>9</v>
      </c>
      <c r="M3164" s="71" t="str">
        <f>IFERROR(INDEX(KALENDER!$D$3:$D$132,MATCH(H3164,KALENDER!$A$3:$A$132,0)),"Di luar periode")</f>
        <v>Hari Kerja</v>
      </c>
      <c r="N3164" s="71">
        <f t="shared" si="442"/>
        <v>1</v>
      </c>
      <c r="O3164" s="71">
        <f t="shared" si="443"/>
        <v>1</v>
      </c>
      <c r="P3164" s="71">
        <f t="shared" si="444"/>
        <v>1</v>
      </c>
      <c r="Q3164" s="71">
        <f t="shared" si="445"/>
        <v>0</v>
      </c>
      <c r="R3164" s="71">
        <f t="shared" si="446"/>
        <v>0</v>
      </c>
      <c r="S3164" s="71">
        <f t="shared" si="447"/>
        <v>0</v>
      </c>
      <c r="T3164" s="71">
        <f t="shared" si="448"/>
        <v>0</v>
      </c>
      <c r="U3164" s="71">
        <f>IF(AND(N3164=1,V3164=1),IF(COUNTIFS(AKTIVITAS!$B$2:$B$3052,B3164,AKTIVITAS!$E$2:$E$3052,H3164)&gt;0,1,0),0)</f>
        <v>1</v>
      </c>
      <c r="V3164" s="71">
        <f>IFERROR(IF(AND(H3164&gt;=INDEX(PEMAGANG!$J$3:$J$36,MATCH(B3164,PEMAGANG!$C$3:$C$36,0)),H3164&lt;=INDEX(PEMAGANG!$K$3:$K$36,MATCH(B3164,PEMAGANG!$C$3:$C$36,0))),1,0),0)</f>
        <v>1</v>
      </c>
      <c r="W3164" s="71">
        <f t="shared" si="449"/>
        <v>1</v>
      </c>
    </row>
    <row r="3165" spans="1:23" x14ac:dyDescent="0.2">
      <c r="A3165" s="71">
        <v>85337263831</v>
      </c>
      <c r="B3165" s="71" t="s">
        <v>273</v>
      </c>
      <c r="C3165" s="71" t="s">
        <v>187</v>
      </c>
      <c r="D3165" s="71" t="s">
        <v>274</v>
      </c>
      <c r="E3165" s="71" t="s">
        <v>693</v>
      </c>
      <c r="F3165" s="71" t="s">
        <v>300</v>
      </c>
      <c r="G3165" s="88">
        <v>46294.711064814801</v>
      </c>
      <c r="H3165" s="89">
        <v>46294</v>
      </c>
      <c r="I3165" s="71" t="s">
        <v>450</v>
      </c>
      <c r="J3165" s="71">
        <v>0</v>
      </c>
      <c r="K3165" s="71" t="s">
        <v>302</v>
      </c>
      <c r="L3165" s="71">
        <f t="shared" si="441"/>
        <v>9</v>
      </c>
      <c r="M3165" s="71" t="str">
        <f>IFERROR(INDEX(KALENDER!$D$3:$D$132,MATCH(H3165,KALENDER!$A$3:$A$132,0)),"Di luar periode")</f>
        <v>Hari Kerja</v>
      </c>
      <c r="N3165" s="71">
        <f t="shared" si="442"/>
        <v>0</v>
      </c>
      <c r="O3165" s="71">
        <f t="shared" si="443"/>
        <v>1</v>
      </c>
      <c r="P3165" s="71">
        <f t="shared" si="444"/>
        <v>0</v>
      </c>
      <c r="Q3165" s="71">
        <f t="shared" si="445"/>
        <v>0</v>
      </c>
      <c r="R3165" s="71">
        <f t="shared" si="446"/>
        <v>0</v>
      </c>
      <c r="S3165" s="71">
        <f t="shared" si="447"/>
        <v>0</v>
      </c>
      <c r="T3165" s="71">
        <f t="shared" si="448"/>
        <v>0</v>
      </c>
      <c r="U3165" s="71">
        <f>IF(AND(N3165=1,V3165=1),IF(COUNTIFS(AKTIVITAS!$B$2:$B$3052,B3165,AKTIVITAS!$E$2:$E$3052,H3165)&gt;0,1,0),0)</f>
        <v>0</v>
      </c>
      <c r="V3165" s="71">
        <f>IFERROR(IF(AND(H3165&gt;=INDEX(PEMAGANG!$J$3:$J$36,MATCH(B3165,PEMAGANG!$C$3:$C$36,0)),H3165&lt;=INDEX(PEMAGANG!$K$3:$K$36,MATCH(B3165,PEMAGANG!$C$3:$C$36,0))),1,0),0)</f>
        <v>1</v>
      </c>
      <c r="W3165" s="71">
        <f t="shared" si="449"/>
        <v>0</v>
      </c>
    </row>
    <row r="3166" spans="1:23" x14ac:dyDescent="0.2">
      <c r="A3166" s="71">
        <v>85337263831</v>
      </c>
      <c r="B3166" s="71" t="s">
        <v>273</v>
      </c>
      <c r="C3166" s="71" t="s">
        <v>187</v>
      </c>
      <c r="D3166" s="71" t="s">
        <v>274</v>
      </c>
      <c r="E3166" s="71" t="s">
        <v>693</v>
      </c>
      <c r="F3166" s="71" t="s">
        <v>298</v>
      </c>
      <c r="G3166" s="88">
        <v>46295.306111111102</v>
      </c>
      <c r="H3166" s="89">
        <v>46295</v>
      </c>
      <c r="I3166" s="71" t="s">
        <v>329</v>
      </c>
      <c r="J3166" s="71">
        <v>-10</v>
      </c>
      <c r="K3166" s="71" t="s">
        <v>302</v>
      </c>
      <c r="L3166" s="71">
        <f t="shared" si="441"/>
        <v>9</v>
      </c>
      <c r="M3166" s="71" t="str">
        <f>IFERROR(INDEX(KALENDER!$D$3:$D$132,MATCH(H3166,KALENDER!$A$3:$A$132,0)),"Di luar periode")</f>
        <v>Hari Kerja</v>
      </c>
      <c r="N3166" s="71">
        <f t="shared" si="442"/>
        <v>1</v>
      </c>
      <c r="O3166" s="71">
        <f t="shared" si="443"/>
        <v>1</v>
      </c>
      <c r="P3166" s="71">
        <f t="shared" si="444"/>
        <v>1</v>
      </c>
      <c r="Q3166" s="71">
        <f t="shared" si="445"/>
        <v>0</v>
      </c>
      <c r="R3166" s="71">
        <f t="shared" si="446"/>
        <v>0</v>
      </c>
      <c r="S3166" s="71">
        <f t="shared" si="447"/>
        <v>0</v>
      </c>
      <c r="T3166" s="71">
        <f t="shared" si="448"/>
        <v>0</v>
      </c>
      <c r="U3166" s="71">
        <f>IF(AND(N3166=1,V3166=1),IF(COUNTIFS(AKTIVITAS!$B$2:$B$3052,B3166,AKTIVITAS!$E$2:$E$3052,H3166)&gt;0,1,0),0)</f>
        <v>1</v>
      </c>
      <c r="V3166" s="71">
        <f>IFERROR(IF(AND(H3166&gt;=INDEX(PEMAGANG!$J$3:$J$36,MATCH(B3166,PEMAGANG!$C$3:$C$36,0)),H3166&lt;=INDEX(PEMAGANG!$K$3:$K$36,MATCH(B3166,PEMAGANG!$C$3:$C$36,0))),1,0),0)</f>
        <v>1</v>
      </c>
      <c r="W3166" s="71">
        <f t="shared" si="449"/>
        <v>1</v>
      </c>
    </row>
    <row r="3167" spans="1:23" x14ac:dyDescent="0.2">
      <c r="A3167" s="71">
        <v>85337263831</v>
      </c>
      <c r="B3167" s="71" t="s">
        <v>273</v>
      </c>
      <c r="C3167" s="71" t="s">
        <v>187</v>
      </c>
      <c r="D3167" s="71" t="s">
        <v>274</v>
      </c>
      <c r="E3167" s="71" t="s">
        <v>693</v>
      </c>
      <c r="F3167" s="71" t="s">
        <v>300</v>
      </c>
      <c r="G3167" s="88">
        <v>46295.7061805556</v>
      </c>
      <c r="H3167" s="89">
        <v>46295</v>
      </c>
      <c r="I3167" s="71" t="s">
        <v>474</v>
      </c>
      <c r="J3167" s="71">
        <v>0</v>
      </c>
      <c r="K3167" s="71" t="s">
        <v>302</v>
      </c>
      <c r="L3167" s="71">
        <f t="shared" si="441"/>
        <v>9</v>
      </c>
      <c r="M3167" s="71" t="str">
        <f>IFERROR(INDEX(KALENDER!$D$3:$D$132,MATCH(H3167,KALENDER!$A$3:$A$132,0)),"Di luar periode")</f>
        <v>Hari Kerja</v>
      </c>
      <c r="N3167" s="71">
        <f t="shared" si="442"/>
        <v>0</v>
      </c>
      <c r="O3167" s="71">
        <f t="shared" si="443"/>
        <v>1</v>
      </c>
      <c r="P3167" s="71">
        <f t="shared" si="444"/>
        <v>0</v>
      </c>
      <c r="Q3167" s="71">
        <f t="shared" si="445"/>
        <v>0</v>
      </c>
      <c r="R3167" s="71">
        <f t="shared" si="446"/>
        <v>0</v>
      </c>
      <c r="S3167" s="71">
        <f t="shared" si="447"/>
        <v>0</v>
      </c>
      <c r="T3167" s="71">
        <f t="shared" si="448"/>
        <v>0</v>
      </c>
      <c r="U3167" s="71">
        <f>IF(AND(N3167=1,V3167=1),IF(COUNTIFS(AKTIVITAS!$B$2:$B$3052,B3167,AKTIVITAS!$E$2:$E$3052,H3167)&gt;0,1,0),0)</f>
        <v>0</v>
      </c>
      <c r="V3167" s="71">
        <f>IFERROR(IF(AND(H3167&gt;=INDEX(PEMAGANG!$J$3:$J$36,MATCH(B3167,PEMAGANG!$C$3:$C$36,0)),H3167&lt;=INDEX(PEMAGANG!$K$3:$K$36,MATCH(B3167,PEMAGANG!$C$3:$C$36,0))),1,0),0)</f>
        <v>1</v>
      </c>
      <c r="W3167" s="71">
        <f t="shared" si="449"/>
        <v>0</v>
      </c>
    </row>
    <row r="3168" spans="1:23" x14ac:dyDescent="0.2">
      <c r="A3168" s="71" t="s">
        <v>260</v>
      </c>
      <c r="B3168" s="71" t="s">
        <v>261</v>
      </c>
      <c r="C3168" s="71" t="s">
        <v>187</v>
      </c>
      <c r="D3168" s="71" t="s">
        <v>259</v>
      </c>
      <c r="E3168" s="71" t="s">
        <v>55</v>
      </c>
      <c r="F3168" s="71" t="s">
        <v>298</v>
      </c>
      <c r="G3168" s="88">
        <v>46175.299108796302</v>
      </c>
      <c r="H3168" s="89">
        <v>46175</v>
      </c>
      <c r="I3168" s="71" t="s">
        <v>481</v>
      </c>
      <c r="J3168" s="71">
        <v>-20</v>
      </c>
      <c r="K3168" s="71" t="s">
        <v>302</v>
      </c>
      <c r="L3168" s="71">
        <f t="shared" si="441"/>
        <v>6</v>
      </c>
      <c r="M3168" s="71" t="str">
        <f>IFERROR(INDEX(KALENDER!$D$3:$D$132,MATCH(H3168,KALENDER!$A$3:$A$132,0)),"Di luar periode")</f>
        <v>Hari Kerja</v>
      </c>
      <c r="N3168" s="71">
        <f t="shared" si="442"/>
        <v>1</v>
      </c>
      <c r="O3168" s="71">
        <f t="shared" si="443"/>
        <v>1</v>
      </c>
      <c r="P3168" s="71">
        <f t="shared" si="444"/>
        <v>1</v>
      </c>
      <c r="Q3168" s="71">
        <f t="shared" si="445"/>
        <v>0</v>
      </c>
      <c r="R3168" s="71">
        <f t="shared" si="446"/>
        <v>0</v>
      </c>
      <c r="S3168" s="71">
        <f t="shared" si="447"/>
        <v>0</v>
      </c>
      <c r="T3168" s="71">
        <f t="shared" si="448"/>
        <v>1</v>
      </c>
      <c r="U3168" s="71">
        <f>IF(AND(N3168=1,V3168=1),IF(COUNTIFS(AKTIVITAS!$B$2:$B$3052,B3168,AKTIVITAS!$E$2:$E$3052,H3168)&gt;0,1,0),0)</f>
        <v>1</v>
      </c>
      <c r="V3168" s="71">
        <f>IFERROR(IF(AND(H3168&gt;=INDEX(PEMAGANG!$J$3:$J$36,MATCH(B3168,PEMAGANG!$C$3:$C$36,0)),H3168&lt;=INDEX(PEMAGANG!$K$3:$K$36,MATCH(B3168,PEMAGANG!$C$3:$C$36,0))),1,0),0)</f>
        <v>1</v>
      </c>
      <c r="W3168" s="71">
        <f t="shared" si="449"/>
        <v>1</v>
      </c>
    </row>
    <row r="3169" spans="1:23" x14ac:dyDescent="0.2">
      <c r="A3169" s="71" t="s">
        <v>260</v>
      </c>
      <c r="B3169" s="71" t="s">
        <v>261</v>
      </c>
      <c r="C3169" s="71" t="s">
        <v>187</v>
      </c>
      <c r="D3169" s="71" t="s">
        <v>259</v>
      </c>
      <c r="E3169" s="71" t="s">
        <v>55</v>
      </c>
      <c r="F3169" s="71" t="s">
        <v>298</v>
      </c>
      <c r="G3169" s="88">
        <v>46177.284687500003</v>
      </c>
      <c r="H3169" s="89">
        <v>46177</v>
      </c>
      <c r="I3169" s="71" t="s">
        <v>699</v>
      </c>
      <c r="J3169" s="71">
        <v>-41</v>
      </c>
      <c r="K3169" s="71" t="s">
        <v>302</v>
      </c>
      <c r="L3169" s="71">
        <f t="shared" si="441"/>
        <v>6</v>
      </c>
      <c r="M3169" s="71" t="str">
        <f>IFERROR(INDEX(KALENDER!$D$3:$D$132,MATCH(H3169,KALENDER!$A$3:$A$132,0)),"Di luar periode")</f>
        <v>Hari Kerja</v>
      </c>
      <c r="N3169" s="71">
        <f t="shared" si="442"/>
        <v>1</v>
      </c>
      <c r="O3169" s="71">
        <f t="shared" si="443"/>
        <v>1</v>
      </c>
      <c r="P3169" s="71">
        <f t="shared" si="444"/>
        <v>1</v>
      </c>
      <c r="Q3169" s="71">
        <f t="shared" si="445"/>
        <v>0</v>
      </c>
      <c r="R3169" s="71">
        <f t="shared" si="446"/>
        <v>0</v>
      </c>
      <c r="S3169" s="71">
        <f t="shared" si="447"/>
        <v>0</v>
      </c>
      <c r="T3169" s="71">
        <f t="shared" si="448"/>
        <v>0</v>
      </c>
      <c r="U3169" s="71">
        <f>IF(AND(N3169=1,V3169=1),IF(COUNTIFS(AKTIVITAS!$B$2:$B$3052,B3169,AKTIVITAS!$E$2:$E$3052,H3169)&gt;0,1,0),0)</f>
        <v>1</v>
      </c>
      <c r="V3169" s="71">
        <f>IFERROR(IF(AND(H3169&gt;=INDEX(PEMAGANG!$J$3:$J$36,MATCH(B3169,PEMAGANG!$C$3:$C$36,0)),H3169&lt;=INDEX(PEMAGANG!$K$3:$K$36,MATCH(B3169,PEMAGANG!$C$3:$C$36,0))),1,0),0)</f>
        <v>1</v>
      </c>
      <c r="W3169" s="71">
        <f t="shared" si="449"/>
        <v>1</v>
      </c>
    </row>
    <row r="3170" spans="1:23" x14ac:dyDescent="0.2">
      <c r="A3170" s="71" t="s">
        <v>260</v>
      </c>
      <c r="B3170" s="71" t="s">
        <v>261</v>
      </c>
      <c r="C3170" s="71" t="s">
        <v>187</v>
      </c>
      <c r="D3170" s="71" t="s">
        <v>259</v>
      </c>
      <c r="E3170" s="71" t="s">
        <v>55</v>
      </c>
      <c r="F3170" s="71" t="s">
        <v>300</v>
      </c>
      <c r="G3170" s="88">
        <v>46177.687719907401</v>
      </c>
      <c r="H3170" s="89">
        <v>46177</v>
      </c>
      <c r="I3170" s="71" t="s">
        <v>330</v>
      </c>
      <c r="J3170" s="71">
        <v>0</v>
      </c>
      <c r="K3170" s="71" t="s">
        <v>302</v>
      </c>
      <c r="L3170" s="71">
        <f t="shared" si="441"/>
        <v>6</v>
      </c>
      <c r="M3170" s="71" t="str">
        <f>IFERROR(INDEX(KALENDER!$D$3:$D$132,MATCH(H3170,KALENDER!$A$3:$A$132,0)),"Di luar periode")</f>
        <v>Hari Kerja</v>
      </c>
      <c r="N3170" s="71">
        <f t="shared" si="442"/>
        <v>0</v>
      </c>
      <c r="O3170" s="71">
        <f t="shared" si="443"/>
        <v>1</v>
      </c>
      <c r="P3170" s="71">
        <f t="shared" si="444"/>
        <v>0</v>
      </c>
      <c r="Q3170" s="71">
        <f t="shared" si="445"/>
        <v>0</v>
      </c>
      <c r="R3170" s="71">
        <f t="shared" si="446"/>
        <v>0</v>
      </c>
      <c r="S3170" s="71">
        <f t="shared" si="447"/>
        <v>0</v>
      </c>
      <c r="T3170" s="71">
        <f t="shared" si="448"/>
        <v>0</v>
      </c>
      <c r="U3170" s="71">
        <f>IF(AND(N3170=1,V3170=1),IF(COUNTIFS(AKTIVITAS!$B$2:$B$3052,B3170,AKTIVITAS!$E$2:$E$3052,H3170)&gt;0,1,0),0)</f>
        <v>0</v>
      </c>
      <c r="V3170" s="71">
        <f>IFERROR(IF(AND(H3170&gt;=INDEX(PEMAGANG!$J$3:$J$36,MATCH(B3170,PEMAGANG!$C$3:$C$36,0)),H3170&lt;=INDEX(PEMAGANG!$K$3:$K$36,MATCH(B3170,PEMAGANG!$C$3:$C$36,0))),1,0),0)</f>
        <v>1</v>
      </c>
      <c r="W3170" s="71">
        <f t="shared" si="449"/>
        <v>0</v>
      </c>
    </row>
    <row r="3171" spans="1:23" x14ac:dyDescent="0.2">
      <c r="A3171" s="71" t="s">
        <v>260</v>
      </c>
      <c r="B3171" s="71" t="s">
        <v>261</v>
      </c>
      <c r="C3171" s="71" t="s">
        <v>187</v>
      </c>
      <c r="D3171" s="71" t="s">
        <v>259</v>
      </c>
      <c r="E3171" s="71" t="s">
        <v>55</v>
      </c>
      <c r="F3171" s="71" t="s">
        <v>298</v>
      </c>
      <c r="G3171" s="88">
        <v>46178.284201388902</v>
      </c>
      <c r="H3171" s="89">
        <v>46178</v>
      </c>
      <c r="I3171" s="71" t="s">
        <v>699</v>
      </c>
      <c r="J3171" s="71">
        <v>-41</v>
      </c>
      <c r="K3171" s="71" t="s">
        <v>302</v>
      </c>
      <c r="L3171" s="71">
        <f t="shared" si="441"/>
        <v>6</v>
      </c>
      <c r="M3171" s="71" t="str">
        <f>IFERROR(INDEX(KALENDER!$D$3:$D$132,MATCH(H3171,KALENDER!$A$3:$A$132,0)),"Di luar periode")</f>
        <v>Hari Kerja</v>
      </c>
      <c r="N3171" s="71">
        <f t="shared" si="442"/>
        <v>1</v>
      </c>
      <c r="O3171" s="71">
        <f t="shared" si="443"/>
        <v>1</v>
      </c>
      <c r="P3171" s="71">
        <f t="shared" si="444"/>
        <v>1</v>
      </c>
      <c r="Q3171" s="71">
        <f t="shared" si="445"/>
        <v>0</v>
      </c>
      <c r="R3171" s="71">
        <f t="shared" si="446"/>
        <v>0</v>
      </c>
      <c r="S3171" s="71">
        <f t="shared" si="447"/>
        <v>0</v>
      </c>
      <c r="T3171" s="71">
        <f t="shared" si="448"/>
        <v>1</v>
      </c>
      <c r="U3171" s="71">
        <f>IF(AND(N3171=1,V3171=1),IF(COUNTIFS(AKTIVITAS!$B$2:$B$3052,B3171,AKTIVITAS!$E$2:$E$3052,H3171)&gt;0,1,0),0)</f>
        <v>0</v>
      </c>
      <c r="V3171" s="71">
        <f>IFERROR(IF(AND(H3171&gt;=INDEX(PEMAGANG!$J$3:$J$36,MATCH(B3171,PEMAGANG!$C$3:$C$36,0)),H3171&lt;=INDEX(PEMAGANG!$K$3:$K$36,MATCH(B3171,PEMAGANG!$C$3:$C$36,0))),1,0),0)</f>
        <v>1</v>
      </c>
      <c r="W3171" s="71">
        <f t="shared" si="449"/>
        <v>1</v>
      </c>
    </row>
    <row r="3172" spans="1:23" x14ac:dyDescent="0.2">
      <c r="A3172" s="71" t="s">
        <v>260</v>
      </c>
      <c r="B3172" s="71" t="s">
        <v>261</v>
      </c>
      <c r="C3172" s="71" t="s">
        <v>187</v>
      </c>
      <c r="D3172" s="71" t="s">
        <v>259</v>
      </c>
      <c r="E3172" s="71" t="s">
        <v>55</v>
      </c>
      <c r="F3172" s="71" t="s">
        <v>298</v>
      </c>
      <c r="G3172" s="88">
        <v>46181.277928240699</v>
      </c>
      <c r="H3172" s="89">
        <v>46181</v>
      </c>
      <c r="I3172" s="71" t="s">
        <v>484</v>
      </c>
      <c r="J3172" s="71">
        <v>-50</v>
      </c>
      <c r="K3172" s="71" t="s">
        <v>302</v>
      </c>
      <c r="L3172" s="71">
        <f t="shared" si="441"/>
        <v>6</v>
      </c>
      <c r="M3172" s="71" t="str">
        <f>IFERROR(INDEX(KALENDER!$D$3:$D$132,MATCH(H3172,KALENDER!$A$3:$A$132,0)),"Di luar periode")</f>
        <v>Hari Kerja</v>
      </c>
      <c r="N3172" s="71">
        <f t="shared" si="442"/>
        <v>1</v>
      </c>
      <c r="O3172" s="71">
        <f t="shared" si="443"/>
        <v>1</v>
      </c>
      <c r="P3172" s="71">
        <f t="shared" si="444"/>
        <v>1</v>
      </c>
      <c r="Q3172" s="71">
        <f t="shared" si="445"/>
        <v>0</v>
      </c>
      <c r="R3172" s="71">
        <f t="shared" si="446"/>
        <v>0</v>
      </c>
      <c r="S3172" s="71">
        <f t="shared" si="447"/>
        <v>0</v>
      </c>
      <c r="T3172" s="71">
        <f t="shared" si="448"/>
        <v>0</v>
      </c>
      <c r="U3172" s="71">
        <f>IF(AND(N3172=1,V3172=1),IF(COUNTIFS(AKTIVITAS!$B$2:$B$3052,B3172,AKTIVITAS!$E$2:$E$3052,H3172)&gt;0,1,0),0)</f>
        <v>1</v>
      </c>
      <c r="V3172" s="71">
        <f>IFERROR(IF(AND(H3172&gt;=INDEX(PEMAGANG!$J$3:$J$36,MATCH(B3172,PEMAGANG!$C$3:$C$36,0)),H3172&lt;=INDEX(PEMAGANG!$K$3:$K$36,MATCH(B3172,PEMAGANG!$C$3:$C$36,0))),1,0),0)</f>
        <v>1</v>
      </c>
      <c r="W3172" s="71">
        <f t="shared" si="449"/>
        <v>1</v>
      </c>
    </row>
    <row r="3173" spans="1:23" x14ac:dyDescent="0.2">
      <c r="A3173" s="71" t="s">
        <v>260</v>
      </c>
      <c r="B3173" s="71" t="s">
        <v>261</v>
      </c>
      <c r="C3173" s="71" t="s">
        <v>187</v>
      </c>
      <c r="D3173" s="71" t="s">
        <v>259</v>
      </c>
      <c r="E3173" s="71" t="s">
        <v>55</v>
      </c>
      <c r="F3173" s="71" t="s">
        <v>300</v>
      </c>
      <c r="G3173" s="88">
        <v>46181.688252314802</v>
      </c>
      <c r="H3173" s="89">
        <v>46181</v>
      </c>
      <c r="I3173" s="71" t="s">
        <v>336</v>
      </c>
      <c r="J3173" s="71">
        <v>0</v>
      </c>
      <c r="K3173" s="71" t="s">
        <v>302</v>
      </c>
      <c r="L3173" s="71">
        <f t="shared" si="441"/>
        <v>6</v>
      </c>
      <c r="M3173" s="71" t="str">
        <f>IFERROR(INDEX(KALENDER!$D$3:$D$132,MATCH(H3173,KALENDER!$A$3:$A$132,0)),"Di luar periode")</f>
        <v>Hari Kerja</v>
      </c>
      <c r="N3173" s="71">
        <f t="shared" si="442"/>
        <v>0</v>
      </c>
      <c r="O3173" s="71">
        <f t="shared" si="443"/>
        <v>1</v>
      </c>
      <c r="P3173" s="71">
        <f t="shared" si="444"/>
        <v>0</v>
      </c>
      <c r="Q3173" s="71">
        <f t="shared" si="445"/>
        <v>0</v>
      </c>
      <c r="R3173" s="71">
        <f t="shared" si="446"/>
        <v>0</v>
      </c>
      <c r="S3173" s="71">
        <f t="shared" si="447"/>
        <v>0</v>
      </c>
      <c r="T3173" s="71">
        <f t="shared" si="448"/>
        <v>0</v>
      </c>
      <c r="U3173" s="71">
        <f>IF(AND(N3173=1,V3173=1),IF(COUNTIFS(AKTIVITAS!$B$2:$B$3052,B3173,AKTIVITAS!$E$2:$E$3052,H3173)&gt;0,1,0),0)</f>
        <v>0</v>
      </c>
      <c r="V3173" s="71">
        <f>IFERROR(IF(AND(H3173&gt;=INDEX(PEMAGANG!$J$3:$J$36,MATCH(B3173,PEMAGANG!$C$3:$C$36,0)),H3173&lt;=INDEX(PEMAGANG!$K$3:$K$36,MATCH(B3173,PEMAGANG!$C$3:$C$36,0))),1,0),0)</f>
        <v>1</v>
      </c>
      <c r="W3173" s="71">
        <f t="shared" si="449"/>
        <v>0</v>
      </c>
    </row>
    <row r="3174" spans="1:23" x14ac:dyDescent="0.2">
      <c r="A3174" s="71" t="s">
        <v>260</v>
      </c>
      <c r="B3174" s="71" t="s">
        <v>261</v>
      </c>
      <c r="C3174" s="71" t="s">
        <v>187</v>
      </c>
      <c r="D3174" s="71" t="s">
        <v>259</v>
      </c>
      <c r="E3174" s="71" t="s">
        <v>55</v>
      </c>
      <c r="F3174" s="71" t="s">
        <v>298</v>
      </c>
      <c r="G3174" s="88">
        <v>46182.296180555597</v>
      </c>
      <c r="H3174" s="89">
        <v>46182</v>
      </c>
      <c r="I3174" s="71" t="s">
        <v>349</v>
      </c>
      <c r="J3174" s="71">
        <v>-24</v>
      </c>
      <c r="K3174" s="71" t="s">
        <v>302</v>
      </c>
      <c r="L3174" s="71">
        <f t="shared" si="441"/>
        <v>6</v>
      </c>
      <c r="M3174" s="71" t="str">
        <f>IFERROR(INDEX(KALENDER!$D$3:$D$132,MATCH(H3174,KALENDER!$A$3:$A$132,0)),"Di luar periode")</f>
        <v>Hari Kerja</v>
      </c>
      <c r="N3174" s="71">
        <f t="shared" si="442"/>
        <v>1</v>
      </c>
      <c r="O3174" s="71">
        <f t="shared" si="443"/>
        <v>1</v>
      </c>
      <c r="P3174" s="71">
        <f t="shared" si="444"/>
        <v>1</v>
      </c>
      <c r="Q3174" s="71">
        <f t="shared" si="445"/>
        <v>0</v>
      </c>
      <c r="R3174" s="71">
        <f t="shared" si="446"/>
        <v>0</v>
      </c>
      <c r="S3174" s="71">
        <f t="shared" si="447"/>
        <v>0</v>
      </c>
      <c r="T3174" s="71">
        <f t="shared" si="448"/>
        <v>0</v>
      </c>
      <c r="U3174" s="71">
        <f>IF(AND(N3174=1,V3174=1),IF(COUNTIFS(AKTIVITAS!$B$2:$B$3052,B3174,AKTIVITAS!$E$2:$E$3052,H3174)&gt;0,1,0),0)</f>
        <v>1</v>
      </c>
      <c r="V3174" s="71">
        <f>IFERROR(IF(AND(H3174&gt;=INDEX(PEMAGANG!$J$3:$J$36,MATCH(B3174,PEMAGANG!$C$3:$C$36,0)),H3174&lt;=INDEX(PEMAGANG!$K$3:$K$36,MATCH(B3174,PEMAGANG!$C$3:$C$36,0))),1,0),0)</f>
        <v>1</v>
      </c>
      <c r="W3174" s="71">
        <f t="shared" si="449"/>
        <v>1</v>
      </c>
    </row>
    <row r="3175" spans="1:23" x14ac:dyDescent="0.2">
      <c r="A3175" s="71" t="s">
        <v>260</v>
      </c>
      <c r="B3175" s="71" t="s">
        <v>261</v>
      </c>
      <c r="C3175" s="71" t="s">
        <v>187</v>
      </c>
      <c r="D3175" s="71" t="s">
        <v>259</v>
      </c>
      <c r="E3175" s="71" t="s">
        <v>55</v>
      </c>
      <c r="F3175" s="71" t="s">
        <v>300</v>
      </c>
      <c r="G3175" s="88">
        <v>46182.6883101852</v>
      </c>
      <c r="H3175" s="89">
        <v>46182</v>
      </c>
      <c r="I3175" s="71" t="s">
        <v>336</v>
      </c>
      <c r="J3175" s="71">
        <v>0</v>
      </c>
      <c r="K3175" s="71" t="s">
        <v>302</v>
      </c>
      <c r="L3175" s="71">
        <f t="shared" si="441"/>
        <v>6</v>
      </c>
      <c r="M3175" s="71" t="str">
        <f>IFERROR(INDEX(KALENDER!$D$3:$D$132,MATCH(H3175,KALENDER!$A$3:$A$132,0)),"Di luar periode")</f>
        <v>Hari Kerja</v>
      </c>
      <c r="N3175" s="71">
        <f t="shared" si="442"/>
        <v>0</v>
      </c>
      <c r="O3175" s="71">
        <f t="shared" si="443"/>
        <v>1</v>
      </c>
      <c r="P3175" s="71">
        <f t="shared" si="444"/>
        <v>0</v>
      </c>
      <c r="Q3175" s="71">
        <f t="shared" si="445"/>
        <v>0</v>
      </c>
      <c r="R3175" s="71">
        <f t="shared" si="446"/>
        <v>0</v>
      </c>
      <c r="S3175" s="71">
        <f t="shared" si="447"/>
        <v>0</v>
      </c>
      <c r="T3175" s="71">
        <f t="shared" si="448"/>
        <v>0</v>
      </c>
      <c r="U3175" s="71">
        <f>IF(AND(N3175=1,V3175=1),IF(COUNTIFS(AKTIVITAS!$B$2:$B$3052,B3175,AKTIVITAS!$E$2:$E$3052,H3175)&gt;0,1,0),0)</f>
        <v>0</v>
      </c>
      <c r="V3175" s="71">
        <f>IFERROR(IF(AND(H3175&gt;=INDEX(PEMAGANG!$J$3:$J$36,MATCH(B3175,PEMAGANG!$C$3:$C$36,0)),H3175&lt;=INDEX(PEMAGANG!$K$3:$K$36,MATCH(B3175,PEMAGANG!$C$3:$C$36,0))),1,0),0)</f>
        <v>1</v>
      </c>
      <c r="W3175" s="71">
        <f t="shared" si="449"/>
        <v>0</v>
      </c>
    </row>
    <row r="3176" spans="1:23" x14ac:dyDescent="0.2">
      <c r="A3176" s="71" t="s">
        <v>260</v>
      </c>
      <c r="B3176" s="71" t="s">
        <v>261</v>
      </c>
      <c r="C3176" s="71" t="s">
        <v>187</v>
      </c>
      <c r="D3176" s="71" t="s">
        <v>259</v>
      </c>
      <c r="E3176" s="71" t="s">
        <v>55</v>
      </c>
      <c r="F3176" s="71" t="s">
        <v>298</v>
      </c>
      <c r="G3176" s="88">
        <v>46184.2737962963</v>
      </c>
      <c r="H3176" s="89">
        <v>46184</v>
      </c>
      <c r="I3176" s="71" t="s">
        <v>602</v>
      </c>
      <c r="J3176" s="71">
        <v>-56</v>
      </c>
      <c r="K3176" s="71" t="s">
        <v>302</v>
      </c>
      <c r="L3176" s="71">
        <f t="shared" si="441"/>
        <v>6</v>
      </c>
      <c r="M3176" s="71" t="str">
        <f>IFERROR(INDEX(KALENDER!$D$3:$D$132,MATCH(H3176,KALENDER!$A$3:$A$132,0)),"Di luar periode")</f>
        <v>Hari Kerja</v>
      </c>
      <c r="N3176" s="71">
        <f t="shared" si="442"/>
        <v>1</v>
      </c>
      <c r="O3176" s="71">
        <f t="shared" si="443"/>
        <v>1</v>
      </c>
      <c r="P3176" s="71">
        <f t="shared" si="444"/>
        <v>1</v>
      </c>
      <c r="Q3176" s="71">
        <f t="shared" si="445"/>
        <v>0</v>
      </c>
      <c r="R3176" s="71">
        <f t="shared" si="446"/>
        <v>0</v>
      </c>
      <c r="S3176" s="71">
        <f t="shared" si="447"/>
        <v>0</v>
      </c>
      <c r="T3176" s="71">
        <f t="shared" si="448"/>
        <v>0</v>
      </c>
      <c r="U3176" s="71">
        <f>IF(AND(N3176=1,V3176=1),IF(COUNTIFS(AKTIVITAS!$B$2:$B$3052,B3176,AKTIVITAS!$E$2:$E$3052,H3176)&gt;0,1,0),0)</f>
        <v>1</v>
      </c>
      <c r="V3176" s="71">
        <f>IFERROR(IF(AND(H3176&gt;=INDEX(PEMAGANG!$J$3:$J$36,MATCH(B3176,PEMAGANG!$C$3:$C$36,0)),H3176&lt;=INDEX(PEMAGANG!$K$3:$K$36,MATCH(B3176,PEMAGANG!$C$3:$C$36,0))),1,0),0)</f>
        <v>1</v>
      </c>
      <c r="W3176" s="71">
        <f t="shared" si="449"/>
        <v>1</v>
      </c>
    </row>
    <row r="3177" spans="1:23" x14ac:dyDescent="0.2">
      <c r="A3177" s="71" t="s">
        <v>260</v>
      </c>
      <c r="B3177" s="71" t="s">
        <v>261</v>
      </c>
      <c r="C3177" s="71" t="s">
        <v>187</v>
      </c>
      <c r="D3177" s="71" t="s">
        <v>259</v>
      </c>
      <c r="E3177" s="71" t="s">
        <v>55</v>
      </c>
      <c r="F3177" s="71" t="s">
        <v>300</v>
      </c>
      <c r="G3177" s="88">
        <v>46184.688726851899</v>
      </c>
      <c r="H3177" s="89">
        <v>46184</v>
      </c>
      <c r="I3177" s="71" t="s">
        <v>336</v>
      </c>
      <c r="J3177" s="71">
        <v>0</v>
      </c>
      <c r="K3177" s="71" t="s">
        <v>302</v>
      </c>
      <c r="L3177" s="71">
        <f t="shared" si="441"/>
        <v>6</v>
      </c>
      <c r="M3177" s="71" t="str">
        <f>IFERROR(INDEX(KALENDER!$D$3:$D$132,MATCH(H3177,KALENDER!$A$3:$A$132,0)),"Di luar periode")</f>
        <v>Hari Kerja</v>
      </c>
      <c r="N3177" s="71">
        <f t="shared" si="442"/>
        <v>0</v>
      </c>
      <c r="O3177" s="71">
        <f t="shared" si="443"/>
        <v>1</v>
      </c>
      <c r="P3177" s="71">
        <f t="shared" si="444"/>
        <v>0</v>
      </c>
      <c r="Q3177" s="71">
        <f t="shared" si="445"/>
        <v>0</v>
      </c>
      <c r="R3177" s="71">
        <f t="shared" si="446"/>
        <v>0</v>
      </c>
      <c r="S3177" s="71">
        <f t="shared" si="447"/>
        <v>0</v>
      </c>
      <c r="T3177" s="71">
        <f t="shared" si="448"/>
        <v>0</v>
      </c>
      <c r="U3177" s="71">
        <f>IF(AND(N3177=1,V3177=1),IF(COUNTIFS(AKTIVITAS!$B$2:$B$3052,B3177,AKTIVITAS!$E$2:$E$3052,H3177)&gt;0,1,0),0)</f>
        <v>0</v>
      </c>
      <c r="V3177" s="71">
        <f>IFERROR(IF(AND(H3177&gt;=INDEX(PEMAGANG!$J$3:$J$36,MATCH(B3177,PEMAGANG!$C$3:$C$36,0)),H3177&lt;=INDEX(PEMAGANG!$K$3:$K$36,MATCH(B3177,PEMAGANG!$C$3:$C$36,0))),1,0),0)</f>
        <v>1</v>
      </c>
      <c r="W3177" s="71">
        <f t="shared" si="449"/>
        <v>0</v>
      </c>
    </row>
    <row r="3178" spans="1:23" x14ac:dyDescent="0.2">
      <c r="A3178" s="71" t="s">
        <v>260</v>
      </c>
      <c r="B3178" s="71" t="s">
        <v>261</v>
      </c>
      <c r="C3178" s="71" t="s">
        <v>187</v>
      </c>
      <c r="D3178" s="71" t="s">
        <v>259</v>
      </c>
      <c r="E3178" s="71" t="s">
        <v>55</v>
      </c>
      <c r="F3178" s="71" t="s">
        <v>298</v>
      </c>
      <c r="G3178" s="88">
        <v>46185.309699074103</v>
      </c>
      <c r="H3178" s="89">
        <v>46185</v>
      </c>
      <c r="I3178" s="71" t="s">
        <v>307</v>
      </c>
      <c r="J3178" s="71">
        <v>-4.9999999999999796</v>
      </c>
      <c r="K3178" s="71" t="s">
        <v>302</v>
      </c>
      <c r="L3178" s="71">
        <f t="shared" si="441"/>
        <v>6</v>
      </c>
      <c r="M3178" s="71" t="str">
        <f>IFERROR(INDEX(KALENDER!$D$3:$D$132,MATCH(H3178,KALENDER!$A$3:$A$132,0)),"Di luar periode")</f>
        <v>Hari Kerja</v>
      </c>
      <c r="N3178" s="71">
        <f t="shared" si="442"/>
        <v>1</v>
      </c>
      <c r="O3178" s="71">
        <f t="shared" si="443"/>
        <v>1</v>
      </c>
      <c r="P3178" s="71">
        <f t="shared" si="444"/>
        <v>1</v>
      </c>
      <c r="Q3178" s="71">
        <f t="shared" si="445"/>
        <v>0</v>
      </c>
      <c r="R3178" s="71">
        <f t="shared" si="446"/>
        <v>0</v>
      </c>
      <c r="S3178" s="71">
        <f t="shared" si="447"/>
        <v>0</v>
      </c>
      <c r="T3178" s="71">
        <f t="shared" si="448"/>
        <v>0</v>
      </c>
      <c r="U3178" s="71">
        <f>IF(AND(N3178=1,V3178=1),IF(COUNTIFS(AKTIVITAS!$B$2:$B$3052,B3178,AKTIVITAS!$E$2:$E$3052,H3178)&gt;0,1,0),0)</f>
        <v>1</v>
      </c>
      <c r="V3178" s="71">
        <f>IFERROR(IF(AND(H3178&gt;=INDEX(PEMAGANG!$J$3:$J$36,MATCH(B3178,PEMAGANG!$C$3:$C$36,0)),H3178&lt;=INDEX(PEMAGANG!$K$3:$K$36,MATCH(B3178,PEMAGANG!$C$3:$C$36,0))),1,0),0)</f>
        <v>1</v>
      </c>
      <c r="W3178" s="71">
        <f t="shared" si="449"/>
        <v>1</v>
      </c>
    </row>
    <row r="3179" spans="1:23" x14ac:dyDescent="0.2">
      <c r="A3179" s="71" t="s">
        <v>260</v>
      </c>
      <c r="B3179" s="71" t="s">
        <v>261</v>
      </c>
      <c r="C3179" s="71" t="s">
        <v>187</v>
      </c>
      <c r="D3179" s="71" t="s">
        <v>259</v>
      </c>
      <c r="E3179" s="71" t="s">
        <v>55</v>
      </c>
      <c r="F3179" s="71" t="s">
        <v>300</v>
      </c>
      <c r="G3179" s="88">
        <v>46185.6882175926</v>
      </c>
      <c r="H3179" s="89">
        <v>46185</v>
      </c>
      <c r="I3179" s="71" t="s">
        <v>336</v>
      </c>
      <c r="J3179" s="71">
        <v>0</v>
      </c>
      <c r="K3179" s="71" t="s">
        <v>302</v>
      </c>
      <c r="L3179" s="71">
        <f t="shared" si="441"/>
        <v>6</v>
      </c>
      <c r="M3179" s="71" t="str">
        <f>IFERROR(INDEX(KALENDER!$D$3:$D$132,MATCH(H3179,KALENDER!$A$3:$A$132,0)),"Di luar periode")</f>
        <v>Hari Kerja</v>
      </c>
      <c r="N3179" s="71">
        <f t="shared" si="442"/>
        <v>0</v>
      </c>
      <c r="O3179" s="71">
        <f t="shared" si="443"/>
        <v>1</v>
      </c>
      <c r="P3179" s="71">
        <f t="shared" si="444"/>
        <v>0</v>
      </c>
      <c r="Q3179" s="71">
        <f t="shared" si="445"/>
        <v>0</v>
      </c>
      <c r="R3179" s="71">
        <f t="shared" si="446"/>
        <v>0</v>
      </c>
      <c r="S3179" s="71">
        <f t="shared" si="447"/>
        <v>0</v>
      </c>
      <c r="T3179" s="71">
        <f t="shared" si="448"/>
        <v>0</v>
      </c>
      <c r="U3179" s="71">
        <f>IF(AND(N3179=1,V3179=1),IF(COUNTIFS(AKTIVITAS!$B$2:$B$3052,B3179,AKTIVITAS!$E$2:$E$3052,H3179)&gt;0,1,0),0)</f>
        <v>0</v>
      </c>
      <c r="V3179" s="71">
        <f>IFERROR(IF(AND(H3179&gt;=INDEX(PEMAGANG!$J$3:$J$36,MATCH(B3179,PEMAGANG!$C$3:$C$36,0)),H3179&lt;=INDEX(PEMAGANG!$K$3:$K$36,MATCH(B3179,PEMAGANG!$C$3:$C$36,0))),1,0),0)</f>
        <v>1</v>
      </c>
      <c r="W3179" s="71">
        <f t="shared" si="449"/>
        <v>0</v>
      </c>
    </row>
    <row r="3180" spans="1:23" x14ac:dyDescent="0.2">
      <c r="A3180" s="71" t="s">
        <v>260</v>
      </c>
      <c r="B3180" s="71" t="s">
        <v>261</v>
      </c>
      <c r="C3180" s="71" t="s">
        <v>187</v>
      </c>
      <c r="D3180" s="71" t="s">
        <v>259</v>
      </c>
      <c r="E3180" s="71" t="s">
        <v>55</v>
      </c>
      <c r="F3180" s="71" t="s">
        <v>298</v>
      </c>
      <c r="G3180" s="88">
        <v>46188.294097222199</v>
      </c>
      <c r="H3180" s="89">
        <v>46188</v>
      </c>
      <c r="I3180" s="71" t="s">
        <v>483</v>
      </c>
      <c r="J3180" s="71">
        <v>-27</v>
      </c>
      <c r="K3180" s="71" t="s">
        <v>302</v>
      </c>
      <c r="L3180" s="71">
        <f t="shared" si="441"/>
        <v>6</v>
      </c>
      <c r="M3180" s="71" t="str">
        <f>IFERROR(INDEX(KALENDER!$D$3:$D$132,MATCH(H3180,KALENDER!$A$3:$A$132,0)),"Di luar periode")</f>
        <v>Hari Kerja</v>
      </c>
      <c r="N3180" s="71">
        <f t="shared" si="442"/>
        <v>1</v>
      </c>
      <c r="O3180" s="71">
        <f t="shared" si="443"/>
        <v>1</v>
      </c>
      <c r="P3180" s="71">
        <f t="shared" si="444"/>
        <v>1</v>
      </c>
      <c r="Q3180" s="71">
        <f t="shared" si="445"/>
        <v>0</v>
      </c>
      <c r="R3180" s="71">
        <f t="shared" si="446"/>
        <v>0</v>
      </c>
      <c r="S3180" s="71">
        <f t="shared" si="447"/>
        <v>0</v>
      </c>
      <c r="T3180" s="71">
        <f t="shared" si="448"/>
        <v>0</v>
      </c>
      <c r="U3180" s="71">
        <f>IF(AND(N3180=1,V3180=1),IF(COUNTIFS(AKTIVITAS!$B$2:$B$3052,B3180,AKTIVITAS!$E$2:$E$3052,H3180)&gt;0,1,0),0)</f>
        <v>1</v>
      </c>
      <c r="V3180" s="71">
        <f>IFERROR(IF(AND(H3180&gt;=INDEX(PEMAGANG!$J$3:$J$36,MATCH(B3180,PEMAGANG!$C$3:$C$36,0)),H3180&lt;=INDEX(PEMAGANG!$K$3:$K$36,MATCH(B3180,PEMAGANG!$C$3:$C$36,0))),1,0),0)</f>
        <v>1</v>
      </c>
      <c r="W3180" s="71">
        <f t="shared" si="449"/>
        <v>1</v>
      </c>
    </row>
    <row r="3181" spans="1:23" x14ac:dyDescent="0.2">
      <c r="A3181" s="71" t="s">
        <v>260</v>
      </c>
      <c r="B3181" s="71" t="s">
        <v>261</v>
      </c>
      <c r="C3181" s="71" t="s">
        <v>187</v>
      </c>
      <c r="D3181" s="71" t="s">
        <v>259</v>
      </c>
      <c r="E3181" s="71" t="s">
        <v>55</v>
      </c>
      <c r="F3181" s="71" t="s">
        <v>300</v>
      </c>
      <c r="G3181" s="88">
        <v>46188.688460648198</v>
      </c>
      <c r="H3181" s="89">
        <v>46188</v>
      </c>
      <c r="I3181" s="71" t="s">
        <v>336</v>
      </c>
      <c r="J3181" s="71">
        <v>0</v>
      </c>
      <c r="K3181" s="71" t="s">
        <v>302</v>
      </c>
      <c r="L3181" s="71">
        <f t="shared" si="441"/>
        <v>6</v>
      </c>
      <c r="M3181" s="71" t="str">
        <f>IFERROR(INDEX(KALENDER!$D$3:$D$132,MATCH(H3181,KALENDER!$A$3:$A$132,0)),"Di luar periode")</f>
        <v>Hari Kerja</v>
      </c>
      <c r="N3181" s="71">
        <f t="shared" si="442"/>
        <v>0</v>
      </c>
      <c r="O3181" s="71">
        <f t="shared" si="443"/>
        <v>1</v>
      </c>
      <c r="P3181" s="71">
        <f t="shared" si="444"/>
        <v>0</v>
      </c>
      <c r="Q3181" s="71">
        <f t="shared" si="445"/>
        <v>0</v>
      </c>
      <c r="R3181" s="71">
        <f t="shared" si="446"/>
        <v>0</v>
      </c>
      <c r="S3181" s="71">
        <f t="shared" si="447"/>
        <v>0</v>
      </c>
      <c r="T3181" s="71">
        <f t="shared" si="448"/>
        <v>0</v>
      </c>
      <c r="U3181" s="71">
        <f>IF(AND(N3181=1,V3181=1),IF(COUNTIFS(AKTIVITAS!$B$2:$B$3052,B3181,AKTIVITAS!$E$2:$E$3052,H3181)&gt;0,1,0),0)</f>
        <v>0</v>
      </c>
      <c r="V3181" s="71">
        <f>IFERROR(IF(AND(H3181&gt;=INDEX(PEMAGANG!$J$3:$J$36,MATCH(B3181,PEMAGANG!$C$3:$C$36,0)),H3181&lt;=INDEX(PEMAGANG!$K$3:$K$36,MATCH(B3181,PEMAGANG!$C$3:$C$36,0))),1,0),0)</f>
        <v>1</v>
      </c>
      <c r="W3181" s="71">
        <f t="shared" si="449"/>
        <v>0</v>
      </c>
    </row>
    <row r="3182" spans="1:23" x14ac:dyDescent="0.2">
      <c r="A3182" s="71" t="s">
        <v>260</v>
      </c>
      <c r="B3182" s="71" t="s">
        <v>261</v>
      </c>
      <c r="C3182" s="71" t="s">
        <v>187</v>
      </c>
      <c r="D3182" s="71" t="s">
        <v>259</v>
      </c>
      <c r="E3182" s="71" t="s">
        <v>55</v>
      </c>
      <c r="F3182" s="71" t="s">
        <v>298</v>
      </c>
      <c r="G3182" s="88">
        <v>46191.312824074099</v>
      </c>
      <c r="H3182" s="89">
        <v>46191</v>
      </c>
      <c r="I3182" s="71" t="s">
        <v>335</v>
      </c>
      <c r="J3182" s="71">
        <v>0</v>
      </c>
      <c r="K3182" s="71" t="s">
        <v>302</v>
      </c>
      <c r="L3182" s="71">
        <f t="shared" si="441"/>
        <v>6</v>
      </c>
      <c r="M3182" s="71" t="str">
        <f>IFERROR(INDEX(KALENDER!$D$3:$D$132,MATCH(H3182,KALENDER!$A$3:$A$132,0)),"Di luar periode")</f>
        <v>Hari Kerja</v>
      </c>
      <c r="N3182" s="71">
        <f t="shared" si="442"/>
        <v>1</v>
      </c>
      <c r="O3182" s="71">
        <f t="shared" si="443"/>
        <v>1</v>
      </c>
      <c r="P3182" s="71">
        <f t="shared" si="444"/>
        <v>1</v>
      </c>
      <c r="Q3182" s="71">
        <f t="shared" si="445"/>
        <v>0</v>
      </c>
      <c r="R3182" s="71">
        <f t="shared" si="446"/>
        <v>0</v>
      </c>
      <c r="S3182" s="71">
        <f t="shared" si="447"/>
        <v>0</v>
      </c>
      <c r="T3182" s="71">
        <f t="shared" si="448"/>
        <v>0</v>
      </c>
      <c r="U3182" s="71">
        <f>IF(AND(N3182=1,V3182=1),IF(COUNTIFS(AKTIVITAS!$B$2:$B$3052,B3182,AKTIVITAS!$E$2:$E$3052,H3182)&gt;0,1,0),0)</f>
        <v>1</v>
      </c>
      <c r="V3182" s="71">
        <f>IFERROR(IF(AND(H3182&gt;=INDEX(PEMAGANG!$J$3:$J$36,MATCH(B3182,PEMAGANG!$C$3:$C$36,0)),H3182&lt;=INDEX(PEMAGANG!$K$3:$K$36,MATCH(B3182,PEMAGANG!$C$3:$C$36,0))),1,0),0)</f>
        <v>1</v>
      </c>
      <c r="W3182" s="71">
        <f t="shared" si="449"/>
        <v>1</v>
      </c>
    </row>
    <row r="3183" spans="1:23" x14ac:dyDescent="0.2">
      <c r="A3183" s="71" t="s">
        <v>260</v>
      </c>
      <c r="B3183" s="71" t="s">
        <v>261</v>
      </c>
      <c r="C3183" s="71" t="s">
        <v>187</v>
      </c>
      <c r="D3183" s="71" t="s">
        <v>259</v>
      </c>
      <c r="E3183" s="71" t="s">
        <v>55</v>
      </c>
      <c r="F3183" s="71" t="s">
        <v>300</v>
      </c>
      <c r="G3183" s="88">
        <v>46191.689872685201</v>
      </c>
      <c r="H3183" s="89">
        <v>46191</v>
      </c>
      <c r="I3183" s="71" t="s">
        <v>316</v>
      </c>
      <c r="J3183" s="71">
        <v>0</v>
      </c>
      <c r="K3183" s="71" t="s">
        <v>302</v>
      </c>
      <c r="L3183" s="71">
        <f t="shared" si="441"/>
        <v>6</v>
      </c>
      <c r="M3183" s="71" t="str">
        <f>IFERROR(INDEX(KALENDER!$D$3:$D$132,MATCH(H3183,KALENDER!$A$3:$A$132,0)),"Di luar periode")</f>
        <v>Hari Kerja</v>
      </c>
      <c r="N3183" s="71">
        <f t="shared" si="442"/>
        <v>0</v>
      </c>
      <c r="O3183" s="71">
        <f t="shared" si="443"/>
        <v>1</v>
      </c>
      <c r="P3183" s="71">
        <f t="shared" si="444"/>
        <v>0</v>
      </c>
      <c r="Q3183" s="71">
        <f t="shared" si="445"/>
        <v>0</v>
      </c>
      <c r="R3183" s="71">
        <f t="shared" si="446"/>
        <v>0</v>
      </c>
      <c r="S3183" s="71">
        <f t="shared" si="447"/>
        <v>0</v>
      </c>
      <c r="T3183" s="71">
        <f t="shared" si="448"/>
        <v>0</v>
      </c>
      <c r="U3183" s="71">
        <f>IF(AND(N3183=1,V3183=1),IF(COUNTIFS(AKTIVITAS!$B$2:$B$3052,B3183,AKTIVITAS!$E$2:$E$3052,H3183)&gt;0,1,0),0)</f>
        <v>0</v>
      </c>
      <c r="V3183" s="71">
        <f>IFERROR(IF(AND(H3183&gt;=INDEX(PEMAGANG!$J$3:$J$36,MATCH(B3183,PEMAGANG!$C$3:$C$36,0)),H3183&lt;=INDEX(PEMAGANG!$K$3:$K$36,MATCH(B3183,PEMAGANG!$C$3:$C$36,0))),1,0),0)</f>
        <v>1</v>
      </c>
      <c r="W3183" s="71">
        <f t="shared" si="449"/>
        <v>0</v>
      </c>
    </row>
    <row r="3184" spans="1:23" x14ac:dyDescent="0.2">
      <c r="A3184" s="71" t="s">
        <v>260</v>
      </c>
      <c r="B3184" s="71" t="s">
        <v>261</v>
      </c>
      <c r="C3184" s="71" t="s">
        <v>187</v>
      </c>
      <c r="D3184" s="71" t="s">
        <v>259</v>
      </c>
      <c r="E3184" s="71" t="s">
        <v>55</v>
      </c>
      <c r="F3184" s="71" t="s">
        <v>298</v>
      </c>
      <c r="G3184" s="88">
        <v>46192.289074074099</v>
      </c>
      <c r="H3184" s="89">
        <v>46192</v>
      </c>
      <c r="I3184" s="71" t="s">
        <v>504</v>
      </c>
      <c r="J3184" s="71">
        <v>-34</v>
      </c>
      <c r="K3184" s="71" t="s">
        <v>302</v>
      </c>
      <c r="L3184" s="71">
        <f t="shared" si="441"/>
        <v>6</v>
      </c>
      <c r="M3184" s="71" t="str">
        <f>IFERROR(INDEX(KALENDER!$D$3:$D$132,MATCH(H3184,KALENDER!$A$3:$A$132,0)),"Di luar periode")</f>
        <v>Hari Kerja</v>
      </c>
      <c r="N3184" s="71">
        <f t="shared" si="442"/>
        <v>1</v>
      </c>
      <c r="O3184" s="71">
        <f t="shared" si="443"/>
        <v>1</v>
      </c>
      <c r="P3184" s="71">
        <f t="shared" si="444"/>
        <v>1</v>
      </c>
      <c r="Q3184" s="71">
        <f t="shared" si="445"/>
        <v>0</v>
      </c>
      <c r="R3184" s="71">
        <f t="shared" si="446"/>
        <v>0</v>
      </c>
      <c r="S3184" s="71">
        <f t="shared" si="447"/>
        <v>0</v>
      </c>
      <c r="T3184" s="71">
        <f t="shared" si="448"/>
        <v>1</v>
      </c>
      <c r="U3184" s="71">
        <f>IF(AND(N3184=1,V3184=1),IF(COUNTIFS(AKTIVITAS!$B$2:$B$3052,B3184,AKTIVITAS!$E$2:$E$3052,H3184)&gt;0,1,0),0)</f>
        <v>1</v>
      </c>
      <c r="V3184" s="71">
        <f>IFERROR(IF(AND(H3184&gt;=INDEX(PEMAGANG!$J$3:$J$36,MATCH(B3184,PEMAGANG!$C$3:$C$36,0)),H3184&lt;=INDEX(PEMAGANG!$K$3:$K$36,MATCH(B3184,PEMAGANG!$C$3:$C$36,0))),1,0),0)</f>
        <v>1</v>
      </c>
      <c r="W3184" s="71">
        <f t="shared" si="449"/>
        <v>1</v>
      </c>
    </row>
    <row r="3185" spans="1:23" x14ac:dyDescent="0.2">
      <c r="A3185" s="71" t="s">
        <v>260</v>
      </c>
      <c r="B3185" s="71" t="s">
        <v>261</v>
      </c>
      <c r="C3185" s="71" t="s">
        <v>187</v>
      </c>
      <c r="D3185" s="71" t="s">
        <v>259</v>
      </c>
      <c r="E3185" s="71" t="s">
        <v>55</v>
      </c>
      <c r="F3185" s="71" t="s">
        <v>298</v>
      </c>
      <c r="G3185" s="88">
        <v>46195.289988425902</v>
      </c>
      <c r="H3185" s="89">
        <v>46195</v>
      </c>
      <c r="I3185" s="71" t="s">
        <v>477</v>
      </c>
      <c r="J3185" s="71">
        <v>-33</v>
      </c>
      <c r="K3185" s="71" t="s">
        <v>302</v>
      </c>
      <c r="L3185" s="71">
        <f t="shared" si="441"/>
        <v>6</v>
      </c>
      <c r="M3185" s="71" t="str">
        <f>IFERROR(INDEX(KALENDER!$D$3:$D$132,MATCH(H3185,KALENDER!$A$3:$A$132,0)),"Di luar periode")</f>
        <v>Hari Kerja</v>
      </c>
      <c r="N3185" s="71">
        <f t="shared" si="442"/>
        <v>1</v>
      </c>
      <c r="O3185" s="71">
        <f t="shared" si="443"/>
        <v>1</v>
      </c>
      <c r="P3185" s="71">
        <f t="shared" si="444"/>
        <v>1</v>
      </c>
      <c r="Q3185" s="71">
        <f t="shared" si="445"/>
        <v>0</v>
      </c>
      <c r="R3185" s="71">
        <f t="shared" si="446"/>
        <v>0</v>
      </c>
      <c r="S3185" s="71">
        <f t="shared" si="447"/>
        <v>0</v>
      </c>
      <c r="T3185" s="71">
        <f t="shared" si="448"/>
        <v>0</v>
      </c>
      <c r="U3185" s="71">
        <f>IF(AND(N3185=1,V3185=1),IF(COUNTIFS(AKTIVITAS!$B$2:$B$3052,B3185,AKTIVITAS!$E$2:$E$3052,H3185)&gt;0,1,0),0)</f>
        <v>1</v>
      </c>
      <c r="V3185" s="71">
        <f>IFERROR(IF(AND(H3185&gt;=INDEX(PEMAGANG!$J$3:$J$36,MATCH(B3185,PEMAGANG!$C$3:$C$36,0)),H3185&lt;=INDEX(PEMAGANG!$K$3:$K$36,MATCH(B3185,PEMAGANG!$C$3:$C$36,0))),1,0),0)</f>
        <v>1</v>
      </c>
      <c r="W3185" s="71">
        <f t="shared" si="449"/>
        <v>1</v>
      </c>
    </row>
    <row r="3186" spans="1:23" x14ac:dyDescent="0.2">
      <c r="A3186" s="71" t="s">
        <v>260</v>
      </c>
      <c r="B3186" s="71" t="s">
        <v>261</v>
      </c>
      <c r="C3186" s="71" t="s">
        <v>187</v>
      </c>
      <c r="D3186" s="71" t="s">
        <v>259</v>
      </c>
      <c r="E3186" s="71" t="s">
        <v>55</v>
      </c>
      <c r="F3186" s="71" t="s">
        <v>300</v>
      </c>
      <c r="G3186" s="88">
        <v>46195.687581018501</v>
      </c>
      <c r="H3186" s="89">
        <v>46195</v>
      </c>
      <c r="I3186" s="71" t="s">
        <v>330</v>
      </c>
      <c r="J3186" s="71">
        <v>0</v>
      </c>
      <c r="K3186" s="71" t="s">
        <v>302</v>
      </c>
      <c r="L3186" s="71">
        <f t="shared" si="441"/>
        <v>6</v>
      </c>
      <c r="M3186" s="71" t="str">
        <f>IFERROR(INDEX(KALENDER!$D$3:$D$132,MATCH(H3186,KALENDER!$A$3:$A$132,0)),"Di luar periode")</f>
        <v>Hari Kerja</v>
      </c>
      <c r="N3186" s="71">
        <f t="shared" si="442"/>
        <v>0</v>
      </c>
      <c r="O3186" s="71">
        <f t="shared" si="443"/>
        <v>1</v>
      </c>
      <c r="P3186" s="71">
        <f t="shared" si="444"/>
        <v>0</v>
      </c>
      <c r="Q3186" s="71">
        <f t="shared" si="445"/>
        <v>0</v>
      </c>
      <c r="R3186" s="71">
        <f t="shared" si="446"/>
        <v>0</v>
      </c>
      <c r="S3186" s="71">
        <f t="shared" si="447"/>
        <v>0</v>
      </c>
      <c r="T3186" s="71">
        <f t="shared" si="448"/>
        <v>0</v>
      </c>
      <c r="U3186" s="71">
        <f>IF(AND(N3186=1,V3186=1),IF(COUNTIFS(AKTIVITAS!$B$2:$B$3052,B3186,AKTIVITAS!$E$2:$E$3052,H3186)&gt;0,1,0),0)</f>
        <v>0</v>
      </c>
      <c r="V3186" s="71">
        <f>IFERROR(IF(AND(H3186&gt;=INDEX(PEMAGANG!$J$3:$J$36,MATCH(B3186,PEMAGANG!$C$3:$C$36,0)),H3186&lt;=INDEX(PEMAGANG!$K$3:$K$36,MATCH(B3186,PEMAGANG!$C$3:$C$36,0))),1,0),0)</f>
        <v>1</v>
      </c>
      <c r="W3186" s="71">
        <f t="shared" si="449"/>
        <v>0</v>
      </c>
    </row>
    <row r="3187" spans="1:23" x14ac:dyDescent="0.2">
      <c r="A3187" s="71" t="s">
        <v>260</v>
      </c>
      <c r="B3187" s="71" t="s">
        <v>261</v>
      </c>
      <c r="C3187" s="71" t="s">
        <v>187</v>
      </c>
      <c r="D3187" s="71" t="s">
        <v>259</v>
      </c>
      <c r="E3187" s="71" t="s">
        <v>55</v>
      </c>
      <c r="F3187" s="71" t="s">
        <v>298</v>
      </c>
      <c r="G3187" s="88">
        <v>46196.290960648199</v>
      </c>
      <c r="H3187" s="89">
        <v>46196</v>
      </c>
      <c r="I3187" s="71" t="s">
        <v>511</v>
      </c>
      <c r="J3187" s="71">
        <v>-32</v>
      </c>
      <c r="K3187" s="71" t="s">
        <v>302</v>
      </c>
      <c r="L3187" s="71">
        <f t="shared" si="441"/>
        <v>6</v>
      </c>
      <c r="M3187" s="71" t="str">
        <f>IFERROR(INDEX(KALENDER!$D$3:$D$132,MATCH(H3187,KALENDER!$A$3:$A$132,0)),"Di luar periode")</f>
        <v>Hari Kerja</v>
      </c>
      <c r="N3187" s="71">
        <f t="shared" si="442"/>
        <v>1</v>
      </c>
      <c r="O3187" s="71">
        <f t="shared" si="443"/>
        <v>1</v>
      </c>
      <c r="P3187" s="71">
        <f t="shared" si="444"/>
        <v>1</v>
      </c>
      <c r="Q3187" s="71">
        <f t="shared" si="445"/>
        <v>0</v>
      </c>
      <c r="R3187" s="71">
        <f t="shared" si="446"/>
        <v>0</v>
      </c>
      <c r="S3187" s="71">
        <f t="shared" si="447"/>
        <v>0</v>
      </c>
      <c r="T3187" s="71">
        <f t="shared" si="448"/>
        <v>0</v>
      </c>
      <c r="U3187" s="71">
        <f>IF(AND(N3187=1,V3187=1),IF(COUNTIFS(AKTIVITAS!$B$2:$B$3052,B3187,AKTIVITAS!$E$2:$E$3052,H3187)&gt;0,1,0),0)</f>
        <v>1</v>
      </c>
      <c r="V3187" s="71">
        <f>IFERROR(IF(AND(H3187&gt;=INDEX(PEMAGANG!$J$3:$J$36,MATCH(B3187,PEMAGANG!$C$3:$C$36,0)),H3187&lt;=INDEX(PEMAGANG!$K$3:$K$36,MATCH(B3187,PEMAGANG!$C$3:$C$36,0))),1,0),0)</f>
        <v>1</v>
      </c>
      <c r="W3187" s="71">
        <f t="shared" si="449"/>
        <v>1</v>
      </c>
    </row>
    <row r="3188" spans="1:23" x14ac:dyDescent="0.2">
      <c r="A3188" s="71" t="s">
        <v>260</v>
      </c>
      <c r="B3188" s="71" t="s">
        <v>261</v>
      </c>
      <c r="C3188" s="71" t="s">
        <v>187</v>
      </c>
      <c r="D3188" s="71" t="s">
        <v>259</v>
      </c>
      <c r="E3188" s="71" t="s">
        <v>55</v>
      </c>
      <c r="F3188" s="71" t="s">
        <v>300</v>
      </c>
      <c r="G3188" s="88">
        <v>46196.687627314801</v>
      </c>
      <c r="H3188" s="89">
        <v>46196</v>
      </c>
      <c r="I3188" s="71" t="s">
        <v>330</v>
      </c>
      <c r="J3188" s="71">
        <v>0</v>
      </c>
      <c r="K3188" s="71" t="s">
        <v>302</v>
      </c>
      <c r="L3188" s="71">
        <f t="shared" si="441"/>
        <v>6</v>
      </c>
      <c r="M3188" s="71" t="str">
        <f>IFERROR(INDEX(KALENDER!$D$3:$D$132,MATCH(H3188,KALENDER!$A$3:$A$132,0)),"Di luar periode")</f>
        <v>Hari Kerja</v>
      </c>
      <c r="N3188" s="71">
        <f t="shared" si="442"/>
        <v>0</v>
      </c>
      <c r="O3188" s="71">
        <f t="shared" si="443"/>
        <v>1</v>
      </c>
      <c r="P3188" s="71">
        <f t="shared" si="444"/>
        <v>0</v>
      </c>
      <c r="Q3188" s="71">
        <f t="shared" si="445"/>
        <v>0</v>
      </c>
      <c r="R3188" s="71">
        <f t="shared" si="446"/>
        <v>0</v>
      </c>
      <c r="S3188" s="71">
        <f t="shared" si="447"/>
        <v>0</v>
      </c>
      <c r="T3188" s="71">
        <f t="shared" si="448"/>
        <v>0</v>
      </c>
      <c r="U3188" s="71">
        <f>IF(AND(N3188=1,V3188=1),IF(COUNTIFS(AKTIVITAS!$B$2:$B$3052,B3188,AKTIVITAS!$E$2:$E$3052,H3188)&gt;0,1,0),0)</f>
        <v>0</v>
      </c>
      <c r="V3188" s="71">
        <f>IFERROR(IF(AND(H3188&gt;=INDEX(PEMAGANG!$J$3:$J$36,MATCH(B3188,PEMAGANG!$C$3:$C$36,0)),H3188&lt;=INDEX(PEMAGANG!$K$3:$K$36,MATCH(B3188,PEMAGANG!$C$3:$C$36,0))),1,0),0)</f>
        <v>1</v>
      </c>
      <c r="W3188" s="71">
        <f t="shared" si="449"/>
        <v>0</v>
      </c>
    </row>
    <row r="3189" spans="1:23" x14ac:dyDescent="0.2">
      <c r="A3189" s="71" t="s">
        <v>260</v>
      </c>
      <c r="B3189" s="71" t="s">
        <v>261</v>
      </c>
      <c r="C3189" s="71" t="s">
        <v>187</v>
      </c>
      <c r="D3189" s="71" t="s">
        <v>259</v>
      </c>
      <c r="E3189" s="71" t="s">
        <v>55</v>
      </c>
      <c r="F3189" s="71" t="s">
        <v>298</v>
      </c>
      <c r="G3189" s="88">
        <v>46198.3055902778</v>
      </c>
      <c r="H3189" s="89">
        <v>46198</v>
      </c>
      <c r="I3189" s="71" t="s">
        <v>329</v>
      </c>
      <c r="J3189" s="71">
        <v>-10</v>
      </c>
      <c r="K3189" s="71" t="s">
        <v>302</v>
      </c>
      <c r="L3189" s="71">
        <f t="shared" si="441"/>
        <v>6</v>
      </c>
      <c r="M3189" s="71" t="str">
        <f>IFERROR(INDEX(KALENDER!$D$3:$D$132,MATCH(H3189,KALENDER!$A$3:$A$132,0)),"Di luar periode")</f>
        <v>Hari Kerja</v>
      </c>
      <c r="N3189" s="71">
        <f t="shared" si="442"/>
        <v>1</v>
      </c>
      <c r="O3189" s="71">
        <f t="shared" si="443"/>
        <v>1</v>
      </c>
      <c r="P3189" s="71">
        <f t="shared" si="444"/>
        <v>1</v>
      </c>
      <c r="Q3189" s="71">
        <f t="shared" si="445"/>
        <v>0</v>
      </c>
      <c r="R3189" s="71">
        <f t="shared" si="446"/>
        <v>0</v>
      </c>
      <c r="S3189" s="71">
        <f t="shared" si="447"/>
        <v>0</v>
      </c>
      <c r="T3189" s="71">
        <f t="shared" si="448"/>
        <v>0</v>
      </c>
      <c r="U3189" s="71">
        <f>IF(AND(N3189=1,V3189=1),IF(COUNTIFS(AKTIVITAS!$B$2:$B$3052,B3189,AKTIVITAS!$E$2:$E$3052,H3189)&gt;0,1,0),0)</f>
        <v>1</v>
      </c>
      <c r="V3189" s="71">
        <f>IFERROR(IF(AND(H3189&gt;=INDEX(PEMAGANG!$J$3:$J$36,MATCH(B3189,PEMAGANG!$C$3:$C$36,0)),H3189&lt;=INDEX(PEMAGANG!$K$3:$K$36,MATCH(B3189,PEMAGANG!$C$3:$C$36,0))),1,0),0)</f>
        <v>1</v>
      </c>
      <c r="W3189" s="71">
        <f t="shared" si="449"/>
        <v>1</v>
      </c>
    </row>
    <row r="3190" spans="1:23" x14ac:dyDescent="0.2">
      <c r="A3190" s="71" t="s">
        <v>260</v>
      </c>
      <c r="B3190" s="71" t="s">
        <v>261</v>
      </c>
      <c r="C3190" s="71" t="s">
        <v>187</v>
      </c>
      <c r="D3190" s="71" t="s">
        <v>259</v>
      </c>
      <c r="E3190" s="71" t="s">
        <v>55</v>
      </c>
      <c r="F3190" s="71" t="s">
        <v>300</v>
      </c>
      <c r="G3190" s="88">
        <v>46198.687893518501</v>
      </c>
      <c r="H3190" s="89">
        <v>46198</v>
      </c>
      <c r="I3190" s="71" t="s">
        <v>330</v>
      </c>
      <c r="J3190" s="71">
        <v>0</v>
      </c>
      <c r="K3190" s="71" t="s">
        <v>302</v>
      </c>
      <c r="L3190" s="71">
        <f t="shared" si="441"/>
        <v>6</v>
      </c>
      <c r="M3190" s="71" t="str">
        <f>IFERROR(INDEX(KALENDER!$D$3:$D$132,MATCH(H3190,KALENDER!$A$3:$A$132,0)),"Di luar periode")</f>
        <v>Hari Kerja</v>
      </c>
      <c r="N3190" s="71">
        <f t="shared" si="442"/>
        <v>0</v>
      </c>
      <c r="O3190" s="71">
        <f t="shared" si="443"/>
        <v>1</v>
      </c>
      <c r="P3190" s="71">
        <f t="shared" si="444"/>
        <v>0</v>
      </c>
      <c r="Q3190" s="71">
        <f t="shared" si="445"/>
        <v>0</v>
      </c>
      <c r="R3190" s="71">
        <f t="shared" si="446"/>
        <v>0</v>
      </c>
      <c r="S3190" s="71">
        <f t="shared" si="447"/>
        <v>0</v>
      </c>
      <c r="T3190" s="71">
        <f t="shared" si="448"/>
        <v>0</v>
      </c>
      <c r="U3190" s="71">
        <f>IF(AND(N3190=1,V3190=1),IF(COUNTIFS(AKTIVITAS!$B$2:$B$3052,B3190,AKTIVITAS!$E$2:$E$3052,H3190)&gt;0,1,0),0)</f>
        <v>0</v>
      </c>
      <c r="V3190" s="71">
        <f>IFERROR(IF(AND(H3190&gt;=INDEX(PEMAGANG!$J$3:$J$36,MATCH(B3190,PEMAGANG!$C$3:$C$36,0)),H3190&lt;=INDEX(PEMAGANG!$K$3:$K$36,MATCH(B3190,PEMAGANG!$C$3:$C$36,0))),1,0),0)</f>
        <v>1</v>
      </c>
      <c r="W3190" s="71">
        <f t="shared" si="449"/>
        <v>0</v>
      </c>
    </row>
    <row r="3191" spans="1:23" x14ac:dyDescent="0.2">
      <c r="A3191" s="71" t="s">
        <v>260</v>
      </c>
      <c r="B3191" s="71" t="s">
        <v>261</v>
      </c>
      <c r="C3191" s="71" t="s">
        <v>187</v>
      </c>
      <c r="D3191" s="71" t="s">
        <v>259</v>
      </c>
      <c r="E3191" s="71" t="s">
        <v>55</v>
      </c>
      <c r="F3191" s="71" t="s">
        <v>298</v>
      </c>
      <c r="G3191" s="88">
        <v>46199.279432870397</v>
      </c>
      <c r="H3191" s="89">
        <v>46199</v>
      </c>
      <c r="I3191" s="71" t="s">
        <v>495</v>
      </c>
      <c r="J3191" s="71">
        <v>-48</v>
      </c>
      <c r="K3191" s="71" t="s">
        <v>302</v>
      </c>
      <c r="L3191" s="71">
        <f t="shared" si="441"/>
        <v>6</v>
      </c>
      <c r="M3191" s="71" t="str">
        <f>IFERROR(INDEX(KALENDER!$D$3:$D$132,MATCH(H3191,KALENDER!$A$3:$A$132,0)),"Di luar periode")</f>
        <v>Hari Kerja</v>
      </c>
      <c r="N3191" s="71">
        <f t="shared" si="442"/>
        <v>1</v>
      </c>
      <c r="O3191" s="71">
        <f t="shared" si="443"/>
        <v>1</v>
      </c>
      <c r="P3191" s="71">
        <f t="shared" si="444"/>
        <v>1</v>
      </c>
      <c r="Q3191" s="71">
        <f t="shared" si="445"/>
        <v>0</v>
      </c>
      <c r="R3191" s="71">
        <f t="shared" si="446"/>
        <v>0</v>
      </c>
      <c r="S3191" s="71">
        <f t="shared" si="447"/>
        <v>0</v>
      </c>
      <c r="T3191" s="71">
        <f t="shared" si="448"/>
        <v>0</v>
      </c>
      <c r="U3191" s="71">
        <f>IF(AND(N3191=1,V3191=1),IF(COUNTIFS(AKTIVITAS!$B$2:$B$3052,B3191,AKTIVITAS!$E$2:$E$3052,H3191)&gt;0,1,0),0)</f>
        <v>1</v>
      </c>
      <c r="V3191" s="71">
        <f>IFERROR(IF(AND(H3191&gt;=INDEX(PEMAGANG!$J$3:$J$36,MATCH(B3191,PEMAGANG!$C$3:$C$36,0)),H3191&lt;=INDEX(PEMAGANG!$K$3:$K$36,MATCH(B3191,PEMAGANG!$C$3:$C$36,0))),1,0),0)</f>
        <v>1</v>
      </c>
      <c r="W3191" s="71">
        <f t="shared" si="449"/>
        <v>1</v>
      </c>
    </row>
    <row r="3192" spans="1:23" x14ac:dyDescent="0.2">
      <c r="A3192" s="71" t="s">
        <v>260</v>
      </c>
      <c r="B3192" s="71" t="s">
        <v>261</v>
      </c>
      <c r="C3192" s="71" t="s">
        <v>187</v>
      </c>
      <c r="D3192" s="71" t="s">
        <v>259</v>
      </c>
      <c r="E3192" s="71" t="s">
        <v>55</v>
      </c>
      <c r="F3192" s="71" t="s">
        <v>300</v>
      </c>
      <c r="G3192" s="88">
        <v>46199.6875925926</v>
      </c>
      <c r="H3192" s="89">
        <v>46199</v>
      </c>
      <c r="I3192" s="71" t="s">
        <v>330</v>
      </c>
      <c r="J3192" s="71">
        <v>0</v>
      </c>
      <c r="K3192" s="71" t="s">
        <v>302</v>
      </c>
      <c r="L3192" s="71">
        <f t="shared" si="441"/>
        <v>6</v>
      </c>
      <c r="M3192" s="71" t="str">
        <f>IFERROR(INDEX(KALENDER!$D$3:$D$132,MATCH(H3192,KALENDER!$A$3:$A$132,0)),"Di luar periode")</f>
        <v>Hari Kerja</v>
      </c>
      <c r="N3192" s="71">
        <f t="shared" si="442"/>
        <v>0</v>
      </c>
      <c r="O3192" s="71">
        <f t="shared" si="443"/>
        <v>1</v>
      </c>
      <c r="P3192" s="71">
        <f t="shared" si="444"/>
        <v>0</v>
      </c>
      <c r="Q3192" s="71">
        <f t="shared" si="445"/>
        <v>0</v>
      </c>
      <c r="R3192" s="71">
        <f t="shared" si="446"/>
        <v>0</v>
      </c>
      <c r="S3192" s="71">
        <f t="shared" si="447"/>
        <v>0</v>
      </c>
      <c r="T3192" s="71">
        <f t="shared" si="448"/>
        <v>0</v>
      </c>
      <c r="U3192" s="71">
        <f>IF(AND(N3192=1,V3192=1),IF(COUNTIFS(AKTIVITAS!$B$2:$B$3052,B3192,AKTIVITAS!$E$2:$E$3052,H3192)&gt;0,1,0),0)</f>
        <v>0</v>
      </c>
      <c r="V3192" s="71">
        <f>IFERROR(IF(AND(H3192&gt;=INDEX(PEMAGANG!$J$3:$J$36,MATCH(B3192,PEMAGANG!$C$3:$C$36,0)),H3192&lt;=INDEX(PEMAGANG!$K$3:$K$36,MATCH(B3192,PEMAGANG!$C$3:$C$36,0))),1,0),0)</f>
        <v>1</v>
      </c>
      <c r="W3192" s="71">
        <f t="shared" si="449"/>
        <v>0</v>
      </c>
    </row>
    <row r="3193" spans="1:23" x14ac:dyDescent="0.2">
      <c r="A3193" s="71" t="s">
        <v>260</v>
      </c>
      <c r="B3193" s="71" t="s">
        <v>261</v>
      </c>
      <c r="C3193" s="71" t="s">
        <v>187</v>
      </c>
      <c r="D3193" s="71" t="s">
        <v>259</v>
      </c>
      <c r="E3193" s="71" t="s">
        <v>55</v>
      </c>
      <c r="F3193" s="71" t="s">
        <v>298</v>
      </c>
      <c r="G3193" s="88">
        <v>46202.289548611101</v>
      </c>
      <c r="H3193" s="89">
        <v>46202</v>
      </c>
      <c r="I3193" s="71" t="s">
        <v>504</v>
      </c>
      <c r="J3193" s="71">
        <v>-34</v>
      </c>
      <c r="K3193" s="71" t="s">
        <v>302</v>
      </c>
      <c r="L3193" s="71">
        <f t="shared" si="441"/>
        <v>6</v>
      </c>
      <c r="M3193" s="71" t="str">
        <f>IFERROR(INDEX(KALENDER!$D$3:$D$132,MATCH(H3193,KALENDER!$A$3:$A$132,0)),"Di luar periode")</f>
        <v>Hari Kerja</v>
      </c>
      <c r="N3193" s="71">
        <f t="shared" si="442"/>
        <v>1</v>
      </c>
      <c r="O3193" s="71">
        <f t="shared" si="443"/>
        <v>1</v>
      </c>
      <c r="P3193" s="71">
        <f t="shared" si="444"/>
        <v>1</v>
      </c>
      <c r="Q3193" s="71">
        <f t="shared" si="445"/>
        <v>0</v>
      </c>
      <c r="R3193" s="71">
        <f t="shared" si="446"/>
        <v>0</v>
      </c>
      <c r="S3193" s="71">
        <f t="shared" si="447"/>
        <v>0</v>
      </c>
      <c r="T3193" s="71">
        <f t="shared" si="448"/>
        <v>0</v>
      </c>
      <c r="U3193" s="71">
        <f>IF(AND(N3193=1,V3193=1),IF(COUNTIFS(AKTIVITAS!$B$2:$B$3052,B3193,AKTIVITAS!$E$2:$E$3052,H3193)&gt;0,1,0),0)</f>
        <v>1</v>
      </c>
      <c r="V3193" s="71">
        <f>IFERROR(IF(AND(H3193&gt;=INDEX(PEMAGANG!$J$3:$J$36,MATCH(B3193,PEMAGANG!$C$3:$C$36,0)),H3193&lt;=INDEX(PEMAGANG!$K$3:$K$36,MATCH(B3193,PEMAGANG!$C$3:$C$36,0))),1,0),0)</f>
        <v>1</v>
      </c>
      <c r="W3193" s="71">
        <f t="shared" si="449"/>
        <v>1</v>
      </c>
    </row>
    <row r="3194" spans="1:23" x14ac:dyDescent="0.2">
      <c r="A3194" s="71" t="s">
        <v>260</v>
      </c>
      <c r="B3194" s="71" t="s">
        <v>261</v>
      </c>
      <c r="C3194" s="71" t="s">
        <v>187</v>
      </c>
      <c r="D3194" s="71" t="s">
        <v>259</v>
      </c>
      <c r="E3194" s="71" t="s">
        <v>55</v>
      </c>
      <c r="F3194" s="71" t="s">
        <v>300</v>
      </c>
      <c r="G3194" s="88">
        <v>46202.687708333302</v>
      </c>
      <c r="H3194" s="89">
        <v>46202</v>
      </c>
      <c r="I3194" s="71" t="s">
        <v>330</v>
      </c>
      <c r="J3194" s="71">
        <v>0</v>
      </c>
      <c r="K3194" s="71" t="s">
        <v>302</v>
      </c>
      <c r="L3194" s="71">
        <f t="shared" si="441"/>
        <v>6</v>
      </c>
      <c r="M3194" s="71" t="str">
        <f>IFERROR(INDEX(KALENDER!$D$3:$D$132,MATCH(H3194,KALENDER!$A$3:$A$132,0)),"Di luar periode")</f>
        <v>Hari Kerja</v>
      </c>
      <c r="N3194" s="71">
        <f t="shared" si="442"/>
        <v>0</v>
      </c>
      <c r="O3194" s="71">
        <f t="shared" si="443"/>
        <v>1</v>
      </c>
      <c r="P3194" s="71">
        <f t="shared" si="444"/>
        <v>0</v>
      </c>
      <c r="Q3194" s="71">
        <f t="shared" si="445"/>
        <v>0</v>
      </c>
      <c r="R3194" s="71">
        <f t="shared" si="446"/>
        <v>0</v>
      </c>
      <c r="S3194" s="71">
        <f t="shared" si="447"/>
        <v>0</v>
      </c>
      <c r="T3194" s="71">
        <f t="shared" si="448"/>
        <v>0</v>
      </c>
      <c r="U3194" s="71">
        <f>IF(AND(N3194=1,V3194=1),IF(COUNTIFS(AKTIVITAS!$B$2:$B$3052,B3194,AKTIVITAS!$E$2:$E$3052,H3194)&gt;0,1,0),0)</f>
        <v>0</v>
      </c>
      <c r="V3194" s="71">
        <f>IFERROR(IF(AND(H3194&gt;=INDEX(PEMAGANG!$J$3:$J$36,MATCH(B3194,PEMAGANG!$C$3:$C$36,0)),H3194&lt;=INDEX(PEMAGANG!$K$3:$K$36,MATCH(B3194,PEMAGANG!$C$3:$C$36,0))),1,0),0)</f>
        <v>1</v>
      </c>
      <c r="W3194" s="71">
        <f t="shared" si="449"/>
        <v>0</v>
      </c>
    </row>
    <row r="3195" spans="1:23" x14ac:dyDescent="0.2">
      <c r="A3195" s="71" t="s">
        <v>260</v>
      </c>
      <c r="B3195" s="71" t="s">
        <v>261</v>
      </c>
      <c r="C3195" s="71" t="s">
        <v>187</v>
      </c>
      <c r="D3195" s="71" t="s">
        <v>259</v>
      </c>
      <c r="E3195" s="71" t="s">
        <v>55</v>
      </c>
      <c r="F3195" s="71" t="s">
        <v>298</v>
      </c>
      <c r="G3195" s="88">
        <v>46203.293900463003</v>
      </c>
      <c r="H3195" s="89">
        <v>46203</v>
      </c>
      <c r="I3195" s="71" t="s">
        <v>483</v>
      </c>
      <c r="J3195" s="71">
        <v>-27</v>
      </c>
      <c r="K3195" s="71" t="s">
        <v>302</v>
      </c>
      <c r="L3195" s="71">
        <f t="shared" si="441"/>
        <v>6</v>
      </c>
      <c r="M3195" s="71" t="str">
        <f>IFERROR(INDEX(KALENDER!$D$3:$D$132,MATCH(H3195,KALENDER!$A$3:$A$132,0)),"Di luar periode")</f>
        <v>Hari Kerja</v>
      </c>
      <c r="N3195" s="71">
        <f t="shared" si="442"/>
        <v>1</v>
      </c>
      <c r="O3195" s="71">
        <f t="shared" si="443"/>
        <v>1</v>
      </c>
      <c r="P3195" s="71">
        <f t="shared" si="444"/>
        <v>1</v>
      </c>
      <c r="Q3195" s="71">
        <f t="shared" si="445"/>
        <v>0</v>
      </c>
      <c r="R3195" s="71">
        <f t="shared" si="446"/>
        <v>0</v>
      </c>
      <c r="S3195" s="71">
        <f t="shared" si="447"/>
        <v>0</v>
      </c>
      <c r="T3195" s="71">
        <f t="shared" si="448"/>
        <v>1</v>
      </c>
      <c r="U3195" s="71">
        <f>IF(AND(N3195=1,V3195=1),IF(COUNTIFS(AKTIVITAS!$B$2:$B$3052,B3195,AKTIVITAS!$E$2:$E$3052,H3195)&gt;0,1,0),0)</f>
        <v>0</v>
      </c>
      <c r="V3195" s="71">
        <f>IFERROR(IF(AND(H3195&gt;=INDEX(PEMAGANG!$J$3:$J$36,MATCH(B3195,PEMAGANG!$C$3:$C$36,0)),H3195&lt;=INDEX(PEMAGANG!$K$3:$K$36,MATCH(B3195,PEMAGANG!$C$3:$C$36,0))),1,0),0)</f>
        <v>1</v>
      </c>
      <c r="W3195" s="71">
        <f t="shared" si="449"/>
        <v>1</v>
      </c>
    </row>
    <row r="3196" spans="1:23" x14ac:dyDescent="0.2">
      <c r="A3196" s="71" t="s">
        <v>260</v>
      </c>
      <c r="B3196" s="71" t="s">
        <v>261</v>
      </c>
      <c r="C3196" s="71" t="s">
        <v>187</v>
      </c>
      <c r="D3196" s="71" t="s">
        <v>259</v>
      </c>
      <c r="E3196" s="71" t="s">
        <v>55</v>
      </c>
      <c r="F3196" s="71" t="s">
        <v>298</v>
      </c>
      <c r="G3196" s="88">
        <v>46205.294027777803</v>
      </c>
      <c r="H3196" s="89">
        <v>46205</v>
      </c>
      <c r="I3196" s="71" t="s">
        <v>483</v>
      </c>
      <c r="J3196" s="71">
        <v>-27</v>
      </c>
      <c r="K3196" s="71" t="s">
        <v>302</v>
      </c>
      <c r="L3196" s="71">
        <f t="shared" si="441"/>
        <v>7</v>
      </c>
      <c r="M3196" s="71" t="str">
        <f>IFERROR(INDEX(KALENDER!$D$3:$D$132,MATCH(H3196,KALENDER!$A$3:$A$132,0)),"Di luar periode")</f>
        <v>Hari Kerja</v>
      </c>
      <c r="N3196" s="71">
        <f t="shared" si="442"/>
        <v>1</v>
      </c>
      <c r="O3196" s="71">
        <f t="shared" si="443"/>
        <v>1</v>
      </c>
      <c r="P3196" s="71">
        <f t="shared" si="444"/>
        <v>0</v>
      </c>
      <c r="Q3196" s="71">
        <f t="shared" si="445"/>
        <v>1</v>
      </c>
      <c r="R3196" s="71">
        <f t="shared" si="446"/>
        <v>0</v>
      </c>
      <c r="S3196" s="71">
        <f t="shared" si="447"/>
        <v>0</v>
      </c>
      <c r="T3196" s="71">
        <f t="shared" si="448"/>
        <v>0</v>
      </c>
      <c r="U3196" s="71">
        <f>IF(AND(N3196=1,V3196=1),IF(COUNTIFS(AKTIVITAS!$B$2:$B$3052,B3196,AKTIVITAS!$E$2:$E$3052,H3196)&gt;0,1,0),0)</f>
        <v>0</v>
      </c>
      <c r="V3196" s="71">
        <f>IFERROR(IF(AND(H3196&gt;=INDEX(PEMAGANG!$J$3:$J$36,MATCH(B3196,PEMAGANG!$C$3:$C$36,0)),H3196&lt;=INDEX(PEMAGANG!$K$3:$K$36,MATCH(B3196,PEMAGANG!$C$3:$C$36,0))),1,0),0)</f>
        <v>0</v>
      </c>
      <c r="W3196" s="71">
        <f t="shared" si="449"/>
        <v>0</v>
      </c>
    </row>
    <row r="3197" spans="1:23" x14ac:dyDescent="0.2">
      <c r="A3197" s="71" t="s">
        <v>700</v>
      </c>
      <c r="B3197" s="71" t="s">
        <v>701</v>
      </c>
      <c r="C3197" s="71" t="s">
        <v>187</v>
      </c>
      <c r="D3197" s="71" t="s">
        <v>421</v>
      </c>
      <c r="E3197" s="71" t="s">
        <v>422</v>
      </c>
      <c r="F3197" s="71" t="s">
        <v>298</v>
      </c>
      <c r="G3197" s="88">
        <v>46227.272858796299</v>
      </c>
      <c r="H3197" s="89">
        <v>46227</v>
      </c>
      <c r="I3197" s="71" t="s">
        <v>453</v>
      </c>
      <c r="J3197" s="71">
        <v>-88</v>
      </c>
      <c r="K3197" s="71" t="s">
        <v>302</v>
      </c>
      <c r="L3197" s="71">
        <f t="shared" si="441"/>
        <v>7</v>
      </c>
      <c r="M3197" s="71" t="str">
        <f>IFERROR(INDEX(KALENDER!$D$3:$D$132,MATCH(H3197,KALENDER!$A$3:$A$132,0)),"Di luar periode")</f>
        <v>Hari Kerja</v>
      </c>
      <c r="N3197" s="71">
        <f t="shared" si="442"/>
        <v>1</v>
      </c>
      <c r="O3197" s="71">
        <f t="shared" si="443"/>
        <v>1</v>
      </c>
      <c r="P3197" s="71">
        <f t="shared" si="444"/>
        <v>0</v>
      </c>
      <c r="Q3197" s="71">
        <f t="shared" si="445"/>
        <v>1</v>
      </c>
      <c r="R3197" s="71">
        <f t="shared" si="446"/>
        <v>0</v>
      </c>
      <c r="S3197" s="71">
        <f t="shared" si="447"/>
        <v>0</v>
      </c>
      <c r="T3197" s="71">
        <f t="shared" si="448"/>
        <v>0</v>
      </c>
      <c r="U3197" s="71">
        <f>IF(AND(N3197=1,V3197=1),IF(COUNTIFS(AKTIVITAS!$B$2:$B$3052,B3197,AKTIVITAS!$E$2:$E$3052,H3197)&gt;0,1,0),0)</f>
        <v>0</v>
      </c>
      <c r="V3197" s="71">
        <f>IFERROR(IF(AND(H3197&gt;=INDEX(PEMAGANG!$J$3:$J$36,MATCH(B3197,PEMAGANG!$C$3:$C$36,0)),H3197&lt;=INDEX(PEMAGANG!$K$3:$K$36,MATCH(B3197,PEMAGANG!$C$3:$C$36,0))),1,0),0)</f>
        <v>0</v>
      </c>
      <c r="W3197" s="71">
        <f t="shared" si="449"/>
        <v>0</v>
      </c>
    </row>
    <row r="3198" spans="1:23" x14ac:dyDescent="0.2">
      <c r="A3198" s="71" t="s">
        <v>700</v>
      </c>
      <c r="B3198" s="71" t="s">
        <v>701</v>
      </c>
      <c r="C3198" s="71" t="s">
        <v>187</v>
      </c>
      <c r="D3198" s="71" t="s">
        <v>421</v>
      </c>
      <c r="E3198" s="71" t="s">
        <v>422</v>
      </c>
      <c r="F3198" s="71" t="s">
        <v>300</v>
      </c>
      <c r="G3198" s="88">
        <v>46227.6335300926</v>
      </c>
      <c r="H3198" s="89">
        <v>46227</v>
      </c>
      <c r="I3198" s="71" t="s">
        <v>702</v>
      </c>
      <c r="J3198" s="71">
        <v>0</v>
      </c>
      <c r="K3198" s="71" t="s">
        <v>302</v>
      </c>
      <c r="L3198" s="71">
        <f t="shared" si="441"/>
        <v>7</v>
      </c>
      <c r="M3198" s="71" t="str">
        <f>IFERROR(INDEX(KALENDER!$D$3:$D$132,MATCH(H3198,KALENDER!$A$3:$A$132,0)),"Di luar periode")</f>
        <v>Hari Kerja</v>
      </c>
      <c r="N3198" s="71">
        <f t="shared" si="442"/>
        <v>0</v>
      </c>
      <c r="O3198" s="71">
        <f t="shared" si="443"/>
        <v>1</v>
      </c>
      <c r="P3198" s="71">
        <f t="shared" si="444"/>
        <v>0</v>
      </c>
      <c r="Q3198" s="71">
        <f t="shared" si="445"/>
        <v>0</v>
      </c>
      <c r="R3198" s="71">
        <f t="shared" si="446"/>
        <v>0</v>
      </c>
      <c r="S3198" s="71">
        <f t="shared" si="447"/>
        <v>0</v>
      </c>
      <c r="T3198" s="71">
        <f t="shared" si="448"/>
        <v>0</v>
      </c>
      <c r="U3198" s="71">
        <f>IF(AND(N3198=1,V3198=1),IF(COUNTIFS(AKTIVITAS!$B$2:$B$3052,B3198,AKTIVITAS!$E$2:$E$3052,H3198)&gt;0,1,0),0)</f>
        <v>0</v>
      </c>
      <c r="V3198" s="71">
        <f>IFERROR(IF(AND(H3198&gt;=INDEX(PEMAGANG!$J$3:$J$36,MATCH(B3198,PEMAGANG!$C$3:$C$36,0)),H3198&lt;=INDEX(PEMAGANG!$K$3:$K$36,MATCH(B3198,PEMAGANG!$C$3:$C$36,0))),1,0),0)</f>
        <v>0</v>
      </c>
      <c r="W3198" s="71">
        <f t="shared" si="449"/>
        <v>0</v>
      </c>
    </row>
    <row r="3199" spans="1:23" x14ac:dyDescent="0.2">
      <c r="A3199" s="71" t="s">
        <v>700</v>
      </c>
      <c r="B3199" s="71" t="s">
        <v>701</v>
      </c>
      <c r="C3199" s="71" t="s">
        <v>187</v>
      </c>
      <c r="D3199" s="71" t="s">
        <v>421</v>
      </c>
      <c r="E3199" s="71" t="s">
        <v>422</v>
      </c>
      <c r="F3199" s="71" t="s">
        <v>298</v>
      </c>
      <c r="G3199" s="88">
        <v>46228.2840393519</v>
      </c>
      <c r="H3199" s="89">
        <v>46228</v>
      </c>
      <c r="I3199" s="71" t="s">
        <v>699</v>
      </c>
      <c r="J3199" s="71">
        <v>-71</v>
      </c>
      <c r="K3199" s="71" t="s">
        <v>302</v>
      </c>
      <c r="L3199" s="71">
        <f t="shared" si="441"/>
        <v>7</v>
      </c>
      <c r="M3199" s="71" t="str">
        <f>IFERROR(INDEX(KALENDER!$D$3:$D$132,MATCH(H3199,KALENDER!$A$3:$A$132,0)),"Di luar periode")</f>
        <v>Libur (Sabtu/Minggu)</v>
      </c>
      <c r="N3199" s="71">
        <f t="shared" si="442"/>
        <v>1</v>
      </c>
      <c r="O3199" s="71">
        <f t="shared" si="443"/>
        <v>1</v>
      </c>
      <c r="P3199" s="71">
        <f t="shared" si="444"/>
        <v>0</v>
      </c>
      <c r="Q3199" s="71">
        <f t="shared" si="445"/>
        <v>1</v>
      </c>
      <c r="R3199" s="71">
        <f t="shared" si="446"/>
        <v>0</v>
      </c>
      <c r="S3199" s="71">
        <f t="shared" si="447"/>
        <v>0</v>
      </c>
      <c r="T3199" s="71">
        <f t="shared" si="448"/>
        <v>0</v>
      </c>
      <c r="U3199" s="71">
        <f>IF(AND(N3199=1,V3199=1),IF(COUNTIFS(AKTIVITAS!$B$2:$B$3052,B3199,AKTIVITAS!$E$2:$E$3052,H3199)&gt;0,1,0),0)</f>
        <v>0</v>
      </c>
      <c r="V3199" s="71">
        <f>IFERROR(IF(AND(H3199&gt;=INDEX(PEMAGANG!$J$3:$J$36,MATCH(B3199,PEMAGANG!$C$3:$C$36,0)),H3199&lt;=INDEX(PEMAGANG!$K$3:$K$36,MATCH(B3199,PEMAGANG!$C$3:$C$36,0))),1,0),0)</f>
        <v>0</v>
      </c>
      <c r="W3199" s="71">
        <f t="shared" si="449"/>
        <v>0</v>
      </c>
    </row>
    <row r="3200" spans="1:23" x14ac:dyDescent="0.2">
      <c r="A3200" s="71" t="s">
        <v>700</v>
      </c>
      <c r="B3200" s="71" t="s">
        <v>701</v>
      </c>
      <c r="C3200" s="71" t="s">
        <v>187</v>
      </c>
      <c r="D3200" s="71" t="s">
        <v>421</v>
      </c>
      <c r="E3200" s="71" t="s">
        <v>422</v>
      </c>
      <c r="F3200" s="71" t="s">
        <v>300</v>
      </c>
      <c r="G3200" s="88">
        <v>46228.797870370399</v>
      </c>
      <c r="H3200" s="89">
        <v>46228</v>
      </c>
      <c r="I3200" s="71" t="s">
        <v>703</v>
      </c>
      <c r="J3200" s="71">
        <v>0</v>
      </c>
      <c r="K3200" s="71" t="s">
        <v>302</v>
      </c>
      <c r="L3200" s="71">
        <f t="shared" si="441"/>
        <v>7</v>
      </c>
      <c r="M3200" s="71" t="str">
        <f>IFERROR(INDEX(KALENDER!$D$3:$D$132,MATCH(H3200,KALENDER!$A$3:$A$132,0)),"Di luar periode")</f>
        <v>Libur (Sabtu/Minggu)</v>
      </c>
      <c r="N3200" s="71">
        <f t="shared" si="442"/>
        <v>0</v>
      </c>
      <c r="O3200" s="71">
        <f t="shared" si="443"/>
        <v>1</v>
      </c>
      <c r="P3200" s="71">
        <f t="shared" si="444"/>
        <v>0</v>
      </c>
      <c r="Q3200" s="71">
        <f t="shared" si="445"/>
        <v>0</v>
      </c>
      <c r="R3200" s="71">
        <f t="shared" si="446"/>
        <v>0</v>
      </c>
      <c r="S3200" s="71">
        <f t="shared" si="447"/>
        <v>0</v>
      </c>
      <c r="T3200" s="71">
        <f t="shared" si="448"/>
        <v>0</v>
      </c>
      <c r="U3200" s="71">
        <f>IF(AND(N3200=1,V3200=1),IF(COUNTIFS(AKTIVITAS!$B$2:$B$3052,B3200,AKTIVITAS!$E$2:$E$3052,H3200)&gt;0,1,0),0)</f>
        <v>0</v>
      </c>
      <c r="V3200" s="71">
        <f>IFERROR(IF(AND(H3200&gt;=INDEX(PEMAGANG!$J$3:$J$36,MATCH(B3200,PEMAGANG!$C$3:$C$36,0)),H3200&lt;=INDEX(PEMAGANG!$K$3:$K$36,MATCH(B3200,PEMAGANG!$C$3:$C$36,0))),1,0),0)</f>
        <v>0</v>
      </c>
      <c r="W3200" s="71">
        <f t="shared" si="449"/>
        <v>0</v>
      </c>
    </row>
    <row r="3201" spans="1:23" x14ac:dyDescent="0.2">
      <c r="A3201" s="71" t="s">
        <v>700</v>
      </c>
      <c r="B3201" s="71" t="s">
        <v>701</v>
      </c>
      <c r="C3201" s="71" t="s">
        <v>187</v>
      </c>
      <c r="D3201" s="71" t="s">
        <v>421</v>
      </c>
      <c r="E3201" s="71" t="s">
        <v>422</v>
      </c>
      <c r="F3201" s="71" t="s">
        <v>298</v>
      </c>
      <c r="G3201" s="88">
        <v>46229.287858796299</v>
      </c>
      <c r="H3201" s="89">
        <v>46229</v>
      </c>
      <c r="I3201" s="71" t="s">
        <v>348</v>
      </c>
      <c r="J3201" s="71">
        <v>-65.999999999999901</v>
      </c>
      <c r="K3201" s="71" t="s">
        <v>302</v>
      </c>
      <c r="L3201" s="71">
        <f t="shared" si="441"/>
        <v>7</v>
      </c>
      <c r="M3201" s="71" t="str">
        <f>IFERROR(INDEX(KALENDER!$D$3:$D$132,MATCH(H3201,KALENDER!$A$3:$A$132,0)),"Di luar periode")</f>
        <v>Libur (Sabtu/Minggu)</v>
      </c>
      <c r="N3201" s="71">
        <f t="shared" si="442"/>
        <v>1</v>
      </c>
      <c r="O3201" s="71">
        <f t="shared" si="443"/>
        <v>1</v>
      </c>
      <c r="P3201" s="71">
        <f t="shared" si="444"/>
        <v>0</v>
      </c>
      <c r="Q3201" s="71">
        <f t="shared" si="445"/>
        <v>1</v>
      </c>
      <c r="R3201" s="71">
        <f t="shared" si="446"/>
        <v>0</v>
      </c>
      <c r="S3201" s="71">
        <f t="shared" si="447"/>
        <v>0</v>
      </c>
      <c r="T3201" s="71">
        <f t="shared" si="448"/>
        <v>0</v>
      </c>
      <c r="U3201" s="71">
        <f>IF(AND(N3201=1,V3201=1),IF(COUNTIFS(AKTIVITAS!$B$2:$B$3052,B3201,AKTIVITAS!$E$2:$E$3052,H3201)&gt;0,1,0),0)</f>
        <v>0</v>
      </c>
      <c r="V3201" s="71">
        <f>IFERROR(IF(AND(H3201&gt;=INDEX(PEMAGANG!$J$3:$J$36,MATCH(B3201,PEMAGANG!$C$3:$C$36,0)),H3201&lt;=INDEX(PEMAGANG!$K$3:$K$36,MATCH(B3201,PEMAGANG!$C$3:$C$36,0))),1,0),0)</f>
        <v>0</v>
      </c>
      <c r="W3201" s="71">
        <f t="shared" si="449"/>
        <v>0</v>
      </c>
    </row>
    <row r="3202" spans="1:23" x14ac:dyDescent="0.2">
      <c r="A3202" s="71" t="s">
        <v>700</v>
      </c>
      <c r="B3202" s="71" t="s">
        <v>701</v>
      </c>
      <c r="C3202" s="71" t="s">
        <v>187</v>
      </c>
      <c r="D3202" s="71" t="s">
        <v>421</v>
      </c>
      <c r="E3202" s="71" t="s">
        <v>422</v>
      </c>
      <c r="F3202" s="71" t="s">
        <v>300</v>
      </c>
      <c r="G3202" s="88">
        <v>46229.805277777799</v>
      </c>
      <c r="H3202" s="89">
        <v>46229</v>
      </c>
      <c r="I3202" s="71" t="s">
        <v>704</v>
      </c>
      <c r="J3202" s="71">
        <v>0</v>
      </c>
      <c r="K3202" s="71" t="s">
        <v>302</v>
      </c>
      <c r="L3202" s="71">
        <f t="shared" ref="L3202:L3265" si="450">MONTH(H3202)</f>
        <v>7</v>
      </c>
      <c r="M3202" s="71" t="str">
        <f>IFERROR(INDEX(KALENDER!$D$3:$D$132,MATCH(H3202,KALENDER!$A$3:$A$132,0)),"Di luar periode")</f>
        <v>Libur (Sabtu/Minggu)</v>
      </c>
      <c r="N3202" s="71">
        <f t="shared" ref="N3202:N3265" si="451">IF(AND(B3202=B3201,H3202=H3201),0,1)</f>
        <v>0</v>
      </c>
      <c r="O3202" s="71">
        <f t="shared" ref="O3202:O3265" si="452">IF(N3202=1,0,O3201)+IF(F3202="MASUK",1,0)</f>
        <v>1</v>
      </c>
      <c r="P3202" s="71">
        <f t="shared" ref="P3202:P3265" si="453">IF(AND(N3202=1,M3202="Hari Kerja",V3202=1),1,0)</f>
        <v>0</v>
      </c>
      <c r="Q3202" s="71">
        <f t="shared" ref="Q3202:Q3265" si="454">IF(AND(N3202=1,OR(M3202&lt;&gt;"Hari Kerja",V3202=0)),1,0)</f>
        <v>0</v>
      </c>
      <c r="R3202" s="71">
        <f t="shared" ref="R3202:R3265" si="455">IF(AND(F3202="MASUK",O3202=1,N(J3202)&gt;0,V3202=1),1,0)</f>
        <v>0</v>
      </c>
      <c r="S3202" s="71">
        <f t="shared" ref="S3202:S3265" si="456">R3202*N(J3202)</f>
        <v>0</v>
      </c>
      <c r="T3202" s="71">
        <f t="shared" ref="T3202:T3265" si="457">IF(AND(N3202=1,V3202=1),IF(AND(COUNTIFS($B$2:$B$4094,B3202,$H$2:$H$4094,H3202,$F$2:$F$4094,"MASUK")&gt;0,COUNTIFS($B$2:$B$4094,B3202,$H$2:$H$4094,H3202,$F$2:$F$4094,"PULANG")=0),1,0),0)</f>
        <v>0</v>
      </c>
      <c r="U3202" s="71">
        <f>IF(AND(N3202=1,V3202=1),IF(COUNTIFS(AKTIVITAS!$B$2:$B$3052,B3202,AKTIVITAS!$E$2:$E$3052,H3202)&gt;0,1,0),0)</f>
        <v>0</v>
      </c>
      <c r="V3202" s="71">
        <f>IFERROR(IF(AND(H3202&gt;=INDEX(PEMAGANG!$J$3:$J$36,MATCH(B3202,PEMAGANG!$C$3:$C$36,0)),H3202&lt;=INDEX(PEMAGANG!$K$3:$K$36,MATCH(B3202,PEMAGANG!$C$3:$C$36,0))),1,0),0)</f>
        <v>0</v>
      </c>
      <c r="W3202" s="71">
        <f t="shared" ref="W3202:W3265" si="458">N3202*V3202</f>
        <v>0</v>
      </c>
    </row>
    <row r="3203" spans="1:23" x14ac:dyDescent="0.2">
      <c r="A3203" s="71" t="s">
        <v>700</v>
      </c>
      <c r="B3203" s="71" t="s">
        <v>701</v>
      </c>
      <c r="C3203" s="71" t="s">
        <v>187</v>
      </c>
      <c r="D3203" s="71" t="s">
        <v>421</v>
      </c>
      <c r="E3203" s="71" t="s">
        <v>422</v>
      </c>
      <c r="F3203" s="71" t="s">
        <v>298</v>
      </c>
      <c r="G3203" s="88">
        <v>46231.268287036997</v>
      </c>
      <c r="H3203" s="89">
        <v>46231</v>
      </c>
      <c r="I3203" s="71" t="s">
        <v>443</v>
      </c>
      <c r="J3203" s="71">
        <v>-94</v>
      </c>
      <c r="K3203" s="71" t="s">
        <v>302</v>
      </c>
      <c r="L3203" s="71">
        <f t="shared" si="450"/>
        <v>7</v>
      </c>
      <c r="M3203" s="71" t="str">
        <f>IFERROR(INDEX(KALENDER!$D$3:$D$132,MATCH(H3203,KALENDER!$A$3:$A$132,0)),"Di luar periode")</f>
        <v>Hari Kerja</v>
      </c>
      <c r="N3203" s="71">
        <f t="shared" si="451"/>
        <v>1</v>
      </c>
      <c r="O3203" s="71">
        <f t="shared" si="452"/>
        <v>1</v>
      </c>
      <c r="P3203" s="71">
        <f t="shared" si="453"/>
        <v>0</v>
      </c>
      <c r="Q3203" s="71">
        <f t="shared" si="454"/>
        <v>1</v>
      </c>
      <c r="R3203" s="71">
        <f t="shared" si="455"/>
        <v>0</v>
      </c>
      <c r="S3203" s="71">
        <f t="shared" si="456"/>
        <v>0</v>
      </c>
      <c r="T3203" s="71">
        <f t="shared" si="457"/>
        <v>0</v>
      </c>
      <c r="U3203" s="71">
        <f>IF(AND(N3203=1,V3203=1),IF(COUNTIFS(AKTIVITAS!$B$2:$B$3052,B3203,AKTIVITAS!$E$2:$E$3052,H3203)&gt;0,1,0),0)</f>
        <v>0</v>
      </c>
      <c r="V3203" s="71">
        <f>IFERROR(IF(AND(H3203&gt;=INDEX(PEMAGANG!$J$3:$J$36,MATCH(B3203,PEMAGANG!$C$3:$C$36,0)),H3203&lt;=INDEX(PEMAGANG!$K$3:$K$36,MATCH(B3203,PEMAGANG!$C$3:$C$36,0))),1,0),0)</f>
        <v>0</v>
      </c>
      <c r="W3203" s="71">
        <f t="shared" si="458"/>
        <v>0</v>
      </c>
    </row>
    <row r="3204" spans="1:23" x14ac:dyDescent="0.2">
      <c r="A3204" s="71" t="s">
        <v>700</v>
      </c>
      <c r="B3204" s="71" t="s">
        <v>701</v>
      </c>
      <c r="C3204" s="71" t="s">
        <v>187</v>
      </c>
      <c r="D3204" s="71" t="s">
        <v>421</v>
      </c>
      <c r="E3204" s="71" t="s">
        <v>422</v>
      </c>
      <c r="F3204" s="71" t="s">
        <v>300</v>
      </c>
      <c r="G3204" s="88">
        <v>46231.7975462963</v>
      </c>
      <c r="H3204" s="89">
        <v>46231</v>
      </c>
      <c r="I3204" s="71" t="s">
        <v>703</v>
      </c>
      <c r="J3204" s="71">
        <v>0</v>
      </c>
      <c r="K3204" s="71" t="s">
        <v>302</v>
      </c>
      <c r="L3204" s="71">
        <f t="shared" si="450"/>
        <v>7</v>
      </c>
      <c r="M3204" s="71" t="str">
        <f>IFERROR(INDEX(KALENDER!$D$3:$D$132,MATCH(H3204,KALENDER!$A$3:$A$132,0)),"Di luar periode")</f>
        <v>Hari Kerja</v>
      </c>
      <c r="N3204" s="71">
        <f t="shared" si="451"/>
        <v>0</v>
      </c>
      <c r="O3204" s="71">
        <f t="shared" si="452"/>
        <v>1</v>
      </c>
      <c r="P3204" s="71">
        <f t="shared" si="453"/>
        <v>0</v>
      </c>
      <c r="Q3204" s="71">
        <f t="shared" si="454"/>
        <v>0</v>
      </c>
      <c r="R3204" s="71">
        <f t="shared" si="455"/>
        <v>0</v>
      </c>
      <c r="S3204" s="71">
        <f t="shared" si="456"/>
        <v>0</v>
      </c>
      <c r="T3204" s="71">
        <f t="shared" si="457"/>
        <v>0</v>
      </c>
      <c r="U3204" s="71">
        <f>IF(AND(N3204=1,V3204=1),IF(COUNTIFS(AKTIVITAS!$B$2:$B$3052,B3204,AKTIVITAS!$E$2:$E$3052,H3204)&gt;0,1,0),0)</f>
        <v>0</v>
      </c>
      <c r="V3204" s="71">
        <f>IFERROR(IF(AND(H3204&gt;=INDEX(PEMAGANG!$J$3:$J$36,MATCH(B3204,PEMAGANG!$C$3:$C$36,0)),H3204&lt;=INDEX(PEMAGANG!$K$3:$K$36,MATCH(B3204,PEMAGANG!$C$3:$C$36,0))),1,0),0)</f>
        <v>0</v>
      </c>
      <c r="W3204" s="71">
        <f t="shared" si="458"/>
        <v>0</v>
      </c>
    </row>
    <row r="3205" spans="1:23" x14ac:dyDescent="0.2">
      <c r="A3205" s="71" t="s">
        <v>700</v>
      </c>
      <c r="B3205" s="71" t="s">
        <v>701</v>
      </c>
      <c r="C3205" s="71" t="s">
        <v>187</v>
      </c>
      <c r="D3205" s="71" t="s">
        <v>421</v>
      </c>
      <c r="E3205" s="71" t="s">
        <v>422</v>
      </c>
      <c r="F3205" s="71" t="s">
        <v>298</v>
      </c>
      <c r="G3205" s="88">
        <v>46232.272881944496</v>
      </c>
      <c r="H3205" s="89">
        <v>46232</v>
      </c>
      <c r="I3205" s="71" t="s">
        <v>453</v>
      </c>
      <c r="J3205" s="71">
        <v>-88</v>
      </c>
      <c r="K3205" s="71" t="s">
        <v>302</v>
      </c>
      <c r="L3205" s="71">
        <f t="shared" si="450"/>
        <v>7</v>
      </c>
      <c r="M3205" s="71" t="str">
        <f>IFERROR(INDEX(KALENDER!$D$3:$D$132,MATCH(H3205,KALENDER!$A$3:$A$132,0)),"Di luar periode")</f>
        <v>WFH</v>
      </c>
      <c r="N3205" s="71">
        <f t="shared" si="451"/>
        <v>1</v>
      </c>
      <c r="O3205" s="71">
        <f t="shared" si="452"/>
        <v>1</v>
      </c>
      <c r="P3205" s="71">
        <f t="shared" si="453"/>
        <v>0</v>
      </c>
      <c r="Q3205" s="71">
        <f t="shared" si="454"/>
        <v>1</v>
      </c>
      <c r="R3205" s="71">
        <f t="shared" si="455"/>
        <v>0</v>
      </c>
      <c r="S3205" s="71">
        <f t="shared" si="456"/>
        <v>0</v>
      </c>
      <c r="T3205" s="71">
        <f t="shared" si="457"/>
        <v>0</v>
      </c>
      <c r="U3205" s="71">
        <f>IF(AND(N3205=1,V3205=1),IF(COUNTIFS(AKTIVITAS!$B$2:$B$3052,B3205,AKTIVITAS!$E$2:$E$3052,H3205)&gt;0,1,0),0)</f>
        <v>0</v>
      </c>
      <c r="V3205" s="71">
        <f>IFERROR(IF(AND(H3205&gt;=INDEX(PEMAGANG!$J$3:$J$36,MATCH(B3205,PEMAGANG!$C$3:$C$36,0)),H3205&lt;=INDEX(PEMAGANG!$K$3:$K$36,MATCH(B3205,PEMAGANG!$C$3:$C$36,0))),1,0),0)</f>
        <v>0</v>
      </c>
      <c r="W3205" s="71">
        <f t="shared" si="458"/>
        <v>0</v>
      </c>
    </row>
    <row r="3206" spans="1:23" x14ac:dyDescent="0.2">
      <c r="A3206" s="71" t="s">
        <v>700</v>
      </c>
      <c r="B3206" s="71" t="s">
        <v>701</v>
      </c>
      <c r="C3206" s="71" t="s">
        <v>187</v>
      </c>
      <c r="D3206" s="71" t="s">
        <v>421</v>
      </c>
      <c r="E3206" s="71" t="s">
        <v>422</v>
      </c>
      <c r="F3206" s="71" t="s">
        <v>300</v>
      </c>
      <c r="G3206" s="88">
        <v>46232.629652777803</v>
      </c>
      <c r="H3206" s="89">
        <v>46232</v>
      </c>
      <c r="I3206" s="71" t="s">
        <v>705</v>
      </c>
      <c r="J3206" s="71">
        <v>0</v>
      </c>
      <c r="K3206" s="71" t="s">
        <v>302</v>
      </c>
      <c r="L3206" s="71">
        <f t="shared" si="450"/>
        <v>7</v>
      </c>
      <c r="M3206" s="71" t="str">
        <f>IFERROR(INDEX(KALENDER!$D$3:$D$132,MATCH(H3206,KALENDER!$A$3:$A$132,0)),"Di luar periode")</f>
        <v>WFH</v>
      </c>
      <c r="N3206" s="71">
        <f t="shared" si="451"/>
        <v>0</v>
      </c>
      <c r="O3206" s="71">
        <f t="shared" si="452"/>
        <v>1</v>
      </c>
      <c r="P3206" s="71">
        <f t="shared" si="453"/>
        <v>0</v>
      </c>
      <c r="Q3206" s="71">
        <f t="shared" si="454"/>
        <v>0</v>
      </c>
      <c r="R3206" s="71">
        <f t="shared" si="455"/>
        <v>0</v>
      </c>
      <c r="S3206" s="71">
        <f t="shared" si="456"/>
        <v>0</v>
      </c>
      <c r="T3206" s="71">
        <f t="shared" si="457"/>
        <v>0</v>
      </c>
      <c r="U3206" s="71">
        <f>IF(AND(N3206=1,V3206=1),IF(COUNTIFS(AKTIVITAS!$B$2:$B$3052,B3206,AKTIVITAS!$E$2:$E$3052,H3206)&gt;0,1,0),0)</f>
        <v>0</v>
      </c>
      <c r="V3206" s="71">
        <f>IFERROR(IF(AND(H3206&gt;=INDEX(PEMAGANG!$J$3:$J$36,MATCH(B3206,PEMAGANG!$C$3:$C$36,0)),H3206&lt;=INDEX(PEMAGANG!$K$3:$K$36,MATCH(B3206,PEMAGANG!$C$3:$C$36,0))),1,0),0)</f>
        <v>0</v>
      </c>
      <c r="W3206" s="71">
        <f t="shared" si="458"/>
        <v>0</v>
      </c>
    </row>
    <row r="3207" spans="1:23" x14ac:dyDescent="0.2">
      <c r="A3207" s="71" t="s">
        <v>700</v>
      </c>
      <c r="B3207" s="71" t="s">
        <v>701</v>
      </c>
      <c r="C3207" s="71" t="s">
        <v>187</v>
      </c>
      <c r="D3207" s="71" t="s">
        <v>421</v>
      </c>
      <c r="E3207" s="71" t="s">
        <v>422</v>
      </c>
      <c r="F3207" s="71" t="s">
        <v>298</v>
      </c>
      <c r="G3207" s="88">
        <v>46233.247129629599</v>
      </c>
      <c r="H3207" s="89">
        <v>46233</v>
      </c>
      <c r="I3207" s="71" t="s">
        <v>675</v>
      </c>
      <c r="J3207" s="71">
        <v>-125</v>
      </c>
      <c r="K3207" s="71" t="s">
        <v>302</v>
      </c>
      <c r="L3207" s="71">
        <f t="shared" si="450"/>
        <v>7</v>
      </c>
      <c r="M3207" s="71" t="str">
        <f>IFERROR(INDEX(KALENDER!$D$3:$D$132,MATCH(H3207,KALENDER!$A$3:$A$132,0)),"Di luar periode")</f>
        <v>Hari Kerja</v>
      </c>
      <c r="N3207" s="71">
        <f t="shared" si="451"/>
        <v>1</v>
      </c>
      <c r="O3207" s="71">
        <f t="shared" si="452"/>
        <v>1</v>
      </c>
      <c r="P3207" s="71">
        <f t="shared" si="453"/>
        <v>0</v>
      </c>
      <c r="Q3207" s="71">
        <f t="shared" si="454"/>
        <v>1</v>
      </c>
      <c r="R3207" s="71">
        <f t="shared" si="455"/>
        <v>0</v>
      </c>
      <c r="S3207" s="71">
        <f t="shared" si="456"/>
        <v>0</v>
      </c>
      <c r="T3207" s="71">
        <f t="shared" si="457"/>
        <v>0</v>
      </c>
      <c r="U3207" s="71">
        <f>IF(AND(N3207=1,V3207=1),IF(COUNTIFS(AKTIVITAS!$B$2:$B$3052,B3207,AKTIVITAS!$E$2:$E$3052,H3207)&gt;0,1,0),0)</f>
        <v>0</v>
      </c>
      <c r="V3207" s="71">
        <f>IFERROR(IF(AND(H3207&gt;=INDEX(PEMAGANG!$J$3:$J$36,MATCH(B3207,PEMAGANG!$C$3:$C$36,0)),H3207&lt;=INDEX(PEMAGANG!$K$3:$K$36,MATCH(B3207,PEMAGANG!$C$3:$C$36,0))),1,0),0)</f>
        <v>0</v>
      </c>
      <c r="W3207" s="71">
        <f t="shared" si="458"/>
        <v>0</v>
      </c>
    </row>
    <row r="3208" spans="1:23" x14ac:dyDescent="0.2">
      <c r="A3208" s="71" t="s">
        <v>700</v>
      </c>
      <c r="B3208" s="71" t="s">
        <v>701</v>
      </c>
      <c r="C3208" s="71" t="s">
        <v>187</v>
      </c>
      <c r="D3208" s="71" t="s">
        <v>421</v>
      </c>
      <c r="E3208" s="71" t="s">
        <v>422</v>
      </c>
      <c r="F3208" s="71" t="s">
        <v>300</v>
      </c>
      <c r="G3208" s="88">
        <v>46233.628171296303</v>
      </c>
      <c r="H3208" s="89">
        <v>46233</v>
      </c>
      <c r="I3208" s="71" t="s">
        <v>706</v>
      </c>
      <c r="J3208" s="71">
        <v>0</v>
      </c>
      <c r="K3208" s="71" t="s">
        <v>302</v>
      </c>
      <c r="L3208" s="71">
        <f t="shared" si="450"/>
        <v>7</v>
      </c>
      <c r="M3208" s="71" t="str">
        <f>IFERROR(INDEX(KALENDER!$D$3:$D$132,MATCH(H3208,KALENDER!$A$3:$A$132,0)),"Di luar periode")</f>
        <v>Hari Kerja</v>
      </c>
      <c r="N3208" s="71">
        <f t="shared" si="451"/>
        <v>0</v>
      </c>
      <c r="O3208" s="71">
        <f t="shared" si="452"/>
        <v>1</v>
      </c>
      <c r="P3208" s="71">
        <f t="shared" si="453"/>
        <v>0</v>
      </c>
      <c r="Q3208" s="71">
        <f t="shared" si="454"/>
        <v>0</v>
      </c>
      <c r="R3208" s="71">
        <f t="shared" si="455"/>
        <v>0</v>
      </c>
      <c r="S3208" s="71">
        <f t="shared" si="456"/>
        <v>0</v>
      </c>
      <c r="T3208" s="71">
        <f t="shared" si="457"/>
        <v>0</v>
      </c>
      <c r="U3208" s="71">
        <f>IF(AND(N3208=1,V3208=1),IF(COUNTIFS(AKTIVITAS!$B$2:$B$3052,B3208,AKTIVITAS!$E$2:$E$3052,H3208)&gt;0,1,0),0)</f>
        <v>0</v>
      </c>
      <c r="V3208" s="71">
        <f>IFERROR(IF(AND(H3208&gt;=INDEX(PEMAGANG!$J$3:$J$36,MATCH(B3208,PEMAGANG!$C$3:$C$36,0)),H3208&lt;=INDEX(PEMAGANG!$K$3:$K$36,MATCH(B3208,PEMAGANG!$C$3:$C$36,0))),1,0),0)</f>
        <v>0</v>
      </c>
      <c r="W3208" s="71">
        <f t="shared" si="458"/>
        <v>0</v>
      </c>
    </row>
    <row r="3209" spans="1:23" x14ac:dyDescent="0.2">
      <c r="A3209" s="71" t="s">
        <v>700</v>
      </c>
      <c r="B3209" s="71" t="s">
        <v>701</v>
      </c>
      <c r="C3209" s="71" t="s">
        <v>187</v>
      </c>
      <c r="D3209" s="71" t="s">
        <v>421</v>
      </c>
      <c r="E3209" s="71" t="s">
        <v>422</v>
      </c>
      <c r="F3209" s="71" t="s">
        <v>298</v>
      </c>
      <c r="G3209" s="88">
        <v>46234.277118055601</v>
      </c>
      <c r="H3209" s="89">
        <v>46234</v>
      </c>
      <c r="I3209" s="71" t="s">
        <v>502</v>
      </c>
      <c r="J3209" s="71">
        <v>-81</v>
      </c>
      <c r="K3209" s="71" t="s">
        <v>302</v>
      </c>
      <c r="L3209" s="71">
        <f t="shared" si="450"/>
        <v>7</v>
      </c>
      <c r="M3209" s="71" t="str">
        <f>IFERROR(INDEX(KALENDER!$D$3:$D$132,MATCH(H3209,KALENDER!$A$3:$A$132,0)),"Di luar periode")</f>
        <v>Hari Kerja</v>
      </c>
      <c r="N3209" s="71">
        <f t="shared" si="451"/>
        <v>1</v>
      </c>
      <c r="O3209" s="71">
        <f t="shared" si="452"/>
        <v>1</v>
      </c>
      <c r="P3209" s="71">
        <f t="shared" si="453"/>
        <v>0</v>
      </c>
      <c r="Q3209" s="71">
        <f t="shared" si="454"/>
        <v>1</v>
      </c>
      <c r="R3209" s="71">
        <f t="shared" si="455"/>
        <v>0</v>
      </c>
      <c r="S3209" s="71">
        <f t="shared" si="456"/>
        <v>0</v>
      </c>
      <c r="T3209" s="71">
        <f t="shared" si="457"/>
        <v>0</v>
      </c>
      <c r="U3209" s="71">
        <f>IF(AND(N3209=1,V3209=1),IF(COUNTIFS(AKTIVITAS!$B$2:$B$3052,B3209,AKTIVITAS!$E$2:$E$3052,H3209)&gt;0,1,0),0)</f>
        <v>0</v>
      </c>
      <c r="V3209" s="71">
        <f>IFERROR(IF(AND(H3209&gt;=INDEX(PEMAGANG!$J$3:$J$36,MATCH(B3209,PEMAGANG!$C$3:$C$36,0)),H3209&lt;=INDEX(PEMAGANG!$K$3:$K$36,MATCH(B3209,PEMAGANG!$C$3:$C$36,0))),1,0),0)</f>
        <v>0</v>
      </c>
      <c r="W3209" s="71">
        <f t="shared" si="458"/>
        <v>0</v>
      </c>
    </row>
    <row r="3210" spans="1:23" x14ac:dyDescent="0.2">
      <c r="A3210" s="71" t="s">
        <v>700</v>
      </c>
      <c r="B3210" s="71" t="s">
        <v>701</v>
      </c>
      <c r="C3210" s="71" t="s">
        <v>187</v>
      </c>
      <c r="D3210" s="71" t="s">
        <v>421</v>
      </c>
      <c r="E3210" s="71" t="s">
        <v>422</v>
      </c>
      <c r="F3210" s="71" t="s">
        <v>300</v>
      </c>
      <c r="G3210" s="88">
        <v>46234.637858796297</v>
      </c>
      <c r="H3210" s="89">
        <v>46234</v>
      </c>
      <c r="I3210" s="71" t="s">
        <v>625</v>
      </c>
      <c r="J3210" s="71">
        <v>0</v>
      </c>
      <c r="K3210" s="71" t="s">
        <v>302</v>
      </c>
      <c r="L3210" s="71">
        <f t="shared" si="450"/>
        <v>7</v>
      </c>
      <c r="M3210" s="71" t="str">
        <f>IFERROR(INDEX(KALENDER!$D$3:$D$132,MATCH(H3210,KALENDER!$A$3:$A$132,0)),"Di luar periode")</f>
        <v>Hari Kerja</v>
      </c>
      <c r="N3210" s="71">
        <f t="shared" si="451"/>
        <v>0</v>
      </c>
      <c r="O3210" s="71">
        <f t="shared" si="452"/>
        <v>1</v>
      </c>
      <c r="P3210" s="71">
        <f t="shared" si="453"/>
        <v>0</v>
      </c>
      <c r="Q3210" s="71">
        <f t="shared" si="454"/>
        <v>0</v>
      </c>
      <c r="R3210" s="71">
        <f t="shared" si="455"/>
        <v>0</v>
      </c>
      <c r="S3210" s="71">
        <f t="shared" si="456"/>
        <v>0</v>
      </c>
      <c r="T3210" s="71">
        <f t="shared" si="457"/>
        <v>0</v>
      </c>
      <c r="U3210" s="71">
        <f>IF(AND(N3210=1,V3210=1),IF(COUNTIFS(AKTIVITAS!$B$2:$B$3052,B3210,AKTIVITAS!$E$2:$E$3052,H3210)&gt;0,1,0),0)</f>
        <v>0</v>
      </c>
      <c r="V3210" s="71">
        <f>IFERROR(IF(AND(H3210&gt;=INDEX(PEMAGANG!$J$3:$J$36,MATCH(B3210,PEMAGANG!$C$3:$C$36,0)),H3210&lt;=INDEX(PEMAGANG!$K$3:$K$36,MATCH(B3210,PEMAGANG!$C$3:$C$36,0))),1,0),0)</f>
        <v>0</v>
      </c>
      <c r="W3210" s="71">
        <f t="shared" si="458"/>
        <v>0</v>
      </c>
    </row>
    <row r="3211" spans="1:23" x14ac:dyDescent="0.2">
      <c r="A3211" s="71" t="s">
        <v>700</v>
      </c>
      <c r="B3211" s="71" t="s">
        <v>701</v>
      </c>
      <c r="C3211" s="71" t="s">
        <v>187</v>
      </c>
      <c r="D3211" s="71" t="s">
        <v>421</v>
      </c>
      <c r="E3211" s="71" t="s">
        <v>422</v>
      </c>
      <c r="F3211" s="71" t="s">
        <v>298</v>
      </c>
      <c r="G3211" s="88">
        <v>46235.251018518502</v>
      </c>
      <c r="H3211" s="89">
        <v>46235</v>
      </c>
      <c r="I3211" s="71" t="s">
        <v>470</v>
      </c>
      <c r="J3211" s="71">
        <v>-119</v>
      </c>
      <c r="K3211" s="71" t="s">
        <v>302</v>
      </c>
      <c r="L3211" s="71">
        <f t="shared" si="450"/>
        <v>8</v>
      </c>
      <c r="M3211" s="71" t="str">
        <f>IFERROR(INDEX(KALENDER!$D$3:$D$132,MATCH(H3211,KALENDER!$A$3:$A$132,0)),"Di luar periode")</f>
        <v>Libur (Sabtu/Minggu)</v>
      </c>
      <c r="N3211" s="71">
        <f t="shared" si="451"/>
        <v>1</v>
      </c>
      <c r="O3211" s="71">
        <f t="shared" si="452"/>
        <v>1</v>
      </c>
      <c r="P3211" s="71">
        <f t="shared" si="453"/>
        <v>0</v>
      </c>
      <c r="Q3211" s="71">
        <f t="shared" si="454"/>
        <v>1</v>
      </c>
      <c r="R3211" s="71">
        <f t="shared" si="455"/>
        <v>0</v>
      </c>
      <c r="S3211" s="71">
        <f t="shared" si="456"/>
        <v>0</v>
      </c>
      <c r="T3211" s="71">
        <f t="shared" si="457"/>
        <v>0</v>
      </c>
      <c r="U3211" s="71">
        <f>IF(AND(N3211=1,V3211=1),IF(COUNTIFS(AKTIVITAS!$B$2:$B$3052,B3211,AKTIVITAS!$E$2:$E$3052,H3211)&gt;0,1,0),0)</f>
        <v>0</v>
      </c>
      <c r="V3211" s="71">
        <f>IFERROR(IF(AND(H3211&gt;=INDEX(PEMAGANG!$J$3:$J$36,MATCH(B3211,PEMAGANG!$C$3:$C$36,0)),H3211&lt;=INDEX(PEMAGANG!$K$3:$K$36,MATCH(B3211,PEMAGANG!$C$3:$C$36,0))),1,0),0)</f>
        <v>0</v>
      </c>
      <c r="W3211" s="71">
        <f t="shared" si="458"/>
        <v>0</v>
      </c>
    </row>
    <row r="3212" spans="1:23" x14ac:dyDescent="0.2">
      <c r="A3212" s="71" t="s">
        <v>700</v>
      </c>
      <c r="B3212" s="71" t="s">
        <v>701</v>
      </c>
      <c r="C3212" s="71" t="s">
        <v>187</v>
      </c>
      <c r="D3212" s="71" t="s">
        <v>421</v>
      </c>
      <c r="E3212" s="71" t="s">
        <v>422</v>
      </c>
      <c r="F3212" s="71" t="s">
        <v>300</v>
      </c>
      <c r="G3212" s="88">
        <v>46235.802199074104</v>
      </c>
      <c r="H3212" s="89">
        <v>46235</v>
      </c>
      <c r="I3212" s="71" t="s">
        <v>707</v>
      </c>
      <c r="J3212" s="71">
        <v>0</v>
      </c>
      <c r="K3212" s="71" t="s">
        <v>302</v>
      </c>
      <c r="L3212" s="71">
        <f t="shared" si="450"/>
        <v>8</v>
      </c>
      <c r="M3212" s="71" t="str">
        <f>IFERROR(INDEX(KALENDER!$D$3:$D$132,MATCH(H3212,KALENDER!$A$3:$A$132,0)),"Di luar periode")</f>
        <v>Libur (Sabtu/Minggu)</v>
      </c>
      <c r="N3212" s="71">
        <f t="shared" si="451"/>
        <v>0</v>
      </c>
      <c r="O3212" s="71">
        <f t="shared" si="452"/>
        <v>1</v>
      </c>
      <c r="P3212" s="71">
        <f t="shared" si="453"/>
        <v>0</v>
      </c>
      <c r="Q3212" s="71">
        <f t="shared" si="454"/>
        <v>0</v>
      </c>
      <c r="R3212" s="71">
        <f t="shared" si="455"/>
        <v>0</v>
      </c>
      <c r="S3212" s="71">
        <f t="shared" si="456"/>
        <v>0</v>
      </c>
      <c r="T3212" s="71">
        <f t="shared" si="457"/>
        <v>0</v>
      </c>
      <c r="U3212" s="71">
        <f>IF(AND(N3212=1,V3212=1),IF(COUNTIFS(AKTIVITAS!$B$2:$B$3052,B3212,AKTIVITAS!$E$2:$E$3052,H3212)&gt;0,1,0),0)</f>
        <v>0</v>
      </c>
      <c r="V3212" s="71">
        <f>IFERROR(IF(AND(H3212&gt;=INDEX(PEMAGANG!$J$3:$J$36,MATCH(B3212,PEMAGANG!$C$3:$C$36,0)),H3212&lt;=INDEX(PEMAGANG!$K$3:$K$36,MATCH(B3212,PEMAGANG!$C$3:$C$36,0))),1,0),0)</f>
        <v>0</v>
      </c>
      <c r="W3212" s="71">
        <f t="shared" si="458"/>
        <v>0</v>
      </c>
    </row>
    <row r="3213" spans="1:23" x14ac:dyDescent="0.2">
      <c r="A3213" s="71" t="s">
        <v>700</v>
      </c>
      <c r="B3213" s="71" t="s">
        <v>701</v>
      </c>
      <c r="C3213" s="71" t="s">
        <v>187</v>
      </c>
      <c r="D3213" s="71" t="s">
        <v>421</v>
      </c>
      <c r="E3213" s="71" t="s">
        <v>422</v>
      </c>
      <c r="F3213" s="71" t="s">
        <v>298</v>
      </c>
      <c r="G3213" s="88">
        <v>46236.259363425903</v>
      </c>
      <c r="H3213" s="89">
        <v>46236</v>
      </c>
      <c r="I3213" s="71" t="s">
        <v>456</v>
      </c>
      <c r="J3213" s="71">
        <v>-107</v>
      </c>
      <c r="K3213" s="71" t="s">
        <v>302</v>
      </c>
      <c r="L3213" s="71">
        <f t="shared" si="450"/>
        <v>8</v>
      </c>
      <c r="M3213" s="71" t="str">
        <f>IFERROR(INDEX(KALENDER!$D$3:$D$132,MATCH(H3213,KALENDER!$A$3:$A$132,0)),"Di luar periode")</f>
        <v>Libur (Sabtu/Minggu)</v>
      </c>
      <c r="N3213" s="71">
        <f t="shared" si="451"/>
        <v>1</v>
      </c>
      <c r="O3213" s="71">
        <f t="shared" si="452"/>
        <v>1</v>
      </c>
      <c r="P3213" s="71">
        <f t="shared" si="453"/>
        <v>0</v>
      </c>
      <c r="Q3213" s="71">
        <f t="shared" si="454"/>
        <v>1</v>
      </c>
      <c r="R3213" s="71">
        <f t="shared" si="455"/>
        <v>0</v>
      </c>
      <c r="S3213" s="71">
        <f t="shared" si="456"/>
        <v>0</v>
      </c>
      <c r="T3213" s="71">
        <f t="shared" si="457"/>
        <v>0</v>
      </c>
      <c r="U3213" s="71">
        <f>IF(AND(N3213=1,V3213=1),IF(COUNTIFS(AKTIVITAS!$B$2:$B$3052,B3213,AKTIVITAS!$E$2:$E$3052,H3213)&gt;0,1,0),0)</f>
        <v>0</v>
      </c>
      <c r="V3213" s="71">
        <f>IFERROR(IF(AND(H3213&gt;=INDEX(PEMAGANG!$J$3:$J$36,MATCH(B3213,PEMAGANG!$C$3:$C$36,0)),H3213&lt;=INDEX(PEMAGANG!$K$3:$K$36,MATCH(B3213,PEMAGANG!$C$3:$C$36,0))),1,0),0)</f>
        <v>0</v>
      </c>
      <c r="W3213" s="71">
        <f t="shared" si="458"/>
        <v>0</v>
      </c>
    </row>
    <row r="3214" spans="1:23" x14ac:dyDescent="0.2">
      <c r="A3214" s="71" t="s">
        <v>700</v>
      </c>
      <c r="B3214" s="71" t="s">
        <v>701</v>
      </c>
      <c r="C3214" s="71" t="s">
        <v>187</v>
      </c>
      <c r="D3214" s="71" t="s">
        <v>421</v>
      </c>
      <c r="E3214" s="71" t="s">
        <v>422</v>
      </c>
      <c r="F3214" s="71" t="s">
        <v>300</v>
      </c>
      <c r="G3214" s="88">
        <v>46236.796030092599</v>
      </c>
      <c r="H3214" s="89">
        <v>46236</v>
      </c>
      <c r="I3214" s="71" t="s">
        <v>708</v>
      </c>
      <c r="J3214" s="71">
        <v>0</v>
      </c>
      <c r="K3214" s="71" t="s">
        <v>302</v>
      </c>
      <c r="L3214" s="71">
        <f t="shared" si="450"/>
        <v>8</v>
      </c>
      <c r="M3214" s="71" t="str">
        <f>IFERROR(INDEX(KALENDER!$D$3:$D$132,MATCH(H3214,KALENDER!$A$3:$A$132,0)),"Di luar periode")</f>
        <v>Libur (Sabtu/Minggu)</v>
      </c>
      <c r="N3214" s="71">
        <f t="shared" si="451"/>
        <v>0</v>
      </c>
      <c r="O3214" s="71">
        <f t="shared" si="452"/>
        <v>1</v>
      </c>
      <c r="P3214" s="71">
        <f t="shared" si="453"/>
        <v>0</v>
      </c>
      <c r="Q3214" s="71">
        <f t="shared" si="454"/>
        <v>0</v>
      </c>
      <c r="R3214" s="71">
        <f t="shared" si="455"/>
        <v>0</v>
      </c>
      <c r="S3214" s="71">
        <f t="shared" si="456"/>
        <v>0</v>
      </c>
      <c r="T3214" s="71">
        <f t="shared" si="457"/>
        <v>0</v>
      </c>
      <c r="U3214" s="71">
        <f>IF(AND(N3214=1,V3214=1),IF(COUNTIFS(AKTIVITAS!$B$2:$B$3052,B3214,AKTIVITAS!$E$2:$E$3052,H3214)&gt;0,1,0),0)</f>
        <v>0</v>
      </c>
      <c r="V3214" s="71">
        <f>IFERROR(IF(AND(H3214&gt;=INDEX(PEMAGANG!$J$3:$J$36,MATCH(B3214,PEMAGANG!$C$3:$C$36,0)),H3214&lt;=INDEX(PEMAGANG!$K$3:$K$36,MATCH(B3214,PEMAGANG!$C$3:$C$36,0))),1,0),0)</f>
        <v>0</v>
      </c>
      <c r="W3214" s="71">
        <f t="shared" si="458"/>
        <v>0</v>
      </c>
    </row>
    <row r="3215" spans="1:23" x14ac:dyDescent="0.2">
      <c r="A3215" s="71" t="s">
        <v>700</v>
      </c>
      <c r="B3215" s="71" t="s">
        <v>701</v>
      </c>
      <c r="C3215" s="71" t="s">
        <v>187</v>
      </c>
      <c r="D3215" s="71" t="s">
        <v>421</v>
      </c>
      <c r="E3215" s="71" t="s">
        <v>422</v>
      </c>
      <c r="F3215" s="71" t="s">
        <v>298</v>
      </c>
      <c r="G3215" s="88">
        <v>46238.2331134259</v>
      </c>
      <c r="H3215" s="89">
        <v>46238</v>
      </c>
      <c r="I3215" s="71" t="s">
        <v>687</v>
      </c>
      <c r="J3215" s="71">
        <v>-145</v>
      </c>
      <c r="K3215" s="71" t="s">
        <v>302</v>
      </c>
      <c r="L3215" s="71">
        <f t="shared" si="450"/>
        <v>8</v>
      </c>
      <c r="M3215" s="71" t="str">
        <f>IFERROR(INDEX(KALENDER!$D$3:$D$132,MATCH(H3215,KALENDER!$A$3:$A$132,0)),"Di luar periode")</f>
        <v>Hari Kerja</v>
      </c>
      <c r="N3215" s="71">
        <f t="shared" si="451"/>
        <v>1</v>
      </c>
      <c r="O3215" s="71">
        <f t="shared" si="452"/>
        <v>1</v>
      </c>
      <c r="P3215" s="71">
        <f t="shared" si="453"/>
        <v>0</v>
      </c>
      <c r="Q3215" s="71">
        <f t="shared" si="454"/>
        <v>1</v>
      </c>
      <c r="R3215" s="71">
        <f t="shared" si="455"/>
        <v>0</v>
      </c>
      <c r="S3215" s="71">
        <f t="shared" si="456"/>
        <v>0</v>
      </c>
      <c r="T3215" s="71">
        <f t="shared" si="457"/>
        <v>0</v>
      </c>
      <c r="U3215" s="71">
        <f>IF(AND(N3215=1,V3215=1),IF(COUNTIFS(AKTIVITAS!$B$2:$B$3052,B3215,AKTIVITAS!$E$2:$E$3052,H3215)&gt;0,1,0),0)</f>
        <v>0</v>
      </c>
      <c r="V3215" s="71">
        <f>IFERROR(IF(AND(H3215&gt;=INDEX(PEMAGANG!$J$3:$J$36,MATCH(B3215,PEMAGANG!$C$3:$C$36,0)),H3215&lt;=INDEX(PEMAGANG!$K$3:$K$36,MATCH(B3215,PEMAGANG!$C$3:$C$36,0))),1,0),0)</f>
        <v>0</v>
      </c>
      <c r="W3215" s="71">
        <f t="shared" si="458"/>
        <v>0</v>
      </c>
    </row>
    <row r="3216" spans="1:23" x14ac:dyDescent="0.2">
      <c r="A3216" s="71" t="s">
        <v>700</v>
      </c>
      <c r="B3216" s="71" t="s">
        <v>701</v>
      </c>
      <c r="C3216" s="71" t="s">
        <v>187</v>
      </c>
      <c r="D3216" s="71" t="s">
        <v>421</v>
      </c>
      <c r="E3216" s="71" t="s">
        <v>422</v>
      </c>
      <c r="F3216" s="71" t="s">
        <v>300</v>
      </c>
      <c r="G3216" s="88">
        <v>46238.633101851898</v>
      </c>
      <c r="H3216" s="89">
        <v>46238</v>
      </c>
      <c r="I3216" s="71" t="s">
        <v>709</v>
      </c>
      <c r="J3216" s="71">
        <v>0</v>
      </c>
      <c r="K3216" s="71" t="s">
        <v>302</v>
      </c>
      <c r="L3216" s="71">
        <f t="shared" si="450"/>
        <v>8</v>
      </c>
      <c r="M3216" s="71" t="str">
        <f>IFERROR(INDEX(KALENDER!$D$3:$D$132,MATCH(H3216,KALENDER!$A$3:$A$132,0)),"Di luar periode")</f>
        <v>Hari Kerja</v>
      </c>
      <c r="N3216" s="71">
        <f t="shared" si="451"/>
        <v>0</v>
      </c>
      <c r="O3216" s="71">
        <f t="shared" si="452"/>
        <v>1</v>
      </c>
      <c r="P3216" s="71">
        <f t="shared" si="453"/>
        <v>0</v>
      </c>
      <c r="Q3216" s="71">
        <f t="shared" si="454"/>
        <v>0</v>
      </c>
      <c r="R3216" s="71">
        <f t="shared" si="455"/>
        <v>0</v>
      </c>
      <c r="S3216" s="71">
        <f t="shared" si="456"/>
        <v>0</v>
      </c>
      <c r="T3216" s="71">
        <f t="shared" si="457"/>
        <v>0</v>
      </c>
      <c r="U3216" s="71">
        <f>IF(AND(N3216=1,V3216=1),IF(COUNTIFS(AKTIVITAS!$B$2:$B$3052,B3216,AKTIVITAS!$E$2:$E$3052,H3216)&gt;0,1,0),0)</f>
        <v>0</v>
      </c>
      <c r="V3216" s="71">
        <f>IFERROR(IF(AND(H3216&gt;=INDEX(PEMAGANG!$J$3:$J$36,MATCH(B3216,PEMAGANG!$C$3:$C$36,0)),H3216&lt;=INDEX(PEMAGANG!$K$3:$K$36,MATCH(B3216,PEMAGANG!$C$3:$C$36,0))),1,0),0)</f>
        <v>0</v>
      </c>
      <c r="W3216" s="71">
        <f t="shared" si="458"/>
        <v>0</v>
      </c>
    </row>
    <row r="3217" spans="1:23" x14ac:dyDescent="0.2">
      <c r="A3217" s="71" t="s">
        <v>700</v>
      </c>
      <c r="B3217" s="71" t="s">
        <v>701</v>
      </c>
      <c r="C3217" s="71" t="s">
        <v>187</v>
      </c>
      <c r="D3217" s="71" t="s">
        <v>421</v>
      </c>
      <c r="E3217" s="71" t="s">
        <v>422</v>
      </c>
      <c r="F3217" s="71" t="s">
        <v>298</v>
      </c>
      <c r="G3217" s="88">
        <v>46239.2730787037</v>
      </c>
      <c r="H3217" s="89">
        <v>46239</v>
      </c>
      <c r="I3217" s="71" t="s">
        <v>505</v>
      </c>
      <c r="J3217" s="71">
        <v>-87</v>
      </c>
      <c r="K3217" s="71" t="s">
        <v>302</v>
      </c>
      <c r="L3217" s="71">
        <f t="shared" si="450"/>
        <v>8</v>
      </c>
      <c r="M3217" s="71" t="str">
        <f>IFERROR(INDEX(KALENDER!$D$3:$D$132,MATCH(H3217,KALENDER!$A$3:$A$132,0)),"Di luar periode")</f>
        <v>Hari Kerja</v>
      </c>
      <c r="N3217" s="71">
        <f t="shared" si="451"/>
        <v>1</v>
      </c>
      <c r="O3217" s="71">
        <f t="shared" si="452"/>
        <v>1</v>
      </c>
      <c r="P3217" s="71">
        <f t="shared" si="453"/>
        <v>0</v>
      </c>
      <c r="Q3217" s="71">
        <f t="shared" si="454"/>
        <v>1</v>
      </c>
      <c r="R3217" s="71">
        <f t="shared" si="455"/>
        <v>0</v>
      </c>
      <c r="S3217" s="71">
        <f t="shared" si="456"/>
        <v>0</v>
      </c>
      <c r="T3217" s="71">
        <f t="shared" si="457"/>
        <v>0</v>
      </c>
      <c r="U3217" s="71">
        <f>IF(AND(N3217=1,V3217=1),IF(COUNTIFS(AKTIVITAS!$B$2:$B$3052,B3217,AKTIVITAS!$E$2:$E$3052,H3217)&gt;0,1,0),0)</f>
        <v>0</v>
      </c>
      <c r="V3217" s="71">
        <f>IFERROR(IF(AND(H3217&gt;=INDEX(PEMAGANG!$J$3:$J$36,MATCH(B3217,PEMAGANG!$C$3:$C$36,0)),H3217&lt;=INDEX(PEMAGANG!$K$3:$K$36,MATCH(B3217,PEMAGANG!$C$3:$C$36,0))),1,0),0)</f>
        <v>0</v>
      </c>
      <c r="W3217" s="71">
        <f t="shared" si="458"/>
        <v>0</v>
      </c>
    </row>
    <row r="3218" spans="1:23" x14ac:dyDescent="0.2">
      <c r="A3218" s="71" t="s">
        <v>700</v>
      </c>
      <c r="B3218" s="71" t="s">
        <v>701</v>
      </c>
      <c r="C3218" s="71" t="s">
        <v>187</v>
      </c>
      <c r="D3218" s="71" t="s">
        <v>421</v>
      </c>
      <c r="E3218" s="71" t="s">
        <v>422</v>
      </c>
      <c r="F3218" s="71" t="s">
        <v>300</v>
      </c>
      <c r="G3218" s="88">
        <v>46239.629872685196</v>
      </c>
      <c r="H3218" s="89">
        <v>46239</v>
      </c>
      <c r="I3218" s="71" t="s">
        <v>710</v>
      </c>
      <c r="J3218" s="71">
        <v>0</v>
      </c>
      <c r="K3218" s="71" t="s">
        <v>302</v>
      </c>
      <c r="L3218" s="71">
        <f t="shared" si="450"/>
        <v>8</v>
      </c>
      <c r="M3218" s="71" t="str">
        <f>IFERROR(INDEX(KALENDER!$D$3:$D$132,MATCH(H3218,KALENDER!$A$3:$A$132,0)),"Di luar periode")</f>
        <v>Hari Kerja</v>
      </c>
      <c r="N3218" s="71">
        <f t="shared" si="451"/>
        <v>0</v>
      </c>
      <c r="O3218" s="71">
        <f t="shared" si="452"/>
        <v>1</v>
      </c>
      <c r="P3218" s="71">
        <f t="shared" si="453"/>
        <v>0</v>
      </c>
      <c r="Q3218" s="71">
        <f t="shared" si="454"/>
        <v>0</v>
      </c>
      <c r="R3218" s="71">
        <f t="shared" si="455"/>
        <v>0</v>
      </c>
      <c r="S3218" s="71">
        <f t="shared" si="456"/>
        <v>0</v>
      </c>
      <c r="T3218" s="71">
        <f t="shared" si="457"/>
        <v>0</v>
      </c>
      <c r="U3218" s="71">
        <f>IF(AND(N3218=1,V3218=1),IF(COUNTIFS(AKTIVITAS!$B$2:$B$3052,B3218,AKTIVITAS!$E$2:$E$3052,H3218)&gt;0,1,0),0)</f>
        <v>0</v>
      </c>
      <c r="V3218" s="71">
        <f>IFERROR(IF(AND(H3218&gt;=INDEX(PEMAGANG!$J$3:$J$36,MATCH(B3218,PEMAGANG!$C$3:$C$36,0)),H3218&lt;=INDEX(PEMAGANG!$K$3:$K$36,MATCH(B3218,PEMAGANG!$C$3:$C$36,0))),1,0),0)</f>
        <v>0</v>
      </c>
      <c r="W3218" s="71">
        <f t="shared" si="458"/>
        <v>0</v>
      </c>
    </row>
    <row r="3219" spans="1:23" x14ac:dyDescent="0.2">
      <c r="A3219" s="71" t="s">
        <v>700</v>
      </c>
      <c r="B3219" s="71" t="s">
        <v>701</v>
      </c>
      <c r="C3219" s="71" t="s">
        <v>187</v>
      </c>
      <c r="D3219" s="71" t="s">
        <v>421</v>
      </c>
      <c r="E3219" s="71" t="s">
        <v>422</v>
      </c>
      <c r="F3219" s="71" t="s">
        <v>298</v>
      </c>
      <c r="G3219" s="88">
        <v>46240.241168981498</v>
      </c>
      <c r="H3219" s="89">
        <v>46240</v>
      </c>
      <c r="I3219" s="71" t="s">
        <v>685</v>
      </c>
      <c r="J3219" s="71">
        <v>-133</v>
      </c>
      <c r="K3219" s="71" t="s">
        <v>302</v>
      </c>
      <c r="L3219" s="71">
        <f t="shared" si="450"/>
        <v>8</v>
      </c>
      <c r="M3219" s="71" t="str">
        <f>IFERROR(INDEX(KALENDER!$D$3:$D$132,MATCH(H3219,KALENDER!$A$3:$A$132,0)),"Di luar periode")</f>
        <v>Hari Kerja</v>
      </c>
      <c r="N3219" s="71">
        <f t="shared" si="451"/>
        <v>1</v>
      </c>
      <c r="O3219" s="71">
        <f t="shared" si="452"/>
        <v>1</v>
      </c>
      <c r="P3219" s="71">
        <f t="shared" si="453"/>
        <v>0</v>
      </c>
      <c r="Q3219" s="71">
        <f t="shared" si="454"/>
        <v>1</v>
      </c>
      <c r="R3219" s="71">
        <f t="shared" si="455"/>
        <v>0</v>
      </c>
      <c r="S3219" s="71">
        <f t="shared" si="456"/>
        <v>0</v>
      </c>
      <c r="T3219" s="71">
        <f t="shared" si="457"/>
        <v>0</v>
      </c>
      <c r="U3219" s="71">
        <f>IF(AND(N3219=1,V3219=1),IF(COUNTIFS(AKTIVITAS!$B$2:$B$3052,B3219,AKTIVITAS!$E$2:$E$3052,H3219)&gt;0,1,0),0)</f>
        <v>0</v>
      </c>
      <c r="V3219" s="71">
        <f>IFERROR(IF(AND(H3219&gt;=INDEX(PEMAGANG!$J$3:$J$36,MATCH(B3219,PEMAGANG!$C$3:$C$36,0)),H3219&lt;=INDEX(PEMAGANG!$K$3:$K$36,MATCH(B3219,PEMAGANG!$C$3:$C$36,0))),1,0),0)</f>
        <v>0</v>
      </c>
      <c r="W3219" s="71">
        <f t="shared" si="458"/>
        <v>0</v>
      </c>
    </row>
    <row r="3220" spans="1:23" x14ac:dyDescent="0.2">
      <c r="A3220" s="71" t="s">
        <v>700</v>
      </c>
      <c r="B3220" s="71" t="s">
        <v>701</v>
      </c>
      <c r="C3220" s="71" t="s">
        <v>187</v>
      </c>
      <c r="D3220" s="71" t="s">
        <v>421</v>
      </c>
      <c r="E3220" s="71" t="s">
        <v>422</v>
      </c>
      <c r="F3220" s="71" t="s">
        <v>300</v>
      </c>
      <c r="G3220" s="88">
        <v>46240.628171296303</v>
      </c>
      <c r="H3220" s="89">
        <v>46240</v>
      </c>
      <c r="I3220" s="71" t="s">
        <v>706</v>
      </c>
      <c r="J3220" s="71">
        <v>0</v>
      </c>
      <c r="K3220" s="71" t="s">
        <v>302</v>
      </c>
      <c r="L3220" s="71">
        <f t="shared" si="450"/>
        <v>8</v>
      </c>
      <c r="M3220" s="71" t="str">
        <f>IFERROR(INDEX(KALENDER!$D$3:$D$132,MATCH(H3220,KALENDER!$A$3:$A$132,0)),"Di luar periode")</f>
        <v>Hari Kerja</v>
      </c>
      <c r="N3220" s="71">
        <f t="shared" si="451"/>
        <v>0</v>
      </c>
      <c r="O3220" s="71">
        <f t="shared" si="452"/>
        <v>1</v>
      </c>
      <c r="P3220" s="71">
        <f t="shared" si="453"/>
        <v>0</v>
      </c>
      <c r="Q3220" s="71">
        <f t="shared" si="454"/>
        <v>0</v>
      </c>
      <c r="R3220" s="71">
        <f t="shared" si="455"/>
        <v>0</v>
      </c>
      <c r="S3220" s="71">
        <f t="shared" si="456"/>
        <v>0</v>
      </c>
      <c r="T3220" s="71">
        <f t="shared" si="457"/>
        <v>0</v>
      </c>
      <c r="U3220" s="71">
        <f>IF(AND(N3220=1,V3220=1),IF(COUNTIFS(AKTIVITAS!$B$2:$B$3052,B3220,AKTIVITAS!$E$2:$E$3052,H3220)&gt;0,1,0),0)</f>
        <v>0</v>
      </c>
      <c r="V3220" s="71">
        <f>IFERROR(IF(AND(H3220&gt;=INDEX(PEMAGANG!$J$3:$J$36,MATCH(B3220,PEMAGANG!$C$3:$C$36,0)),H3220&lt;=INDEX(PEMAGANG!$K$3:$K$36,MATCH(B3220,PEMAGANG!$C$3:$C$36,0))),1,0),0)</f>
        <v>0</v>
      </c>
      <c r="W3220" s="71">
        <f t="shared" si="458"/>
        <v>0</v>
      </c>
    </row>
    <row r="3221" spans="1:23" x14ac:dyDescent="0.2">
      <c r="A3221" s="71" t="s">
        <v>700</v>
      </c>
      <c r="B3221" s="71" t="s">
        <v>701</v>
      </c>
      <c r="C3221" s="71" t="s">
        <v>187</v>
      </c>
      <c r="D3221" s="71" t="s">
        <v>421</v>
      </c>
      <c r="E3221" s="71" t="s">
        <v>422</v>
      </c>
      <c r="F3221" s="71" t="s">
        <v>298</v>
      </c>
      <c r="G3221" s="88">
        <v>46241.272476851896</v>
      </c>
      <c r="H3221" s="89">
        <v>46241</v>
      </c>
      <c r="I3221" s="71" t="s">
        <v>453</v>
      </c>
      <c r="J3221" s="71">
        <v>-88</v>
      </c>
      <c r="K3221" s="71" t="s">
        <v>302</v>
      </c>
      <c r="L3221" s="71">
        <f t="shared" si="450"/>
        <v>8</v>
      </c>
      <c r="M3221" s="71" t="str">
        <f>IFERROR(INDEX(KALENDER!$D$3:$D$132,MATCH(H3221,KALENDER!$A$3:$A$132,0)),"Di luar periode")</f>
        <v>Hari Kerja</v>
      </c>
      <c r="N3221" s="71">
        <f t="shared" si="451"/>
        <v>1</v>
      </c>
      <c r="O3221" s="71">
        <f t="shared" si="452"/>
        <v>1</v>
      </c>
      <c r="P3221" s="71">
        <f t="shared" si="453"/>
        <v>0</v>
      </c>
      <c r="Q3221" s="71">
        <f t="shared" si="454"/>
        <v>1</v>
      </c>
      <c r="R3221" s="71">
        <f t="shared" si="455"/>
        <v>0</v>
      </c>
      <c r="S3221" s="71">
        <f t="shared" si="456"/>
        <v>0</v>
      </c>
      <c r="T3221" s="71">
        <f t="shared" si="457"/>
        <v>0</v>
      </c>
      <c r="U3221" s="71">
        <f>IF(AND(N3221=1,V3221=1),IF(COUNTIFS(AKTIVITAS!$B$2:$B$3052,B3221,AKTIVITAS!$E$2:$E$3052,H3221)&gt;0,1,0),0)</f>
        <v>0</v>
      </c>
      <c r="V3221" s="71">
        <f>IFERROR(IF(AND(H3221&gt;=INDEX(PEMAGANG!$J$3:$J$36,MATCH(B3221,PEMAGANG!$C$3:$C$36,0)),H3221&lt;=INDEX(PEMAGANG!$K$3:$K$36,MATCH(B3221,PEMAGANG!$C$3:$C$36,0))),1,0),0)</f>
        <v>0</v>
      </c>
      <c r="W3221" s="71">
        <f t="shared" si="458"/>
        <v>0</v>
      </c>
    </row>
    <row r="3222" spans="1:23" x14ac:dyDescent="0.2">
      <c r="A3222" s="71" t="s">
        <v>700</v>
      </c>
      <c r="B3222" s="71" t="s">
        <v>701</v>
      </c>
      <c r="C3222" s="71" t="s">
        <v>187</v>
      </c>
      <c r="D3222" s="71" t="s">
        <v>421</v>
      </c>
      <c r="E3222" s="71" t="s">
        <v>422</v>
      </c>
      <c r="F3222" s="71" t="s">
        <v>300</v>
      </c>
      <c r="G3222" s="88">
        <v>46241.625833333303</v>
      </c>
      <c r="H3222" s="89">
        <v>46241</v>
      </c>
      <c r="I3222" s="71" t="s">
        <v>621</v>
      </c>
      <c r="J3222" s="71">
        <v>0</v>
      </c>
      <c r="K3222" s="71" t="s">
        <v>302</v>
      </c>
      <c r="L3222" s="71">
        <f t="shared" si="450"/>
        <v>8</v>
      </c>
      <c r="M3222" s="71" t="str">
        <f>IFERROR(INDEX(KALENDER!$D$3:$D$132,MATCH(H3222,KALENDER!$A$3:$A$132,0)),"Di luar periode")</f>
        <v>Hari Kerja</v>
      </c>
      <c r="N3222" s="71">
        <f t="shared" si="451"/>
        <v>0</v>
      </c>
      <c r="O3222" s="71">
        <f t="shared" si="452"/>
        <v>1</v>
      </c>
      <c r="P3222" s="71">
        <f t="shared" si="453"/>
        <v>0</v>
      </c>
      <c r="Q3222" s="71">
        <f t="shared" si="454"/>
        <v>0</v>
      </c>
      <c r="R3222" s="71">
        <f t="shared" si="455"/>
        <v>0</v>
      </c>
      <c r="S3222" s="71">
        <f t="shared" si="456"/>
        <v>0</v>
      </c>
      <c r="T3222" s="71">
        <f t="shared" si="457"/>
        <v>0</v>
      </c>
      <c r="U3222" s="71">
        <f>IF(AND(N3222=1,V3222=1),IF(COUNTIFS(AKTIVITAS!$B$2:$B$3052,B3222,AKTIVITAS!$E$2:$E$3052,H3222)&gt;0,1,0),0)</f>
        <v>0</v>
      </c>
      <c r="V3222" s="71">
        <f>IFERROR(IF(AND(H3222&gt;=INDEX(PEMAGANG!$J$3:$J$36,MATCH(B3222,PEMAGANG!$C$3:$C$36,0)),H3222&lt;=INDEX(PEMAGANG!$K$3:$K$36,MATCH(B3222,PEMAGANG!$C$3:$C$36,0))),1,0),0)</f>
        <v>0</v>
      </c>
      <c r="W3222" s="71">
        <f t="shared" si="458"/>
        <v>0</v>
      </c>
    </row>
    <row r="3223" spans="1:23" x14ac:dyDescent="0.2">
      <c r="A3223" s="71" t="s">
        <v>700</v>
      </c>
      <c r="B3223" s="71" t="s">
        <v>701</v>
      </c>
      <c r="C3223" s="71" t="s">
        <v>187</v>
      </c>
      <c r="D3223" s="71" t="s">
        <v>421</v>
      </c>
      <c r="E3223" s="71" t="s">
        <v>422</v>
      </c>
      <c r="F3223" s="71" t="s">
        <v>298</v>
      </c>
      <c r="G3223" s="88">
        <v>46242.2609606482</v>
      </c>
      <c r="H3223" s="89">
        <v>46242</v>
      </c>
      <c r="I3223" s="71" t="s">
        <v>435</v>
      </c>
      <c r="J3223" s="71">
        <v>-105</v>
      </c>
      <c r="K3223" s="71" t="s">
        <v>302</v>
      </c>
      <c r="L3223" s="71">
        <f t="shared" si="450"/>
        <v>8</v>
      </c>
      <c r="M3223" s="71" t="str">
        <f>IFERROR(INDEX(KALENDER!$D$3:$D$132,MATCH(H3223,KALENDER!$A$3:$A$132,0)),"Di luar periode")</f>
        <v>Libur (Sabtu/Minggu)</v>
      </c>
      <c r="N3223" s="71">
        <f t="shared" si="451"/>
        <v>1</v>
      </c>
      <c r="O3223" s="71">
        <f t="shared" si="452"/>
        <v>1</v>
      </c>
      <c r="P3223" s="71">
        <f t="shared" si="453"/>
        <v>0</v>
      </c>
      <c r="Q3223" s="71">
        <f t="shared" si="454"/>
        <v>1</v>
      </c>
      <c r="R3223" s="71">
        <f t="shared" si="455"/>
        <v>0</v>
      </c>
      <c r="S3223" s="71">
        <f t="shared" si="456"/>
        <v>0</v>
      </c>
      <c r="T3223" s="71">
        <f t="shared" si="457"/>
        <v>0</v>
      </c>
      <c r="U3223" s="71">
        <f>IF(AND(N3223=1,V3223=1),IF(COUNTIFS(AKTIVITAS!$B$2:$B$3052,B3223,AKTIVITAS!$E$2:$E$3052,H3223)&gt;0,1,0),0)</f>
        <v>0</v>
      </c>
      <c r="V3223" s="71">
        <f>IFERROR(IF(AND(H3223&gt;=INDEX(PEMAGANG!$J$3:$J$36,MATCH(B3223,PEMAGANG!$C$3:$C$36,0)),H3223&lt;=INDEX(PEMAGANG!$K$3:$K$36,MATCH(B3223,PEMAGANG!$C$3:$C$36,0))),1,0),0)</f>
        <v>0</v>
      </c>
      <c r="W3223" s="71">
        <f t="shared" si="458"/>
        <v>0</v>
      </c>
    </row>
    <row r="3224" spans="1:23" x14ac:dyDescent="0.2">
      <c r="A3224" s="71" t="s">
        <v>700</v>
      </c>
      <c r="B3224" s="71" t="s">
        <v>701</v>
      </c>
      <c r="C3224" s="71" t="s">
        <v>187</v>
      </c>
      <c r="D3224" s="71" t="s">
        <v>421</v>
      </c>
      <c r="E3224" s="71" t="s">
        <v>422</v>
      </c>
      <c r="F3224" s="71" t="s">
        <v>300</v>
      </c>
      <c r="G3224" s="88">
        <v>46242.792743055601</v>
      </c>
      <c r="H3224" s="89">
        <v>46242</v>
      </c>
      <c r="I3224" s="71" t="s">
        <v>628</v>
      </c>
      <c r="J3224" s="71">
        <v>0</v>
      </c>
      <c r="K3224" s="71" t="s">
        <v>302</v>
      </c>
      <c r="L3224" s="71">
        <f t="shared" si="450"/>
        <v>8</v>
      </c>
      <c r="M3224" s="71" t="str">
        <f>IFERROR(INDEX(KALENDER!$D$3:$D$132,MATCH(H3224,KALENDER!$A$3:$A$132,0)),"Di luar periode")</f>
        <v>Libur (Sabtu/Minggu)</v>
      </c>
      <c r="N3224" s="71">
        <f t="shared" si="451"/>
        <v>0</v>
      </c>
      <c r="O3224" s="71">
        <f t="shared" si="452"/>
        <v>1</v>
      </c>
      <c r="P3224" s="71">
        <f t="shared" si="453"/>
        <v>0</v>
      </c>
      <c r="Q3224" s="71">
        <f t="shared" si="454"/>
        <v>0</v>
      </c>
      <c r="R3224" s="71">
        <f t="shared" si="455"/>
        <v>0</v>
      </c>
      <c r="S3224" s="71">
        <f t="shared" si="456"/>
        <v>0</v>
      </c>
      <c r="T3224" s="71">
        <f t="shared" si="457"/>
        <v>0</v>
      </c>
      <c r="U3224" s="71">
        <f>IF(AND(N3224=1,V3224=1),IF(COUNTIFS(AKTIVITAS!$B$2:$B$3052,B3224,AKTIVITAS!$E$2:$E$3052,H3224)&gt;0,1,0),0)</f>
        <v>0</v>
      </c>
      <c r="V3224" s="71">
        <f>IFERROR(IF(AND(H3224&gt;=INDEX(PEMAGANG!$J$3:$J$36,MATCH(B3224,PEMAGANG!$C$3:$C$36,0)),H3224&lt;=INDEX(PEMAGANG!$K$3:$K$36,MATCH(B3224,PEMAGANG!$C$3:$C$36,0))),1,0),0)</f>
        <v>0</v>
      </c>
      <c r="W3224" s="71">
        <f t="shared" si="458"/>
        <v>0</v>
      </c>
    </row>
    <row r="3225" spans="1:23" x14ac:dyDescent="0.2">
      <c r="A3225" s="71" t="s">
        <v>700</v>
      </c>
      <c r="B3225" s="71" t="s">
        <v>701</v>
      </c>
      <c r="C3225" s="71" t="s">
        <v>187</v>
      </c>
      <c r="D3225" s="71" t="s">
        <v>421</v>
      </c>
      <c r="E3225" s="71" t="s">
        <v>422</v>
      </c>
      <c r="F3225" s="71" t="s">
        <v>298</v>
      </c>
      <c r="G3225" s="88">
        <v>46243.256608796299</v>
      </c>
      <c r="H3225" s="89">
        <v>46243</v>
      </c>
      <c r="I3225" s="71" t="s">
        <v>457</v>
      </c>
      <c r="J3225" s="71">
        <v>-111</v>
      </c>
      <c r="K3225" s="71" t="s">
        <v>302</v>
      </c>
      <c r="L3225" s="71">
        <f t="shared" si="450"/>
        <v>8</v>
      </c>
      <c r="M3225" s="71" t="str">
        <f>IFERROR(INDEX(KALENDER!$D$3:$D$132,MATCH(H3225,KALENDER!$A$3:$A$132,0)),"Di luar periode")</f>
        <v>Libur (Sabtu/Minggu)</v>
      </c>
      <c r="N3225" s="71">
        <f t="shared" si="451"/>
        <v>1</v>
      </c>
      <c r="O3225" s="71">
        <f t="shared" si="452"/>
        <v>1</v>
      </c>
      <c r="P3225" s="71">
        <f t="shared" si="453"/>
        <v>0</v>
      </c>
      <c r="Q3225" s="71">
        <f t="shared" si="454"/>
        <v>1</v>
      </c>
      <c r="R3225" s="71">
        <f t="shared" si="455"/>
        <v>0</v>
      </c>
      <c r="S3225" s="71">
        <f t="shared" si="456"/>
        <v>0</v>
      </c>
      <c r="T3225" s="71">
        <f t="shared" si="457"/>
        <v>0</v>
      </c>
      <c r="U3225" s="71">
        <f>IF(AND(N3225=1,V3225=1),IF(COUNTIFS(AKTIVITAS!$B$2:$B$3052,B3225,AKTIVITAS!$E$2:$E$3052,H3225)&gt;0,1,0),0)</f>
        <v>0</v>
      </c>
      <c r="V3225" s="71">
        <f>IFERROR(IF(AND(H3225&gt;=INDEX(PEMAGANG!$J$3:$J$36,MATCH(B3225,PEMAGANG!$C$3:$C$36,0)),H3225&lt;=INDEX(PEMAGANG!$K$3:$K$36,MATCH(B3225,PEMAGANG!$C$3:$C$36,0))),1,0),0)</f>
        <v>0</v>
      </c>
      <c r="W3225" s="71">
        <f t="shared" si="458"/>
        <v>0</v>
      </c>
    </row>
    <row r="3226" spans="1:23" x14ac:dyDescent="0.2">
      <c r="A3226" s="71" t="s">
        <v>700</v>
      </c>
      <c r="B3226" s="71" t="s">
        <v>701</v>
      </c>
      <c r="C3226" s="71" t="s">
        <v>187</v>
      </c>
      <c r="D3226" s="71" t="s">
        <v>421</v>
      </c>
      <c r="E3226" s="71" t="s">
        <v>422</v>
      </c>
      <c r="F3226" s="71" t="s">
        <v>300</v>
      </c>
      <c r="G3226" s="88">
        <v>46243.798483796301</v>
      </c>
      <c r="H3226" s="89">
        <v>46243</v>
      </c>
      <c r="I3226" s="71" t="s">
        <v>711</v>
      </c>
      <c r="J3226" s="71">
        <v>0</v>
      </c>
      <c r="K3226" s="71" t="s">
        <v>302</v>
      </c>
      <c r="L3226" s="71">
        <f t="shared" si="450"/>
        <v>8</v>
      </c>
      <c r="M3226" s="71" t="str">
        <f>IFERROR(INDEX(KALENDER!$D$3:$D$132,MATCH(H3226,KALENDER!$A$3:$A$132,0)),"Di luar periode")</f>
        <v>Libur (Sabtu/Minggu)</v>
      </c>
      <c r="N3226" s="71">
        <f t="shared" si="451"/>
        <v>0</v>
      </c>
      <c r="O3226" s="71">
        <f t="shared" si="452"/>
        <v>1</v>
      </c>
      <c r="P3226" s="71">
        <f t="shared" si="453"/>
        <v>0</v>
      </c>
      <c r="Q3226" s="71">
        <f t="shared" si="454"/>
        <v>0</v>
      </c>
      <c r="R3226" s="71">
        <f t="shared" si="455"/>
        <v>0</v>
      </c>
      <c r="S3226" s="71">
        <f t="shared" si="456"/>
        <v>0</v>
      </c>
      <c r="T3226" s="71">
        <f t="shared" si="457"/>
        <v>0</v>
      </c>
      <c r="U3226" s="71">
        <f>IF(AND(N3226=1,V3226=1),IF(COUNTIFS(AKTIVITAS!$B$2:$B$3052,B3226,AKTIVITAS!$E$2:$E$3052,H3226)&gt;0,1,0),0)</f>
        <v>0</v>
      </c>
      <c r="V3226" s="71">
        <f>IFERROR(IF(AND(H3226&gt;=INDEX(PEMAGANG!$J$3:$J$36,MATCH(B3226,PEMAGANG!$C$3:$C$36,0)),H3226&lt;=INDEX(PEMAGANG!$K$3:$K$36,MATCH(B3226,PEMAGANG!$C$3:$C$36,0))),1,0),0)</f>
        <v>0</v>
      </c>
      <c r="W3226" s="71">
        <f t="shared" si="458"/>
        <v>0</v>
      </c>
    </row>
    <row r="3227" spans="1:23" x14ac:dyDescent="0.2">
      <c r="A3227" s="71" t="s">
        <v>700</v>
      </c>
      <c r="B3227" s="71" t="s">
        <v>701</v>
      </c>
      <c r="C3227" s="71" t="s">
        <v>187</v>
      </c>
      <c r="D3227" s="71" t="s">
        <v>421</v>
      </c>
      <c r="E3227" s="71" t="s">
        <v>422</v>
      </c>
      <c r="F3227" s="71" t="s">
        <v>298</v>
      </c>
      <c r="G3227" s="88">
        <v>46245.268912036998</v>
      </c>
      <c r="H3227" s="89">
        <v>46245</v>
      </c>
      <c r="I3227" s="71" t="s">
        <v>605</v>
      </c>
      <c r="J3227" s="71">
        <v>-93</v>
      </c>
      <c r="K3227" s="71" t="s">
        <v>302</v>
      </c>
      <c r="L3227" s="71">
        <f t="shared" si="450"/>
        <v>8</v>
      </c>
      <c r="M3227" s="71" t="str">
        <f>IFERROR(INDEX(KALENDER!$D$3:$D$132,MATCH(H3227,KALENDER!$A$3:$A$132,0)),"Di luar periode")</f>
        <v>Hari Kerja</v>
      </c>
      <c r="N3227" s="71">
        <f t="shared" si="451"/>
        <v>1</v>
      </c>
      <c r="O3227" s="71">
        <f t="shared" si="452"/>
        <v>1</v>
      </c>
      <c r="P3227" s="71">
        <f t="shared" si="453"/>
        <v>0</v>
      </c>
      <c r="Q3227" s="71">
        <f t="shared" si="454"/>
        <v>1</v>
      </c>
      <c r="R3227" s="71">
        <f t="shared" si="455"/>
        <v>0</v>
      </c>
      <c r="S3227" s="71">
        <f t="shared" si="456"/>
        <v>0</v>
      </c>
      <c r="T3227" s="71">
        <f t="shared" si="457"/>
        <v>0</v>
      </c>
      <c r="U3227" s="71">
        <f>IF(AND(N3227=1,V3227=1),IF(COUNTIFS(AKTIVITAS!$B$2:$B$3052,B3227,AKTIVITAS!$E$2:$E$3052,H3227)&gt;0,1,0),0)</f>
        <v>0</v>
      </c>
      <c r="V3227" s="71">
        <f>IFERROR(IF(AND(H3227&gt;=INDEX(PEMAGANG!$J$3:$J$36,MATCH(B3227,PEMAGANG!$C$3:$C$36,0)),H3227&lt;=INDEX(PEMAGANG!$K$3:$K$36,MATCH(B3227,PEMAGANG!$C$3:$C$36,0))),1,0),0)</f>
        <v>0</v>
      </c>
      <c r="W3227" s="71">
        <f t="shared" si="458"/>
        <v>0</v>
      </c>
    </row>
    <row r="3228" spans="1:23" x14ac:dyDescent="0.2">
      <c r="A3228" s="71" t="s">
        <v>700</v>
      </c>
      <c r="B3228" s="71" t="s">
        <v>701</v>
      </c>
      <c r="C3228" s="71" t="s">
        <v>187</v>
      </c>
      <c r="D3228" s="71" t="s">
        <v>421</v>
      </c>
      <c r="E3228" s="71" t="s">
        <v>422</v>
      </c>
      <c r="F3228" s="71" t="s">
        <v>300</v>
      </c>
      <c r="G3228" s="88">
        <v>46245.626724537004</v>
      </c>
      <c r="H3228" s="89">
        <v>46245</v>
      </c>
      <c r="I3228" s="71" t="s">
        <v>712</v>
      </c>
      <c r="J3228" s="71">
        <v>0</v>
      </c>
      <c r="K3228" s="71" t="s">
        <v>302</v>
      </c>
      <c r="L3228" s="71">
        <f t="shared" si="450"/>
        <v>8</v>
      </c>
      <c r="M3228" s="71" t="str">
        <f>IFERROR(INDEX(KALENDER!$D$3:$D$132,MATCH(H3228,KALENDER!$A$3:$A$132,0)),"Di luar periode")</f>
        <v>Hari Kerja</v>
      </c>
      <c r="N3228" s="71">
        <f t="shared" si="451"/>
        <v>0</v>
      </c>
      <c r="O3228" s="71">
        <f t="shared" si="452"/>
        <v>1</v>
      </c>
      <c r="P3228" s="71">
        <f t="shared" si="453"/>
        <v>0</v>
      </c>
      <c r="Q3228" s="71">
        <f t="shared" si="454"/>
        <v>0</v>
      </c>
      <c r="R3228" s="71">
        <f t="shared" si="455"/>
        <v>0</v>
      </c>
      <c r="S3228" s="71">
        <f t="shared" si="456"/>
        <v>0</v>
      </c>
      <c r="T3228" s="71">
        <f t="shared" si="457"/>
        <v>0</v>
      </c>
      <c r="U3228" s="71">
        <f>IF(AND(N3228=1,V3228=1),IF(COUNTIFS(AKTIVITAS!$B$2:$B$3052,B3228,AKTIVITAS!$E$2:$E$3052,H3228)&gt;0,1,0),0)</f>
        <v>0</v>
      </c>
      <c r="V3228" s="71">
        <f>IFERROR(IF(AND(H3228&gt;=INDEX(PEMAGANG!$J$3:$J$36,MATCH(B3228,PEMAGANG!$C$3:$C$36,0)),H3228&lt;=INDEX(PEMAGANG!$K$3:$K$36,MATCH(B3228,PEMAGANG!$C$3:$C$36,0))),1,0),0)</f>
        <v>0</v>
      </c>
      <c r="W3228" s="71">
        <f t="shared" si="458"/>
        <v>0</v>
      </c>
    </row>
    <row r="3229" spans="1:23" x14ac:dyDescent="0.2">
      <c r="A3229" s="71" t="s">
        <v>700</v>
      </c>
      <c r="B3229" s="71" t="s">
        <v>701</v>
      </c>
      <c r="C3229" s="71" t="s">
        <v>187</v>
      </c>
      <c r="D3229" s="71" t="s">
        <v>421</v>
      </c>
      <c r="E3229" s="71" t="s">
        <v>422</v>
      </c>
      <c r="F3229" s="71" t="s">
        <v>298</v>
      </c>
      <c r="G3229" s="88">
        <v>46246.272118055596</v>
      </c>
      <c r="H3229" s="89">
        <v>46246</v>
      </c>
      <c r="I3229" s="71" t="s">
        <v>332</v>
      </c>
      <c r="J3229" s="71">
        <v>-89</v>
      </c>
      <c r="K3229" s="71" t="s">
        <v>302</v>
      </c>
      <c r="L3229" s="71">
        <f t="shared" si="450"/>
        <v>8</v>
      </c>
      <c r="M3229" s="71" t="str">
        <f>IFERROR(INDEX(KALENDER!$D$3:$D$132,MATCH(H3229,KALENDER!$A$3:$A$132,0)),"Di luar periode")</f>
        <v>Hari Kerja</v>
      </c>
      <c r="N3229" s="71">
        <f t="shared" si="451"/>
        <v>1</v>
      </c>
      <c r="O3229" s="71">
        <f t="shared" si="452"/>
        <v>1</v>
      </c>
      <c r="P3229" s="71">
        <f t="shared" si="453"/>
        <v>0</v>
      </c>
      <c r="Q3229" s="71">
        <f t="shared" si="454"/>
        <v>1</v>
      </c>
      <c r="R3229" s="71">
        <f t="shared" si="455"/>
        <v>0</v>
      </c>
      <c r="S3229" s="71">
        <f t="shared" si="456"/>
        <v>0</v>
      </c>
      <c r="T3229" s="71">
        <f t="shared" si="457"/>
        <v>0</v>
      </c>
      <c r="U3229" s="71">
        <f>IF(AND(N3229=1,V3229=1),IF(COUNTIFS(AKTIVITAS!$B$2:$B$3052,B3229,AKTIVITAS!$E$2:$E$3052,H3229)&gt;0,1,0),0)</f>
        <v>0</v>
      </c>
      <c r="V3229" s="71">
        <f>IFERROR(IF(AND(H3229&gt;=INDEX(PEMAGANG!$J$3:$J$36,MATCH(B3229,PEMAGANG!$C$3:$C$36,0)),H3229&lt;=INDEX(PEMAGANG!$K$3:$K$36,MATCH(B3229,PEMAGANG!$C$3:$C$36,0))),1,0),0)</f>
        <v>0</v>
      </c>
      <c r="W3229" s="71">
        <f t="shared" si="458"/>
        <v>0</v>
      </c>
    </row>
    <row r="3230" spans="1:23" x14ac:dyDescent="0.2">
      <c r="A3230" s="71" t="s">
        <v>700</v>
      </c>
      <c r="B3230" s="71" t="s">
        <v>701</v>
      </c>
      <c r="C3230" s="71" t="s">
        <v>187</v>
      </c>
      <c r="D3230" s="71" t="s">
        <v>421</v>
      </c>
      <c r="E3230" s="71" t="s">
        <v>422</v>
      </c>
      <c r="F3230" s="71" t="s">
        <v>300</v>
      </c>
      <c r="G3230" s="88">
        <v>46246.631585648203</v>
      </c>
      <c r="H3230" s="89">
        <v>46246</v>
      </c>
      <c r="I3230" s="71" t="s">
        <v>713</v>
      </c>
      <c r="J3230" s="71">
        <v>0</v>
      </c>
      <c r="K3230" s="71" t="s">
        <v>302</v>
      </c>
      <c r="L3230" s="71">
        <f t="shared" si="450"/>
        <v>8</v>
      </c>
      <c r="M3230" s="71" t="str">
        <f>IFERROR(INDEX(KALENDER!$D$3:$D$132,MATCH(H3230,KALENDER!$A$3:$A$132,0)),"Di luar periode")</f>
        <v>Hari Kerja</v>
      </c>
      <c r="N3230" s="71">
        <f t="shared" si="451"/>
        <v>0</v>
      </c>
      <c r="O3230" s="71">
        <f t="shared" si="452"/>
        <v>1</v>
      </c>
      <c r="P3230" s="71">
        <f t="shared" si="453"/>
        <v>0</v>
      </c>
      <c r="Q3230" s="71">
        <f t="shared" si="454"/>
        <v>0</v>
      </c>
      <c r="R3230" s="71">
        <f t="shared" si="455"/>
        <v>0</v>
      </c>
      <c r="S3230" s="71">
        <f t="shared" si="456"/>
        <v>0</v>
      </c>
      <c r="T3230" s="71">
        <f t="shared" si="457"/>
        <v>0</v>
      </c>
      <c r="U3230" s="71">
        <f>IF(AND(N3230=1,V3230=1),IF(COUNTIFS(AKTIVITAS!$B$2:$B$3052,B3230,AKTIVITAS!$E$2:$E$3052,H3230)&gt;0,1,0),0)</f>
        <v>0</v>
      </c>
      <c r="V3230" s="71">
        <f>IFERROR(IF(AND(H3230&gt;=INDEX(PEMAGANG!$J$3:$J$36,MATCH(B3230,PEMAGANG!$C$3:$C$36,0)),H3230&lt;=INDEX(PEMAGANG!$K$3:$K$36,MATCH(B3230,PEMAGANG!$C$3:$C$36,0))),1,0),0)</f>
        <v>0</v>
      </c>
      <c r="W3230" s="71">
        <f t="shared" si="458"/>
        <v>0</v>
      </c>
    </row>
    <row r="3231" spans="1:23" x14ac:dyDescent="0.2">
      <c r="A3231" s="71" t="s">
        <v>700</v>
      </c>
      <c r="B3231" s="71" t="s">
        <v>701</v>
      </c>
      <c r="C3231" s="71" t="s">
        <v>187</v>
      </c>
      <c r="D3231" s="71" t="s">
        <v>421</v>
      </c>
      <c r="E3231" s="71" t="s">
        <v>422</v>
      </c>
      <c r="F3231" s="71" t="s">
        <v>298</v>
      </c>
      <c r="G3231" s="88">
        <v>46247.284652777802</v>
      </c>
      <c r="H3231" s="89">
        <v>46247</v>
      </c>
      <c r="I3231" s="71" t="s">
        <v>699</v>
      </c>
      <c r="J3231" s="71">
        <v>-71</v>
      </c>
      <c r="K3231" s="71" t="s">
        <v>302</v>
      </c>
      <c r="L3231" s="71">
        <f t="shared" si="450"/>
        <v>8</v>
      </c>
      <c r="M3231" s="71" t="str">
        <f>IFERROR(INDEX(KALENDER!$D$3:$D$132,MATCH(H3231,KALENDER!$A$3:$A$132,0)),"Di luar periode")</f>
        <v>Hari Kerja</v>
      </c>
      <c r="N3231" s="71">
        <f t="shared" si="451"/>
        <v>1</v>
      </c>
      <c r="O3231" s="71">
        <f t="shared" si="452"/>
        <v>1</v>
      </c>
      <c r="P3231" s="71">
        <f t="shared" si="453"/>
        <v>0</v>
      </c>
      <c r="Q3231" s="71">
        <f t="shared" si="454"/>
        <v>1</v>
      </c>
      <c r="R3231" s="71">
        <f t="shared" si="455"/>
        <v>0</v>
      </c>
      <c r="S3231" s="71">
        <f t="shared" si="456"/>
        <v>0</v>
      </c>
      <c r="T3231" s="71">
        <f t="shared" si="457"/>
        <v>0</v>
      </c>
      <c r="U3231" s="71">
        <f>IF(AND(N3231=1,V3231=1),IF(COUNTIFS(AKTIVITAS!$B$2:$B$3052,B3231,AKTIVITAS!$E$2:$E$3052,H3231)&gt;0,1,0),0)</f>
        <v>0</v>
      </c>
      <c r="V3231" s="71">
        <f>IFERROR(IF(AND(H3231&gt;=INDEX(PEMAGANG!$J$3:$J$36,MATCH(B3231,PEMAGANG!$C$3:$C$36,0)),H3231&lt;=INDEX(PEMAGANG!$K$3:$K$36,MATCH(B3231,PEMAGANG!$C$3:$C$36,0))),1,0),0)</f>
        <v>0</v>
      </c>
      <c r="W3231" s="71">
        <f t="shared" si="458"/>
        <v>0</v>
      </c>
    </row>
    <row r="3232" spans="1:23" x14ac:dyDescent="0.2">
      <c r="A3232" s="71" t="s">
        <v>700</v>
      </c>
      <c r="B3232" s="71" t="s">
        <v>701</v>
      </c>
      <c r="C3232" s="71" t="s">
        <v>187</v>
      </c>
      <c r="D3232" s="71" t="s">
        <v>421</v>
      </c>
      <c r="E3232" s="71" t="s">
        <v>422</v>
      </c>
      <c r="F3232" s="71" t="s">
        <v>300</v>
      </c>
      <c r="G3232" s="88">
        <v>46247.629618055602</v>
      </c>
      <c r="H3232" s="89">
        <v>46247</v>
      </c>
      <c r="I3232" s="71" t="s">
        <v>705</v>
      </c>
      <c r="J3232" s="71">
        <v>0</v>
      </c>
      <c r="K3232" s="71" t="s">
        <v>302</v>
      </c>
      <c r="L3232" s="71">
        <f t="shared" si="450"/>
        <v>8</v>
      </c>
      <c r="M3232" s="71" t="str">
        <f>IFERROR(INDEX(KALENDER!$D$3:$D$132,MATCH(H3232,KALENDER!$A$3:$A$132,0)),"Di luar periode")</f>
        <v>Hari Kerja</v>
      </c>
      <c r="N3232" s="71">
        <f t="shared" si="451"/>
        <v>0</v>
      </c>
      <c r="O3232" s="71">
        <f t="shared" si="452"/>
        <v>1</v>
      </c>
      <c r="P3232" s="71">
        <f t="shared" si="453"/>
        <v>0</v>
      </c>
      <c r="Q3232" s="71">
        <f t="shared" si="454"/>
        <v>0</v>
      </c>
      <c r="R3232" s="71">
        <f t="shared" si="455"/>
        <v>0</v>
      </c>
      <c r="S3232" s="71">
        <f t="shared" si="456"/>
        <v>0</v>
      </c>
      <c r="T3232" s="71">
        <f t="shared" si="457"/>
        <v>0</v>
      </c>
      <c r="U3232" s="71">
        <f>IF(AND(N3232=1,V3232=1),IF(COUNTIFS(AKTIVITAS!$B$2:$B$3052,B3232,AKTIVITAS!$E$2:$E$3052,H3232)&gt;0,1,0),0)</f>
        <v>0</v>
      </c>
      <c r="V3232" s="71">
        <f>IFERROR(IF(AND(H3232&gt;=INDEX(PEMAGANG!$J$3:$J$36,MATCH(B3232,PEMAGANG!$C$3:$C$36,0)),H3232&lt;=INDEX(PEMAGANG!$K$3:$K$36,MATCH(B3232,PEMAGANG!$C$3:$C$36,0))),1,0),0)</f>
        <v>0</v>
      </c>
      <c r="W3232" s="71">
        <f t="shared" si="458"/>
        <v>0</v>
      </c>
    </row>
    <row r="3233" spans="1:23" x14ac:dyDescent="0.2">
      <c r="A3233" s="71" t="s">
        <v>700</v>
      </c>
      <c r="B3233" s="71" t="s">
        <v>701</v>
      </c>
      <c r="C3233" s="71" t="s">
        <v>187</v>
      </c>
      <c r="D3233" s="71" t="s">
        <v>421</v>
      </c>
      <c r="E3233" s="71" t="s">
        <v>422</v>
      </c>
      <c r="F3233" s="71" t="s">
        <v>298</v>
      </c>
      <c r="G3233" s="88">
        <v>46248.2350925926</v>
      </c>
      <c r="H3233" s="89">
        <v>46248</v>
      </c>
      <c r="I3233" s="71" t="s">
        <v>689</v>
      </c>
      <c r="J3233" s="71">
        <v>-142</v>
      </c>
      <c r="K3233" s="71" t="s">
        <v>302</v>
      </c>
      <c r="L3233" s="71">
        <f t="shared" si="450"/>
        <v>8</v>
      </c>
      <c r="M3233" s="71" t="str">
        <f>IFERROR(INDEX(KALENDER!$D$3:$D$132,MATCH(H3233,KALENDER!$A$3:$A$132,0)),"Di luar periode")</f>
        <v>Hari Kerja</v>
      </c>
      <c r="N3233" s="71">
        <f t="shared" si="451"/>
        <v>1</v>
      </c>
      <c r="O3233" s="71">
        <f t="shared" si="452"/>
        <v>1</v>
      </c>
      <c r="P3233" s="71">
        <f t="shared" si="453"/>
        <v>0</v>
      </c>
      <c r="Q3233" s="71">
        <f t="shared" si="454"/>
        <v>1</v>
      </c>
      <c r="R3233" s="71">
        <f t="shared" si="455"/>
        <v>0</v>
      </c>
      <c r="S3233" s="71">
        <f t="shared" si="456"/>
        <v>0</v>
      </c>
      <c r="T3233" s="71">
        <f t="shared" si="457"/>
        <v>0</v>
      </c>
      <c r="U3233" s="71">
        <f>IF(AND(N3233=1,V3233=1),IF(COUNTIFS(AKTIVITAS!$B$2:$B$3052,B3233,AKTIVITAS!$E$2:$E$3052,H3233)&gt;0,1,0),0)</f>
        <v>0</v>
      </c>
      <c r="V3233" s="71">
        <f>IFERROR(IF(AND(H3233&gt;=INDEX(PEMAGANG!$J$3:$J$36,MATCH(B3233,PEMAGANG!$C$3:$C$36,0)),H3233&lt;=INDEX(PEMAGANG!$K$3:$K$36,MATCH(B3233,PEMAGANG!$C$3:$C$36,0))),1,0),0)</f>
        <v>0</v>
      </c>
      <c r="W3233" s="71">
        <f t="shared" si="458"/>
        <v>0</v>
      </c>
    </row>
    <row r="3234" spans="1:23" x14ac:dyDescent="0.2">
      <c r="A3234" s="71" t="s">
        <v>700</v>
      </c>
      <c r="B3234" s="71" t="s">
        <v>701</v>
      </c>
      <c r="C3234" s="71" t="s">
        <v>187</v>
      </c>
      <c r="D3234" s="71" t="s">
        <v>421</v>
      </c>
      <c r="E3234" s="71" t="s">
        <v>422</v>
      </c>
      <c r="F3234" s="71" t="s">
        <v>300</v>
      </c>
      <c r="G3234" s="88">
        <v>46248.626458333303</v>
      </c>
      <c r="H3234" s="89">
        <v>46248</v>
      </c>
      <c r="I3234" s="71" t="s">
        <v>712</v>
      </c>
      <c r="J3234" s="71">
        <v>0</v>
      </c>
      <c r="K3234" s="71" t="s">
        <v>302</v>
      </c>
      <c r="L3234" s="71">
        <f t="shared" si="450"/>
        <v>8</v>
      </c>
      <c r="M3234" s="71" t="str">
        <f>IFERROR(INDEX(KALENDER!$D$3:$D$132,MATCH(H3234,KALENDER!$A$3:$A$132,0)),"Di luar periode")</f>
        <v>Hari Kerja</v>
      </c>
      <c r="N3234" s="71">
        <f t="shared" si="451"/>
        <v>0</v>
      </c>
      <c r="O3234" s="71">
        <f t="shared" si="452"/>
        <v>1</v>
      </c>
      <c r="P3234" s="71">
        <f t="shared" si="453"/>
        <v>0</v>
      </c>
      <c r="Q3234" s="71">
        <f t="shared" si="454"/>
        <v>0</v>
      </c>
      <c r="R3234" s="71">
        <f t="shared" si="455"/>
        <v>0</v>
      </c>
      <c r="S3234" s="71">
        <f t="shared" si="456"/>
        <v>0</v>
      </c>
      <c r="T3234" s="71">
        <f t="shared" si="457"/>
        <v>0</v>
      </c>
      <c r="U3234" s="71">
        <f>IF(AND(N3234=1,V3234=1),IF(COUNTIFS(AKTIVITAS!$B$2:$B$3052,B3234,AKTIVITAS!$E$2:$E$3052,H3234)&gt;0,1,0),0)</f>
        <v>0</v>
      </c>
      <c r="V3234" s="71">
        <f>IFERROR(IF(AND(H3234&gt;=INDEX(PEMAGANG!$J$3:$J$36,MATCH(B3234,PEMAGANG!$C$3:$C$36,0)),H3234&lt;=INDEX(PEMAGANG!$K$3:$K$36,MATCH(B3234,PEMAGANG!$C$3:$C$36,0))),1,0),0)</f>
        <v>0</v>
      </c>
      <c r="W3234" s="71">
        <f t="shared" si="458"/>
        <v>0</v>
      </c>
    </row>
    <row r="3235" spans="1:23" x14ac:dyDescent="0.2">
      <c r="A3235" s="71" t="s">
        <v>700</v>
      </c>
      <c r="B3235" s="71" t="s">
        <v>701</v>
      </c>
      <c r="C3235" s="71" t="s">
        <v>187</v>
      </c>
      <c r="D3235" s="71" t="s">
        <v>421</v>
      </c>
      <c r="E3235" s="71" t="s">
        <v>422</v>
      </c>
      <c r="F3235" s="71" t="s">
        <v>298</v>
      </c>
      <c r="G3235" s="88">
        <v>46249.238726851901</v>
      </c>
      <c r="H3235" s="89">
        <v>46249</v>
      </c>
      <c r="I3235" s="71" t="s">
        <v>683</v>
      </c>
      <c r="J3235" s="71">
        <v>-137</v>
      </c>
      <c r="K3235" s="71" t="s">
        <v>302</v>
      </c>
      <c r="L3235" s="71">
        <f t="shared" si="450"/>
        <v>8</v>
      </c>
      <c r="M3235" s="71" t="str">
        <f>IFERROR(INDEX(KALENDER!$D$3:$D$132,MATCH(H3235,KALENDER!$A$3:$A$132,0)),"Di luar periode")</f>
        <v>Libur (Sabtu/Minggu)</v>
      </c>
      <c r="N3235" s="71">
        <f t="shared" si="451"/>
        <v>1</v>
      </c>
      <c r="O3235" s="71">
        <f t="shared" si="452"/>
        <v>1</v>
      </c>
      <c r="P3235" s="71">
        <f t="shared" si="453"/>
        <v>0</v>
      </c>
      <c r="Q3235" s="71">
        <f t="shared" si="454"/>
        <v>1</v>
      </c>
      <c r="R3235" s="71">
        <f t="shared" si="455"/>
        <v>0</v>
      </c>
      <c r="S3235" s="71">
        <f t="shared" si="456"/>
        <v>0</v>
      </c>
      <c r="T3235" s="71">
        <f t="shared" si="457"/>
        <v>0</v>
      </c>
      <c r="U3235" s="71">
        <f>IF(AND(N3235=1,V3235=1),IF(COUNTIFS(AKTIVITAS!$B$2:$B$3052,B3235,AKTIVITAS!$E$2:$E$3052,H3235)&gt;0,1,0),0)</f>
        <v>0</v>
      </c>
      <c r="V3235" s="71">
        <f>IFERROR(IF(AND(H3235&gt;=INDEX(PEMAGANG!$J$3:$J$36,MATCH(B3235,PEMAGANG!$C$3:$C$36,0)),H3235&lt;=INDEX(PEMAGANG!$K$3:$K$36,MATCH(B3235,PEMAGANG!$C$3:$C$36,0))),1,0),0)</f>
        <v>0</v>
      </c>
      <c r="W3235" s="71">
        <f t="shared" si="458"/>
        <v>0</v>
      </c>
    </row>
    <row r="3236" spans="1:23" x14ac:dyDescent="0.2">
      <c r="A3236" s="71" t="s">
        <v>700</v>
      </c>
      <c r="B3236" s="71" t="s">
        <v>701</v>
      </c>
      <c r="C3236" s="71" t="s">
        <v>187</v>
      </c>
      <c r="D3236" s="71" t="s">
        <v>421</v>
      </c>
      <c r="E3236" s="71" t="s">
        <v>422</v>
      </c>
      <c r="F3236" s="71" t="s">
        <v>300</v>
      </c>
      <c r="G3236" s="88">
        <v>46249.7945833333</v>
      </c>
      <c r="H3236" s="89">
        <v>46249</v>
      </c>
      <c r="I3236" s="71" t="s">
        <v>449</v>
      </c>
      <c r="J3236" s="71">
        <v>0</v>
      </c>
      <c r="K3236" s="71" t="s">
        <v>302</v>
      </c>
      <c r="L3236" s="71">
        <f t="shared" si="450"/>
        <v>8</v>
      </c>
      <c r="M3236" s="71" t="str">
        <f>IFERROR(INDEX(KALENDER!$D$3:$D$132,MATCH(H3236,KALENDER!$A$3:$A$132,0)),"Di luar periode")</f>
        <v>Libur (Sabtu/Minggu)</v>
      </c>
      <c r="N3236" s="71">
        <f t="shared" si="451"/>
        <v>0</v>
      </c>
      <c r="O3236" s="71">
        <f t="shared" si="452"/>
        <v>1</v>
      </c>
      <c r="P3236" s="71">
        <f t="shared" si="453"/>
        <v>0</v>
      </c>
      <c r="Q3236" s="71">
        <f t="shared" si="454"/>
        <v>0</v>
      </c>
      <c r="R3236" s="71">
        <f t="shared" si="455"/>
        <v>0</v>
      </c>
      <c r="S3236" s="71">
        <f t="shared" si="456"/>
        <v>0</v>
      </c>
      <c r="T3236" s="71">
        <f t="shared" si="457"/>
        <v>0</v>
      </c>
      <c r="U3236" s="71">
        <f>IF(AND(N3236=1,V3236=1),IF(COUNTIFS(AKTIVITAS!$B$2:$B$3052,B3236,AKTIVITAS!$E$2:$E$3052,H3236)&gt;0,1,0),0)</f>
        <v>0</v>
      </c>
      <c r="V3236" s="71">
        <f>IFERROR(IF(AND(H3236&gt;=INDEX(PEMAGANG!$J$3:$J$36,MATCH(B3236,PEMAGANG!$C$3:$C$36,0)),H3236&lt;=INDEX(PEMAGANG!$K$3:$K$36,MATCH(B3236,PEMAGANG!$C$3:$C$36,0))),1,0),0)</f>
        <v>0</v>
      </c>
      <c r="W3236" s="71">
        <f t="shared" si="458"/>
        <v>0</v>
      </c>
    </row>
    <row r="3237" spans="1:23" x14ac:dyDescent="0.2">
      <c r="A3237" s="71" t="s">
        <v>700</v>
      </c>
      <c r="B3237" s="71" t="s">
        <v>701</v>
      </c>
      <c r="C3237" s="71" t="s">
        <v>187</v>
      </c>
      <c r="D3237" s="71" t="s">
        <v>421</v>
      </c>
      <c r="E3237" s="71" t="s">
        <v>422</v>
      </c>
      <c r="F3237" s="71" t="s">
        <v>298</v>
      </c>
      <c r="G3237" s="88">
        <v>46250.284687500003</v>
      </c>
      <c r="H3237" s="89">
        <v>46250</v>
      </c>
      <c r="I3237" s="71" t="s">
        <v>699</v>
      </c>
      <c r="J3237" s="71">
        <v>-71</v>
      </c>
      <c r="K3237" s="71" t="s">
        <v>302</v>
      </c>
      <c r="L3237" s="71">
        <f t="shared" si="450"/>
        <v>8</v>
      </c>
      <c r="M3237" s="71" t="str">
        <f>IFERROR(INDEX(KALENDER!$D$3:$D$132,MATCH(H3237,KALENDER!$A$3:$A$132,0)),"Di luar periode")</f>
        <v>Libur (Sabtu/Minggu)</v>
      </c>
      <c r="N3237" s="71">
        <f t="shared" si="451"/>
        <v>1</v>
      </c>
      <c r="O3237" s="71">
        <f t="shared" si="452"/>
        <v>1</v>
      </c>
      <c r="P3237" s="71">
        <f t="shared" si="453"/>
        <v>0</v>
      </c>
      <c r="Q3237" s="71">
        <f t="shared" si="454"/>
        <v>1</v>
      </c>
      <c r="R3237" s="71">
        <f t="shared" si="455"/>
        <v>0</v>
      </c>
      <c r="S3237" s="71">
        <f t="shared" si="456"/>
        <v>0</v>
      </c>
      <c r="T3237" s="71">
        <f t="shared" si="457"/>
        <v>0</v>
      </c>
      <c r="U3237" s="71">
        <f>IF(AND(N3237=1,V3237=1),IF(COUNTIFS(AKTIVITAS!$B$2:$B$3052,B3237,AKTIVITAS!$E$2:$E$3052,H3237)&gt;0,1,0),0)</f>
        <v>0</v>
      </c>
      <c r="V3237" s="71">
        <f>IFERROR(IF(AND(H3237&gt;=INDEX(PEMAGANG!$J$3:$J$36,MATCH(B3237,PEMAGANG!$C$3:$C$36,0)),H3237&lt;=INDEX(PEMAGANG!$K$3:$K$36,MATCH(B3237,PEMAGANG!$C$3:$C$36,0))),1,0),0)</f>
        <v>0</v>
      </c>
      <c r="W3237" s="71">
        <f t="shared" si="458"/>
        <v>0</v>
      </c>
    </row>
    <row r="3238" spans="1:23" x14ac:dyDescent="0.2">
      <c r="A3238" s="71" t="s">
        <v>700</v>
      </c>
      <c r="B3238" s="71" t="s">
        <v>701</v>
      </c>
      <c r="C3238" s="71" t="s">
        <v>187</v>
      </c>
      <c r="D3238" s="71" t="s">
        <v>421</v>
      </c>
      <c r="E3238" s="71" t="s">
        <v>422</v>
      </c>
      <c r="F3238" s="71" t="s">
        <v>300</v>
      </c>
      <c r="G3238" s="88">
        <v>46250.802986111099</v>
      </c>
      <c r="H3238" s="89">
        <v>46250</v>
      </c>
      <c r="I3238" s="71" t="s">
        <v>714</v>
      </c>
      <c r="J3238" s="71">
        <v>0</v>
      </c>
      <c r="K3238" s="71" t="s">
        <v>302</v>
      </c>
      <c r="L3238" s="71">
        <f t="shared" si="450"/>
        <v>8</v>
      </c>
      <c r="M3238" s="71" t="str">
        <f>IFERROR(INDEX(KALENDER!$D$3:$D$132,MATCH(H3238,KALENDER!$A$3:$A$132,0)),"Di luar periode")</f>
        <v>Libur (Sabtu/Minggu)</v>
      </c>
      <c r="N3238" s="71">
        <f t="shared" si="451"/>
        <v>0</v>
      </c>
      <c r="O3238" s="71">
        <f t="shared" si="452"/>
        <v>1</v>
      </c>
      <c r="P3238" s="71">
        <f t="shared" si="453"/>
        <v>0</v>
      </c>
      <c r="Q3238" s="71">
        <f t="shared" si="454"/>
        <v>0</v>
      </c>
      <c r="R3238" s="71">
        <f t="shared" si="455"/>
        <v>0</v>
      </c>
      <c r="S3238" s="71">
        <f t="shared" si="456"/>
        <v>0</v>
      </c>
      <c r="T3238" s="71">
        <f t="shared" si="457"/>
        <v>0</v>
      </c>
      <c r="U3238" s="71">
        <f>IF(AND(N3238=1,V3238=1),IF(COUNTIFS(AKTIVITAS!$B$2:$B$3052,B3238,AKTIVITAS!$E$2:$E$3052,H3238)&gt;0,1,0),0)</f>
        <v>0</v>
      </c>
      <c r="V3238" s="71">
        <f>IFERROR(IF(AND(H3238&gt;=INDEX(PEMAGANG!$J$3:$J$36,MATCH(B3238,PEMAGANG!$C$3:$C$36,0)),H3238&lt;=INDEX(PEMAGANG!$K$3:$K$36,MATCH(B3238,PEMAGANG!$C$3:$C$36,0))),1,0),0)</f>
        <v>0</v>
      </c>
      <c r="W3238" s="71">
        <f t="shared" si="458"/>
        <v>0</v>
      </c>
    </row>
    <row r="3239" spans="1:23" x14ac:dyDescent="0.2">
      <c r="A3239" s="71" t="s">
        <v>700</v>
      </c>
      <c r="B3239" s="71" t="s">
        <v>701</v>
      </c>
      <c r="C3239" s="71" t="s">
        <v>187</v>
      </c>
      <c r="D3239" s="71" t="s">
        <v>421</v>
      </c>
      <c r="E3239" s="71" t="s">
        <v>422</v>
      </c>
      <c r="F3239" s="71" t="s">
        <v>298</v>
      </c>
      <c r="G3239" s="88">
        <v>46252.270555555602</v>
      </c>
      <c r="H3239" s="89">
        <v>46252</v>
      </c>
      <c r="I3239" s="71" t="s">
        <v>496</v>
      </c>
      <c r="J3239" s="71">
        <v>-91</v>
      </c>
      <c r="K3239" s="71" t="s">
        <v>302</v>
      </c>
      <c r="L3239" s="71">
        <f t="shared" si="450"/>
        <v>8</v>
      </c>
      <c r="M3239" s="71" t="str">
        <f>IFERROR(INDEX(KALENDER!$D$3:$D$132,MATCH(H3239,KALENDER!$A$3:$A$132,0)),"Di luar periode")</f>
        <v>Hari Kerja</v>
      </c>
      <c r="N3239" s="71">
        <f t="shared" si="451"/>
        <v>1</v>
      </c>
      <c r="O3239" s="71">
        <f t="shared" si="452"/>
        <v>1</v>
      </c>
      <c r="P3239" s="71">
        <f t="shared" si="453"/>
        <v>0</v>
      </c>
      <c r="Q3239" s="71">
        <f t="shared" si="454"/>
        <v>1</v>
      </c>
      <c r="R3239" s="71">
        <f t="shared" si="455"/>
        <v>0</v>
      </c>
      <c r="S3239" s="71">
        <f t="shared" si="456"/>
        <v>0</v>
      </c>
      <c r="T3239" s="71">
        <f t="shared" si="457"/>
        <v>0</v>
      </c>
      <c r="U3239" s="71">
        <f>IF(AND(N3239=1,V3239=1),IF(COUNTIFS(AKTIVITAS!$B$2:$B$3052,B3239,AKTIVITAS!$E$2:$E$3052,H3239)&gt;0,1,0),0)</f>
        <v>0</v>
      </c>
      <c r="V3239" s="71">
        <f>IFERROR(IF(AND(H3239&gt;=INDEX(PEMAGANG!$J$3:$J$36,MATCH(B3239,PEMAGANG!$C$3:$C$36,0)),H3239&lt;=INDEX(PEMAGANG!$K$3:$K$36,MATCH(B3239,PEMAGANG!$C$3:$C$36,0))),1,0),0)</f>
        <v>0</v>
      </c>
      <c r="W3239" s="71">
        <f t="shared" si="458"/>
        <v>0</v>
      </c>
    </row>
    <row r="3240" spans="1:23" x14ac:dyDescent="0.2">
      <c r="A3240" s="71" t="s">
        <v>700</v>
      </c>
      <c r="B3240" s="71" t="s">
        <v>701</v>
      </c>
      <c r="C3240" s="71" t="s">
        <v>187</v>
      </c>
      <c r="D3240" s="71" t="s">
        <v>421</v>
      </c>
      <c r="E3240" s="71" t="s">
        <v>422</v>
      </c>
      <c r="F3240" s="71" t="s">
        <v>300</v>
      </c>
      <c r="G3240" s="88">
        <v>46252.627037036997</v>
      </c>
      <c r="H3240" s="89">
        <v>46252</v>
      </c>
      <c r="I3240" s="71" t="s">
        <v>712</v>
      </c>
      <c r="J3240" s="71">
        <v>0</v>
      </c>
      <c r="K3240" s="71" t="s">
        <v>302</v>
      </c>
      <c r="L3240" s="71">
        <f t="shared" si="450"/>
        <v>8</v>
      </c>
      <c r="M3240" s="71" t="str">
        <f>IFERROR(INDEX(KALENDER!$D$3:$D$132,MATCH(H3240,KALENDER!$A$3:$A$132,0)),"Di luar periode")</f>
        <v>Hari Kerja</v>
      </c>
      <c r="N3240" s="71">
        <f t="shared" si="451"/>
        <v>0</v>
      </c>
      <c r="O3240" s="71">
        <f t="shared" si="452"/>
        <v>1</v>
      </c>
      <c r="P3240" s="71">
        <f t="shared" si="453"/>
        <v>0</v>
      </c>
      <c r="Q3240" s="71">
        <f t="shared" si="454"/>
        <v>0</v>
      </c>
      <c r="R3240" s="71">
        <f t="shared" si="455"/>
        <v>0</v>
      </c>
      <c r="S3240" s="71">
        <f t="shared" si="456"/>
        <v>0</v>
      </c>
      <c r="T3240" s="71">
        <f t="shared" si="457"/>
        <v>0</v>
      </c>
      <c r="U3240" s="71">
        <f>IF(AND(N3240=1,V3240=1),IF(COUNTIFS(AKTIVITAS!$B$2:$B$3052,B3240,AKTIVITAS!$E$2:$E$3052,H3240)&gt;0,1,0),0)</f>
        <v>0</v>
      </c>
      <c r="V3240" s="71">
        <f>IFERROR(IF(AND(H3240&gt;=INDEX(PEMAGANG!$J$3:$J$36,MATCH(B3240,PEMAGANG!$C$3:$C$36,0)),H3240&lt;=INDEX(PEMAGANG!$K$3:$K$36,MATCH(B3240,PEMAGANG!$C$3:$C$36,0))),1,0),0)</f>
        <v>0</v>
      </c>
      <c r="W3240" s="71">
        <f t="shared" si="458"/>
        <v>0</v>
      </c>
    </row>
    <row r="3241" spans="1:23" x14ac:dyDescent="0.2">
      <c r="A3241" s="71" t="s">
        <v>700</v>
      </c>
      <c r="B3241" s="71" t="s">
        <v>701</v>
      </c>
      <c r="C3241" s="71" t="s">
        <v>187</v>
      </c>
      <c r="D3241" s="71" t="s">
        <v>421</v>
      </c>
      <c r="E3241" s="71" t="s">
        <v>422</v>
      </c>
      <c r="F3241" s="71" t="s">
        <v>298</v>
      </c>
      <c r="G3241" s="88">
        <v>46253.2719097222</v>
      </c>
      <c r="H3241" s="89">
        <v>46253</v>
      </c>
      <c r="I3241" s="71" t="s">
        <v>332</v>
      </c>
      <c r="J3241" s="71">
        <v>-89</v>
      </c>
      <c r="K3241" s="71" t="s">
        <v>302</v>
      </c>
      <c r="L3241" s="71">
        <f t="shared" si="450"/>
        <v>8</v>
      </c>
      <c r="M3241" s="71" t="str">
        <f>IFERROR(INDEX(KALENDER!$D$3:$D$132,MATCH(H3241,KALENDER!$A$3:$A$132,0)),"Di luar periode")</f>
        <v>Hari Kerja</v>
      </c>
      <c r="N3241" s="71">
        <f t="shared" si="451"/>
        <v>1</v>
      </c>
      <c r="O3241" s="71">
        <f t="shared" si="452"/>
        <v>1</v>
      </c>
      <c r="P3241" s="71">
        <f t="shared" si="453"/>
        <v>0</v>
      </c>
      <c r="Q3241" s="71">
        <f t="shared" si="454"/>
        <v>1</v>
      </c>
      <c r="R3241" s="71">
        <f t="shared" si="455"/>
        <v>0</v>
      </c>
      <c r="S3241" s="71">
        <f t="shared" si="456"/>
        <v>0</v>
      </c>
      <c r="T3241" s="71">
        <f t="shared" si="457"/>
        <v>0</v>
      </c>
      <c r="U3241" s="71">
        <f>IF(AND(N3241=1,V3241=1),IF(COUNTIFS(AKTIVITAS!$B$2:$B$3052,B3241,AKTIVITAS!$E$2:$E$3052,H3241)&gt;0,1,0),0)</f>
        <v>0</v>
      </c>
      <c r="V3241" s="71">
        <f>IFERROR(IF(AND(H3241&gt;=INDEX(PEMAGANG!$J$3:$J$36,MATCH(B3241,PEMAGANG!$C$3:$C$36,0)),H3241&lt;=INDEX(PEMAGANG!$K$3:$K$36,MATCH(B3241,PEMAGANG!$C$3:$C$36,0))),1,0),0)</f>
        <v>0</v>
      </c>
      <c r="W3241" s="71">
        <f t="shared" si="458"/>
        <v>0</v>
      </c>
    </row>
    <row r="3242" spans="1:23" x14ac:dyDescent="0.2">
      <c r="A3242" s="71" t="s">
        <v>700</v>
      </c>
      <c r="B3242" s="71" t="s">
        <v>701</v>
      </c>
      <c r="C3242" s="71" t="s">
        <v>187</v>
      </c>
      <c r="D3242" s="71" t="s">
        <v>421</v>
      </c>
      <c r="E3242" s="71" t="s">
        <v>422</v>
      </c>
      <c r="F3242" s="71" t="s">
        <v>300</v>
      </c>
      <c r="G3242" s="88">
        <v>46253.835324074098</v>
      </c>
      <c r="H3242" s="89">
        <v>46253</v>
      </c>
      <c r="I3242" s="71" t="s">
        <v>715</v>
      </c>
      <c r="J3242" s="71">
        <v>0</v>
      </c>
      <c r="K3242" s="71" t="s">
        <v>302</v>
      </c>
      <c r="L3242" s="71">
        <f t="shared" si="450"/>
        <v>8</v>
      </c>
      <c r="M3242" s="71" t="str">
        <f>IFERROR(INDEX(KALENDER!$D$3:$D$132,MATCH(H3242,KALENDER!$A$3:$A$132,0)),"Di luar periode")</f>
        <v>Hari Kerja</v>
      </c>
      <c r="N3242" s="71">
        <f t="shared" si="451"/>
        <v>0</v>
      </c>
      <c r="O3242" s="71">
        <f t="shared" si="452"/>
        <v>1</v>
      </c>
      <c r="P3242" s="71">
        <f t="shared" si="453"/>
        <v>0</v>
      </c>
      <c r="Q3242" s="71">
        <f t="shared" si="454"/>
        <v>0</v>
      </c>
      <c r="R3242" s="71">
        <f t="shared" si="455"/>
        <v>0</v>
      </c>
      <c r="S3242" s="71">
        <f t="shared" si="456"/>
        <v>0</v>
      </c>
      <c r="T3242" s="71">
        <f t="shared" si="457"/>
        <v>0</v>
      </c>
      <c r="U3242" s="71">
        <f>IF(AND(N3242=1,V3242=1),IF(COUNTIFS(AKTIVITAS!$B$2:$B$3052,B3242,AKTIVITAS!$E$2:$E$3052,H3242)&gt;0,1,0),0)</f>
        <v>0</v>
      </c>
      <c r="V3242" s="71">
        <f>IFERROR(IF(AND(H3242&gt;=INDEX(PEMAGANG!$J$3:$J$36,MATCH(B3242,PEMAGANG!$C$3:$C$36,0)),H3242&lt;=INDEX(PEMAGANG!$K$3:$K$36,MATCH(B3242,PEMAGANG!$C$3:$C$36,0))),1,0),0)</f>
        <v>0</v>
      </c>
      <c r="W3242" s="71">
        <f t="shared" si="458"/>
        <v>0</v>
      </c>
    </row>
    <row r="3243" spans="1:23" x14ac:dyDescent="0.2">
      <c r="A3243" s="71" t="s">
        <v>700</v>
      </c>
      <c r="B3243" s="71" t="s">
        <v>701</v>
      </c>
      <c r="C3243" s="71" t="s">
        <v>187</v>
      </c>
      <c r="D3243" s="71" t="s">
        <v>421</v>
      </c>
      <c r="E3243" s="71" t="s">
        <v>422</v>
      </c>
      <c r="F3243" s="71" t="s">
        <v>298</v>
      </c>
      <c r="G3243" s="88">
        <v>46254.279039351903</v>
      </c>
      <c r="H3243" s="89">
        <v>46254</v>
      </c>
      <c r="I3243" s="71" t="s">
        <v>494</v>
      </c>
      <c r="J3243" s="71">
        <v>-79</v>
      </c>
      <c r="K3243" s="71" t="s">
        <v>302</v>
      </c>
      <c r="L3243" s="71">
        <f t="shared" si="450"/>
        <v>8</v>
      </c>
      <c r="M3243" s="71" t="str">
        <f>IFERROR(INDEX(KALENDER!$D$3:$D$132,MATCH(H3243,KALENDER!$A$3:$A$132,0)),"Di luar periode")</f>
        <v>Hari Kerja</v>
      </c>
      <c r="N3243" s="71">
        <f t="shared" si="451"/>
        <v>1</v>
      </c>
      <c r="O3243" s="71">
        <f t="shared" si="452"/>
        <v>1</v>
      </c>
      <c r="P3243" s="71">
        <f t="shared" si="453"/>
        <v>0</v>
      </c>
      <c r="Q3243" s="71">
        <f t="shared" si="454"/>
        <v>1</v>
      </c>
      <c r="R3243" s="71">
        <f t="shared" si="455"/>
        <v>0</v>
      </c>
      <c r="S3243" s="71">
        <f t="shared" si="456"/>
        <v>0</v>
      </c>
      <c r="T3243" s="71">
        <f t="shared" si="457"/>
        <v>0</v>
      </c>
      <c r="U3243" s="71">
        <f>IF(AND(N3243=1,V3243=1),IF(COUNTIFS(AKTIVITAS!$B$2:$B$3052,B3243,AKTIVITAS!$E$2:$E$3052,H3243)&gt;0,1,0),0)</f>
        <v>0</v>
      </c>
      <c r="V3243" s="71">
        <f>IFERROR(IF(AND(H3243&gt;=INDEX(PEMAGANG!$J$3:$J$36,MATCH(B3243,PEMAGANG!$C$3:$C$36,0)),H3243&lt;=INDEX(PEMAGANG!$K$3:$K$36,MATCH(B3243,PEMAGANG!$C$3:$C$36,0))),1,0),0)</f>
        <v>0</v>
      </c>
      <c r="W3243" s="71">
        <f t="shared" si="458"/>
        <v>0</v>
      </c>
    </row>
    <row r="3244" spans="1:23" x14ac:dyDescent="0.2">
      <c r="A3244" s="71" t="s">
        <v>700</v>
      </c>
      <c r="B3244" s="71" t="s">
        <v>701</v>
      </c>
      <c r="C3244" s="71" t="s">
        <v>187</v>
      </c>
      <c r="D3244" s="71" t="s">
        <v>421</v>
      </c>
      <c r="E3244" s="71" t="s">
        <v>422</v>
      </c>
      <c r="F3244" s="71" t="s">
        <v>300</v>
      </c>
      <c r="G3244" s="88">
        <v>46254.631747685198</v>
      </c>
      <c r="H3244" s="89">
        <v>46254</v>
      </c>
      <c r="I3244" s="71" t="s">
        <v>713</v>
      </c>
      <c r="J3244" s="71">
        <v>0</v>
      </c>
      <c r="K3244" s="71" t="s">
        <v>302</v>
      </c>
      <c r="L3244" s="71">
        <f t="shared" si="450"/>
        <v>8</v>
      </c>
      <c r="M3244" s="71" t="str">
        <f>IFERROR(INDEX(KALENDER!$D$3:$D$132,MATCH(H3244,KALENDER!$A$3:$A$132,0)),"Di luar periode")</f>
        <v>Hari Kerja</v>
      </c>
      <c r="N3244" s="71">
        <f t="shared" si="451"/>
        <v>0</v>
      </c>
      <c r="O3244" s="71">
        <f t="shared" si="452"/>
        <v>1</v>
      </c>
      <c r="P3244" s="71">
        <f t="shared" si="453"/>
        <v>0</v>
      </c>
      <c r="Q3244" s="71">
        <f t="shared" si="454"/>
        <v>0</v>
      </c>
      <c r="R3244" s="71">
        <f t="shared" si="455"/>
        <v>0</v>
      </c>
      <c r="S3244" s="71">
        <f t="shared" si="456"/>
        <v>0</v>
      </c>
      <c r="T3244" s="71">
        <f t="shared" si="457"/>
        <v>0</v>
      </c>
      <c r="U3244" s="71">
        <f>IF(AND(N3244=1,V3244=1),IF(COUNTIFS(AKTIVITAS!$B$2:$B$3052,B3244,AKTIVITAS!$E$2:$E$3052,H3244)&gt;0,1,0),0)</f>
        <v>0</v>
      </c>
      <c r="V3244" s="71">
        <f>IFERROR(IF(AND(H3244&gt;=INDEX(PEMAGANG!$J$3:$J$36,MATCH(B3244,PEMAGANG!$C$3:$C$36,0)),H3244&lt;=INDEX(PEMAGANG!$K$3:$K$36,MATCH(B3244,PEMAGANG!$C$3:$C$36,0))),1,0),0)</f>
        <v>0</v>
      </c>
      <c r="W3244" s="71">
        <f t="shared" si="458"/>
        <v>0</v>
      </c>
    </row>
    <row r="3245" spans="1:23" x14ac:dyDescent="0.2">
      <c r="A3245" s="71" t="s">
        <v>700</v>
      </c>
      <c r="B3245" s="71" t="s">
        <v>701</v>
      </c>
      <c r="C3245" s="71" t="s">
        <v>187</v>
      </c>
      <c r="D3245" s="71" t="s">
        <v>421</v>
      </c>
      <c r="E3245" s="71" t="s">
        <v>422</v>
      </c>
      <c r="F3245" s="71" t="s">
        <v>298</v>
      </c>
      <c r="G3245" s="88">
        <v>46255.2422337963</v>
      </c>
      <c r="H3245" s="89">
        <v>46255</v>
      </c>
      <c r="I3245" s="71" t="s">
        <v>716</v>
      </c>
      <c r="J3245" s="71">
        <v>-132</v>
      </c>
      <c r="K3245" s="71" t="s">
        <v>302</v>
      </c>
      <c r="L3245" s="71">
        <f t="shared" si="450"/>
        <v>8</v>
      </c>
      <c r="M3245" s="71" t="str">
        <f>IFERROR(INDEX(KALENDER!$D$3:$D$132,MATCH(H3245,KALENDER!$A$3:$A$132,0)),"Di luar periode")</f>
        <v>Hari Kerja</v>
      </c>
      <c r="N3245" s="71">
        <f t="shared" si="451"/>
        <v>1</v>
      </c>
      <c r="O3245" s="71">
        <f t="shared" si="452"/>
        <v>1</v>
      </c>
      <c r="P3245" s="71">
        <f t="shared" si="453"/>
        <v>0</v>
      </c>
      <c r="Q3245" s="71">
        <f t="shared" si="454"/>
        <v>1</v>
      </c>
      <c r="R3245" s="71">
        <f t="shared" si="455"/>
        <v>0</v>
      </c>
      <c r="S3245" s="71">
        <f t="shared" si="456"/>
        <v>0</v>
      </c>
      <c r="T3245" s="71">
        <f t="shared" si="457"/>
        <v>0</v>
      </c>
      <c r="U3245" s="71">
        <f>IF(AND(N3245=1,V3245=1),IF(COUNTIFS(AKTIVITAS!$B$2:$B$3052,B3245,AKTIVITAS!$E$2:$E$3052,H3245)&gt;0,1,0),0)</f>
        <v>0</v>
      </c>
      <c r="V3245" s="71">
        <f>IFERROR(IF(AND(H3245&gt;=INDEX(PEMAGANG!$J$3:$J$36,MATCH(B3245,PEMAGANG!$C$3:$C$36,0)),H3245&lt;=INDEX(PEMAGANG!$K$3:$K$36,MATCH(B3245,PEMAGANG!$C$3:$C$36,0))),1,0),0)</f>
        <v>0</v>
      </c>
      <c r="W3245" s="71">
        <f t="shared" si="458"/>
        <v>0</v>
      </c>
    </row>
    <row r="3246" spans="1:23" x14ac:dyDescent="0.2">
      <c r="A3246" s="71" t="s">
        <v>700</v>
      </c>
      <c r="B3246" s="71" t="s">
        <v>701</v>
      </c>
      <c r="C3246" s="71" t="s">
        <v>187</v>
      </c>
      <c r="D3246" s="71" t="s">
        <v>421</v>
      </c>
      <c r="E3246" s="71" t="s">
        <v>422</v>
      </c>
      <c r="F3246" s="71" t="s">
        <v>300</v>
      </c>
      <c r="G3246" s="88">
        <v>46255.6258101852</v>
      </c>
      <c r="H3246" s="89">
        <v>46255</v>
      </c>
      <c r="I3246" s="71" t="s">
        <v>621</v>
      </c>
      <c r="J3246" s="71">
        <v>0</v>
      </c>
      <c r="K3246" s="71" t="s">
        <v>302</v>
      </c>
      <c r="L3246" s="71">
        <f t="shared" si="450"/>
        <v>8</v>
      </c>
      <c r="M3246" s="71" t="str">
        <f>IFERROR(INDEX(KALENDER!$D$3:$D$132,MATCH(H3246,KALENDER!$A$3:$A$132,0)),"Di luar periode")</f>
        <v>Hari Kerja</v>
      </c>
      <c r="N3246" s="71">
        <f t="shared" si="451"/>
        <v>0</v>
      </c>
      <c r="O3246" s="71">
        <f t="shared" si="452"/>
        <v>1</v>
      </c>
      <c r="P3246" s="71">
        <f t="shared" si="453"/>
        <v>0</v>
      </c>
      <c r="Q3246" s="71">
        <f t="shared" si="454"/>
        <v>0</v>
      </c>
      <c r="R3246" s="71">
        <f t="shared" si="455"/>
        <v>0</v>
      </c>
      <c r="S3246" s="71">
        <f t="shared" si="456"/>
        <v>0</v>
      </c>
      <c r="T3246" s="71">
        <f t="shared" si="457"/>
        <v>0</v>
      </c>
      <c r="U3246" s="71">
        <f>IF(AND(N3246=1,V3246=1),IF(COUNTIFS(AKTIVITAS!$B$2:$B$3052,B3246,AKTIVITAS!$E$2:$E$3052,H3246)&gt;0,1,0),0)</f>
        <v>0</v>
      </c>
      <c r="V3246" s="71">
        <f>IFERROR(IF(AND(H3246&gt;=INDEX(PEMAGANG!$J$3:$J$36,MATCH(B3246,PEMAGANG!$C$3:$C$36,0)),H3246&lt;=INDEX(PEMAGANG!$K$3:$K$36,MATCH(B3246,PEMAGANG!$C$3:$C$36,0))),1,0),0)</f>
        <v>0</v>
      </c>
      <c r="W3246" s="71">
        <f t="shared" si="458"/>
        <v>0</v>
      </c>
    </row>
    <row r="3247" spans="1:23" x14ac:dyDescent="0.2">
      <c r="A3247" s="71" t="s">
        <v>700</v>
      </c>
      <c r="B3247" s="71" t="s">
        <v>701</v>
      </c>
      <c r="C3247" s="71" t="s">
        <v>187</v>
      </c>
      <c r="D3247" s="71" t="s">
        <v>421</v>
      </c>
      <c r="E3247" s="71" t="s">
        <v>422</v>
      </c>
      <c r="F3247" s="71" t="s">
        <v>298</v>
      </c>
      <c r="G3247" s="88">
        <v>46256.2366203704</v>
      </c>
      <c r="H3247" s="89">
        <v>46256</v>
      </c>
      <c r="I3247" s="71" t="s">
        <v>684</v>
      </c>
      <c r="J3247" s="71">
        <v>-140</v>
      </c>
      <c r="K3247" s="71" t="s">
        <v>302</v>
      </c>
      <c r="L3247" s="71">
        <f t="shared" si="450"/>
        <v>8</v>
      </c>
      <c r="M3247" s="71" t="str">
        <f>IFERROR(INDEX(KALENDER!$D$3:$D$132,MATCH(H3247,KALENDER!$A$3:$A$132,0)),"Di luar periode")</f>
        <v>Libur (Sabtu/Minggu)</v>
      </c>
      <c r="N3247" s="71">
        <f t="shared" si="451"/>
        <v>1</v>
      </c>
      <c r="O3247" s="71">
        <f t="shared" si="452"/>
        <v>1</v>
      </c>
      <c r="P3247" s="71">
        <f t="shared" si="453"/>
        <v>0</v>
      </c>
      <c r="Q3247" s="71">
        <f t="shared" si="454"/>
        <v>1</v>
      </c>
      <c r="R3247" s="71">
        <f t="shared" si="455"/>
        <v>0</v>
      </c>
      <c r="S3247" s="71">
        <f t="shared" si="456"/>
        <v>0</v>
      </c>
      <c r="T3247" s="71">
        <f t="shared" si="457"/>
        <v>0</v>
      </c>
      <c r="U3247" s="71">
        <f>IF(AND(N3247=1,V3247=1),IF(COUNTIFS(AKTIVITAS!$B$2:$B$3052,B3247,AKTIVITAS!$E$2:$E$3052,H3247)&gt;0,1,0),0)</f>
        <v>0</v>
      </c>
      <c r="V3247" s="71">
        <f>IFERROR(IF(AND(H3247&gt;=INDEX(PEMAGANG!$J$3:$J$36,MATCH(B3247,PEMAGANG!$C$3:$C$36,0)),H3247&lt;=INDEX(PEMAGANG!$K$3:$K$36,MATCH(B3247,PEMAGANG!$C$3:$C$36,0))),1,0),0)</f>
        <v>0</v>
      </c>
      <c r="W3247" s="71">
        <f t="shared" si="458"/>
        <v>0</v>
      </c>
    </row>
    <row r="3248" spans="1:23" x14ac:dyDescent="0.2">
      <c r="A3248" s="71" t="s">
        <v>700</v>
      </c>
      <c r="B3248" s="71" t="s">
        <v>701</v>
      </c>
      <c r="C3248" s="71" t="s">
        <v>187</v>
      </c>
      <c r="D3248" s="71" t="s">
        <v>421</v>
      </c>
      <c r="E3248" s="71" t="s">
        <v>422</v>
      </c>
      <c r="F3248" s="71" t="s">
        <v>300</v>
      </c>
      <c r="G3248" s="88">
        <v>46256.833263888897</v>
      </c>
      <c r="H3248" s="89">
        <v>46256</v>
      </c>
      <c r="I3248" s="71" t="s">
        <v>717</v>
      </c>
      <c r="J3248" s="71">
        <v>0</v>
      </c>
      <c r="K3248" s="71" t="s">
        <v>302</v>
      </c>
      <c r="L3248" s="71">
        <f t="shared" si="450"/>
        <v>8</v>
      </c>
      <c r="M3248" s="71" t="str">
        <f>IFERROR(INDEX(KALENDER!$D$3:$D$132,MATCH(H3248,KALENDER!$A$3:$A$132,0)),"Di luar periode")</f>
        <v>Libur (Sabtu/Minggu)</v>
      </c>
      <c r="N3248" s="71">
        <f t="shared" si="451"/>
        <v>0</v>
      </c>
      <c r="O3248" s="71">
        <f t="shared" si="452"/>
        <v>1</v>
      </c>
      <c r="P3248" s="71">
        <f t="shared" si="453"/>
        <v>0</v>
      </c>
      <c r="Q3248" s="71">
        <f t="shared" si="454"/>
        <v>0</v>
      </c>
      <c r="R3248" s="71">
        <f t="shared" si="455"/>
        <v>0</v>
      </c>
      <c r="S3248" s="71">
        <f t="shared" si="456"/>
        <v>0</v>
      </c>
      <c r="T3248" s="71">
        <f t="shared" si="457"/>
        <v>0</v>
      </c>
      <c r="U3248" s="71">
        <f>IF(AND(N3248=1,V3248=1),IF(COUNTIFS(AKTIVITAS!$B$2:$B$3052,B3248,AKTIVITAS!$E$2:$E$3052,H3248)&gt;0,1,0),0)</f>
        <v>0</v>
      </c>
      <c r="V3248" s="71">
        <f>IFERROR(IF(AND(H3248&gt;=INDEX(PEMAGANG!$J$3:$J$36,MATCH(B3248,PEMAGANG!$C$3:$C$36,0)),H3248&lt;=INDEX(PEMAGANG!$K$3:$K$36,MATCH(B3248,PEMAGANG!$C$3:$C$36,0))),1,0),0)</f>
        <v>0</v>
      </c>
      <c r="W3248" s="71">
        <f t="shared" si="458"/>
        <v>0</v>
      </c>
    </row>
    <row r="3249" spans="1:23" x14ac:dyDescent="0.2">
      <c r="A3249" s="71" t="s">
        <v>700</v>
      </c>
      <c r="B3249" s="71" t="s">
        <v>701</v>
      </c>
      <c r="C3249" s="71" t="s">
        <v>187</v>
      </c>
      <c r="D3249" s="71" t="s">
        <v>421</v>
      </c>
      <c r="E3249" s="71" t="s">
        <v>422</v>
      </c>
      <c r="F3249" s="71" t="s">
        <v>298</v>
      </c>
      <c r="G3249" s="88">
        <v>46257.243865740696</v>
      </c>
      <c r="H3249" s="89">
        <v>46257</v>
      </c>
      <c r="I3249" s="71" t="s">
        <v>718</v>
      </c>
      <c r="J3249" s="71">
        <v>-129</v>
      </c>
      <c r="K3249" s="71" t="s">
        <v>302</v>
      </c>
      <c r="L3249" s="71">
        <f t="shared" si="450"/>
        <v>8</v>
      </c>
      <c r="M3249" s="71" t="str">
        <f>IFERROR(INDEX(KALENDER!$D$3:$D$132,MATCH(H3249,KALENDER!$A$3:$A$132,0)),"Di luar periode")</f>
        <v>Libur (Sabtu/Minggu)</v>
      </c>
      <c r="N3249" s="71">
        <f t="shared" si="451"/>
        <v>1</v>
      </c>
      <c r="O3249" s="71">
        <f t="shared" si="452"/>
        <v>1</v>
      </c>
      <c r="P3249" s="71">
        <f t="shared" si="453"/>
        <v>0</v>
      </c>
      <c r="Q3249" s="71">
        <f t="shared" si="454"/>
        <v>1</v>
      </c>
      <c r="R3249" s="71">
        <f t="shared" si="455"/>
        <v>0</v>
      </c>
      <c r="S3249" s="71">
        <f t="shared" si="456"/>
        <v>0</v>
      </c>
      <c r="T3249" s="71">
        <f t="shared" si="457"/>
        <v>0</v>
      </c>
      <c r="U3249" s="71">
        <f>IF(AND(N3249=1,V3249=1),IF(COUNTIFS(AKTIVITAS!$B$2:$B$3052,B3249,AKTIVITAS!$E$2:$E$3052,H3249)&gt;0,1,0),0)</f>
        <v>0</v>
      </c>
      <c r="V3249" s="71">
        <f>IFERROR(IF(AND(H3249&gt;=INDEX(PEMAGANG!$J$3:$J$36,MATCH(B3249,PEMAGANG!$C$3:$C$36,0)),H3249&lt;=INDEX(PEMAGANG!$K$3:$K$36,MATCH(B3249,PEMAGANG!$C$3:$C$36,0))),1,0),0)</f>
        <v>0</v>
      </c>
      <c r="W3249" s="71">
        <f t="shared" si="458"/>
        <v>0</v>
      </c>
    </row>
    <row r="3250" spans="1:23" x14ac:dyDescent="0.2">
      <c r="A3250" s="71" t="s">
        <v>700</v>
      </c>
      <c r="B3250" s="71" t="s">
        <v>701</v>
      </c>
      <c r="C3250" s="71" t="s">
        <v>187</v>
      </c>
      <c r="D3250" s="71" t="s">
        <v>421</v>
      </c>
      <c r="E3250" s="71" t="s">
        <v>422</v>
      </c>
      <c r="F3250" s="71" t="s">
        <v>300</v>
      </c>
      <c r="G3250" s="88">
        <v>46257.7955671296</v>
      </c>
      <c r="H3250" s="89">
        <v>46257</v>
      </c>
      <c r="I3250" s="71" t="s">
        <v>719</v>
      </c>
      <c r="J3250" s="71">
        <v>0</v>
      </c>
      <c r="K3250" s="71" t="s">
        <v>302</v>
      </c>
      <c r="L3250" s="71">
        <f t="shared" si="450"/>
        <v>8</v>
      </c>
      <c r="M3250" s="71" t="str">
        <f>IFERROR(INDEX(KALENDER!$D$3:$D$132,MATCH(H3250,KALENDER!$A$3:$A$132,0)),"Di luar periode")</f>
        <v>Libur (Sabtu/Minggu)</v>
      </c>
      <c r="N3250" s="71">
        <f t="shared" si="451"/>
        <v>0</v>
      </c>
      <c r="O3250" s="71">
        <f t="shared" si="452"/>
        <v>1</v>
      </c>
      <c r="P3250" s="71">
        <f t="shared" si="453"/>
        <v>0</v>
      </c>
      <c r="Q3250" s="71">
        <f t="shared" si="454"/>
        <v>0</v>
      </c>
      <c r="R3250" s="71">
        <f t="shared" si="455"/>
        <v>0</v>
      </c>
      <c r="S3250" s="71">
        <f t="shared" si="456"/>
        <v>0</v>
      </c>
      <c r="T3250" s="71">
        <f t="shared" si="457"/>
        <v>0</v>
      </c>
      <c r="U3250" s="71">
        <f>IF(AND(N3250=1,V3250=1),IF(COUNTIFS(AKTIVITAS!$B$2:$B$3052,B3250,AKTIVITAS!$E$2:$E$3052,H3250)&gt;0,1,0),0)</f>
        <v>0</v>
      </c>
      <c r="V3250" s="71">
        <f>IFERROR(IF(AND(H3250&gt;=INDEX(PEMAGANG!$J$3:$J$36,MATCH(B3250,PEMAGANG!$C$3:$C$36,0)),H3250&lt;=INDEX(PEMAGANG!$K$3:$K$36,MATCH(B3250,PEMAGANG!$C$3:$C$36,0))),1,0),0)</f>
        <v>0</v>
      </c>
      <c r="W3250" s="71">
        <f t="shared" si="458"/>
        <v>0</v>
      </c>
    </row>
    <row r="3251" spans="1:23" x14ac:dyDescent="0.2">
      <c r="A3251" s="71" t="s">
        <v>700</v>
      </c>
      <c r="B3251" s="71" t="s">
        <v>701</v>
      </c>
      <c r="C3251" s="71" t="s">
        <v>187</v>
      </c>
      <c r="D3251" s="71" t="s">
        <v>421</v>
      </c>
      <c r="E3251" s="71" t="s">
        <v>422</v>
      </c>
      <c r="F3251" s="71" t="s">
        <v>298</v>
      </c>
      <c r="G3251" s="88">
        <v>46259.269525463002</v>
      </c>
      <c r="H3251" s="89">
        <v>46259</v>
      </c>
      <c r="I3251" s="71" t="s">
        <v>604</v>
      </c>
      <c r="J3251" s="71">
        <v>-92</v>
      </c>
      <c r="K3251" s="71" t="s">
        <v>302</v>
      </c>
      <c r="L3251" s="71">
        <f t="shared" si="450"/>
        <v>8</v>
      </c>
      <c r="M3251" s="71" t="str">
        <f>IFERROR(INDEX(KALENDER!$D$3:$D$132,MATCH(H3251,KALENDER!$A$3:$A$132,0)),"Di luar periode")</f>
        <v>Libur Nasional</v>
      </c>
      <c r="N3251" s="71">
        <f t="shared" si="451"/>
        <v>1</v>
      </c>
      <c r="O3251" s="71">
        <f t="shared" si="452"/>
        <v>1</v>
      </c>
      <c r="P3251" s="71">
        <f t="shared" si="453"/>
        <v>0</v>
      </c>
      <c r="Q3251" s="71">
        <f t="shared" si="454"/>
        <v>1</v>
      </c>
      <c r="R3251" s="71">
        <f t="shared" si="455"/>
        <v>0</v>
      </c>
      <c r="S3251" s="71">
        <f t="shared" si="456"/>
        <v>0</v>
      </c>
      <c r="T3251" s="71">
        <f t="shared" si="457"/>
        <v>0</v>
      </c>
      <c r="U3251" s="71">
        <f>IF(AND(N3251=1,V3251=1),IF(COUNTIFS(AKTIVITAS!$B$2:$B$3052,B3251,AKTIVITAS!$E$2:$E$3052,H3251)&gt;0,1,0),0)</f>
        <v>0</v>
      </c>
      <c r="V3251" s="71">
        <f>IFERROR(IF(AND(H3251&gt;=INDEX(PEMAGANG!$J$3:$J$36,MATCH(B3251,PEMAGANG!$C$3:$C$36,0)),H3251&lt;=INDEX(PEMAGANG!$K$3:$K$36,MATCH(B3251,PEMAGANG!$C$3:$C$36,0))),1,0),0)</f>
        <v>0</v>
      </c>
      <c r="W3251" s="71">
        <f t="shared" si="458"/>
        <v>0</v>
      </c>
    </row>
    <row r="3252" spans="1:23" x14ac:dyDescent="0.2">
      <c r="A3252" s="71" t="s">
        <v>700</v>
      </c>
      <c r="B3252" s="71" t="s">
        <v>701</v>
      </c>
      <c r="C3252" s="71" t="s">
        <v>187</v>
      </c>
      <c r="D3252" s="71" t="s">
        <v>421</v>
      </c>
      <c r="E3252" s="71" t="s">
        <v>422</v>
      </c>
      <c r="F3252" s="71" t="s">
        <v>300</v>
      </c>
      <c r="G3252" s="88">
        <v>46259.645300925898</v>
      </c>
      <c r="H3252" s="89">
        <v>46259</v>
      </c>
      <c r="I3252" s="71" t="s">
        <v>720</v>
      </c>
      <c r="J3252" s="71">
        <v>0</v>
      </c>
      <c r="K3252" s="71" t="s">
        <v>302</v>
      </c>
      <c r="L3252" s="71">
        <f t="shared" si="450"/>
        <v>8</v>
      </c>
      <c r="M3252" s="71" t="str">
        <f>IFERROR(INDEX(KALENDER!$D$3:$D$132,MATCH(H3252,KALENDER!$A$3:$A$132,0)),"Di luar periode")</f>
        <v>Libur Nasional</v>
      </c>
      <c r="N3252" s="71">
        <f t="shared" si="451"/>
        <v>0</v>
      </c>
      <c r="O3252" s="71">
        <f t="shared" si="452"/>
        <v>1</v>
      </c>
      <c r="P3252" s="71">
        <f t="shared" si="453"/>
        <v>0</v>
      </c>
      <c r="Q3252" s="71">
        <f t="shared" si="454"/>
        <v>0</v>
      </c>
      <c r="R3252" s="71">
        <f t="shared" si="455"/>
        <v>0</v>
      </c>
      <c r="S3252" s="71">
        <f t="shared" si="456"/>
        <v>0</v>
      </c>
      <c r="T3252" s="71">
        <f t="shared" si="457"/>
        <v>0</v>
      </c>
      <c r="U3252" s="71">
        <f>IF(AND(N3252=1,V3252=1),IF(COUNTIFS(AKTIVITAS!$B$2:$B$3052,B3252,AKTIVITAS!$E$2:$E$3052,H3252)&gt;0,1,0),0)</f>
        <v>0</v>
      </c>
      <c r="V3252" s="71">
        <f>IFERROR(IF(AND(H3252&gt;=INDEX(PEMAGANG!$J$3:$J$36,MATCH(B3252,PEMAGANG!$C$3:$C$36,0)),H3252&lt;=INDEX(PEMAGANG!$K$3:$K$36,MATCH(B3252,PEMAGANG!$C$3:$C$36,0))),1,0),0)</f>
        <v>0</v>
      </c>
      <c r="W3252" s="71">
        <f t="shared" si="458"/>
        <v>0</v>
      </c>
    </row>
    <row r="3253" spans="1:23" x14ac:dyDescent="0.2">
      <c r="A3253" s="71" t="s">
        <v>700</v>
      </c>
      <c r="B3253" s="71" t="s">
        <v>701</v>
      </c>
      <c r="C3253" s="71" t="s">
        <v>187</v>
      </c>
      <c r="D3253" s="71" t="s">
        <v>421</v>
      </c>
      <c r="E3253" s="71" t="s">
        <v>422</v>
      </c>
      <c r="F3253" s="71" t="s">
        <v>298</v>
      </c>
      <c r="G3253" s="88">
        <v>46260.2754166667</v>
      </c>
      <c r="H3253" s="89">
        <v>46260</v>
      </c>
      <c r="I3253" s="71" t="s">
        <v>497</v>
      </c>
      <c r="J3253" s="71">
        <v>-84</v>
      </c>
      <c r="K3253" s="71" t="s">
        <v>302</v>
      </c>
      <c r="L3253" s="71">
        <f t="shared" si="450"/>
        <v>8</v>
      </c>
      <c r="M3253" s="71" t="str">
        <f>IFERROR(INDEX(KALENDER!$D$3:$D$132,MATCH(H3253,KALENDER!$A$3:$A$132,0)),"Di luar periode")</f>
        <v>Hari Kerja</v>
      </c>
      <c r="N3253" s="71">
        <f t="shared" si="451"/>
        <v>1</v>
      </c>
      <c r="O3253" s="71">
        <f t="shared" si="452"/>
        <v>1</v>
      </c>
      <c r="P3253" s="71">
        <f t="shared" si="453"/>
        <v>0</v>
      </c>
      <c r="Q3253" s="71">
        <f t="shared" si="454"/>
        <v>1</v>
      </c>
      <c r="R3253" s="71">
        <f t="shared" si="455"/>
        <v>0</v>
      </c>
      <c r="S3253" s="71">
        <f t="shared" si="456"/>
        <v>0</v>
      </c>
      <c r="T3253" s="71">
        <f t="shared" si="457"/>
        <v>0</v>
      </c>
      <c r="U3253" s="71">
        <f>IF(AND(N3253=1,V3253=1),IF(COUNTIFS(AKTIVITAS!$B$2:$B$3052,B3253,AKTIVITAS!$E$2:$E$3052,H3253)&gt;0,1,0),0)</f>
        <v>0</v>
      </c>
      <c r="V3253" s="71">
        <f>IFERROR(IF(AND(H3253&gt;=INDEX(PEMAGANG!$J$3:$J$36,MATCH(B3253,PEMAGANG!$C$3:$C$36,0)),H3253&lt;=INDEX(PEMAGANG!$K$3:$K$36,MATCH(B3253,PEMAGANG!$C$3:$C$36,0))),1,0),0)</f>
        <v>0</v>
      </c>
      <c r="W3253" s="71">
        <f t="shared" si="458"/>
        <v>0</v>
      </c>
    </row>
    <row r="3254" spans="1:23" x14ac:dyDescent="0.2">
      <c r="A3254" s="71" t="s">
        <v>700</v>
      </c>
      <c r="B3254" s="71" t="s">
        <v>701</v>
      </c>
      <c r="C3254" s="71" t="s">
        <v>187</v>
      </c>
      <c r="D3254" s="71" t="s">
        <v>421</v>
      </c>
      <c r="E3254" s="71" t="s">
        <v>422</v>
      </c>
      <c r="F3254" s="71" t="s">
        <v>300</v>
      </c>
      <c r="G3254" s="88">
        <v>46260.638900462996</v>
      </c>
      <c r="H3254" s="89">
        <v>46260</v>
      </c>
      <c r="I3254" s="71" t="s">
        <v>721</v>
      </c>
      <c r="J3254" s="71">
        <v>0</v>
      </c>
      <c r="K3254" s="71" t="s">
        <v>302</v>
      </c>
      <c r="L3254" s="71">
        <f t="shared" si="450"/>
        <v>8</v>
      </c>
      <c r="M3254" s="71" t="str">
        <f>IFERROR(INDEX(KALENDER!$D$3:$D$132,MATCH(H3254,KALENDER!$A$3:$A$132,0)),"Di luar periode")</f>
        <v>Hari Kerja</v>
      </c>
      <c r="N3254" s="71">
        <f t="shared" si="451"/>
        <v>0</v>
      </c>
      <c r="O3254" s="71">
        <f t="shared" si="452"/>
        <v>1</v>
      </c>
      <c r="P3254" s="71">
        <f t="shared" si="453"/>
        <v>0</v>
      </c>
      <c r="Q3254" s="71">
        <f t="shared" si="454"/>
        <v>0</v>
      </c>
      <c r="R3254" s="71">
        <f t="shared" si="455"/>
        <v>0</v>
      </c>
      <c r="S3254" s="71">
        <f t="shared" si="456"/>
        <v>0</v>
      </c>
      <c r="T3254" s="71">
        <f t="shared" si="457"/>
        <v>0</v>
      </c>
      <c r="U3254" s="71">
        <f>IF(AND(N3254=1,V3254=1),IF(COUNTIFS(AKTIVITAS!$B$2:$B$3052,B3254,AKTIVITAS!$E$2:$E$3052,H3254)&gt;0,1,0),0)</f>
        <v>0</v>
      </c>
      <c r="V3254" s="71">
        <f>IFERROR(IF(AND(H3254&gt;=INDEX(PEMAGANG!$J$3:$J$36,MATCH(B3254,PEMAGANG!$C$3:$C$36,0)),H3254&lt;=INDEX(PEMAGANG!$K$3:$K$36,MATCH(B3254,PEMAGANG!$C$3:$C$36,0))),1,0),0)</f>
        <v>0</v>
      </c>
      <c r="W3254" s="71">
        <f t="shared" si="458"/>
        <v>0</v>
      </c>
    </row>
    <row r="3255" spans="1:23" x14ac:dyDescent="0.2">
      <c r="A3255" s="71" t="s">
        <v>700</v>
      </c>
      <c r="B3255" s="71" t="s">
        <v>701</v>
      </c>
      <c r="C3255" s="71" t="s">
        <v>187</v>
      </c>
      <c r="D3255" s="71" t="s">
        <v>421</v>
      </c>
      <c r="E3255" s="71" t="s">
        <v>422</v>
      </c>
      <c r="F3255" s="71" t="s">
        <v>298</v>
      </c>
      <c r="G3255" s="88">
        <v>46261.229548611103</v>
      </c>
      <c r="H3255" s="89">
        <v>46261</v>
      </c>
      <c r="I3255" s="71" t="s">
        <v>722</v>
      </c>
      <c r="J3255" s="71">
        <v>-150</v>
      </c>
      <c r="K3255" s="71" t="s">
        <v>302</v>
      </c>
      <c r="L3255" s="71">
        <f t="shared" si="450"/>
        <v>8</v>
      </c>
      <c r="M3255" s="71" t="str">
        <f>IFERROR(INDEX(KALENDER!$D$3:$D$132,MATCH(H3255,KALENDER!$A$3:$A$132,0)),"Di luar periode")</f>
        <v>Hari Kerja</v>
      </c>
      <c r="N3255" s="71">
        <f t="shared" si="451"/>
        <v>1</v>
      </c>
      <c r="O3255" s="71">
        <f t="shared" si="452"/>
        <v>1</v>
      </c>
      <c r="P3255" s="71">
        <f t="shared" si="453"/>
        <v>0</v>
      </c>
      <c r="Q3255" s="71">
        <f t="shared" si="454"/>
        <v>1</v>
      </c>
      <c r="R3255" s="71">
        <f t="shared" si="455"/>
        <v>0</v>
      </c>
      <c r="S3255" s="71">
        <f t="shared" si="456"/>
        <v>0</v>
      </c>
      <c r="T3255" s="71">
        <f t="shared" si="457"/>
        <v>0</v>
      </c>
      <c r="U3255" s="71">
        <f>IF(AND(N3255=1,V3255=1),IF(COUNTIFS(AKTIVITAS!$B$2:$B$3052,B3255,AKTIVITAS!$E$2:$E$3052,H3255)&gt;0,1,0),0)</f>
        <v>0</v>
      </c>
      <c r="V3255" s="71">
        <f>IFERROR(IF(AND(H3255&gt;=INDEX(PEMAGANG!$J$3:$J$36,MATCH(B3255,PEMAGANG!$C$3:$C$36,0)),H3255&lt;=INDEX(PEMAGANG!$K$3:$K$36,MATCH(B3255,PEMAGANG!$C$3:$C$36,0))),1,0),0)</f>
        <v>0</v>
      </c>
      <c r="W3255" s="71">
        <f t="shared" si="458"/>
        <v>0</v>
      </c>
    </row>
    <row r="3256" spans="1:23" x14ac:dyDescent="0.2">
      <c r="A3256" s="71" t="s">
        <v>700</v>
      </c>
      <c r="B3256" s="71" t="s">
        <v>701</v>
      </c>
      <c r="C3256" s="71" t="s">
        <v>187</v>
      </c>
      <c r="D3256" s="71" t="s">
        <v>421</v>
      </c>
      <c r="E3256" s="71" t="s">
        <v>422</v>
      </c>
      <c r="F3256" s="71" t="s">
        <v>300</v>
      </c>
      <c r="G3256" s="88">
        <v>46261.631215277797</v>
      </c>
      <c r="H3256" s="89">
        <v>46261</v>
      </c>
      <c r="I3256" s="71" t="s">
        <v>723</v>
      </c>
      <c r="J3256" s="71">
        <v>0</v>
      </c>
      <c r="K3256" s="71" t="s">
        <v>302</v>
      </c>
      <c r="L3256" s="71">
        <f t="shared" si="450"/>
        <v>8</v>
      </c>
      <c r="M3256" s="71" t="str">
        <f>IFERROR(INDEX(KALENDER!$D$3:$D$132,MATCH(H3256,KALENDER!$A$3:$A$132,0)),"Di luar periode")</f>
        <v>Hari Kerja</v>
      </c>
      <c r="N3256" s="71">
        <f t="shared" si="451"/>
        <v>0</v>
      </c>
      <c r="O3256" s="71">
        <f t="shared" si="452"/>
        <v>1</v>
      </c>
      <c r="P3256" s="71">
        <f t="shared" si="453"/>
        <v>0</v>
      </c>
      <c r="Q3256" s="71">
        <f t="shared" si="454"/>
        <v>0</v>
      </c>
      <c r="R3256" s="71">
        <f t="shared" si="455"/>
        <v>0</v>
      </c>
      <c r="S3256" s="71">
        <f t="shared" si="456"/>
        <v>0</v>
      </c>
      <c r="T3256" s="71">
        <f t="shared" si="457"/>
        <v>0</v>
      </c>
      <c r="U3256" s="71">
        <f>IF(AND(N3256=1,V3256=1),IF(COUNTIFS(AKTIVITAS!$B$2:$B$3052,B3256,AKTIVITAS!$E$2:$E$3052,H3256)&gt;0,1,0),0)</f>
        <v>0</v>
      </c>
      <c r="V3256" s="71">
        <f>IFERROR(IF(AND(H3256&gt;=INDEX(PEMAGANG!$J$3:$J$36,MATCH(B3256,PEMAGANG!$C$3:$C$36,0)),H3256&lt;=INDEX(PEMAGANG!$K$3:$K$36,MATCH(B3256,PEMAGANG!$C$3:$C$36,0))),1,0),0)</f>
        <v>0</v>
      </c>
      <c r="W3256" s="71">
        <f t="shared" si="458"/>
        <v>0</v>
      </c>
    </row>
    <row r="3257" spans="1:23" x14ac:dyDescent="0.2">
      <c r="A3257" s="71" t="s">
        <v>700</v>
      </c>
      <c r="B3257" s="71" t="s">
        <v>701</v>
      </c>
      <c r="C3257" s="71" t="s">
        <v>187</v>
      </c>
      <c r="D3257" s="71" t="s">
        <v>421</v>
      </c>
      <c r="E3257" s="71" t="s">
        <v>422</v>
      </c>
      <c r="F3257" s="71" t="s">
        <v>298</v>
      </c>
      <c r="G3257" s="88">
        <v>46262.245069444398</v>
      </c>
      <c r="H3257" s="89">
        <v>46262</v>
      </c>
      <c r="I3257" s="71" t="s">
        <v>446</v>
      </c>
      <c r="J3257" s="71">
        <v>-128</v>
      </c>
      <c r="K3257" s="71" t="s">
        <v>302</v>
      </c>
      <c r="L3257" s="71">
        <f t="shared" si="450"/>
        <v>8</v>
      </c>
      <c r="M3257" s="71" t="str">
        <f>IFERROR(INDEX(KALENDER!$D$3:$D$132,MATCH(H3257,KALENDER!$A$3:$A$132,0)),"Di luar periode")</f>
        <v>Hari Kerja</v>
      </c>
      <c r="N3257" s="71">
        <f t="shared" si="451"/>
        <v>1</v>
      </c>
      <c r="O3257" s="71">
        <f t="shared" si="452"/>
        <v>1</v>
      </c>
      <c r="P3257" s="71">
        <f t="shared" si="453"/>
        <v>0</v>
      </c>
      <c r="Q3257" s="71">
        <f t="shared" si="454"/>
        <v>1</v>
      </c>
      <c r="R3257" s="71">
        <f t="shared" si="455"/>
        <v>0</v>
      </c>
      <c r="S3257" s="71">
        <f t="shared" si="456"/>
        <v>0</v>
      </c>
      <c r="T3257" s="71">
        <f t="shared" si="457"/>
        <v>0</v>
      </c>
      <c r="U3257" s="71">
        <f>IF(AND(N3257=1,V3257=1),IF(COUNTIFS(AKTIVITAS!$B$2:$B$3052,B3257,AKTIVITAS!$E$2:$E$3052,H3257)&gt;0,1,0),0)</f>
        <v>0</v>
      </c>
      <c r="V3257" s="71">
        <f>IFERROR(IF(AND(H3257&gt;=INDEX(PEMAGANG!$J$3:$J$36,MATCH(B3257,PEMAGANG!$C$3:$C$36,0)),H3257&lt;=INDEX(PEMAGANG!$K$3:$K$36,MATCH(B3257,PEMAGANG!$C$3:$C$36,0))),1,0),0)</f>
        <v>0</v>
      </c>
      <c r="W3257" s="71">
        <f t="shared" si="458"/>
        <v>0</v>
      </c>
    </row>
    <row r="3258" spans="1:23" x14ac:dyDescent="0.2">
      <c r="A3258" s="71" t="s">
        <v>700</v>
      </c>
      <c r="B3258" s="71" t="s">
        <v>701</v>
      </c>
      <c r="C3258" s="71" t="s">
        <v>187</v>
      </c>
      <c r="D3258" s="71" t="s">
        <v>421</v>
      </c>
      <c r="E3258" s="71" t="s">
        <v>422</v>
      </c>
      <c r="F3258" s="71" t="s">
        <v>300</v>
      </c>
      <c r="G3258" s="88">
        <v>46262.635972222197</v>
      </c>
      <c r="H3258" s="89">
        <v>46262</v>
      </c>
      <c r="I3258" s="71" t="s">
        <v>724</v>
      </c>
      <c r="J3258" s="71">
        <v>0</v>
      </c>
      <c r="K3258" s="71" t="s">
        <v>302</v>
      </c>
      <c r="L3258" s="71">
        <f t="shared" si="450"/>
        <v>8</v>
      </c>
      <c r="M3258" s="71" t="str">
        <f>IFERROR(INDEX(KALENDER!$D$3:$D$132,MATCH(H3258,KALENDER!$A$3:$A$132,0)),"Di luar periode")</f>
        <v>Hari Kerja</v>
      </c>
      <c r="N3258" s="71">
        <f t="shared" si="451"/>
        <v>0</v>
      </c>
      <c r="O3258" s="71">
        <f t="shared" si="452"/>
        <v>1</v>
      </c>
      <c r="P3258" s="71">
        <f t="shared" si="453"/>
        <v>0</v>
      </c>
      <c r="Q3258" s="71">
        <f t="shared" si="454"/>
        <v>0</v>
      </c>
      <c r="R3258" s="71">
        <f t="shared" si="455"/>
        <v>0</v>
      </c>
      <c r="S3258" s="71">
        <f t="shared" si="456"/>
        <v>0</v>
      </c>
      <c r="T3258" s="71">
        <f t="shared" si="457"/>
        <v>0</v>
      </c>
      <c r="U3258" s="71">
        <f>IF(AND(N3258=1,V3258=1),IF(COUNTIFS(AKTIVITAS!$B$2:$B$3052,B3258,AKTIVITAS!$E$2:$E$3052,H3258)&gt;0,1,0),0)</f>
        <v>0</v>
      </c>
      <c r="V3258" s="71">
        <f>IFERROR(IF(AND(H3258&gt;=INDEX(PEMAGANG!$J$3:$J$36,MATCH(B3258,PEMAGANG!$C$3:$C$36,0)),H3258&lt;=INDEX(PEMAGANG!$K$3:$K$36,MATCH(B3258,PEMAGANG!$C$3:$C$36,0))),1,0),0)</f>
        <v>0</v>
      </c>
      <c r="W3258" s="71">
        <f t="shared" si="458"/>
        <v>0</v>
      </c>
    </row>
    <row r="3259" spans="1:23" x14ac:dyDescent="0.2">
      <c r="A3259" s="71" t="s">
        <v>700</v>
      </c>
      <c r="B3259" s="71" t="s">
        <v>701</v>
      </c>
      <c r="C3259" s="71" t="s">
        <v>187</v>
      </c>
      <c r="D3259" s="71" t="s">
        <v>421</v>
      </c>
      <c r="E3259" s="71" t="s">
        <v>422</v>
      </c>
      <c r="F3259" s="71" t="s">
        <v>298</v>
      </c>
      <c r="G3259" s="88">
        <v>46263.284363425897</v>
      </c>
      <c r="H3259" s="89">
        <v>46263</v>
      </c>
      <c r="I3259" s="71" t="s">
        <v>699</v>
      </c>
      <c r="J3259" s="71">
        <v>-71</v>
      </c>
      <c r="K3259" s="71" t="s">
        <v>302</v>
      </c>
      <c r="L3259" s="71">
        <f t="shared" si="450"/>
        <v>8</v>
      </c>
      <c r="M3259" s="71" t="str">
        <f>IFERROR(INDEX(KALENDER!$D$3:$D$132,MATCH(H3259,KALENDER!$A$3:$A$132,0)),"Di luar periode")</f>
        <v>Libur (Sabtu/Minggu)</v>
      </c>
      <c r="N3259" s="71">
        <f t="shared" si="451"/>
        <v>1</v>
      </c>
      <c r="O3259" s="71">
        <f t="shared" si="452"/>
        <v>1</v>
      </c>
      <c r="P3259" s="71">
        <f t="shared" si="453"/>
        <v>0</v>
      </c>
      <c r="Q3259" s="71">
        <f t="shared" si="454"/>
        <v>1</v>
      </c>
      <c r="R3259" s="71">
        <f t="shared" si="455"/>
        <v>0</v>
      </c>
      <c r="S3259" s="71">
        <f t="shared" si="456"/>
        <v>0</v>
      </c>
      <c r="T3259" s="71">
        <f t="shared" si="457"/>
        <v>0</v>
      </c>
      <c r="U3259" s="71">
        <f>IF(AND(N3259=1,V3259=1),IF(COUNTIFS(AKTIVITAS!$B$2:$B$3052,B3259,AKTIVITAS!$E$2:$E$3052,H3259)&gt;0,1,0),0)</f>
        <v>0</v>
      </c>
      <c r="V3259" s="71">
        <f>IFERROR(IF(AND(H3259&gt;=INDEX(PEMAGANG!$J$3:$J$36,MATCH(B3259,PEMAGANG!$C$3:$C$36,0)),H3259&lt;=INDEX(PEMAGANG!$K$3:$K$36,MATCH(B3259,PEMAGANG!$C$3:$C$36,0))),1,0),0)</f>
        <v>0</v>
      </c>
      <c r="W3259" s="71">
        <f t="shared" si="458"/>
        <v>0</v>
      </c>
    </row>
    <row r="3260" spans="1:23" x14ac:dyDescent="0.2">
      <c r="A3260" s="71" t="s">
        <v>700</v>
      </c>
      <c r="B3260" s="71" t="s">
        <v>701</v>
      </c>
      <c r="C3260" s="71" t="s">
        <v>187</v>
      </c>
      <c r="D3260" s="71" t="s">
        <v>421</v>
      </c>
      <c r="E3260" s="71" t="s">
        <v>422</v>
      </c>
      <c r="F3260" s="71" t="s">
        <v>300</v>
      </c>
      <c r="G3260" s="88">
        <v>46263.799097222203</v>
      </c>
      <c r="H3260" s="89">
        <v>46263</v>
      </c>
      <c r="I3260" s="71" t="s">
        <v>304</v>
      </c>
      <c r="J3260" s="71">
        <v>0</v>
      </c>
      <c r="K3260" s="71" t="s">
        <v>302</v>
      </c>
      <c r="L3260" s="71">
        <f t="shared" si="450"/>
        <v>8</v>
      </c>
      <c r="M3260" s="71" t="str">
        <f>IFERROR(INDEX(KALENDER!$D$3:$D$132,MATCH(H3260,KALENDER!$A$3:$A$132,0)),"Di luar periode")</f>
        <v>Libur (Sabtu/Minggu)</v>
      </c>
      <c r="N3260" s="71">
        <f t="shared" si="451"/>
        <v>0</v>
      </c>
      <c r="O3260" s="71">
        <f t="shared" si="452"/>
        <v>1</v>
      </c>
      <c r="P3260" s="71">
        <f t="shared" si="453"/>
        <v>0</v>
      </c>
      <c r="Q3260" s="71">
        <f t="shared" si="454"/>
        <v>0</v>
      </c>
      <c r="R3260" s="71">
        <f t="shared" si="455"/>
        <v>0</v>
      </c>
      <c r="S3260" s="71">
        <f t="shared" si="456"/>
        <v>0</v>
      </c>
      <c r="T3260" s="71">
        <f t="shared" si="457"/>
        <v>0</v>
      </c>
      <c r="U3260" s="71">
        <f>IF(AND(N3260=1,V3260=1),IF(COUNTIFS(AKTIVITAS!$B$2:$B$3052,B3260,AKTIVITAS!$E$2:$E$3052,H3260)&gt;0,1,0),0)</f>
        <v>0</v>
      </c>
      <c r="V3260" s="71">
        <f>IFERROR(IF(AND(H3260&gt;=INDEX(PEMAGANG!$J$3:$J$36,MATCH(B3260,PEMAGANG!$C$3:$C$36,0)),H3260&lt;=INDEX(PEMAGANG!$K$3:$K$36,MATCH(B3260,PEMAGANG!$C$3:$C$36,0))),1,0),0)</f>
        <v>0</v>
      </c>
      <c r="W3260" s="71">
        <f t="shared" si="458"/>
        <v>0</v>
      </c>
    </row>
    <row r="3261" spans="1:23" x14ac:dyDescent="0.2">
      <c r="A3261" s="71" t="s">
        <v>700</v>
      </c>
      <c r="B3261" s="71" t="s">
        <v>701</v>
      </c>
      <c r="C3261" s="71" t="s">
        <v>187</v>
      </c>
      <c r="D3261" s="71" t="s">
        <v>421</v>
      </c>
      <c r="E3261" s="71" t="s">
        <v>422</v>
      </c>
      <c r="F3261" s="71" t="s">
        <v>298</v>
      </c>
      <c r="G3261" s="88">
        <v>46264.230185185203</v>
      </c>
      <c r="H3261" s="89">
        <v>46264</v>
      </c>
      <c r="I3261" s="71" t="s">
        <v>725</v>
      </c>
      <c r="J3261" s="71">
        <v>-149</v>
      </c>
      <c r="K3261" s="71" t="s">
        <v>302</v>
      </c>
      <c r="L3261" s="71">
        <f t="shared" si="450"/>
        <v>8</v>
      </c>
      <c r="M3261" s="71" t="str">
        <f>IFERROR(INDEX(KALENDER!$D$3:$D$132,MATCH(H3261,KALENDER!$A$3:$A$132,0)),"Di luar periode")</f>
        <v>Libur (Sabtu/Minggu)</v>
      </c>
      <c r="N3261" s="71">
        <f t="shared" si="451"/>
        <v>1</v>
      </c>
      <c r="O3261" s="71">
        <f t="shared" si="452"/>
        <v>1</v>
      </c>
      <c r="P3261" s="71">
        <f t="shared" si="453"/>
        <v>0</v>
      </c>
      <c r="Q3261" s="71">
        <f t="shared" si="454"/>
        <v>1</v>
      </c>
      <c r="R3261" s="71">
        <f t="shared" si="455"/>
        <v>0</v>
      </c>
      <c r="S3261" s="71">
        <f t="shared" si="456"/>
        <v>0</v>
      </c>
      <c r="T3261" s="71">
        <f t="shared" si="457"/>
        <v>0</v>
      </c>
      <c r="U3261" s="71">
        <f>IF(AND(N3261=1,V3261=1),IF(COUNTIFS(AKTIVITAS!$B$2:$B$3052,B3261,AKTIVITAS!$E$2:$E$3052,H3261)&gt;0,1,0),0)</f>
        <v>0</v>
      </c>
      <c r="V3261" s="71">
        <f>IFERROR(IF(AND(H3261&gt;=INDEX(PEMAGANG!$J$3:$J$36,MATCH(B3261,PEMAGANG!$C$3:$C$36,0)),H3261&lt;=INDEX(PEMAGANG!$K$3:$K$36,MATCH(B3261,PEMAGANG!$C$3:$C$36,0))),1,0),0)</f>
        <v>0</v>
      </c>
      <c r="W3261" s="71">
        <f t="shared" si="458"/>
        <v>0</v>
      </c>
    </row>
    <row r="3262" spans="1:23" x14ac:dyDescent="0.2">
      <c r="A3262" s="71" t="s">
        <v>700</v>
      </c>
      <c r="B3262" s="71" t="s">
        <v>701</v>
      </c>
      <c r="C3262" s="71" t="s">
        <v>187</v>
      </c>
      <c r="D3262" s="71" t="s">
        <v>421</v>
      </c>
      <c r="E3262" s="71" t="s">
        <v>422</v>
      </c>
      <c r="F3262" s="71" t="s">
        <v>300</v>
      </c>
      <c r="G3262" s="88">
        <v>46264.816678240699</v>
      </c>
      <c r="H3262" s="89">
        <v>46264</v>
      </c>
      <c r="I3262" s="71" t="s">
        <v>726</v>
      </c>
      <c r="J3262" s="71">
        <v>0</v>
      </c>
      <c r="K3262" s="71" t="s">
        <v>302</v>
      </c>
      <c r="L3262" s="71">
        <f t="shared" si="450"/>
        <v>8</v>
      </c>
      <c r="M3262" s="71" t="str">
        <f>IFERROR(INDEX(KALENDER!$D$3:$D$132,MATCH(H3262,KALENDER!$A$3:$A$132,0)),"Di luar periode")</f>
        <v>Libur (Sabtu/Minggu)</v>
      </c>
      <c r="N3262" s="71">
        <f t="shared" si="451"/>
        <v>0</v>
      </c>
      <c r="O3262" s="71">
        <f t="shared" si="452"/>
        <v>1</v>
      </c>
      <c r="P3262" s="71">
        <f t="shared" si="453"/>
        <v>0</v>
      </c>
      <c r="Q3262" s="71">
        <f t="shared" si="454"/>
        <v>0</v>
      </c>
      <c r="R3262" s="71">
        <f t="shared" si="455"/>
        <v>0</v>
      </c>
      <c r="S3262" s="71">
        <f t="shared" si="456"/>
        <v>0</v>
      </c>
      <c r="T3262" s="71">
        <f t="shared" si="457"/>
        <v>0</v>
      </c>
      <c r="U3262" s="71">
        <f>IF(AND(N3262=1,V3262=1),IF(COUNTIFS(AKTIVITAS!$B$2:$B$3052,B3262,AKTIVITAS!$E$2:$E$3052,H3262)&gt;0,1,0),0)</f>
        <v>0</v>
      </c>
      <c r="V3262" s="71">
        <f>IFERROR(IF(AND(H3262&gt;=INDEX(PEMAGANG!$J$3:$J$36,MATCH(B3262,PEMAGANG!$C$3:$C$36,0)),H3262&lt;=INDEX(PEMAGANG!$K$3:$K$36,MATCH(B3262,PEMAGANG!$C$3:$C$36,0))),1,0),0)</f>
        <v>0</v>
      </c>
      <c r="W3262" s="71">
        <f t="shared" si="458"/>
        <v>0</v>
      </c>
    </row>
    <row r="3263" spans="1:23" x14ac:dyDescent="0.2">
      <c r="A3263" s="71" t="s">
        <v>700</v>
      </c>
      <c r="B3263" s="71" t="s">
        <v>701</v>
      </c>
      <c r="C3263" s="71" t="s">
        <v>187</v>
      </c>
      <c r="D3263" s="71" t="s">
        <v>421</v>
      </c>
      <c r="E3263" s="71" t="s">
        <v>422</v>
      </c>
      <c r="F3263" s="71" t="s">
        <v>298</v>
      </c>
      <c r="G3263" s="88">
        <v>46266.226747685199</v>
      </c>
      <c r="H3263" s="89">
        <v>46266</v>
      </c>
      <c r="I3263" s="71" t="s">
        <v>727</v>
      </c>
      <c r="J3263" s="71">
        <v>-154</v>
      </c>
      <c r="K3263" s="71" t="s">
        <v>302</v>
      </c>
      <c r="L3263" s="71">
        <f t="shared" si="450"/>
        <v>9</v>
      </c>
      <c r="M3263" s="71" t="str">
        <f>IFERROR(INDEX(KALENDER!$D$3:$D$132,MATCH(H3263,KALENDER!$A$3:$A$132,0)),"Di luar periode")</f>
        <v>Hari Kerja</v>
      </c>
      <c r="N3263" s="71">
        <f t="shared" si="451"/>
        <v>1</v>
      </c>
      <c r="O3263" s="71">
        <f t="shared" si="452"/>
        <v>1</v>
      </c>
      <c r="P3263" s="71">
        <f t="shared" si="453"/>
        <v>0</v>
      </c>
      <c r="Q3263" s="71">
        <f t="shared" si="454"/>
        <v>1</v>
      </c>
      <c r="R3263" s="71">
        <f t="shared" si="455"/>
        <v>0</v>
      </c>
      <c r="S3263" s="71">
        <f t="shared" si="456"/>
        <v>0</v>
      </c>
      <c r="T3263" s="71">
        <f t="shared" si="457"/>
        <v>0</v>
      </c>
      <c r="U3263" s="71">
        <f>IF(AND(N3263=1,V3263=1),IF(COUNTIFS(AKTIVITAS!$B$2:$B$3052,B3263,AKTIVITAS!$E$2:$E$3052,H3263)&gt;0,1,0),0)</f>
        <v>0</v>
      </c>
      <c r="V3263" s="71">
        <f>IFERROR(IF(AND(H3263&gt;=INDEX(PEMAGANG!$J$3:$J$36,MATCH(B3263,PEMAGANG!$C$3:$C$36,0)),H3263&lt;=INDEX(PEMAGANG!$K$3:$K$36,MATCH(B3263,PEMAGANG!$C$3:$C$36,0))),1,0),0)</f>
        <v>0</v>
      </c>
      <c r="W3263" s="71">
        <f t="shared" si="458"/>
        <v>0</v>
      </c>
    </row>
    <row r="3264" spans="1:23" x14ac:dyDescent="0.2">
      <c r="A3264" s="71" t="s">
        <v>700</v>
      </c>
      <c r="B3264" s="71" t="s">
        <v>701</v>
      </c>
      <c r="C3264" s="71" t="s">
        <v>187</v>
      </c>
      <c r="D3264" s="71" t="s">
        <v>421</v>
      </c>
      <c r="E3264" s="71" t="s">
        <v>422</v>
      </c>
      <c r="F3264" s="71" t="s">
        <v>300</v>
      </c>
      <c r="G3264" s="88">
        <v>46266.794097222199</v>
      </c>
      <c r="H3264" s="89">
        <v>46266</v>
      </c>
      <c r="I3264" s="71" t="s">
        <v>663</v>
      </c>
      <c r="J3264" s="71">
        <v>0</v>
      </c>
      <c r="K3264" s="71" t="s">
        <v>302</v>
      </c>
      <c r="L3264" s="71">
        <f t="shared" si="450"/>
        <v>9</v>
      </c>
      <c r="M3264" s="71" t="str">
        <f>IFERROR(INDEX(KALENDER!$D$3:$D$132,MATCH(H3264,KALENDER!$A$3:$A$132,0)),"Di luar periode")</f>
        <v>Hari Kerja</v>
      </c>
      <c r="N3264" s="71">
        <f t="shared" si="451"/>
        <v>0</v>
      </c>
      <c r="O3264" s="71">
        <f t="shared" si="452"/>
        <v>1</v>
      </c>
      <c r="P3264" s="71">
        <f t="shared" si="453"/>
        <v>0</v>
      </c>
      <c r="Q3264" s="71">
        <f t="shared" si="454"/>
        <v>0</v>
      </c>
      <c r="R3264" s="71">
        <f t="shared" si="455"/>
        <v>0</v>
      </c>
      <c r="S3264" s="71">
        <f t="shared" si="456"/>
        <v>0</v>
      </c>
      <c r="T3264" s="71">
        <f t="shared" si="457"/>
        <v>0</v>
      </c>
      <c r="U3264" s="71">
        <f>IF(AND(N3264=1,V3264=1),IF(COUNTIFS(AKTIVITAS!$B$2:$B$3052,B3264,AKTIVITAS!$E$2:$E$3052,H3264)&gt;0,1,0),0)</f>
        <v>0</v>
      </c>
      <c r="V3264" s="71">
        <f>IFERROR(IF(AND(H3264&gt;=INDEX(PEMAGANG!$J$3:$J$36,MATCH(B3264,PEMAGANG!$C$3:$C$36,0)),H3264&lt;=INDEX(PEMAGANG!$K$3:$K$36,MATCH(B3264,PEMAGANG!$C$3:$C$36,0))),1,0),0)</f>
        <v>0</v>
      </c>
      <c r="W3264" s="71">
        <f t="shared" si="458"/>
        <v>0</v>
      </c>
    </row>
    <row r="3265" spans="1:23" x14ac:dyDescent="0.2">
      <c r="A3265" s="71" t="s">
        <v>700</v>
      </c>
      <c r="B3265" s="71" t="s">
        <v>701</v>
      </c>
      <c r="C3265" s="71" t="s">
        <v>187</v>
      </c>
      <c r="D3265" s="71" t="s">
        <v>421</v>
      </c>
      <c r="E3265" s="71" t="s">
        <v>422</v>
      </c>
      <c r="F3265" s="71" t="s">
        <v>298</v>
      </c>
      <c r="G3265" s="88">
        <v>46267.227708333303</v>
      </c>
      <c r="H3265" s="89">
        <v>46267</v>
      </c>
      <c r="I3265" s="71" t="s">
        <v>728</v>
      </c>
      <c r="J3265" s="71">
        <v>-153</v>
      </c>
      <c r="K3265" s="71" t="s">
        <v>302</v>
      </c>
      <c r="L3265" s="71">
        <f t="shared" si="450"/>
        <v>9</v>
      </c>
      <c r="M3265" s="71" t="str">
        <f>IFERROR(INDEX(KALENDER!$D$3:$D$132,MATCH(H3265,KALENDER!$A$3:$A$132,0)),"Di luar periode")</f>
        <v>Hari Kerja</v>
      </c>
      <c r="N3265" s="71">
        <f t="shared" si="451"/>
        <v>1</v>
      </c>
      <c r="O3265" s="71">
        <f t="shared" si="452"/>
        <v>1</v>
      </c>
      <c r="P3265" s="71">
        <f t="shared" si="453"/>
        <v>0</v>
      </c>
      <c r="Q3265" s="71">
        <f t="shared" si="454"/>
        <v>1</v>
      </c>
      <c r="R3265" s="71">
        <f t="shared" si="455"/>
        <v>0</v>
      </c>
      <c r="S3265" s="71">
        <f t="shared" si="456"/>
        <v>0</v>
      </c>
      <c r="T3265" s="71">
        <f t="shared" si="457"/>
        <v>0</v>
      </c>
      <c r="U3265" s="71">
        <f>IF(AND(N3265=1,V3265=1),IF(COUNTIFS(AKTIVITAS!$B$2:$B$3052,B3265,AKTIVITAS!$E$2:$E$3052,H3265)&gt;0,1,0),0)</f>
        <v>0</v>
      </c>
      <c r="V3265" s="71">
        <f>IFERROR(IF(AND(H3265&gt;=INDEX(PEMAGANG!$J$3:$J$36,MATCH(B3265,PEMAGANG!$C$3:$C$36,0)),H3265&lt;=INDEX(PEMAGANG!$K$3:$K$36,MATCH(B3265,PEMAGANG!$C$3:$C$36,0))),1,0),0)</f>
        <v>0</v>
      </c>
      <c r="W3265" s="71">
        <f t="shared" si="458"/>
        <v>0</v>
      </c>
    </row>
    <row r="3266" spans="1:23" x14ac:dyDescent="0.2">
      <c r="A3266" s="71" t="s">
        <v>700</v>
      </c>
      <c r="B3266" s="71" t="s">
        <v>701</v>
      </c>
      <c r="C3266" s="71" t="s">
        <v>187</v>
      </c>
      <c r="D3266" s="71" t="s">
        <v>421</v>
      </c>
      <c r="E3266" s="71" t="s">
        <v>422</v>
      </c>
      <c r="F3266" s="71" t="s">
        <v>300</v>
      </c>
      <c r="G3266" s="88">
        <v>46267.856192129599</v>
      </c>
      <c r="H3266" s="89">
        <v>46267</v>
      </c>
      <c r="I3266" s="71" t="s">
        <v>729</v>
      </c>
      <c r="J3266" s="71">
        <v>0</v>
      </c>
      <c r="K3266" s="71" t="s">
        <v>302</v>
      </c>
      <c r="L3266" s="71">
        <f t="shared" ref="L3266:L3329" si="459">MONTH(H3266)</f>
        <v>9</v>
      </c>
      <c r="M3266" s="71" t="str">
        <f>IFERROR(INDEX(KALENDER!$D$3:$D$132,MATCH(H3266,KALENDER!$A$3:$A$132,0)),"Di luar periode")</f>
        <v>Hari Kerja</v>
      </c>
      <c r="N3266" s="71">
        <f t="shared" ref="N3266:N3329" si="460">IF(AND(B3266=B3265,H3266=H3265),0,1)</f>
        <v>0</v>
      </c>
      <c r="O3266" s="71">
        <f t="shared" ref="O3266:O3329" si="461">IF(N3266=1,0,O3265)+IF(F3266="MASUK",1,0)</f>
        <v>1</v>
      </c>
      <c r="P3266" s="71">
        <f t="shared" ref="P3266:P3329" si="462">IF(AND(N3266=1,M3266="Hari Kerja",V3266=1),1,0)</f>
        <v>0</v>
      </c>
      <c r="Q3266" s="71">
        <f t="shared" ref="Q3266:Q3329" si="463">IF(AND(N3266=1,OR(M3266&lt;&gt;"Hari Kerja",V3266=0)),1,0)</f>
        <v>0</v>
      </c>
      <c r="R3266" s="71">
        <f t="shared" ref="R3266:R3329" si="464">IF(AND(F3266="MASUK",O3266=1,N(J3266)&gt;0,V3266=1),1,0)</f>
        <v>0</v>
      </c>
      <c r="S3266" s="71">
        <f t="shared" ref="S3266:S3329" si="465">R3266*N(J3266)</f>
        <v>0</v>
      </c>
      <c r="T3266" s="71">
        <f t="shared" ref="T3266:T3329" si="466">IF(AND(N3266=1,V3266=1),IF(AND(COUNTIFS($B$2:$B$4094,B3266,$H$2:$H$4094,H3266,$F$2:$F$4094,"MASUK")&gt;0,COUNTIFS($B$2:$B$4094,B3266,$H$2:$H$4094,H3266,$F$2:$F$4094,"PULANG")=0),1,0),0)</f>
        <v>0</v>
      </c>
      <c r="U3266" s="71">
        <f>IF(AND(N3266=1,V3266=1),IF(COUNTIFS(AKTIVITAS!$B$2:$B$3052,B3266,AKTIVITAS!$E$2:$E$3052,H3266)&gt;0,1,0),0)</f>
        <v>0</v>
      </c>
      <c r="V3266" s="71">
        <f>IFERROR(IF(AND(H3266&gt;=INDEX(PEMAGANG!$J$3:$J$36,MATCH(B3266,PEMAGANG!$C$3:$C$36,0)),H3266&lt;=INDEX(PEMAGANG!$K$3:$K$36,MATCH(B3266,PEMAGANG!$C$3:$C$36,0))),1,0),0)</f>
        <v>0</v>
      </c>
      <c r="W3266" s="71">
        <f t="shared" ref="W3266:W3329" si="467">N3266*V3266</f>
        <v>0</v>
      </c>
    </row>
    <row r="3267" spans="1:23" x14ac:dyDescent="0.2">
      <c r="A3267" s="71" t="s">
        <v>700</v>
      </c>
      <c r="B3267" s="71" t="s">
        <v>701</v>
      </c>
      <c r="C3267" s="71" t="s">
        <v>187</v>
      </c>
      <c r="D3267" s="71" t="s">
        <v>421</v>
      </c>
      <c r="E3267" s="71" t="s">
        <v>422</v>
      </c>
      <c r="F3267" s="71" t="s">
        <v>298</v>
      </c>
      <c r="G3267" s="88">
        <v>46268.2286805556</v>
      </c>
      <c r="H3267" s="89">
        <v>46268</v>
      </c>
      <c r="I3267" s="71" t="s">
        <v>730</v>
      </c>
      <c r="J3267" s="71">
        <v>-151</v>
      </c>
      <c r="K3267" s="71" t="s">
        <v>302</v>
      </c>
      <c r="L3267" s="71">
        <f t="shared" si="459"/>
        <v>9</v>
      </c>
      <c r="M3267" s="71" t="str">
        <f>IFERROR(INDEX(KALENDER!$D$3:$D$132,MATCH(H3267,KALENDER!$A$3:$A$132,0)),"Di luar periode")</f>
        <v>Hari Kerja</v>
      </c>
      <c r="N3267" s="71">
        <f t="shared" si="460"/>
        <v>1</v>
      </c>
      <c r="O3267" s="71">
        <f t="shared" si="461"/>
        <v>1</v>
      </c>
      <c r="P3267" s="71">
        <f t="shared" si="462"/>
        <v>0</v>
      </c>
      <c r="Q3267" s="71">
        <f t="shared" si="463"/>
        <v>1</v>
      </c>
      <c r="R3267" s="71">
        <f t="shared" si="464"/>
        <v>0</v>
      </c>
      <c r="S3267" s="71">
        <f t="shared" si="465"/>
        <v>0</v>
      </c>
      <c r="T3267" s="71">
        <f t="shared" si="466"/>
        <v>0</v>
      </c>
      <c r="U3267" s="71">
        <f>IF(AND(N3267=1,V3267=1),IF(COUNTIFS(AKTIVITAS!$B$2:$B$3052,B3267,AKTIVITAS!$E$2:$E$3052,H3267)&gt;0,1,0),0)</f>
        <v>0</v>
      </c>
      <c r="V3267" s="71">
        <f>IFERROR(IF(AND(H3267&gt;=INDEX(PEMAGANG!$J$3:$J$36,MATCH(B3267,PEMAGANG!$C$3:$C$36,0)),H3267&lt;=INDEX(PEMAGANG!$K$3:$K$36,MATCH(B3267,PEMAGANG!$C$3:$C$36,0))),1,0),0)</f>
        <v>0</v>
      </c>
      <c r="W3267" s="71">
        <f t="shared" si="467"/>
        <v>0</v>
      </c>
    </row>
    <row r="3268" spans="1:23" x14ac:dyDescent="0.2">
      <c r="A3268" s="71" t="s">
        <v>700</v>
      </c>
      <c r="B3268" s="71" t="s">
        <v>701</v>
      </c>
      <c r="C3268" s="71" t="s">
        <v>187</v>
      </c>
      <c r="D3268" s="71" t="s">
        <v>421</v>
      </c>
      <c r="E3268" s="71" t="s">
        <v>422</v>
      </c>
      <c r="F3268" s="71" t="s">
        <v>300</v>
      </c>
      <c r="G3268" s="88">
        <v>46268.641192129602</v>
      </c>
      <c r="H3268" s="89">
        <v>46268</v>
      </c>
      <c r="I3268" s="71" t="s">
        <v>731</v>
      </c>
      <c r="J3268" s="71">
        <v>0</v>
      </c>
      <c r="K3268" s="71" t="s">
        <v>302</v>
      </c>
      <c r="L3268" s="71">
        <f t="shared" si="459"/>
        <v>9</v>
      </c>
      <c r="M3268" s="71" t="str">
        <f>IFERROR(INDEX(KALENDER!$D$3:$D$132,MATCH(H3268,KALENDER!$A$3:$A$132,0)),"Di luar periode")</f>
        <v>Hari Kerja</v>
      </c>
      <c r="N3268" s="71">
        <f t="shared" si="460"/>
        <v>0</v>
      </c>
      <c r="O3268" s="71">
        <f t="shared" si="461"/>
        <v>1</v>
      </c>
      <c r="P3268" s="71">
        <f t="shared" si="462"/>
        <v>0</v>
      </c>
      <c r="Q3268" s="71">
        <f t="shared" si="463"/>
        <v>0</v>
      </c>
      <c r="R3268" s="71">
        <f t="shared" si="464"/>
        <v>0</v>
      </c>
      <c r="S3268" s="71">
        <f t="shared" si="465"/>
        <v>0</v>
      </c>
      <c r="T3268" s="71">
        <f t="shared" si="466"/>
        <v>0</v>
      </c>
      <c r="U3268" s="71">
        <f>IF(AND(N3268=1,V3268=1),IF(COUNTIFS(AKTIVITAS!$B$2:$B$3052,B3268,AKTIVITAS!$E$2:$E$3052,H3268)&gt;0,1,0),0)</f>
        <v>0</v>
      </c>
      <c r="V3268" s="71">
        <f>IFERROR(IF(AND(H3268&gt;=INDEX(PEMAGANG!$J$3:$J$36,MATCH(B3268,PEMAGANG!$C$3:$C$36,0)),H3268&lt;=INDEX(PEMAGANG!$K$3:$K$36,MATCH(B3268,PEMAGANG!$C$3:$C$36,0))),1,0),0)</f>
        <v>0</v>
      </c>
      <c r="W3268" s="71">
        <f t="shared" si="467"/>
        <v>0</v>
      </c>
    </row>
    <row r="3269" spans="1:23" x14ac:dyDescent="0.2">
      <c r="A3269" s="71" t="s">
        <v>700</v>
      </c>
      <c r="B3269" s="71" t="s">
        <v>701</v>
      </c>
      <c r="C3269" s="71" t="s">
        <v>187</v>
      </c>
      <c r="D3269" s="71" t="s">
        <v>421</v>
      </c>
      <c r="E3269" s="71" t="s">
        <v>422</v>
      </c>
      <c r="F3269" s="71" t="s">
        <v>298</v>
      </c>
      <c r="G3269" s="88">
        <v>46269.249050925901</v>
      </c>
      <c r="H3269" s="89">
        <v>46269</v>
      </c>
      <c r="I3269" s="71" t="s">
        <v>680</v>
      </c>
      <c r="J3269" s="71">
        <v>-122</v>
      </c>
      <c r="K3269" s="71" t="s">
        <v>302</v>
      </c>
      <c r="L3269" s="71">
        <f t="shared" si="459"/>
        <v>9</v>
      </c>
      <c r="M3269" s="71" t="str">
        <f>IFERROR(INDEX(KALENDER!$D$3:$D$132,MATCH(H3269,KALENDER!$A$3:$A$132,0)),"Di luar periode")</f>
        <v>Hari Kerja</v>
      </c>
      <c r="N3269" s="71">
        <f t="shared" si="460"/>
        <v>1</v>
      </c>
      <c r="O3269" s="71">
        <f t="shared" si="461"/>
        <v>1</v>
      </c>
      <c r="P3269" s="71">
        <f t="shared" si="462"/>
        <v>0</v>
      </c>
      <c r="Q3269" s="71">
        <f t="shared" si="463"/>
        <v>1</v>
      </c>
      <c r="R3269" s="71">
        <f t="shared" si="464"/>
        <v>0</v>
      </c>
      <c r="S3269" s="71">
        <f t="shared" si="465"/>
        <v>0</v>
      </c>
      <c r="T3269" s="71">
        <f t="shared" si="466"/>
        <v>0</v>
      </c>
      <c r="U3269" s="71">
        <f>IF(AND(N3269=1,V3269=1),IF(COUNTIFS(AKTIVITAS!$B$2:$B$3052,B3269,AKTIVITAS!$E$2:$E$3052,H3269)&gt;0,1,0),0)</f>
        <v>0</v>
      </c>
      <c r="V3269" s="71">
        <f>IFERROR(IF(AND(H3269&gt;=INDEX(PEMAGANG!$J$3:$J$36,MATCH(B3269,PEMAGANG!$C$3:$C$36,0)),H3269&lt;=INDEX(PEMAGANG!$K$3:$K$36,MATCH(B3269,PEMAGANG!$C$3:$C$36,0))),1,0),0)</f>
        <v>0</v>
      </c>
      <c r="W3269" s="71">
        <f t="shared" si="467"/>
        <v>0</v>
      </c>
    </row>
    <row r="3270" spans="1:23" x14ac:dyDescent="0.2">
      <c r="A3270" s="71" t="s">
        <v>700</v>
      </c>
      <c r="B3270" s="71" t="s">
        <v>701</v>
      </c>
      <c r="C3270" s="71" t="s">
        <v>187</v>
      </c>
      <c r="D3270" s="71" t="s">
        <v>421</v>
      </c>
      <c r="E3270" s="71" t="s">
        <v>422</v>
      </c>
      <c r="F3270" s="71" t="s">
        <v>300</v>
      </c>
      <c r="G3270" s="88">
        <v>46269.626041666699</v>
      </c>
      <c r="H3270" s="89">
        <v>46269</v>
      </c>
      <c r="I3270" s="71" t="s">
        <v>621</v>
      </c>
      <c r="J3270" s="71">
        <v>0</v>
      </c>
      <c r="K3270" s="71" t="s">
        <v>302</v>
      </c>
      <c r="L3270" s="71">
        <f t="shared" si="459"/>
        <v>9</v>
      </c>
      <c r="M3270" s="71" t="str">
        <f>IFERROR(INDEX(KALENDER!$D$3:$D$132,MATCH(H3270,KALENDER!$A$3:$A$132,0)),"Di luar periode")</f>
        <v>Hari Kerja</v>
      </c>
      <c r="N3270" s="71">
        <f t="shared" si="460"/>
        <v>0</v>
      </c>
      <c r="O3270" s="71">
        <f t="shared" si="461"/>
        <v>1</v>
      </c>
      <c r="P3270" s="71">
        <f t="shared" si="462"/>
        <v>0</v>
      </c>
      <c r="Q3270" s="71">
        <f t="shared" si="463"/>
        <v>0</v>
      </c>
      <c r="R3270" s="71">
        <f t="shared" si="464"/>
        <v>0</v>
      </c>
      <c r="S3270" s="71">
        <f t="shared" si="465"/>
        <v>0</v>
      </c>
      <c r="T3270" s="71">
        <f t="shared" si="466"/>
        <v>0</v>
      </c>
      <c r="U3270" s="71">
        <f>IF(AND(N3270=1,V3270=1),IF(COUNTIFS(AKTIVITAS!$B$2:$B$3052,B3270,AKTIVITAS!$E$2:$E$3052,H3270)&gt;0,1,0),0)</f>
        <v>0</v>
      </c>
      <c r="V3270" s="71">
        <f>IFERROR(IF(AND(H3270&gt;=INDEX(PEMAGANG!$J$3:$J$36,MATCH(B3270,PEMAGANG!$C$3:$C$36,0)),H3270&lt;=INDEX(PEMAGANG!$K$3:$K$36,MATCH(B3270,PEMAGANG!$C$3:$C$36,0))),1,0),0)</f>
        <v>0</v>
      </c>
      <c r="W3270" s="71">
        <f t="shared" si="467"/>
        <v>0</v>
      </c>
    </row>
    <row r="3271" spans="1:23" x14ac:dyDescent="0.2">
      <c r="A3271" s="71" t="s">
        <v>700</v>
      </c>
      <c r="B3271" s="71" t="s">
        <v>701</v>
      </c>
      <c r="C3271" s="71" t="s">
        <v>187</v>
      </c>
      <c r="D3271" s="71" t="s">
        <v>421</v>
      </c>
      <c r="E3271" s="71" t="s">
        <v>422</v>
      </c>
      <c r="F3271" s="71" t="s">
        <v>298</v>
      </c>
      <c r="G3271" s="88">
        <v>46270.225277777798</v>
      </c>
      <c r="H3271" s="89">
        <v>46270</v>
      </c>
      <c r="I3271" s="71" t="s">
        <v>732</v>
      </c>
      <c r="J3271" s="71">
        <v>-156</v>
      </c>
      <c r="K3271" s="71" t="s">
        <v>302</v>
      </c>
      <c r="L3271" s="71">
        <f t="shared" si="459"/>
        <v>9</v>
      </c>
      <c r="M3271" s="71" t="str">
        <f>IFERROR(INDEX(KALENDER!$D$3:$D$132,MATCH(H3271,KALENDER!$A$3:$A$132,0)),"Di luar periode")</f>
        <v>Libur (Sabtu/Minggu)</v>
      </c>
      <c r="N3271" s="71">
        <f t="shared" si="460"/>
        <v>1</v>
      </c>
      <c r="O3271" s="71">
        <f t="shared" si="461"/>
        <v>1</v>
      </c>
      <c r="P3271" s="71">
        <f t="shared" si="462"/>
        <v>0</v>
      </c>
      <c r="Q3271" s="71">
        <f t="shared" si="463"/>
        <v>1</v>
      </c>
      <c r="R3271" s="71">
        <f t="shared" si="464"/>
        <v>0</v>
      </c>
      <c r="S3271" s="71">
        <f t="shared" si="465"/>
        <v>0</v>
      </c>
      <c r="T3271" s="71">
        <f t="shared" si="466"/>
        <v>0</v>
      </c>
      <c r="U3271" s="71">
        <f>IF(AND(N3271=1,V3271=1),IF(COUNTIFS(AKTIVITAS!$B$2:$B$3052,B3271,AKTIVITAS!$E$2:$E$3052,H3271)&gt;0,1,0),0)</f>
        <v>0</v>
      </c>
      <c r="V3271" s="71">
        <f>IFERROR(IF(AND(H3271&gt;=INDEX(PEMAGANG!$J$3:$J$36,MATCH(B3271,PEMAGANG!$C$3:$C$36,0)),H3271&lt;=INDEX(PEMAGANG!$K$3:$K$36,MATCH(B3271,PEMAGANG!$C$3:$C$36,0))),1,0),0)</f>
        <v>0</v>
      </c>
      <c r="W3271" s="71">
        <f t="shared" si="467"/>
        <v>0</v>
      </c>
    </row>
    <row r="3272" spans="1:23" x14ac:dyDescent="0.2">
      <c r="A3272" s="71" t="s">
        <v>700</v>
      </c>
      <c r="B3272" s="71" t="s">
        <v>701</v>
      </c>
      <c r="C3272" s="71" t="s">
        <v>187</v>
      </c>
      <c r="D3272" s="71" t="s">
        <v>421</v>
      </c>
      <c r="E3272" s="71" t="s">
        <v>422</v>
      </c>
      <c r="F3272" s="71" t="s">
        <v>300</v>
      </c>
      <c r="G3272" s="88">
        <v>46270.794166666703</v>
      </c>
      <c r="H3272" s="89">
        <v>46270</v>
      </c>
      <c r="I3272" s="71" t="s">
        <v>663</v>
      </c>
      <c r="J3272" s="71">
        <v>0</v>
      </c>
      <c r="K3272" s="71" t="s">
        <v>302</v>
      </c>
      <c r="L3272" s="71">
        <f t="shared" si="459"/>
        <v>9</v>
      </c>
      <c r="M3272" s="71" t="str">
        <f>IFERROR(INDEX(KALENDER!$D$3:$D$132,MATCH(H3272,KALENDER!$A$3:$A$132,0)),"Di luar periode")</f>
        <v>Libur (Sabtu/Minggu)</v>
      </c>
      <c r="N3272" s="71">
        <f t="shared" si="460"/>
        <v>0</v>
      </c>
      <c r="O3272" s="71">
        <f t="shared" si="461"/>
        <v>1</v>
      </c>
      <c r="P3272" s="71">
        <f t="shared" si="462"/>
        <v>0</v>
      </c>
      <c r="Q3272" s="71">
        <f t="shared" si="463"/>
        <v>0</v>
      </c>
      <c r="R3272" s="71">
        <f t="shared" si="464"/>
        <v>0</v>
      </c>
      <c r="S3272" s="71">
        <f t="shared" si="465"/>
        <v>0</v>
      </c>
      <c r="T3272" s="71">
        <f t="shared" si="466"/>
        <v>0</v>
      </c>
      <c r="U3272" s="71">
        <f>IF(AND(N3272=1,V3272=1),IF(COUNTIFS(AKTIVITAS!$B$2:$B$3052,B3272,AKTIVITAS!$E$2:$E$3052,H3272)&gt;0,1,0),0)</f>
        <v>0</v>
      </c>
      <c r="V3272" s="71">
        <f>IFERROR(IF(AND(H3272&gt;=INDEX(PEMAGANG!$J$3:$J$36,MATCH(B3272,PEMAGANG!$C$3:$C$36,0)),H3272&lt;=INDEX(PEMAGANG!$K$3:$K$36,MATCH(B3272,PEMAGANG!$C$3:$C$36,0))),1,0),0)</f>
        <v>0</v>
      </c>
      <c r="W3272" s="71">
        <f t="shared" si="467"/>
        <v>0</v>
      </c>
    </row>
    <row r="3273" spans="1:23" x14ac:dyDescent="0.2">
      <c r="A3273" s="71" t="s">
        <v>700</v>
      </c>
      <c r="B3273" s="71" t="s">
        <v>701</v>
      </c>
      <c r="C3273" s="71" t="s">
        <v>187</v>
      </c>
      <c r="D3273" s="71" t="s">
        <v>421</v>
      </c>
      <c r="E3273" s="71" t="s">
        <v>422</v>
      </c>
      <c r="F3273" s="71" t="s">
        <v>298</v>
      </c>
      <c r="G3273" s="88">
        <v>46271.226087962998</v>
      </c>
      <c r="H3273" s="89">
        <v>46271</v>
      </c>
      <c r="I3273" s="71" t="s">
        <v>733</v>
      </c>
      <c r="J3273" s="71">
        <v>-155</v>
      </c>
      <c r="K3273" s="71" t="s">
        <v>302</v>
      </c>
      <c r="L3273" s="71">
        <f t="shared" si="459"/>
        <v>9</v>
      </c>
      <c r="M3273" s="71" t="str">
        <f>IFERROR(INDEX(KALENDER!$D$3:$D$132,MATCH(H3273,KALENDER!$A$3:$A$132,0)),"Di luar periode")</f>
        <v>Libur (Sabtu/Minggu)</v>
      </c>
      <c r="N3273" s="71">
        <f t="shared" si="460"/>
        <v>1</v>
      </c>
      <c r="O3273" s="71">
        <f t="shared" si="461"/>
        <v>1</v>
      </c>
      <c r="P3273" s="71">
        <f t="shared" si="462"/>
        <v>0</v>
      </c>
      <c r="Q3273" s="71">
        <f t="shared" si="463"/>
        <v>1</v>
      </c>
      <c r="R3273" s="71">
        <f t="shared" si="464"/>
        <v>0</v>
      </c>
      <c r="S3273" s="71">
        <f t="shared" si="465"/>
        <v>0</v>
      </c>
      <c r="T3273" s="71">
        <f t="shared" si="466"/>
        <v>0</v>
      </c>
      <c r="U3273" s="71">
        <f>IF(AND(N3273=1,V3273=1),IF(COUNTIFS(AKTIVITAS!$B$2:$B$3052,B3273,AKTIVITAS!$E$2:$E$3052,H3273)&gt;0,1,0),0)</f>
        <v>0</v>
      </c>
      <c r="V3273" s="71">
        <f>IFERROR(IF(AND(H3273&gt;=INDEX(PEMAGANG!$J$3:$J$36,MATCH(B3273,PEMAGANG!$C$3:$C$36,0)),H3273&lt;=INDEX(PEMAGANG!$K$3:$K$36,MATCH(B3273,PEMAGANG!$C$3:$C$36,0))),1,0),0)</f>
        <v>0</v>
      </c>
      <c r="W3273" s="71">
        <f t="shared" si="467"/>
        <v>0</v>
      </c>
    </row>
    <row r="3274" spans="1:23" x14ac:dyDescent="0.2">
      <c r="A3274" s="71" t="s">
        <v>700</v>
      </c>
      <c r="B3274" s="71" t="s">
        <v>701</v>
      </c>
      <c r="C3274" s="71" t="s">
        <v>187</v>
      </c>
      <c r="D3274" s="71" t="s">
        <v>421</v>
      </c>
      <c r="E3274" s="71" t="s">
        <v>422</v>
      </c>
      <c r="F3274" s="71" t="s">
        <v>300</v>
      </c>
      <c r="G3274" s="88">
        <v>46271.794722222199</v>
      </c>
      <c r="H3274" s="89">
        <v>46271</v>
      </c>
      <c r="I3274" s="71" t="s">
        <v>449</v>
      </c>
      <c r="J3274" s="71">
        <v>0</v>
      </c>
      <c r="K3274" s="71" t="s">
        <v>302</v>
      </c>
      <c r="L3274" s="71">
        <f t="shared" si="459"/>
        <v>9</v>
      </c>
      <c r="M3274" s="71" t="str">
        <f>IFERROR(INDEX(KALENDER!$D$3:$D$132,MATCH(H3274,KALENDER!$A$3:$A$132,0)),"Di luar periode")</f>
        <v>Libur (Sabtu/Minggu)</v>
      </c>
      <c r="N3274" s="71">
        <f t="shared" si="460"/>
        <v>0</v>
      </c>
      <c r="O3274" s="71">
        <f t="shared" si="461"/>
        <v>1</v>
      </c>
      <c r="P3274" s="71">
        <f t="shared" si="462"/>
        <v>0</v>
      </c>
      <c r="Q3274" s="71">
        <f t="shared" si="463"/>
        <v>0</v>
      </c>
      <c r="R3274" s="71">
        <f t="shared" si="464"/>
        <v>0</v>
      </c>
      <c r="S3274" s="71">
        <f t="shared" si="465"/>
        <v>0</v>
      </c>
      <c r="T3274" s="71">
        <f t="shared" si="466"/>
        <v>0</v>
      </c>
      <c r="U3274" s="71">
        <f>IF(AND(N3274=1,V3274=1),IF(COUNTIFS(AKTIVITAS!$B$2:$B$3052,B3274,AKTIVITAS!$E$2:$E$3052,H3274)&gt;0,1,0),0)</f>
        <v>0</v>
      </c>
      <c r="V3274" s="71">
        <f>IFERROR(IF(AND(H3274&gt;=INDEX(PEMAGANG!$J$3:$J$36,MATCH(B3274,PEMAGANG!$C$3:$C$36,0)),H3274&lt;=INDEX(PEMAGANG!$K$3:$K$36,MATCH(B3274,PEMAGANG!$C$3:$C$36,0))),1,0),0)</f>
        <v>0</v>
      </c>
      <c r="W3274" s="71">
        <f t="shared" si="467"/>
        <v>0</v>
      </c>
    </row>
    <row r="3275" spans="1:23" x14ac:dyDescent="0.2">
      <c r="A3275" s="71" t="s">
        <v>700</v>
      </c>
      <c r="B3275" s="71" t="s">
        <v>701</v>
      </c>
      <c r="C3275" s="71" t="s">
        <v>187</v>
      </c>
      <c r="D3275" s="71" t="s">
        <v>421</v>
      </c>
      <c r="E3275" s="71" t="s">
        <v>422</v>
      </c>
      <c r="F3275" s="71" t="s">
        <v>298</v>
      </c>
      <c r="G3275" s="88">
        <v>46272.277361111097</v>
      </c>
      <c r="H3275" s="89">
        <v>46272</v>
      </c>
      <c r="I3275" s="71" t="s">
        <v>502</v>
      </c>
      <c r="J3275" s="71">
        <v>-81</v>
      </c>
      <c r="K3275" s="71" t="s">
        <v>302</v>
      </c>
      <c r="L3275" s="71">
        <f t="shared" si="459"/>
        <v>9</v>
      </c>
      <c r="M3275" s="71" t="str">
        <f>IFERROR(INDEX(KALENDER!$D$3:$D$132,MATCH(H3275,KALENDER!$A$3:$A$132,0)),"Di luar periode")</f>
        <v>Hari Kerja</v>
      </c>
      <c r="N3275" s="71">
        <f t="shared" si="460"/>
        <v>1</v>
      </c>
      <c r="O3275" s="71">
        <f t="shared" si="461"/>
        <v>1</v>
      </c>
      <c r="P3275" s="71">
        <f t="shared" si="462"/>
        <v>0</v>
      </c>
      <c r="Q3275" s="71">
        <f t="shared" si="463"/>
        <v>1</v>
      </c>
      <c r="R3275" s="71">
        <f t="shared" si="464"/>
        <v>0</v>
      </c>
      <c r="S3275" s="71">
        <f t="shared" si="465"/>
        <v>0</v>
      </c>
      <c r="T3275" s="71">
        <f t="shared" si="466"/>
        <v>0</v>
      </c>
      <c r="U3275" s="71">
        <f>IF(AND(N3275=1,V3275=1),IF(COUNTIFS(AKTIVITAS!$B$2:$B$3052,B3275,AKTIVITAS!$E$2:$E$3052,H3275)&gt;0,1,0),0)</f>
        <v>0</v>
      </c>
      <c r="V3275" s="71">
        <f>IFERROR(IF(AND(H3275&gt;=INDEX(PEMAGANG!$J$3:$J$36,MATCH(B3275,PEMAGANG!$C$3:$C$36,0)),H3275&lt;=INDEX(PEMAGANG!$K$3:$K$36,MATCH(B3275,PEMAGANG!$C$3:$C$36,0))),1,0),0)</f>
        <v>0</v>
      </c>
      <c r="W3275" s="71">
        <f t="shared" si="467"/>
        <v>0</v>
      </c>
    </row>
    <row r="3276" spans="1:23" x14ac:dyDescent="0.2">
      <c r="A3276" s="71" t="s">
        <v>700</v>
      </c>
      <c r="B3276" s="71" t="s">
        <v>701</v>
      </c>
      <c r="C3276" s="71" t="s">
        <v>187</v>
      </c>
      <c r="D3276" s="71" t="s">
        <v>421</v>
      </c>
      <c r="E3276" s="71" t="s">
        <v>422</v>
      </c>
      <c r="F3276" s="71" t="s">
        <v>300</v>
      </c>
      <c r="G3276" s="88">
        <v>46272.799363425896</v>
      </c>
      <c r="H3276" s="89">
        <v>46272</v>
      </c>
      <c r="I3276" s="71" t="s">
        <v>734</v>
      </c>
      <c r="J3276" s="71">
        <v>0</v>
      </c>
      <c r="K3276" s="71" t="s">
        <v>302</v>
      </c>
      <c r="L3276" s="71">
        <f t="shared" si="459"/>
        <v>9</v>
      </c>
      <c r="M3276" s="71" t="str">
        <f>IFERROR(INDEX(KALENDER!$D$3:$D$132,MATCH(H3276,KALENDER!$A$3:$A$132,0)),"Di luar periode")</f>
        <v>Hari Kerja</v>
      </c>
      <c r="N3276" s="71">
        <f t="shared" si="460"/>
        <v>0</v>
      </c>
      <c r="O3276" s="71">
        <f t="shared" si="461"/>
        <v>1</v>
      </c>
      <c r="P3276" s="71">
        <f t="shared" si="462"/>
        <v>0</v>
      </c>
      <c r="Q3276" s="71">
        <f t="shared" si="463"/>
        <v>0</v>
      </c>
      <c r="R3276" s="71">
        <f t="shared" si="464"/>
        <v>0</v>
      </c>
      <c r="S3276" s="71">
        <f t="shared" si="465"/>
        <v>0</v>
      </c>
      <c r="T3276" s="71">
        <f t="shared" si="466"/>
        <v>0</v>
      </c>
      <c r="U3276" s="71">
        <f>IF(AND(N3276=1,V3276=1),IF(COUNTIFS(AKTIVITAS!$B$2:$B$3052,B3276,AKTIVITAS!$E$2:$E$3052,H3276)&gt;0,1,0),0)</f>
        <v>0</v>
      </c>
      <c r="V3276" s="71">
        <f>IFERROR(IF(AND(H3276&gt;=INDEX(PEMAGANG!$J$3:$J$36,MATCH(B3276,PEMAGANG!$C$3:$C$36,0)),H3276&lt;=INDEX(PEMAGANG!$K$3:$K$36,MATCH(B3276,PEMAGANG!$C$3:$C$36,0))),1,0),0)</f>
        <v>0</v>
      </c>
      <c r="W3276" s="71">
        <f t="shared" si="467"/>
        <v>0</v>
      </c>
    </row>
    <row r="3277" spans="1:23" x14ac:dyDescent="0.2">
      <c r="A3277" s="71" t="s">
        <v>700</v>
      </c>
      <c r="B3277" s="71" t="s">
        <v>701</v>
      </c>
      <c r="C3277" s="71" t="s">
        <v>187</v>
      </c>
      <c r="D3277" s="71" t="s">
        <v>421</v>
      </c>
      <c r="E3277" s="71" t="s">
        <v>422</v>
      </c>
      <c r="F3277" s="71" t="s">
        <v>298</v>
      </c>
      <c r="G3277" s="88">
        <v>46273.314502314803</v>
      </c>
      <c r="H3277" s="89">
        <v>46273</v>
      </c>
      <c r="I3277" s="71" t="s">
        <v>338</v>
      </c>
      <c r="J3277" s="71">
        <v>-28</v>
      </c>
      <c r="K3277" s="71" t="s">
        <v>302</v>
      </c>
      <c r="L3277" s="71">
        <f t="shared" si="459"/>
        <v>9</v>
      </c>
      <c r="M3277" s="71" t="str">
        <f>IFERROR(INDEX(KALENDER!$D$3:$D$132,MATCH(H3277,KALENDER!$A$3:$A$132,0)),"Di luar periode")</f>
        <v>Hari Kerja</v>
      </c>
      <c r="N3277" s="71">
        <f t="shared" si="460"/>
        <v>1</v>
      </c>
      <c r="O3277" s="71">
        <f t="shared" si="461"/>
        <v>1</v>
      </c>
      <c r="P3277" s="71">
        <f t="shared" si="462"/>
        <v>0</v>
      </c>
      <c r="Q3277" s="71">
        <f t="shared" si="463"/>
        <v>1</v>
      </c>
      <c r="R3277" s="71">
        <f t="shared" si="464"/>
        <v>0</v>
      </c>
      <c r="S3277" s="71">
        <f t="shared" si="465"/>
        <v>0</v>
      </c>
      <c r="T3277" s="71">
        <f t="shared" si="466"/>
        <v>0</v>
      </c>
      <c r="U3277" s="71">
        <f>IF(AND(N3277=1,V3277=1),IF(COUNTIFS(AKTIVITAS!$B$2:$B$3052,B3277,AKTIVITAS!$E$2:$E$3052,H3277)&gt;0,1,0),0)</f>
        <v>0</v>
      </c>
      <c r="V3277" s="71">
        <f>IFERROR(IF(AND(H3277&gt;=INDEX(PEMAGANG!$J$3:$J$36,MATCH(B3277,PEMAGANG!$C$3:$C$36,0)),H3277&lt;=INDEX(PEMAGANG!$K$3:$K$36,MATCH(B3277,PEMAGANG!$C$3:$C$36,0))),1,0),0)</f>
        <v>0</v>
      </c>
      <c r="W3277" s="71">
        <f t="shared" si="467"/>
        <v>0</v>
      </c>
    </row>
    <row r="3278" spans="1:23" x14ac:dyDescent="0.2">
      <c r="A3278" s="71" t="s">
        <v>700</v>
      </c>
      <c r="B3278" s="71" t="s">
        <v>701</v>
      </c>
      <c r="C3278" s="71" t="s">
        <v>187</v>
      </c>
      <c r="D3278" s="71" t="s">
        <v>421</v>
      </c>
      <c r="E3278" s="71" t="s">
        <v>422</v>
      </c>
      <c r="F3278" s="71" t="s">
        <v>300</v>
      </c>
      <c r="G3278" s="88">
        <v>46273.836134259298</v>
      </c>
      <c r="H3278" s="89">
        <v>46273</v>
      </c>
      <c r="I3278" s="71" t="s">
        <v>735</v>
      </c>
      <c r="J3278" s="71">
        <v>0</v>
      </c>
      <c r="K3278" s="71" t="s">
        <v>302</v>
      </c>
      <c r="L3278" s="71">
        <f t="shared" si="459"/>
        <v>9</v>
      </c>
      <c r="M3278" s="71" t="str">
        <f>IFERROR(INDEX(KALENDER!$D$3:$D$132,MATCH(H3278,KALENDER!$A$3:$A$132,0)),"Di luar periode")</f>
        <v>Hari Kerja</v>
      </c>
      <c r="N3278" s="71">
        <f t="shared" si="460"/>
        <v>0</v>
      </c>
      <c r="O3278" s="71">
        <f t="shared" si="461"/>
        <v>1</v>
      </c>
      <c r="P3278" s="71">
        <f t="shared" si="462"/>
        <v>0</v>
      </c>
      <c r="Q3278" s="71">
        <f t="shared" si="463"/>
        <v>0</v>
      </c>
      <c r="R3278" s="71">
        <f t="shared" si="464"/>
        <v>0</v>
      </c>
      <c r="S3278" s="71">
        <f t="shared" si="465"/>
        <v>0</v>
      </c>
      <c r="T3278" s="71">
        <f t="shared" si="466"/>
        <v>0</v>
      </c>
      <c r="U3278" s="71">
        <f>IF(AND(N3278=1,V3278=1),IF(COUNTIFS(AKTIVITAS!$B$2:$B$3052,B3278,AKTIVITAS!$E$2:$E$3052,H3278)&gt;0,1,0),0)</f>
        <v>0</v>
      </c>
      <c r="V3278" s="71">
        <f>IFERROR(IF(AND(H3278&gt;=INDEX(PEMAGANG!$J$3:$J$36,MATCH(B3278,PEMAGANG!$C$3:$C$36,0)),H3278&lt;=INDEX(PEMAGANG!$K$3:$K$36,MATCH(B3278,PEMAGANG!$C$3:$C$36,0))),1,0),0)</f>
        <v>0</v>
      </c>
      <c r="W3278" s="71">
        <f t="shared" si="467"/>
        <v>0</v>
      </c>
    </row>
    <row r="3279" spans="1:23" x14ac:dyDescent="0.2">
      <c r="A3279" s="71" t="s">
        <v>700</v>
      </c>
      <c r="B3279" s="71" t="s">
        <v>701</v>
      </c>
      <c r="C3279" s="71" t="s">
        <v>187</v>
      </c>
      <c r="D3279" s="71" t="s">
        <v>421</v>
      </c>
      <c r="E3279" s="71" t="s">
        <v>422</v>
      </c>
      <c r="F3279" s="71" t="s">
        <v>298</v>
      </c>
      <c r="G3279" s="88">
        <v>46274.227789351899</v>
      </c>
      <c r="H3279" s="89">
        <v>46274</v>
      </c>
      <c r="I3279" s="71" t="s">
        <v>736</v>
      </c>
      <c r="J3279" s="71">
        <v>-152</v>
      </c>
      <c r="K3279" s="71" t="s">
        <v>302</v>
      </c>
      <c r="L3279" s="71">
        <f t="shared" si="459"/>
        <v>9</v>
      </c>
      <c r="M3279" s="71" t="str">
        <f>IFERROR(INDEX(KALENDER!$D$3:$D$132,MATCH(H3279,KALENDER!$A$3:$A$132,0)),"Di luar periode")</f>
        <v>Hari Kerja</v>
      </c>
      <c r="N3279" s="71">
        <f t="shared" si="460"/>
        <v>1</v>
      </c>
      <c r="O3279" s="71">
        <f t="shared" si="461"/>
        <v>1</v>
      </c>
      <c r="P3279" s="71">
        <f t="shared" si="462"/>
        <v>0</v>
      </c>
      <c r="Q3279" s="71">
        <f t="shared" si="463"/>
        <v>1</v>
      </c>
      <c r="R3279" s="71">
        <f t="shared" si="464"/>
        <v>0</v>
      </c>
      <c r="S3279" s="71">
        <f t="shared" si="465"/>
        <v>0</v>
      </c>
      <c r="T3279" s="71">
        <f t="shared" si="466"/>
        <v>0</v>
      </c>
      <c r="U3279" s="71">
        <f>IF(AND(N3279=1,V3279=1),IF(COUNTIFS(AKTIVITAS!$B$2:$B$3052,B3279,AKTIVITAS!$E$2:$E$3052,H3279)&gt;0,1,0),0)</f>
        <v>0</v>
      </c>
      <c r="V3279" s="71">
        <f>IFERROR(IF(AND(H3279&gt;=INDEX(PEMAGANG!$J$3:$J$36,MATCH(B3279,PEMAGANG!$C$3:$C$36,0)),H3279&lt;=INDEX(PEMAGANG!$K$3:$K$36,MATCH(B3279,PEMAGANG!$C$3:$C$36,0))),1,0),0)</f>
        <v>0</v>
      </c>
      <c r="W3279" s="71">
        <f t="shared" si="467"/>
        <v>0</v>
      </c>
    </row>
    <row r="3280" spans="1:23" x14ac:dyDescent="0.2">
      <c r="A3280" s="71" t="s">
        <v>700</v>
      </c>
      <c r="B3280" s="71" t="s">
        <v>701</v>
      </c>
      <c r="C3280" s="71" t="s">
        <v>187</v>
      </c>
      <c r="D3280" s="71" t="s">
        <v>421</v>
      </c>
      <c r="E3280" s="71" t="s">
        <v>422</v>
      </c>
      <c r="F3280" s="71" t="s">
        <v>300</v>
      </c>
      <c r="G3280" s="88">
        <v>46274.792777777802</v>
      </c>
      <c r="H3280" s="89">
        <v>46274</v>
      </c>
      <c r="I3280" s="71" t="s">
        <v>628</v>
      </c>
      <c r="J3280" s="71">
        <v>0</v>
      </c>
      <c r="K3280" s="71" t="s">
        <v>302</v>
      </c>
      <c r="L3280" s="71">
        <f t="shared" si="459"/>
        <v>9</v>
      </c>
      <c r="M3280" s="71" t="str">
        <f>IFERROR(INDEX(KALENDER!$D$3:$D$132,MATCH(H3280,KALENDER!$A$3:$A$132,0)),"Di luar periode")</f>
        <v>Hari Kerja</v>
      </c>
      <c r="N3280" s="71">
        <f t="shared" si="460"/>
        <v>0</v>
      </c>
      <c r="O3280" s="71">
        <f t="shared" si="461"/>
        <v>1</v>
      </c>
      <c r="P3280" s="71">
        <f t="shared" si="462"/>
        <v>0</v>
      </c>
      <c r="Q3280" s="71">
        <f t="shared" si="463"/>
        <v>0</v>
      </c>
      <c r="R3280" s="71">
        <f t="shared" si="464"/>
        <v>0</v>
      </c>
      <c r="S3280" s="71">
        <f t="shared" si="465"/>
        <v>0</v>
      </c>
      <c r="T3280" s="71">
        <f t="shared" si="466"/>
        <v>0</v>
      </c>
      <c r="U3280" s="71">
        <f>IF(AND(N3280=1,V3280=1),IF(COUNTIFS(AKTIVITAS!$B$2:$B$3052,B3280,AKTIVITAS!$E$2:$E$3052,H3280)&gt;0,1,0),0)</f>
        <v>0</v>
      </c>
      <c r="V3280" s="71">
        <f>IFERROR(IF(AND(H3280&gt;=INDEX(PEMAGANG!$J$3:$J$36,MATCH(B3280,PEMAGANG!$C$3:$C$36,0)),H3280&lt;=INDEX(PEMAGANG!$K$3:$K$36,MATCH(B3280,PEMAGANG!$C$3:$C$36,0))),1,0),0)</f>
        <v>0</v>
      </c>
      <c r="W3280" s="71">
        <f t="shared" si="467"/>
        <v>0</v>
      </c>
    </row>
    <row r="3281" spans="1:23" x14ac:dyDescent="0.2">
      <c r="A3281" s="71" t="s">
        <v>700</v>
      </c>
      <c r="B3281" s="71" t="s">
        <v>701</v>
      </c>
      <c r="C3281" s="71" t="s">
        <v>187</v>
      </c>
      <c r="D3281" s="71" t="s">
        <v>421</v>
      </c>
      <c r="E3281" s="71" t="s">
        <v>422</v>
      </c>
      <c r="F3281" s="71" t="s">
        <v>298</v>
      </c>
      <c r="G3281" s="88">
        <v>46275.237199074101</v>
      </c>
      <c r="H3281" s="89">
        <v>46275</v>
      </c>
      <c r="I3281" s="71" t="s">
        <v>737</v>
      </c>
      <c r="J3281" s="71">
        <v>-139</v>
      </c>
      <c r="K3281" s="71" t="s">
        <v>302</v>
      </c>
      <c r="L3281" s="71">
        <f t="shared" si="459"/>
        <v>9</v>
      </c>
      <c r="M3281" s="71" t="str">
        <f>IFERROR(INDEX(KALENDER!$D$3:$D$132,MATCH(H3281,KALENDER!$A$3:$A$132,0)),"Di luar periode")</f>
        <v>Hari Kerja</v>
      </c>
      <c r="N3281" s="71">
        <f t="shared" si="460"/>
        <v>1</v>
      </c>
      <c r="O3281" s="71">
        <f t="shared" si="461"/>
        <v>1</v>
      </c>
      <c r="P3281" s="71">
        <f t="shared" si="462"/>
        <v>0</v>
      </c>
      <c r="Q3281" s="71">
        <f t="shared" si="463"/>
        <v>1</v>
      </c>
      <c r="R3281" s="71">
        <f t="shared" si="464"/>
        <v>0</v>
      </c>
      <c r="S3281" s="71">
        <f t="shared" si="465"/>
        <v>0</v>
      </c>
      <c r="T3281" s="71">
        <f t="shared" si="466"/>
        <v>0</v>
      </c>
      <c r="U3281" s="71">
        <f>IF(AND(N3281=1,V3281=1),IF(COUNTIFS(AKTIVITAS!$B$2:$B$3052,B3281,AKTIVITAS!$E$2:$E$3052,H3281)&gt;0,1,0),0)</f>
        <v>0</v>
      </c>
      <c r="V3281" s="71">
        <f>IFERROR(IF(AND(H3281&gt;=INDEX(PEMAGANG!$J$3:$J$36,MATCH(B3281,PEMAGANG!$C$3:$C$36,0)),H3281&lt;=INDEX(PEMAGANG!$K$3:$K$36,MATCH(B3281,PEMAGANG!$C$3:$C$36,0))),1,0),0)</f>
        <v>0</v>
      </c>
      <c r="W3281" s="71">
        <f t="shared" si="467"/>
        <v>0</v>
      </c>
    </row>
    <row r="3282" spans="1:23" x14ac:dyDescent="0.2">
      <c r="A3282" s="71" t="s">
        <v>700</v>
      </c>
      <c r="B3282" s="71" t="s">
        <v>701</v>
      </c>
      <c r="C3282" s="71" t="s">
        <v>187</v>
      </c>
      <c r="D3282" s="71" t="s">
        <v>421</v>
      </c>
      <c r="E3282" s="71" t="s">
        <v>422</v>
      </c>
      <c r="F3282" s="71" t="s">
        <v>298</v>
      </c>
      <c r="G3282" s="88">
        <v>46275.237199074101</v>
      </c>
      <c r="H3282" s="89">
        <v>46275</v>
      </c>
      <c r="I3282" s="71" t="s">
        <v>737</v>
      </c>
      <c r="J3282" s="71">
        <v>-109</v>
      </c>
      <c r="K3282" s="71" t="s">
        <v>302</v>
      </c>
      <c r="L3282" s="71">
        <f t="shared" si="459"/>
        <v>9</v>
      </c>
      <c r="M3282" s="71" t="str">
        <f>IFERROR(INDEX(KALENDER!$D$3:$D$132,MATCH(H3282,KALENDER!$A$3:$A$132,0)),"Di luar periode")</f>
        <v>Hari Kerja</v>
      </c>
      <c r="N3282" s="71">
        <f t="shared" si="460"/>
        <v>0</v>
      </c>
      <c r="O3282" s="71">
        <f t="shared" si="461"/>
        <v>2</v>
      </c>
      <c r="P3282" s="71">
        <f t="shared" si="462"/>
        <v>0</v>
      </c>
      <c r="Q3282" s="71">
        <f t="shared" si="463"/>
        <v>0</v>
      </c>
      <c r="R3282" s="71">
        <f t="shared" si="464"/>
        <v>0</v>
      </c>
      <c r="S3282" s="71">
        <f t="shared" si="465"/>
        <v>0</v>
      </c>
      <c r="T3282" s="71">
        <f t="shared" si="466"/>
        <v>0</v>
      </c>
      <c r="U3282" s="71">
        <f>IF(AND(N3282=1,V3282=1),IF(COUNTIFS(AKTIVITAS!$B$2:$B$3052,B3282,AKTIVITAS!$E$2:$E$3052,H3282)&gt;0,1,0),0)</f>
        <v>0</v>
      </c>
      <c r="V3282" s="71">
        <f>IFERROR(IF(AND(H3282&gt;=INDEX(PEMAGANG!$J$3:$J$36,MATCH(B3282,PEMAGANG!$C$3:$C$36,0)),H3282&lt;=INDEX(PEMAGANG!$K$3:$K$36,MATCH(B3282,PEMAGANG!$C$3:$C$36,0))),1,0),0)</f>
        <v>0</v>
      </c>
      <c r="W3282" s="71">
        <f t="shared" si="467"/>
        <v>0</v>
      </c>
    </row>
    <row r="3283" spans="1:23" x14ac:dyDescent="0.2">
      <c r="A3283" s="71" t="s">
        <v>700</v>
      </c>
      <c r="B3283" s="71" t="s">
        <v>701</v>
      </c>
      <c r="C3283" s="71" t="s">
        <v>187</v>
      </c>
      <c r="D3283" s="71" t="s">
        <v>421</v>
      </c>
      <c r="E3283" s="71" t="s">
        <v>422</v>
      </c>
      <c r="F3283" s="71" t="s">
        <v>300</v>
      </c>
      <c r="G3283" s="88">
        <v>46275.802245370403</v>
      </c>
      <c r="H3283" s="89">
        <v>46275</v>
      </c>
      <c r="I3283" s="71" t="s">
        <v>707</v>
      </c>
      <c r="J3283" s="71">
        <v>0</v>
      </c>
      <c r="K3283" s="71" t="s">
        <v>302</v>
      </c>
      <c r="L3283" s="71">
        <f t="shared" si="459"/>
        <v>9</v>
      </c>
      <c r="M3283" s="71" t="str">
        <f>IFERROR(INDEX(KALENDER!$D$3:$D$132,MATCH(H3283,KALENDER!$A$3:$A$132,0)),"Di luar periode")</f>
        <v>Hari Kerja</v>
      </c>
      <c r="N3283" s="71">
        <f t="shared" si="460"/>
        <v>0</v>
      </c>
      <c r="O3283" s="71">
        <f t="shared" si="461"/>
        <v>2</v>
      </c>
      <c r="P3283" s="71">
        <f t="shared" si="462"/>
        <v>0</v>
      </c>
      <c r="Q3283" s="71">
        <f t="shared" si="463"/>
        <v>0</v>
      </c>
      <c r="R3283" s="71">
        <f t="shared" si="464"/>
        <v>0</v>
      </c>
      <c r="S3283" s="71">
        <f t="shared" si="465"/>
        <v>0</v>
      </c>
      <c r="T3283" s="71">
        <f t="shared" si="466"/>
        <v>0</v>
      </c>
      <c r="U3283" s="71">
        <f>IF(AND(N3283=1,V3283=1),IF(COUNTIFS(AKTIVITAS!$B$2:$B$3052,B3283,AKTIVITAS!$E$2:$E$3052,H3283)&gt;0,1,0),0)</f>
        <v>0</v>
      </c>
      <c r="V3283" s="71">
        <f>IFERROR(IF(AND(H3283&gt;=INDEX(PEMAGANG!$J$3:$J$36,MATCH(B3283,PEMAGANG!$C$3:$C$36,0)),H3283&lt;=INDEX(PEMAGANG!$K$3:$K$36,MATCH(B3283,PEMAGANG!$C$3:$C$36,0))),1,0),0)</f>
        <v>0</v>
      </c>
      <c r="W3283" s="71">
        <f t="shared" si="467"/>
        <v>0</v>
      </c>
    </row>
    <row r="3284" spans="1:23" x14ac:dyDescent="0.2">
      <c r="A3284" s="71" t="s">
        <v>700</v>
      </c>
      <c r="B3284" s="71" t="s">
        <v>701</v>
      </c>
      <c r="C3284" s="71" t="s">
        <v>187</v>
      </c>
      <c r="D3284" s="71" t="s">
        <v>421</v>
      </c>
      <c r="E3284" s="71" t="s">
        <v>422</v>
      </c>
      <c r="F3284" s="71" t="s">
        <v>298</v>
      </c>
      <c r="G3284" s="88">
        <v>46276.245636574102</v>
      </c>
      <c r="H3284" s="89">
        <v>46276</v>
      </c>
      <c r="I3284" s="71" t="s">
        <v>676</v>
      </c>
      <c r="J3284" s="71">
        <v>-97</v>
      </c>
      <c r="K3284" s="71" t="s">
        <v>302</v>
      </c>
      <c r="L3284" s="71">
        <f t="shared" si="459"/>
        <v>9</v>
      </c>
      <c r="M3284" s="71" t="str">
        <f>IFERROR(INDEX(KALENDER!$D$3:$D$132,MATCH(H3284,KALENDER!$A$3:$A$132,0)),"Di luar periode")</f>
        <v>Hari Kerja</v>
      </c>
      <c r="N3284" s="71">
        <f t="shared" si="460"/>
        <v>1</v>
      </c>
      <c r="O3284" s="71">
        <f t="shared" si="461"/>
        <v>1</v>
      </c>
      <c r="P3284" s="71">
        <f t="shared" si="462"/>
        <v>0</v>
      </c>
      <c r="Q3284" s="71">
        <f t="shared" si="463"/>
        <v>1</v>
      </c>
      <c r="R3284" s="71">
        <f t="shared" si="464"/>
        <v>0</v>
      </c>
      <c r="S3284" s="71">
        <f t="shared" si="465"/>
        <v>0</v>
      </c>
      <c r="T3284" s="71">
        <f t="shared" si="466"/>
        <v>0</v>
      </c>
      <c r="U3284" s="71">
        <f>IF(AND(N3284=1,V3284=1),IF(COUNTIFS(AKTIVITAS!$B$2:$B$3052,B3284,AKTIVITAS!$E$2:$E$3052,H3284)&gt;0,1,0),0)</f>
        <v>0</v>
      </c>
      <c r="V3284" s="71">
        <f>IFERROR(IF(AND(H3284&gt;=INDEX(PEMAGANG!$J$3:$J$36,MATCH(B3284,PEMAGANG!$C$3:$C$36,0)),H3284&lt;=INDEX(PEMAGANG!$K$3:$K$36,MATCH(B3284,PEMAGANG!$C$3:$C$36,0))),1,0),0)</f>
        <v>0</v>
      </c>
      <c r="W3284" s="71">
        <f t="shared" si="467"/>
        <v>0</v>
      </c>
    </row>
    <row r="3285" spans="1:23" x14ac:dyDescent="0.2">
      <c r="A3285" s="71" t="s">
        <v>700</v>
      </c>
      <c r="B3285" s="71" t="s">
        <v>701</v>
      </c>
      <c r="C3285" s="71" t="s">
        <v>187</v>
      </c>
      <c r="D3285" s="71" t="s">
        <v>421</v>
      </c>
      <c r="E3285" s="71" t="s">
        <v>422</v>
      </c>
      <c r="F3285" s="71" t="s">
        <v>300</v>
      </c>
      <c r="G3285" s="88">
        <v>46276.801145833299</v>
      </c>
      <c r="H3285" s="89">
        <v>46276</v>
      </c>
      <c r="I3285" s="71" t="s">
        <v>738</v>
      </c>
      <c r="J3285" s="71">
        <v>0</v>
      </c>
      <c r="K3285" s="71" t="s">
        <v>302</v>
      </c>
      <c r="L3285" s="71">
        <f t="shared" si="459"/>
        <v>9</v>
      </c>
      <c r="M3285" s="71" t="str">
        <f>IFERROR(INDEX(KALENDER!$D$3:$D$132,MATCH(H3285,KALENDER!$A$3:$A$132,0)),"Di luar periode")</f>
        <v>Hari Kerja</v>
      </c>
      <c r="N3285" s="71">
        <f t="shared" si="460"/>
        <v>0</v>
      </c>
      <c r="O3285" s="71">
        <f t="shared" si="461"/>
        <v>1</v>
      </c>
      <c r="P3285" s="71">
        <f t="shared" si="462"/>
        <v>0</v>
      </c>
      <c r="Q3285" s="71">
        <f t="shared" si="463"/>
        <v>0</v>
      </c>
      <c r="R3285" s="71">
        <f t="shared" si="464"/>
        <v>0</v>
      </c>
      <c r="S3285" s="71">
        <f t="shared" si="465"/>
        <v>0</v>
      </c>
      <c r="T3285" s="71">
        <f t="shared" si="466"/>
        <v>0</v>
      </c>
      <c r="U3285" s="71">
        <f>IF(AND(N3285=1,V3285=1),IF(COUNTIFS(AKTIVITAS!$B$2:$B$3052,B3285,AKTIVITAS!$E$2:$E$3052,H3285)&gt;0,1,0),0)</f>
        <v>0</v>
      </c>
      <c r="V3285" s="71">
        <f>IFERROR(IF(AND(H3285&gt;=INDEX(PEMAGANG!$J$3:$J$36,MATCH(B3285,PEMAGANG!$C$3:$C$36,0)),H3285&lt;=INDEX(PEMAGANG!$K$3:$K$36,MATCH(B3285,PEMAGANG!$C$3:$C$36,0))),1,0),0)</f>
        <v>0</v>
      </c>
      <c r="W3285" s="71">
        <f t="shared" si="467"/>
        <v>0</v>
      </c>
    </row>
    <row r="3286" spans="1:23" x14ac:dyDescent="0.2">
      <c r="A3286" s="71" t="s">
        <v>700</v>
      </c>
      <c r="B3286" s="71" t="s">
        <v>701</v>
      </c>
      <c r="C3286" s="71" t="s">
        <v>187</v>
      </c>
      <c r="D3286" s="71" t="s">
        <v>421</v>
      </c>
      <c r="E3286" s="71" t="s">
        <v>422</v>
      </c>
      <c r="F3286" s="71" t="s">
        <v>298</v>
      </c>
      <c r="G3286" s="88">
        <v>46277.2593865741</v>
      </c>
      <c r="H3286" s="89">
        <v>46277</v>
      </c>
      <c r="I3286" s="71" t="s">
        <v>456</v>
      </c>
      <c r="J3286" s="71">
        <v>-77</v>
      </c>
      <c r="K3286" s="71" t="s">
        <v>302</v>
      </c>
      <c r="L3286" s="71">
        <f t="shared" si="459"/>
        <v>9</v>
      </c>
      <c r="M3286" s="71" t="str">
        <f>IFERROR(INDEX(KALENDER!$D$3:$D$132,MATCH(H3286,KALENDER!$A$3:$A$132,0)),"Di luar periode")</f>
        <v>Libur (Sabtu/Minggu)</v>
      </c>
      <c r="N3286" s="71">
        <f t="shared" si="460"/>
        <v>1</v>
      </c>
      <c r="O3286" s="71">
        <f t="shared" si="461"/>
        <v>1</v>
      </c>
      <c r="P3286" s="71">
        <f t="shared" si="462"/>
        <v>0</v>
      </c>
      <c r="Q3286" s="71">
        <f t="shared" si="463"/>
        <v>1</v>
      </c>
      <c r="R3286" s="71">
        <f t="shared" si="464"/>
        <v>0</v>
      </c>
      <c r="S3286" s="71">
        <f t="shared" si="465"/>
        <v>0</v>
      </c>
      <c r="T3286" s="71">
        <f t="shared" si="466"/>
        <v>0</v>
      </c>
      <c r="U3286" s="71">
        <f>IF(AND(N3286=1,V3286=1),IF(COUNTIFS(AKTIVITAS!$B$2:$B$3052,B3286,AKTIVITAS!$E$2:$E$3052,H3286)&gt;0,1,0),0)</f>
        <v>0</v>
      </c>
      <c r="V3286" s="71">
        <f>IFERROR(IF(AND(H3286&gt;=INDEX(PEMAGANG!$J$3:$J$36,MATCH(B3286,PEMAGANG!$C$3:$C$36,0)),H3286&lt;=INDEX(PEMAGANG!$K$3:$K$36,MATCH(B3286,PEMAGANG!$C$3:$C$36,0))),1,0),0)</f>
        <v>0</v>
      </c>
      <c r="W3286" s="71">
        <f t="shared" si="467"/>
        <v>0</v>
      </c>
    </row>
    <row r="3287" spans="1:23" x14ac:dyDescent="0.2">
      <c r="A3287" s="71" t="s">
        <v>700</v>
      </c>
      <c r="B3287" s="71" t="s">
        <v>701</v>
      </c>
      <c r="C3287" s="71" t="s">
        <v>187</v>
      </c>
      <c r="D3287" s="71" t="s">
        <v>421</v>
      </c>
      <c r="E3287" s="71" t="s">
        <v>422</v>
      </c>
      <c r="F3287" s="71" t="s">
        <v>300</v>
      </c>
      <c r="G3287" s="88">
        <v>46277.793611111098</v>
      </c>
      <c r="H3287" s="89">
        <v>46277</v>
      </c>
      <c r="I3287" s="71" t="s">
        <v>650</v>
      </c>
      <c r="J3287" s="71">
        <v>0</v>
      </c>
      <c r="K3287" s="71" t="s">
        <v>302</v>
      </c>
      <c r="L3287" s="71">
        <f t="shared" si="459"/>
        <v>9</v>
      </c>
      <c r="M3287" s="71" t="str">
        <f>IFERROR(INDEX(KALENDER!$D$3:$D$132,MATCH(H3287,KALENDER!$A$3:$A$132,0)),"Di luar periode")</f>
        <v>Libur (Sabtu/Minggu)</v>
      </c>
      <c r="N3287" s="71">
        <f t="shared" si="460"/>
        <v>0</v>
      </c>
      <c r="O3287" s="71">
        <f t="shared" si="461"/>
        <v>1</v>
      </c>
      <c r="P3287" s="71">
        <f t="shared" si="462"/>
        <v>0</v>
      </c>
      <c r="Q3287" s="71">
        <f t="shared" si="463"/>
        <v>0</v>
      </c>
      <c r="R3287" s="71">
        <f t="shared" si="464"/>
        <v>0</v>
      </c>
      <c r="S3287" s="71">
        <f t="shared" si="465"/>
        <v>0</v>
      </c>
      <c r="T3287" s="71">
        <f t="shared" si="466"/>
        <v>0</v>
      </c>
      <c r="U3287" s="71">
        <f>IF(AND(N3287=1,V3287=1),IF(COUNTIFS(AKTIVITAS!$B$2:$B$3052,B3287,AKTIVITAS!$E$2:$E$3052,H3287)&gt;0,1,0),0)</f>
        <v>0</v>
      </c>
      <c r="V3287" s="71">
        <f>IFERROR(IF(AND(H3287&gt;=INDEX(PEMAGANG!$J$3:$J$36,MATCH(B3287,PEMAGANG!$C$3:$C$36,0)),H3287&lt;=INDEX(PEMAGANG!$K$3:$K$36,MATCH(B3287,PEMAGANG!$C$3:$C$36,0))),1,0),0)</f>
        <v>0</v>
      </c>
      <c r="W3287" s="71">
        <f t="shared" si="467"/>
        <v>0</v>
      </c>
    </row>
    <row r="3288" spans="1:23" x14ac:dyDescent="0.2">
      <c r="A3288" s="71" t="s">
        <v>700</v>
      </c>
      <c r="B3288" s="71" t="s">
        <v>701</v>
      </c>
      <c r="C3288" s="71" t="s">
        <v>187</v>
      </c>
      <c r="D3288" s="71" t="s">
        <v>421</v>
      </c>
      <c r="E3288" s="71" t="s">
        <v>422</v>
      </c>
      <c r="F3288" s="71" t="s">
        <v>298</v>
      </c>
      <c r="G3288" s="88">
        <v>46278.261886574102</v>
      </c>
      <c r="H3288" s="89">
        <v>46278</v>
      </c>
      <c r="I3288" s="71" t="s">
        <v>440</v>
      </c>
      <c r="J3288" s="71">
        <v>-73</v>
      </c>
      <c r="K3288" s="71" t="s">
        <v>302</v>
      </c>
      <c r="L3288" s="71">
        <f t="shared" si="459"/>
        <v>9</v>
      </c>
      <c r="M3288" s="71" t="str">
        <f>IFERROR(INDEX(KALENDER!$D$3:$D$132,MATCH(H3288,KALENDER!$A$3:$A$132,0)),"Di luar periode")</f>
        <v>Libur (Sabtu/Minggu)</v>
      </c>
      <c r="N3288" s="71">
        <f t="shared" si="460"/>
        <v>1</v>
      </c>
      <c r="O3288" s="71">
        <f t="shared" si="461"/>
        <v>1</v>
      </c>
      <c r="P3288" s="71">
        <f t="shared" si="462"/>
        <v>0</v>
      </c>
      <c r="Q3288" s="71">
        <f t="shared" si="463"/>
        <v>1</v>
      </c>
      <c r="R3288" s="71">
        <f t="shared" si="464"/>
        <v>0</v>
      </c>
      <c r="S3288" s="71">
        <f t="shared" si="465"/>
        <v>0</v>
      </c>
      <c r="T3288" s="71">
        <f t="shared" si="466"/>
        <v>0</v>
      </c>
      <c r="U3288" s="71">
        <f>IF(AND(N3288=1,V3288=1),IF(COUNTIFS(AKTIVITAS!$B$2:$B$3052,B3288,AKTIVITAS!$E$2:$E$3052,H3288)&gt;0,1,0),0)</f>
        <v>0</v>
      </c>
      <c r="V3288" s="71">
        <f>IFERROR(IF(AND(H3288&gt;=INDEX(PEMAGANG!$J$3:$J$36,MATCH(B3288,PEMAGANG!$C$3:$C$36,0)),H3288&lt;=INDEX(PEMAGANG!$K$3:$K$36,MATCH(B3288,PEMAGANG!$C$3:$C$36,0))),1,0),0)</f>
        <v>0</v>
      </c>
      <c r="W3288" s="71">
        <f t="shared" si="467"/>
        <v>0</v>
      </c>
    </row>
    <row r="3289" spans="1:23" x14ac:dyDescent="0.2">
      <c r="A3289" s="71" t="s">
        <v>700</v>
      </c>
      <c r="B3289" s="71" t="s">
        <v>701</v>
      </c>
      <c r="C3289" s="71" t="s">
        <v>187</v>
      </c>
      <c r="D3289" s="71" t="s">
        <v>421</v>
      </c>
      <c r="E3289" s="71" t="s">
        <v>422</v>
      </c>
      <c r="F3289" s="71" t="s">
        <v>300</v>
      </c>
      <c r="G3289" s="88">
        <v>46278.792627314797</v>
      </c>
      <c r="H3289" s="89">
        <v>46278</v>
      </c>
      <c r="I3289" s="71" t="s">
        <v>628</v>
      </c>
      <c r="J3289" s="71">
        <v>0</v>
      </c>
      <c r="K3289" s="71" t="s">
        <v>302</v>
      </c>
      <c r="L3289" s="71">
        <f t="shared" si="459"/>
        <v>9</v>
      </c>
      <c r="M3289" s="71" t="str">
        <f>IFERROR(INDEX(KALENDER!$D$3:$D$132,MATCH(H3289,KALENDER!$A$3:$A$132,0)),"Di luar periode")</f>
        <v>Libur (Sabtu/Minggu)</v>
      </c>
      <c r="N3289" s="71">
        <f t="shared" si="460"/>
        <v>0</v>
      </c>
      <c r="O3289" s="71">
        <f t="shared" si="461"/>
        <v>1</v>
      </c>
      <c r="P3289" s="71">
        <f t="shared" si="462"/>
        <v>0</v>
      </c>
      <c r="Q3289" s="71">
        <f t="shared" si="463"/>
        <v>0</v>
      </c>
      <c r="R3289" s="71">
        <f t="shared" si="464"/>
        <v>0</v>
      </c>
      <c r="S3289" s="71">
        <f t="shared" si="465"/>
        <v>0</v>
      </c>
      <c r="T3289" s="71">
        <f t="shared" si="466"/>
        <v>0</v>
      </c>
      <c r="U3289" s="71">
        <f>IF(AND(N3289=1,V3289=1),IF(COUNTIFS(AKTIVITAS!$B$2:$B$3052,B3289,AKTIVITAS!$E$2:$E$3052,H3289)&gt;0,1,0),0)</f>
        <v>0</v>
      </c>
      <c r="V3289" s="71">
        <f>IFERROR(IF(AND(H3289&gt;=INDEX(PEMAGANG!$J$3:$J$36,MATCH(B3289,PEMAGANG!$C$3:$C$36,0)),H3289&lt;=INDEX(PEMAGANG!$K$3:$K$36,MATCH(B3289,PEMAGANG!$C$3:$C$36,0))),1,0),0)</f>
        <v>0</v>
      </c>
      <c r="W3289" s="71">
        <f t="shared" si="467"/>
        <v>0</v>
      </c>
    </row>
    <row r="3290" spans="1:23" x14ac:dyDescent="0.2">
      <c r="A3290" s="71" t="s">
        <v>700</v>
      </c>
      <c r="B3290" s="71" t="s">
        <v>701</v>
      </c>
      <c r="C3290" s="71" t="s">
        <v>187</v>
      </c>
      <c r="D3290" s="71" t="s">
        <v>421</v>
      </c>
      <c r="E3290" s="71" t="s">
        <v>422</v>
      </c>
      <c r="F3290" s="71" t="s">
        <v>298</v>
      </c>
      <c r="G3290" s="88">
        <v>46279.231539351902</v>
      </c>
      <c r="H3290" s="89">
        <v>46279</v>
      </c>
      <c r="I3290" s="71" t="s">
        <v>686</v>
      </c>
      <c r="J3290" s="71">
        <v>-117</v>
      </c>
      <c r="K3290" s="71" t="s">
        <v>302</v>
      </c>
      <c r="L3290" s="71">
        <f t="shared" si="459"/>
        <v>9</v>
      </c>
      <c r="M3290" s="71" t="str">
        <f>IFERROR(INDEX(KALENDER!$D$3:$D$132,MATCH(H3290,KALENDER!$A$3:$A$132,0)),"Di luar periode")</f>
        <v>Hari Kerja</v>
      </c>
      <c r="N3290" s="71">
        <f t="shared" si="460"/>
        <v>1</v>
      </c>
      <c r="O3290" s="71">
        <f t="shared" si="461"/>
        <v>1</v>
      </c>
      <c r="P3290" s="71">
        <f t="shared" si="462"/>
        <v>0</v>
      </c>
      <c r="Q3290" s="71">
        <f t="shared" si="463"/>
        <v>1</v>
      </c>
      <c r="R3290" s="71">
        <f t="shared" si="464"/>
        <v>0</v>
      </c>
      <c r="S3290" s="71">
        <f t="shared" si="465"/>
        <v>0</v>
      </c>
      <c r="T3290" s="71">
        <f t="shared" si="466"/>
        <v>0</v>
      </c>
      <c r="U3290" s="71">
        <f>IF(AND(N3290=1,V3290=1),IF(COUNTIFS(AKTIVITAS!$B$2:$B$3052,B3290,AKTIVITAS!$E$2:$E$3052,H3290)&gt;0,1,0),0)</f>
        <v>0</v>
      </c>
      <c r="V3290" s="71">
        <f>IFERROR(IF(AND(H3290&gt;=INDEX(PEMAGANG!$J$3:$J$36,MATCH(B3290,PEMAGANG!$C$3:$C$36,0)),H3290&lt;=INDEX(PEMAGANG!$K$3:$K$36,MATCH(B3290,PEMAGANG!$C$3:$C$36,0))),1,0),0)</f>
        <v>0</v>
      </c>
      <c r="W3290" s="71">
        <f t="shared" si="467"/>
        <v>0</v>
      </c>
    </row>
    <row r="3291" spans="1:23" x14ac:dyDescent="0.2">
      <c r="A3291" s="71" t="s">
        <v>700</v>
      </c>
      <c r="B3291" s="71" t="s">
        <v>701</v>
      </c>
      <c r="C3291" s="71" t="s">
        <v>187</v>
      </c>
      <c r="D3291" s="71" t="s">
        <v>421</v>
      </c>
      <c r="E3291" s="71" t="s">
        <v>422</v>
      </c>
      <c r="F3291" s="71" t="s">
        <v>300</v>
      </c>
      <c r="G3291" s="88">
        <v>46279.794224537</v>
      </c>
      <c r="H3291" s="89">
        <v>46279</v>
      </c>
      <c r="I3291" s="71" t="s">
        <v>663</v>
      </c>
      <c r="J3291" s="71">
        <v>0</v>
      </c>
      <c r="K3291" s="71" t="s">
        <v>302</v>
      </c>
      <c r="L3291" s="71">
        <f t="shared" si="459"/>
        <v>9</v>
      </c>
      <c r="M3291" s="71" t="str">
        <f>IFERROR(INDEX(KALENDER!$D$3:$D$132,MATCH(H3291,KALENDER!$A$3:$A$132,0)),"Di luar periode")</f>
        <v>Hari Kerja</v>
      </c>
      <c r="N3291" s="71">
        <f t="shared" si="460"/>
        <v>0</v>
      </c>
      <c r="O3291" s="71">
        <f t="shared" si="461"/>
        <v>1</v>
      </c>
      <c r="P3291" s="71">
        <f t="shared" si="462"/>
        <v>0</v>
      </c>
      <c r="Q3291" s="71">
        <f t="shared" si="463"/>
        <v>0</v>
      </c>
      <c r="R3291" s="71">
        <f t="shared" si="464"/>
        <v>0</v>
      </c>
      <c r="S3291" s="71">
        <f t="shared" si="465"/>
        <v>0</v>
      </c>
      <c r="T3291" s="71">
        <f t="shared" si="466"/>
        <v>0</v>
      </c>
      <c r="U3291" s="71">
        <f>IF(AND(N3291=1,V3291=1),IF(COUNTIFS(AKTIVITAS!$B$2:$B$3052,B3291,AKTIVITAS!$E$2:$E$3052,H3291)&gt;0,1,0),0)</f>
        <v>0</v>
      </c>
      <c r="V3291" s="71">
        <f>IFERROR(IF(AND(H3291&gt;=INDEX(PEMAGANG!$J$3:$J$36,MATCH(B3291,PEMAGANG!$C$3:$C$36,0)),H3291&lt;=INDEX(PEMAGANG!$K$3:$K$36,MATCH(B3291,PEMAGANG!$C$3:$C$36,0))),1,0),0)</f>
        <v>0</v>
      </c>
      <c r="W3291" s="71">
        <f t="shared" si="467"/>
        <v>0</v>
      </c>
    </row>
    <row r="3292" spans="1:23" x14ac:dyDescent="0.2">
      <c r="A3292" s="71" t="s">
        <v>700</v>
      </c>
      <c r="B3292" s="71" t="s">
        <v>701</v>
      </c>
      <c r="C3292" s="71" t="s">
        <v>187</v>
      </c>
      <c r="D3292" s="71" t="s">
        <v>421</v>
      </c>
      <c r="E3292" s="71" t="s">
        <v>422</v>
      </c>
      <c r="F3292" s="71" t="s">
        <v>298</v>
      </c>
      <c r="G3292" s="88">
        <v>46280.229189814803</v>
      </c>
      <c r="H3292" s="89">
        <v>46280</v>
      </c>
      <c r="I3292" s="71" t="s">
        <v>722</v>
      </c>
      <c r="J3292" s="71">
        <v>-120</v>
      </c>
      <c r="K3292" s="71" t="s">
        <v>302</v>
      </c>
      <c r="L3292" s="71">
        <f t="shared" si="459"/>
        <v>9</v>
      </c>
      <c r="M3292" s="71" t="str">
        <f>IFERROR(INDEX(KALENDER!$D$3:$D$132,MATCH(H3292,KALENDER!$A$3:$A$132,0)),"Di luar periode")</f>
        <v>Hari Kerja</v>
      </c>
      <c r="N3292" s="71">
        <f t="shared" si="460"/>
        <v>1</v>
      </c>
      <c r="O3292" s="71">
        <f t="shared" si="461"/>
        <v>1</v>
      </c>
      <c r="P3292" s="71">
        <f t="shared" si="462"/>
        <v>0</v>
      </c>
      <c r="Q3292" s="71">
        <f t="shared" si="463"/>
        <v>1</v>
      </c>
      <c r="R3292" s="71">
        <f t="shared" si="464"/>
        <v>0</v>
      </c>
      <c r="S3292" s="71">
        <f t="shared" si="465"/>
        <v>0</v>
      </c>
      <c r="T3292" s="71">
        <f t="shared" si="466"/>
        <v>0</v>
      </c>
      <c r="U3292" s="71">
        <f>IF(AND(N3292=1,V3292=1),IF(COUNTIFS(AKTIVITAS!$B$2:$B$3052,B3292,AKTIVITAS!$E$2:$E$3052,H3292)&gt;0,1,0),0)</f>
        <v>0</v>
      </c>
      <c r="V3292" s="71">
        <f>IFERROR(IF(AND(H3292&gt;=INDEX(PEMAGANG!$J$3:$J$36,MATCH(B3292,PEMAGANG!$C$3:$C$36,0)),H3292&lt;=INDEX(PEMAGANG!$K$3:$K$36,MATCH(B3292,PEMAGANG!$C$3:$C$36,0))),1,0),0)</f>
        <v>0</v>
      </c>
      <c r="W3292" s="71">
        <f t="shared" si="467"/>
        <v>0</v>
      </c>
    </row>
    <row r="3293" spans="1:23" x14ac:dyDescent="0.2">
      <c r="A3293" s="71" t="s">
        <v>700</v>
      </c>
      <c r="B3293" s="71" t="s">
        <v>701</v>
      </c>
      <c r="C3293" s="71" t="s">
        <v>187</v>
      </c>
      <c r="D3293" s="71" t="s">
        <v>421</v>
      </c>
      <c r="E3293" s="71" t="s">
        <v>422</v>
      </c>
      <c r="F3293" s="71" t="s">
        <v>300</v>
      </c>
      <c r="G3293" s="88">
        <v>46280.821724537003</v>
      </c>
      <c r="H3293" s="89">
        <v>46280</v>
      </c>
      <c r="I3293" s="71" t="s">
        <v>739</v>
      </c>
      <c r="J3293" s="71">
        <v>0</v>
      </c>
      <c r="K3293" s="71" t="s">
        <v>302</v>
      </c>
      <c r="L3293" s="71">
        <f t="shared" si="459"/>
        <v>9</v>
      </c>
      <c r="M3293" s="71" t="str">
        <f>IFERROR(INDEX(KALENDER!$D$3:$D$132,MATCH(H3293,KALENDER!$A$3:$A$132,0)),"Di luar periode")</f>
        <v>Hari Kerja</v>
      </c>
      <c r="N3293" s="71">
        <f t="shared" si="460"/>
        <v>0</v>
      </c>
      <c r="O3293" s="71">
        <f t="shared" si="461"/>
        <v>1</v>
      </c>
      <c r="P3293" s="71">
        <f t="shared" si="462"/>
        <v>0</v>
      </c>
      <c r="Q3293" s="71">
        <f t="shared" si="463"/>
        <v>0</v>
      </c>
      <c r="R3293" s="71">
        <f t="shared" si="464"/>
        <v>0</v>
      </c>
      <c r="S3293" s="71">
        <f t="shared" si="465"/>
        <v>0</v>
      </c>
      <c r="T3293" s="71">
        <f t="shared" si="466"/>
        <v>0</v>
      </c>
      <c r="U3293" s="71">
        <f>IF(AND(N3293=1,V3293=1),IF(COUNTIFS(AKTIVITAS!$B$2:$B$3052,B3293,AKTIVITAS!$E$2:$E$3052,H3293)&gt;0,1,0),0)</f>
        <v>0</v>
      </c>
      <c r="V3293" s="71">
        <f>IFERROR(IF(AND(H3293&gt;=INDEX(PEMAGANG!$J$3:$J$36,MATCH(B3293,PEMAGANG!$C$3:$C$36,0)),H3293&lt;=INDEX(PEMAGANG!$K$3:$K$36,MATCH(B3293,PEMAGANG!$C$3:$C$36,0))),1,0),0)</f>
        <v>0</v>
      </c>
      <c r="W3293" s="71">
        <f t="shared" si="467"/>
        <v>0</v>
      </c>
    </row>
    <row r="3294" spans="1:23" x14ac:dyDescent="0.2">
      <c r="A3294" s="71" t="s">
        <v>700</v>
      </c>
      <c r="B3294" s="71" t="s">
        <v>701</v>
      </c>
      <c r="C3294" s="71" t="s">
        <v>187</v>
      </c>
      <c r="D3294" s="71" t="s">
        <v>421</v>
      </c>
      <c r="E3294" s="71" t="s">
        <v>422</v>
      </c>
      <c r="F3294" s="71" t="s">
        <v>298</v>
      </c>
      <c r="G3294" s="88">
        <v>46281.2413773148</v>
      </c>
      <c r="H3294" s="89">
        <v>46281</v>
      </c>
      <c r="I3294" s="71" t="s">
        <v>685</v>
      </c>
      <c r="J3294" s="71">
        <v>-103</v>
      </c>
      <c r="K3294" s="71" t="s">
        <v>302</v>
      </c>
      <c r="L3294" s="71">
        <f t="shared" si="459"/>
        <v>9</v>
      </c>
      <c r="M3294" s="71" t="str">
        <f>IFERROR(INDEX(KALENDER!$D$3:$D$132,MATCH(H3294,KALENDER!$A$3:$A$132,0)),"Di luar periode")</f>
        <v>Hari Kerja</v>
      </c>
      <c r="N3294" s="71">
        <f t="shared" si="460"/>
        <v>1</v>
      </c>
      <c r="O3294" s="71">
        <f t="shared" si="461"/>
        <v>1</v>
      </c>
      <c r="P3294" s="71">
        <f t="shared" si="462"/>
        <v>0</v>
      </c>
      <c r="Q3294" s="71">
        <f t="shared" si="463"/>
        <v>1</v>
      </c>
      <c r="R3294" s="71">
        <f t="shared" si="464"/>
        <v>0</v>
      </c>
      <c r="S3294" s="71">
        <f t="shared" si="465"/>
        <v>0</v>
      </c>
      <c r="T3294" s="71">
        <f t="shared" si="466"/>
        <v>0</v>
      </c>
      <c r="U3294" s="71">
        <f>IF(AND(N3294=1,V3294=1),IF(COUNTIFS(AKTIVITAS!$B$2:$B$3052,B3294,AKTIVITAS!$E$2:$E$3052,H3294)&gt;0,1,0),0)</f>
        <v>0</v>
      </c>
      <c r="V3294" s="71">
        <f>IFERROR(IF(AND(H3294&gt;=INDEX(PEMAGANG!$J$3:$J$36,MATCH(B3294,PEMAGANG!$C$3:$C$36,0)),H3294&lt;=INDEX(PEMAGANG!$K$3:$K$36,MATCH(B3294,PEMAGANG!$C$3:$C$36,0))),1,0),0)</f>
        <v>0</v>
      </c>
      <c r="W3294" s="71">
        <f t="shared" si="467"/>
        <v>0</v>
      </c>
    </row>
    <row r="3295" spans="1:23" x14ac:dyDescent="0.2">
      <c r="A3295" s="71" t="s">
        <v>700</v>
      </c>
      <c r="B3295" s="71" t="s">
        <v>701</v>
      </c>
      <c r="C3295" s="71" t="s">
        <v>187</v>
      </c>
      <c r="D3295" s="71" t="s">
        <v>421</v>
      </c>
      <c r="E3295" s="71" t="s">
        <v>422</v>
      </c>
      <c r="F3295" s="71" t="s">
        <v>300</v>
      </c>
      <c r="G3295" s="88">
        <v>46281.793622685203</v>
      </c>
      <c r="H3295" s="89">
        <v>46281</v>
      </c>
      <c r="I3295" s="71" t="s">
        <v>650</v>
      </c>
      <c r="J3295" s="71">
        <v>0</v>
      </c>
      <c r="K3295" s="71" t="s">
        <v>302</v>
      </c>
      <c r="L3295" s="71">
        <f t="shared" si="459"/>
        <v>9</v>
      </c>
      <c r="M3295" s="71" t="str">
        <f>IFERROR(INDEX(KALENDER!$D$3:$D$132,MATCH(H3295,KALENDER!$A$3:$A$132,0)),"Di luar periode")</f>
        <v>Hari Kerja</v>
      </c>
      <c r="N3295" s="71">
        <f t="shared" si="460"/>
        <v>0</v>
      </c>
      <c r="O3295" s="71">
        <f t="shared" si="461"/>
        <v>1</v>
      </c>
      <c r="P3295" s="71">
        <f t="shared" si="462"/>
        <v>0</v>
      </c>
      <c r="Q3295" s="71">
        <f t="shared" si="463"/>
        <v>0</v>
      </c>
      <c r="R3295" s="71">
        <f t="shared" si="464"/>
        <v>0</v>
      </c>
      <c r="S3295" s="71">
        <f t="shared" si="465"/>
        <v>0</v>
      </c>
      <c r="T3295" s="71">
        <f t="shared" si="466"/>
        <v>0</v>
      </c>
      <c r="U3295" s="71">
        <f>IF(AND(N3295=1,V3295=1),IF(COUNTIFS(AKTIVITAS!$B$2:$B$3052,B3295,AKTIVITAS!$E$2:$E$3052,H3295)&gt;0,1,0),0)</f>
        <v>0</v>
      </c>
      <c r="V3295" s="71">
        <f>IFERROR(IF(AND(H3295&gt;=INDEX(PEMAGANG!$J$3:$J$36,MATCH(B3295,PEMAGANG!$C$3:$C$36,0)),H3295&lt;=INDEX(PEMAGANG!$K$3:$K$36,MATCH(B3295,PEMAGANG!$C$3:$C$36,0))),1,0),0)</f>
        <v>0</v>
      </c>
      <c r="W3295" s="71">
        <f t="shared" si="467"/>
        <v>0</v>
      </c>
    </row>
    <row r="3296" spans="1:23" x14ac:dyDescent="0.2">
      <c r="A3296" s="71" t="s">
        <v>700</v>
      </c>
      <c r="B3296" s="71" t="s">
        <v>701</v>
      </c>
      <c r="C3296" s="71" t="s">
        <v>187</v>
      </c>
      <c r="D3296" s="71" t="s">
        <v>421</v>
      </c>
      <c r="E3296" s="71" t="s">
        <v>422</v>
      </c>
      <c r="F3296" s="71" t="s">
        <v>300</v>
      </c>
      <c r="G3296" s="88">
        <v>46282.793738425898</v>
      </c>
      <c r="H3296" s="89">
        <v>46282</v>
      </c>
      <c r="I3296" s="71" t="s">
        <v>650</v>
      </c>
      <c r="J3296" s="71">
        <v>0</v>
      </c>
      <c r="K3296" s="71" t="s">
        <v>302</v>
      </c>
      <c r="L3296" s="71">
        <f t="shared" si="459"/>
        <v>9</v>
      </c>
      <c r="M3296" s="71" t="str">
        <f>IFERROR(INDEX(KALENDER!$D$3:$D$132,MATCH(H3296,KALENDER!$A$3:$A$132,0)),"Di luar periode")</f>
        <v>Hari Kerja</v>
      </c>
      <c r="N3296" s="71">
        <f t="shared" si="460"/>
        <v>1</v>
      </c>
      <c r="O3296" s="71">
        <f t="shared" si="461"/>
        <v>0</v>
      </c>
      <c r="P3296" s="71">
        <f t="shared" si="462"/>
        <v>0</v>
      </c>
      <c r="Q3296" s="71">
        <f t="shared" si="463"/>
        <v>1</v>
      </c>
      <c r="R3296" s="71">
        <f t="shared" si="464"/>
        <v>0</v>
      </c>
      <c r="S3296" s="71">
        <f t="shared" si="465"/>
        <v>0</v>
      </c>
      <c r="T3296" s="71">
        <f t="shared" si="466"/>
        <v>0</v>
      </c>
      <c r="U3296" s="71">
        <f>IF(AND(N3296=1,V3296=1),IF(COUNTIFS(AKTIVITAS!$B$2:$B$3052,B3296,AKTIVITAS!$E$2:$E$3052,H3296)&gt;0,1,0),0)</f>
        <v>0</v>
      </c>
      <c r="V3296" s="71">
        <f>IFERROR(IF(AND(H3296&gt;=INDEX(PEMAGANG!$J$3:$J$36,MATCH(B3296,PEMAGANG!$C$3:$C$36,0)),H3296&lt;=INDEX(PEMAGANG!$K$3:$K$36,MATCH(B3296,PEMAGANG!$C$3:$C$36,0))),1,0),0)</f>
        <v>0</v>
      </c>
      <c r="W3296" s="71">
        <f t="shared" si="467"/>
        <v>0</v>
      </c>
    </row>
    <row r="3297" spans="1:23" x14ac:dyDescent="0.2">
      <c r="A3297" s="71" t="s">
        <v>700</v>
      </c>
      <c r="B3297" s="71" t="s">
        <v>701</v>
      </c>
      <c r="C3297" s="71" t="s">
        <v>187</v>
      </c>
      <c r="D3297" s="71" t="s">
        <v>421</v>
      </c>
      <c r="E3297" s="71" t="s">
        <v>422</v>
      </c>
      <c r="F3297" s="71" t="s">
        <v>298</v>
      </c>
      <c r="G3297" s="88">
        <v>46283.2323032407</v>
      </c>
      <c r="H3297" s="89">
        <v>46283</v>
      </c>
      <c r="I3297" s="71" t="s">
        <v>740</v>
      </c>
      <c r="J3297" s="71">
        <v>-116</v>
      </c>
      <c r="K3297" s="71" t="s">
        <v>302</v>
      </c>
      <c r="L3297" s="71">
        <f t="shared" si="459"/>
        <v>9</v>
      </c>
      <c r="M3297" s="71" t="str">
        <f>IFERROR(INDEX(KALENDER!$D$3:$D$132,MATCH(H3297,KALENDER!$A$3:$A$132,0)),"Di luar periode")</f>
        <v>Hari Kerja</v>
      </c>
      <c r="N3297" s="71">
        <f t="shared" si="460"/>
        <v>1</v>
      </c>
      <c r="O3297" s="71">
        <f t="shared" si="461"/>
        <v>1</v>
      </c>
      <c r="P3297" s="71">
        <f t="shared" si="462"/>
        <v>0</v>
      </c>
      <c r="Q3297" s="71">
        <f t="shared" si="463"/>
        <v>1</v>
      </c>
      <c r="R3297" s="71">
        <f t="shared" si="464"/>
        <v>0</v>
      </c>
      <c r="S3297" s="71">
        <f t="shared" si="465"/>
        <v>0</v>
      </c>
      <c r="T3297" s="71">
        <f t="shared" si="466"/>
        <v>0</v>
      </c>
      <c r="U3297" s="71">
        <f>IF(AND(N3297=1,V3297=1),IF(COUNTIFS(AKTIVITAS!$B$2:$B$3052,B3297,AKTIVITAS!$E$2:$E$3052,H3297)&gt;0,1,0),0)</f>
        <v>0</v>
      </c>
      <c r="V3297" s="71">
        <f>IFERROR(IF(AND(H3297&gt;=INDEX(PEMAGANG!$J$3:$J$36,MATCH(B3297,PEMAGANG!$C$3:$C$36,0)),H3297&lt;=INDEX(PEMAGANG!$K$3:$K$36,MATCH(B3297,PEMAGANG!$C$3:$C$36,0))),1,0),0)</f>
        <v>0</v>
      </c>
      <c r="W3297" s="71">
        <f t="shared" si="467"/>
        <v>0</v>
      </c>
    </row>
    <row r="3298" spans="1:23" x14ac:dyDescent="0.2">
      <c r="A3298" s="71" t="s">
        <v>700</v>
      </c>
      <c r="B3298" s="71" t="s">
        <v>701</v>
      </c>
      <c r="C3298" s="71" t="s">
        <v>187</v>
      </c>
      <c r="D3298" s="71" t="s">
        <v>421</v>
      </c>
      <c r="E3298" s="71" t="s">
        <v>422</v>
      </c>
      <c r="F3298" s="71" t="s">
        <v>300</v>
      </c>
      <c r="G3298" s="88">
        <v>46283.630347222199</v>
      </c>
      <c r="H3298" s="89">
        <v>46283</v>
      </c>
      <c r="I3298" s="71" t="s">
        <v>710</v>
      </c>
      <c r="J3298" s="71">
        <v>0</v>
      </c>
      <c r="K3298" s="71" t="s">
        <v>302</v>
      </c>
      <c r="L3298" s="71">
        <f t="shared" si="459"/>
        <v>9</v>
      </c>
      <c r="M3298" s="71" t="str">
        <f>IFERROR(INDEX(KALENDER!$D$3:$D$132,MATCH(H3298,KALENDER!$A$3:$A$132,0)),"Di luar periode")</f>
        <v>Hari Kerja</v>
      </c>
      <c r="N3298" s="71">
        <f t="shared" si="460"/>
        <v>0</v>
      </c>
      <c r="O3298" s="71">
        <f t="shared" si="461"/>
        <v>1</v>
      </c>
      <c r="P3298" s="71">
        <f t="shared" si="462"/>
        <v>0</v>
      </c>
      <c r="Q3298" s="71">
        <f t="shared" si="463"/>
        <v>0</v>
      </c>
      <c r="R3298" s="71">
        <f t="shared" si="464"/>
        <v>0</v>
      </c>
      <c r="S3298" s="71">
        <f t="shared" si="465"/>
        <v>0</v>
      </c>
      <c r="T3298" s="71">
        <f t="shared" si="466"/>
        <v>0</v>
      </c>
      <c r="U3298" s="71">
        <f>IF(AND(N3298=1,V3298=1),IF(COUNTIFS(AKTIVITAS!$B$2:$B$3052,B3298,AKTIVITAS!$E$2:$E$3052,H3298)&gt;0,1,0),0)</f>
        <v>0</v>
      </c>
      <c r="V3298" s="71">
        <f>IFERROR(IF(AND(H3298&gt;=INDEX(PEMAGANG!$J$3:$J$36,MATCH(B3298,PEMAGANG!$C$3:$C$36,0)),H3298&lt;=INDEX(PEMAGANG!$K$3:$K$36,MATCH(B3298,PEMAGANG!$C$3:$C$36,0))),1,0),0)</f>
        <v>0</v>
      </c>
      <c r="W3298" s="71">
        <f t="shared" si="467"/>
        <v>0</v>
      </c>
    </row>
    <row r="3299" spans="1:23" x14ac:dyDescent="0.2">
      <c r="A3299" s="71" t="s">
        <v>700</v>
      </c>
      <c r="B3299" s="71" t="s">
        <v>701</v>
      </c>
      <c r="C3299" s="71" t="s">
        <v>187</v>
      </c>
      <c r="D3299" s="71" t="s">
        <v>421</v>
      </c>
      <c r="E3299" s="71" t="s">
        <v>422</v>
      </c>
      <c r="F3299" s="71" t="s">
        <v>298</v>
      </c>
      <c r="G3299" s="88">
        <v>46284.233483796299</v>
      </c>
      <c r="H3299" s="89">
        <v>46284</v>
      </c>
      <c r="I3299" s="71" t="s">
        <v>741</v>
      </c>
      <c r="J3299" s="71">
        <v>-114</v>
      </c>
      <c r="K3299" s="71" t="s">
        <v>302</v>
      </c>
      <c r="L3299" s="71">
        <f t="shared" si="459"/>
        <v>9</v>
      </c>
      <c r="M3299" s="71" t="str">
        <f>IFERROR(INDEX(KALENDER!$D$3:$D$132,MATCH(H3299,KALENDER!$A$3:$A$132,0)),"Di luar periode")</f>
        <v>Libur (Sabtu/Minggu)</v>
      </c>
      <c r="N3299" s="71">
        <f t="shared" si="460"/>
        <v>1</v>
      </c>
      <c r="O3299" s="71">
        <f t="shared" si="461"/>
        <v>1</v>
      </c>
      <c r="P3299" s="71">
        <f t="shared" si="462"/>
        <v>0</v>
      </c>
      <c r="Q3299" s="71">
        <f t="shared" si="463"/>
        <v>1</v>
      </c>
      <c r="R3299" s="71">
        <f t="shared" si="464"/>
        <v>0</v>
      </c>
      <c r="S3299" s="71">
        <f t="shared" si="465"/>
        <v>0</v>
      </c>
      <c r="T3299" s="71">
        <f t="shared" si="466"/>
        <v>0</v>
      </c>
      <c r="U3299" s="71">
        <f>IF(AND(N3299=1,V3299=1),IF(COUNTIFS(AKTIVITAS!$B$2:$B$3052,B3299,AKTIVITAS!$E$2:$E$3052,H3299)&gt;0,1,0),0)</f>
        <v>0</v>
      </c>
      <c r="V3299" s="71">
        <f>IFERROR(IF(AND(H3299&gt;=INDEX(PEMAGANG!$J$3:$J$36,MATCH(B3299,PEMAGANG!$C$3:$C$36,0)),H3299&lt;=INDEX(PEMAGANG!$K$3:$K$36,MATCH(B3299,PEMAGANG!$C$3:$C$36,0))),1,0),0)</f>
        <v>0</v>
      </c>
      <c r="W3299" s="71">
        <f t="shared" si="467"/>
        <v>0</v>
      </c>
    </row>
    <row r="3300" spans="1:23" x14ac:dyDescent="0.2">
      <c r="A3300" s="71" t="s">
        <v>700</v>
      </c>
      <c r="B3300" s="71" t="s">
        <v>701</v>
      </c>
      <c r="C3300" s="71" t="s">
        <v>187</v>
      </c>
      <c r="D3300" s="71" t="s">
        <v>421</v>
      </c>
      <c r="E3300" s="71" t="s">
        <v>422</v>
      </c>
      <c r="F3300" s="71" t="s">
        <v>300</v>
      </c>
      <c r="G3300" s="88">
        <v>46284.810023148202</v>
      </c>
      <c r="H3300" s="89">
        <v>46284</v>
      </c>
      <c r="I3300" s="71" t="s">
        <v>742</v>
      </c>
      <c r="J3300" s="71">
        <v>0</v>
      </c>
      <c r="K3300" s="71" t="s">
        <v>302</v>
      </c>
      <c r="L3300" s="71">
        <f t="shared" si="459"/>
        <v>9</v>
      </c>
      <c r="M3300" s="71" t="str">
        <f>IFERROR(INDEX(KALENDER!$D$3:$D$132,MATCH(H3300,KALENDER!$A$3:$A$132,0)),"Di luar periode")</f>
        <v>Libur (Sabtu/Minggu)</v>
      </c>
      <c r="N3300" s="71">
        <f t="shared" si="460"/>
        <v>0</v>
      </c>
      <c r="O3300" s="71">
        <f t="shared" si="461"/>
        <v>1</v>
      </c>
      <c r="P3300" s="71">
        <f t="shared" si="462"/>
        <v>0</v>
      </c>
      <c r="Q3300" s="71">
        <f t="shared" si="463"/>
        <v>0</v>
      </c>
      <c r="R3300" s="71">
        <f t="shared" si="464"/>
        <v>0</v>
      </c>
      <c r="S3300" s="71">
        <f t="shared" si="465"/>
        <v>0</v>
      </c>
      <c r="T3300" s="71">
        <f t="shared" si="466"/>
        <v>0</v>
      </c>
      <c r="U3300" s="71">
        <f>IF(AND(N3300=1,V3300=1),IF(COUNTIFS(AKTIVITAS!$B$2:$B$3052,B3300,AKTIVITAS!$E$2:$E$3052,H3300)&gt;0,1,0),0)</f>
        <v>0</v>
      </c>
      <c r="V3300" s="71">
        <f>IFERROR(IF(AND(H3300&gt;=INDEX(PEMAGANG!$J$3:$J$36,MATCH(B3300,PEMAGANG!$C$3:$C$36,0)),H3300&lt;=INDEX(PEMAGANG!$K$3:$K$36,MATCH(B3300,PEMAGANG!$C$3:$C$36,0))),1,0),0)</f>
        <v>0</v>
      </c>
      <c r="W3300" s="71">
        <f t="shared" si="467"/>
        <v>0</v>
      </c>
    </row>
    <row r="3301" spans="1:23" x14ac:dyDescent="0.2">
      <c r="A3301" s="71" t="s">
        <v>700</v>
      </c>
      <c r="B3301" s="71" t="s">
        <v>701</v>
      </c>
      <c r="C3301" s="71" t="s">
        <v>187</v>
      </c>
      <c r="D3301" s="71" t="s">
        <v>421</v>
      </c>
      <c r="E3301" s="71" t="s">
        <v>422</v>
      </c>
      <c r="F3301" s="71" t="s">
        <v>298</v>
      </c>
      <c r="G3301" s="88">
        <v>46285.237708333298</v>
      </c>
      <c r="H3301" s="89">
        <v>46285</v>
      </c>
      <c r="I3301" s="71" t="s">
        <v>682</v>
      </c>
      <c r="J3301" s="71">
        <v>-108</v>
      </c>
      <c r="K3301" s="71" t="s">
        <v>302</v>
      </c>
      <c r="L3301" s="71">
        <f t="shared" si="459"/>
        <v>9</v>
      </c>
      <c r="M3301" s="71" t="str">
        <f>IFERROR(INDEX(KALENDER!$D$3:$D$132,MATCH(H3301,KALENDER!$A$3:$A$132,0)),"Di luar periode")</f>
        <v>Libur (Sabtu/Minggu)</v>
      </c>
      <c r="N3301" s="71">
        <f t="shared" si="460"/>
        <v>1</v>
      </c>
      <c r="O3301" s="71">
        <f t="shared" si="461"/>
        <v>1</v>
      </c>
      <c r="P3301" s="71">
        <f t="shared" si="462"/>
        <v>0</v>
      </c>
      <c r="Q3301" s="71">
        <f t="shared" si="463"/>
        <v>1</v>
      </c>
      <c r="R3301" s="71">
        <f t="shared" si="464"/>
        <v>0</v>
      </c>
      <c r="S3301" s="71">
        <f t="shared" si="465"/>
        <v>0</v>
      </c>
      <c r="T3301" s="71">
        <f t="shared" si="466"/>
        <v>0</v>
      </c>
      <c r="U3301" s="71">
        <f>IF(AND(N3301=1,V3301=1),IF(COUNTIFS(AKTIVITAS!$B$2:$B$3052,B3301,AKTIVITAS!$E$2:$E$3052,H3301)&gt;0,1,0),0)</f>
        <v>0</v>
      </c>
      <c r="V3301" s="71">
        <f>IFERROR(IF(AND(H3301&gt;=INDEX(PEMAGANG!$J$3:$J$36,MATCH(B3301,PEMAGANG!$C$3:$C$36,0)),H3301&lt;=INDEX(PEMAGANG!$K$3:$K$36,MATCH(B3301,PEMAGANG!$C$3:$C$36,0))),1,0),0)</f>
        <v>0</v>
      </c>
      <c r="W3301" s="71">
        <f t="shared" si="467"/>
        <v>0</v>
      </c>
    </row>
    <row r="3302" spans="1:23" x14ac:dyDescent="0.2">
      <c r="A3302" s="71" t="s">
        <v>700</v>
      </c>
      <c r="B3302" s="71" t="s">
        <v>701</v>
      </c>
      <c r="C3302" s="71" t="s">
        <v>187</v>
      </c>
      <c r="D3302" s="71" t="s">
        <v>421</v>
      </c>
      <c r="E3302" s="71" t="s">
        <v>422</v>
      </c>
      <c r="F3302" s="71" t="s">
        <v>300</v>
      </c>
      <c r="G3302" s="88">
        <v>46285.792326388902</v>
      </c>
      <c r="H3302" s="89">
        <v>46285</v>
      </c>
      <c r="I3302" s="71" t="s">
        <v>743</v>
      </c>
      <c r="J3302" s="71">
        <v>0</v>
      </c>
      <c r="K3302" s="71" t="s">
        <v>302</v>
      </c>
      <c r="L3302" s="71">
        <f t="shared" si="459"/>
        <v>9</v>
      </c>
      <c r="M3302" s="71" t="str">
        <f>IFERROR(INDEX(KALENDER!$D$3:$D$132,MATCH(H3302,KALENDER!$A$3:$A$132,0)),"Di luar periode")</f>
        <v>Libur (Sabtu/Minggu)</v>
      </c>
      <c r="N3302" s="71">
        <f t="shared" si="460"/>
        <v>0</v>
      </c>
      <c r="O3302" s="71">
        <f t="shared" si="461"/>
        <v>1</v>
      </c>
      <c r="P3302" s="71">
        <f t="shared" si="462"/>
        <v>0</v>
      </c>
      <c r="Q3302" s="71">
        <f t="shared" si="463"/>
        <v>0</v>
      </c>
      <c r="R3302" s="71">
        <f t="shared" si="464"/>
        <v>0</v>
      </c>
      <c r="S3302" s="71">
        <f t="shared" si="465"/>
        <v>0</v>
      </c>
      <c r="T3302" s="71">
        <f t="shared" si="466"/>
        <v>0</v>
      </c>
      <c r="U3302" s="71">
        <f>IF(AND(N3302=1,V3302=1),IF(COUNTIFS(AKTIVITAS!$B$2:$B$3052,B3302,AKTIVITAS!$E$2:$E$3052,H3302)&gt;0,1,0),0)</f>
        <v>0</v>
      </c>
      <c r="V3302" s="71">
        <f>IFERROR(IF(AND(H3302&gt;=INDEX(PEMAGANG!$J$3:$J$36,MATCH(B3302,PEMAGANG!$C$3:$C$36,0)),H3302&lt;=INDEX(PEMAGANG!$K$3:$K$36,MATCH(B3302,PEMAGANG!$C$3:$C$36,0))),1,0),0)</f>
        <v>0</v>
      </c>
      <c r="W3302" s="71">
        <f t="shared" si="467"/>
        <v>0</v>
      </c>
    </row>
    <row r="3303" spans="1:23" x14ac:dyDescent="0.2">
      <c r="A3303" s="71" t="s">
        <v>700</v>
      </c>
      <c r="B3303" s="71" t="s">
        <v>701</v>
      </c>
      <c r="C3303" s="71" t="s">
        <v>187</v>
      </c>
      <c r="D3303" s="71" t="s">
        <v>421</v>
      </c>
      <c r="E3303" s="71" t="s">
        <v>422</v>
      </c>
      <c r="F3303" s="71" t="s">
        <v>298</v>
      </c>
      <c r="G3303" s="88">
        <v>46287.228576388901</v>
      </c>
      <c r="H3303" s="89">
        <v>46287</v>
      </c>
      <c r="I3303" s="71" t="s">
        <v>730</v>
      </c>
      <c r="J3303" s="71">
        <v>-121</v>
      </c>
      <c r="K3303" s="71" t="s">
        <v>302</v>
      </c>
      <c r="L3303" s="71">
        <f t="shared" si="459"/>
        <v>9</v>
      </c>
      <c r="M3303" s="71" t="str">
        <f>IFERROR(INDEX(KALENDER!$D$3:$D$132,MATCH(H3303,KALENDER!$A$3:$A$132,0)),"Di luar periode")</f>
        <v>Hari Kerja</v>
      </c>
      <c r="N3303" s="71">
        <f t="shared" si="460"/>
        <v>1</v>
      </c>
      <c r="O3303" s="71">
        <f t="shared" si="461"/>
        <v>1</v>
      </c>
      <c r="P3303" s="71">
        <f t="shared" si="462"/>
        <v>0</v>
      </c>
      <c r="Q3303" s="71">
        <f t="shared" si="463"/>
        <v>1</v>
      </c>
      <c r="R3303" s="71">
        <f t="shared" si="464"/>
        <v>0</v>
      </c>
      <c r="S3303" s="71">
        <f t="shared" si="465"/>
        <v>0</v>
      </c>
      <c r="T3303" s="71">
        <f t="shared" si="466"/>
        <v>0</v>
      </c>
      <c r="U3303" s="71">
        <f>IF(AND(N3303=1,V3303=1),IF(COUNTIFS(AKTIVITAS!$B$2:$B$3052,B3303,AKTIVITAS!$E$2:$E$3052,H3303)&gt;0,1,0),0)</f>
        <v>0</v>
      </c>
      <c r="V3303" s="71">
        <f>IFERROR(IF(AND(H3303&gt;=INDEX(PEMAGANG!$J$3:$J$36,MATCH(B3303,PEMAGANG!$C$3:$C$36,0)),H3303&lt;=INDEX(PEMAGANG!$K$3:$K$36,MATCH(B3303,PEMAGANG!$C$3:$C$36,0))),1,0),0)</f>
        <v>0</v>
      </c>
      <c r="W3303" s="71">
        <f t="shared" si="467"/>
        <v>0</v>
      </c>
    </row>
    <row r="3304" spans="1:23" x14ac:dyDescent="0.2">
      <c r="A3304" s="71" t="s">
        <v>700</v>
      </c>
      <c r="B3304" s="71" t="s">
        <v>701</v>
      </c>
      <c r="C3304" s="71" t="s">
        <v>187</v>
      </c>
      <c r="D3304" s="71" t="s">
        <v>421</v>
      </c>
      <c r="E3304" s="71" t="s">
        <v>422</v>
      </c>
      <c r="F3304" s="71" t="s">
        <v>300</v>
      </c>
      <c r="G3304" s="88">
        <v>46287.630104166703</v>
      </c>
      <c r="H3304" s="89">
        <v>46287</v>
      </c>
      <c r="I3304" s="71" t="s">
        <v>710</v>
      </c>
      <c r="J3304" s="71">
        <v>0</v>
      </c>
      <c r="K3304" s="71" t="s">
        <v>302</v>
      </c>
      <c r="L3304" s="71">
        <f t="shared" si="459"/>
        <v>9</v>
      </c>
      <c r="M3304" s="71" t="str">
        <f>IFERROR(INDEX(KALENDER!$D$3:$D$132,MATCH(H3304,KALENDER!$A$3:$A$132,0)),"Di luar periode")</f>
        <v>Hari Kerja</v>
      </c>
      <c r="N3304" s="71">
        <f t="shared" si="460"/>
        <v>0</v>
      </c>
      <c r="O3304" s="71">
        <f t="shared" si="461"/>
        <v>1</v>
      </c>
      <c r="P3304" s="71">
        <f t="shared" si="462"/>
        <v>0</v>
      </c>
      <c r="Q3304" s="71">
        <f t="shared" si="463"/>
        <v>0</v>
      </c>
      <c r="R3304" s="71">
        <f t="shared" si="464"/>
        <v>0</v>
      </c>
      <c r="S3304" s="71">
        <f t="shared" si="465"/>
        <v>0</v>
      </c>
      <c r="T3304" s="71">
        <f t="shared" si="466"/>
        <v>0</v>
      </c>
      <c r="U3304" s="71">
        <f>IF(AND(N3304=1,V3304=1),IF(COUNTIFS(AKTIVITAS!$B$2:$B$3052,B3304,AKTIVITAS!$E$2:$E$3052,H3304)&gt;0,1,0),0)</f>
        <v>0</v>
      </c>
      <c r="V3304" s="71">
        <f>IFERROR(IF(AND(H3304&gt;=INDEX(PEMAGANG!$J$3:$J$36,MATCH(B3304,PEMAGANG!$C$3:$C$36,0)),H3304&lt;=INDEX(PEMAGANG!$K$3:$K$36,MATCH(B3304,PEMAGANG!$C$3:$C$36,0))),1,0),0)</f>
        <v>0</v>
      </c>
      <c r="W3304" s="71">
        <f t="shared" si="467"/>
        <v>0</v>
      </c>
    </row>
    <row r="3305" spans="1:23" x14ac:dyDescent="0.2">
      <c r="A3305" s="71" t="s">
        <v>700</v>
      </c>
      <c r="B3305" s="71" t="s">
        <v>701</v>
      </c>
      <c r="C3305" s="71" t="s">
        <v>187</v>
      </c>
      <c r="D3305" s="71" t="s">
        <v>421</v>
      </c>
      <c r="E3305" s="71" t="s">
        <v>422</v>
      </c>
      <c r="F3305" s="71" t="s">
        <v>300</v>
      </c>
      <c r="G3305" s="88">
        <v>46288.6266666667</v>
      </c>
      <c r="H3305" s="89">
        <v>46288</v>
      </c>
      <c r="I3305" s="71" t="s">
        <v>712</v>
      </c>
      <c r="J3305" s="71">
        <v>0</v>
      </c>
      <c r="K3305" s="71" t="s">
        <v>302</v>
      </c>
      <c r="L3305" s="71">
        <f t="shared" si="459"/>
        <v>9</v>
      </c>
      <c r="M3305" s="71" t="str">
        <f>IFERROR(INDEX(KALENDER!$D$3:$D$132,MATCH(H3305,KALENDER!$A$3:$A$132,0)),"Di luar periode")</f>
        <v>Hari Kerja</v>
      </c>
      <c r="N3305" s="71">
        <f t="shared" si="460"/>
        <v>1</v>
      </c>
      <c r="O3305" s="71">
        <f t="shared" si="461"/>
        <v>0</v>
      </c>
      <c r="P3305" s="71">
        <f t="shared" si="462"/>
        <v>0</v>
      </c>
      <c r="Q3305" s="71">
        <f t="shared" si="463"/>
        <v>1</v>
      </c>
      <c r="R3305" s="71">
        <f t="shared" si="464"/>
        <v>0</v>
      </c>
      <c r="S3305" s="71">
        <f t="shared" si="465"/>
        <v>0</v>
      </c>
      <c r="T3305" s="71">
        <f t="shared" si="466"/>
        <v>0</v>
      </c>
      <c r="U3305" s="71">
        <f>IF(AND(N3305=1,V3305=1),IF(COUNTIFS(AKTIVITAS!$B$2:$B$3052,B3305,AKTIVITAS!$E$2:$E$3052,H3305)&gt;0,1,0),0)</f>
        <v>0</v>
      </c>
      <c r="V3305" s="71">
        <f>IFERROR(IF(AND(H3305&gt;=INDEX(PEMAGANG!$J$3:$J$36,MATCH(B3305,PEMAGANG!$C$3:$C$36,0)),H3305&lt;=INDEX(PEMAGANG!$K$3:$K$36,MATCH(B3305,PEMAGANG!$C$3:$C$36,0))),1,0),0)</f>
        <v>0</v>
      </c>
      <c r="W3305" s="71">
        <f t="shared" si="467"/>
        <v>0</v>
      </c>
    </row>
    <row r="3306" spans="1:23" x14ac:dyDescent="0.2">
      <c r="A3306" s="71" t="s">
        <v>700</v>
      </c>
      <c r="B3306" s="71" t="s">
        <v>701</v>
      </c>
      <c r="C3306" s="71" t="s">
        <v>187</v>
      </c>
      <c r="D3306" s="71" t="s">
        <v>421</v>
      </c>
      <c r="E3306" s="71" t="s">
        <v>422</v>
      </c>
      <c r="F3306" s="71" t="s">
        <v>298</v>
      </c>
      <c r="G3306" s="88">
        <v>46289.232361111099</v>
      </c>
      <c r="H3306" s="89">
        <v>46289</v>
      </c>
      <c r="I3306" s="71" t="s">
        <v>740</v>
      </c>
      <c r="J3306" s="71">
        <v>-116</v>
      </c>
      <c r="K3306" s="71" t="s">
        <v>302</v>
      </c>
      <c r="L3306" s="71">
        <f t="shared" si="459"/>
        <v>9</v>
      </c>
      <c r="M3306" s="71" t="str">
        <f>IFERROR(INDEX(KALENDER!$D$3:$D$132,MATCH(H3306,KALENDER!$A$3:$A$132,0)),"Di luar periode")</f>
        <v>Hari Kerja</v>
      </c>
      <c r="N3306" s="71">
        <f t="shared" si="460"/>
        <v>1</v>
      </c>
      <c r="O3306" s="71">
        <f t="shared" si="461"/>
        <v>1</v>
      </c>
      <c r="P3306" s="71">
        <f t="shared" si="462"/>
        <v>0</v>
      </c>
      <c r="Q3306" s="71">
        <f t="shared" si="463"/>
        <v>1</v>
      </c>
      <c r="R3306" s="71">
        <f t="shared" si="464"/>
        <v>0</v>
      </c>
      <c r="S3306" s="71">
        <f t="shared" si="465"/>
        <v>0</v>
      </c>
      <c r="T3306" s="71">
        <f t="shared" si="466"/>
        <v>0</v>
      </c>
      <c r="U3306" s="71">
        <f>IF(AND(N3306=1,V3306=1),IF(COUNTIFS(AKTIVITAS!$B$2:$B$3052,B3306,AKTIVITAS!$E$2:$E$3052,H3306)&gt;0,1,0),0)</f>
        <v>0</v>
      </c>
      <c r="V3306" s="71">
        <f>IFERROR(IF(AND(H3306&gt;=INDEX(PEMAGANG!$J$3:$J$36,MATCH(B3306,PEMAGANG!$C$3:$C$36,0)),H3306&lt;=INDEX(PEMAGANG!$K$3:$K$36,MATCH(B3306,PEMAGANG!$C$3:$C$36,0))),1,0),0)</f>
        <v>0</v>
      </c>
      <c r="W3306" s="71">
        <f t="shared" si="467"/>
        <v>0</v>
      </c>
    </row>
    <row r="3307" spans="1:23" x14ac:dyDescent="0.2">
      <c r="A3307" s="71" t="s">
        <v>700</v>
      </c>
      <c r="B3307" s="71" t="s">
        <v>701</v>
      </c>
      <c r="C3307" s="71" t="s">
        <v>187</v>
      </c>
      <c r="D3307" s="71" t="s">
        <v>421</v>
      </c>
      <c r="E3307" s="71" t="s">
        <v>422</v>
      </c>
      <c r="F3307" s="71" t="s">
        <v>300</v>
      </c>
      <c r="G3307" s="88">
        <v>46289.626944444499</v>
      </c>
      <c r="H3307" s="89">
        <v>46289</v>
      </c>
      <c r="I3307" s="71" t="s">
        <v>712</v>
      </c>
      <c r="J3307" s="71">
        <v>0</v>
      </c>
      <c r="K3307" s="71" t="s">
        <v>302</v>
      </c>
      <c r="L3307" s="71">
        <f t="shared" si="459"/>
        <v>9</v>
      </c>
      <c r="M3307" s="71" t="str">
        <f>IFERROR(INDEX(KALENDER!$D$3:$D$132,MATCH(H3307,KALENDER!$A$3:$A$132,0)),"Di luar periode")</f>
        <v>Hari Kerja</v>
      </c>
      <c r="N3307" s="71">
        <f t="shared" si="460"/>
        <v>0</v>
      </c>
      <c r="O3307" s="71">
        <f t="shared" si="461"/>
        <v>1</v>
      </c>
      <c r="P3307" s="71">
        <f t="shared" si="462"/>
        <v>0</v>
      </c>
      <c r="Q3307" s="71">
        <f t="shared" si="463"/>
        <v>0</v>
      </c>
      <c r="R3307" s="71">
        <f t="shared" si="464"/>
        <v>0</v>
      </c>
      <c r="S3307" s="71">
        <f t="shared" si="465"/>
        <v>0</v>
      </c>
      <c r="T3307" s="71">
        <f t="shared" si="466"/>
        <v>0</v>
      </c>
      <c r="U3307" s="71">
        <f>IF(AND(N3307=1,V3307=1),IF(COUNTIFS(AKTIVITAS!$B$2:$B$3052,B3307,AKTIVITAS!$E$2:$E$3052,H3307)&gt;0,1,0),0)</f>
        <v>0</v>
      </c>
      <c r="V3307" s="71">
        <f>IFERROR(IF(AND(H3307&gt;=INDEX(PEMAGANG!$J$3:$J$36,MATCH(B3307,PEMAGANG!$C$3:$C$36,0)),H3307&lt;=INDEX(PEMAGANG!$K$3:$K$36,MATCH(B3307,PEMAGANG!$C$3:$C$36,0))),1,0),0)</f>
        <v>0</v>
      </c>
      <c r="W3307" s="71">
        <f t="shared" si="467"/>
        <v>0</v>
      </c>
    </row>
    <row r="3308" spans="1:23" x14ac:dyDescent="0.2">
      <c r="A3308" s="71" t="s">
        <v>700</v>
      </c>
      <c r="B3308" s="71" t="s">
        <v>701</v>
      </c>
      <c r="C3308" s="71" t="s">
        <v>187</v>
      </c>
      <c r="D3308" s="71" t="s">
        <v>421</v>
      </c>
      <c r="E3308" s="71" t="s">
        <v>422</v>
      </c>
      <c r="F3308" s="71" t="s">
        <v>298</v>
      </c>
      <c r="G3308" s="88">
        <v>46290.235567129603</v>
      </c>
      <c r="H3308" s="89">
        <v>46290</v>
      </c>
      <c r="I3308" s="71" t="s">
        <v>688</v>
      </c>
      <c r="J3308" s="71">
        <v>-111</v>
      </c>
      <c r="K3308" s="71" t="s">
        <v>302</v>
      </c>
      <c r="L3308" s="71">
        <f t="shared" si="459"/>
        <v>9</v>
      </c>
      <c r="M3308" s="71" t="str">
        <f>IFERROR(INDEX(KALENDER!$D$3:$D$132,MATCH(H3308,KALENDER!$A$3:$A$132,0)),"Di luar periode")</f>
        <v>Hari Kerja</v>
      </c>
      <c r="N3308" s="71">
        <f t="shared" si="460"/>
        <v>1</v>
      </c>
      <c r="O3308" s="71">
        <f t="shared" si="461"/>
        <v>1</v>
      </c>
      <c r="P3308" s="71">
        <f t="shared" si="462"/>
        <v>0</v>
      </c>
      <c r="Q3308" s="71">
        <f t="shared" si="463"/>
        <v>1</v>
      </c>
      <c r="R3308" s="71">
        <f t="shared" si="464"/>
        <v>0</v>
      </c>
      <c r="S3308" s="71">
        <f t="shared" si="465"/>
        <v>0</v>
      </c>
      <c r="T3308" s="71">
        <f t="shared" si="466"/>
        <v>0</v>
      </c>
      <c r="U3308" s="71">
        <f>IF(AND(N3308=1,V3308=1),IF(COUNTIFS(AKTIVITAS!$B$2:$B$3052,B3308,AKTIVITAS!$E$2:$E$3052,H3308)&gt;0,1,0),0)</f>
        <v>0</v>
      </c>
      <c r="V3308" s="71">
        <f>IFERROR(IF(AND(H3308&gt;=INDEX(PEMAGANG!$J$3:$J$36,MATCH(B3308,PEMAGANG!$C$3:$C$36,0)),H3308&lt;=INDEX(PEMAGANG!$K$3:$K$36,MATCH(B3308,PEMAGANG!$C$3:$C$36,0))),1,0),0)</f>
        <v>0</v>
      </c>
      <c r="W3308" s="71">
        <f t="shared" si="467"/>
        <v>0</v>
      </c>
    </row>
    <row r="3309" spans="1:23" x14ac:dyDescent="0.2">
      <c r="A3309" s="71" t="s">
        <v>700</v>
      </c>
      <c r="B3309" s="71" t="s">
        <v>701</v>
      </c>
      <c r="C3309" s="71" t="s">
        <v>187</v>
      </c>
      <c r="D3309" s="71" t="s">
        <v>421</v>
      </c>
      <c r="E3309" s="71" t="s">
        <v>422</v>
      </c>
      <c r="F3309" s="71" t="s">
        <v>300</v>
      </c>
      <c r="G3309" s="88">
        <v>46290.630127314798</v>
      </c>
      <c r="H3309" s="89">
        <v>46290</v>
      </c>
      <c r="I3309" s="71" t="s">
        <v>710</v>
      </c>
      <c r="J3309" s="71">
        <v>0</v>
      </c>
      <c r="K3309" s="71" t="s">
        <v>302</v>
      </c>
      <c r="L3309" s="71">
        <f t="shared" si="459"/>
        <v>9</v>
      </c>
      <c r="M3309" s="71" t="str">
        <f>IFERROR(INDEX(KALENDER!$D$3:$D$132,MATCH(H3309,KALENDER!$A$3:$A$132,0)),"Di luar periode")</f>
        <v>Hari Kerja</v>
      </c>
      <c r="N3309" s="71">
        <f t="shared" si="460"/>
        <v>0</v>
      </c>
      <c r="O3309" s="71">
        <f t="shared" si="461"/>
        <v>1</v>
      </c>
      <c r="P3309" s="71">
        <f t="shared" si="462"/>
        <v>0</v>
      </c>
      <c r="Q3309" s="71">
        <f t="shared" si="463"/>
        <v>0</v>
      </c>
      <c r="R3309" s="71">
        <f t="shared" si="464"/>
        <v>0</v>
      </c>
      <c r="S3309" s="71">
        <f t="shared" si="465"/>
        <v>0</v>
      </c>
      <c r="T3309" s="71">
        <f t="shared" si="466"/>
        <v>0</v>
      </c>
      <c r="U3309" s="71">
        <f>IF(AND(N3309=1,V3309=1),IF(COUNTIFS(AKTIVITAS!$B$2:$B$3052,B3309,AKTIVITAS!$E$2:$E$3052,H3309)&gt;0,1,0),0)</f>
        <v>0</v>
      </c>
      <c r="V3309" s="71">
        <f>IFERROR(IF(AND(H3309&gt;=INDEX(PEMAGANG!$J$3:$J$36,MATCH(B3309,PEMAGANG!$C$3:$C$36,0)),H3309&lt;=INDEX(PEMAGANG!$K$3:$K$36,MATCH(B3309,PEMAGANG!$C$3:$C$36,0))),1,0),0)</f>
        <v>0</v>
      </c>
      <c r="W3309" s="71">
        <f t="shared" si="467"/>
        <v>0</v>
      </c>
    </row>
    <row r="3310" spans="1:23" x14ac:dyDescent="0.2">
      <c r="A3310" s="71" t="s">
        <v>700</v>
      </c>
      <c r="B3310" s="71" t="s">
        <v>701</v>
      </c>
      <c r="C3310" s="71" t="s">
        <v>187</v>
      </c>
      <c r="D3310" s="71" t="s">
        <v>421</v>
      </c>
      <c r="E3310" s="71" t="s">
        <v>422</v>
      </c>
      <c r="F3310" s="71" t="s">
        <v>298</v>
      </c>
      <c r="G3310" s="88">
        <v>46291.255300925899</v>
      </c>
      <c r="H3310" s="89">
        <v>46291</v>
      </c>
      <c r="I3310" s="71" t="s">
        <v>465</v>
      </c>
      <c r="J3310" s="71">
        <v>-83</v>
      </c>
      <c r="K3310" s="71" t="s">
        <v>302</v>
      </c>
      <c r="L3310" s="71">
        <f t="shared" si="459"/>
        <v>9</v>
      </c>
      <c r="M3310" s="71" t="str">
        <f>IFERROR(INDEX(KALENDER!$D$3:$D$132,MATCH(H3310,KALENDER!$A$3:$A$132,0)),"Di luar periode")</f>
        <v>Libur (Sabtu/Minggu)</v>
      </c>
      <c r="N3310" s="71">
        <f t="shared" si="460"/>
        <v>1</v>
      </c>
      <c r="O3310" s="71">
        <f t="shared" si="461"/>
        <v>1</v>
      </c>
      <c r="P3310" s="71">
        <f t="shared" si="462"/>
        <v>0</v>
      </c>
      <c r="Q3310" s="71">
        <f t="shared" si="463"/>
        <v>1</v>
      </c>
      <c r="R3310" s="71">
        <f t="shared" si="464"/>
        <v>0</v>
      </c>
      <c r="S3310" s="71">
        <f t="shared" si="465"/>
        <v>0</v>
      </c>
      <c r="T3310" s="71">
        <f t="shared" si="466"/>
        <v>0</v>
      </c>
      <c r="U3310" s="71">
        <f>IF(AND(N3310=1,V3310=1),IF(COUNTIFS(AKTIVITAS!$B$2:$B$3052,B3310,AKTIVITAS!$E$2:$E$3052,H3310)&gt;0,1,0),0)</f>
        <v>0</v>
      </c>
      <c r="V3310" s="71">
        <f>IFERROR(IF(AND(H3310&gt;=INDEX(PEMAGANG!$J$3:$J$36,MATCH(B3310,PEMAGANG!$C$3:$C$36,0)),H3310&lt;=INDEX(PEMAGANG!$K$3:$K$36,MATCH(B3310,PEMAGANG!$C$3:$C$36,0))),1,0),0)</f>
        <v>0</v>
      </c>
      <c r="W3310" s="71">
        <f t="shared" si="467"/>
        <v>0</v>
      </c>
    </row>
    <row r="3311" spans="1:23" x14ac:dyDescent="0.2">
      <c r="A3311" s="71" t="s">
        <v>700</v>
      </c>
      <c r="B3311" s="71" t="s">
        <v>701</v>
      </c>
      <c r="C3311" s="71" t="s">
        <v>187</v>
      </c>
      <c r="D3311" s="71" t="s">
        <v>421</v>
      </c>
      <c r="E3311" s="71" t="s">
        <v>422</v>
      </c>
      <c r="F3311" s="71" t="s">
        <v>300</v>
      </c>
      <c r="G3311" s="88">
        <v>46291.792592592603</v>
      </c>
      <c r="H3311" s="89">
        <v>46291</v>
      </c>
      <c r="I3311" s="71" t="s">
        <v>628</v>
      </c>
      <c r="J3311" s="71">
        <v>0</v>
      </c>
      <c r="K3311" s="71" t="s">
        <v>302</v>
      </c>
      <c r="L3311" s="71">
        <f t="shared" si="459"/>
        <v>9</v>
      </c>
      <c r="M3311" s="71" t="str">
        <f>IFERROR(INDEX(KALENDER!$D$3:$D$132,MATCH(H3311,KALENDER!$A$3:$A$132,0)),"Di luar periode")</f>
        <v>Libur (Sabtu/Minggu)</v>
      </c>
      <c r="N3311" s="71">
        <f t="shared" si="460"/>
        <v>0</v>
      </c>
      <c r="O3311" s="71">
        <f t="shared" si="461"/>
        <v>1</v>
      </c>
      <c r="P3311" s="71">
        <f t="shared" si="462"/>
        <v>0</v>
      </c>
      <c r="Q3311" s="71">
        <f t="shared" si="463"/>
        <v>0</v>
      </c>
      <c r="R3311" s="71">
        <f t="shared" si="464"/>
        <v>0</v>
      </c>
      <c r="S3311" s="71">
        <f t="shared" si="465"/>
        <v>0</v>
      </c>
      <c r="T3311" s="71">
        <f t="shared" si="466"/>
        <v>0</v>
      </c>
      <c r="U3311" s="71">
        <f>IF(AND(N3311=1,V3311=1),IF(COUNTIFS(AKTIVITAS!$B$2:$B$3052,B3311,AKTIVITAS!$E$2:$E$3052,H3311)&gt;0,1,0),0)</f>
        <v>0</v>
      </c>
      <c r="V3311" s="71">
        <f>IFERROR(IF(AND(H3311&gt;=INDEX(PEMAGANG!$J$3:$J$36,MATCH(B3311,PEMAGANG!$C$3:$C$36,0)),H3311&lt;=INDEX(PEMAGANG!$K$3:$K$36,MATCH(B3311,PEMAGANG!$C$3:$C$36,0))),1,0),0)</f>
        <v>0</v>
      </c>
      <c r="W3311" s="71">
        <f t="shared" si="467"/>
        <v>0</v>
      </c>
    </row>
    <row r="3312" spans="1:23" x14ac:dyDescent="0.2">
      <c r="A3312" s="71" t="s">
        <v>700</v>
      </c>
      <c r="B3312" s="71" t="s">
        <v>701</v>
      </c>
      <c r="C3312" s="71" t="s">
        <v>187</v>
      </c>
      <c r="D3312" s="71" t="s">
        <v>421</v>
      </c>
      <c r="E3312" s="71" t="s">
        <v>422</v>
      </c>
      <c r="F3312" s="71" t="s">
        <v>298</v>
      </c>
      <c r="G3312" s="88">
        <v>46292.228865740697</v>
      </c>
      <c r="H3312" s="89">
        <v>46292</v>
      </c>
      <c r="I3312" s="71" t="s">
        <v>730</v>
      </c>
      <c r="J3312" s="71">
        <v>-121</v>
      </c>
      <c r="K3312" s="71" t="s">
        <v>302</v>
      </c>
      <c r="L3312" s="71">
        <f t="shared" si="459"/>
        <v>9</v>
      </c>
      <c r="M3312" s="71" t="str">
        <f>IFERROR(INDEX(KALENDER!$D$3:$D$132,MATCH(H3312,KALENDER!$A$3:$A$132,0)),"Di luar periode")</f>
        <v>Libur (Sabtu/Minggu)</v>
      </c>
      <c r="N3312" s="71">
        <f t="shared" si="460"/>
        <v>1</v>
      </c>
      <c r="O3312" s="71">
        <f t="shared" si="461"/>
        <v>1</v>
      </c>
      <c r="P3312" s="71">
        <f t="shared" si="462"/>
        <v>0</v>
      </c>
      <c r="Q3312" s="71">
        <f t="shared" si="463"/>
        <v>1</v>
      </c>
      <c r="R3312" s="71">
        <f t="shared" si="464"/>
        <v>0</v>
      </c>
      <c r="S3312" s="71">
        <f t="shared" si="465"/>
        <v>0</v>
      </c>
      <c r="T3312" s="71">
        <f t="shared" si="466"/>
        <v>0</v>
      </c>
      <c r="U3312" s="71">
        <f>IF(AND(N3312=1,V3312=1),IF(COUNTIFS(AKTIVITAS!$B$2:$B$3052,B3312,AKTIVITAS!$E$2:$E$3052,H3312)&gt;0,1,0),0)</f>
        <v>0</v>
      </c>
      <c r="V3312" s="71">
        <f>IFERROR(IF(AND(H3312&gt;=INDEX(PEMAGANG!$J$3:$J$36,MATCH(B3312,PEMAGANG!$C$3:$C$36,0)),H3312&lt;=INDEX(PEMAGANG!$K$3:$K$36,MATCH(B3312,PEMAGANG!$C$3:$C$36,0))),1,0),0)</f>
        <v>0</v>
      </c>
      <c r="W3312" s="71">
        <f t="shared" si="467"/>
        <v>0</v>
      </c>
    </row>
    <row r="3313" spans="1:23" x14ac:dyDescent="0.2">
      <c r="A3313" s="71" t="s">
        <v>700</v>
      </c>
      <c r="B3313" s="71" t="s">
        <v>701</v>
      </c>
      <c r="C3313" s="71" t="s">
        <v>187</v>
      </c>
      <c r="D3313" s="71" t="s">
        <v>421</v>
      </c>
      <c r="E3313" s="71" t="s">
        <v>422</v>
      </c>
      <c r="F3313" s="71" t="s">
        <v>300</v>
      </c>
      <c r="G3313" s="88">
        <v>46292.802951388898</v>
      </c>
      <c r="H3313" s="89">
        <v>46292</v>
      </c>
      <c r="I3313" s="71" t="s">
        <v>714</v>
      </c>
      <c r="J3313" s="71">
        <v>0</v>
      </c>
      <c r="K3313" s="71" t="s">
        <v>302</v>
      </c>
      <c r="L3313" s="71">
        <f t="shared" si="459"/>
        <v>9</v>
      </c>
      <c r="M3313" s="71" t="str">
        <f>IFERROR(INDEX(KALENDER!$D$3:$D$132,MATCH(H3313,KALENDER!$A$3:$A$132,0)),"Di luar periode")</f>
        <v>Libur (Sabtu/Minggu)</v>
      </c>
      <c r="N3313" s="71">
        <f t="shared" si="460"/>
        <v>0</v>
      </c>
      <c r="O3313" s="71">
        <f t="shared" si="461"/>
        <v>1</v>
      </c>
      <c r="P3313" s="71">
        <f t="shared" si="462"/>
        <v>0</v>
      </c>
      <c r="Q3313" s="71">
        <f t="shared" si="463"/>
        <v>0</v>
      </c>
      <c r="R3313" s="71">
        <f t="shared" si="464"/>
        <v>0</v>
      </c>
      <c r="S3313" s="71">
        <f t="shared" si="465"/>
        <v>0</v>
      </c>
      <c r="T3313" s="71">
        <f t="shared" si="466"/>
        <v>0</v>
      </c>
      <c r="U3313" s="71">
        <f>IF(AND(N3313=1,V3313=1),IF(COUNTIFS(AKTIVITAS!$B$2:$B$3052,B3313,AKTIVITAS!$E$2:$E$3052,H3313)&gt;0,1,0),0)</f>
        <v>0</v>
      </c>
      <c r="V3313" s="71">
        <f>IFERROR(IF(AND(H3313&gt;=INDEX(PEMAGANG!$J$3:$J$36,MATCH(B3313,PEMAGANG!$C$3:$C$36,0)),H3313&lt;=INDEX(PEMAGANG!$K$3:$K$36,MATCH(B3313,PEMAGANG!$C$3:$C$36,0))),1,0),0)</f>
        <v>0</v>
      </c>
      <c r="W3313" s="71">
        <f t="shared" si="467"/>
        <v>0</v>
      </c>
    </row>
    <row r="3314" spans="1:23" x14ac:dyDescent="0.2">
      <c r="A3314" s="71" t="s">
        <v>700</v>
      </c>
      <c r="B3314" s="71" t="s">
        <v>701</v>
      </c>
      <c r="C3314" s="71" t="s">
        <v>187</v>
      </c>
      <c r="D3314" s="71" t="s">
        <v>421</v>
      </c>
      <c r="E3314" s="71" t="s">
        <v>422</v>
      </c>
      <c r="F3314" s="71" t="s">
        <v>298</v>
      </c>
      <c r="G3314" s="88">
        <v>46294.246053240699</v>
      </c>
      <c r="H3314" s="89">
        <v>46294</v>
      </c>
      <c r="I3314" s="71" t="s">
        <v>679</v>
      </c>
      <c r="J3314" s="71">
        <v>-96</v>
      </c>
      <c r="K3314" s="71" t="s">
        <v>302</v>
      </c>
      <c r="L3314" s="71">
        <f t="shared" si="459"/>
        <v>9</v>
      </c>
      <c r="M3314" s="71" t="str">
        <f>IFERROR(INDEX(KALENDER!$D$3:$D$132,MATCH(H3314,KALENDER!$A$3:$A$132,0)),"Di luar periode")</f>
        <v>Hari Kerja</v>
      </c>
      <c r="N3314" s="71">
        <f t="shared" si="460"/>
        <v>1</v>
      </c>
      <c r="O3314" s="71">
        <f t="shared" si="461"/>
        <v>1</v>
      </c>
      <c r="P3314" s="71">
        <f t="shared" si="462"/>
        <v>0</v>
      </c>
      <c r="Q3314" s="71">
        <f t="shared" si="463"/>
        <v>1</v>
      </c>
      <c r="R3314" s="71">
        <f t="shared" si="464"/>
        <v>0</v>
      </c>
      <c r="S3314" s="71">
        <f t="shared" si="465"/>
        <v>0</v>
      </c>
      <c r="T3314" s="71">
        <f t="shared" si="466"/>
        <v>0</v>
      </c>
      <c r="U3314" s="71">
        <f>IF(AND(N3314=1,V3314=1),IF(COUNTIFS(AKTIVITAS!$B$2:$B$3052,B3314,AKTIVITAS!$E$2:$E$3052,H3314)&gt;0,1,0),0)</f>
        <v>0</v>
      </c>
      <c r="V3314" s="71">
        <f>IFERROR(IF(AND(H3314&gt;=INDEX(PEMAGANG!$J$3:$J$36,MATCH(B3314,PEMAGANG!$C$3:$C$36,0)),H3314&lt;=INDEX(PEMAGANG!$K$3:$K$36,MATCH(B3314,PEMAGANG!$C$3:$C$36,0))),1,0),0)</f>
        <v>0</v>
      </c>
      <c r="W3314" s="71">
        <f t="shared" si="467"/>
        <v>0</v>
      </c>
    </row>
    <row r="3315" spans="1:23" x14ac:dyDescent="0.2">
      <c r="A3315" s="71" t="s">
        <v>700</v>
      </c>
      <c r="B3315" s="71" t="s">
        <v>701</v>
      </c>
      <c r="C3315" s="71" t="s">
        <v>187</v>
      </c>
      <c r="D3315" s="71" t="s">
        <v>421</v>
      </c>
      <c r="E3315" s="71" t="s">
        <v>422</v>
      </c>
      <c r="F3315" s="71" t="s">
        <v>300</v>
      </c>
      <c r="G3315" s="88">
        <v>46294.626053240703</v>
      </c>
      <c r="H3315" s="89">
        <v>46294</v>
      </c>
      <c r="I3315" s="71" t="s">
        <v>621</v>
      </c>
      <c r="J3315" s="71">
        <v>0</v>
      </c>
      <c r="K3315" s="71" t="s">
        <v>302</v>
      </c>
      <c r="L3315" s="71">
        <f t="shared" si="459"/>
        <v>9</v>
      </c>
      <c r="M3315" s="71" t="str">
        <f>IFERROR(INDEX(KALENDER!$D$3:$D$132,MATCH(H3315,KALENDER!$A$3:$A$132,0)),"Di luar periode")</f>
        <v>Hari Kerja</v>
      </c>
      <c r="N3315" s="71">
        <f t="shared" si="460"/>
        <v>0</v>
      </c>
      <c r="O3315" s="71">
        <f t="shared" si="461"/>
        <v>1</v>
      </c>
      <c r="P3315" s="71">
        <f t="shared" si="462"/>
        <v>0</v>
      </c>
      <c r="Q3315" s="71">
        <f t="shared" si="463"/>
        <v>0</v>
      </c>
      <c r="R3315" s="71">
        <f t="shared" si="464"/>
        <v>0</v>
      </c>
      <c r="S3315" s="71">
        <f t="shared" si="465"/>
        <v>0</v>
      </c>
      <c r="T3315" s="71">
        <f t="shared" si="466"/>
        <v>0</v>
      </c>
      <c r="U3315" s="71">
        <f>IF(AND(N3315=1,V3315=1),IF(COUNTIFS(AKTIVITAS!$B$2:$B$3052,B3315,AKTIVITAS!$E$2:$E$3052,H3315)&gt;0,1,0),0)</f>
        <v>0</v>
      </c>
      <c r="V3315" s="71">
        <f>IFERROR(IF(AND(H3315&gt;=INDEX(PEMAGANG!$J$3:$J$36,MATCH(B3315,PEMAGANG!$C$3:$C$36,0)),H3315&lt;=INDEX(PEMAGANG!$K$3:$K$36,MATCH(B3315,PEMAGANG!$C$3:$C$36,0))),1,0),0)</f>
        <v>0</v>
      </c>
      <c r="W3315" s="71">
        <f t="shared" si="467"/>
        <v>0</v>
      </c>
    </row>
    <row r="3316" spans="1:23" x14ac:dyDescent="0.2">
      <c r="A3316" s="71" t="s">
        <v>700</v>
      </c>
      <c r="B3316" s="71" t="s">
        <v>701</v>
      </c>
      <c r="C3316" s="71" t="s">
        <v>187</v>
      </c>
      <c r="D3316" s="71" t="s">
        <v>421</v>
      </c>
      <c r="E3316" s="71" t="s">
        <v>422</v>
      </c>
      <c r="F3316" s="71" t="s">
        <v>298</v>
      </c>
      <c r="G3316" s="88">
        <v>46295.279976851903</v>
      </c>
      <c r="H3316" s="89">
        <v>46295</v>
      </c>
      <c r="I3316" s="71" t="s">
        <v>499</v>
      </c>
      <c r="J3316" s="71">
        <v>-47</v>
      </c>
      <c r="K3316" s="71" t="s">
        <v>302</v>
      </c>
      <c r="L3316" s="71">
        <f t="shared" si="459"/>
        <v>9</v>
      </c>
      <c r="M3316" s="71" t="str">
        <f>IFERROR(INDEX(KALENDER!$D$3:$D$132,MATCH(H3316,KALENDER!$A$3:$A$132,0)),"Di luar periode")</f>
        <v>Hari Kerja</v>
      </c>
      <c r="N3316" s="71">
        <f t="shared" si="460"/>
        <v>1</v>
      </c>
      <c r="O3316" s="71">
        <f t="shared" si="461"/>
        <v>1</v>
      </c>
      <c r="P3316" s="71">
        <f t="shared" si="462"/>
        <v>0</v>
      </c>
      <c r="Q3316" s="71">
        <f t="shared" si="463"/>
        <v>1</v>
      </c>
      <c r="R3316" s="71">
        <f t="shared" si="464"/>
        <v>0</v>
      </c>
      <c r="S3316" s="71">
        <f t="shared" si="465"/>
        <v>0</v>
      </c>
      <c r="T3316" s="71">
        <f t="shared" si="466"/>
        <v>0</v>
      </c>
      <c r="U3316" s="71">
        <f>IF(AND(N3316=1,V3316=1),IF(COUNTIFS(AKTIVITAS!$B$2:$B$3052,B3316,AKTIVITAS!$E$2:$E$3052,H3316)&gt;0,1,0),0)</f>
        <v>0</v>
      </c>
      <c r="V3316" s="71">
        <f>IFERROR(IF(AND(H3316&gt;=INDEX(PEMAGANG!$J$3:$J$36,MATCH(B3316,PEMAGANG!$C$3:$C$36,0)),H3316&lt;=INDEX(PEMAGANG!$K$3:$K$36,MATCH(B3316,PEMAGANG!$C$3:$C$36,0))),1,0),0)</f>
        <v>0</v>
      </c>
      <c r="W3316" s="71">
        <f t="shared" si="467"/>
        <v>0</v>
      </c>
    </row>
    <row r="3317" spans="1:23" x14ac:dyDescent="0.2">
      <c r="A3317" s="71" t="s">
        <v>700</v>
      </c>
      <c r="B3317" s="71" t="s">
        <v>701</v>
      </c>
      <c r="C3317" s="71" t="s">
        <v>187</v>
      </c>
      <c r="D3317" s="71" t="s">
        <v>421</v>
      </c>
      <c r="E3317" s="71" t="s">
        <v>422</v>
      </c>
      <c r="F3317" s="71" t="s">
        <v>300</v>
      </c>
      <c r="G3317" s="88">
        <v>46295.6276967593</v>
      </c>
      <c r="H3317" s="89">
        <v>46295</v>
      </c>
      <c r="I3317" s="71" t="s">
        <v>744</v>
      </c>
      <c r="J3317" s="71">
        <v>0</v>
      </c>
      <c r="K3317" s="71" t="s">
        <v>302</v>
      </c>
      <c r="L3317" s="71">
        <f t="shared" si="459"/>
        <v>9</v>
      </c>
      <c r="M3317" s="71" t="str">
        <f>IFERROR(INDEX(KALENDER!$D$3:$D$132,MATCH(H3317,KALENDER!$A$3:$A$132,0)),"Di luar periode")</f>
        <v>Hari Kerja</v>
      </c>
      <c r="N3317" s="71">
        <f t="shared" si="460"/>
        <v>0</v>
      </c>
      <c r="O3317" s="71">
        <f t="shared" si="461"/>
        <v>1</v>
      </c>
      <c r="P3317" s="71">
        <f t="shared" si="462"/>
        <v>0</v>
      </c>
      <c r="Q3317" s="71">
        <f t="shared" si="463"/>
        <v>0</v>
      </c>
      <c r="R3317" s="71">
        <f t="shared" si="464"/>
        <v>0</v>
      </c>
      <c r="S3317" s="71">
        <f t="shared" si="465"/>
        <v>0</v>
      </c>
      <c r="T3317" s="71">
        <f t="shared" si="466"/>
        <v>0</v>
      </c>
      <c r="U3317" s="71">
        <f>IF(AND(N3317=1,V3317=1),IF(COUNTIFS(AKTIVITAS!$B$2:$B$3052,B3317,AKTIVITAS!$E$2:$E$3052,H3317)&gt;0,1,0),0)</f>
        <v>0</v>
      </c>
      <c r="V3317" s="71">
        <f>IFERROR(IF(AND(H3317&gt;=INDEX(PEMAGANG!$J$3:$J$36,MATCH(B3317,PEMAGANG!$C$3:$C$36,0)),H3317&lt;=INDEX(PEMAGANG!$K$3:$K$36,MATCH(B3317,PEMAGANG!$C$3:$C$36,0))),1,0),0)</f>
        <v>0</v>
      </c>
      <c r="W3317" s="71">
        <f t="shared" si="467"/>
        <v>0</v>
      </c>
    </row>
    <row r="3318" spans="1:23" x14ac:dyDescent="0.2">
      <c r="A3318" s="71" t="s">
        <v>232</v>
      </c>
      <c r="B3318" s="71" t="s">
        <v>233</v>
      </c>
      <c r="C3318" s="71" t="s">
        <v>187</v>
      </c>
      <c r="D3318" s="71" t="s">
        <v>234</v>
      </c>
      <c r="E3318" s="71" t="s">
        <v>745</v>
      </c>
      <c r="F3318" s="71" t="s">
        <v>298</v>
      </c>
      <c r="G3318" s="88">
        <v>46175.2996180556</v>
      </c>
      <c r="H3318" s="89">
        <v>46175</v>
      </c>
      <c r="I3318" s="71" t="s">
        <v>402</v>
      </c>
      <c r="J3318" s="71">
        <v>-19</v>
      </c>
      <c r="K3318" s="71" t="s">
        <v>302</v>
      </c>
      <c r="L3318" s="71">
        <f t="shared" si="459"/>
        <v>6</v>
      </c>
      <c r="M3318" s="71" t="str">
        <f>IFERROR(INDEX(KALENDER!$D$3:$D$132,MATCH(H3318,KALENDER!$A$3:$A$132,0)),"Di luar periode")</f>
        <v>Hari Kerja</v>
      </c>
      <c r="N3318" s="71">
        <f t="shared" si="460"/>
        <v>1</v>
      </c>
      <c r="O3318" s="71">
        <f t="shared" si="461"/>
        <v>1</v>
      </c>
      <c r="P3318" s="71">
        <f t="shared" si="462"/>
        <v>1</v>
      </c>
      <c r="Q3318" s="71">
        <f t="shared" si="463"/>
        <v>0</v>
      </c>
      <c r="R3318" s="71">
        <f t="shared" si="464"/>
        <v>0</v>
      </c>
      <c r="S3318" s="71">
        <f t="shared" si="465"/>
        <v>0</v>
      </c>
      <c r="T3318" s="71">
        <f t="shared" si="466"/>
        <v>0</v>
      </c>
      <c r="U3318" s="71">
        <f>IF(AND(N3318=1,V3318=1),IF(COUNTIFS(AKTIVITAS!$B$2:$B$3052,B3318,AKTIVITAS!$E$2:$E$3052,H3318)&gt;0,1,0),0)</f>
        <v>1</v>
      </c>
      <c r="V3318" s="71">
        <f>IFERROR(IF(AND(H3318&gt;=INDEX(PEMAGANG!$J$3:$J$36,MATCH(B3318,PEMAGANG!$C$3:$C$36,0)),H3318&lt;=INDEX(PEMAGANG!$K$3:$K$36,MATCH(B3318,PEMAGANG!$C$3:$C$36,0))),1,0),0)</f>
        <v>1</v>
      </c>
      <c r="W3318" s="71">
        <f t="shared" si="467"/>
        <v>1</v>
      </c>
    </row>
    <row r="3319" spans="1:23" x14ac:dyDescent="0.2">
      <c r="A3319" s="71" t="s">
        <v>232</v>
      </c>
      <c r="B3319" s="71" t="s">
        <v>233</v>
      </c>
      <c r="C3319" s="71" t="s">
        <v>187</v>
      </c>
      <c r="D3319" s="71" t="s">
        <v>234</v>
      </c>
      <c r="E3319" s="71" t="s">
        <v>745</v>
      </c>
      <c r="F3319" s="71" t="s">
        <v>300</v>
      </c>
      <c r="G3319" s="88">
        <v>46175.697534722203</v>
      </c>
      <c r="H3319" s="89">
        <v>46175</v>
      </c>
      <c r="I3319" s="71" t="s">
        <v>312</v>
      </c>
      <c r="J3319" s="71">
        <v>0</v>
      </c>
      <c r="K3319" s="71" t="s">
        <v>302</v>
      </c>
      <c r="L3319" s="71">
        <f t="shared" si="459"/>
        <v>6</v>
      </c>
      <c r="M3319" s="71" t="str">
        <f>IFERROR(INDEX(KALENDER!$D$3:$D$132,MATCH(H3319,KALENDER!$A$3:$A$132,0)),"Di luar periode")</f>
        <v>Hari Kerja</v>
      </c>
      <c r="N3319" s="71">
        <f t="shared" si="460"/>
        <v>0</v>
      </c>
      <c r="O3319" s="71">
        <f t="shared" si="461"/>
        <v>1</v>
      </c>
      <c r="P3319" s="71">
        <f t="shared" si="462"/>
        <v>0</v>
      </c>
      <c r="Q3319" s="71">
        <f t="shared" si="463"/>
        <v>0</v>
      </c>
      <c r="R3319" s="71">
        <f t="shared" si="464"/>
        <v>0</v>
      </c>
      <c r="S3319" s="71">
        <f t="shared" si="465"/>
        <v>0</v>
      </c>
      <c r="T3319" s="71">
        <f t="shared" si="466"/>
        <v>0</v>
      </c>
      <c r="U3319" s="71">
        <f>IF(AND(N3319=1,V3319=1),IF(COUNTIFS(AKTIVITAS!$B$2:$B$3052,B3319,AKTIVITAS!$E$2:$E$3052,H3319)&gt;0,1,0),0)</f>
        <v>0</v>
      </c>
      <c r="V3319" s="71">
        <f>IFERROR(IF(AND(H3319&gt;=INDEX(PEMAGANG!$J$3:$J$36,MATCH(B3319,PEMAGANG!$C$3:$C$36,0)),H3319&lt;=INDEX(PEMAGANG!$K$3:$K$36,MATCH(B3319,PEMAGANG!$C$3:$C$36,0))),1,0),0)</f>
        <v>1</v>
      </c>
      <c r="W3319" s="71">
        <f t="shared" si="467"/>
        <v>0</v>
      </c>
    </row>
    <row r="3320" spans="1:23" x14ac:dyDescent="0.2">
      <c r="A3320" s="71" t="s">
        <v>232</v>
      </c>
      <c r="B3320" s="71" t="s">
        <v>233</v>
      </c>
      <c r="C3320" s="71" t="s">
        <v>187</v>
      </c>
      <c r="D3320" s="71" t="s">
        <v>234</v>
      </c>
      <c r="E3320" s="71" t="s">
        <v>745</v>
      </c>
      <c r="F3320" s="71" t="s">
        <v>298</v>
      </c>
      <c r="G3320" s="88">
        <v>46176.3042824074</v>
      </c>
      <c r="H3320" s="89">
        <v>46176</v>
      </c>
      <c r="I3320" s="71" t="s">
        <v>326</v>
      </c>
      <c r="J3320" s="71">
        <v>-12</v>
      </c>
      <c r="K3320" s="71" t="s">
        <v>302</v>
      </c>
      <c r="L3320" s="71">
        <f t="shared" si="459"/>
        <v>6</v>
      </c>
      <c r="M3320" s="71" t="str">
        <f>IFERROR(INDEX(KALENDER!$D$3:$D$132,MATCH(H3320,KALENDER!$A$3:$A$132,0)),"Di luar periode")</f>
        <v>WFH</v>
      </c>
      <c r="N3320" s="71">
        <f t="shared" si="460"/>
        <v>1</v>
      </c>
      <c r="O3320" s="71">
        <f t="shared" si="461"/>
        <v>1</v>
      </c>
      <c r="P3320" s="71">
        <f t="shared" si="462"/>
        <v>0</v>
      </c>
      <c r="Q3320" s="71">
        <f t="shared" si="463"/>
        <v>1</v>
      </c>
      <c r="R3320" s="71">
        <f t="shared" si="464"/>
        <v>0</v>
      </c>
      <c r="S3320" s="71">
        <f t="shared" si="465"/>
        <v>0</v>
      </c>
      <c r="T3320" s="71">
        <f t="shared" si="466"/>
        <v>0</v>
      </c>
      <c r="U3320" s="71">
        <f>IF(AND(N3320=1,V3320=1),IF(COUNTIFS(AKTIVITAS!$B$2:$B$3052,B3320,AKTIVITAS!$E$2:$E$3052,H3320)&gt;0,1,0),0)</f>
        <v>1</v>
      </c>
      <c r="V3320" s="71">
        <f>IFERROR(IF(AND(H3320&gt;=INDEX(PEMAGANG!$J$3:$J$36,MATCH(B3320,PEMAGANG!$C$3:$C$36,0)),H3320&lt;=INDEX(PEMAGANG!$K$3:$K$36,MATCH(B3320,PEMAGANG!$C$3:$C$36,0))),1,0),0)</f>
        <v>1</v>
      </c>
      <c r="W3320" s="71">
        <f t="shared" si="467"/>
        <v>1</v>
      </c>
    </row>
    <row r="3321" spans="1:23" x14ac:dyDescent="0.2">
      <c r="A3321" s="71" t="s">
        <v>232</v>
      </c>
      <c r="B3321" s="71" t="s">
        <v>233</v>
      </c>
      <c r="C3321" s="71" t="s">
        <v>187</v>
      </c>
      <c r="D3321" s="71" t="s">
        <v>234</v>
      </c>
      <c r="E3321" s="71" t="s">
        <v>745</v>
      </c>
      <c r="F3321" s="71" t="s">
        <v>300</v>
      </c>
      <c r="G3321" s="88">
        <v>46176.691851851901</v>
      </c>
      <c r="H3321" s="89">
        <v>46176</v>
      </c>
      <c r="I3321" s="71" t="s">
        <v>344</v>
      </c>
      <c r="J3321" s="71">
        <v>0</v>
      </c>
      <c r="K3321" s="71" t="s">
        <v>302</v>
      </c>
      <c r="L3321" s="71">
        <f t="shared" si="459"/>
        <v>6</v>
      </c>
      <c r="M3321" s="71" t="str">
        <f>IFERROR(INDEX(KALENDER!$D$3:$D$132,MATCH(H3321,KALENDER!$A$3:$A$132,0)),"Di luar periode")</f>
        <v>WFH</v>
      </c>
      <c r="N3321" s="71">
        <f t="shared" si="460"/>
        <v>0</v>
      </c>
      <c r="O3321" s="71">
        <f t="shared" si="461"/>
        <v>1</v>
      </c>
      <c r="P3321" s="71">
        <f t="shared" si="462"/>
        <v>0</v>
      </c>
      <c r="Q3321" s="71">
        <f t="shared" si="463"/>
        <v>0</v>
      </c>
      <c r="R3321" s="71">
        <f t="shared" si="464"/>
        <v>0</v>
      </c>
      <c r="S3321" s="71">
        <f t="shared" si="465"/>
        <v>0</v>
      </c>
      <c r="T3321" s="71">
        <f t="shared" si="466"/>
        <v>0</v>
      </c>
      <c r="U3321" s="71">
        <f>IF(AND(N3321=1,V3321=1),IF(COUNTIFS(AKTIVITAS!$B$2:$B$3052,B3321,AKTIVITAS!$E$2:$E$3052,H3321)&gt;0,1,0),0)</f>
        <v>0</v>
      </c>
      <c r="V3321" s="71">
        <f>IFERROR(IF(AND(H3321&gt;=INDEX(PEMAGANG!$J$3:$J$36,MATCH(B3321,PEMAGANG!$C$3:$C$36,0)),H3321&lt;=INDEX(PEMAGANG!$K$3:$K$36,MATCH(B3321,PEMAGANG!$C$3:$C$36,0))),1,0),0)</f>
        <v>1</v>
      </c>
      <c r="W3321" s="71">
        <f t="shared" si="467"/>
        <v>0</v>
      </c>
    </row>
    <row r="3322" spans="1:23" x14ac:dyDescent="0.2">
      <c r="A3322" s="71" t="s">
        <v>232</v>
      </c>
      <c r="B3322" s="71" t="s">
        <v>233</v>
      </c>
      <c r="C3322" s="71" t="s">
        <v>187</v>
      </c>
      <c r="D3322" s="71" t="s">
        <v>234</v>
      </c>
      <c r="E3322" s="71" t="s">
        <v>745</v>
      </c>
      <c r="F3322" s="71" t="s">
        <v>298</v>
      </c>
      <c r="G3322" s="88">
        <v>46177.303032407399</v>
      </c>
      <c r="H3322" s="89">
        <v>46177</v>
      </c>
      <c r="I3322" s="71" t="s">
        <v>327</v>
      </c>
      <c r="J3322" s="71">
        <v>-14</v>
      </c>
      <c r="K3322" s="71" t="s">
        <v>302</v>
      </c>
      <c r="L3322" s="71">
        <f t="shared" si="459"/>
        <v>6</v>
      </c>
      <c r="M3322" s="71" t="str">
        <f>IFERROR(INDEX(KALENDER!$D$3:$D$132,MATCH(H3322,KALENDER!$A$3:$A$132,0)),"Di luar periode")</f>
        <v>Hari Kerja</v>
      </c>
      <c r="N3322" s="71">
        <f t="shared" si="460"/>
        <v>1</v>
      </c>
      <c r="O3322" s="71">
        <f t="shared" si="461"/>
        <v>1</v>
      </c>
      <c r="P3322" s="71">
        <f t="shared" si="462"/>
        <v>1</v>
      </c>
      <c r="Q3322" s="71">
        <f t="shared" si="463"/>
        <v>0</v>
      </c>
      <c r="R3322" s="71">
        <f t="shared" si="464"/>
        <v>0</v>
      </c>
      <c r="S3322" s="71">
        <f t="shared" si="465"/>
        <v>0</v>
      </c>
      <c r="T3322" s="71">
        <f t="shared" si="466"/>
        <v>1</v>
      </c>
      <c r="U3322" s="71">
        <f>IF(AND(N3322=1,V3322=1),IF(COUNTIFS(AKTIVITAS!$B$2:$B$3052,B3322,AKTIVITAS!$E$2:$E$3052,H3322)&gt;0,1,0),0)</f>
        <v>0</v>
      </c>
      <c r="V3322" s="71">
        <f>IFERROR(IF(AND(H3322&gt;=INDEX(PEMAGANG!$J$3:$J$36,MATCH(B3322,PEMAGANG!$C$3:$C$36,0)),H3322&lt;=INDEX(PEMAGANG!$K$3:$K$36,MATCH(B3322,PEMAGANG!$C$3:$C$36,0))),1,0),0)</f>
        <v>1</v>
      </c>
      <c r="W3322" s="71">
        <f t="shared" si="467"/>
        <v>1</v>
      </c>
    </row>
    <row r="3323" spans="1:23" x14ac:dyDescent="0.2">
      <c r="A3323" s="71" t="s">
        <v>232</v>
      </c>
      <c r="B3323" s="71" t="s">
        <v>233</v>
      </c>
      <c r="C3323" s="71" t="s">
        <v>187</v>
      </c>
      <c r="D3323" s="71" t="s">
        <v>234</v>
      </c>
      <c r="E3323" s="71" t="s">
        <v>745</v>
      </c>
      <c r="F3323" s="71" t="s">
        <v>298</v>
      </c>
      <c r="G3323" s="88">
        <v>46178.2957986111</v>
      </c>
      <c r="H3323" s="89">
        <v>46178</v>
      </c>
      <c r="I3323" s="71" t="s">
        <v>355</v>
      </c>
      <c r="J3323" s="71">
        <v>-25</v>
      </c>
      <c r="K3323" s="71" t="s">
        <v>302</v>
      </c>
      <c r="L3323" s="71">
        <f t="shared" si="459"/>
        <v>6</v>
      </c>
      <c r="M3323" s="71" t="str">
        <f>IFERROR(INDEX(KALENDER!$D$3:$D$132,MATCH(H3323,KALENDER!$A$3:$A$132,0)),"Di luar periode")</f>
        <v>Hari Kerja</v>
      </c>
      <c r="N3323" s="71">
        <f t="shared" si="460"/>
        <v>1</v>
      </c>
      <c r="O3323" s="71">
        <f t="shared" si="461"/>
        <v>1</v>
      </c>
      <c r="P3323" s="71">
        <f t="shared" si="462"/>
        <v>1</v>
      </c>
      <c r="Q3323" s="71">
        <f t="shared" si="463"/>
        <v>0</v>
      </c>
      <c r="R3323" s="71">
        <f t="shared" si="464"/>
        <v>0</v>
      </c>
      <c r="S3323" s="71">
        <f t="shared" si="465"/>
        <v>0</v>
      </c>
      <c r="T3323" s="71">
        <f t="shared" si="466"/>
        <v>0</v>
      </c>
      <c r="U3323" s="71">
        <f>IF(AND(N3323=1,V3323=1),IF(COUNTIFS(AKTIVITAS!$B$2:$B$3052,B3323,AKTIVITAS!$E$2:$E$3052,H3323)&gt;0,1,0),0)</f>
        <v>1</v>
      </c>
      <c r="V3323" s="71">
        <f>IFERROR(IF(AND(H3323&gt;=INDEX(PEMAGANG!$J$3:$J$36,MATCH(B3323,PEMAGANG!$C$3:$C$36,0)),H3323&lt;=INDEX(PEMAGANG!$K$3:$K$36,MATCH(B3323,PEMAGANG!$C$3:$C$36,0))),1,0),0)</f>
        <v>1</v>
      </c>
      <c r="W3323" s="71">
        <f t="shared" si="467"/>
        <v>1</v>
      </c>
    </row>
    <row r="3324" spans="1:23" x14ac:dyDescent="0.2">
      <c r="A3324" s="71" t="s">
        <v>232</v>
      </c>
      <c r="B3324" s="71" t="s">
        <v>233</v>
      </c>
      <c r="C3324" s="71" t="s">
        <v>187</v>
      </c>
      <c r="D3324" s="71" t="s">
        <v>234</v>
      </c>
      <c r="E3324" s="71" t="s">
        <v>745</v>
      </c>
      <c r="F3324" s="71" t="s">
        <v>300</v>
      </c>
      <c r="G3324" s="88">
        <v>46178.6978356482</v>
      </c>
      <c r="H3324" s="89">
        <v>46178</v>
      </c>
      <c r="I3324" s="71" t="s">
        <v>312</v>
      </c>
      <c r="J3324" s="71">
        <v>0</v>
      </c>
      <c r="K3324" s="71" t="s">
        <v>302</v>
      </c>
      <c r="L3324" s="71">
        <f t="shared" si="459"/>
        <v>6</v>
      </c>
      <c r="M3324" s="71" t="str">
        <f>IFERROR(INDEX(KALENDER!$D$3:$D$132,MATCH(H3324,KALENDER!$A$3:$A$132,0)),"Di luar periode")</f>
        <v>Hari Kerja</v>
      </c>
      <c r="N3324" s="71">
        <f t="shared" si="460"/>
        <v>0</v>
      </c>
      <c r="O3324" s="71">
        <f t="shared" si="461"/>
        <v>1</v>
      </c>
      <c r="P3324" s="71">
        <f t="shared" si="462"/>
        <v>0</v>
      </c>
      <c r="Q3324" s="71">
        <f t="shared" si="463"/>
        <v>0</v>
      </c>
      <c r="R3324" s="71">
        <f t="shared" si="464"/>
        <v>0</v>
      </c>
      <c r="S3324" s="71">
        <f t="shared" si="465"/>
        <v>0</v>
      </c>
      <c r="T3324" s="71">
        <f t="shared" si="466"/>
        <v>0</v>
      </c>
      <c r="U3324" s="71">
        <f>IF(AND(N3324=1,V3324=1),IF(COUNTIFS(AKTIVITAS!$B$2:$B$3052,B3324,AKTIVITAS!$E$2:$E$3052,H3324)&gt;0,1,0),0)</f>
        <v>0</v>
      </c>
      <c r="V3324" s="71">
        <f>IFERROR(IF(AND(H3324&gt;=INDEX(PEMAGANG!$J$3:$J$36,MATCH(B3324,PEMAGANG!$C$3:$C$36,0)),H3324&lt;=INDEX(PEMAGANG!$K$3:$K$36,MATCH(B3324,PEMAGANG!$C$3:$C$36,0))),1,0),0)</f>
        <v>1</v>
      </c>
      <c r="W3324" s="71">
        <f t="shared" si="467"/>
        <v>0</v>
      </c>
    </row>
    <row r="3325" spans="1:23" x14ac:dyDescent="0.2">
      <c r="A3325" s="71" t="s">
        <v>232</v>
      </c>
      <c r="B3325" s="71" t="s">
        <v>233</v>
      </c>
      <c r="C3325" s="71" t="s">
        <v>187</v>
      </c>
      <c r="D3325" s="71" t="s">
        <v>234</v>
      </c>
      <c r="E3325" s="71" t="s">
        <v>745</v>
      </c>
      <c r="F3325" s="71" t="s">
        <v>298</v>
      </c>
      <c r="G3325" s="88">
        <v>46181.304537037002</v>
      </c>
      <c r="H3325" s="89">
        <v>46181</v>
      </c>
      <c r="I3325" s="71" t="s">
        <v>326</v>
      </c>
      <c r="J3325" s="71">
        <v>-12</v>
      </c>
      <c r="K3325" s="71" t="s">
        <v>302</v>
      </c>
      <c r="L3325" s="71">
        <f t="shared" si="459"/>
        <v>6</v>
      </c>
      <c r="M3325" s="71" t="str">
        <f>IFERROR(INDEX(KALENDER!$D$3:$D$132,MATCH(H3325,KALENDER!$A$3:$A$132,0)),"Di luar periode")</f>
        <v>Hari Kerja</v>
      </c>
      <c r="N3325" s="71">
        <f t="shared" si="460"/>
        <v>1</v>
      </c>
      <c r="O3325" s="71">
        <f t="shared" si="461"/>
        <v>1</v>
      </c>
      <c r="P3325" s="71">
        <f t="shared" si="462"/>
        <v>1</v>
      </c>
      <c r="Q3325" s="71">
        <f t="shared" si="463"/>
        <v>0</v>
      </c>
      <c r="R3325" s="71">
        <f t="shared" si="464"/>
        <v>0</v>
      </c>
      <c r="S3325" s="71">
        <f t="shared" si="465"/>
        <v>0</v>
      </c>
      <c r="T3325" s="71">
        <f t="shared" si="466"/>
        <v>0</v>
      </c>
      <c r="U3325" s="71">
        <f>IF(AND(N3325=1,V3325=1),IF(COUNTIFS(AKTIVITAS!$B$2:$B$3052,B3325,AKTIVITAS!$E$2:$E$3052,H3325)&gt;0,1,0),0)</f>
        <v>1</v>
      </c>
      <c r="V3325" s="71">
        <f>IFERROR(IF(AND(H3325&gt;=INDEX(PEMAGANG!$J$3:$J$36,MATCH(B3325,PEMAGANG!$C$3:$C$36,0)),H3325&lt;=INDEX(PEMAGANG!$K$3:$K$36,MATCH(B3325,PEMAGANG!$C$3:$C$36,0))),1,0),0)</f>
        <v>1</v>
      </c>
      <c r="W3325" s="71">
        <f t="shared" si="467"/>
        <v>1</v>
      </c>
    </row>
    <row r="3326" spans="1:23" x14ac:dyDescent="0.2">
      <c r="A3326" s="71" t="s">
        <v>232</v>
      </c>
      <c r="B3326" s="71" t="s">
        <v>233</v>
      </c>
      <c r="C3326" s="71" t="s">
        <v>187</v>
      </c>
      <c r="D3326" s="71" t="s">
        <v>234</v>
      </c>
      <c r="E3326" s="71" t="s">
        <v>745</v>
      </c>
      <c r="F3326" s="71" t="s">
        <v>300</v>
      </c>
      <c r="G3326" s="88">
        <v>46181.723229166702</v>
      </c>
      <c r="H3326" s="89">
        <v>46181</v>
      </c>
      <c r="I3326" s="71" t="s">
        <v>322</v>
      </c>
      <c r="J3326" s="71">
        <v>0</v>
      </c>
      <c r="K3326" s="71" t="s">
        <v>302</v>
      </c>
      <c r="L3326" s="71">
        <f t="shared" si="459"/>
        <v>6</v>
      </c>
      <c r="M3326" s="71" t="str">
        <f>IFERROR(INDEX(KALENDER!$D$3:$D$132,MATCH(H3326,KALENDER!$A$3:$A$132,0)),"Di luar periode")</f>
        <v>Hari Kerja</v>
      </c>
      <c r="N3326" s="71">
        <f t="shared" si="460"/>
        <v>0</v>
      </c>
      <c r="O3326" s="71">
        <f t="shared" si="461"/>
        <v>1</v>
      </c>
      <c r="P3326" s="71">
        <f t="shared" si="462"/>
        <v>0</v>
      </c>
      <c r="Q3326" s="71">
        <f t="shared" si="463"/>
        <v>0</v>
      </c>
      <c r="R3326" s="71">
        <f t="shared" si="464"/>
        <v>0</v>
      </c>
      <c r="S3326" s="71">
        <f t="shared" si="465"/>
        <v>0</v>
      </c>
      <c r="T3326" s="71">
        <f t="shared" si="466"/>
        <v>0</v>
      </c>
      <c r="U3326" s="71">
        <f>IF(AND(N3326=1,V3326=1),IF(COUNTIFS(AKTIVITAS!$B$2:$B$3052,B3326,AKTIVITAS!$E$2:$E$3052,H3326)&gt;0,1,0),0)</f>
        <v>0</v>
      </c>
      <c r="V3326" s="71">
        <f>IFERROR(IF(AND(H3326&gt;=INDEX(PEMAGANG!$J$3:$J$36,MATCH(B3326,PEMAGANG!$C$3:$C$36,0)),H3326&lt;=INDEX(PEMAGANG!$K$3:$K$36,MATCH(B3326,PEMAGANG!$C$3:$C$36,0))),1,0),0)</f>
        <v>1</v>
      </c>
      <c r="W3326" s="71">
        <f t="shared" si="467"/>
        <v>0</v>
      </c>
    </row>
    <row r="3327" spans="1:23" x14ac:dyDescent="0.2">
      <c r="A3327" s="71" t="s">
        <v>232</v>
      </c>
      <c r="B3327" s="71" t="s">
        <v>233</v>
      </c>
      <c r="C3327" s="71" t="s">
        <v>187</v>
      </c>
      <c r="D3327" s="71" t="s">
        <v>234</v>
      </c>
      <c r="E3327" s="71" t="s">
        <v>745</v>
      </c>
      <c r="F3327" s="71" t="s">
        <v>298</v>
      </c>
      <c r="G3327" s="88">
        <v>46182.304131944496</v>
      </c>
      <c r="H3327" s="89">
        <v>46182</v>
      </c>
      <c r="I3327" s="71" t="s">
        <v>331</v>
      </c>
      <c r="J3327" s="71">
        <v>-13</v>
      </c>
      <c r="K3327" s="71" t="s">
        <v>302</v>
      </c>
      <c r="L3327" s="71">
        <f t="shared" si="459"/>
        <v>6</v>
      </c>
      <c r="M3327" s="71" t="str">
        <f>IFERROR(INDEX(KALENDER!$D$3:$D$132,MATCH(H3327,KALENDER!$A$3:$A$132,0)),"Di luar periode")</f>
        <v>Hari Kerja</v>
      </c>
      <c r="N3327" s="71">
        <f t="shared" si="460"/>
        <v>1</v>
      </c>
      <c r="O3327" s="71">
        <f t="shared" si="461"/>
        <v>1</v>
      </c>
      <c r="P3327" s="71">
        <f t="shared" si="462"/>
        <v>1</v>
      </c>
      <c r="Q3327" s="71">
        <f t="shared" si="463"/>
        <v>0</v>
      </c>
      <c r="R3327" s="71">
        <f t="shared" si="464"/>
        <v>0</v>
      </c>
      <c r="S3327" s="71">
        <f t="shared" si="465"/>
        <v>0</v>
      </c>
      <c r="T3327" s="71">
        <f t="shared" si="466"/>
        <v>0</v>
      </c>
      <c r="U3327" s="71">
        <f>IF(AND(N3327=1,V3327=1),IF(COUNTIFS(AKTIVITAS!$B$2:$B$3052,B3327,AKTIVITAS!$E$2:$E$3052,H3327)&gt;0,1,0),0)</f>
        <v>1</v>
      </c>
      <c r="V3327" s="71">
        <f>IFERROR(IF(AND(H3327&gt;=INDEX(PEMAGANG!$J$3:$J$36,MATCH(B3327,PEMAGANG!$C$3:$C$36,0)),H3327&lt;=INDEX(PEMAGANG!$K$3:$K$36,MATCH(B3327,PEMAGANG!$C$3:$C$36,0))),1,0),0)</f>
        <v>1</v>
      </c>
      <c r="W3327" s="71">
        <f t="shared" si="467"/>
        <v>1</v>
      </c>
    </row>
    <row r="3328" spans="1:23" x14ac:dyDescent="0.2">
      <c r="A3328" s="71" t="s">
        <v>232</v>
      </c>
      <c r="B3328" s="71" t="s">
        <v>233</v>
      </c>
      <c r="C3328" s="71" t="s">
        <v>187</v>
      </c>
      <c r="D3328" s="71" t="s">
        <v>234</v>
      </c>
      <c r="E3328" s="71" t="s">
        <v>745</v>
      </c>
      <c r="F3328" s="71" t="s">
        <v>300</v>
      </c>
      <c r="G3328" s="88">
        <v>46182.695532407401</v>
      </c>
      <c r="H3328" s="89">
        <v>46182</v>
      </c>
      <c r="I3328" s="71" t="s">
        <v>319</v>
      </c>
      <c r="J3328" s="71">
        <v>0</v>
      </c>
      <c r="K3328" s="71" t="s">
        <v>302</v>
      </c>
      <c r="L3328" s="71">
        <f t="shared" si="459"/>
        <v>6</v>
      </c>
      <c r="M3328" s="71" t="str">
        <f>IFERROR(INDEX(KALENDER!$D$3:$D$132,MATCH(H3328,KALENDER!$A$3:$A$132,0)),"Di luar periode")</f>
        <v>Hari Kerja</v>
      </c>
      <c r="N3328" s="71">
        <f t="shared" si="460"/>
        <v>0</v>
      </c>
      <c r="O3328" s="71">
        <f t="shared" si="461"/>
        <v>1</v>
      </c>
      <c r="P3328" s="71">
        <f t="shared" si="462"/>
        <v>0</v>
      </c>
      <c r="Q3328" s="71">
        <f t="shared" si="463"/>
        <v>0</v>
      </c>
      <c r="R3328" s="71">
        <f t="shared" si="464"/>
        <v>0</v>
      </c>
      <c r="S3328" s="71">
        <f t="shared" si="465"/>
        <v>0</v>
      </c>
      <c r="T3328" s="71">
        <f t="shared" si="466"/>
        <v>0</v>
      </c>
      <c r="U3328" s="71">
        <f>IF(AND(N3328=1,V3328=1),IF(COUNTIFS(AKTIVITAS!$B$2:$B$3052,B3328,AKTIVITAS!$E$2:$E$3052,H3328)&gt;0,1,0),0)</f>
        <v>0</v>
      </c>
      <c r="V3328" s="71">
        <f>IFERROR(IF(AND(H3328&gt;=INDEX(PEMAGANG!$J$3:$J$36,MATCH(B3328,PEMAGANG!$C$3:$C$36,0)),H3328&lt;=INDEX(PEMAGANG!$K$3:$K$36,MATCH(B3328,PEMAGANG!$C$3:$C$36,0))),1,0),0)</f>
        <v>1</v>
      </c>
      <c r="W3328" s="71">
        <f t="shared" si="467"/>
        <v>0</v>
      </c>
    </row>
    <row r="3329" spans="1:23" x14ac:dyDescent="0.2">
      <c r="A3329" s="71" t="s">
        <v>232</v>
      </c>
      <c r="B3329" s="71" t="s">
        <v>233</v>
      </c>
      <c r="C3329" s="71" t="s">
        <v>187</v>
      </c>
      <c r="D3329" s="71" t="s">
        <v>234</v>
      </c>
      <c r="E3329" s="71" t="s">
        <v>745</v>
      </c>
      <c r="F3329" s="71" t="s">
        <v>298</v>
      </c>
      <c r="G3329" s="88">
        <v>46184.305324074099</v>
      </c>
      <c r="H3329" s="89">
        <v>46184</v>
      </c>
      <c r="I3329" s="71" t="s">
        <v>321</v>
      </c>
      <c r="J3329" s="71">
        <v>-11</v>
      </c>
      <c r="K3329" s="71" t="s">
        <v>302</v>
      </c>
      <c r="L3329" s="71">
        <f t="shared" si="459"/>
        <v>6</v>
      </c>
      <c r="M3329" s="71" t="str">
        <f>IFERROR(INDEX(KALENDER!$D$3:$D$132,MATCH(H3329,KALENDER!$A$3:$A$132,0)),"Di luar periode")</f>
        <v>Hari Kerja</v>
      </c>
      <c r="N3329" s="71">
        <f t="shared" si="460"/>
        <v>1</v>
      </c>
      <c r="O3329" s="71">
        <f t="shared" si="461"/>
        <v>1</v>
      </c>
      <c r="P3329" s="71">
        <f t="shared" si="462"/>
        <v>1</v>
      </c>
      <c r="Q3329" s="71">
        <f t="shared" si="463"/>
        <v>0</v>
      </c>
      <c r="R3329" s="71">
        <f t="shared" si="464"/>
        <v>0</v>
      </c>
      <c r="S3329" s="71">
        <f t="shared" si="465"/>
        <v>0</v>
      </c>
      <c r="T3329" s="71">
        <f t="shared" si="466"/>
        <v>0</v>
      </c>
      <c r="U3329" s="71">
        <f>IF(AND(N3329=1,V3329=1),IF(COUNTIFS(AKTIVITAS!$B$2:$B$3052,B3329,AKTIVITAS!$E$2:$E$3052,H3329)&gt;0,1,0),0)</f>
        <v>1</v>
      </c>
      <c r="V3329" s="71">
        <f>IFERROR(IF(AND(H3329&gt;=INDEX(PEMAGANG!$J$3:$J$36,MATCH(B3329,PEMAGANG!$C$3:$C$36,0)),H3329&lt;=INDEX(PEMAGANG!$K$3:$K$36,MATCH(B3329,PEMAGANG!$C$3:$C$36,0))),1,0),0)</f>
        <v>1</v>
      </c>
      <c r="W3329" s="71">
        <f t="shared" si="467"/>
        <v>1</v>
      </c>
    </row>
    <row r="3330" spans="1:23" x14ac:dyDescent="0.2">
      <c r="A3330" s="71" t="s">
        <v>232</v>
      </c>
      <c r="B3330" s="71" t="s">
        <v>233</v>
      </c>
      <c r="C3330" s="71" t="s">
        <v>187</v>
      </c>
      <c r="D3330" s="71" t="s">
        <v>234</v>
      </c>
      <c r="E3330" s="71" t="s">
        <v>745</v>
      </c>
      <c r="F3330" s="71" t="s">
        <v>300</v>
      </c>
      <c r="G3330" s="88">
        <v>46184.701620370397</v>
      </c>
      <c r="H3330" s="89">
        <v>46184</v>
      </c>
      <c r="I3330" s="71" t="s">
        <v>334</v>
      </c>
      <c r="J3330" s="71">
        <v>0</v>
      </c>
      <c r="K3330" s="71" t="s">
        <v>302</v>
      </c>
      <c r="L3330" s="71">
        <f t="shared" ref="L3330:L3393" si="468">MONTH(H3330)</f>
        <v>6</v>
      </c>
      <c r="M3330" s="71" t="str">
        <f>IFERROR(INDEX(KALENDER!$D$3:$D$132,MATCH(H3330,KALENDER!$A$3:$A$132,0)),"Di luar periode")</f>
        <v>Hari Kerja</v>
      </c>
      <c r="N3330" s="71">
        <f t="shared" ref="N3330:N3393" si="469">IF(AND(B3330=B3329,H3330=H3329),0,1)</f>
        <v>0</v>
      </c>
      <c r="O3330" s="71">
        <f t="shared" ref="O3330:O3393" si="470">IF(N3330=1,0,O3329)+IF(F3330="MASUK",1,0)</f>
        <v>1</v>
      </c>
      <c r="P3330" s="71">
        <f t="shared" ref="P3330:P3393" si="471">IF(AND(N3330=1,M3330="Hari Kerja",V3330=1),1,0)</f>
        <v>0</v>
      </c>
      <c r="Q3330" s="71">
        <f t="shared" ref="Q3330:Q3393" si="472">IF(AND(N3330=1,OR(M3330&lt;&gt;"Hari Kerja",V3330=0)),1,0)</f>
        <v>0</v>
      </c>
      <c r="R3330" s="71">
        <f t="shared" ref="R3330:R3393" si="473">IF(AND(F3330="MASUK",O3330=1,N(J3330)&gt;0,V3330=1),1,0)</f>
        <v>0</v>
      </c>
      <c r="S3330" s="71">
        <f t="shared" ref="S3330:S3393" si="474">R3330*N(J3330)</f>
        <v>0</v>
      </c>
      <c r="T3330" s="71">
        <f t="shared" ref="T3330:T3393" si="475">IF(AND(N3330=1,V3330=1),IF(AND(COUNTIFS($B$2:$B$4094,B3330,$H$2:$H$4094,H3330,$F$2:$F$4094,"MASUK")&gt;0,COUNTIFS($B$2:$B$4094,B3330,$H$2:$H$4094,H3330,$F$2:$F$4094,"PULANG")=0),1,0),0)</f>
        <v>0</v>
      </c>
      <c r="U3330" s="71">
        <f>IF(AND(N3330=1,V3330=1),IF(COUNTIFS(AKTIVITAS!$B$2:$B$3052,B3330,AKTIVITAS!$E$2:$E$3052,H3330)&gt;0,1,0),0)</f>
        <v>0</v>
      </c>
      <c r="V3330" s="71">
        <f>IFERROR(IF(AND(H3330&gt;=INDEX(PEMAGANG!$J$3:$J$36,MATCH(B3330,PEMAGANG!$C$3:$C$36,0)),H3330&lt;=INDEX(PEMAGANG!$K$3:$K$36,MATCH(B3330,PEMAGANG!$C$3:$C$36,0))),1,0),0)</f>
        <v>1</v>
      </c>
      <c r="W3330" s="71">
        <f t="shared" ref="W3330:W3393" si="476">N3330*V3330</f>
        <v>0</v>
      </c>
    </row>
    <row r="3331" spans="1:23" x14ac:dyDescent="0.2">
      <c r="A3331" s="71" t="s">
        <v>232</v>
      </c>
      <c r="B3331" s="71" t="s">
        <v>233</v>
      </c>
      <c r="C3331" s="71" t="s">
        <v>187</v>
      </c>
      <c r="D3331" s="71" t="s">
        <v>234</v>
      </c>
      <c r="E3331" s="71" t="s">
        <v>745</v>
      </c>
      <c r="F3331" s="71" t="s">
        <v>298</v>
      </c>
      <c r="G3331" s="88">
        <v>46188.299467592602</v>
      </c>
      <c r="H3331" s="89">
        <v>46188</v>
      </c>
      <c r="I3331" s="71" t="s">
        <v>402</v>
      </c>
      <c r="J3331" s="71">
        <v>-19</v>
      </c>
      <c r="K3331" s="71" t="s">
        <v>302</v>
      </c>
      <c r="L3331" s="71">
        <f t="shared" si="468"/>
        <v>6</v>
      </c>
      <c r="M3331" s="71" t="str">
        <f>IFERROR(INDEX(KALENDER!$D$3:$D$132,MATCH(H3331,KALENDER!$A$3:$A$132,0)),"Di luar periode")</f>
        <v>Hari Kerja</v>
      </c>
      <c r="N3331" s="71">
        <f t="shared" si="469"/>
        <v>1</v>
      </c>
      <c r="O3331" s="71">
        <f t="shared" si="470"/>
        <v>1</v>
      </c>
      <c r="P3331" s="71">
        <f t="shared" si="471"/>
        <v>1</v>
      </c>
      <c r="Q3331" s="71">
        <f t="shared" si="472"/>
        <v>0</v>
      </c>
      <c r="R3331" s="71">
        <f t="shared" si="473"/>
        <v>0</v>
      </c>
      <c r="S3331" s="71">
        <f t="shared" si="474"/>
        <v>0</v>
      </c>
      <c r="T3331" s="71">
        <f t="shared" si="475"/>
        <v>0</v>
      </c>
      <c r="U3331" s="71">
        <f>IF(AND(N3331=1,V3331=1),IF(COUNTIFS(AKTIVITAS!$B$2:$B$3052,B3331,AKTIVITAS!$E$2:$E$3052,H3331)&gt;0,1,0),0)</f>
        <v>1</v>
      </c>
      <c r="V3331" s="71">
        <f>IFERROR(IF(AND(H3331&gt;=INDEX(PEMAGANG!$J$3:$J$36,MATCH(B3331,PEMAGANG!$C$3:$C$36,0)),H3331&lt;=INDEX(PEMAGANG!$K$3:$K$36,MATCH(B3331,PEMAGANG!$C$3:$C$36,0))),1,0),0)</f>
        <v>1</v>
      </c>
      <c r="W3331" s="71">
        <f t="shared" si="476"/>
        <v>1</v>
      </c>
    </row>
    <row r="3332" spans="1:23" x14ac:dyDescent="0.2">
      <c r="A3332" s="71" t="s">
        <v>232</v>
      </c>
      <c r="B3332" s="71" t="s">
        <v>233</v>
      </c>
      <c r="C3332" s="71" t="s">
        <v>187</v>
      </c>
      <c r="D3332" s="71" t="s">
        <v>234</v>
      </c>
      <c r="E3332" s="71" t="s">
        <v>745</v>
      </c>
      <c r="F3332" s="71" t="s">
        <v>300</v>
      </c>
      <c r="G3332" s="88">
        <v>46188.704675925903</v>
      </c>
      <c r="H3332" s="89">
        <v>46188</v>
      </c>
      <c r="I3332" s="71" t="s">
        <v>394</v>
      </c>
      <c r="J3332" s="71">
        <v>0</v>
      </c>
      <c r="K3332" s="71" t="s">
        <v>302</v>
      </c>
      <c r="L3332" s="71">
        <f t="shared" si="468"/>
        <v>6</v>
      </c>
      <c r="M3332" s="71" t="str">
        <f>IFERROR(INDEX(KALENDER!$D$3:$D$132,MATCH(H3332,KALENDER!$A$3:$A$132,0)),"Di luar periode")</f>
        <v>Hari Kerja</v>
      </c>
      <c r="N3332" s="71">
        <f t="shared" si="469"/>
        <v>0</v>
      </c>
      <c r="O3332" s="71">
        <f t="shared" si="470"/>
        <v>1</v>
      </c>
      <c r="P3332" s="71">
        <f t="shared" si="471"/>
        <v>0</v>
      </c>
      <c r="Q3332" s="71">
        <f t="shared" si="472"/>
        <v>0</v>
      </c>
      <c r="R3332" s="71">
        <f t="shared" si="473"/>
        <v>0</v>
      </c>
      <c r="S3332" s="71">
        <f t="shared" si="474"/>
        <v>0</v>
      </c>
      <c r="T3332" s="71">
        <f t="shared" si="475"/>
        <v>0</v>
      </c>
      <c r="U3332" s="71">
        <f>IF(AND(N3332=1,V3332=1),IF(COUNTIFS(AKTIVITAS!$B$2:$B$3052,B3332,AKTIVITAS!$E$2:$E$3052,H3332)&gt;0,1,0),0)</f>
        <v>0</v>
      </c>
      <c r="V3332" s="71">
        <f>IFERROR(IF(AND(H3332&gt;=INDEX(PEMAGANG!$J$3:$J$36,MATCH(B3332,PEMAGANG!$C$3:$C$36,0)),H3332&lt;=INDEX(PEMAGANG!$K$3:$K$36,MATCH(B3332,PEMAGANG!$C$3:$C$36,0))),1,0),0)</f>
        <v>1</v>
      </c>
      <c r="W3332" s="71">
        <f t="shared" si="476"/>
        <v>0</v>
      </c>
    </row>
    <row r="3333" spans="1:23" x14ac:dyDescent="0.2">
      <c r="A3333" s="71" t="s">
        <v>232</v>
      </c>
      <c r="B3333" s="71" t="s">
        <v>233</v>
      </c>
      <c r="C3333" s="71" t="s">
        <v>187</v>
      </c>
      <c r="D3333" s="71" t="s">
        <v>234</v>
      </c>
      <c r="E3333" s="71" t="s">
        <v>745</v>
      </c>
      <c r="F3333" s="71" t="s">
        <v>298</v>
      </c>
      <c r="G3333" s="88">
        <v>46191.302418981497</v>
      </c>
      <c r="H3333" s="89">
        <v>46191</v>
      </c>
      <c r="I3333" s="71" t="s">
        <v>370</v>
      </c>
      <c r="J3333" s="71">
        <v>-15</v>
      </c>
      <c r="K3333" s="71" t="s">
        <v>302</v>
      </c>
      <c r="L3333" s="71">
        <f t="shared" si="468"/>
        <v>6</v>
      </c>
      <c r="M3333" s="71" t="str">
        <f>IFERROR(INDEX(KALENDER!$D$3:$D$132,MATCH(H3333,KALENDER!$A$3:$A$132,0)),"Di luar periode")</f>
        <v>Hari Kerja</v>
      </c>
      <c r="N3333" s="71">
        <f t="shared" si="469"/>
        <v>1</v>
      </c>
      <c r="O3333" s="71">
        <f t="shared" si="470"/>
        <v>1</v>
      </c>
      <c r="P3333" s="71">
        <f t="shared" si="471"/>
        <v>1</v>
      </c>
      <c r="Q3333" s="71">
        <f t="shared" si="472"/>
        <v>0</v>
      </c>
      <c r="R3333" s="71">
        <f t="shared" si="473"/>
        <v>0</v>
      </c>
      <c r="S3333" s="71">
        <f t="shared" si="474"/>
        <v>0</v>
      </c>
      <c r="T3333" s="71">
        <f t="shared" si="475"/>
        <v>0</v>
      </c>
      <c r="U3333" s="71">
        <f>IF(AND(N3333=1,V3333=1),IF(COUNTIFS(AKTIVITAS!$B$2:$B$3052,B3333,AKTIVITAS!$E$2:$E$3052,H3333)&gt;0,1,0),0)</f>
        <v>1</v>
      </c>
      <c r="V3333" s="71">
        <f>IFERROR(IF(AND(H3333&gt;=INDEX(PEMAGANG!$J$3:$J$36,MATCH(B3333,PEMAGANG!$C$3:$C$36,0)),H3333&lt;=INDEX(PEMAGANG!$K$3:$K$36,MATCH(B3333,PEMAGANG!$C$3:$C$36,0))),1,0),0)</f>
        <v>1</v>
      </c>
      <c r="W3333" s="71">
        <f t="shared" si="476"/>
        <v>1</v>
      </c>
    </row>
    <row r="3334" spans="1:23" x14ac:dyDescent="0.2">
      <c r="A3334" s="71" t="s">
        <v>232</v>
      </c>
      <c r="B3334" s="71" t="s">
        <v>233</v>
      </c>
      <c r="C3334" s="71" t="s">
        <v>187</v>
      </c>
      <c r="D3334" s="71" t="s">
        <v>234</v>
      </c>
      <c r="E3334" s="71" t="s">
        <v>745</v>
      </c>
      <c r="F3334" s="71" t="s">
        <v>300</v>
      </c>
      <c r="G3334" s="88">
        <v>46191.6897916667</v>
      </c>
      <c r="H3334" s="89">
        <v>46191</v>
      </c>
      <c r="I3334" s="71" t="s">
        <v>316</v>
      </c>
      <c r="J3334" s="71">
        <v>0</v>
      </c>
      <c r="K3334" s="71" t="s">
        <v>302</v>
      </c>
      <c r="L3334" s="71">
        <f t="shared" si="468"/>
        <v>6</v>
      </c>
      <c r="M3334" s="71" t="str">
        <f>IFERROR(INDEX(KALENDER!$D$3:$D$132,MATCH(H3334,KALENDER!$A$3:$A$132,0)),"Di luar periode")</f>
        <v>Hari Kerja</v>
      </c>
      <c r="N3334" s="71">
        <f t="shared" si="469"/>
        <v>0</v>
      </c>
      <c r="O3334" s="71">
        <f t="shared" si="470"/>
        <v>1</v>
      </c>
      <c r="P3334" s="71">
        <f t="shared" si="471"/>
        <v>0</v>
      </c>
      <c r="Q3334" s="71">
        <f t="shared" si="472"/>
        <v>0</v>
      </c>
      <c r="R3334" s="71">
        <f t="shared" si="473"/>
        <v>0</v>
      </c>
      <c r="S3334" s="71">
        <f t="shared" si="474"/>
        <v>0</v>
      </c>
      <c r="T3334" s="71">
        <f t="shared" si="475"/>
        <v>0</v>
      </c>
      <c r="U3334" s="71">
        <f>IF(AND(N3334=1,V3334=1),IF(COUNTIFS(AKTIVITAS!$B$2:$B$3052,B3334,AKTIVITAS!$E$2:$E$3052,H3334)&gt;0,1,0),0)</f>
        <v>0</v>
      </c>
      <c r="V3334" s="71">
        <f>IFERROR(IF(AND(H3334&gt;=INDEX(PEMAGANG!$J$3:$J$36,MATCH(B3334,PEMAGANG!$C$3:$C$36,0)),H3334&lt;=INDEX(PEMAGANG!$K$3:$K$36,MATCH(B3334,PEMAGANG!$C$3:$C$36,0))),1,0),0)</f>
        <v>1</v>
      </c>
      <c r="W3334" s="71">
        <f t="shared" si="476"/>
        <v>0</v>
      </c>
    </row>
    <row r="3335" spans="1:23" x14ac:dyDescent="0.2">
      <c r="A3335" s="71" t="s">
        <v>232</v>
      </c>
      <c r="B3335" s="71" t="s">
        <v>233</v>
      </c>
      <c r="C3335" s="71" t="s">
        <v>187</v>
      </c>
      <c r="D3335" s="71" t="s">
        <v>234</v>
      </c>
      <c r="E3335" s="71" t="s">
        <v>745</v>
      </c>
      <c r="F3335" s="71" t="s">
        <v>298</v>
      </c>
      <c r="G3335" s="88">
        <v>46192.303796296299</v>
      </c>
      <c r="H3335" s="89">
        <v>46192</v>
      </c>
      <c r="I3335" s="71" t="s">
        <v>331</v>
      </c>
      <c r="J3335" s="71">
        <v>-13</v>
      </c>
      <c r="K3335" s="71" t="s">
        <v>302</v>
      </c>
      <c r="L3335" s="71">
        <f t="shared" si="468"/>
        <v>6</v>
      </c>
      <c r="M3335" s="71" t="str">
        <f>IFERROR(INDEX(KALENDER!$D$3:$D$132,MATCH(H3335,KALENDER!$A$3:$A$132,0)),"Di luar periode")</f>
        <v>Hari Kerja</v>
      </c>
      <c r="N3335" s="71">
        <f t="shared" si="469"/>
        <v>1</v>
      </c>
      <c r="O3335" s="71">
        <f t="shared" si="470"/>
        <v>1</v>
      </c>
      <c r="P3335" s="71">
        <f t="shared" si="471"/>
        <v>1</v>
      </c>
      <c r="Q3335" s="71">
        <f t="shared" si="472"/>
        <v>0</v>
      </c>
      <c r="R3335" s="71">
        <f t="shared" si="473"/>
        <v>0</v>
      </c>
      <c r="S3335" s="71">
        <f t="shared" si="474"/>
        <v>0</v>
      </c>
      <c r="T3335" s="71">
        <f t="shared" si="475"/>
        <v>0</v>
      </c>
      <c r="U3335" s="71">
        <f>IF(AND(N3335=1,V3335=1),IF(COUNTIFS(AKTIVITAS!$B$2:$B$3052,B3335,AKTIVITAS!$E$2:$E$3052,H3335)&gt;0,1,0),0)</f>
        <v>1</v>
      </c>
      <c r="V3335" s="71">
        <f>IFERROR(IF(AND(H3335&gt;=INDEX(PEMAGANG!$J$3:$J$36,MATCH(B3335,PEMAGANG!$C$3:$C$36,0)),H3335&lt;=INDEX(PEMAGANG!$K$3:$K$36,MATCH(B3335,PEMAGANG!$C$3:$C$36,0))),1,0),0)</f>
        <v>1</v>
      </c>
      <c r="W3335" s="71">
        <f t="shared" si="476"/>
        <v>1</v>
      </c>
    </row>
    <row r="3336" spans="1:23" x14ac:dyDescent="0.2">
      <c r="A3336" s="71" t="s">
        <v>232</v>
      </c>
      <c r="B3336" s="71" t="s">
        <v>233</v>
      </c>
      <c r="C3336" s="71" t="s">
        <v>187</v>
      </c>
      <c r="D3336" s="71" t="s">
        <v>234</v>
      </c>
      <c r="E3336" s="71" t="s">
        <v>745</v>
      </c>
      <c r="F3336" s="71" t="s">
        <v>300</v>
      </c>
      <c r="G3336" s="88">
        <v>46192.689699074101</v>
      </c>
      <c r="H3336" s="89">
        <v>46192</v>
      </c>
      <c r="I3336" s="71" t="s">
        <v>316</v>
      </c>
      <c r="J3336" s="71">
        <v>0</v>
      </c>
      <c r="K3336" s="71" t="s">
        <v>302</v>
      </c>
      <c r="L3336" s="71">
        <f t="shared" si="468"/>
        <v>6</v>
      </c>
      <c r="M3336" s="71" t="str">
        <f>IFERROR(INDEX(KALENDER!$D$3:$D$132,MATCH(H3336,KALENDER!$A$3:$A$132,0)),"Di luar periode")</f>
        <v>Hari Kerja</v>
      </c>
      <c r="N3336" s="71">
        <f t="shared" si="469"/>
        <v>0</v>
      </c>
      <c r="O3336" s="71">
        <f t="shared" si="470"/>
        <v>1</v>
      </c>
      <c r="P3336" s="71">
        <f t="shared" si="471"/>
        <v>0</v>
      </c>
      <c r="Q3336" s="71">
        <f t="shared" si="472"/>
        <v>0</v>
      </c>
      <c r="R3336" s="71">
        <f t="shared" si="473"/>
        <v>0</v>
      </c>
      <c r="S3336" s="71">
        <f t="shared" si="474"/>
        <v>0</v>
      </c>
      <c r="T3336" s="71">
        <f t="shared" si="475"/>
        <v>0</v>
      </c>
      <c r="U3336" s="71">
        <f>IF(AND(N3336=1,V3336=1),IF(COUNTIFS(AKTIVITAS!$B$2:$B$3052,B3336,AKTIVITAS!$E$2:$E$3052,H3336)&gt;0,1,0),0)</f>
        <v>0</v>
      </c>
      <c r="V3336" s="71">
        <f>IFERROR(IF(AND(H3336&gt;=INDEX(PEMAGANG!$J$3:$J$36,MATCH(B3336,PEMAGANG!$C$3:$C$36,0)),H3336&lt;=INDEX(PEMAGANG!$K$3:$K$36,MATCH(B3336,PEMAGANG!$C$3:$C$36,0))),1,0),0)</f>
        <v>1</v>
      </c>
      <c r="W3336" s="71">
        <f t="shared" si="476"/>
        <v>0</v>
      </c>
    </row>
    <row r="3337" spans="1:23" x14ac:dyDescent="0.2">
      <c r="A3337" s="71" t="s">
        <v>232</v>
      </c>
      <c r="B3337" s="71" t="s">
        <v>233</v>
      </c>
      <c r="C3337" s="71" t="s">
        <v>187</v>
      </c>
      <c r="D3337" s="71" t="s">
        <v>234</v>
      </c>
      <c r="E3337" s="71" t="s">
        <v>745</v>
      </c>
      <c r="F3337" s="71" t="s">
        <v>298</v>
      </c>
      <c r="G3337" s="88">
        <v>46195.308854166702</v>
      </c>
      <c r="H3337" s="89">
        <v>46195</v>
      </c>
      <c r="I3337" s="71" t="s">
        <v>303</v>
      </c>
      <c r="J3337" s="71">
        <v>-5.9999999999999796</v>
      </c>
      <c r="K3337" s="71" t="s">
        <v>302</v>
      </c>
      <c r="L3337" s="71">
        <f t="shared" si="468"/>
        <v>6</v>
      </c>
      <c r="M3337" s="71" t="str">
        <f>IFERROR(INDEX(KALENDER!$D$3:$D$132,MATCH(H3337,KALENDER!$A$3:$A$132,0)),"Di luar periode")</f>
        <v>Hari Kerja</v>
      </c>
      <c r="N3337" s="71">
        <f t="shared" si="469"/>
        <v>1</v>
      </c>
      <c r="O3337" s="71">
        <f t="shared" si="470"/>
        <v>1</v>
      </c>
      <c r="P3337" s="71">
        <f t="shared" si="471"/>
        <v>1</v>
      </c>
      <c r="Q3337" s="71">
        <f t="shared" si="472"/>
        <v>0</v>
      </c>
      <c r="R3337" s="71">
        <f t="shared" si="473"/>
        <v>0</v>
      </c>
      <c r="S3337" s="71">
        <f t="shared" si="474"/>
        <v>0</v>
      </c>
      <c r="T3337" s="71">
        <f t="shared" si="475"/>
        <v>0</v>
      </c>
      <c r="U3337" s="71">
        <f>IF(AND(N3337=1,V3337=1),IF(COUNTIFS(AKTIVITAS!$B$2:$B$3052,B3337,AKTIVITAS!$E$2:$E$3052,H3337)&gt;0,1,0),0)</f>
        <v>1</v>
      </c>
      <c r="V3337" s="71">
        <f>IFERROR(IF(AND(H3337&gt;=INDEX(PEMAGANG!$J$3:$J$36,MATCH(B3337,PEMAGANG!$C$3:$C$36,0)),H3337&lt;=INDEX(PEMAGANG!$K$3:$K$36,MATCH(B3337,PEMAGANG!$C$3:$C$36,0))),1,0),0)</f>
        <v>1</v>
      </c>
      <c r="W3337" s="71">
        <f t="shared" si="476"/>
        <v>1</v>
      </c>
    </row>
    <row r="3338" spans="1:23" x14ac:dyDescent="0.2">
      <c r="A3338" s="71" t="s">
        <v>232</v>
      </c>
      <c r="B3338" s="71" t="s">
        <v>233</v>
      </c>
      <c r="C3338" s="71" t="s">
        <v>187</v>
      </c>
      <c r="D3338" s="71" t="s">
        <v>234</v>
      </c>
      <c r="E3338" s="71" t="s">
        <v>745</v>
      </c>
      <c r="F3338" s="71" t="s">
        <v>300</v>
      </c>
      <c r="G3338" s="88">
        <v>46195.689953703702</v>
      </c>
      <c r="H3338" s="89">
        <v>46195</v>
      </c>
      <c r="I3338" s="71" t="s">
        <v>316</v>
      </c>
      <c r="J3338" s="71">
        <v>0</v>
      </c>
      <c r="K3338" s="71" t="s">
        <v>302</v>
      </c>
      <c r="L3338" s="71">
        <f t="shared" si="468"/>
        <v>6</v>
      </c>
      <c r="M3338" s="71" t="str">
        <f>IFERROR(INDEX(KALENDER!$D$3:$D$132,MATCH(H3338,KALENDER!$A$3:$A$132,0)),"Di luar periode")</f>
        <v>Hari Kerja</v>
      </c>
      <c r="N3338" s="71">
        <f t="shared" si="469"/>
        <v>0</v>
      </c>
      <c r="O3338" s="71">
        <f t="shared" si="470"/>
        <v>1</v>
      </c>
      <c r="P3338" s="71">
        <f t="shared" si="471"/>
        <v>0</v>
      </c>
      <c r="Q3338" s="71">
        <f t="shared" si="472"/>
        <v>0</v>
      </c>
      <c r="R3338" s="71">
        <f t="shared" si="473"/>
        <v>0</v>
      </c>
      <c r="S3338" s="71">
        <f t="shared" si="474"/>
        <v>0</v>
      </c>
      <c r="T3338" s="71">
        <f t="shared" si="475"/>
        <v>0</v>
      </c>
      <c r="U3338" s="71">
        <f>IF(AND(N3338=1,V3338=1),IF(COUNTIFS(AKTIVITAS!$B$2:$B$3052,B3338,AKTIVITAS!$E$2:$E$3052,H3338)&gt;0,1,0),0)</f>
        <v>0</v>
      </c>
      <c r="V3338" s="71">
        <f>IFERROR(IF(AND(H3338&gt;=INDEX(PEMAGANG!$J$3:$J$36,MATCH(B3338,PEMAGANG!$C$3:$C$36,0)),H3338&lt;=INDEX(PEMAGANG!$K$3:$K$36,MATCH(B3338,PEMAGANG!$C$3:$C$36,0))),1,0),0)</f>
        <v>1</v>
      </c>
      <c r="W3338" s="71">
        <f t="shared" si="476"/>
        <v>0</v>
      </c>
    </row>
    <row r="3339" spans="1:23" x14ac:dyDescent="0.2">
      <c r="A3339" s="71" t="s">
        <v>232</v>
      </c>
      <c r="B3339" s="71" t="s">
        <v>233</v>
      </c>
      <c r="C3339" s="71" t="s">
        <v>187</v>
      </c>
      <c r="D3339" s="71" t="s">
        <v>234</v>
      </c>
      <c r="E3339" s="71" t="s">
        <v>745</v>
      </c>
      <c r="F3339" s="71" t="s">
        <v>298</v>
      </c>
      <c r="G3339" s="88">
        <v>46196.303402777798</v>
      </c>
      <c r="H3339" s="89">
        <v>46196</v>
      </c>
      <c r="I3339" s="71" t="s">
        <v>327</v>
      </c>
      <c r="J3339" s="71">
        <v>-14</v>
      </c>
      <c r="K3339" s="71" t="s">
        <v>302</v>
      </c>
      <c r="L3339" s="71">
        <f t="shared" si="468"/>
        <v>6</v>
      </c>
      <c r="M3339" s="71" t="str">
        <f>IFERROR(INDEX(KALENDER!$D$3:$D$132,MATCH(H3339,KALENDER!$A$3:$A$132,0)),"Di luar periode")</f>
        <v>Hari Kerja</v>
      </c>
      <c r="N3339" s="71">
        <f t="shared" si="469"/>
        <v>1</v>
      </c>
      <c r="O3339" s="71">
        <f t="shared" si="470"/>
        <v>1</v>
      </c>
      <c r="P3339" s="71">
        <f t="shared" si="471"/>
        <v>1</v>
      </c>
      <c r="Q3339" s="71">
        <f t="shared" si="472"/>
        <v>0</v>
      </c>
      <c r="R3339" s="71">
        <f t="shared" si="473"/>
        <v>0</v>
      </c>
      <c r="S3339" s="71">
        <f t="shared" si="474"/>
        <v>0</v>
      </c>
      <c r="T3339" s="71">
        <f t="shared" si="475"/>
        <v>0</v>
      </c>
      <c r="U3339" s="71">
        <f>IF(AND(N3339=1,V3339=1),IF(COUNTIFS(AKTIVITAS!$B$2:$B$3052,B3339,AKTIVITAS!$E$2:$E$3052,H3339)&gt;0,1,0),0)</f>
        <v>1</v>
      </c>
      <c r="V3339" s="71">
        <f>IFERROR(IF(AND(H3339&gt;=INDEX(PEMAGANG!$J$3:$J$36,MATCH(B3339,PEMAGANG!$C$3:$C$36,0)),H3339&lt;=INDEX(PEMAGANG!$K$3:$K$36,MATCH(B3339,PEMAGANG!$C$3:$C$36,0))),1,0),0)</f>
        <v>1</v>
      </c>
      <c r="W3339" s="71">
        <f t="shared" si="476"/>
        <v>1</v>
      </c>
    </row>
    <row r="3340" spans="1:23" x14ac:dyDescent="0.2">
      <c r="A3340" s="71" t="s">
        <v>232</v>
      </c>
      <c r="B3340" s="71" t="s">
        <v>233</v>
      </c>
      <c r="C3340" s="71" t="s">
        <v>187</v>
      </c>
      <c r="D3340" s="71" t="s">
        <v>234</v>
      </c>
      <c r="E3340" s="71" t="s">
        <v>745</v>
      </c>
      <c r="F3340" s="71" t="s">
        <v>300</v>
      </c>
      <c r="G3340" s="88">
        <v>46196.6940509259</v>
      </c>
      <c r="H3340" s="89">
        <v>46196</v>
      </c>
      <c r="I3340" s="71" t="s">
        <v>308</v>
      </c>
      <c r="J3340" s="71">
        <v>0</v>
      </c>
      <c r="K3340" s="71" t="s">
        <v>302</v>
      </c>
      <c r="L3340" s="71">
        <f t="shared" si="468"/>
        <v>6</v>
      </c>
      <c r="M3340" s="71" t="str">
        <f>IFERROR(INDEX(KALENDER!$D$3:$D$132,MATCH(H3340,KALENDER!$A$3:$A$132,0)),"Di luar periode")</f>
        <v>Hari Kerja</v>
      </c>
      <c r="N3340" s="71">
        <f t="shared" si="469"/>
        <v>0</v>
      </c>
      <c r="O3340" s="71">
        <f t="shared" si="470"/>
        <v>1</v>
      </c>
      <c r="P3340" s="71">
        <f t="shared" si="471"/>
        <v>0</v>
      </c>
      <c r="Q3340" s="71">
        <f t="shared" si="472"/>
        <v>0</v>
      </c>
      <c r="R3340" s="71">
        <f t="shared" si="473"/>
        <v>0</v>
      </c>
      <c r="S3340" s="71">
        <f t="shared" si="474"/>
        <v>0</v>
      </c>
      <c r="T3340" s="71">
        <f t="shared" si="475"/>
        <v>0</v>
      </c>
      <c r="U3340" s="71">
        <f>IF(AND(N3340=1,V3340=1),IF(COUNTIFS(AKTIVITAS!$B$2:$B$3052,B3340,AKTIVITAS!$E$2:$E$3052,H3340)&gt;0,1,0),0)</f>
        <v>0</v>
      </c>
      <c r="V3340" s="71">
        <f>IFERROR(IF(AND(H3340&gt;=INDEX(PEMAGANG!$J$3:$J$36,MATCH(B3340,PEMAGANG!$C$3:$C$36,0)),H3340&lt;=INDEX(PEMAGANG!$K$3:$K$36,MATCH(B3340,PEMAGANG!$C$3:$C$36,0))),1,0),0)</f>
        <v>1</v>
      </c>
      <c r="W3340" s="71">
        <f t="shared" si="476"/>
        <v>0</v>
      </c>
    </row>
    <row r="3341" spans="1:23" x14ac:dyDescent="0.2">
      <c r="A3341" s="71" t="s">
        <v>232</v>
      </c>
      <c r="B3341" s="71" t="s">
        <v>233</v>
      </c>
      <c r="C3341" s="71" t="s">
        <v>187</v>
      </c>
      <c r="D3341" s="71" t="s">
        <v>234</v>
      </c>
      <c r="E3341" s="71" t="s">
        <v>745</v>
      </c>
      <c r="F3341" s="71" t="s">
        <v>298</v>
      </c>
      <c r="G3341" s="88">
        <v>46197.300972222198</v>
      </c>
      <c r="H3341" s="89">
        <v>46197</v>
      </c>
      <c r="I3341" s="71" t="s">
        <v>475</v>
      </c>
      <c r="J3341" s="71">
        <v>-17</v>
      </c>
      <c r="K3341" s="71" t="s">
        <v>302</v>
      </c>
      <c r="L3341" s="71">
        <f t="shared" si="468"/>
        <v>6</v>
      </c>
      <c r="M3341" s="71" t="str">
        <f>IFERROR(INDEX(KALENDER!$D$3:$D$132,MATCH(H3341,KALENDER!$A$3:$A$132,0)),"Di luar periode")</f>
        <v>WFH</v>
      </c>
      <c r="N3341" s="71">
        <f t="shared" si="469"/>
        <v>1</v>
      </c>
      <c r="O3341" s="71">
        <f t="shared" si="470"/>
        <v>1</v>
      </c>
      <c r="P3341" s="71">
        <f t="shared" si="471"/>
        <v>0</v>
      </c>
      <c r="Q3341" s="71">
        <f t="shared" si="472"/>
        <v>1</v>
      </c>
      <c r="R3341" s="71">
        <f t="shared" si="473"/>
        <v>0</v>
      </c>
      <c r="S3341" s="71">
        <f t="shared" si="474"/>
        <v>0</v>
      </c>
      <c r="T3341" s="71">
        <f t="shared" si="475"/>
        <v>1</v>
      </c>
      <c r="U3341" s="71">
        <f>IF(AND(N3341=1,V3341=1),IF(COUNTIFS(AKTIVITAS!$B$2:$B$3052,B3341,AKTIVITAS!$E$2:$E$3052,H3341)&gt;0,1,0),0)</f>
        <v>1</v>
      </c>
      <c r="V3341" s="71">
        <f>IFERROR(IF(AND(H3341&gt;=INDEX(PEMAGANG!$J$3:$J$36,MATCH(B3341,PEMAGANG!$C$3:$C$36,0)),H3341&lt;=INDEX(PEMAGANG!$K$3:$K$36,MATCH(B3341,PEMAGANG!$C$3:$C$36,0))),1,0),0)</f>
        <v>1</v>
      </c>
      <c r="W3341" s="71">
        <f t="shared" si="476"/>
        <v>1</v>
      </c>
    </row>
    <row r="3342" spans="1:23" x14ac:dyDescent="0.2">
      <c r="A3342" s="71" t="s">
        <v>232</v>
      </c>
      <c r="B3342" s="71" t="s">
        <v>233</v>
      </c>
      <c r="C3342" s="71" t="s">
        <v>187</v>
      </c>
      <c r="D3342" s="71" t="s">
        <v>234</v>
      </c>
      <c r="E3342" s="71" t="s">
        <v>745</v>
      </c>
      <c r="F3342" s="71" t="s">
        <v>298</v>
      </c>
      <c r="G3342" s="88">
        <v>46198.298414351899</v>
      </c>
      <c r="H3342" s="89">
        <v>46198</v>
      </c>
      <c r="I3342" s="71" t="s">
        <v>479</v>
      </c>
      <c r="J3342" s="71">
        <v>-21</v>
      </c>
      <c r="K3342" s="71" t="s">
        <v>302</v>
      </c>
      <c r="L3342" s="71">
        <f t="shared" si="468"/>
        <v>6</v>
      </c>
      <c r="M3342" s="71" t="str">
        <f>IFERROR(INDEX(KALENDER!$D$3:$D$132,MATCH(H3342,KALENDER!$A$3:$A$132,0)),"Di luar periode")</f>
        <v>Hari Kerja</v>
      </c>
      <c r="N3342" s="71">
        <f t="shared" si="469"/>
        <v>1</v>
      </c>
      <c r="O3342" s="71">
        <f t="shared" si="470"/>
        <v>1</v>
      </c>
      <c r="P3342" s="71">
        <f t="shared" si="471"/>
        <v>1</v>
      </c>
      <c r="Q3342" s="71">
        <f t="shared" si="472"/>
        <v>0</v>
      </c>
      <c r="R3342" s="71">
        <f t="shared" si="473"/>
        <v>0</v>
      </c>
      <c r="S3342" s="71">
        <f t="shared" si="474"/>
        <v>0</v>
      </c>
      <c r="T3342" s="71">
        <f t="shared" si="475"/>
        <v>0</v>
      </c>
      <c r="U3342" s="71">
        <f>IF(AND(N3342=1,V3342=1),IF(COUNTIFS(AKTIVITAS!$B$2:$B$3052,B3342,AKTIVITAS!$E$2:$E$3052,H3342)&gt;0,1,0),0)</f>
        <v>1</v>
      </c>
      <c r="V3342" s="71">
        <f>IFERROR(IF(AND(H3342&gt;=INDEX(PEMAGANG!$J$3:$J$36,MATCH(B3342,PEMAGANG!$C$3:$C$36,0)),H3342&lt;=INDEX(PEMAGANG!$K$3:$K$36,MATCH(B3342,PEMAGANG!$C$3:$C$36,0))),1,0),0)</f>
        <v>1</v>
      </c>
      <c r="W3342" s="71">
        <f t="shared" si="476"/>
        <v>1</v>
      </c>
    </row>
    <row r="3343" spans="1:23" x14ac:dyDescent="0.2">
      <c r="A3343" s="71" t="s">
        <v>232</v>
      </c>
      <c r="B3343" s="71" t="s">
        <v>233</v>
      </c>
      <c r="C3343" s="71" t="s">
        <v>187</v>
      </c>
      <c r="D3343" s="71" t="s">
        <v>234</v>
      </c>
      <c r="E3343" s="71" t="s">
        <v>745</v>
      </c>
      <c r="F3343" s="71" t="s">
        <v>300</v>
      </c>
      <c r="G3343" s="88">
        <v>46198.692048611098</v>
      </c>
      <c r="H3343" s="89">
        <v>46198</v>
      </c>
      <c r="I3343" s="71" t="s">
        <v>344</v>
      </c>
      <c r="J3343" s="71">
        <v>0</v>
      </c>
      <c r="K3343" s="71" t="s">
        <v>302</v>
      </c>
      <c r="L3343" s="71">
        <f t="shared" si="468"/>
        <v>6</v>
      </c>
      <c r="M3343" s="71" t="str">
        <f>IFERROR(INDEX(KALENDER!$D$3:$D$132,MATCH(H3343,KALENDER!$A$3:$A$132,0)),"Di luar periode")</f>
        <v>Hari Kerja</v>
      </c>
      <c r="N3343" s="71">
        <f t="shared" si="469"/>
        <v>0</v>
      </c>
      <c r="O3343" s="71">
        <f t="shared" si="470"/>
        <v>1</v>
      </c>
      <c r="P3343" s="71">
        <f t="shared" si="471"/>
        <v>0</v>
      </c>
      <c r="Q3343" s="71">
        <f t="shared" si="472"/>
        <v>0</v>
      </c>
      <c r="R3343" s="71">
        <f t="shared" si="473"/>
        <v>0</v>
      </c>
      <c r="S3343" s="71">
        <f t="shared" si="474"/>
        <v>0</v>
      </c>
      <c r="T3343" s="71">
        <f t="shared" si="475"/>
        <v>0</v>
      </c>
      <c r="U3343" s="71">
        <f>IF(AND(N3343=1,V3343=1),IF(COUNTIFS(AKTIVITAS!$B$2:$B$3052,B3343,AKTIVITAS!$E$2:$E$3052,H3343)&gt;0,1,0),0)</f>
        <v>0</v>
      </c>
      <c r="V3343" s="71">
        <f>IFERROR(IF(AND(H3343&gt;=INDEX(PEMAGANG!$J$3:$J$36,MATCH(B3343,PEMAGANG!$C$3:$C$36,0)),H3343&lt;=INDEX(PEMAGANG!$K$3:$K$36,MATCH(B3343,PEMAGANG!$C$3:$C$36,0))),1,0),0)</f>
        <v>1</v>
      </c>
      <c r="W3343" s="71">
        <f t="shared" si="476"/>
        <v>0</v>
      </c>
    </row>
    <row r="3344" spans="1:23" x14ac:dyDescent="0.2">
      <c r="A3344" s="71" t="s">
        <v>232</v>
      </c>
      <c r="B3344" s="71" t="s">
        <v>233</v>
      </c>
      <c r="C3344" s="71" t="s">
        <v>187</v>
      </c>
      <c r="D3344" s="71" t="s">
        <v>234</v>
      </c>
      <c r="E3344" s="71" t="s">
        <v>745</v>
      </c>
      <c r="F3344" s="71" t="s">
        <v>298</v>
      </c>
      <c r="G3344" s="88">
        <v>46199.297858796301</v>
      </c>
      <c r="H3344" s="89">
        <v>46199</v>
      </c>
      <c r="I3344" s="71" t="s">
        <v>486</v>
      </c>
      <c r="J3344" s="71">
        <v>-22</v>
      </c>
      <c r="K3344" s="71" t="s">
        <v>302</v>
      </c>
      <c r="L3344" s="71">
        <f t="shared" si="468"/>
        <v>6</v>
      </c>
      <c r="M3344" s="71" t="str">
        <f>IFERROR(INDEX(KALENDER!$D$3:$D$132,MATCH(H3344,KALENDER!$A$3:$A$132,0)),"Di luar periode")</f>
        <v>Hari Kerja</v>
      </c>
      <c r="N3344" s="71">
        <f t="shared" si="469"/>
        <v>1</v>
      </c>
      <c r="O3344" s="71">
        <f t="shared" si="470"/>
        <v>1</v>
      </c>
      <c r="P3344" s="71">
        <f t="shared" si="471"/>
        <v>1</v>
      </c>
      <c r="Q3344" s="71">
        <f t="shared" si="472"/>
        <v>0</v>
      </c>
      <c r="R3344" s="71">
        <f t="shared" si="473"/>
        <v>0</v>
      </c>
      <c r="S3344" s="71">
        <f t="shared" si="474"/>
        <v>0</v>
      </c>
      <c r="T3344" s="71">
        <f t="shared" si="475"/>
        <v>0</v>
      </c>
      <c r="U3344" s="71">
        <f>IF(AND(N3344=1,V3344=1),IF(COUNTIFS(AKTIVITAS!$B$2:$B$3052,B3344,AKTIVITAS!$E$2:$E$3052,H3344)&gt;0,1,0),0)</f>
        <v>1</v>
      </c>
      <c r="V3344" s="71">
        <f>IFERROR(IF(AND(H3344&gt;=INDEX(PEMAGANG!$J$3:$J$36,MATCH(B3344,PEMAGANG!$C$3:$C$36,0)),H3344&lt;=INDEX(PEMAGANG!$K$3:$K$36,MATCH(B3344,PEMAGANG!$C$3:$C$36,0))),1,0),0)</f>
        <v>1</v>
      </c>
      <c r="W3344" s="71">
        <f t="shared" si="476"/>
        <v>1</v>
      </c>
    </row>
    <row r="3345" spans="1:23" x14ac:dyDescent="0.2">
      <c r="A3345" s="71" t="s">
        <v>232</v>
      </c>
      <c r="B3345" s="71" t="s">
        <v>233</v>
      </c>
      <c r="C3345" s="71" t="s">
        <v>187</v>
      </c>
      <c r="D3345" s="71" t="s">
        <v>234</v>
      </c>
      <c r="E3345" s="71" t="s">
        <v>745</v>
      </c>
      <c r="F3345" s="71" t="s">
        <v>300</v>
      </c>
      <c r="G3345" s="88">
        <v>46199.6890277778</v>
      </c>
      <c r="H3345" s="89">
        <v>46199</v>
      </c>
      <c r="I3345" s="71" t="s">
        <v>306</v>
      </c>
      <c r="J3345" s="71">
        <v>0</v>
      </c>
      <c r="K3345" s="71" t="s">
        <v>302</v>
      </c>
      <c r="L3345" s="71">
        <f t="shared" si="468"/>
        <v>6</v>
      </c>
      <c r="M3345" s="71" t="str">
        <f>IFERROR(INDEX(KALENDER!$D$3:$D$132,MATCH(H3345,KALENDER!$A$3:$A$132,0)),"Di luar periode")</f>
        <v>Hari Kerja</v>
      </c>
      <c r="N3345" s="71">
        <f t="shared" si="469"/>
        <v>0</v>
      </c>
      <c r="O3345" s="71">
        <f t="shared" si="470"/>
        <v>1</v>
      </c>
      <c r="P3345" s="71">
        <f t="shared" si="471"/>
        <v>0</v>
      </c>
      <c r="Q3345" s="71">
        <f t="shared" si="472"/>
        <v>0</v>
      </c>
      <c r="R3345" s="71">
        <f t="shared" si="473"/>
        <v>0</v>
      </c>
      <c r="S3345" s="71">
        <f t="shared" si="474"/>
        <v>0</v>
      </c>
      <c r="T3345" s="71">
        <f t="shared" si="475"/>
        <v>0</v>
      </c>
      <c r="U3345" s="71">
        <f>IF(AND(N3345=1,V3345=1),IF(COUNTIFS(AKTIVITAS!$B$2:$B$3052,B3345,AKTIVITAS!$E$2:$E$3052,H3345)&gt;0,1,0),0)</f>
        <v>0</v>
      </c>
      <c r="V3345" s="71">
        <f>IFERROR(IF(AND(H3345&gt;=INDEX(PEMAGANG!$J$3:$J$36,MATCH(B3345,PEMAGANG!$C$3:$C$36,0)),H3345&lt;=INDEX(PEMAGANG!$K$3:$K$36,MATCH(B3345,PEMAGANG!$C$3:$C$36,0))),1,0),0)</f>
        <v>1</v>
      </c>
      <c r="W3345" s="71">
        <f t="shared" si="476"/>
        <v>0</v>
      </c>
    </row>
    <row r="3346" spans="1:23" x14ac:dyDescent="0.2">
      <c r="A3346" s="71" t="s">
        <v>232</v>
      </c>
      <c r="B3346" s="71" t="s">
        <v>233</v>
      </c>
      <c r="C3346" s="71" t="s">
        <v>187</v>
      </c>
      <c r="D3346" s="71" t="s">
        <v>234</v>
      </c>
      <c r="E3346" s="71" t="s">
        <v>745</v>
      </c>
      <c r="F3346" s="71" t="s">
        <v>298</v>
      </c>
      <c r="G3346" s="88">
        <v>46202.300416666701</v>
      </c>
      <c r="H3346" s="89">
        <v>46202</v>
      </c>
      <c r="I3346" s="71" t="s">
        <v>478</v>
      </c>
      <c r="J3346" s="71">
        <v>-18</v>
      </c>
      <c r="K3346" s="71" t="s">
        <v>302</v>
      </c>
      <c r="L3346" s="71">
        <f t="shared" si="468"/>
        <v>6</v>
      </c>
      <c r="M3346" s="71" t="str">
        <f>IFERROR(INDEX(KALENDER!$D$3:$D$132,MATCH(H3346,KALENDER!$A$3:$A$132,0)),"Di luar periode")</f>
        <v>Hari Kerja</v>
      </c>
      <c r="N3346" s="71">
        <f t="shared" si="469"/>
        <v>1</v>
      </c>
      <c r="O3346" s="71">
        <f t="shared" si="470"/>
        <v>1</v>
      </c>
      <c r="P3346" s="71">
        <f t="shared" si="471"/>
        <v>1</v>
      </c>
      <c r="Q3346" s="71">
        <f t="shared" si="472"/>
        <v>0</v>
      </c>
      <c r="R3346" s="71">
        <f t="shared" si="473"/>
        <v>0</v>
      </c>
      <c r="S3346" s="71">
        <f t="shared" si="474"/>
        <v>0</v>
      </c>
      <c r="T3346" s="71">
        <f t="shared" si="475"/>
        <v>0</v>
      </c>
      <c r="U3346" s="71">
        <f>IF(AND(N3346=1,V3346=1),IF(COUNTIFS(AKTIVITAS!$B$2:$B$3052,B3346,AKTIVITAS!$E$2:$E$3052,H3346)&gt;0,1,0),0)</f>
        <v>1</v>
      </c>
      <c r="V3346" s="71">
        <f>IFERROR(IF(AND(H3346&gt;=INDEX(PEMAGANG!$J$3:$J$36,MATCH(B3346,PEMAGANG!$C$3:$C$36,0)),H3346&lt;=INDEX(PEMAGANG!$K$3:$K$36,MATCH(B3346,PEMAGANG!$C$3:$C$36,0))),1,0),0)</f>
        <v>1</v>
      </c>
      <c r="W3346" s="71">
        <f t="shared" si="476"/>
        <v>1</v>
      </c>
    </row>
    <row r="3347" spans="1:23" x14ac:dyDescent="0.2">
      <c r="A3347" s="71" t="s">
        <v>232</v>
      </c>
      <c r="B3347" s="71" t="s">
        <v>233</v>
      </c>
      <c r="C3347" s="71" t="s">
        <v>187</v>
      </c>
      <c r="D3347" s="71" t="s">
        <v>234</v>
      </c>
      <c r="E3347" s="71" t="s">
        <v>745</v>
      </c>
      <c r="F3347" s="71" t="s">
        <v>300</v>
      </c>
      <c r="G3347" s="88">
        <v>46202.693993055596</v>
      </c>
      <c r="H3347" s="89">
        <v>46202</v>
      </c>
      <c r="I3347" s="71" t="s">
        <v>308</v>
      </c>
      <c r="J3347" s="71">
        <v>0</v>
      </c>
      <c r="K3347" s="71" t="s">
        <v>302</v>
      </c>
      <c r="L3347" s="71">
        <f t="shared" si="468"/>
        <v>6</v>
      </c>
      <c r="M3347" s="71" t="str">
        <f>IFERROR(INDEX(KALENDER!$D$3:$D$132,MATCH(H3347,KALENDER!$A$3:$A$132,0)),"Di luar periode")</f>
        <v>Hari Kerja</v>
      </c>
      <c r="N3347" s="71">
        <f t="shared" si="469"/>
        <v>0</v>
      </c>
      <c r="O3347" s="71">
        <f t="shared" si="470"/>
        <v>1</v>
      </c>
      <c r="P3347" s="71">
        <f t="shared" si="471"/>
        <v>0</v>
      </c>
      <c r="Q3347" s="71">
        <f t="shared" si="472"/>
        <v>0</v>
      </c>
      <c r="R3347" s="71">
        <f t="shared" si="473"/>
        <v>0</v>
      </c>
      <c r="S3347" s="71">
        <f t="shared" si="474"/>
        <v>0</v>
      </c>
      <c r="T3347" s="71">
        <f t="shared" si="475"/>
        <v>0</v>
      </c>
      <c r="U3347" s="71">
        <f>IF(AND(N3347=1,V3347=1),IF(COUNTIFS(AKTIVITAS!$B$2:$B$3052,B3347,AKTIVITAS!$E$2:$E$3052,H3347)&gt;0,1,0),0)</f>
        <v>0</v>
      </c>
      <c r="V3347" s="71">
        <f>IFERROR(IF(AND(H3347&gt;=INDEX(PEMAGANG!$J$3:$J$36,MATCH(B3347,PEMAGANG!$C$3:$C$36,0)),H3347&lt;=INDEX(PEMAGANG!$K$3:$K$36,MATCH(B3347,PEMAGANG!$C$3:$C$36,0))),1,0),0)</f>
        <v>1</v>
      </c>
      <c r="W3347" s="71">
        <f t="shared" si="476"/>
        <v>0</v>
      </c>
    </row>
    <row r="3348" spans="1:23" x14ac:dyDescent="0.2">
      <c r="A3348" s="71" t="s">
        <v>232</v>
      </c>
      <c r="B3348" s="71" t="s">
        <v>233</v>
      </c>
      <c r="C3348" s="71" t="s">
        <v>187</v>
      </c>
      <c r="D3348" s="71" t="s">
        <v>234</v>
      </c>
      <c r="E3348" s="71" t="s">
        <v>745</v>
      </c>
      <c r="F3348" s="71" t="s">
        <v>298</v>
      </c>
      <c r="G3348" s="88">
        <v>46203.301597222198</v>
      </c>
      <c r="H3348" s="89">
        <v>46203</v>
      </c>
      <c r="I3348" s="71" t="s">
        <v>416</v>
      </c>
      <c r="J3348" s="71">
        <v>-16</v>
      </c>
      <c r="K3348" s="71" t="s">
        <v>302</v>
      </c>
      <c r="L3348" s="71">
        <f t="shared" si="468"/>
        <v>6</v>
      </c>
      <c r="M3348" s="71" t="str">
        <f>IFERROR(INDEX(KALENDER!$D$3:$D$132,MATCH(H3348,KALENDER!$A$3:$A$132,0)),"Di luar periode")</f>
        <v>Hari Kerja</v>
      </c>
      <c r="N3348" s="71">
        <f t="shared" si="469"/>
        <v>1</v>
      </c>
      <c r="O3348" s="71">
        <f t="shared" si="470"/>
        <v>1</v>
      </c>
      <c r="P3348" s="71">
        <f t="shared" si="471"/>
        <v>1</v>
      </c>
      <c r="Q3348" s="71">
        <f t="shared" si="472"/>
        <v>0</v>
      </c>
      <c r="R3348" s="71">
        <f t="shared" si="473"/>
        <v>0</v>
      </c>
      <c r="S3348" s="71">
        <f t="shared" si="474"/>
        <v>0</v>
      </c>
      <c r="T3348" s="71">
        <f t="shared" si="475"/>
        <v>1</v>
      </c>
      <c r="U3348" s="71">
        <f>IF(AND(N3348=1,V3348=1),IF(COUNTIFS(AKTIVITAS!$B$2:$B$3052,B3348,AKTIVITAS!$E$2:$E$3052,H3348)&gt;0,1,0),0)</f>
        <v>0</v>
      </c>
      <c r="V3348" s="71">
        <f>IFERROR(IF(AND(H3348&gt;=INDEX(PEMAGANG!$J$3:$J$36,MATCH(B3348,PEMAGANG!$C$3:$C$36,0)),H3348&lt;=INDEX(PEMAGANG!$K$3:$K$36,MATCH(B3348,PEMAGANG!$C$3:$C$36,0))),1,0),0)</f>
        <v>1</v>
      </c>
      <c r="W3348" s="71">
        <f t="shared" si="476"/>
        <v>1</v>
      </c>
    </row>
    <row r="3349" spans="1:23" x14ac:dyDescent="0.2">
      <c r="A3349" s="71" t="s">
        <v>232</v>
      </c>
      <c r="B3349" s="71" t="s">
        <v>233</v>
      </c>
      <c r="C3349" s="71" t="s">
        <v>187</v>
      </c>
      <c r="D3349" s="71" t="s">
        <v>234</v>
      </c>
      <c r="E3349" s="71" t="s">
        <v>745</v>
      </c>
      <c r="F3349" s="71" t="s">
        <v>298</v>
      </c>
      <c r="G3349" s="88">
        <v>46205.300092592603</v>
      </c>
      <c r="H3349" s="89">
        <v>46205</v>
      </c>
      <c r="I3349" s="71" t="s">
        <v>478</v>
      </c>
      <c r="J3349" s="71">
        <v>-18</v>
      </c>
      <c r="K3349" s="71" t="s">
        <v>302</v>
      </c>
      <c r="L3349" s="71">
        <f t="shared" si="468"/>
        <v>7</v>
      </c>
      <c r="M3349" s="71" t="str">
        <f>IFERROR(INDEX(KALENDER!$D$3:$D$132,MATCH(H3349,KALENDER!$A$3:$A$132,0)),"Di luar periode")</f>
        <v>Hari Kerja</v>
      </c>
      <c r="N3349" s="71">
        <f t="shared" si="469"/>
        <v>1</v>
      </c>
      <c r="O3349" s="71">
        <f t="shared" si="470"/>
        <v>1</v>
      </c>
      <c r="P3349" s="71">
        <f t="shared" si="471"/>
        <v>1</v>
      </c>
      <c r="Q3349" s="71">
        <f t="shared" si="472"/>
        <v>0</v>
      </c>
      <c r="R3349" s="71">
        <f t="shared" si="473"/>
        <v>0</v>
      </c>
      <c r="S3349" s="71">
        <f t="shared" si="474"/>
        <v>0</v>
      </c>
      <c r="T3349" s="71">
        <f t="shared" si="475"/>
        <v>0</v>
      </c>
      <c r="U3349" s="71">
        <f>IF(AND(N3349=1,V3349=1),IF(COUNTIFS(AKTIVITAS!$B$2:$B$3052,B3349,AKTIVITAS!$E$2:$E$3052,H3349)&gt;0,1,0),0)</f>
        <v>1</v>
      </c>
      <c r="V3349" s="71">
        <f>IFERROR(IF(AND(H3349&gt;=INDEX(PEMAGANG!$J$3:$J$36,MATCH(B3349,PEMAGANG!$C$3:$C$36,0)),H3349&lt;=INDEX(PEMAGANG!$K$3:$K$36,MATCH(B3349,PEMAGANG!$C$3:$C$36,0))),1,0),0)</f>
        <v>1</v>
      </c>
      <c r="W3349" s="71">
        <f t="shared" si="476"/>
        <v>1</v>
      </c>
    </row>
    <row r="3350" spans="1:23" x14ac:dyDescent="0.2">
      <c r="A3350" s="71" t="s">
        <v>232</v>
      </c>
      <c r="B3350" s="71" t="s">
        <v>233</v>
      </c>
      <c r="C3350" s="71" t="s">
        <v>187</v>
      </c>
      <c r="D3350" s="71" t="s">
        <v>234</v>
      </c>
      <c r="E3350" s="71" t="s">
        <v>745</v>
      </c>
      <c r="F3350" s="71" t="s">
        <v>300</v>
      </c>
      <c r="G3350" s="88">
        <v>46205.697361111103</v>
      </c>
      <c r="H3350" s="89">
        <v>46205</v>
      </c>
      <c r="I3350" s="71" t="s">
        <v>312</v>
      </c>
      <c r="J3350" s="71">
        <v>0</v>
      </c>
      <c r="K3350" s="71" t="s">
        <v>302</v>
      </c>
      <c r="L3350" s="71">
        <f t="shared" si="468"/>
        <v>7</v>
      </c>
      <c r="M3350" s="71" t="str">
        <f>IFERROR(INDEX(KALENDER!$D$3:$D$132,MATCH(H3350,KALENDER!$A$3:$A$132,0)),"Di luar periode")</f>
        <v>Hari Kerja</v>
      </c>
      <c r="N3350" s="71">
        <f t="shared" si="469"/>
        <v>0</v>
      </c>
      <c r="O3350" s="71">
        <f t="shared" si="470"/>
        <v>1</v>
      </c>
      <c r="P3350" s="71">
        <f t="shared" si="471"/>
        <v>0</v>
      </c>
      <c r="Q3350" s="71">
        <f t="shared" si="472"/>
        <v>0</v>
      </c>
      <c r="R3350" s="71">
        <f t="shared" si="473"/>
        <v>0</v>
      </c>
      <c r="S3350" s="71">
        <f t="shared" si="474"/>
        <v>0</v>
      </c>
      <c r="T3350" s="71">
        <f t="shared" si="475"/>
        <v>0</v>
      </c>
      <c r="U3350" s="71">
        <f>IF(AND(N3350=1,V3350=1),IF(COUNTIFS(AKTIVITAS!$B$2:$B$3052,B3350,AKTIVITAS!$E$2:$E$3052,H3350)&gt;0,1,0),0)</f>
        <v>0</v>
      </c>
      <c r="V3350" s="71">
        <f>IFERROR(IF(AND(H3350&gt;=INDEX(PEMAGANG!$J$3:$J$36,MATCH(B3350,PEMAGANG!$C$3:$C$36,0)),H3350&lt;=INDEX(PEMAGANG!$K$3:$K$36,MATCH(B3350,PEMAGANG!$C$3:$C$36,0))),1,0),0)</f>
        <v>1</v>
      </c>
      <c r="W3350" s="71">
        <f t="shared" si="476"/>
        <v>0</v>
      </c>
    </row>
    <row r="3351" spans="1:23" x14ac:dyDescent="0.2">
      <c r="A3351" s="71" t="s">
        <v>232</v>
      </c>
      <c r="B3351" s="71" t="s">
        <v>233</v>
      </c>
      <c r="C3351" s="71" t="s">
        <v>187</v>
      </c>
      <c r="D3351" s="71" t="s">
        <v>234</v>
      </c>
      <c r="E3351" s="71" t="s">
        <v>745</v>
      </c>
      <c r="F3351" s="71" t="s">
        <v>298</v>
      </c>
      <c r="G3351" s="88">
        <v>46206.300949074102</v>
      </c>
      <c r="H3351" s="89">
        <v>46206</v>
      </c>
      <c r="I3351" s="71" t="s">
        <v>475</v>
      </c>
      <c r="J3351" s="71">
        <v>-17</v>
      </c>
      <c r="K3351" s="71" t="s">
        <v>302</v>
      </c>
      <c r="L3351" s="71">
        <f t="shared" si="468"/>
        <v>7</v>
      </c>
      <c r="M3351" s="71" t="str">
        <f>IFERROR(INDEX(KALENDER!$D$3:$D$132,MATCH(H3351,KALENDER!$A$3:$A$132,0)),"Di luar periode")</f>
        <v>Hari Kerja</v>
      </c>
      <c r="N3351" s="71">
        <f t="shared" si="469"/>
        <v>1</v>
      </c>
      <c r="O3351" s="71">
        <f t="shared" si="470"/>
        <v>1</v>
      </c>
      <c r="P3351" s="71">
        <f t="shared" si="471"/>
        <v>1</v>
      </c>
      <c r="Q3351" s="71">
        <f t="shared" si="472"/>
        <v>0</v>
      </c>
      <c r="R3351" s="71">
        <f t="shared" si="473"/>
        <v>0</v>
      </c>
      <c r="S3351" s="71">
        <f t="shared" si="474"/>
        <v>0</v>
      </c>
      <c r="T3351" s="71">
        <f t="shared" si="475"/>
        <v>0</v>
      </c>
      <c r="U3351" s="71">
        <f>IF(AND(N3351=1,V3351=1),IF(COUNTIFS(AKTIVITAS!$B$2:$B$3052,B3351,AKTIVITAS!$E$2:$E$3052,H3351)&gt;0,1,0),0)</f>
        <v>1</v>
      </c>
      <c r="V3351" s="71">
        <f>IFERROR(IF(AND(H3351&gt;=INDEX(PEMAGANG!$J$3:$J$36,MATCH(B3351,PEMAGANG!$C$3:$C$36,0)),H3351&lt;=INDEX(PEMAGANG!$K$3:$K$36,MATCH(B3351,PEMAGANG!$C$3:$C$36,0))),1,0),0)</f>
        <v>1</v>
      </c>
      <c r="W3351" s="71">
        <f t="shared" si="476"/>
        <v>1</v>
      </c>
    </row>
    <row r="3352" spans="1:23" x14ac:dyDescent="0.2">
      <c r="A3352" s="71" t="s">
        <v>232</v>
      </c>
      <c r="B3352" s="71" t="s">
        <v>233</v>
      </c>
      <c r="C3352" s="71" t="s">
        <v>187</v>
      </c>
      <c r="D3352" s="71" t="s">
        <v>234</v>
      </c>
      <c r="E3352" s="71" t="s">
        <v>745</v>
      </c>
      <c r="F3352" s="71" t="s">
        <v>300</v>
      </c>
      <c r="G3352" s="88">
        <v>46206.700300925899</v>
      </c>
      <c r="H3352" s="89">
        <v>46206</v>
      </c>
      <c r="I3352" s="71" t="s">
        <v>346</v>
      </c>
      <c r="J3352" s="71">
        <v>0</v>
      </c>
      <c r="K3352" s="71" t="s">
        <v>302</v>
      </c>
      <c r="L3352" s="71">
        <f t="shared" si="468"/>
        <v>7</v>
      </c>
      <c r="M3352" s="71" t="str">
        <f>IFERROR(INDEX(KALENDER!$D$3:$D$132,MATCH(H3352,KALENDER!$A$3:$A$132,0)),"Di luar periode")</f>
        <v>Hari Kerja</v>
      </c>
      <c r="N3352" s="71">
        <f t="shared" si="469"/>
        <v>0</v>
      </c>
      <c r="O3352" s="71">
        <f t="shared" si="470"/>
        <v>1</v>
      </c>
      <c r="P3352" s="71">
        <f t="shared" si="471"/>
        <v>0</v>
      </c>
      <c r="Q3352" s="71">
        <f t="shared" si="472"/>
        <v>0</v>
      </c>
      <c r="R3352" s="71">
        <f t="shared" si="473"/>
        <v>0</v>
      </c>
      <c r="S3352" s="71">
        <f t="shared" si="474"/>
        <v>0</v>
      </c>
      <c r="T3352" s="71">
        <f t="shared" si="475"/>
        <v>0</v>
      </c>
      <c r="U3352" s="71">
        <f>IF(AND(N3352=1,V3352=1),IF(COUNTIFS(AKTIVITAS!$B$2:$B$3052,B3352,AKTIVITAS!$E$2:$E$3052,H3352)&gt;0,1,0),0)</f>
        <v>0</v>
      </c>
      <c r="V3352" s="71">
        <f>IFERROR(IF(AND(H3352&gt;=INDEX(PEMAGANG!$J$3:$J$36,MATCH(B3352,PEMAGANG!$C$3:$C$36,0)),H3352&lt;=INDEX(PEMAGANG!$K$3:$K$36,MATCH(B3352,PEMAGANG!$C$3:$C$36,0))),1,0),0)</f>
        <v>1</v>
      </c>
      <c r="W3352" s="71">
        <f t="shared" si="476"/>
        <v>0</v>
      </c>
    </row>
    <row r="3353" spans="1:23" x14ac:dyDescent="0.2">
      <c r="A3353" s="71" t="s">
        <v>232</v>
      </c>
      <c r="B3353" s="71" t="s">
        <v>233</v>
      </c>
      <c r="C3353" s="71" t="s">
        <v>187</v>
      </c>
      <c r="D3353" s="71" t="s">
        <v>234</v>
      </c>
      <c r="E3353" s="71" t="s">
        <v>745</v>
      </c>
      <c r="F3353" s="71" t="s">
        <v>298</v>
      </c>
      <c r="G3353" s="88">
        <v>46209.298599537004</v>
      </c>
      <c r="H3353" s="89">
        <v>46209</v>
      </c>
      <c r="I3353" s="71" t="s">
        <v>479</v>
      </c>
      <c r="J3353" s="71">
        <v>-21</v>
      </c>
      <c r="K3353" s="71" t="s">
        <v>302</v>
      </c>
      <c r="L3353" s="71">
        <f t="shared" si="468"/>
        <v>7</v>
      </c>
      <c r="M3353" s="71" t="str">
        <f>IFERROR(INDEX(KALENDER!$D$3:$D$132,MATCH(H3353,KALENDER!$A$3:$A$132,0)),"Di luar periode")</f>
        <v>Hari Kerja</v>
      </c>
      <c r="N3353" s="71">
        <f t="shared" si="469"/>
        <v>1</v>
      </c>
      <c r="O3353" s="71">
        <f t="shared" si="470"/>
        <v>1</v>
      </c>
      <c r="P3353" s="71">
        <f t="shared" si="471"/>
        <v>1</v>
      </c>
      <c r="Q3353" s="71">
        <f t="shared" si="472"/>
        <v>0</v>
      </c>
      <c r="R3353" s="71">
        <f t="shared" si="473"/>
        <v>0</v>
      </c>
      <c r="S3353" s="71">
        <f t="shared" si="474"/>
        <v>0</v>
      </c>
      <c r="T3353" s="71">
        <f t="shared" si="475"/>
        <v>0</v>
      </c>
      <c r="U3353" s="71">
        <f>IF(AND(N3353=1,V3353=1),IF(COUNTIFS(AKTIVITAS!$B$2:$B$3052,B3353,AKTIVITAS!$E$2:$E$3052,H3353)&gt;0,1,0),0)</f>
        <v>1</v>
      </c>
      <c r="V3353" s="71">
        <f>IFERROR(IF(AND(H3353&gt;=INDEX(PEMAGANG!$J$3:$J$36,MATCH(B3353,PEMAGANG!$C$3:$C$36,0)),H3353&lt;=INDEX(PEMAGANG!$K$3:$K$36,MATCH(B3353,PEMAGANG!$C$3:$C$36,0))),1,0),0)</f>
        <v>1</v>
      </c>
      <c r="W3353" s="71">
        <f t="shared" si="476"/>
        <v>1</v>
      </c>
    </row>
    <row r="3354" spans="1:23" x14ac:dyDescent="0.2">
      <c r="A3354" s="71" t="s">
        <v>232</v>
      </c>
      <c r="B3354" s="71" t="s">
        <v>233</v>
      </c>
      <c r="C3354" s="71" t="s">
        <v>187</v>
      </c>
      <c r="D3354" s="71" t="s">
        <v>234</v>
      </c>
      <c r="E3354" s="71" t="s">
        <v>745</v>
      </c>
      <c r="F3354" s="71" t="s">
        <v>300</v>
      </c>
      <c r="G3354" s="88">
        <v>46209.721423611103</v>
      </c>
      <c r="H3354" s="89">
        <v>46209</v>
      </c>
      <c r="I3354" s="71" t="s">
        <v>473</v>
      </c>
      <c r="J3354" s="71">
        <v>0</v>
      </c>
      <c r="K3354" s="71" t="s">
        <v>302</v>
      </c>
      <c r="L3354" s="71">
        <f t="shared" si="468"/>
        <v>7</v>
      </c>
      <c r="M3354" s="71" t="str">
        <f>IFERROR(INDEX(KALENDER!$D$3:$D$132,MATCH(H3354,KALENDER!$A$3:$A$132,0)),"Di luar periode")</f>
        <v>Hari Kerja</v>
      </c>
      <c r="N3354" s="71">
        <f t="shared" si="469"/>
        <v>0</v>
      </c>
      <c r="O3354" s="71">
        <f t="shared" si="470"/>
        <v>1</v>
      </c>
      <c r="P3354" s="71">
        <f t="shared" si="471"/>
        <v>0</v>
      </c>
      <c r="Q3354" s="71">
        <f t="shared" si="472"/>
        <v>0</v>
      </c>
      <c r="R3354" s="71">
        <f t="shared" si="473"/>
        <v>0</v>
      </c>
      <c r="S3354" s="71">
        <f t="shared" si="474"/>
        <v>0</v>
      </c>
      <c r="T3354" s="71">
        <f t="shared" si="475"/>
        <v>0</v>
      </c>
      <c r="U3354" s="71">
        <f>IF(AND(N3354=1,V3354=1),IF(COUNTIFS(AKTIVITAS!$B$2:$B$3052,B3354,AKTIVITAS!$E$2:$E$3052,H3354)&gt;0,1,0),0)</f>
        <v>0</v>
      </c>
      <c r="V3354" s="71">
        <f>IFERROR(IF(AND(H3354&gt;=INDEX(PEMAGANG!$J$3:$J$36,MATCH(B3354,PEMAGANG!$C$3:$C$36,0)),H3354&lt;=INDEX(PEMAGANG!$K$3:$K$36,MATCH(B3354,PEMAGANG!$C$3:$C$36,0))),1,0),0)</f>
        <v>1</v>
      </c>
      <c r="W3354" s="71">
        <f t="shared" si="476"/>
        <v>0</v>
      </c>
    </row>
    <row r="3355" spans="1:23" x14ac:dyDescent="0.2">
      <c r="A3355" s="71" t="s">
        <v>232</v>
      </c>
      <c r="B3355" s="71" t="s">
        <v>233</v>
      </c>
      <c r="C3355" s="71" t="s">
        <v>187</v>
      </c>
      <c r="D3355" s="71" t="s">
        <v>234</v>
      </c>
      <c r="E3355" s="71" t="s">
        <v>745</v>
      </c>
      <c r="F3355" s="71" t="s">
        <v>298</v>
      </c>
      <c r="G3355" s="88">
        <v>46210.304629629602</v>
      </c>
      <c r="H3355" s="89">
        <v>46210</v>
      </c>
      <c r="I3355" s="71" t="s">
        <v>326</v>
      </c>
      <c r="J3355" s="71">
        <v>-12</v>
      </c>
      <c r="K3355" s="71" t="s">
        <v>302</v>
      </c>
      <c r="L3355" s="71">
        <f t="shared" si="468"/>
        <v>7</v>
      </c>
      <c r="M3355" s="71" t="str">
        <f>IFERROR(INDEX(KALENDER!$D$3:$D$132,MATCH(H3355,KALENDER!$A$3:$A$132,0)),"Di luar periode")</f>
        <v>Hari Kerja</v>
      </c>
      <c r="N3355" s="71">
        <f t="shared" si="469"/>
        <v>1</v>
      </c>
      <c r="O3355" s="71">
        <f t="shared" si="470"/>
        <v>1</v>
      </c>
      <c r="P3355" s="71">
        <f t="shared" si="471"/>
        <v>1</v>
      </c>
      <c r="Q3355" s="71">
        <f t="shared" si="472"/>
        <v>0</v>
      </c>
      <c r="R3355" s="71">
        <f t="shared" si="473"/>
        <v>0</v>
      </c>
      <c r="S3355" s="71">
        <f t="shared" si="474"/>
        <v>0</v>
      </c>
      <c r="T3355" s="71">
        <f t="shared" si="475"/>
        <v>0</v>
      </c>
      <c r="U3355" s="71">
        <f>IF(AND(N3355=1,V3355=1),IF(COUNTIFS(AKTIVITAS!$B$2:$B$3052,B3355,AKTIVITAS!$E$2:$E$3052,H3355)&gt;0,1,0),0)</f>
        <v>1</v>
      </c>
      <c r="V3355" s="71">
        <f>IFERROR(IF(AND(H3355&gt;=INDEX(PEMAGANG!$J$3:$J$36,MATCH(B3355,PEMAGANG!$C$3:$C$36,0)),H3355&lt;=INDEX(PEMAGANG!$K$3:$K$36,MATCH(B3355,PEMAGANG!$C$3:$C$36,0))),1,0),0)</f>
        <v>1</v>
      </c>
      <c r="W3355" s="71">
        <f t="shared" si="476"/>
        <v>1</v>
      </c>
    </row>
    <row r="3356" spans="1:23" x14ac:dyDescent="0.2">
      <c r="A3356" s="71" t="s">
        <v>232</v>
      </c>
      <c r="B3356" s="71" t="s">
        <v>233</v>
      </c>
      <c r="C3356" s="71" t="s">
        <v>187</v>
      </c>
      <c r="D3356" s="71" t="s">
        <v>234</v>
      </c>
      <c r="E3356" s="71" t="s">
        <v>745</v>
      </c>
      <c r="F3356" s="71" t="s">
        <v>300</v>
      </c>
      <c r="G3356" s="88">
        <v>46210.7235069444</v>
      </c>
      <c r="H3356" s="89">
        <v>46210</v>
      </c>
      <c r="I3356" s="71" t="s">
        <v>322</v>
      </c>
      <c r="J3356" s="71">
        <v>0</v>
      </c>
      <c r="K3356" s="71" t="s">
        <v>302</v>
      </c>
      <c r="L3356" s="71">
        <f t="shared" si="468"/>
        <v>7</v>
      </c>
      <c r="M3356" s="71" t="str">
        <f>IFERROR(INDEX(KALENDER!$D$3:$D$132,MATCH(H3356,KALENDER!$A$3:$A$132,0)),"Di luar periode")</f>
        <v>Hari Kerja</v>
      </c>
      <c r="N3356" s="71">
        <f t="shared" si="469"/>
        <v>0</v>
      </c>
      <c r="O3356" s="71">
        <f t="shared" si="470"/>
        <v>1</v>
      </c>
      <c r="P3356" s="71">
        <f t="shared" si="471"/>
        <v>0</v>
      </c>
      <c r="Q3356" s="71">
        <f t="shared" si="472"/>
        <v>0</v>
      </c>
      <c r="R3356" s="71">
        <f t="shared" si="473"/>
        <v>0</v>
      </c>
      <c r="S3356" s="71">
        <f t="shared" si="474"/>
        <v>0</v>
      </c>
      <c r="T3356" s="71">
        <f t="shared" si="475"/>
        <v>0</v>
      </c>
      <c r="U3356" s="71">
        <f>IF(AND(N3356=1,V3356=1),IF(COUNTIFS(AKTIVITAS!$B$2:$B$3052,B3356,AKTIVITAS!$E$2:$E$3052,H3356)&gt;0,1,0),0)</f>
        <v>0</v>
      </c>
      <c r="V3356" s="71">
        <f>IFERROR(IF(AND(H3356&gt;=INDEX(PEMAGANG!$J$3:$J$36,MATCH(B3356,PEMAGANG!$C$3:$C$36,0)),H3356&lt;=INDEX(PEMAGANG!$K$3:$K$36,MATCH(B3356,PEMAGANG!$C$3:$C$36,0))),1,0),0)</f>
        <v>1</v>
      </c>
      <c r="W3356" s="71">
        <f t="shared" si="476"/>
        <v>0</v>
      </c>
    </row>
    <row r="3357" spans="1:23" x14ac:dyDescent="0.2">
      <c r="A3357" s="71" t="s">
        <v>232</v>
      </c>
      <c r="B3357" s="71" t="s">
        <v>233</v>
      </c>
      <c r="C3357" s="71" t="s">
        <v>187</v>
      </c>
      <c r="D3357" s="71" t="s">
        <v>234</v>
      </c>
      <c r="E3357" s="71" t="s">
        <v>745</v>
      </c>
      <c r="F3357" s="71" t="s">
        <v>298</v>
      </c>
      <c r="G3357" s="88">
        <v>46211.305277777799</v>
      </c>
      <c r="H3357" s="89">
        <v>46211</v>
      </c>
      <c r="I3357" s="71" t="s">
        <v>321</v>
      </c>
      <c r="J3357" s="71">
        <v>-11</v>
      </c>
      <c r="K3357" s="71" t="s">
        <v>302</v>
      </c>
      <c r="L3357" s="71">
        <f t="shared" si="468"/>
        <v>7</v>
      </c>
      <c r="M3357" s="71" t="str">
        <f>IFERROR(INDEX(KALENDER!$D$3:$D$132,MATCH(H3357,KALENDER!$A$3:$A$132,0)),"Di luar periode")</f>
        <v>WFH</v>
      </c>
      <c r="N3357" s="71">
        <f t="shared" si="469"/>
        <v>1</v>
      </c>
      <c r="O3357" s="71">
        <f t="shared" si="470"/>
        <v>1</v>
      </c>
      <c r="P3357" s="71">
        <f t="shared" si="471"/>
        <v>0</v>
      </c>
      <c r="Q3357" s="71">
        <f t="shared" si="472"/>
        <v>1</v>
      </c>
      <c r="R3357" s="71">
        <f t="shared" si="473"/>
        <v>0</v>
      </c>
      <c r="S3357" s="71">
        <f t="shared" si="474"/>
        <v>0</v>
      </c>
      <c r="T3357" s="71">
        <f t="shared" si="475"/>
        <v>0</v>
      </c>
      <c r="U3357" s="71">
        <f>IF(AND(N3357=1,V3357=1),IF(COUNTIFS(AKTIVITAS!$B$2:$B$3052,B3357,AKTIVITAS!$E$2:$E$3052,H3357)&gt;0,1,0),0)</f>
        <v>1</v>
      </c>
      <c r="V3357" s="71">
        <f>IFERROR(IF(AND(H3357&gt;=INDEX(PEMAGANG!$J$3:$J$36,MATCH(B3357,PEMAGANG!$C$3:$C$36,0)),H3357&lt;=INDEX(PEMAGANG!$K$3:$K$36,MATCH(B3357,PEMAGANG!$C$3:$C$36,0))),1,0),0)</f>
        <v>1</v>
      </c>
      <c r="W3357" s="71">
        <f t="shared" si="476"/>
        <v>1</v>
      </c>
    </row>
    <row r="3358" spans="1:23" x14ac:dyDescent="0.2">
      <c r="A3358" s="71" t="s">
        <v>232</v>
      </c>
      <c r="B3358" s="71" t="s">
        <v>233</v>
      </c>
      <c r="C3358" s="71" t="s">
        <v>187</v>
      </c>
      <c r="D3358" s="71" t="s">
        <v>234</v>
      </c>
      <c r="E3358" s="71" t="s">
        <v>745</v>
      </c>
      <c r="F3358" s="71" t="s">
        <v>300</v>
      </c>
      <c r="G3358" s="88">
        <v>46211.695706018501</v>
      </c>
      <c r="H3358" s="89">
        <v>46211</v>
      </c>
      <c r="I3358" s="71" t="s">
        <v>319</v>
      </c>
      <c r="J3358" s="71">
        <v>0</v>
      </c>
      <c r="K3358" s="71" t="s">
        <v>302</v>
      </c>
      <c r="L3358" s="71">
        <f t="shared" si="468"/>
        <v>7</v>
      </c>
      <c r="M3358" s="71" t="str">
        <f>IFERROR(INDEX(KALENDER!$D$3:$D$132,MATCH(H3358,KALENDER!$A$3:$A$132,0)),"Di luar periode")</f>
        <v>WFH</v>
      </c>
      <c r="N3358" s="71">
        <f t="shared" si="469"/>
        <v>0</v>
      </c>
      <c r="O3358" s="71">
        <f t="shared" si="470"/>
        <v>1</v>
      </c>
      <c r="P3358" s="71">
        <f t="shared" si="471"/>
        <v>0</v>
      </c>
      <c r="Q3358" s="71">
        <f t="shared" si="472"/>
        <v>0</v>
      </c>
      <c r="R3358" s="71">
        <f t="shared" si="473"/>
        <v>0</v>
      </c>
      <c r="S3358" s="71">
        <f t="shared" si="474"/>
        <v>0</v>
      </c>
      <c r="T3358" s="71">
        <f t="shared" si="475"/>
        <v>0</v>
      </c>
      <c r="U3358" s="71">
        <f>IF(AND(N3358=1,V3358=1),IF(COUNTIFS(AKTIVITAS!$B$2:$B$3052,B3358,AKTIVITAS!$E$2:$E$3052,H3358)&gt;0,1,0),0)</f>
        <v>0</v>
      </c>
      <c r="V3358" s="71">
        <f>IFERROR(IF(AND(H3358&gt;=INDEX(PEMAGANG!$J$3:$J$36,MATCH(B3358,PEMAGANG!$C$3:$C$36,0)),H3358&lt;=INDEX(PEMAGANG!$K$3:$K$36,MATCH(B3358,PEMAGANG!$C$3:$C$36,0))),1,0),0)</f>
        <v>1</v>
      </c>
      <c r="W3358" s="71">
        <f t="shared" si="476"/>
        <v>0</v>
      </c>
    </row>
    <row r="3359" spans="1:23" x14ac:dyDescent="0.2">
      <c r="A3359" s="71" t="s">
        <v>232</v>
      </c>
      <c r="B3359" s="71" t="s">
        <v>233</v>
      </c>
      <c r="C3359" s="71" t="s">
        <v>187</v>
      </c>
      <c r="D3359" s="71" t="s">
        <v>234</v>
      </c>
      <c r="E3359" s="71" t="s">
        <v>745</v>
      </c>
      <c r="F3359" s="71" t="s">
        <v>298</v>
      </c>
      <c r="G3359" s="88">
        <v>46212.304155092599</v>
      </c>
      <c r="H3359" s="89">
        <v>46212</v>
      </c>
      <c r="I3359" s="71" t="s">
        <v>331</v>
      </c>
      <c r="J3359" s="71">
        <v>-13</v>
      </c>
      <c r="K3359" s="71" t="s">
        <v>302</v>
      </c>
      <c r="L3359" s="71">
        <f t="shared" si="468"/>
        <v>7</v>
      </c>
      <c r="M3359" s="71" t="str">
        <f>IFERROR(INDEX(KALENDER!$D$3:$D$132,MATCH(H3359,KALENDER!$A$3:$A$132,0)),"Di luar periode")</f>
        <v>Hari Kerja</v>
      </c>
      <c r="N3359" s="71">
        <f t="shared" si="469"/>
        <v>1</v>
      </c>
      <c r="O3359" s="71">
        <f t="shared" si="470"/>
        <v>1</v>
      </c>
      <c r="P3359" s="71">
        <f t="shared" si="471"/>
        <v>1</v>
      </c>
      <c r="Q3359" s="71">
        <f t="shared" si="472"/>
        <v>0</v>
      </c>
      <c r="R3359" s="71">
        <f t="shared" si="473"/>
        <v>0</v>
      </c>
      <c r="S3359" s="71">
        <f t="shared" si="474"/>
        <v>0</v>
      </c>
      <c r="T3359" s="71">
        <f t="shared" si="475"/>
        <v>0</v>
      </c>
      <c r="U3359" s="71">
        <f>IF(AND(N3359=1,V3359=1),IF(COUNTIFS(AKTIVITAS!$B$2:$B$3052,B3359,AKTIVITAS!$E$2:$E$3052,H3359)&gt;0,1,0),0)</f>
        <v>1</v>
      </c>
      <c r="V3359" s="71">
        <f>IFERROR(IF(AND(H3359&gt;=INDEX(PEMAGANG!$J$3:$J$36,MATCH(B3359,PEMAGANG!$C$3:$C$36,0)),H3359&lt;=INDEX(PEMAGANG!$K$3:$K$36,MATCH(B3359,PEMAGANG!$C$3:$C$36,0))),1,0),0)</f>
        <v>1</v>
      </c>
      <c r="W3359" s="71">
        <f t="shared" si="476"/>
        <v>1</v>
      </c>
    </row>
    <row r="3360" spans="1:23" x14ac:dyDescent="0.2">
      <c r="A3360" s="71" t="s">
        <v>232</v>
      </c>
      <c r="B3360" s="71" t="s">
        <v>233</v>
      </c>
      <c r="C3360" s="71" t="s">
        <v>187</v>
      </c>
      <c r="D3360" s="71" t="s">
        <v>234</v>
      </c>
      <c r="E3360" s="71" t="s">
        <v>745</v>
      </c>
      <c r="F3360" s="71" t="s">
        <v>300</v>
      </c>
      <c r="G3360" s="88">
        <v>46212.695185185199</v>
      </c>
      <c r="H3360" s="89">
        <v>46212</v>
      </c>
      <c r="I3360" s="71" t="s">
        <v>319</v>
      </c>
      <c r="J3360" s="71">
        <v>0</v>
      </c>
      <c r="K3360" s="71" t="s">
        <v>302</v>
      </c>
      <c r="L3360" s="71">
        <f t="shared" si="468"/>
        <v>7</v>
      </c>
      <c r="M3360" s="71" t="str">
        <f>IFERROR(INDEX(KALENDER!$D$3:$D$132,MATCH(H3360,KALENDER!$A$3:$A$132,0)),"Di luar periode")</f>
        <v>Hari Kerja</v>
      </c>
      <c r="N3360" s="71">
        <f t="shared" si="469"/>
        <v>0</v>
      </c>
      <c r="O3360" s="71">
        <f t="shared" si="470"/>
        <v>1</v>
      </c>
      <c r="P3360" s="71">
        <f t="shared" si="471"/>
        <v>0</v>
      </c>
      <c r="Q3360" s="71">
        <f t="shared" si="472"/>
        <v>0</v>
      </c>
      <c r="R3360" s="71">
        <f t="shared" si="473"/>
        <v>0</v>
      </c>
      <c r="S3360" s="71">
        <f t="shared" si="474"/>
        <v>0</v>
      </c>
      <c r="T3360" s="71">
        <f t="shared" si="475"/>
        <v>0</v>
      </c>
      <c r="U3360" s="71">
        <f>IF(AND(N3360=1,V3360=1),IF(COUNTIFS(AKTIVITAS!$B$2:$B$3052,B3360,AKTIVITAS!$E$2:$E$3052,H3360)&gt;0,1,0),0)</f>
        <v>0</v>
      </c>
      <c r="V3360" s="71">
        <f>IFERROR(IF(AND(H3360&gt;=INDEX(PEMAGANG!$J$3:$J$36,MATCH(B3360,PEMAGANG!$C$3:$C$36,0)),H3360&lt;=INDEX(PEMAGANG!$K$3:$K$36,MATCH(B3360,PEMAGANG!$C$3:$C$36,0))),1,0),0)</f>
        <v>1</v>
      </c>
      <c r="W3360" s="71">
        <f t="shared" si="476"/>
        <v>0</v>
      </c>
    </row>
    <row r="3361" spans="1:23" x14ac:dyDescent="0.2">
      <c r="A3361" s="71" t="s">
        <v>232</v>
      </c>
      <c r="B3361" s="71" t="s">
        <v>233</v>
      </c>
      <c r="C3361" s="71" t="s">
        <v>187</v>
      </c>
      <c r="D3361" s="71" t="s">
        <v>234</v>
      </c>
      <c r="E3361" s="71" t="s">
        <v>745</v>
      </c>
      <c r="F3361" s="71" t="s">
        <v>298</v>
      </c>
      <c r="G3361" s="88">
        <v>46213.302673611099</v>
      </c>
      <c r="H3361" s="89">
        <v>46213</v>
      </c>
      <c r="I3361" s="71" t="s">
        <v>370</v>
      </c>
      <c r="J3361" s="71">
        <v>-15</v>
      </c>
      <c r="K3361" s="71" t="s">
        <v>302</v>
      </c>
      <c r="L3361" s="71">
        <f t="shared" si="468"/>
        <v>7</v>
      </c>
      <c r="M3361" s="71" t="str">
        <f>IFERROR(INDEX(KALENDER!$D$3:$D$132,MATCH(H3361,KALENDER!$A$3:$A$132,0)),"Di luar periode")</f>
        <v>Hari Kerja</v>
      </c>
      <c r="N3361" s="71">
        <f t="shared" si="469"/>
        <v>1</v>
      </c>
      <c r="O3361" s="71">
        <f t="shared" si="470"/>
        <v>1</v>
      </c>
      <c r="P3361" s="71">
        <f t="shared" si="471"/>
        <v>1</v>
      </c>
      <c r="Q3361" s="71">
        <f t="shared" si="472"/>
        <v>0</v>
      </c>
      <c r="R3361" s="71">
        <f t="shared" si="473"/>
        <v>0</v>
      </c>
      <c r="S3361" s="71">
        <f t="shared" si="474"/>
        <v>0</v>
      </c>
      <c r="T3361" s="71">
        <f t="shared" si="475"/>
        <v>0</v>
      </c>
      <c r="U3361" s="71">
        <f>IF(AND(N3361=1,V3361=1),IF(COUNTIFS(AKTIVITAS!$B$2:$B$3052,B3361,AKTIVITAS!$E$2:$E$3052,H3361)&gt;0,1,0),0)</f>
        <v>1</v>
      </c>
      <c r="V3361" s="71">
        <f>IFERROR(IF(AND(H3361&gt;=INDEX(PEMAGANG!$J$3:$J$36,MATCH(B3361,PEMAGANG!$C$3:$C$36,0)),H3361&lt;=INDEX(PEMAGANG!$K$3:$K$36,MATCH(B3361,PEMAGANG!$C$3:$C$36,0))),1,0),0)</f>
        <v>1</v>
      </c>
      <c r="W3361" s="71">
        <f t="shared" si="476"/>
        <v>1</v>
      </c>
    </row>
    <row r="3362" spans="1:23" x14ac:dyDescent="0.2">
      <c r="A3362" s="71" t="s">
        <v>232</v>
      </c>
      <c r="B3362" s="71" t="s">
        <v>233</v>
      </c>
      <c r="C3362" s="71" t="s">
        <v>187</v>
      </c>
      <c r="D3362" s="71" t="s">
        <v>234</v>
      </c>
      <c r="E3362" s="71" t="s">
        <v>745</v>
      </c>
      <c r="F3362" s="71" t="s">
        <v>300</v>
      </c>
      <c r="G3362" s="88">
        <v>46213.690162036997</v>
      </c>
      <c r="H3362" s="89">
        <v>46213</v>
      </c>
      <c r="I3362" s="71" t="s">
        <v>316</v>
      </c>
      <c r="J3362" s="71">
        <v>0</v>
      </c>
      <c r="K3362" s="71" t="s">
        <v>302</v>
      </c>
      <c r="L3362" s="71">
        <f t="shared" si="468"/>
        <v>7</v>
      </c>
      <c r="M3362" s="71" t="str">
        <f>IFERROR(INDEX(KALENDER!$D$3:$D$132,MATCH(H3362,KALENDER!$A$3:$A$132,0)),"Di luar periode")</f>
        <v>Hari Kerja</v>
      </c>
      <c r="N3362" s="71">
        <f t="shared" si="469"/>
        <v>0</v>
      </c>
      <c r="O3362" s="71">
        <f t="shared" si="470"/>
        <v>1</v>
      </c>
      <c r="P3362" s="71">
        <f t="shared" si="471"/>
        <v>0</v>
      </c>
      <c r="Q3362" s="71">
        <f t="shared" si="472"/>
        <v>0</v>
      </c>
      <c r="R3362" s="71">
        <f t="shared" si="473"/>
        <v>0</v>
      </c>
      <c r="S3362" s="71">
        <f t="shared" si="474"/>
        <v>0</v>
      </c>
      <c r="T3362" s="71">
        <f t="shared" si="475"/>
        <v>0</v>
      </c>
      <c r="U3362" s="71">
        <f>IF(AND(N3362=1,V3362=1),IF(COUNTIFS(AKTIVITAS!$B$2:$B$3052,B3362,AKTIVITAS!$E$2:$E$3052,H3362)&gt;0,1,0),0)</f>
        <v>0</v>
      </c>
      <c r="V3362" s="71">
        <f>IFERROR(IF(AND(H3362&gt;=INDEX(PEMAGANG!$J$3:$J$36,MATCH(B3362,PEMAGANG!$C$3:$C$36,0)),H3362&lt;=INDEX(PEMAGANG!$K$3:$K$36,MATCH(B3362,PEMAGANG!$C$3:$C$36,0))),1,0),0)</f>
        <v>1</v>
      </c>
      <c r="W3362" s="71">
        <f t="shared" si="476"/>
        <v>0</v>
      </c>
    </row>
    <row r="3363" spans="1:23" x14ac:dyDescent="0.2">
      <c r="A3363" s="71" t="s">
        <v>232</v>
      </c>
      <c r="B3363" s="71" t="s">
        <v>233</v>
      </c>
      <c r="C3363" s="71" t="s">
        <v>187</v>
      </c>
      <c r="D3363" s="71" t="s">
        <v>234</v>
      </c>
      <c r="E3363" s="71" t="s">
        <v>745</v>
      </c>
      <c r="F3363" s="71" t="s">
        <v>298</v>
      </c>
      <c r="G3363" s="88">
        <v>46216.304629629602</v>
      </c>
      <c r="H3363" s="89">
        <v>46216</v>
      </c>
      <c r="I3363" s="71" t="s">
        <v>326</v>
      </c>
      <c r="J3363" s="71">
        <v>-12</v>
      </c>
      <c r="K3363" s="71" t="s">
        <v>302</v>
      </c>
      <c r="L3363" s="71">
        <f t="shared" si="468"/>
        <v>7</v>
      </c>
      <c r="M3363" s="71" t="str">
        <f>IFERROR(INDEX(KALENDER!$D$3:$D$132,MATCH(H3363,KALENDER!$A$3:$A$132,0)),"Di luar periode")</f>
        <v>Hari Kerja</v>
      </c>
      <c r="N3363" s="71">
        <f t="shared" si="469"/>
        <v>1</v>
      </c>
      <c r="O3363" s="71">
        <f t="shared" si="470"/>
        <v>1</v>
      </c>
      <c r="P3363" s="71">
        <f t="shared" si="471"/>
        <v>1</v>
      </c>
      <c r="Q3363" s="71">
        <f t="shared" si="472"/>
        <v>0</v>
      </c>
      <c r="R3363" s="71">
        <f t="shared" si="473"/>
        <v>0</v>
      </c>
      <c r="S3363" s="71">
        <f t="shared" si="474"/>
        <v>0</v>
      </c>
      <c r="T3363" s="71">
        <f t="shared" si="475"/>
        <v>0</v>
      </c>
      <c r="U3363" s="71">
        <f>IF(AND(N3363=1,V3363=1),IF(COUNTIFS(AKTIVITAS!$B$2:$B$3052,B3363,AKTIVITAS!$E$2:$E$3052,H3363)&gt;0,1,0),0)</f>
        <v>1</v>
      </c>
      <c r="V3363" s="71">
        <f>IFERROR(IF(AND(H3363&gt;=INDEX(PEMAGANG!$J$3:$J$36,MATCH(B3363,PEMAGANG!$C$3:$C$36,0)),H3363&lt;=INDEX(PEMAGANG!$K$3:$K$36,MATCH(B3363,PEMAGANG!$C$3:$C$36,0))),1,0),0)</f>
        <v>1</v>
      </c>
      <c r="W3363" s="71">
        <f t="shared" si="476"/>
        <v>1</v>
      </c>
    </row>
    <row r="3364" spans="1:23" x14ac:dyDescent="0.2">
      <c r="A3364" s="71" t="s">
        <v>232</v>
      </c>
      <c r="B3364" s="71" t="s">
        <v>233</v>
      </c>
      <c r="C3364" s="71" t="s">
        <v>187</v>
      </c>
      <c r="D3364" s="71" t="s">
        <v>234</v>
      </c>
      <c r="E3364" s="71" t="s">
        <v>745</v>
      </c>
      <c r="F3364" s="71" t="s">
        <v>300</v>
      </c>
      <c r="G3364" s="88">
        <v>46216.736331018503</v>
      </c>
      <c r="H3364" s="89">
        <v>46216</v>
      </c>
      <c r="I3364" s="71" t="s">
        <v>746</v>
      </c>
      <c r="J3364" s="71">
        <v>0</v>
      </c>
      <c r="K3364" s="71" t="s">
        <v>302</v>
      </c>
      <c r="L3364" s="71">
        <f t="shared" si="468"/>
        <v>7</v>
      </c>
      <c r="M3364" s="71" t="str">
        <f>IFERROR(INDEX(KALENDER!$D$3:$D$132,MATCH(H3364,KALENDER!$A$3:$A$132,0)),"Di luar periode")</f>
        <v>Hari Kerja</v>
      </c>
      <c r="N3364" s="71">
        <f t="shared" si="469"/>
        <v>0</v>
      </c>
      <c r="O3364" s="71">
        <f t="shared" si="470"/>
        <v>1</v>
      </c>
      <c r="P3364" s="71">
        <f t="shared" si="471"/>
        <v>0</v>
      </c>
      <c r="Q3364" s="71">
        <f t="shared" si="472"/>
        <v>0</v>
      </c>
      <c r="R3364" s="71">
        <f t="shared" si="473"/>
        <v>0</v>
      </c>
      <c r="S3364" s="71">
        <f t="shared" si="474"/>
        <v>0</v>
      </c>
      <c r="T3364" s="71">
        <f t="shared" si="475"/>
        <v>0</v>
      </c>
      <c r="U3364" s="71">
        <f>IF(AND(N3364=1,V3364=1),IF(COUNTIFS(AKTIVITAS!$B$2:$B$3052,B3364,AKTIVITAS!$E$2:$E$3052,H3364)&gt;0,1,0),0)</f>
        <v>0</v>
      </c>
      <c r="V3364" s="71">
        <f>IFERROR(IF(AND(H3364&gt;=INDEX(PEMAGANG!$J$3:$J$36,MATCH(B3364,PEMAGANG!$C$3:$C$36,0)),H3364&lt;=INDEX(PEMAGANG!$K$3:$K$36,MATCH(B3364,PEMAGANG!$C$3:$C$36,0))),1,0),0)</f>
        <v>1</v>
      </c>
      <c r="W3364" s="71">
        <f t="shared" si="476"/>
        <v>0</v>
      </c>
    </row>
    <row r="3365" spans="1:23" x14ac:dyDescent="0.2">
      <c r="A3365" s="71" t="s">
        <v>232</v>
      </c>
      <c r="B3365" s="71" t="s">
        <v>233</v>
      </c>
      <c r="C3365" s="71" t="s">
        <v>187</v>
      </c>
      <c r="D3365" s="71" t="s">
        <v>234</v>
      </c>
      <c r="E3365" s="71" t="s">
        <v>745</v>
      </c>
      <c r="F3365" s="71" t="s">
        <v>298</v>
      </c>
      <c r="G3365" s="88">
        <v>46217.303240740701</v>
      </c>
      <c r="H3365" s="89">
        <v>46217</v>
      </c>
      <c r="I3365" s="71" t="s">
        <v>327</v>
      </c>
      <c r="J3365" s="71">
        <v>-14</v>
      </c>
      <c r="K3365" s="71" t="s">
        <v>302</v>
      </c>
      <c r="L3365" s="71">
        <f t="shared" si="468"/>
        <v>7</v>
      </c>
      <c r="M3365" s="71" t="str">
        <f>IFERROR(INDEX(KALENDER!$D$3:$D$132,MATCH(H3365,KALENDER!$A$3:$A$132,0)),"Di luar periode")</f>
        <v>Hari Kerja</v>
      </c>
      <c r="N3365" s="71">
        <f t="shared" si="469"/>
        <v>1</v>
      </c>
      <c r="O3365" s="71">
        <f t="shared" si="470"/>
        <v>1</v>
      </c>
      <c r="P3365" s="71">
        <f t="shared" si="471"/>
        <v>1</v>
      </c>
      <c r="Q3365" s="71">
        <f t="shared" si="472"/>
        <v>0</v>
      </c>
      <c r="R3365" s="71">
        <f t="shared" si="473"/>
        <v>0</v>
      </c>
      <c r="S3365" s="71">
        <f t="shared" si="474"/>
        <v>0</v>
      </c>
      <c r="T3365" s="71">
        <f t="shared" si="475"/>
        <v>0</v>
      </c>
      <c r="U3365" s="71">
        <f>IF(AND(N3365=1,V3365=1),IF(COUNTIFS(AKTIVITAS!$B$2:$B$3052,B3365,AKTIVITAS!$E$2:$E$3052,H3365)&gt;0,1,0),0)</f>
        <v>1</v>
      </c>
      <c r="V3365" s="71">
        <f>IFERROR(IF(AND(H3365&gt;=INDEX(PEMAGANG!$J$3:$J$36,MATCH(B3365,PEMAGANG!$C$3:$C$36,0)),H3365&lt;=INDEX(PEMAGANG!$K$3:$K$36,MATCH(B3365,PEMAGANG!$C$3:$C$36,0))),1,0),0)</f>
        <v>1</v>
      </c>
      <c r="W3365" s="71">
        <f t="shared" si="476"/>
        <v>1</v>
      </c>
    </row>
    <row r="3366" spans="1:23" x14ac:dyDescent="0.2">
      <c r="A3366" s="71" t="s">
        <v>232</v>
      </c>
      <c r="B3366" s="71" t="s">
        <v>233</v>
      </c>
      <c r="C3366" s="71" t="s">
        <v>187</v>
      </c>
      <c r="D3366" s="71" t="s">
        <v>234</v>
      </c>
      <c r="E3366" s="71" t="s">
        <v>745</v>
      </c>
      <c r="F3366" s="71" t="s">
        <v>300</v>
      </c>
      <c r="G3366" s="88">
        <v>46217.699467592603</v>
      </c>
      <c r="H3366" s="89">
        <v>46217</v>
      </c>
      <c r="I3366" s="71" t="s">
        <v>337</v>
      </c>
      <c r="J3366" s="71">
        <v>0</v>
      </c>
      <c r="K3366" s="71" t="s">
        <v>302</v>
      </c>
      <c r="L3366" s="71">
        <f t="shared" si="468"/>
        <v>7</v>
      </c>
      <c r="M3366" s="71" t="str">
        <f>IFERROR(INDEX(KALENDER!$D$3:$D$132,MATCH(H3366,KALENDER!$A$3:$A$132,0)),"Di luar periode")</f>
        <v>Hari Kerja</v>
      </c>
      <c r="N3366" s="71">
        <f t="shared" si="469"/>
        <v>0</v>
      </c>
      <c r="O3366" s="71">
        <f t="shared" si="470"/>
        <v>1</v>
      </c>
      <c r="P3366" s="71">
        <f t="shared" si="471"/>
        <v>0</v>
      </c>
      <c r="Q3366" s="71">
        <f t="shared" si="472"/>
        <v>0</v>
      </c>
      <c r="R3366" s="71">
        <f t="shared" si="473"/>
        <v>0</v>
      </c>
      <c r="S3366" s="71">
        <f t="shared" si="474"/>
        <v>0</v>
      </c>
      <c r="T3366" s="71">
        <f t="shared" si="475"/>
        <v>0</v>
      </c>
      <c r="U3366" s="71">
        <f>IF(AND(N3366=1,V3366=1),IF(COUNTIFS(AKTIVITAS!$B$2:$B$3052,B3366,AKTIVITAS!$E$2:$E$3052,H3366)&gt;0,1,0),0)</f>
        <v>0</v>
      </c>
      <c r="V3366" s="71">
        <f>IFERROR(IF(AND(H3366&gt;=INDEX(PEMAGANG!$J$3:$J$36,MATCH(B3366,PEMAGANG!$C$3:$C$36,0)),H3366&lt;=INDEX(PEMAGANG!$K$3:$K$36,MATCH(B3366,PEMAGANG!$C$3:$C$36,0))),1,0),0)</f>
        <v>1</v>
      </c>
      <c r="W3366" s="71">
        <f t="shared" si="476"/>
        <v>0</v>
      </c>
    </row>
    <row r="3367" spans="1:23" x14ac:dyDescent="0.2">
      <c r="A3367" s="71" t="s">
        <v>232</v>
      </c>
      <c r="B3367" s="71" t="s">
        <v>233</v>
      </c>
      <c r="C3367" s="71" t="s">
        <v>187</v>
      </c>
      <c r="D3367" s="71" t="s">
        <v>234</v>
      </c>
      <c r="E3367" s="71" t="s">
        <v>745</v>
      </c>
      <c r="F3367" s="71" t="s">
        <v>298</v>
      </c>
      <c r="G3367" s="88">
        <v>46218.303981481498</v>
      </c>
      <c r="H3367" s="89">
        <v>46218</v>
      </c>
      <c r="I3367" s="71" t="s">
        <v>331</v>
      </c>
      <c r="J3367" s="71">
        <v>-13</v>
      </c>
      <c r="K3367" s="71" t="s">
        <v>302</v>
      </c>
      <c r="L3367" s="71">
        <f t="shared" si="468"/>
        <v>7</v>
      </c>
      <c r="M3367" s="71" t="str">
        <f>IFERROR(INDEX(KALENDER!$D$3:$D$132,MATCH(H3367,KALENDER!$A$3:$A$132,0)),"Di luar periode")</f>
        <v>WFH</v>
      </c>
      <c r="N3367" s="71">
        <f t="shared" si="469"/>
        <v>1</v>
      </c>
      <c r="O3367" s="71">
        <f t="shared" si="470"/>
        <v>1</v>
      </c>
      <c r="P3367" s="71">
        <f t="shared" si="471"/>
        <v>0</v>
      </c>
      <c r="Q3367" s="71">
        <f t="shared" si="472"/>
        <v>1</v>
      </c>
      <c r="R3367" s="71">
        <f t="shared" si="473"/>
        <v>0</v>
      </c>
      <c r="S3367" s="71">
        <f t="shared" si="474"/>
        <v>0</v>
      </c>
      <c r="T3367" s="71">
        <f t="shared" si="475"/>
        <v>0</v>
      </c>
      <c r="U3367" s="71">
        <f>IF(AND(N3367=1,V3367=1),IF(COUNTIFS(AKTIVITAS!$B$2:$B$3052,B3367,AKTIVITAS!$E$2:$E$3052,H3367)&gt;0,1,0),0)</f>
        <v>1</v>
      </c>
      <c r="V3367" s="71">
        <f>IFERROR(IF(AND(H3367&gt;=INDEX(PEMAGANG!$J$3:$J$36,MATCH(B3367,PEMAGANG!$C$3:$C$36,0)),H3367&lt;=INDEX(PEMAGANG!$K$3:$K$36,MATCH(B3367,PEMAGANG!$C$3:$C$36,0))),1,0),0)</f>
        <v>1</v>
      </c>
      <c r="W3367" s="71">
        <f t="shared" si="476"/>
        <v>1</v>
      </c>
    </row>
    <row r="3368" spans="1:23" x14ac:dyDescent="0.2">
      <c r="A3368" s="71" t="s">
        <v>232</v>
      </c>
      <c r="B3368" s="71" t="s">
        <v>233</v>
      </c>
      <c r="C3368" s="71" t="s">
        <v>187</v>
      </c>
      <c r="D3368" s="71" t="s">
        <v>234</v>
      </c>
      <c r="E3368" s="71" t="s">
        <v>745</v>
      </c>
      <c r="F3368" s="71" t="s">
        <v>300</v>
      </c>
      <c r="G3368" s="88">
        <v>46218.6968865741</v>
      </c>
      <c r="H3368" s="89">
        <v>46218</v>
      </c>
      <c r="I3368" s="71" t="s">
        <v>347</v>
      </c>
      <c r="J3368" s="71">
        <v>0</v>
      </c>
      <c r="K3368" s="71" t="s">
        <v>302</v>
      </c>
      <c r="L3368" s="71">
        <f t="shared" si="468"/>
        <v>7</v>
      </c>
      <c r="M3368" s="71" t="str">
        <f>IFERROR(INDEX(KALENDER!$D$3:$D$132,MATCH(H3368,KALENDER!$A$3:$A$132,0)),"Di luar periode")</f>
        <v>WFH</v>
      </c>
      <c r="N3368" s="71">
        <f t="shared" si="469"/>
        <v>0</v>
      </c>
      <c r="O3368" s="71">
        <f t="shared" si="470"/>
        <v>1</v>
      </c>
      <c r="P3368" s="71">
        <f t="shared" si="471"/>
        <v>0</v>
      </c>
      <c r="Q3368" s="71">
        <f t="shared" si="472"/>
        <v>0</v>
      </c>
      <c r="R3368" s="71">
        <f t="shared" si="473"/>
        <v>0</v>
      </c>
      <c r="S3368" s="71">
        <f t="shared" si="474"/>
        <v>0</v>
      </c>
      <c r="T3368" s="71">
        <f t="shared" si="475"/>
        <v>0</v>
      </c>
      <c r="U3368" s="71">
        <f>IF(AND(N3368=1,V3368=1),IF(COUNTIFS(AKTIVITAS!$B$2:$B$3052,B3368,AKTIVITAS!$E$2:$E$3052,H3368)&gt;0,1,0),0)</f>
        <v>0</v>
      </c>
      <c r="V3368" s="71">
        <f>IFERROR(IF(AND(H3368&gt;=INDEX(PEMAGANG!$J$3:$J$36,MATCH(B3368,PEMAGANG!$C$3:$C$36,0)),H3368&lt;=INDEX(PEMAGANG!$K$3:$K$36,MATCH(B3368,PEMAGANG!$C$3:$C$36,0))),1,0),0)</f>
        <v>1</v>
      </c>
      <c r="W3368" s="71">
        <f t="shared" si="476"/>
        <v>0</v>
      </c>
    </row>
    <row r="3369" spans="1:23" x14ac:dyDescent="0.2">
      <c r="A3369" s="71" t="s">
        <v>232</v>
      </c>
      <c r="B3369" s="71" t="s">
        <v>233</v>
      </c>
      <c r="C3369" s="71" t="s">
        <v>187</v>
      </c>
      <c r="D3369" s="71" t="s">
        <v>234</v>
      </c>
      <c r="E3369" s="71" t="s">
        <v>745</v>
      </c>
      <c r="F3369" s="71" t="s">
        <v>298</v>
      </c>
      <c r="G3369" s="88">
        <v>46219.3043287037</v>
      </c>
      <c r="H3369" s="89">
        <v>46219</v>
      </c>
      <c r="I3369" s="71" t="s">
        <v>326</v>
      </c>
      <c r="J3369" s="71">
        <v>-12</v>
      </c>
      <c r="K3369" s="71" t="s">
        <v>302</v>
      </c>
      <c r="L3369" s="71">
        <f t="shared" si="468"/>
        <v>7</v>
      </c>
      <c r="M3369" s="71" t="str">
        <f>IFERROR(INDEX(KALENDER!$D$3:$D$132,MATCH(H3369,KALENDER!$A$3:$A$132,0)),"Di luar periode")</f>
        <v>Hari Kerja</v>
      </c>
      <c r="N3369" s="71">
        <f t="shared" si="469"/>
        <v>1</v>
      </c>
      <c r="O3369" s="71">
        <f t="shared" si="470"/>
        <v>1</v>
      </c>
      <c r="P3369" s="71">
        <f t="shared" si="471"/>
        <v>1</v>
      </c>
      <c r="Q3369" s="71">
        <f t="shared" si="472"/>
        <v>0</v>
      </c>
      <c r="R3369" s="71">
        <f t="shared" si="473"/>
        <v>0</v>
      </c>
      <c r="S3369" s="71">
        <f t="shared" si="474"/>
        <v>0</v>
      </c>
      <c r="T3369" s="71">
        <f t="shared" si="475"/>
        <v>0</v>
      </c>
      <c r="U3369" s="71">
        <f>IF(AND(N3369=1,V3369=1),IF(COUNTIFS(AKTIVITAS!$B$2:$B$3052,B3369,AKTIVITAS!$E$2:$E$3052,H3369)&gt;0,1,0),0)</f>
        <v>1</v>
      </c>
      <c r="V3369" s="71">
        <f>IFERROR(IF(AND(H3369&gt;=INDEX(PEMAGANG!$J$3:$J$36,MATCH(B3369,PEMAGANG!$C$3:$C$36,0)),H3369&lt;=INDEX(PEMAGANG!$K$3:$K$36,MATCH(B3369,PEMAGANG!$C$3:$C$36,0))),1,0),0)</f>
        <v>1</v>
      </c>
      <c r="W3369" s="71">
        <f t="shared" si="476"/>
        <v>1</v>
      </c>
    </row>
    <row r="3370" spans="1:23" x14ac:dyDescent="0.2">
      <c r="A3370" s="71" t="s">
        <v>232</v>
      </c>
      <c r="B3370" s="71" t="s">
        <v>233</v>
      </c>
      <c r="C3370" s="71" t="s">
        <v>187</v>
      </c>
      <c r="D3370" s="71" t="s">
        <v>234</v>
      </c>
      <c r="E3370" s="71" t="s">
        <v>745</v>
      </c>
      <c r="F3370" s="71" t="s">
        <v>300</v>
      </c>
      <c r="G3370" s="88">
        <v>46219.696250000001</v>
      </c>
      <c r="H3370" s="89">
        <v>46219</v>
      </c>
      <c r="I3370" s="71" t="s">
        <v>320</v>
      </c>
      <c r="J3370" s="71">
        <v>0</v>
      </c>
      <c r="K3370" s="71" t="s">
        <v>302</v>
      </c>
      <c r="L3370" s="71">
        <f t="shared" si="468"/>
        <v>7</v>
      </c>
      <c r="M3370" s="71" t="str">
        <f>IFERROR(INDEX(KALENDER!$D$3:$D$132,MATCH(H3370,KALENDER!$A$3:$A$132,0)),"Di luar periode")</f>
        <v>Hari Kerja</v>
      </c>
      <c r="N3370" s="71">
        <f t="shared" si="469"/>
        <v>0</v>
      </c>
      <c r="O3370" s="71">
        <f t="shared" si="470"/>
        <v>1</v>
      </c>
      <c r="P3370" s="71">
        <f t="shared" si="471"/>
        <v>0</v>
      </c>
      <c r="Q3370" s="71">
        <f t="shared" si="472"/>
        <v>0</v>
      </c>
      <c r="R3370" s="71">
        <f t="shared" si="473"/>
        <v>0</v>
      </c>
      <c r="S3370" s="71">
        <f t="shared" si="474"/>
        <v>0</v>
      </c>
      <c r="T3370" s="71">
        <f t="shared" si="475"/>
        <v>0</v>
      </c>
      <c r="U3370" s="71">
        <f>IF(AND(N3370=1,V3370=1),IF(COUNTIFS(AKTIVITAS!$B$2:$B$3052,B3370,AKTIVITAS!$E$2:$E$3052,H3370)&gt;0,1,0),0)</f>
        <v>0</v>
      </c>
      <c r="V3370" s="71">
        <f>IFERROR(IF(AND(H3370&gt;=INDEX(PEMAGANG!$J$3:$J$36,MATCH(B3370,PEMAGANG!$C$3:$C$36,0)),H3370&lt;=INDEX(PEMAGANG!$K$3:$K$36,MATCH(B3370,PEMAGANG!$C$3:$C$36,0))),1,0),0)</f>
        <v>1</v>
      </c>
      <c r="W3370" s="71">
        <f t="shared" si="476"/>
        <v>0</v>
      </c>
    </row>
    <row r="3371" spans="1:23" x14ac:dyDescent="0.2">
      <c r="A3371" s="71" t="s">
        <v>232</v>
      </c>
      <c r="B3371" s="71" t="s">
        <v>233</v>
      </c>
      <c r="C3371" s="71" t="s">
        <v>187</v>
      </c>
      <c r="D3371" s="71" t="s">
        <v>234</v>
      </c>
      <c r="E3371" s="71" t="s">
        <v>745</v>
      </c>
      <c r="F3371" s="71" t="s">
        <v>298</v>
      </c>
      <c r="G3371" s="88">
        <v>46220.3050925926</v>
      </c>
      <c r="H3371" s="89">
        <v>46220</v>
      </c>
      <c r="I3371" s="71" t="s">
        <v>321</v>
      </c>
      <c r="J3371" s="71">
        <v>-11</v>
      </c>
      <c r="K3371" s="71" t="s">
        <v>302</v>
      </c>
      <c r="L3371" s="71">
        <f t="shared" si="468"/>
        <v>7</v>
      </c>
      <c r="M3371" s="71" t="str">
        <f>IFERROR(INDEX(KALENDER!$D$3:$D$132,MATCH(H3371,KALENDER!$A$3:$A$132,0)),"Di luar periode")</f>
        <v>Hari Kerja</v>
      </c>
      <c r="N3371" s="71">
        <f t="shared" si="469"/>
        <v>1</v>
      </c>
      <c r="O3371" s="71">
        <f t="shared" si="470"/>
        <v>1</v>
      </c>
      <c r="P3371" s="71">
        <f t="shared" si="471"/>
        <v>1</v>
      </c>
      <c r="Q3371" s="71">
        <f t="shared" si="472"/>
        <v>0</v>
      </c>
      <c r="R3371" s="71">
        <f t="shared" si="473"/>
        <v>0</v>
      </c>
      <c r="S3371" s="71">
        <f t="shared" si="474"/>
        <v>0</v>
      </c>
      <c r="T3371" s="71">
        <f t="shared" si="475"/>
        <v>0</v>
      </c>
      <c r="U3371" s="71">
        <f>IF(AND(N3371=1,V3371=1),IF(COUNTIFS(AKTIVITAS!$B$2:$B$3052,B3371,AKTIVITAS!$E$2:$E$3052,H3371)&gt;0,1,0),0)</f>
        <v>1</v>
      </c>
      <c r="V3371" s="71">
        <f>IFERROR(IF(AND(H3371&gt;=INDEX(PEMAGANG!$J$3:$J$36,MATCH(B3371,PEMAGANG!$C$3:$C$36,0)),H3371&lt;=INDEX(PEMAGANG!$K$3:$K$36,MATCH(B3371,PEMAGANG!$C$3:$C$36,0))),1,0),0)</f>
        <v>1</v>
      </c>
      <c r="W3371" s="71">
        <f t="shared" si="476"/>
        <v>1</v>
      </c>
    </row>
    <row r="3372" spans="1:23" x14ac:dyDescent="0.2">
      <c r="A3372" s="71" t="s">
        <v>232</v>
      </c>
      <c r="B3372" s="71" t="s">
        <v>233</v>
      </c>
      <c r="C3372" s="71" t="s">
        <v>187</v>
      </c>
      <c r="D3372" s="71" t="s">
        <v>234</v>
      </c>
      <c r="E3372" s="71" t="s">
        <v>745</v>
      </c>
      <c r="F3372" s="71" t="s">
        <v>300</v>
      </c>
      <c r="G3372" s="88">
        <v>46220.700092592597</v>
      </c>
      <c r="H3372" s="89">
        <v>46220</v>
      </c>
      <c r="I3372" s="71" t="s">
        <v>346</v>
      </c>
      <c r="J3372" s="71">
        <v>0</v>
      </c>
      <c r="K3372" s="71" t="s">
        <v>302</v>
      </c>
      <c r="L3372" s="71">
        <f t="shared" si="468"/>
        <v>7</v>
      </c>
      <c r="M3372" s="71" t="str">
        <f>IFERROR(INDEX(KALENDER!$D$3:$D$132,MATCH(H3372,KALENDER!$A$3:$A$132,0)),"Di luar periode")</f>
        <v>Hari Kerja</v>
      </c>
      <c r="N3372" s="71">
        <f t="shared" si="469"/>
        <v>0</v>
      </c>
      <c r="O3372" s="71">
        <f t="shared" si="470"/>
        <v>1</v>
      </c>
      <c r="P3372" s="71">
        <f t="shared" si="471"/>
        <v>0</v>
      </c>
      <c r="Q3372" s="71">
        <f t="shared" si="472"/>
        <v>0</v>
      </c>
      <c r="R3372" s="71">
        <f t="shared" si="473"/>
        <v>0</v>
      </c>
      <c r="S3372" s="71">
        <f t="shared" si="474"/>
        <v>0</v>
      </c>
      <c r="T3372" s="71">
        <f t="shared" si="475"/>
        <v>0</v>
      </c>
      <c r="U3372" s="71">
        <f>IF(AND(N3372=1,V3372=1),IF(COUNTIFS(AKTIVITAS!$B$2:$B$3052,B3372,AKTIVITAS!$E$2:$E$3052,H3372)&gt;0,1,0),0)</f>
        <v>0</v>
      </c>
      <c r="V3372" s="71">
        <f>IFERROR(IF(AND(H3372&gt;=INDEX(PEMAGANG!$J$3:$J$36,MATCH(B3372,PEMAGANG!$C$3:$C$36,0)),H3372&lt;=INDEX(PEMAGANG!$K$3:$K$36,MATCH(B3372,PEMAGANG!$C$3:$C$36,0))),1,0),0)</f>
        <v>1</v>
      </c>
      <c r="W3372" s="71">
        <f t="shared" si="476"/>
        <v>0</v>
      </c>
    </row>
    <row r="3373" spans="1:23" x14ac:dyDescent="0.2">
      <c r="A3373" s="71" t="s">
        <v>232</v>
      </c>
      <c r="B3373" s="71" t="s">
        <v>233</v>
      </c>
      <c r="C3373" s="71" t="s">
        <v>187</v>
      </c>
      <c r="D3373" s="71" t="s">
        <v>234</v>
      </c>
      <c r="E3373" s="71" t="s">
        <v>745</v>
      </c>
      <c r="F3373" s="71" t="s">
        <v>298</v>
      </c>
      <c r="G3373" s="88">
        <v>46223.3061689815</v>
      </c>
      <c r="H3373" s="89">
        <v>46223</v>
      </c>
      <c r="I3373" s="71" t="s">
        <v>329</v>
      </c>
      <c r="J3373" s="71">
        <v>-10</v>
      </c>
      <c r="K3373" s="71" t="s">
        <v>302</v>
      </c>
      <c r="L3373" s="71">
        <f t="shared" si="468"/>
        <v>7</v>
      </c>
      <c r="M3373" s="71" t="str">
        <f>IFERROR(INDEX(KALENDER!$D$3:$D$132,MATCH(H3373,KALENDER!$A$3:$A$132,0)),"Di luar periode")</f>
        <v>Hari Kerja</v>
      </c>
      <c r="N3373" s="71">
        <f t="shared" si="469"/>
        <v>1</v>
      </c>
      <c r="O3373" s="71">
        <f t="shared" si="470"/>
        <v>1</v>
      </c>
      <c r="P3373" s="71">
        <f t="shared" si="471"/>
        <v>1</v>
      </c>
      <c r="Q3373" s="71">
        <f t="shared" si="472"/>
        <v>0</v>
      </c>
      <c r="R3373" s="71">
        <f t="shared" si="473"/>
        <v>0</v>
      </c>
      <c r="S3373" s="71">
        <f t="shared" si="474"/>
        <v>0</v>
      </c>
      <c r="T3373" s="71">
        <f t="shared" si="475"/>
        <v>0</v>
      </c>
      <c r="U3373" s="71">
        <f>IF(AND(N3373=1,V3373=1),IF(COUNTIFS(AKTIVITAS!$B$2:$B$3052,B3373,AKTIVITAS!$E$2:$E$3052,H3373)&gt;0,1,0),0)</f>
        <v>1</v>
      </c>
      <c r="V3373" s="71">
        <f>IFERROR(IF(AND(H3373&gt;=INDEX(PEMAGANG!$J$3:$J$36,MATCH(B3373,PEMAGANG!$C$3:$C$36,0)),H3373&lt;=INDEX(PEMAGANG!$K$3:$K$36,MATCH(B3373,PEMAGANG!$C$3:$C$36,0))),1,0),0)</f>
        <v>1</v>
      </c>
      <c r="W3373" s="71">
        <f t="shared" si="476"/>
        <v>1</v>
      </c>
    </row>
    <row r="3374" spans="1:23" x14ac:dyDescent="0.2">
      <c r="A3374" s="71" t="s">
        <v>232</v>
      </c>
      <c r="B3374" s="71" t="s">
        <v>233</v>
      </c>
      <c r="C3374" s="71" t="s">
        <v>187</v>
      </c>
      <c r="D3374" s="71" t="s">
        <v>234</v>
      </c>
      <c r="E3374" s="71" t="s">
        <v>745</v>
      </c>
      <c r="F3374" s="71" t="s">
        <v>300</v>
      </c>
      <c r="G3374" s="88">
        <v>46223.699201388903</v>
      </c>
      <c r="H3374" s="89">
        <v>46223</v>
      </c>
      <c r="I3374" s="71" t="s">
        <v>488</v>
      </c>
      <c r="J3374" s="71">
        <v>0</v>
      </c>
      <c r="K3374" s="71" t="s">
        <v>302</v>
      </c>
      <c r="L3374" s="71">
        <f t="shared" si="468"/>
        <v>7</v>
      </c>
      <c r="M3374" s="71" t="str">
        <f>IFERROR(INDEX(KALENDER!$D$3:$D$132,MATCH(H3374,KALENDER!$A$3:$A$132,0)),"Di luar periode")</f>
        <v>Hari Kerja</v>
      </c>
      <c r="N3374" s="71">
        <f t="shared" si="469"/>
        <v>0</v>
      </c>
      <c r="O3374" s="71">
        <f t="shared" si="470"/>
        <v>1</v>
      </c>
      <c r="P3374" s="71">
        <f t="shared" si="471"/>
        <v>0</v>
      </c>
      <c r="Q3374" s="71">
        <f t="shared" si="472"/>
        <v>0</v>
      </c>
      <c r="R3374" s="71">
        <f t="shared" si="473"/>
        <v>0</v>
      </c>
      <c r="S3374" s="71">
        <f t="shared" si="474"/>
        <v>0</v>
      </c>
      <c r="T3374" s="71">
        <f t="shared" si="475"/>
        <v>0</v>
      </c>
      <c r="U3374" s="71">
        <f>IF(AND(N3374=1,V3374=1),IF(COUNTIFS(AKTIVITAS!$B$2:$B$3052,B3374,AKTIVITAS!$E$2:$E$3052,H3374)&gt;0,1,0),0)</f>
        <v>0</v>
      </c>
      <c r="V3374" s="71">
        <f>IFERROR(IF(AND(H3374&gt;=INDEX(PEMAGANG!$J$3:$J$36,MATCH(B3374,PEMAGANG!$C$3:$C$36,0)),H3374&lt;=INDEX(PEMAGANG!$K$3:$K$36,MATCH(B3374,PEMAGANG!$C$3:$C$36,0))),1,0),0)</f>
        <v>1</v>
      </c>
      <c r="W3374" s="71">
        <f t="shared" si="476"/>
        <v>0</v>
      </c>
    </row>
    <row r="3375" spans="1:23" x14ac:dyDescent="0.2">
      <c r="A3375" s="71" t="s">
        <v>232</v>
      </c>
      <c r="B3375" s="71" t="s">
        <v>233</v>
      </c>
      <c r="C3375" s="71" t="s">
        <v>187</v>
      </c>
      <c r="D3375" s="71" t="s">
        <v>234</v>
      </c>
      <c r="E3375" s="71" t="s">
        <v>745</v>
      </c>
      <c r="F3375" s="71" t="s">
        <v>298</v>
      </c>
      <c r="G3375" s="88">
        <v>46224.307175925896</v>
      </c>
      <c r="H3375" s="89">
        <v>46224</v>
      </c>
      <c r="I3375" s="71" t="s">
        <v>313</v>
      </c>
      <c r="J3375" s="71">
        <v>-8.0000000000000497</v>
      </c>
      <c r="K3375" s="71" t="s">
        <v>302</v>
      </c>
      <c r="L3375" s="71">
        <f t="shared" si="468"/>
        <v>7</v>
      </c>
      <c r="M3375" s="71" t="str">
        <f>IFERROR(INDEX(KALENDER!$D$3:$D$132,MATCH(H3375,KALENDER!$A$3:$A$132,0)),"Di luar periode")</f>
        <v>Hari Kerja</v>
      </c>
      <c r="N3375" s="71">
        <f t="shared" si="469"/>
        <v>1</v>
      </c>
      <c r="O3375" s="71">
        <f t="shared" si="470"/>
        <v>1</v>
      </c>
      <c r="P3375" s="71">
        <f t="shared" si="471"/>
        <v>1</v>
      </c>
      <c r="Q3375" s="71">
        <f t="shared" si="472"/>
        <v>0</v>
      </c>
      <c r="R3375" s="71">
        <f t="shared" si="473"/>
        <v>0</v>
      </c>
      <c r="S3375" s="71">
        <f t="shared" si="474"/>
        <v>0</v>
      </c>
      <c r="T3375" s="71">
        <f t="shared" si="475"/>
        <v>0</v>
      </c>
      <c r="U3375" s="71">
        <f>IF(AND(N3375=1,V3375=1),IF(COUNTIFS(AKTIVITAS!$B$2:$B$3052,B3375,AKTIVITAS!$E$2:$E$3052,H3375)&gt;0,1,0),0)</f>
        <v>1</v>
      </c>
      <c r="V3375" s="71">
        <f>IFERROR(IF(AND(H3375&gt;=INDEX(PEMAGANG!$J$3:$J$36,MATCH(B3375,PEMAGANG!$C$3:$C$36,0)),H3375&lt;=INDEX(PEMAGANG!$K$3:$K$36,MATCH(B3375,PEMAGANG!$C$3:$C$36,0))),1,0),0)</f>
        <v>1</v>
      </c>
      <c r="W3375" s="71">
        <f t="shared" si="476"/>
        <v>1</v>
      </c>
    </row>
    <row r="3376" spans="1:23" x14ac:dyDescent="0.2">
      <c r="A3376" s="71" t="s">
        <v>232</v>
      </c>
      <c r="B3376" s="71" t="s">
        <v>233</v>
      </c>
      <c r="C3376" s="71" t="s">
        <v>187</v>
      </c>
      <c r="D3376" s="71" t="s">
        <v>234</v>
      </c>
      <c r="E3376" s="71" t="s">
        <v>745</v>
      </c>
      <c r="F3376" s="71" t="s">
        <v>300</v>
      </c>
      <c r="G3376" s="88">
        <v>46224.688773148198</v>
      </c>
      <c r="H3376" s="89">
        <v>46224</v>
      </c>
      <c r="I3376" s="71" t="s">
        <v>336</v>
      </c>
      <c r="J3376" s="71">
        <v>0</v>
      </c>
      <c r="K3376" s="71" t="s">
        <v>302</v>
      </c>
      <c r="L3376" s="71">
        <f t="shared" si="468"/>
        <v>7</v>
      </c>
      <c r="M3376" s="71" t="str">
        <f>IFERROR(INDEX(KALENDER!$D$3:$D$132,MATCH(H3376,KALENDER!$A$3:$A$132,0)),"Di luar periode")</f>
        <v>Hari Kerja</v>
      </c>
      <c r="N3376" s="71">
        <f t="shared" si="469"/>
        <v>0</v>
      </c>
      <c r="O3376" s="71">
        <f t="shared" si="470"/>
        <v>1</v>
      </c>
      <c r="P3376" s="71">
        <f t="shared" si="471"/>
        <v>0</v>
      </c>
      <c r="Q3376" s="71">
        <f t="shared" si="472"/>
        <v>0</v>
      </c>
      <c r="R3376" s="71">
        <f t="shared" si="473"/>
        <v>0</v>
      </c>
      <c r="S3376" s="71">
        <f t="shared" si="474"/>
        <v>0</v>
      </c>
      <c r="T3376" s="71">
        <f t="shared" si="475"/>
        <v>0</v>
      </c>
      <c r="U3376" s="71">
        <f>IF(AND(N3376=1,V3376=1),IF(COUNTIFS(AKTIVITAS!$B$2:$B$3052,B3376,AKTIVITAS!$E$2:$E$3052,H3376)&gt;0,1,0),0)</f>
        <v>0</v>
      </c>
      <c r="V3376" s="71">
        <f>IFERROR(IF(AND(H3376&gt;=INDEX(PEMAGANG!$J$3:$J$36,MATCH(B3376,PEMAGANG!$C$3:$C$36,0)),H3376&lt;=INDEX(PEMAGANG!$K$3:$K$36,MATCH(B3376,PEMAGANG!$C$3:$C$36,0))),1,0),0)</f>
        <v>1</v>
      </c>
      <c r="W3376" s="71">
        <f t="shared" si="476"/>
        <v>0</v>
      </c>
    </row>
    <row r="3377" spans="1:23" x14ac:dyDescent="0.2">
      <c r="A3377" s="71" t="s">
        <v>232</v>
      </c>
      <c r="B3377" s="71" t="s">
        <v>233</v>
      </c>
      <c r="C3377" s="71" t="s">
        <v>187</v>
      </c>
      <c r="D3377" s="71" t="s">
        <v>234</v>
      </c>
      <c r="E3377" s="71" t="s">
        <v>745</v>
      </c>
      <c r="F3377" s="71" t="s">
        <v>298</v>
      </c>
      <c r="G3377" s="88">
        <v>46226.307662036997</v>
      </c>
      <c r="H3377" s="89">
        <v>46226</v>
      </c>
      <c r="I3377" s="71" t="s">
        <v>311</v>
      </c>
      <c r="J3377" s="71">
        <v>-6.9999999999999796</v>
      </c>
      <c r="K3377" s="71" t="s">
        <v>302</v>
      </c>
      <c r="L3377" s="71">
        <f t="shared" si="468"/>
        <v>7</v>
      </c>
      <c r="M3377" s="71" t="str">
        <f>IFERROR(INDEX(KALENDER!$D$3:$D$132,MATCH(H3377,KALENDER!$A$3:$A$132,0)),"Di luar periode")</f>
        <v>Hari Kerja</v>
      </c>
      <c r="N3377" s="71">
        <f t="shared" si="469"/>
        <v>1</v>
      </c>
      <c r="O3377" s="71">
        <f t="shared" si="470"/>
        <v>1</v>
      </c>
      <c r="P3377" s="71">
        <f t="shared" si="471"/>
        <v>1</v>
      </c>
      <c r="Q3377" s="71">
        <f t="shared" si="472"/>
        <v>0</v>
      </c>
      <c r="R3377" s="71">
        <f t="shared" si="473"/>
        <v>0</v>
      </c>
      <c r="S3377" s="71">
        <f t="shared" si="474"/>
        <v>0</v>
      </c>
      <c r="T3377" s="71">
        <f t="shared" si="475"/>
        <v>0</v>
      </c>
      <c r="U3377" s="71">
        <f>IF(AND(N3377=1,V3377=1),IF(COUNTIFS(AKTIVITAS!$B$2:$B$3052,B3377,AKTIVITAS!$E$2:$E$3052,H3377)&gt;0,1,0),0)</f>
        <v>1</v>
      </c>
      <c r="V3377" s="71">
        <f>IFERROR(IF(AND(H3377&gt;=INDEX(PEMAGANG!$J$3:$J$36,MATCH(B3377,PEMAGANG!$C$3:$C$36,0)),H3377&lt;=INDEX(PEMAGANG!$K$3:$K$36,MATCH(B3377,PEMAGANG!$C$3:$C$36,0))),1,0),0)</f>
        <v>1</v>
      </c>
      <c r="W3377" s="71">
        <f t="shared" si="476"/>
        <v>1</v>
      </c>
    </row>
    <row r="3378" spans="1:23" x14ac:dyDescent="0.2">
      <c r="A3378" s="71" t="s">
        <v>232</v>
      </c>
      <c r="B3378" s="71" t="s">
        <v>233</v>
      </c>
      <c r="C3378" s="71" t="s">
        <v>187</v>
      </c>
      <c r="D3378" s="71" t="s">
        <v>234</v>
      </c>
      <c r="E3378" s="71" t="s">
        <v>745</v>
      </c>
      <c r="F3378" s="71" t="s">
        <v>300</v>
      </c>
      <c r="G3378" s="88">
        <v>46226.706354166701</v>
      </c>
      <c r="H3378" s="89">
        <v>46226</v>
      </c>
      <c r="I3378" s="71" t="s">
        <v>671</v>
      </c>
      <c r="J3378" s="71">
        <v>0</v>
      </c>
      <c r="K3378" s="71" t="s">
        <v>302</v>
      </c>
      <c r="L3378" s="71">
        <f t="shared" si="468"/>
        <v>7</v>
      </c>
      <c r="M3378" s="71" t="str">
        <f>IFERROR(INDEX(KALENDER!$D$3:$D$132,MATCH(H3378,KALENDER!$A$3:$A$132,0)),"Di luar periode")</f>
        <v>Hari Kerja</v>
      </c>
      <c r="N3378" s="71">
        <f t="shared" si="469"/>
        <v>0</v>
      </c>
      <c r="O3378" s="71">
        <f t="shared" si="470"/>
        <v>1</v>
      </c>
      <c r="P3378" s="71">
        <f t="shared" si="471"/>
        <v>0</v>
      </c>
      <c r="Q3378" s="71">
        <f t="shared" si="472"/>
        <v>0</v>
      </c>
      <c r="R3378" s="71">
        <f t="shared" si="473"/>
        <v>0</v>
      </c>
      <c r="S3378" s="71">
        <f t="shared" si="474"/>
        <v>0</v>
      </c>
      <c r="T3378" s="71">
        <f t="shared" si="475"/>
        <v>0</v>
      </c>
      <c r="U3378" s="71">
        <f>IF(AND(N3378=1,V3378=1),IF(COUNTIFS(AKTIVITAS!$B$2:$B$3052,B3378,AKTIVITAS!$E$2:$E$3052,H3378)&gt;0,1,0),0)</f>
        <v>0</v>
      </c>
      <c r="V3378" s="71">
        <f>IFERROR(IF(AND(H3378&gt;=INDEX(PEMAGANG!$J$3:$J$36,MATCH(B3378,PEMAGANG!$C$3:$C$36,0)),H3378&lt;=INDEX(PEMAGANG!$K$3:$K$36,MATCH(B3378,PEMAGANG!$C$3:$C$36,0))),1,0),0)</f>
        <v>1</v>
      </c>
      <c r="W3378" s="71">
        <f t="shared" si="476"/>
        <v>0</v>
      </c>
    </row>
    <row r="3379" spans="1:23" x14ac:dyDescent="0.2">
      <c r="A3379" s="71" t="s">
        <v>232</v>
      </c>
      <c r="B3379" s="71" t="s">
        <v>233</v>
      </c>
      <c r="C3379" s="71" t="s">
        <v>187</v>
      </c>
      <c r="D3379" s="71" t="s">
        <v>234</v>
      </c>
      <c r="E3379" s="71" t="s">
        <v>745</v>
      </c>
      <c r="F3379" s="71" t="s">
        <v>298</v>
      </c>
      <c r="G3379" s="88">
        <v>46227.306446759299</v>
      </c>
      <c r="H3379" s="89">
        <v>46227</v>
      </c>
      <c r="I3379" s="71" t="s">
        <v>305</v>
      </c>
      <c r="J3379" s="71">
        <v>-9.0000000000000497</v>
      </c>
      <c r="K3379" s="71" t="s">
        <v>302</v>
      </c>
      <c r="L3379" s="71">
        <f t="shared" si="468"/>
        <v>7</v>
      </c>
      <c r="M3379" s="71" t="str">
        <f>IFERROR(INDEX(KALENDER!$D$3:$D$132,MATCH(H3379,KALENDER!$A$3:$A$132,0)),"Di luar periode")</f>
        <v>Hari Kerja</v>
      </c>
      <c r="N3379" s="71">
        <f t="shared" si="469"/>
        <v>1</v>
      </c>
      <c r="O3379" s="71">
        <f t="shared" si="470"/>
        <v>1</v>
      </c>
      <c r="P3379" s="71">
        <f t="shared" si="471"/>
        <v>1</v>
      </c>
      <c r="Q3379" s="71">
        <f t="shared" si="472"/>
        <v>0</v>
      </c>
      <c r="R3379" s="71">
        <f t="shared" si="473"/>
        <v>0</v>
      </c>
      <c r="S3379" s="71">
        <f t="shared" si="474"/>
        <v>0</v>
      </c>
      <c r="T3379" s="71">
        <f t="shared" si="475"/>
        <v>0</v>
      </c>
      <c r="U3379" s="71">
        <f>IF(AND(N3379=1,V3379=1),IF(COUNTIFS(AKTIVITAS!$B$2:$B$3052,B3379,AKTIVITAS!$E$2:$E$3052,H3379)&gt;0,1,0),0)</f>
        <v>1</v>
      </c>
      <c r="V3379" s="71">
        <f>IFERROR(IF(AND(H3379&gt;=INDEX(PEMAGANG!$J$3:$J$36,MATCH(B3379,PEMAGANG!$C$3:$C$36,0)),H3379&lt;=INDEX(PEMAGANG!$K$3:$K$36,MATCH(B3379,PEMAGANG!$C$3:$C$36,0))),1,0),0)</f>
        <v>1</v>
      </c>
      <c r="W3379" s="71">
        <f t="shared" si="476"/>
        <v>1</v>
      </c>
    </row>
    <row r="3380" spans="1:23" x14ac:dyDescent="0.2">
      <c r="A3380" s="71" t="s">
        <v>232</v>
      </c>
      <c r="B3380" s="71" t="s">
        <v>233</v>
      </c>
      <c r="C3380" s="71" t="s">
        <v>187</v>
      </c>
      <c r="D3380" s="71" t="s">
        <v>234</v>
      </c>
      <c r="E3380" s="71" t="s">
        <v>745</v>
      </c>
      <c r="F3380" s="71" t="s">
        <v>300</v>
      </c>
      <c r="G3380" s="88">
        <v>46227.694710648197</v>
      </c>
      <c r="H3380" s="89">
        <v>46227</v>
      </c>
      <c r="I3380" s="71" t="s">
        <v>343</v>
      </c>
      <c r="J3380" s="71">
        <v>0</v>
      </c>
      <c r="K3380" s="71" t="s">
        <v>302</v>
      </c>
      <c r="L3380" s="71">
        <f t="shared" si="468"/>
        <v>7</v>
      </c>
      <c r="M3380" s="71" t="str">
        <f>IFERROR(INDEX(KALENDER!$D$3:$D$132,MATCH(H3380,KALENDER!$A$3:$A$132,0)),"Di luar periode")</f>
        <v>Hari Kerja</v>
      </c>
      <c r="N3380" s="71">
        <f t="shared" si="469"/>
        <v>0</v>
      </c>
      <c r="O3380" s="71">
        <f t="shared" si="470"/>
        <v>1</v>
      </c>
      <c r="P3380" s="71">
        <f t="shared" si="471"/>
        <v>0</v>
      </c>
      <c r="Q3380" s="71">
        <f t="shared" si="472"/>
        <v>0</v>
      </c>
      <c r="R3380" s="71">
        <f t="shared" si="473"/>
        <v>0</v>
      </c>
      <c r="S3380" s="71">
        <f t="shared" si="474"/>
        <v>0</v>
      </c>
      <c r="T3380" s="71">
        <f t="shared" si="475"/>
        <v>0</v>
      </c>
      <c r="U3380" s="71">
        <f>IF(AND(N3380=1,V3380=1),IF(COUNTIFS(AKTIVITAS!$B$2:$B$3052,B3380,AKTIVITAS!$E$2:$E$3052,H3380)&gt;0,1,0),0)</f>
        <v>0</v>
      </c>
      <c r="V3380" s="71">
        <f>IFERROR(IF(AND(H3380&gt;=INDEX(PEMAGANG!$J$3:$J$36,MATCH(B3380,PEMAGANG!$C$3:$C$36,0)),H3380&lt;=INDEX(PEMAGANG!$K$3:$K$36,MATCH(B3380,PEMAGANG!$C$3:$C$36,0))),1,0),0)</f>
        <v>1</v>
      </c>
      <c r="W3380" s="71">
        <f t="shared" si="476"/>
        <v>0</v>
      </c>
    </row>
    <row r="3381" spans="1:23" x14ac:dyDescent="0.2">
      <c r="A3381" s="71" t="s">
        <v>232</v>
      </c>
      <c r="B3381" s="71" t="s">
        <v>233</v>
      </c>
      <c r="C3381" s="71" t="s">
        <v>187</v>
      </c>
      <c r="D3381" s="71" t="s">
        <v>234</v>
      </c>
      <c r="E3381" s="71" t="s">
        <v>745</v>
      </c>
      <c r="F3381" s="71" t="s">
        <v>298</v>
      </c>
      <c r="G3381" s="88">
        <v>46230.307905092603</v>
      </c>
      <c r="H3381" s="89">
        <v>46230</v>
      </c>
      <c r="I3381" s="71" t="s">
        <v>311</v>
      </c>
      <c r="J3381" s="71">
        <v>-6.9999999999999796</v>
      </c>
      <c r="K3381" s="71" t="s">
        <v>302</v>
      </c>
      <c r="L3381" s="71">
        <f t="shared" si="468"/>
        <v>7</v>
      </c>
      <c r="M3381" s="71" t="str">
        <f>IFERROR(INDEX(KALENDER!$D$3:$D$132,MATCH(H3381,KALENDER!$A$3:$A$132,0)),"Di luar periode")</f>
        <v>Hari Kerja</v>
      </c>
      <c r="N3381" s="71">
        <f t="shared" si="469"/>
        <v>1</v>
      </c>
      <c r="O3381" s="71">
        <f t="shared" si="470"/>
        <v>1</v>
      </c>
      <c r="P3381" s="71">
        <f t="shared" si="471"/>
        <v>1</v>
      </c>
      <c r="Q3381" s="71">
        <f t="shared" si="472"/>
        <v>0</v>
      </c>
      <c r="R3381" s="71">
        <f t="shared" si="473"/>
        <v>0</v>
      </c>
      <c r="S3381" s="71">
        <f t="shared" si="474"/>
        <v>0</v>
      </c>
      <c r="T3381" s="71">
        <f t="shared" si="475"/>
        <v>0</v>
      </c>
      <c r="U3381" s="71">
        <f>IF(AND(N3381=1,V3381=1),IF(COUNTIFS(AKTIVITAS!$B$2:$B$3052,B3381,AKTIVITAS!$E$2:$E$3052,H3381)&gt;0,1,0),0)</f>
        <v>1</v>
      </c>
      <c r="V3381" s="71">
        <f>IFERROR(IF(AND(H3381&gt;=INDEX(PEMAGANG!$J$3:$J$36,MATCH(B3381,PEMAGANG!$C$3:$C$36,0)),H3381&lt;=INDEX(PEMAGANG!$K$3:$K$36,MATCH(B3381,PEMAGANG!$C$3:$C$36,0))),1,0),0)</f>
        <v>1</v>
      </c>
      <c r="W3381" s="71">
        <f t="shared" si="476"/>
        <v>1</v>
      </c>
    </row>
    <row r="3382" spans="1:23" x14ac:dyDescent="0.2">
      <c r="A3382" s="71" t="s">
        <v>232</v>
      </c>
      <c r="B3382" s="71" t="s">
        <v>233</v>
      </c>
      <c r="C3382" s="71" t="s">
        <v>187</v>
      </c>
      <c r="D3382" s="71" t="s">
        <v>234</v>
      </c>
      <c r="E3382" s="71" t="s">
        <v>745</v>
      </c>
      <c r="F3382" s="71" t="s">
        <v>300</v>
      </c>
      <c r="G3382" s="88">
        <v>46230.703356481499</v>
      </c>
      <c r="H3382" s="89">
        <v>46230</v>
      </c>
      <c r="I3382" s="71" t="s">
        <v>325</v>
      </c>
      <c r="J3382" s="71">
        <v>0</v>
      </c>
      <c r="K3382" s="71" t="s">
        <v>302</v>
      </c>
      <c r="L3382" s="71">
        <f t="shared" si="468"/>
        <v>7</v>
      </c>
      <c r="M3382" s="71" t="str">
        <f>IFERROR(INDEX(KALENDER!$D$3:$D$132,MATCH(H3382,KALENDER!$A$3:$A$132,0)),"Di luar periode")</f>
        <v>Hari Kerja</v>
      </c>
      <c r="N3382" s="71">
        <f t="shared" si="469"/>
        <v>0</v>
      </c>
      <c r="O3382" s="71">
        <f t="shared" si="470"/>
        <v>1</v>
      </c>
      <c r="P3382" s="71">
        <f t="shared" si="471"/>
        <v>0</v>
      </c>
      <c r="Q3382" s="71">
        <f t="shared" si="472"/>
        <v>0</v>
      </c>
      <c r="R3382" s="71">
        <f t="shared" si="473"/>
        <v>0</v>
      </c>
      <c r="S3382" s="71">
        <f t="shared" si="474"/>
        <v>0</v>
      </c>
      <c r="T3382" s="71">
        <f t="shared" si="475"/>
        <v>0</v>
      </c>
      <c r="U3382" s="71">
        <f>IF(AND(N3382=1,V3382=1),IF(COUNTIFS(AKTIVITAS!$B$2:$B$3052,B3382,AKTIVITAS!$E$2:$E$3052,H3382)&gt;0,1,0),0)</f>
        <v>0</v>
      </c>
      <c r="V3382" s="71">
        <f>IFERROR(IF(AND(H3382&gt;=INDEX(PEMAGANG!$J$3:$J$36,MATCH(B3382,PEMAGANG!$C$3:$C$36,0)),H3382&lt;=INDEX(PEMAGANG!$K$3:$K$36,MATCH(B3382,PEMAGANG!$C$3:$C$36,0))),1,0),0)</f>
        <v>1</v>
      </c>
      <c r="W3382" s="71">
        <f t="shared" si="476"/>
        <v>0</v>
      </c>
    </row>
    <row r="3383" spans="1:23" x14ac:dyDescent="0.2">
      <c r="A3383" s="71" t="s">
        <v>232</v>
      </c>
      <c r="B3383" s="71" t="s">
        <v>233</v>
      </c>
      <c r="C3383" s="71" t="s">
        <v>187</v>
      </c>
      <c r="D3383" s="71" t="s">
        <v>234</v>
      </c>
      <c r="E3383" s="71" t="s">
        <v>745</v>
      </c>
      <c r="F3383" s="71" t="s">
        <v>298</v>
      </c>
      <c r="G3383" s="88">
        <v>46231.307245370401</v>
      </c>
      <c r="H3383" s="89">
        <v>46231</v>
      </c>
      <c r="I3383" s="71" t="s">
        <v>313</v>
      </c>
      <c r="J3383" s="71">
        <v>-8.0000000000000497</v>
      </c>
      <c r="K3383" s="71" t="s">
        <v>302</v>
      </c>
      <c r="L3383" s="71">
        <f t="shared" si="468"/>
        <v>7</v>
      </c>
      <c r="M3383" s="71" t="str">
        <f>IFERROR(INDEX(KALENDER!$D$3:$D$132,MATCH(H3383,KALENDER!$A$3:$A$132,0)),"Di luar periode")</f>
        <v>Hari Kerja</v>
      </c>
      <c r="N3383" s="71">
        <f t="shared" si="469"/>
        <v>1</v>
      </c>
      <c r="O3383" s="71">
        <f t="shared" si="470"/>
        <v>1</v>
      </c>
      <c r="P3383" s="71">
        <f t="shared" si="471"/>
        <v>1</v>
      </c>
      <c r="Q3383" s="71">
        <f t="shared" si="472"/>
        <v>0</v>
      </c>
      <c r="R3383" s="71">
        <f t="shared" si="473"/>
        <v>0</v>
      </c>
      <c r="S3383" s="71">
        <f t="shared" si="474"/>
        <v>0</v>
      </c>
      <c r="T3383" s="71">
        <f t="shared" si="475"/>
        <v>0</v>
      </c>
      <c r="U3383" s="71">
        <f>IF(AND(N3383=1,V3383=1),IF(COUNTIFS(AKTIVITAS!$B$2:$B$3052,B3383,AKTIVITAS!$E$2:$E$3052,H3383)&gt;0,1,0),0)</f>
        <v>1</v>
      </c>
      <c r="V3383" s="71">
        <f>IFERROR(IF(AND(H3383&gt;=INDEX(PEMAGANG!$J$3:$J$36,MATCH(B3383,PEMAGANG!$C$3:$C$36,0)),H3383&lt;=INDEX(PEMAGANG!$K$3:$K$36,MATCH(B3383,PEMAGANG!$C$3:$C$36,0))),1,0),0)</f>
        <v>1</v>
      </c>
      <c r="W3383" s="71">
        <f t="shared" si="476"/>
        <v>1</v>
      </c>
    </row>
    <row r="3384" spans="1:23" x14ac:dyDescent="0.2">
      <c r="A3384" s="71" t="s">
        <v>232</v>
      </c>
      <c r="B3384" s="71" t="s">
        <v>233</v>
      </c>
      <c r="C3384" s="71" t="s">
        <v>187</v>
      </c>
      <c r="D3384" s="71" t="s">
        <v>234</v>
      </c>
      <c r="E3384" s="71" t="s">
        <v>745</v>
      </c>
      <c r="F3384" s="71" t="s">
        <v>300</v>
      </c>
      <c r="G3384" s="88">
        <v>46231.697465277801</v>
      </c>
      <c r="H3384" s="89">
        <v>46231</v>
      </c>
      <c r="I3384" s="71" t="s">
        <v>312</v>
      </c>
      <c r="J3384" s="71">
        <v>0</v>
      </c>
      <c r="K3384" s="71" t="s">
        <v>302</v>
      </c>
      <c r="L3384" s="71">
        <f t="shared" si="468"/>
        <v>7</v>
      </c>
      <c r="M3384" s="71" t="str">
        <f>IFERROR(INDEX(KALENDER!$D$3:$D$132,MATCH(H3384,KALENDER!$A$3:$A$132,0)),"Di luar periode")</f>
        <v>Hari Kerja</v>
      </c>
      <c r="N3384" s="71">
        <f t="shared" si="469"/>
        <v>0</v>
      </c>
      <c r="O3384" s="71">
        <f t="shared" si="470"/>
        <v>1</v>
      </c>
      <c r="P3384" s="71">
        <f t="shared" si="471"/>
        <v>0</v>
      </c>
      <c r="Q3384" s="71">
        <f t="shared" si="472"/>
        <v>0</v>
      </c>
      <c r="R3384" s="71">
        <f t="shared" si="473"/>
        <v>0</v>
      </c>
      <c r="S3384" s="71">
        <f t="shared" si="474"/>
        <v>0</v>
      </c>
      <c r="T3384" s="71">
        <f t="shared" si="475"/>
        <v>0</v>
      </c>
      <c r="U3384" s="71">
        <f>IF(AND(N3384=1,V3384=1),IF(COUNTIFS(AKTIVITAS!$B$2:$B$3052,B3384,AKTIVITAS!$E$2:$E$3052,H3384)&gt;0,1,0),0)</f>
        <v>0</v>
      </c>
      <c r="V3384" s="71">
        <f>IFERROR(IF(AND(H3384&gt;=INDEX(PEMAGANG!$J$3:$J$36,MATCH(B3384,PEMAGANG!$C$3:$C$36,0)),H3384&lt;=INDEX(PEMAGANG!$K$3:$K$36,MATCH(B3384,PEMAGANG!$C$3:$C$36,0))),1,0),0)</f>
        <v>1</v>
      </c>
      <c r="W3384" s="71">
        <f t="shared" si="476"/>
        <v>0</v>
      </c>
    </row>
    <row r="3385" spans="1:23" x14ac:dyDescent="0.2">
      <c r="A3385" s="71" t="s">
        <v>232</v>
      </c>
      <c r="B3385" s="71" t="s">
        <v>233</v>
      </c>
      <c r="C3385" s="71" t="s">
        <v>187</v>
      </c>
      <c r="D3385" s="71" t="s">
        <v>234</v>
      </c>
      <c r="E3385" s="71" t="s">
        <v>745</v>
      </c>
      <c r="F3385" s="71" t="s">
        <v>298</v>
      </c>
      <c r="G3385" s="88">
        <v>46232.3045949074</v>
      </c>
      <c r="H3385" s="89">
        <v>46232</v>
      </c>
      <c r="I3385" s="71" t="s">
        <v>326</v>
      </c>
      <c r="J3385" s="71">
        <v>-12</v>
      </c>
      <c r="K3385" s="71" t="s">
        <v>302</v>
      </c>
      <c r="L3385" s="71">
        <f t="shared" si="468"/>
        <v>7</v>
      </c>
      <c r="M3385" s="71" t="str">
        <f>IFERROR(INDEX(KALENDER!$D$3:$D$132,MATCH(H3385,KALENDER!$A$3:$A$132,0)),"Di luar periode")</f>
        <v>WFH</v>
      </c>
      <c r="N3385" s="71">
        <f t="shared" si="469"/>
        <v>1</v>
      </c>
      <c r="O3385" s="71">
        <f t="shared" si="470"/>
        <v>1</v>
      </c>
      <c r="P3385" s="71">
        <f t="shared" si="471"/>
        <v>0</v>
      </c>
      <c r="Q3385" s="71">
        <f t="shared" si="472"/>
        <v>1</v>
      </c>
      <c r="R3385" s="71">
        <f t="shared" si="473"/>
        <v>0</v>
      </c>
      <c r="S3385" s="71">
        <f t="shared" si="474"/>
        <v>0</v>
      </c>
      <c r="T3385" s="71">
        <f t="shared" si="475"/>
        <v>0</v>
      </c>
      <c r="U3385" s="71">
        <f>IF(AND(N3385=1,V3385=1),IF(COUNTIFS(AKTIVITAS!$B$2:$B$3052,B3385,AKTIVITAS!$E$2:$E$3052,H3385)&gt;0,1,0),0)</f>
        <v>1</v>
      </c>
      <c r="V3385" s="71">
        <f>IFERROR(IF(AND(H3385&gt;=INDEX(PEMAGANG!$J$3:$J$36,MATCH(B3385,PEMAGANG!$C$3:$C$36,0)),H3385&lt;=INDEX(PEMAGANG!$K$3:$K$36,MATCH(B3385,PEMAGANG!$C$3:$C$36,0))),1,0),0)</f>
        <v>1</v>
      </c>
      <c r="W3385" s="71">
        <f t="shared" si="476"/>
        <v>1</v>
      </c>
    </row>
    <row r="3386" spans="1:23" x14ac:dyDescent="0.2">
      <c r="A3386" s="71" t="s">
        <v>232</v>
      </c>
      <c r="B3386" s="71" t="s">
        <v>233</v>
      </c>
      <c r="C3386" s="71" t="s">
        <v>187</v>
      </c>
      <c r="D3386" s="71" t="s">
        <v>234</v>
      </c>
      <c r="E3386" s="71" t="s">
        <v>745</v>
      </c>
      <c r="F3386" s="71" t="s">
        <v>300</v>
      </c>
      <c r="G3386" s="88">
        <v>46232.690104166701</v>
      </c>
      <c r="H3386" s="89">
        <v>46232</v>
      </c>
      <c r="I3386" s="71" t="s">
        <v>316</v>
      </c>
      <c r="J3386" s="71">
        <v>0</v>
      </c>
      <c r="K3386" s="71" t="s">
        <v>302</v>
      </c>
      <c r="L3386" s="71">
        <f t="shared" si="468"/>
        <v>7</v>
      </c>
      <c r="M3386" s="71" t="str">
        <f>IFERROR(INDEX(KALENDER!$D$3:$D$132,MATCH(H3386,KALENDER!$A$3:$A$132,0)),"Di luar periode")</f>
        <v>WFH</v>
      </c>
      <c r="N3386" s="71">
        <f t="shared" si="469"/>
        <v>0</v>
      </c>
      <c r="O3386" s="71">
        <f t="shared" si="470"/>
        <v>1</v>
      </c>
      <c r="P3386" s="71">
        <f t="shared" si="471"/>
        <v>0</v>
      </c>
      <c r="Q3386" s="71">
        <f t="shared" si="472"/>
        <v>0</v>
      </c>
      <c r="R3386" s="71">
        <f t="shared" si="473"/>
        <v>0</v>
      </c>
      <c r="S3386" s="71">
        <f t="shared" si="474"/>
        <v>0</v>
      </c>
      <c r="T3386" s="71">
        <f t="shared" si="475"/>
        <v>0</v>
      </c>
      <c r="U3386" s="71">
        <f>IF(AND(N3386=1,V3386=1),IF(COUNTIFS(AKTIVITAS!$B$2:$B$3052,B3386,AKTIVITAS!$E$2:$E$3052,H3386)&gt;0,1,0),0)</f>
        <v>0</v>
      </c>
      <c r="V3386" s="71">
        <f>IFERROR(IF(AND(H3386&gt;=INDEX(PEMAGANG!$J$3:$J$36,MATCH(B3386,PEMAGANG!$C$3:$C$36,0)),H3386&lt;=INDEX(PEMAGANG!$K$3:$K$36,MATCH(B3386,PEMAGANG!$C$3:$C$36,0))),1,0),0)</f>
        <v>1</v>
      </c>
      <c r="W3386" s="71">
        <f t="shared" si="476"/>
        <v>0</v>
      </c>
    </row>
    <row r="3387" spans="1:23" x14ac:dyDescent="0.2">
      <c r="A3387" s="71" t="s">
        <v>232</v>
      </c>
      <c r="B3387" s="71" t="s">
        <v>233</v>
      </c>
      <c r="C3387" s="71" t="s">
        <v>187</v>
      </c>
      <c r="D3387" s="71" t="s">
        <v>234</v>
      </c>
      <c r="E3387" s="71" t="s">
        <v>745</v>
      </c>
      <c r="F3387" s="71" t="s">
        <v>298</v>
      </c>
      <c r="G3387" s="88">
        <v>46234.3069791667</v>
      </c>
      <c r="H3387" s="89">
        <v>46234</v>
      </c>
      <c r="I3387" s="71" t="s">
        <v>313</v>
      </c>
      <c r="J3387" s="71">
        <v>-8.0000000000000497</v>
      </c>
      <c r="K3387" s="71" t="s">
        <v>302</v>
      </c>
      <c r="L3387" s="71">
        <f t="shared" si="468"/>
        <v>7</v>
      </c>
      <c r="M3387" s="71" t="str">
        <f>IFERROR(INDEX(KALENDER!$D$3:$D$132,MATCH(H3387,KALENDER!$A$3:$A$132,0)),"Di luar periode")</f>
        <v>Hari Kerja</v>
      </c>
      <c r="N3387" s="71">
        <f t="shared" si="469"/>
        <v>1</v>
      </c>
      <c r="O3387" s="71">
        <f t="shared" si="470"/>
        <v>1</v>
      </c>
      <c r="P3387" s="71">
        <f t="shared" si="471"/>
        <v>1</v>
      </c>
      <c r="Q3387" s="71">
        <f t="shared" si="472"/>
        <v>0</v>
      </c>
      <c r="R3387" s="71">
        <f t="shared" si="473"/>
        <v>0</v>
      </c>
      <c r="S3387" s="71">
        <f t="shared" si="474"/>
        <v>0</v>
      </c>
      <c r="T3387" s="71">
        <f t="shared" si="475"/>
        <v>0</v>
      </c>
      <c r="U3387" s="71">
        <f>IF(AND(N3387=1,V3387=1),IF(COUNTIFS(AKTIVITAS!$B$2:$B$3052,B3387,AKTIVITAS!$E$2:$E$3052,H3387)&gt;0,1,0),0)</f>
        <v>1</v>
      </c>
      <c r="V3387" s="71">
        <f>IFERROR(IF(AND(H3387&gt;=INDEX(PEMAGANG!$J$3:$J$36,MATCH(B3387,PEMAGANG!$C$3:$C$36,0)),H3387&lt;=INDEX(PEMAGANG!$K$3:$K$36,MATCH(B3387,PEMAGANG!$C$3:$C$36,0))),1,0),0)</f>
        <v>1</v>
      </c>
      <c r="W3387" s="71">
        <f t="shared" si="476"/>
        <v>1</v>
      </c>
    </row>
    <row r="3388" spans="1:23" x14ac:dyDescent="0.2">
      <c r="A3388" s="71" t="s">
        <v>232</v>
      </c>
      <c r="B3388" s="71" t="s">
        <v>233</v>
      </c>
      <c r="C3388" s="71" t="s">
        <v>187</v>
      </c>
      <c r="D3388" s="71" t="s">
        <v>234</v>
      </c>
      <c r="E3388" s="71" t="s">
        <v>745</v>
      </c>
      <c r="F3388" s="71" t="s">
        <v>300</v>
      </c>
      <c r="G3388" s="88">
        <v>46234.706527777802</v>
      </c>
      <c r="H3388" s="89">
        <v>46234</v>
      </c>
      <c r="I3388" s="71" t="s">
        <v>671</v>
      </c>
      <c r="J3388" s="71">
        <v>0</v>
      </c>
      <c r="K3388" s="71" t="s">
        <v>302</v>
      </c>
      <c r="L3388" s="71">
        <f t="shared" si="468"/>
        <v>7</v>
      </c>
      <c r="M3388" s="71" t="str">
        <f>IFERROR(INDEX(KALENDER!$D$3:$D$132,MATCH(H3388,KALENDER!$A$3:$A$132,0)),"Di luar periode")</f>
        <v>Hari Kerja</v>
      </c>
      <c r="N3388" s="71">
        <f t="shared" si="469"/>
        <v>0</v>
      </c>
      <c r="O3388" s="71">
        <f t="shared" si="470"/>
        <v>1</v>
      </c>
      <c r="P3388" s="71">
        <f t="shared" si="471"/>
        <v>0</v>
      </c>
      <c r="Q3388" s="71">
        <f t="shared" si="472"/>
        <v>0</v>
      </c>
      <c r="R3388" s="71">
        <f t="shared" si="473"/>
        <v>0</v>
      </c>
      <c r="S3388" s="71">
        <f t="shared" si="474"/>
        <v>0</v>
      </c>
      <c r="T3388" s="71">
        <f t="shared" si="475"/>
        <v>0</v>
      </c>
      <c r="U3388" s="71">
        <f>IF(AND(N3388=1,V3388=1),IF(COUNTIFS(AKTIVITAS!$B$2:$B$3052,B3388,AKTIVITAS!$E$2:$E$3052,H3388)&gt;0,1,0),0)</f>
        <v>0</v>
      </c>
      <c r="V3388" s="71">
        <f>IFERROR(IF(AND(H3388&gt;=INDEX(PEMAGANG!$J$3:$J$36,MATCH(B3388,PEMAGANG!$C$3:$C$36,0)),H3388&lt;=INDEX(PEMAGANG!$K$3:$K$36,MATCH(B3388,PEMAGANG!$C$3:$C$36,0))),1,0),0)</f>
        <v>1</v>
      </c>
      <c r="W3388" s="71">
        <f t="shared" si="476"/>
        <v>0</v>
      </c>
    </row>
    <row r="3389" spans="1:23" x14ac:dyDescent="0.2">
      <c r="A3389" s="71" t="s">
        <v>232</v>
      </c>
      <c r="B3389" s="71" t="s">
        <v>233</v>
      </c>
      <c r="C3389" s="71" t="s">
        <v>187</v>
      </c>
      <c r="D3389" s="71" t="s">
        <v>234</v>
      </c>
      <c r="E3389" s="71" t="s">
        <v>745</v>
      </c>
      <c r="F3389" s="71" t="s">
        <v>298</v>
      </c>
      <c r="G3389" s="88">
        <v>46237.303900462997</v>
      </c>
      <c r="H3389" s="89">
        <v>46237</v>
      </c>
      <c r="I3389" s="71" t="s">
        <v>331</v>
      </c>
      <c r="J3389" s="71">
        <v>-13</v>
      </c>
      <c r="K3389" s="71" t="s">
        <v>302</v>
      </c>
      <c r="L3389" s="71">
        <f t="shared" si="468"/>
        <v>8</v>
      </c>
      <c r="M3389" s="71" t="str">
        <f>IFERROR(INDEX(KALENDER!$D$3:$D$132,MATCH(H3389,KALENDER!$A$3:$A$132,0)),"Di luar periode")</f>
        <v>Hari Kerja</v>
      </c>
      <c r="N3389" s="71">
        <f t="shared" si="469"/>
        <v>1</v>
      </c>
      <c r="O3389" s="71">
        <f t="shared" si="470"/>
        <v>1</v>
      </c>
      <c r="P3389" s="71">
        <f t="shared" si="471"/>
        <v>1</v>
      </c>
      <c r="Q3389" s="71">
        <f t="shared" si="472"/>
        <v>0</v>
      </c>
      <c r="R3389" s="71">
        <f t="shared" si="473"/>
        <v>0</v>
      </c>
      <c r="S3389" s="71">
        <f t="shared" si="474"/>
        <v>0</v>
      </c>
      <c r="T3389" s="71">
        <f t="shared" si="475"/>
        <v>0</v>
      </c>
      <c r="U3389" s="71">
        <f>IF(AND(N3389=1,V3389=1),IF(COUNTIFS(AKTIVITAS!$B$2:$B$3052,B3389,AKTIVITAS!$E$2:$E$3052,H3389)&gt;0,1,0),0)</f>
        <v>1</v>
      </c>
      <c r="V3389" s="71">
        <f>IFERROR(IF(AND(H3389&gt;=INDEX(PEMAGANG!$J$3:$J$36,MATCH(B3389,PEMAGANG!$C$3:$C$36,0)),H3389&lt;=INDEX(PEMAGANG!$K$3:$K$36,MATCH(B3389,PEMAGANG!$C$3:$C$36,0))),1,0),0)</f>
        <v>1</v>
      </c>
      <c r="W3389" s="71">
        <f t="shared" si="476"/>
        <v>1</v>
      </c>
    </row>
    <row r="3390" spans="1:23" x14ac:dyDescent="0.2">
      <c r="A3390" s="71" t="s">
        <v>232</v>
      </c>
      <c r="B3390" s="71" t="s">
        <v>233</v>
      </c>
      <c r="C3390" s="71" t="s">
        <v>187</v>
      </c>
      <c r="D3390" s="71" t="s">
        <v>234</v>
      </c>
      <c r="E3390" s="71" t="s">
        <v>745</v>
      </c>
      <c r="F3390" s="71" t="s">
        <v>300</v>
      </c>
      <c r="G3390" s="88">
        <v>46237.694849537002</v>
      </c>
      <c r="H3390" s="89">
        <v>46237</v>
      </c>
      <c r="I3390" s="71" t="s">
        <v>343</v>
      </c>
      <c r="J3390" s="71">
        <v>0</v>
      </c>
      <c r="K3390" s="71" t="s">
        <v>302</v>
      </c>
      <c r="L3390" s="71">
        <f t="shared" si="468"/>
        <v>8</v>
      </c>
      <c r="M3390" s="71" t="str">
        <f>IFERROR(INDEX(KALENDER!$D$3:$D$132,MATCH(H3390,KALENDER!$A$3:$A$132,0)),"Di luar periode")</f>
        <v>Hari Kerja</v>
      </c>
      <c r="N3390" s="71">
        <f t="shared" si="469"/>
        <v>0</v>
      </c>
      <c r="O3390" s="71">
        <f t="shared" si="470"/>
        <v>1</v>
      </c>
      <c r="P3390" s="71">
        <f t="shared" si="471"/>
        <v>0</v>
      </c>
      <c r="Q3390" s="71">
        <f t="shared" si="472"/>
        <v>0</v>
      </c>
      <c r="R3390" s="71">
        <f t="shared" si="473"/>
        <v>0</v>
      </c>
      <c r="S3390" s="71">
        <f t="shared" si="474"/>
        <v>0</v>
      </c>
      <c r="T3390" s="71">
        <f t="shared" si="475"/>
        <v>0</v>
      </c>
      <c r="U3390" s="71">
        <f>IF(AND(N3390=1,V3390=1),IF(COUNTIFS(AKTIVITAS!$B$2:$B$3052,B3390,AKTIVITAS!$E$2:$E$3052,H3390)&gt;0,1,0),0)</f>
        <v>0</v>
      </c>
      <c r="V3390" s="71">
        <f>IFERROR(IF(AND(H3390&gt;=INDEX(PEMAGANG!$J$3:$J$36,MATCH(B3390,PEMAGANG!$C$3:$C$36,0)),H3390&lt;=INDEX(PEMAGANG!$K$3:$K$36,MATCH(B3390,PEMAGANG!$C$3:$C$36,0))),1,0),0)</f>
        <v>1</v>
      </c>
      <c r="W3390" s="71">
        <f t="shared" si="476"/>
        <v>0</v>
      </c>
    </row>
    <row r="3391" spans="1:23" x14ac:dyDescent="0.2">
      <c r="A3391" s="71" t="s">
        <v>232</v>
      </c>
      <c r="B3391" s="71" t="s">
        <v>233</v>
      </c>
      <c r="C3391" s="71" t="s">
        <v>187</v>
      </c>
      <c r="D3391" s="71" t="s">
        <v>234</v>
      </c>
      <c r="E3391" s="71" t="s">
        <v>745</v>
      </c>
      <c r="F3391" s="71" t="s">
        <v>298</v>
      </c>
      <c r="G3391" s="88">
        <v>46238.305960648198</v>
      </c>
      <c r="H3391" s="89">
        <v>46238</v>
      </c>
      <c r="I3391" s="71" t="s">
        <v>329</v>
      </c>
      <c r="J3391" s="71">
        <v>-10</v>
      </c>
      <c r="K3391" s="71" t="s">
        <v>302</v>
      </c>
      <c r="L3391" s="71">
        <f t="shared" si="468"/>
        <v>8</v>
      </c>
      <c r="M3391" s="71" t="str">
        <f>IFERROR(INDEX(KALENDER!$D$3:$D$132,MATCH(H3391,KALENDER!$A$3:$A$132,0)),"Di luar periode")</f>
        <v>Hari Kerja</v>
      </c>
      <c r="N3391" s="71">
        <f t="shared" si="469"/>
        <v>1</v>
      </c>
      <c r="O3391" s="71">
        <f t="shared" si="470"/>
        <v>1</v>
      </c>
      <c r="P3391" s="71">
        <f t="shared" si="471"/>
        <v>1</v>
      </c>
      <c r="Q3391" s="71">
        <f t="shared" si="472"/>
        <v>0</v>
      </c>
      <c r="R3391" s="71">
        <f t="shared" si="473"/>
        <v>0</v>
      </c>
      <c r="S3391" s="71">
        <f t="shared" si="474"/>
        <v>0</v>
      </c>
      <c r="T3391" s="71">
        <f t="shared" si="475"/>
        <v>0</v>
      </c>
      <c r="U3391" s="71">
        <f>IF(AND(N3391=1,V3391=1),IF(COUNTIFS(AKTIVITAS!$B$2:$B$3052,B3391,AKTIVITAS!$E$2:$E$3052,H3391)&gt;0,1,0),0)</f>
        <v>1</v>
      </c>
      <c r="V3391" s="71">
        <f>IFERROR(IF(AND(H3391&gt;=INDEX(PEMAGANG!$J$3:$J$36,MATCH(B3391,PEMAGANG!$C$3:$C$36,0)),H3391&lt;=INDEX(PEMAGANG!$K$3:$K$36,MATCH(B3391,PEMAGANG!$C$3:$C$36,0))),1,0),0)</f>
        <v>1</v>
      </c>
      <c r="W3391" s="71">
        <f t="shared" si="476"/>
        <v>1</v>
      </c>
    </row>
    <row r="3392" spans="1:23" x14ac:dyDescent="0.2">
      <c r="A3392" s="71" t="s">
        <v>232</v>
      </c>
      <c r="B3392" s="71" t="s">
        <v>233</v>
      </c>
      <c r="C3392" s="71" t="s">
        <v>187</v>
      </c>
      <c r="D3392" s="71" t="s">
        <v>234</v>
      </c>
      <c r="E3392" s="71" t="s">
        <v>745</v>
      </c>
      <c r="F3392" s="71" t="s">
        <v>300</v>
      </c>
      <c r="G3392" s="88">
        <v>46238.717326388898</v>
      </c>
      <c r="H3392" s="89">
        <v>46238</v>
      </c>
      <c r="I3392" s="71" t="s">
        <v>301</v>
      </c>
      <c r="J3392" s="71">
        <v>0</v>
      </c>
      <c r="K3392" s="71" t="s">
        <v>302</v>
      </c>
      <c r="L3392" s="71">
        <f t="shared" si="468"/>
        <v>8</v>
      </c>
      <c r="M3392" s="71" t="str">
        <f>IFERROR(INDEX(KALENDER!$D$3:$D$132,MATCH(H3392,KALENDER!$A$3:$A$132,0)),"Di luar periode")</f>
        <v>Hari Kerja</v>
      </c>
      <c r="N3392" s="71">
        <f t="shared" si="469"/>
        <v>0</v>
      </c>
      <c r="O3392" s="71">
        <f t="shared" si="470"/>
        <v>1</v>
      </c>
      <c r="P3392" s="71">
        <f t="shared" si="471"/>
        <v>0</v>
      </c>
      <c r="Q3392" s="71">
        <f t="shared" si="472"/>
        <v>0</v>
      </c>
      <c r="R3392" s="71">
        <f t="shared" si="473"/>
        <v>0</v>
      </c>
      <c r="S3392" s="71">
        <f t="shared" si="474"/>
        <v>0</v>
      </c>
      <c r="T3392" s="71">
        <f t="shared" si="475"/>
        <v>0</v>
      </c>
      <c r="U3392" s="71">
        <f>IF(AND(N3392=1,V3392=1),IF(COUNTIFS(AKTIVITAS!$B$2:$B$3052,B3392,AKTIVITAS!$E$2:$E$3052,H3392)&gt;0,1,0),0)</f>
        <v>0</v>
      </c>
      <c r="V3392" s="71">
        <f>IFERROR(IF(AND(H3392&gt;=INDEX(PEMAGANG!$J$3:$J$36,MATCH(B3392,PEMAGANG!$C$3:$C$36,0)),H3392&lt;=INDEX(PEMAGANG!$K$3:$K$36,MATCH(B3392,PEMAGANG!$C$3:$C$36,0))),1,0),0)</f>
        <v>1</v>
      </c>
      <c r="W3392" s="71">
        <f t="shared" si="476"/>
        <v>0</v>
      </c>
    </row>
    <row r="3393" spans="1:23" x14ac:dyDescent="0.2">
      <c r="A3393" s="71" t="s">
        <v>232</v>
      </c>
      <c r="B3393" s="71" t="s">
        <v>233</v>
      </c>
      <c r="C3393" s="71" t="s">
        <v>187</v>
      </c>
      <c r="D3393" s="71" t="s">
        <v>234</v>
      </c>
      <c r="E3393" s="71" t="s">
        <v>745</v>
      </c>
      <c r="F3393" s="71" t="s">
        <v>298</v>
      </c>
      <c r="G3393" s="88">
        <v>46239.303946759297</v>
      </c>
      <c r="H3393" s="89">
        <v>46239</v>
      </c>
      <c r="I3393" s="71" t="s">
        <v>331</v>
      </c>
      <c r="J3393" s="71">
        <v>-13</v>
      </c>
      <c r="K3393" s="71" t="s">
        <v>302</v>
      </c>
      <c r="L3393" s="71">
        <f t="shared" si="468"/>
        <v>8</v>
      </c>
      <c r="M3393" s="71" t="str">
        <f>IFERROR(INDEX(KALENDER!$D$3:$D$132,MATCH(H3393,KALENDER!$A$3:$A$132,0)),"Di luar periode")</f>
        <v>Hari Kerja</v>
      </c>
      <c r="N3393" s="71">
        <f t="shared" si="469"/>
        <v>1</v>
      </c>
      <c r="O3393" s="71">
        <f t="shared" si="470"/>
        <v>1</v>
      </c>
      <c r="P3393" s="71">
        <f t="shared" si="471"/>
        <v>1</v>
      </c>
      <c r="Q3393" s="71">
        <f t="shared" si="472"/>
        <v>0</v>
      </c>
      <c r="R3393" s="71">
        <f t="shared" si="473"/>
        <v>0</v>
      </c>
      <c r="S3393" s="71">
        <f t="shared" si="474"/>
        <v>0</v>
      </c>
      <c r="T3393" s="71">
        <f t="shared" si="475"/>
        <v>0</v>
      </c>
      <c r="U3393" s="71">
        <f>IF(AND(N3393=1,V3393=1),IF(COUNTIFS(AKTIVITAS!$B$2:$B$3052,B3393,AKTIVITAS!$E$2:$E$3052,H3393)&gt;0,1,0),0)</f>
        <v>1</v>
      </c>
      <c r="V3393" s="71">
        <f>IFERROR(IF(AND(H3393&gt;=INDEX(PEMAGANG!$J$3:$J$36,MATCH(B3393,PEMAGANG!$C$3:$C$36,0)),H3393&lt;=INDEX(PEMAGANG!$K$3:$K$36,MATCH(B3393,PEMAGANG!$C$3:$C$36,0))),1,0),0)</f>
        <v>1</v>
      </c>
      <c r="W3393" s="71">
        <f t="shared" si="476"/>
        <v>1</v>
      </c>
    </row>
    <row r="3394" spans="1:23" x14ac:dyDescent="0.2">
      <c r="A3394" s="71" t="s">
        <v>232</v>
      </c>
      <c r="B3394" s="71" t="s">
        <v>233</v>
      </c>
      <c r="C3394" s="71" t="s">
        <v>187</v>
      </c>
      <c r="D3394" s="71" t="s">
        <v>234</v>
      </c>
      <c r="E3394" s="71" t="s">
        <v>745</v>
      </c>
      <c r="F3394" s="71" t="s">
        <v>300</v>
      </c>
      <c r="G3394" s="88">
        <v>46239.695555555598</v>
      </c>
      <c r="H3394" s="89">
        <v>46239</v>
      </c>
      <c r="I3394" s="71" t="s">
        <v>319</v>
      </c>
      <c r="J3394" s="71">
        <v>0</v>
      </c>
      <c r="K3394" s="71" t="s">
        <v>302</v>
      </c>
      <c r="L3394" s="71">
        <f t="shared" ref="L3394:L3457" si="477">MONTH(H3394)</f>
        <v>8</v>
      </c>
      <c r="M3394" s="71" t="str">
        <f>IFERROR(INDEX(KALENDER!$D$3:$D$132,MATCH(H3394,KALENDER!$A$3:$A$132,0)),"Di luar periode")</f>
        <v>Hari Kerja</v>
      </c>
      <c r="N3394" s="71">
        <f t="shared" ref="N3394:N3457" si="478">IF(AND(B3394=B3393,H3394=H3393),0,1)</f>
        <v>0</v>
      </c>
      <c r="O3394" s="71">
        <f t="shared" ref="O3394:O3457" si="479">IF(N3394=1,0,O3393)+IF(F3394="MASUK",1,0)</f>
        <v>1</v>
      </c>
      <c r="P3394" s="71">
        <f t="shared" ref="P3394:P3457" si="480">IF(AND(N3394=1,M3394="Hari Kerja",V3394=1),1,0)</f>
        <v>0</v>
      </c>
      <c r="Q3394" s="71">
        <f t="shared" ref="Q3394:Q3457" si="481">IF(AND(N3394=1,OR(M3394&lt;&gt;"Hari Kerja",V3394=0)),1,0)</f>
        <v>0</v>
      </c>
      <c r="R3394" s="71">
        <f t="shared" ref="R3394:R3457" si="482">IF(AND(F3394="MASUK",O3394=1,N(J3394)&gt;0,V3394=1),1,0)</f>
        <v>0</v>
      </c>
      <c r="S3394" s="71">
        <f t="shared" ref="S3394:S3457" si="483">R3394*N(J3394)</f>
        <v>0</v>
      </c>
      <c r="T3394" s="71">
        <f t="shared" ref="T3394:T3457" si="484">IF(AND(N3394=1,V3394=1),IF(AND(COUNTIFS($B$2:$B$4094,B3394,$H$2:$H$4094,H3394,$F$2:$F$4094,"MASUK")&gt;0,COUNTIFS($B$2:$B$4094,B3394,$H$2:$H$4094,H3394,$F$2:$F$4094,"PULANG")=0),1,0),0)</f>
        <v>0</v>
      </c>
      <c r="U3394" s="71">
        <f>IF(AND(N3394=1,V3394=1),IF(COUNTIFS(AKTIVITAS!$B$2:$B$3052,B3394,AKTIVITAS!$E$2:$E$3052,H3394)&gt;0,1,0),0)</f>
        <v>0</v>
      </c>
      <c r="V3394" s="71">
        <f>IFERROR(IF(AND(H3394&gt;=INDEX(PEMAGANG!$J$3:$J$36,MATCH(B3394,PEMAGANG!$C$3:$C$36,0)),H3394&lt;=INDEX(PEMAGANG!$K$3:$K$36,MATCH(B3394,PEMAGANG!$C$3:$C$36,0))),1,0),0)</f>
        <v>1</v>
      </c>
      <c r="W3394" s="71">
        <f t="shared" ref="W3394:W3457" si="485">N3394*V3394</f>
        <v>0</v>
      </c>
    </row>
    <row r="3395" spans="1:23" x14ac:dyDescent="0.2">
      <c r="A3395" s="71" t="s">
        <v>232</v>
      </c>
      <c r="B3395" s="71" t="s">
        <v>233</v>
      </c>
      <c r="C3395" s="71" t="s">
        <v>187</v>
      </c>
      <c r="D3395" s="71" t="s">
        <v>234</v>
      </c>
      <c r="E3395" s="71" t="s">
        <v>745</v>
      </c>
      <c r="F3395" s="71" t="s">
        <v>298</v>
      </c>
      <c r="G3395" s="88">
        <v>46240.306712963</v>
      </c>
      <c r="H3395" s="89">
        <v>46240</v>
      </c>
      <c r="I3395" s="71" t="s">
        <v>305</v>
      </c>
      <c r="J3395" s="71">
        <v>-9.0000000000000497</v>
      </c>
      <c r="K3395" s="71" t="s">
        <v>302</v>
      </c>
      <c r="L3395" s="71">
        <f t="shared" si="477"/>
        <v>8</v>
      </c>
      <c r="M3395" s="71" t="str">
        <f>IFERROR(INDEX(KALENDER!$D$3:$D$132,MATCH(H3395,KALENDER!$A$3:$A$132,0)),"Di luar periode")</f>
        <v>Hari Kerja</v>
      </c>
      <c r="N3395" s="71">
        <f t="shared" si="478"/>
        <v>1</v>
      </c>
      <c r="O3395" s="71">
        <f t="shared" si="479"/>
        <v>1</v>
      </c>
      <c r="P3395" s="71">
        <f t="shared" si="480"/>
        <v>1</v>
      </c>
      <c r="Q3395" s="71">
        <f t="shared" si="481"/>
        <v>0</v>
      </c>
      <c r="R3395" s="71">
        <f t="shared" si="482"/>
        <v>0</v>
      </c>
      <c r="S3395" s="71">
        <f t="shared" si="483"/>
        <v>0</v>
      </c>
      <c r="T3395" s="71">
        <f t="shared" si="484"/>
        <v>0</v>
      </c>
      <c r="U3395" s="71">
        <f>IF(AND(N3395=1,V3395=1),IF(COUNTIFS(AKTIVITAS!$B$2:$B$3052,B3395,AKTIVITAS!$E$2:$E$3052,H3395)&gt;0,1,0),0)</f>
        <v>1</v>
      </c>
      <c r="V3395" s="71">
        <f>IFERROR(IF(AND(H3395&gt;=INDEX(PEMAGANG!$J$3:$J$36,MATCH(B3395,PEMAGANG!$C$3:$C$36,0)),H3395&lt;=INDEX(PEMAGANG!$K$3:$K$36,MATCH(B3395,PEMAGANG!$C$3:$C$36,0))),1,0),0)</f>
        <v>1</v>
      </c>
      <c r="W3395" s="71">
        <f t="shared" si="485"/>
        <v>1</v>
      </c>
    </row>
    <row r="3396" spans="1:23" x14ac:dyDescent="0.2">
      <c r="A3396" s="71" t="s">
        <v>232</v>
      </c>
      <c r="B3396" s="71" t="s">
        <v>233</v>
      </c>
      <c r="C3396" s="71" t="s">
        <v>187</v>
      </c>
      <c r="D3396" s="71" t="s">
        <v>234</v>
      </c>
      <c r="E3396" s="71" t="s">
        <v>745</v>
      </c>
      <c r="F3396" s="71" t="s">
        <v>300</v>
      </c>
      <c r="G3396" s="88">
        <v>46240.688391203701</v>
      </c>
      <c r="H3396" s="89">
        <v>46240</v>
      </c>
      <c r="I3396" s="71" t="s">
        <v>336</v>
      </c>
      <c r="J3396" s="71">
        <v>0</v>
      </c>
      <c r="K3396" s="71" t="s">
        <v>302</v>
      </c>
      <c r="L3396" s="71">
        <f t="shared" si="477"/>
        <v>8</v>
      </c>
      <c r="M3396" s="71" t="str">
        <f>IFERROR(INDEX(KALENDER!$D$3:$D$132,MATCH(H3396,KALENDER!$A$3:$A$132,0)),"Di luar periode")</f>
        <v>Hari Kerja</v>
      </c>
      <c r="N3396" s="71">
        <f t="shared" si="478"/>
        <v>0</v>
      </c>
      <c r="O3396" s="71">
        <f t="shared" si="479"/>
        <v>1</v>
      </c>
      <c r="P3396" s="71">
        <f t="shared" si="480"/>
        <v>0</v>
      </c>
      <c r="Q3396" s="71">
        <f t="shared" si="481"/>
        <v>0</v>
      </c>
      <c r="R3396" s="71">
        <f t="shared" si="482"/>
        <v>0</v>
      </c>
      <c r="S3396" s="71">
        <f t="shared" si="483"/>
        <v>0</v>
      </c>
      <c r="T3396" s="71">
        <f t="shared" si="484"/>
        <v>0</v>
      </c>
      <c r="U3396" s="71">
        <f>IF(AND(N3396=1,V3396=1),IF(COUNTIFS(AKTIVITAS!$B$2:$B$3052,B3396,AKTIVITAS!$E$2:$E$3052,H3396)&gt;0,1,0),0)</f>
        <v>0</v>
      </c>
      <c r="V3396" s="71">
        <f>IFERROR(IF(AND(H3396&gt;=INDEX(PEMAGANG!$J$3:$J$36,MATCH(B3396,PEMAGANG!$C$3:$C$36,0)),H3396&lt;=INDEX(PEMAGANG!$K$3:$K$36,MATCH(B3396,PEMAGANG!$C$3:$C$36,0))),1,0),0)</f>
        <v>1</v>
      </c>
      <c r="W3396" s="71">
        <f t="shared" si="485"/>
        <v>0</v>
      </c>
    </row>
    <row r="3397" spans="1:23" x14ac:dyDescent="0.2">
      <c r="A3397" s="71" t="s">
        <v>232</v>
      </c>
      <c r="B3397" s="71" t="s">
        <v>233</v>
      </c>
      <c r="C3397" s="71" t="s">
        <v>187</v>
      </c>
      <c r="D3397" s="71" t="s">
        <v>234</v>
      </c>
      <c r="E3397" s="71" t="s">
        <v>745</v>
      </c>
      <c r="F3397" s="71" t="s">
        <v>298</v>
      </c>
      <c r="G3397" s="88">
        <v>46241.309351851902</v>
      </c>
      <c r="H3397" s="89">
        <v>46241</v>
      </c>
      <c r="I3397" s="71" t="s">
        <v>307</v>
      </c>
      <c r="J3397" s="71">
        <v>-4.9999999999999796</v>
      </c>
      <c r="K3397" s="71" t="s">
        <v>302</v>
      </c>
      <c r="L3397" s="71">
        <f t="shared" si="477"/>
        <v>8</v>
      </c>
      <c r="M3397" s="71" t="str">
        <f>IFERROR(INDEX(KALENDER!$D$3:$D$132,MATCH(H3397,KALENDER!$A$3:$A$132,0)),"Di luar periode")</f>
        <v>Hari Kerja</v>
      </c>
      <c r="N3397" s="71">
        <f t="shared" si="478"/>
        <v>1</v>
      </c>
      <c r="O3397" s="71">
        <f t="shared" si="479"/>
        <v>1</v>
      </c>
      <c r="P3397" s="71">
        <f t="shared" si="480"/>
        <v>1</v>
      </c>
      <c r="Q3397" s="71">
        <f t="shared" si="481"/>
        <v>0</v>
      </c>
      <c r="R3397" s="71">
        <f t="shared" si="482"/>
        <v>0</v>
      </c>
      <c r="S3397" s="71">
        <f t="shared" si="483"/>
        <v>0</v>
      </c>
      <c r="T3397" s="71">
        <f t="shared" si="484"/>
        <v>0</v>
      </c>
      <c r="U3397" s="71">
        <f>IF(AND(N3397=1,V3397=1),IF(COUNTIFS(AKTIVITAS!$B$2:$B$3052,B3397,AKTIVITAS!$E$2:$E$3052,H3397)&gt;0,1,0),0)</f>
        <v>1</v>
      </c>
      <c r="V3397" s="71">
        <f>IFERROR(IF(AND(H3397&gt;=INDEX(PEMAGANG!$J$3:$J$36,MATCH(B3397,PEMAGANG!$C$3:$C$36,0)),H3397&lt;=INDEX(PEMAGANG!$K$3:$K$36,MATCH(B3397,PEMAGANG!$C$3:$C$36,0))),1,0),0)</f>
        <v>1</v>
      </c>
      <c r="W3397" s="71">
        <f t="shared" si="485"/>
        <v>1</v>
      </c>
    </row>
    <row r="3398" spans="1:23" x14ac:dyDescent="0.2">
      <c r="A3398" s="71" t="s">
        <v>232</v>
      </c>
      <c r="B3398" s="71" t="s">
        <v>233</v>
      </c>
      <c r="C3398" s="71" t="s">
        <v>187</v>
      </c>
      <c r="D3398" s="71" t="s">
        <v>234</v>
      </c>
      <c r="E3398" s="71" t="s">
        <v>745</v>
      </c>
      <c r="F3398" s="71" t="s">
        <v>300</v>
      </c>
      <c r="G3398" s="88">
        <v>46241.695370370398</v>
      </c>
      <c r="H3398" s="89">
        <v>46241</v>
      </c>
      <c r="I3398" s="71" t="s">
        <v>319</v>
      </c>
      <c r="J3398" s="71">
        <v>0</v>
      </c>
      <c r="K3398" s="71" t="s">
        <v>302</v>
      </c>
      <c r="L3398" s="71">
        <f t="shared" si="477"/>
        <v>8</v>
      </c>
      <c r="M3398" s="71" t="str">
        <f>IFERROR(INDEX(KALENDER!$D$3:$D$132,MATCH(H3398,KALENDER!$A$3:$A$132,0)),"Di luar periode")</f>
        <v>Hari Kerja</v>
      </c>
      <c r="N3398" s="71">
        <f t="shared" si="478"/>
        <v>0</v>
      </c>
      <c r="O3398" s="71">
        <f t="shared" si="479"/>
        <v>1</v>
      </c>
      <c r="P3398" s="71">
        <f t="shared" si="480"/>
        <v>0</v>
      </c>
      <c r="Q3398" s="71">
        <f t="shared" si="481"/>
        <v>0</v>
      </c>
      <c r="R3398" s="71">
        <f t="shared" si="482"/>
        <v>0</v>
      </c>
      <c r="S3398" s="71">
        <f t="shared" si="483"/>
        <v>0</v>
      </c>
      <c r="T3398" s="71">
        <f t="shared" si="484"/>
        <v>0</v>
      </c>
      <c r="U3398" s="71">
        <f>IF(AND(N3398=1,V3398=1),IF(COUNTIFS(AKTIVITAS!$B$2:$B$3052,B3398,AKTIVITAS!$E$2:$E$3052,H3398)&gt;0,1,0),0)</f>
        <v>0</v>
      </c>
      <c r="V3398" s="71">
        <f>IFERROR(IF(AND(H3398&gt;=INDEX(PEMAGANG!$J$3:$J$36,MATCH(B3398,PEMAGANG!$C$3:$C$36,0)),H3398&lt;=INDEX(PEMAGANG!$K$3:$K$36,MATCH(B3398,PEMAGANG!$C$3:$C$36,0))),1,0),0)</f>
        <v>1</v>
      </c>
      <c r="W3398" s="71">
        <f t="shared" si="485"/>
        <v>0</v>
      </c>
    </row>
    <row r="3399" spans="1:23" x14ac:dyDescent="0.2">
      <c r="A3399" s="71" t="s">
        <v>232</v>
      </c>
      <c r="B3399" s="71" t="s">
        <v>233</v>
      </c>
      <c r="C3399" s="71" t="s">
        <v>187</v>
      </c>
      <c r="D3399" s="71" t="s">
        <v>234</v>
      </c>
      <c r="E3399" s="71" t="s">
        <v>745</v>
      </c>
      <c r="F3399" s="71" t="s">
        <v>298</v>
      </c>
      <c r="G3399" s="88">
        <v>46244.304351851897</v>
      </c>
      <c r="H3399" s="89">
        <v>46244</v>
      </c>
      <c r="I3399" s="71" t="s">
        <v>326</v>
      </c>
      <c r="J3399" s="71">
        <v>-12</v>
      </c>
      <c r="K3399" s="71" t="s">
        <v>302</v>
      </c>
      <c r="L3399" s="71">
        <f t="shared" si="477"/>
        <v>8</v>
      </c>
      <c r="M3399" s="71" t="str">
        <f>IFERROR(INDEX(KALENDER!$D$3:$D$132,MATCH(H3399,KALENDER!$A$3:$A$132,0)),"Di luar periode")</f>
        <v>Hari Kerja</v>
      </c>
      <c r="N3399" s="71">
        <f t="shared" si="478"/>
        <v>1</v>
      </c>
      <c r="O3399" s="71">
        <f t="shared" si="479"/>
        <v>1</v>
      </c>
      <c r="P3399" s="71">
        <f t="shared" si="480"/>
        <v>1</v>
      </c>
      <c r="Q3399" s="71">
        <f t="shared" si="481"/>
        <v>0</v>
      </c>
      <c r="R3399" s="71">
        <f t="shared" si="482"/>
        <v>0</v>
      </c>
      <c r="S3399" s="71">
        <f t="shared" si="483"/>
        <v>0</v>
      </c>
      <c r="T3399" s="71">
        <f t="shared" si="484"/>
        <v>0</v>
      </c>
      <c r="U3399" s="71">
        <f>IF(AND(N3399=1,V3399=1),IF(COUNTIFS(AKTIVITAS!$B$2:$B$3052,B3399,AKTIVITAS!$E$2:$E$3052,H3399)&gt;0,1,0),0)</f>
        <v>1</v>
      </c>
      <c r="V3399" s="71">
        <f>IFERROR(IF(AND(H3399&gt;=INDEX(PEMAGANG!$J$3:$J$36,MATCH(B3399,PEMAGANG!$C$3:$C$36,0)),H3399&lt;=INDEX(PEMAGANG!$K$3:$K$36,MATCH(B3399,PEMAGANG!$C$3:$C$36,0))),1,0),0)</f>
        <v>1</v>
      </c>
      <c r="W3399" s="71">
        <f t="shared" si="485"/>
        <v>1</v>
      </c>
    </row>
    <row r="3400" spans="1:23" x14ac:dyDescent="0.2">
      <c r="A3400" s="71" t="s">
        <v>232</v>
      </c>
      <c r="B3400" s="71" t="s">
        <v>233</v>
      </c>
      <c r="C3400" s="71" t="s">
        <v>187</v>
      </c>
      <c r="D3400" s="71" t="s">
        <v>234</v>
      </c>
      <c r="E3400" s="71" t="s">
        <v>745</v>
      </c>
      <c r="F3400" s="71" t="s">
        <v>300</v>
      </c>
      <c r="G3400" s="88">
        <v>46244.697141203702</v>
      </c>
      <c r="H3400" s="89">
        <v>46244</v>
      </c>
      <c r="I3400" s="71" t="s">
        <v>347</v>
      </c>
      <c r="J3400" s="71">
        <v>0</v>
      </c>
      <c r="K3400" s="71" t="s">
        <v>302</v>
      </c>
      <c r="L3400" s="71">
        <f t="shared" si="477"/>
        <v>8</v>
      </c>
      <c r="M3400" s="71" t="str">
        <f>IFERROR(INDEX(KALENDER!$D$3:$D$132,MATCH(H3400,KALENDER!$A$3:$A$132,0)),"Di luar periode")</f>
        <v>Hari Kerja</v>
      </c>
      <c r="N3400" s="71">
        <f t="shared" si="478"/>
        <v>0</v>
      </c>
      <c r="O3400" s="71">
        <f t="shared" si="479"/>
        <v>1</v>
      </c>
      <c r="P3400" s="71">
        <f t="shared" si="480"/>
        <v>0</v>
      </c>
      <c r="Q3400" s="71">
        <f t="shared" si="481"/>
        <v>0</v>
      </c>
      <c r="R3400" s="71">
        <f t="shared" si="482"/>
        <v>0</v>
      </c>
      <c r="S3400" s="71">
        <f t="shared" si="483"/>
        <v>0</v>
      </c>
      <c r="T3400" s="71">
        <f t="shared" si="484"/>
        <v>0</v>
      </c>
      <c r="U3400" s="71">
        <f>IF(AND(N3400=1,V3400=1),IF(COUNTIFS(AKTIVITAS!$B$2:$B$3052,B3400,AKTIVITAS!$E$2:$E$3052,H3400)&gt;0,1,0),0)</f>
        <v>0</v>
      </c>
      <c r="V3400" s="71">
        <f>IFERROR(IF(AND(H3400&gt;=INDEX(PEMAGANG!$J$3:$J$36,MATCH(B3400,PEMAGANG!$C$3:$C$36,0)),H3400&lt;=INDEX(PEMAGANG!$K$3:$K$36,MATCH(B3400,PEMAGANG!$C$3:$C$36,0))),1,0),0)</f>
        <v>1</v>
      </c>
      <c r="W3400" s="71">
        <f t="shared" si="485"/>
        <v>0</v>
      </c>
    </row>
    <row r="3401" spans="1:23" x14ac:dyDescent="0.2">
      <c r="A3401" s="71" t="s">
        <v>232</v>
      </c>
      <c r="B3401" s="71" t="s">
        <v>233</v>
      </c>
      <c r="C3401" s="71" t="s">
        <v>187</v>
      </c>
      <c r="D3401" s="71" t="s">
        <v>234</v>
      </c>
      <c r="E3401" s="71" t="s">
        <v>745</v>
      </c>
      <c r="F3401" s="71" t="s">
        <v>298</v>
      </c>
      <c r="G3401" s="88">
        <v>46245.303773148204</v>
      </c>
      <c r="H3401" s="89">
        <v>46245</v>
      </c>
      <c r="I3401" s="71" t="s">
        <v>331</v>
      </c>
      <c r="J3401" s="71">
        <v>-13</v>
      </c>
      <c r="K3401" s="71" t="s">
        <v>302</v>
      </c>
      <c r="L3401" s="71">
        <f t="shared" si="477"/>
        <v>8</v>
      </c>
      <c r="M3401" s="71" t="str">
        <f>IFERROR(INDEX(KALENDER!$D$3:$D$132,MATCH(H3401,KALENDER!$A$3:$A$132,0)),"Di luar periode")</f>
        <v>Hari Kerja</v>
      </c>
      <c r="N3401" s="71">
        <f t="shared" si="478"/>
        <v>1</v>
      </c>
      <c r="O3401" s="71">
        <f t="shared" si="479"/>
        <v>1</v>
      </c>
      <c r="P3401" s="71">
        <f t="shared" si="480"/>
        <v>1</v>
      </c>
      <c r="Q3401" s="71">
        <f t="shared" si="481"/>
        <v>0</v>
      </c>
      <c r="R3401" s="71">
        <f t="shared" si="482"/>
        <v>0</v>
      </c>
      <c r="S3401" s="71">
        <f t="shared" si="483"/>
        <v>0</v>
      </c>
      <c r="T3401" s="71">
        <f t="shared" si="484"/>
        <v>0</v>
      </c>
      <c r="U3401" s="71">
        <f>IF(AND(N3401=1,V3401=1),IF(COUNTIFS(AKTIVITAS!$B$2:$B$3052,B3401,AKTIVITAS!$E$2:$E$3052,H3401)&gt;0,1,0),0)</f>
        <v>1</v>
      </c>
      <c r="V3401" s="71">
        <f>IFERROR(IF(AND(H3401&gt;=INDEX(PEMAGANG!$J$3:$J$36,MATCH(B3401,PEMAGANG!$C$3:$C$36,0)),H3401&lt;=INDEX(PEMAGANG!$K$3:$K$36,MATCH(B3401,PEMAGANG!$C$3:$C$36,0))),1,0),0)</f>
        <v>1</v>
      </c>
      <c r="W3401" s="71">
        <f t="shared" si="485"/>
        <v>1</v>
      </c>
    </row>
    <row r="3402" spans="1:23" x14ac:dyDescent="0.2">
      <c r="A3402" s="71" t="s">
        <v>232</v>
      </c>
      <c r="B3402" s="71" t="s">
        <v>233</v>
      </c>
      <c r="C3402" s="71" t="s">
        <v>187</v>
      </c>
      <c r="D3402" s="71" t="s">
        <v>234</v>
      </c>
      <c r="E3402" s="71" t="s">
        <v>745</v>
      </c>
      <c r="F3402" s="71" t="s">
        <v>300</v>
      </c>
      <c r="G3402" s="88">
        <v>46245.697986111103</v>
      </c>
      <c r="H3402" s="89">
        <v>46245</v>
      </c>
      <c r="I3402" s="71" t="s">
        <v>318</v>
      </c>
      <c r="J3402" s="71">
        <v>0</v>
      </c>
      <c r="K3402" s="71" t="s">
        <v>302</v>
      </c>
      <c r="L3402" s="71">
        <f t="shared" si="477"/>
        <v>8</v>
      </c>
      <c r="M3402" s="71" t="str">
        <f>IFERROR(INDEX(KALENDER!$D$3:$D$132,MATCH(H3402,KALENDER!$A$3:$A$132,0)),"Di luar periode")</f>
        <v>Hari Kerja</v>
      </c>
      <c r="N3402" s="71">
        <f t="shared" si="478"/>
        <v>0</v>
      </c>
      <c r="O3402" s="71">
        <f t="shared" si="479"/>
        <v>1</v>
      </c>
      <c r="P3402" s="71">
        <f t="shared" si="480"/>
        <v>0</v>
      </c>
      <c r="Q3402" s="71">
        <f t="shared" si="481"/>
        <v>0</v>
      </c>
      <c r="R3402" s="71">
        <f t="shared" si="482"/>
        <v>0</v>
      </c>
      <c r="S3402" s="71">
        <f t="shared" si="483"/>
        <v>0</v>
      </c>
      <c r="T3402" s="71">
        <f t="shared" si="484"/>
        <v>0</v>
      </c>
      <c r="U3402" s="71">
        <f>IF(AND(N3402=1,V3402=1),IF(COUNTIFS(AKTIVITAS!$B$2:$B$3052,B3402,AKTIVITAS!$E$2:$E$3052,H3402)&gt;0,1,0),0)</f>
        <v>0</v>
      </c>
      <c r="V3402" s="71">
        <f>IFERROR(IF(AND(H3402&gt;=INDEX(PEMAGANG!$J$3:$J$36,MATCH(B3402,PEMAGANG!$C$3:$C$36,0)),H3402&lt;=INDEX(PEMAGANG!$K$3:$K$36,MATCH(B3402,PEMAGANG!$C$3:$C$36,0))),1,0),0)</f>
        <v>1</v>
      </c>
      <c r="W3402" s="71">
        <f t="shared" si="485"/>
        <v>0</v>
      </c>
    </row>
    <row r="3403" spans="1:23" x14ac:dyDescent="0.2">
      <c r="A3403" s="71" t="s">
        <v>232</v>
      </c>
      <c r="B3403" s="71" t="s">
        <v>233</v>
      </c>
      <c r="C3403" s="71" t="s">
        <v>187</v>
      </c>
      <c r="D3403" s="71" t="s">
        <v>234</v>
      </c>
      <c r="E3403" s="71" t="s">
        <v>745</v>
      </c>
      <c r="F3403" s="71" t="s">
        <v>298</v>
      </c>
      <c r="G3403" s="88">
        <v>46246.307152777801</v>
      </c>
      <c r="H3403" s="89">
        <v>46246</v>
      </c>
      <c r="I3403" s="71" t="s">
        <v>313</v>
      </c>
      <c r="J3403" s="71">
        <v>-8.0000000000000497</v>
      </c>
      <c r="K3403" s="71" t="s">
        <v>302</v>
      </c>
      <c r="L3403" s="71">
        <f t="shared" si="477"/>
        <v>8</v>
      </c>
      <c r="M3403" s="71" t="str">
        <f>IFERROR(INDEX(KALENDER!$D$3:$D$132,MATCH(H3403,KALENDER!$A$3:$A$132,0)),"Di luar periode")</f>
        <v>Hari Kerja</v>
      </c>
      <c r="N3403" s="71">
        <f t="shared" si="478"/>
        <v>1</v>
      </c>
      <c r="O3403" s="71">
        <f t="shared" si="479"/>
        <v>1</v>
      </c>
      <c r="P3403" s="71">
        <f t="shared" si="480"/>
        <v>1</v>
      </c>
      <c r="Q3403" s="71">
        <f t="shared" si="481"/>
        <v>0</v>
      </c>
      <c r="R3403" s="71">
        <f t="shared" si="482"/>
        <v>0</v>
      </c>
      <c r="S3403" s="71">
        <f t="shared" si="483"/>
        <v>0</v>
      </c>
      <c r="T3403" s="71">
        <f t="shared" si="484"/>
        <v>0</v>
      </c>
      <c r="U3403" s="71">
        <f>IF(AND(N3403=1,V3403=1),IF(COUNTIFS(AKTIVITAS!$B$2:$B$3052,B3403,AKTIVITAS!$E$2:$E$3052,H3403)&gt;0,1,0),0)</f>
        <v>1</v>
      </c>
      <c r="V3403" s="71">
        <f>IFERROR(IF(AND(H3403&gt;=INDEX(PEMAGANG!$J$3:$J$36,MATCH(B3403,PEMAGANG!$C$3:$C$36,0)),H3403&lt;=INDEX(PEMAGANG!$K$3:$K$36,MATCH(B3403,PEMAGANG!$C$3:$C$36,0))),1,0),0)</f>
        <v>1</v>
      </c>
      <c r="W3403" s="71">
        <f t="shared" si="485"/>
        <v>1</v>
      </c>
    </row>
    <row r="3404" spans="1:23" x14ac:dyDescent="0.2">
      <c r="A3404" s="71" t="s">
        <v>232</v>
      </c>
      <c r="B3404" s="71" t="s">
        <v>233</v>
      </c>
      <c r="C3404" s="71" t="s">
        <v>187</v>
      </c>
      <c r="D3404" s="71" t="s">
        <v>234</v>
      </c>
      <c r="E3404" s="71" t="s">
        <v>745</v>
      </c>
      <c r="F3404" s="71" t="s">
        <v>300</v>
      </c>
      <c r="G3404" s="88">
        <v>46246.700462963003</v>
      </c>
      <c r="H3404" s="89">
        <v>46246</v>
      </c>
      <c r="I3404" s="71" t="s">
        <v>346</v>
      </c>
      <c r="J3404" s="71">
        <v>0</v>
      </c>
      <c r="K3404" s="71" t="s">
        <v>302</v>
      </c>
      <c r="L3404" s="71">
        <f t="shared" si="477"/>
        <v>8</v>
      </c>
      <c r="M3404" s="71" t="str">
        <f>IFERROR(INDEX(KALENDER!$D$3:$D$132,MATCH(H3404,KALENDER!$A$3:$A$132,0)),"Di luar periode")</f>
        <v>Hari Kerja</v>
      </c>
      <c r="N3404" s="71">
        <f t="shared" si="478"/>
        <v>0</v>
      </c>
      <c r="O3404" s="71">
        <f t="shared" si="479"/>
        <v>1</v>
      </c>
      <c r="P3404" s="71">
        <f t="shared" si="480"/>
        <v>0</v>
      </c>
      <c r="Q3404" s="71">
        <f t="shared" si="481"/>
        <v>0</v>
      </c>
      <c r="R3404" s="71">
        <f t="shared" si="482"/>
        <v>0</v>
      </c>
      <c r="S3404" s="71">
        <f t="shared" si="483"/>
        <v>0</v>
      </c>
      <c r="T3404" s="71">
        <f t="shared" si="484"/>
        <v>0</v>
      </c>
      <c r="U3404" s="71">
        <f>IF(AND(N3404=1,V3404=1),IF(COUNTIFS(AKTIVITAS!$B$2:$B$3052,B3404,AKTIVITAS!$E$2:$E$3052,H3404)&gt;0,1,0),0)</f>
        <v>0</v>
      </c>
      <c r="V3404" s="71">
        <f>IFERROR(IF(AND(H3404&gt;=INDEX(PEMAGANG!$J$3:$J$36,MATCH(B3404,PEMAGANG!$C$3:$C$36,0)),H3404&lt;=INDEX(PEMAGANG!$K$3:$K$36,MATCH(B3404,PEMAGANG!$C$3:$C$36,0))),1,0),0)</f>
        <v>1</v>
      </c>
      <c r="W3404" s="71">
        <f t="shared" si="485"/>
        <v>0</v>
      </c>
    </row>
    <row r="3405" spans="1:23" x14ac:dyDescent="0.2">
      <c r="A3405" s="71" t="s">
        <v>232</v>
      </c>
      <c r="B3405" s="71" t="s">
        <v>233</v>
      </c>
      <c r="C3405" s="71" t="s">
        <v>187</v>
      </c>
      <c r="D3405" s="71" t="s">
        <v>234</v>
      </c>
      <c r="E3405" s="71" t="s">
        <v>745</v>
      </c>
      <c r="F3405" s="71" t="s">
        <v>298</v>
      </c>
      <c r="G3405" s="88">
        <v>46248.305821759299</v>
      </c>
      <c r="H3405" s="89">
        <v>46248</v>
      </c>
      <c r="I3405" s="71" t="s">
        <v>329</v>
      </c>
      <c r="J3405" s="71">
        <v>-10</v>
      </c>
      <c r="K3405" s="71" t="s">
        <v>302</v>
      </c>
      <c r="L3405" s="71">
        <f t="shared" si="477"/>
        <v>8</v>
      </c>
      <c r="M3405" s="71" t="str">
        <f>IFERROR(INDEX(KALENDER!$D$3:$D$132,MATCH(H3405,KALENDER!$A$3:$A$132,0)),"Di luar periode")</f>
        <v>Hari Kerja</v>
      </c>
      <c r="N3405" s="71">
        <f t="shared" si="478"/>
        <v>1</v>
      </c>
      <c r="O3405" s="71">
        <f t="shared" si="479"/>
        <v>1</v>
      </c>
      <c r="P3405" s="71">
        <f t="shared" si="480"/>
        <v>1</v>
      </c>
      <c r="Q3405" s="71">
        <f t="shared" si="481"/>
        <v>0</v>
      </c>
      <c r="R3405" s="71">
        <f t="shared" si="482"/>
        <v>0</v>
      </c>
      <c r="S3405" s="71">
        <f t="shared" si="483"/>
        <v>0</v>
      </c>
      <c r="T3405" s="71">
        <f t="shared" si="484"/>
        <v>0</v>
      </c>
      <c r="U3405" s="71">
        <f>IF(AND(N3405=1,V3405=1),IF(COUNTIFS(AKTIVITAS!$B$2:$B$3052,B3405,AKTIVITAS!$E$2:$E$3052,H3405)&gt;0,1,0),0)</f>
        <v>1</v>
      </c>
      <c r="V3405" s="71">
        <f>IFERROR(IF(AND(H3405&gt;=INDEX(PEMAGANG!$J$3:$J$36,MATCH(B3405,PEMAGANG!$C$3:$C$36,0)),H3405&lt;=INDEX(PEMAGANG!$K$3:$K$36,MATCH(B3405,PEMAGANG!$C$3:$C$36,0))),1,0),0)</f>
        <v>1</v>
      </c>
      <c r="W3405" s="71">
        <f t="shared" si="485"/>
        <v>1</v>
      </c>
    </row>
    <row r="3406" spans="1:23" x14ac:dyDescent="0.2">
      <c r="A3406" s="71" t="s">
        <v>232</v>
      </c>
      <c r="B3406" s="71" t="s">
        <v>233</v>
      </c>
      <c r="C3406" s="71" t="s">
        <v>187</v>
      </c>
      <c r="D3406" s="71" t="s">
        <v>234</v>
      </c>
      <c r="E3406" s="71" t="s">
        <v>745</v>
      </c>
      <c r="F3406" s="71" t="s">
        <v>300</v>
      </c>
      <c r="G3406" s="88">
        <v>46248.696261574099</v>
      </c>
      <c r="H3406" s="89">
        <v>46248</v>
      </c>
      <c r="I3406" s="71" t="s">
        <v>320</v>
      </c>
      <c r="J3406" s="71">
        <v>0</v>
      </c>
      <c r="K3406" s="71" t="s">
        <v>302</v>
      </c>
      <c r="L3406" s="71">
        <f t="shared" si="477"/>
        <v>8</v>
      </c>
      <c r="M3406" s="71" t="str">
        <f>IFERROR(INDEX(KALENDER!$D$3:$D$132,MATCH(H3406,KALENDER!$A$3:$A$132,0)),"Di luar periode")</f>
        <v>Hari Kerja</v>
      </c>
      <c r="N3406" s="71">
        <f t="shared" si="478"/>
        <v>0</v>
      </c>
      <c r="O3406" s="71">
        <f t="shared" si="479"/>
        <v>1</v>
      </c>
      <c r="P3406" s="71">
        <f t="shared" si="480"/>
        <v>0</v>
      </c>
      <c r="Q3406" s="71">
        <f t="shared" si="481"/>
        <v>0</v>
      </c>
      <c r="R3406" s="71">
        <f t="shared" si="482"/>
        <v>0</v>
      </c>
      <c r="S3406" s="71">
        <f t="shared" si="483"/>
        <v>0</v>
      </c>
      <c r="T3406" s="71">
        <f t="shared" si="484"/>
        <v>0</v>
      </c>
      <c r="U3406" s="71">
        <f>IF(AND(N3406=1,V3406=1),IF(COUNTIFS(AKTIVITAS!$B$2:$B$3052,B3406,AKTIVITAS!$E$2:$E$3052,H3406)&gt;0,1,0),0)</f>
        <v>0</v>
      </c>
      <c r="V3406" s="71">
        <f>IFERROR(IF(AND(H3406&gt;=INDEX(PEMAGANG!$J$3:$J$36,MATCH(B3406,PEMAGANG!$C$3:$C$36,0)),H3406&lt;=INDEX(PEMAGANG!$K$3:$K$36,MATCH(B3406,PEMAGANG!$C$3:$C$36,0))),1,0),0)</f>
        <v>1</v>
      </c>
      <c r="W3406" s="71">
        <f t="shared" si="485"/>
        <v>0</v>
      </c>
    </row>
    <row r="3407" spans="1:23" x14ac:dyDescent="0.2">
      <c r="A3407" s="71" t="s">
        <v>232</v>
      </c>
      <c r="B3407" s="71" t="s">
        <v>233</v>
      </c>
      <c r="C3407" s="71" t="s">
        <v>187</v>
      </c>
      <c r="D3407" s="71" t="s">
        <v>234</v>
      </c>
      <c r="E3407" s="71" t="s">
        <v>745</v>
      </c>
      <c r="F3407" s="71" t="s">
        <v>298</v>
      </c>
      <c r="G3407" s="88">
        <v>46252.302129629599</v>
      </c>
      <c r="H3407" s="89">
        <v>46252</v>
      </c>
      <c r="I3407" s="71" t="s">
        <v>370</v>
      </c>
      <c r="J3407" s="71">
        <v>-15</v>
      </c>
      <c r="K3407" s="71" t="s">
        <v>302</v>
      </c>
      <c r="L3407" s="71">
        <f t="shared" si="477"/>
        <v>8</v>
      </c>
      <c r="M3407" s="71" t="str">
        <f>IFERROR(INDEX(KALENDER!$D$3:$D$132,MATCH(H3407,KALENDER!$A$3:$A$132,0)),"Di luar periode")</f>
        <v>Hari Kerja</v>
      </c>
      <c r="N3407" s="71">
        <f t="shared" si="478"/>
        <v>1</v>
      </c>
      <c r="O3407" s="71">
        <f t="shared" si="479"/>
        <v>1</v>
      </c>
      <c r="P3407" s="71">
        <f t="shared" si="480"/>
        <v>1</v>
      </c>
      <c r="Q3407" s="71">
        <f t="shared" si="481"/>
        <v>0</v>
      </c>
      <c r="R3407" s="71">
        <f t="shared" si="482"/>
        <v>0</v>
      </c>
      <c r="S3407" s="71">
        <f t="shared" si="483"/>
        <v>0</v>
      </c>
      <c r="T3407" s="71">
        <f t="shared" si="484"/>
        <v>0</v>
      </c>
      <c r="U3407" s="71">
        <f>IF(AND(N3407=1,V3407=1),IF(COUNTIFS(AKTIVITAS!$B$2:$B$3052,B3407,AKTIVITAS!$E$2:$E$3052,H3407)&gt;0,1,0),0)</f>
        <v>1</v>
      </c>
      <c r="V3407" s="71">
        <f>IFERROR(IF(AND(H3407&gt;=INDEX(PEMAGANG!$J$3:$J$36,MATCH(B3407,PEMAGANG!$C$3:$C$36,0)),H3407&lt;=INDEX(PEMAGANG!$K$3:$K$36,MATCH(B3407,PEMAGANG!$C$3:$C$36,0))),1,0),0)</f>
        <v>1</v>
      </c>
      <c r="W3407" s="71">
        <f t="shared" si="485"/>
        <v>1</v>
      </c>
    </row>
    <row r="3408" spans="1:23" x14ac:dyDescent="0.2">
      <c r="A3408" s="71" t="s">
        <v>232</v>
      </c>
      <c r="B3408" s="71" t="s">
        <v>233</v>
      </c>
      <c r="C3408" s="71" t="s">
        <v>187</v>
      </c>
      <c r="D3408" s="71" t="s">
        <v>234</v>
      </c>
      <c r="E3408" s="71" t="s">
        <v>745</v>
      </c>
      <c r="F3408" s="71" t="s">
        <v>300</v>
      </c>
      <c r="G3408" s="88">
        <v>46252.705266203702</v>
      </c>
      <c r="H3408" s="89">
        <v>46252</v>
      </c>
      <c r="I3408" s="71" t="s">
        <v>585</v>
      </c>
      <c r="J3408" s="71">
        <v>0</v>
      </c>
      <c r="K3408" s="71" t="s">
        <v>302</v>
      </c>
      <c r="L3408" s="71">
        <f t="shared" si="477"/>
        <v>8</v>
      </c>
      <c r="M3408" s="71" t="str">
        <f>IFERROR(INDEX(KALENDER!$D$3:$D$132,MATCH(H3408,KALENDER!$A$3:$A$132,0)),"Di luar periode")</f>
        <v>Hari Kerja</v>
      </c>
      <c r="N3408" s="71">
        <f t="shared" si="478"/>
        <v>0</v>
      </c>
      <c r="O3408" s="71">
        <f t="shared" si="479"/>
        <v>1</v>
      </c>
      <c r="P3408" s="71">
        <f t="shared" si="480"/>
        <v>0</v>
      </c>
      <c r="Q3408" s="71">
        <f t="shared" si="481"/>
        <v>0</v>
      </c>
      <c r="R3408" s="71">
        <f t="shared" si="482"/>
        <v>0</v>
      </c>
      <c r="S3408" s="71">
        <f t="shared" si="483"/>
        <v>0</v>
      </c>
      <c r="T3408" s="71">
        <f t="shared" si="484"/>
        <v>0</v>
      </c>
      <c r="U3408" s="71">
        <f>IF(AND(N3408=1,V3408=1),IF(COUNTIFS(AKTIVITAS!$B$2:$B$3052,B3408,AKTIVITAS!$E$2:$E$3052,H3408)&gt;0,1,0),0)</f>
        <v>0</v>
      </c>
      <c r="V3408" s="71">
        <f>IFERROR(IF(AND(H3408&gt;=INDEX(PEMAGANG!$J$3:$J$36,MATCH(B3408,PEMAGANG!$C$3:$C$36,0)),H3408&lt;=INDEX(PEMAGANG!$K$3:$K$36,MATCH(B3408,PEMAGANG!$C$3:$C$36,0))),1,0),0)</f>
        <v>1</v>
      </c>
      <c r="W3408" s="71">
        <f t="shared" si="485"/>
        <v>0</v>
      </c>
    </row>
    <row r="3409" spans="1:23" x14ac:dyDescent="0.2">
      <c r="A3409" s="71" t="s">
        <v>232</v>
      </c>
      <c r="B3409" s="71" t="s">
        <v>233</v>
      </c>
      <c r="C3409" s="71" t="s">
        <v>187</v>
      </c>
      <c r="D3409" s="71" t="s">
        <v>234</v>
      </c>
      <c r="E3409" s="71" t="s">
        <v>745</v>
      </c>
      <c r="F3409" s="71" t="s">
        <v>298</v>
      </c>
      <c r="G3409" s="88">
        <v>46253.303865740701</v>
      </c>
      <c r="H3409" s="89">
        <v>46253</v>
      </c>
      <c r="I3409" s="71" t="s">
        <v>331</v>
      </c>
      <c r="J3409" s="71">
        <v>-13</v>
      </c>
      <c r="K3409" s="71" t="s">
        <v>302</v>
      </c>
      <c r="L3409" s="71">
        <f t="shared" si="477"/>
        <v>8</v>
      </c>
      <c r="M3409" s="71" t="str">
        <f>IFERROR(INDEX(KALENDER!$D$3:$D$132,MATCH(H3409,KALENDER!$A$3:$A$132,0)),"Di luar periode")</f>
        <v>Hari Kerja</v>
      </c>
      <c r="N3409" s="71">
        <f t="shared" si="478"/>
        <v>1</v>
      </c>
      <c r="O3409" s="71">
        <f t="shared" si="479"/>
        <v>1</v>
      </c>
      <c r="P3409" s="71">
        <f t="shared" si="480"/>
        <v>1</v>
      </c>
      <c r="Q3409" s="71">
        <f t="shared" si="481"/>
        <v>0</v>
      </c>
      <c r="R3409" s="71">
        <f t="shared" si="482"/>
        <v>0</v>
      </c>
      <c r="S3409" s="71">
        <f t="shared" si="483"/>
        <v>0</v>
      </c>
      <c r="T3409" s="71">
        <f t="shared" si="484"/>
        <v>0</v>
      </c>
      <c r="U3409" s="71">
        <f>IF(AND(N3409=1,V3409=1),IF(COUNTIFS(AKTIVITAS!$B$2:$B$3052,B3409,AKTIVITAS!$E$2:$E$3052,H3409)&gt;0,1,0),0)</f>
        <v>1</v>
      </c>
      <c r="V3409" s="71">
        <f>IFERROR(IF(AND(H3409&gt;=INDEX(PEMAGANG!$J$3:$J$36,MATCH(B3409,PEMAGANG!$C$3:$C$36,0)),H3409&lt;=INDEX(PEMAGANG!$K$3:$K$36,MATCH(B3409,PEMAGANG!$C$3:$C$36,0))),1,0),0)</f>
        <v>1</v>
      </c>
      <c r="W3409" s="71">
        <f t="shared" si="485"/>
        <v>1</v>
      </c>
    </row>
    <row r="3410" spans="1:23" x14ac:dyDescent="0.2">
      <c r="A3410" s="71" t="s">
        <v>232</v>
      </c>
      <c r="B3410" s="71" t="s">
        <v>233</v>
      </c>
      <c r="C3410" s="71" t="s">
        <v>187</v>
      </c>
      <c r="D3410" s="71" t="s">
        <v>234</v>
      </c>
      <c r="E3410" s="71" t="s">
        <v>745</v>
      </c>
      <c r="F3410" s="71" t="s">
        <v>300</v>
      </c>
      <c r="G3410" s="88">
        <v>46253.689189814802</v>
      </c>
      <c r="H3410" s="89">
        <v>46253</v>
      </c>
      <c r="I3410" s="71" t="s">
        <v>306</v>
      </c>
      <c r="J3410" s="71">
        <v>0</v>
      </c>
      <c r="K3410" s="71" t="s">
        <v>302</v>
      </c>
      <c r="L3410" s="71">
        <f t="shared" si="477"/>
        <v>8</v>
      </c>
      <c r="M3410" s="71" t="str">
        <f>IFERROR(INDEX(KALENDER!$D$3:$D$132,MATCH(H3410,KALENDER!$A$3:$A$132,0)),"Di luar periode")</f>
        <v>Hari Kerja</v>
      </c>
      <c r="N3410" s="71">
        <f t="shared" si="478"/>
        <v>0</v>
      </c>
      <c r="O3410" s="71">
        <f t="shared" si="479"/>
        <v>1</v>
      </c>
      <c r="P3410" s="71">
        <f t="shared" si="480"/>
        <v>0</v>
      </c>
      <c r="Q3410" s="71">
        <f t="shared" si="481"/>
        <v>0</v>
      </c>
      <c r="R3410" s="71">
        <f t="shared" si="482"/>
        <v>0</v>
      </c>
      <c r="S3410" s="71">
        <f t="shared" si="483"/>
        <v>0</v>
      </c>
      <c r="T3410" s="71">
        <f t="shared" si="484"/>
        <v>0</v>
      </c>
      <c r="U3410" s="71">
        <f>IF(AND(N3410=1,V3410=1),IF(COUNTIFS(AKTIVITAS!$B$2:$B$3052,B3410,AKTIVITAS!$E$2:$E$3052,H3410)&gt;0,1,0),0)</f>
        <v>0</v>
      </c>
      <c r="V3410" s="71">
        <f>IFERROR(IF(AND(H3410&gt;=INDEX(PEMAGANG!$J$3:$J$36,MATCH(B3410,PEMAGANG!$C$3:$C$36,0)),H3410&lt;=INDEX(PEMAGANG!$K$3:$K$36,MATCH(B3410,PEMAGANG!$C$3:$C$36,0))),1,0),0)</f>
        <v>1</v>
      </c>
      <c r="W3410" s="71">
        <f t="shared" si="485"/>
        <v>0</v>
      </c>
    </row>
    <row r="3411" spans="1:23" x14ac:dyDescent="0.2">
      <c r="A3411" s="71" t="s">
        <v>232</v>
      </c>
      <c r="B3411" s="71" t="s">
        <v>233</v>
      </c>
      <c r="C3411" s="71" t="s">
        <v>187</v>
      </c>
      <c r="D3411" s="71" t="s">
        <v>234</v>
      </c>
      <c r="E3411" s="71" t="s">
        <v>745</v>
      </c>
      <c r="F3411" s="71" t="s">
        <v>298</v>
      </c>
      <c r="G3411" s="88">
        <v>46254.303587962997</v>
      </c>
      <c r="H3411" s="89">
        <v>46254</v>
      </c>
      <c r="I3411" s="71" t="s">
        <v>331</v>
      </c>
      <c r="J3411" s="71">
        <v>-13</v>
      </c>
      <c r="K3411" s="71" t="s">
        <v>302</v>
      </c>
      <c r="L3411" s="71">
        <f t="shared" si="477"/>
        <v>8</v>
      </c>
      <c r="M3411" s="71" t="str">
        <f>IFERROR(INDEX(KALENDER!$D$3:$D$132,MATCH(H3411,KALENDER!$A$3:$A$132,0)),"Di luar periode")</f>
        <v>Hari Kerja</v>
      </c>
      <c r="N3411" s="71">
        <f t="shared" si="478"/>
        <v>1</v>
      </c>
      <c r="O3411" s="71">
        <f t="shared" si="479"/>
        <v>1</v>
      </c>
      <c r="P3411" s="71">
        <f t="shared" si="480"/>
        <v>1</v>
      </c>
      <c r="Q3411" s="71">
        <f t="shared" si="481"/>
        <v>0</v>
      </c>
      <c r="R3411" s="71">
        <f t="shared" si="482"/>
        <v>0</v>
      </c>
      <c r="S3411" s="71">
        <f t="shared" si="483"/>
        <v>0</v>
      </c>
      <c r="T3411" s="71">
        <f t="shared" si="484"/>
        <v>0</v>
      </c>
      <c r="U3411" s="71">
        <f>IF(AND(N3411=1,V3411=1),IF(COUNTIFS(AKTIVITAS!$B$2:$B$3052,B3411,AKTIVITAS!$E$2:$E$3052,H3411)&gt;0,1,0),0)</f>
        <v>1</v>
      </c>
      <c r="V3411" s="71">
        <f>IFERROR(IF(AND(H3411&gt;=INDEX(PEMAGANG!$J$3:$J$36,MATCH(B3411,PEMAGANG!$C$3:$C$36,0)),H3411&lt;=INDEX(PEMAGANG!$K$3:$K$36,MATCH(B3411,PEMAGANG!$C$3:$C$36,0))),1,0),0)</f>
        <v>1</v>
      </c>
      <c r="W3411" s="71">
        <f t="shared" si="485"/>
        <v>1</v>
      </c>
    </row>
    <row r="3412" spans="1:23" x14ac:dyDescent="0.2">
      <c r="A3412" s="71" t="s">
        <v>232</v>
      </c>
      <c r="B3412" s="71" t="s">
        <v>233</v>
      </c>
      <c r="C3412" s="71" t="s">
        <v>187</v>
      </c>
      <c r="D3412" s="71" t="s">
        <v>234</v>
      </c>
      <c r="E3412" s="71" t="s">
        <v>745</v>
      </c>
      <c r="F3412" s="71" t="s">
        <v>300</v>
      </c>
      <c r="G3412" s="88">
        <v>46254.6896180556</v>
      </c>
      <c r="H3412" s="89">
        <v>46254</v>
      </c>
      <c r="I3412" s="71" t="s">
        <v>316</v>
      </c>
      <c r="J3412" s="71">
        <v>0</v>
      </c>
      <c r="K3412" s="71" t="s">
        <v>302</v>
      </c>
      <c r="L3412" s="71">
        <f t="shared" si="477"/>
        <v>8</v>
      </c>
      <c r="M3412" s="71" t="str">
        <f>IFERROR(INDEX(KALENDER!$D$3:$D$132,MATCH(H3412,KALENDER!$A$3:$A$132,0)),"Di luar periode")</f>
        <v>Hari Kerja</v>
      </c>
      <c r="N3412" s="71">
        <f t="shared" si="478"/>
        <v>0</v>
      </c>
      <c r="O3412" s="71">
        <f t="shared" si="479"/>
        <v>1</v>
      </c>
      <c r="P3412" s="71">
        <f t="shared" si="480"/>
        <v>0</v>
      </c>
      <c r="Q3412" s="71">
        <f t="shared" si="481"/>
        <v>0</v>
      </c>
      <c r="R3412" s="71">
        <f t="shared" si="482"/>
        <v>0</v>
      </c>
      <c r="S3412" s="71">
        <f t="shared" si="483"/>
        <v>0</v>
      </c>
      <c r="T3412" s="71">
        <f t="shared" si="484"/>
        <v>0</v>
      </c>
      <c r="U3412" s="71">
        <f>IF(AND(N3412=1,V3412=1),IF(COUNTIFS(AKTIVITAS!$B$2:$B$3052,B3412,AKTIVITAS!$E$2:$E$3052,H3412)&gt;0,1,0),0)</f>
        <v>0</v>
      </c>
      <c r="V3412" s="71">
        <f>IFERROR(IF(AND(H3412&gt;=INDEX(PEMAGANG!$J$3:$J$36,MATCH(B3412,PEMAGANG!$C$3:$C$36,0)),H3412&lt;=INDEX(PEMAGANG!$K$3:$K$36,MATCH(B3412,PEMAGANG!$C$3:$C$36,0))),1,0),0)</f>
        <v>1</v>
      </c>
      <c r="W3412" s="71">
        <f t="shared" si="485"/>
        <v>0</v>
      </c>
    </row>
    <row r="3413" spans="1:23" x14ac:dyDescent="0.2">
      <c r="A3413" s="71" t="s">
        <v>232</v>
      </c>
      <c r="B3413" s="71" t="s">
        <v>233</v>
      </c>
      <c r="C3413" s="71" t="s">
        <v>187</v>
      </c>
      <c r="D3413" s="71" t="s">
        <v>234</v>
      </c>
      <c r="E3413" s="71" t="s">
        <v>745</v>
      </c>
      <c r="F3413" s="71" t="s">
        <v>298</v>
      </c>
      <c r="G3413" s="88">
        <v>46255.305636574099</v>
      </c>
      <c r="H3413" s="89">
        <v>46255</v>
      </c>
      <c r="I3413" s="71" t="s">
        <v>329</v>
      </c>
      <c r="J3413" s="71">
        <v>-40</v>
      </c>
      <c r="K3413" s="71" t="s">
        <v>302</v>
      </c>
      <c r="L3413" s="71">
        <f t="shared" si="477"/>
        <v>8</v>
      </c>
      <c r="M3413" s="71" t="str">
        <f>IFERROR(INDEX(KALENDER!$D$3:$D$132,MATCH(H3413,KALENDER!$A$3:$A$132,0)),"Di luar periode")</f>
        <v>Hari Kerja</v>
      </c>
      <c r="N3413" s="71">
        <f t="shared" si="478"/>
        <v>1</v>
      </c>
      <c r="O3413" s="71">
        <f t="shared" si="479"/>
        <v>1</v>
      </c>
      <c r="P3413" s="71">
        <f t="shared" si="480"/>
        <v>1</v>
      </c>
      <c r="Q3413" s="71">
        <f t="shared" si="481"/>
        <v>0</v>
      </c>
      <c r="R3413" s="71">
        <f t="shared" si="482"/>
        <v>0</v>
      </c>
      <c r="S3413" s="71">
        <f t="shared" si="483"/>
        <v>0</v>
      </c>
      <c r="T3413" s="71">
        <f t="shared" si="484"/>
        <v>0</v>
      </c>
      <c r="U3413" s="71">
        <f>IF(AND(N3413=1,V3413=1),IF(COUNTIFS(AKTIVITAS!$B$2:$B$3052,B3413,AKTIVITAS!$E$2:$E$3052,H3413)&gt;0,1,0),0)</f>
        <v>1</v>
      </c>
      <c r="V3413" s="71">
        <f>IFERROR(IF(AND(H3413&gt;=INDEX(PEMAGANG!$J$3:$J$36,MATCH(B3413,PEMAGANG!$C$3:$C$36,0)),H3413&lt;=INDEX(PEMAGANG!$K$3:$K$36,MATCH(B3413,PEMAGANG!$C$3:$C$36,0))),1,0),0)</f>
        <v>1</v>
      </c>
      <c r="W3413" s="71">
        <f t="shared" si="485"/>
        <v>1</v>
      </c>
    </row>
    <row r="3414" spans="1:23" x14ac:dyDescent="0.2">
      <c r="A3414" s="71" t="s">
        <v>232</v>
      </c>
      <c r="B3414" s="71" t="s">
        <v>233</v>
      </c>
      <c r="C3414" s="71" t="s">
        <v>187</v>
      </c>
      <c r="D3414" s="71" t="s">
        <v>234</v>
      </c>
      <c r="E3414" s="71" t="s">
        <v>745</v>
      </c>
      <c r="F3414" s="71" t="s">
        <v>300</v>
      </c>
      <c r="G3414" s="88">
        <v>46255.696493055599</v>
      </c>
      <c r="H3414" s="89">
        <v>46255</v>
      </c>
      <c r="I3414" s="71" t="s">
        <v>320</v>
      </c>
      <c r="J3414" s="71">
        <v>0</v>
      </c>
      <c r="K3414" s="71" t="s">
        <v>302</v>
      </c>
      <c r="L3414" s="71">
        <f t="shared" si="477"/>
        <v>8</v>
      </c>
      <c r="M3414" s="71" t="str">
        <f>IFERROR(INDEX(KALENDER!$D$3:$D$132,MATCH(H3414,KALENDER!$A$3:$A$132,0)),"Di luar periode")</f>
        <v>Hari Kerja</v>
      </c>
      <c r="N3414" s="71">
        <f t="shared" si="478"/>
        <v>0</v>
      </c>
      <c r="O3414" s="71">
        <f t="shared" si="479"/>
        <v>1</v>
      </c>
      <c r="P3414" s="71">
        <f t="shared" si="480"/>
        <v>0</v>
      </c>
      <c r="Q3414" s="71">
        <f t="shared" si="481"/>
        <v>0</v>
      </c>
      <c r="R3414" s="71">
        <f t="shared" si="482"/>
        <v>0</v>
      </c>
      <c r="S3414" s="71">
        <f t="shared" si="483"/>
        <v>0</v>
      </c>
      <c r="T3414" s="71">
        <f t="shared" si="484"/>
        <v>0</v>
      </c>
      <c r="U3414" s="71">
        <f>IF(AND(N3414=1,V3414=1),IF(COUNTIFS(AKTIVITAS!$B$2:$B$3052,B3414,AKTIVITAS!$E$2:$E$3052,H3414)&gt;0,1,0),0)</f>
        <v>0</v>
      </c>
      <c r="V3414" s="71">
        <f>IFERROR(IF(AND(H3414&gt;=INDEX(PEMAGANG!$J$3:$J$36,MATCH(B3414,PEMAGANG!$C$3:$C$36,0)),H3414&lt;=INDEX(PEMAGANG!$K$3:$K$36,MATCH(B3414,PEMAGANG!$C$3:$C$36,0))),1,0),0)</f>
        <v>1</v>
      </c>
      <c r="W3414" s="71">
        <f t="shared" si="485"/>
        <v>0</v>
      </c>
    </row>
    <row r="3415" spans="1:23" x14ac:dyDescent="0.2">
      <c r="A3415" s="71" t="s">
        <v>232</v>
      </c>
      <c r="B3415" s="71" t="s">
        <v>233</v>
      </c>
      <c r="C3415" s="71" t="s">
        <v>187</v>
      </c>
      <c r="D3415" s="71" t="s">
        <v>234</v>
      </c>
      <c r="E3415" s="71" t="s">
        <v>745</v>
      </c>
      <c r="F3415" s="71" t="s">
        <v>298</v>
      </c>
      <c r="G3415" s="88">
        <v>46258.306990740697</v>
      </c>
      <c r="H3415" s="89">
        <v>46258</v>
      </c>
      <c r="I3415" s="71" t="s">
        <v>313</v>
      </c>
      <c r="J3415" s="71">
        <v>-38</v>
      </c>
      <c r="K3415" s="71" t="s">
        <v>302</v>
      </c>
      <c r="L3415" s="71">
        <f t="shared" si="477"/>
        <v>8</v>
      </c>
      <c r="M3415" s="71" t="str">
        <f>IFERROR(INDEX(KALENDER!$D$3:$D$132,MATCH(H3415,KALENDER!$A$3:$A$132,0)),"Di luar periode")</f>
        <v>Hari Kerja</v>
      </c>
      <c r="N3415" s="71">
        <f t="shared" si="478"/>
        <v>1</v>
      </c>
      <c r="O3415" s="71">
        <f t="shared" si="479"/>
        <v>1</v>
      </c>
      <c r="P3415" s="71">
        <f t="shared" si="480"/>
        <v>1</v>
      </c>
      <c r="Q3415" s="71">
        <f t="shared" si="481"/>
        <v>0</v>
      </c>
      <c r="R3415" s="71">
        <f t="shared" si="482"/>
        <v>0</v>
      </c>
      <c r="S3415" s="71">
        <f t="shared" si="483"/>
        <v>0</v>
      </c>
      <c r="T3415" s="71">
        <f t="shared" si="484"/>
        <v>0</v>
      </c>
      <c r="U3415" s="71">
        <f>IF(AND(N3415=1,V3415=1),IF(COUNTIFS(AKTIVITAS!$B$2:$B$3052,B3415,AKTIVITAS!$E$2:$E$3052,H3415)&gt;0,1,0),0)</f>
        <v>1</v>
      </c>
      <c r="V3415" s="71">
        <f>IFERROR(IF(AND(H3415&gt;=INDEX(PEMAGANG!$J$3:$J$36,MATCH(B3415,PEMAGANG!$C$3:$C$36,0)),H3415&lt;=INDEX(PEMAGANG!$K$3:$K$36,MATCH(B3415,PEMAGANG!$C$3:$C$36,0))),1,0),0)</f>
        <v>1</v>
      </c>
      <c r="W3415" s="71">
        <f t="shared" si="485"/>
        <v>1</v>
      </c>
    </row>
    <row r="3416" spans="1:23" x14ac:dyDescent="0.2">
      <c r="A3416" s="71" t="s">
        <v>232</v>
      </c>
      <c r="B3416" s="71" t="s">
        <v>233</v>
      </c>
      <c r="C3416" s="71" t="s">
        <v>187</v>
      </c>
      <c r="D3416" s="71" t="s">
        <v>234</v>
      </c>
      <c r="E3416" s="71" t="s">
        <v>745</v>
      </c>
      <c r="F3416" s="71" t="s">
        <v>300</v>
      </c>
      <c r="G3416" s="88">
        <v>46258.690891203703</v>
      </c>
      <c r="H3416" s="89">
        <v>46258</v>
      </c>
      <c r="I3416" s="71" t="s">
        <v>314</v>
      </c>
      <c r="J3416" s="71">
        <v>0</v>
      </c>
      <c r="K3416" s="71" t="s">
        <v>302</v>
      </c>
      <c r="L3416" s="71">
        <f t="shared" si="477"/>
        <v>8</v>
      </c>
      <c r="M3416" s="71" t="str">
        <f>IFERROR(INDEX(KALENDER!$D$3:$D$132,MATCH(H3416,KALENDER!$A$3:$A$132,0)),"Di luar periode")</f>
        <v>Hari Kerja</v>
      </c>
      <c r="N3416" s="71">
        <f t="shared" si="478"/>
        <v>0</v>
      </c>
      <c r="O3416" s="71">
        <f t="shared" si="479"/>
        <v>1</v>
      </c>
      <c r="P3416" s="71">
        <f t="shared" si="480"/>
        <v>0</v>
      </c>
      <c r="Q3416" s="71">
        <f t="shared" si="481"/>
        <v>0</v>
      </c>
      <c r="R3416" s="71">
        <f t="shared" si="482"/>
        <v>0</v>
      </c>
      <c r="S3416" s="71">
        <f t="shared" si="483"/>
        <v>0</v>
      </c>
      <c r="T3416" s="71">
        <f t="shared" si="484"/>
        <v>0</v>
      </c>
      <c r="U3416" s="71">
        <f>IF(AND(N3416=1,V3416=1),IF(COUNTIFS(AKTIVITAS!$B$2:$B$3052,B3416,AKTIVITAS!$E$2:$E$3052,H3416)&gt;0,1,0),0)</f>
        <v>0</v>
      </c>
      <c r="V3416" s="71">
        <f>IFERROR(IF(AND(H3416&gt;=INDEX(PEMAGANG!$J$3:$J$36,MATCH(B3416,PEMAGANG!$C$3:$C$36,0)),H3416&lt;=INDEX(PEMAGANG!$K$3:$K$36,MATCH(B3416,PEMAGANG!$C$3:$C$36,0))),1,0),0)</f>
        <v>1</v>
      </c>
      <c r="W3416" s="71">
        <f t="shared" si="485"/>
        <v>0</v>
      </c>
    </row>
    <row r="3417" spans="1:23" x14ac:dyDescent="0.2">
      <c r="A3417" s="71" t="s">
        <v>232</v>
      </c>
      <c r="B3417" s="71" t="s">
        <v>233</v>
      </c>
      <c r="C3417" s="71" t="s">
        <v>187</v>
      </c>
      <c r="D3417" s="71" t="s">
        <v>234</v>
      </c>
      <c r="E3417" s="71" t="s">
        <v>745</v>
      </c>
      <c r="F3417" s="71" t="s">
        <v>298</v>
      </c>
      <c r="G3417" s="88">
        <v>46260.306111111102</v>
      </c>
      <c r="H3417" s="89">
        <v>46260</v>
      </c>
      <c r="I3417" s="71" t="s">
        <v>329</v>
      </c>
      <c r="J3417" s="71">
        <v>-40</v>
      </c>
      <c r="K3417" s="71" t="s">
        <v>302</v>
      </c>
      <c r="L3417" s="71">
        <f t="shared" si="477"/>
        <v>8</v>
      </c>
      <c r="M3417" s="71" t="str">
        <f>IFERROR(INDEX(KALENDER!$D$3:$D$132,MATCH(H3417,KALENDER!$A$3:$A$132,0)),"Di luar periode")</f>
        <v>Hari Kerja</v>
      </c>
      <c r="N3417" s="71">
        <f t="shared" si="478"/>
        <v>1</v>
      </c>
      <c r="O3417" s="71">
        <f t="shared" si="479"/>
        <v>1</v>
      </c>
      <c r="P3417" s="71">
        <f t="shared" si="480"/>
        <v>1</v>
      </c>
      <c r="Q3417" s="71">
        <f t="shared" si="481"/>
        <v>0</v>
      </c>
      <c r="R3417" s="71">
        <f t="shared" si="482"/>
        <v>0</v>
      </c>
      <c r="S3417" s="71">
        <f t="shared" si="483"/>
        <v>0</v>
      </c>
      <c r="T3417" s="71">
        <f t="shared" si="484"/>
        <v>0</v>
      </c>
      <c r="U3417" s="71">
        <f>IF(AND(N3417=1,V3417=1),IF(COUNTIFS(AKTIVITAS!$B$2:$B$3052,B3417,AKTIVITAS!$E$2:$E$3052,H3417)&gt;0,1,0),0)</f>
        <v>1</v>
      </c>
      <c r="V3417" s="71">
        <f>IFERROR(IF(AND(H3417&gt;=INDEX(PEMAGANG!$J$3:$J$36,MATCH(B3417,PEMAGANG!$C$3:$C$36,0)),H3417&lt;=INDEX(PEMAGANG!$K$3:$K$36,MATCH(B3417,PEMAGANG!$C$3:$C$36,0))),1,0),0)</f>
        <v>1</v>
      </c>
      <c r="W3417" s="71">
        <f t="shared" si="485"/>
        <v>1</v>
      </c>
    </row>
    <row r="3418" spans="1:23" x14ac:dyDescent="0.2">
      <c r="A3418" s="71" t="s">
        <v>232</v>
      </c>
      <c r="B3418" s="71" t="s">
        <v>233</v>
      </c>
      <c r="C3418" s="71" t="s">
        <v>187</v>
      </c>
      <c r="D3418" s="71" t="s">
        <v>234</v>
      </c>
      <c r="E3418" s="71" t="s">
        <v>745</v>
      </c>
      <c r="F3418" s="71" t="s">
        <v>300</v>
      </c>
      <c r="G3418" s="88">
        <v>46260.701018518499</v>
      </c>
      <c r="H3418" s="89">
        <v>46260</v>
      </c>
      <c r="I3418" s="71" t="s">
        <v>342</v>
      </c>
      <c r="J3418" s="71">
        <v>0</v>
      </c>
      <c r="K3418" s="71" t="s">
        <v>302</v>
      </c>
      <c r="L3418" s="71">
        <f t="shared" si="477"/>
        <v>8</v>
      </c>
      <c r="M3418" s="71" t="str">
        <f>IFERROR(INDEX(KALENDER!$D$3:$D$132,MATCH(H3418,KALENDER!$A$3:$A$132,0)),"Di luar periode")</f>
        <v>Hari Kerja</v>
      </c>
      <c r="N3418" s="71">
        <f t="shared" si="478"/>
        <v>0</v>
      </c>
      <c r="O3418" s="71">
        <f t="shared" si="479"/>
        <v>1</v>
      </c>
      <c r="P3418" s="71">
        <f t="shared" si="480"/>
        <v>0</v>
      </c>
      <c r="Q3418" s="71">
        <f t="shared" si="481"/>
        <v>0</v>
      </c>
      <c r="R3418" s="71">
        <f t="shared" si="482"/>
        <v>0</v>
      </c>
      <c r="S3418" s="71">
        <f t="shared" si="483"/>
        <v>0</v>
      </c>
      <c r="T3418" s="71">
        <f t="shared" si="484"/>
        <v>0</v>
      </c>
      <c r="U3418" s="71">
        <f>IF(AND(N3418=1,V3418=1),IF(COUNTIFS(AKTIVITAS!$B$2:$B$3052,B3418,AKTIVITAS!$E$2:$E$3052,H3418)&gt;0,1,0),0)</f>
        <v>0</v>
      </c>
      <c r="V3418" s="71">
        <f>IFERROR(IF(AND(H3418&gt;=INDEX(PEMAGANG!$J$3:$J$36,MATCH(B3418,PEMAGANG!$C$3:$C$36,0)),H3418&lt;=INDEX(PEMAGANG!$K$3:$K$36,MATCH(B3418,PEMAGANG!$C$3:$C$36,0))),1,0),0)</f>
        <v>1</v>
      </c>
      <c r="W3418" s="71">
        <f t="shared" si="485"/>
        <v>0</v>
      </c>
    </row>
    <row r="3419" spans="1:23" x14ac:dyDescent="0.2">
      <c r="A3419" s="71" t="s">
        <v>232</v>
      </c>
      <c r="B3419" s="71" t="s">
        <v>233</v>
      </c>
      <c r="C3419" s="71" t="s">
        <v>187</v>
      </c>
      <c r="D3419" s="71" t="s">
        <v>234</v>
      </c>
      <c r="E3419" s="71" t="s">
        <v>745</v>
      </c>
      <c r="F3419" s="71" t="s">
        <v>298</v>
      </c>
      <c r="G3419" s="88">
        <v>46261.306076388901</v>
      </c>
      <c r="H3419" s="89">
        <v>46261</v>
      </c>
      <c r="I3419" s="71" t="s">
        <v>329</v>
      </c>
      <c r="J3419" s="71">
        <v>-40</v>
      </c>
      <c r="K3419" s="71" t="s">
        <v>302</v>
      </c>
      <c r="L3419" s="71">
        <f t="shared" si="477"/>
        <v>8</v>
      </c>
      <c r="M3419" s="71" t="str">
        <f>IFERROR(INDEX(KALENDER!$D$3:$D$132,MATCH(H3419,KALENDER!$A$3:$A$132,0)),"Di luar periode")</f>
        <v>Hari Kerja</v>
      </c>
      <c r="N3419" s="71">
        <f t="shared" si="478"/>
        <v>1</v>
      </c>
      <c r="O3419" s="71">
        <f t="shared" si="479"/>
        <v>1</v>
      </c>
      <c r="P3419" s="71">
        <f t="shared" si="480"/>
        <v>1</v>
      </c>
      <c r="Q3419" s="71">
        <f t="shared" si="481"/>
        <v>0</v>
      </c>
      <c r="R3419" s="71">
        <f t="shared" si="482"/>
        <v>0</v>
      </c>
      <c r="S3419" s="71">
        <f t="shared" si="483"/>
        <v>0</v>
      </c>
      <c r="T3419" s="71">
        <f t="shared" si="484"/>
        <v>0</v>
      </c>
      <c r="U3419" s="71">
        <f>IF(AND(N3419=1,V3419=1),IF(COUNTIFS(AKTIVITAS!$B$2:$B$3052,B3419,AKTIVITAS!$E$2:$E$3052,H3419)&gt;0,1,0),0)</f>
        <v>1</v>
      </c>
      <c r="V3419" s="71">
        <f>IFERROR(IF(AND(H3419&gt;=INDEX(PEMAGANG!$J$3:$J$36,MATCH(B3419,PEMAGANG!$C$3:$C$36,0)),H3419&lt;=INDEX(PEMAGANG!$K$3:$K$36,MATCH(B3419,PEMAGANG!$C$3:$C$36,0))),1,0),0)</f>
        <v>1</v>
      </c>
      <c r="W3419" s="71">
        <f t="shared" si="485"/>
        <v>1</v>
      </c>
    </row>
    <row r="3420" spans="1:23" x14ac:dyDescent="0.2">
      <c r="A3420" s="71" t="s">
        <v>232</v>
      </c>
      <c r="B3420" s="71" t="s">
        <v>233</v>
      </c>
      <c r="C3420" s="71" t="s">
        <v>187</v>
      </c>
      <c r="D3420" s="71" t="s">
        <v>234</v>
      </c>
      <c r="E3420" s="71" t="s">
        <v>745</v>
      </c>
      <c r="F3420" s="71" t="s">
        <v>300</v>
      </c>
      <c r="G3420" s="88">
        <v>46261.690347222197</v>
      </c>
      <c r="H3420" s="89">
        <v>46261</v>
      </c>
      <c r="I3420" s="71" t="s">
        <v>314</v>
      </c>
      <c r="J3420" s="71">
        <v>0</v>
      </c>
      <c r="K3420" s="71" t="s">
        <v>302</v>
      </c>
      <c r="L3420" s="71">
        <f t="shared" si="477"/>
        <v>8</v>
      </c>
      <c r="M3420" s="71" t="str">
        <f>IFERROR(INDEX(KALENDER!$D$3:$D$132,MATCH(H3420,KALENDER!$A$3:$A$132,0)),"Di luar periode")</f>
        <v>Hari Kerja</v>
      </c>
      <c r="N3420" s="71">
        <f t="shared" si="478"/>
        <v>0</v>
      </c>
      <c r="O3420" s="71">
        <f t="shared" si="479"/>
        <v>1</v>
      </c>
      <c r="P3420" s="71">
        <f t="shared" si="480"/>
        <v>0</v>
      </c>
      <c r="Q3420" s="71">
        <f t="shared" si="481"/>
        <v>0</v>
      </c>
      <c r="R3420" s="71">
        <f t="shared" si="482"/>
        <v>0</v>
      </c>
      <c r="S3420" s="71">
        <f t="shared" si="483"/>
        <v>0</v>
      </c>
      <c r="T3420" s="71">
        <f t="shared" si="484"/>
        <v>0</v>
      </c>
      <c r="U3420" s="71">
        <f>IF(AND(N3420=1,V3420=1),IF(COUNTIFS(AKTIVITAS!$B$2:$B$3052,B3420,AKTIVITAS!$E$2:$E$3052,H3420)&gt;0,1,0),0)</f>
        <v>0</v>
      </c>
      <c r="V3420" s="71">
        <f>IFERROR(IF(AND(H3420&gt;=INDEX(PEMAGANG!$J$3:$J$36,MATCH(B3420,PEMAGANG!$C$3:$C$36,0)),H3420&lt;=INDEX(PEMAGANG!$K$3:$K$36,MATCH(B3420,PEMAGANG!$C$3:$C$36,0))),1,0),0)</f>
        <v>1</v>
      </c>
      <c r="W3420" s="71">
        <f t="shared" si="485"/>
        <v>0</v>
      </c>
    </row>
    <row r="3421" spans="1:23" x14ac:dyDescent="0.2">
      <c r="A3421" s="71" t="s">
        <v>232</v>
      </c>
      <c r="B3421" s="71" t="s">
        <v>233</v>
      </c>
      <c r="C3421" s="71" t="s">
        <v>187</v>
      </c>
      <c r="D3421" s="71" t="s">
        <v>234</v>
      </c>
      <c r="E3421" s="71" t="s">
        <v>745</v>
      </c>
      <c r="F3421" s="71" t="s">
        <v>298</v>
      </c>
      <c r="G3421" s="88">
        <v>46262.3038773148</v>
      </c>
      <c r="H3421" s="89">
        <v>46262</v>
      </c>
      <c r="I3421" s="71" t="s">
        <v>331</v>
      </c>
      <c r="J3421" s="71">
        <v>-43</v>
      </c>
      <c r="K3421" s="71" t="s">
        <v>302</v>
      </c>
      <c r="L3421" s="71">
        <f t="shared" si="477"/>
        <v>8</v>
      </c>
      <c r="M3421" s="71" t="str">
        <f>IFERROR(INDEX(KALENDER!$D$3:$D$132,MATCH(H3421,KALENDER!$A$3:$A$132,0)),"Di luar periode")</f>
        <v>Hari Kerja</v>
      </c>
      <c r="N3421" s="71">
        <f t="shared" si="478"/>
        <v>1</v>
      </c>
      <c r="O3421" s="71">
        <f t="shared" si="479"/>
        <v>1</v>
      </c>
      <c r="P3421" s="71">
        <f t="shared" si="480"/>
        <v>1</v>
      </c>
      <c r="Q3421" s="71">
        <f t="shared" si="481"/>
        <v>0</v>
      </c>
      <c r="R3421" s="71">
        <f t="shared" si="482"/>
        <v>0</v>
      </c>
      <c r="S3421" s="71">
        <f t="shared" si="483"/>
        <v>0</v>
      </c>
      <c r="T3421" s="71">
        <f t="shared" si="484"/>
        <v>0</v>
      </c>
      <c r="U3421" s="71">
        <f>IF(AND(N3421=1,V3421=1),IF(COUNTIFS(AKTIVITAS!$B$2:$B$3052,B3421,AKTIVITAS!$E$2:$E$3052,H3421)&gt;0,1,0),0)</f>
        <v>1</v>
      </c>
      <c r="V3421" s="71">
        <f>IFERROR(IF(AND(H3421&gt;=INDEX(PEMAGANG!$J$3:$J$36,MATCH(B3421,PEMAGANG!$C$3:$C$36,0)),H3421&lt;=INDEX(PEMAGANG!$K$3:$K$36,MATCH(B3421,PEMAGANG!$C$3:$C$36,0))),1,0),0)</f>
        <v>1</v>
      </c>
      <c r="W3421" s="71">
        <f t="shared" si="485"/>
        <v>1</v>
      </c>
    </row>
    <row r="3422" spans="1:23" x14ac:dyDescent="0.2">
      <c r="A3422" s="71" t="s">
        <v>232</v>
      </c>
      <c r="B3422" s="71" t="s">
        <v>233</v>
      </c>
      <c r="C3422" s="71" t="s">
        <v>187</v>
      </c>
      <c r="D3422" s="71" t="s">
        <v>234</v>
      </c>
      <c r="E3422" s="71" t="s">
        <v>745</v>
      </c>
      <c r="F3422" s="71" t="s">
        <v>300</v>
      </c>
      <c r="G3422" s="88">
        <v>46262.690254629597</v>
      </c>
      <c r="H3422" s="89">
        <v>46262</v>
      </c>
      <c r="I3422" s="71" t="s">
        <v>316</v>
      </c>
      <c r="J3422" s="71">
        <v>0</v>
      </c>
      <c r="K3422" s="71" t="s">
        <v>302</v>
      </c>
      <c r="L3422" s="71">
        <f t="shared" si="477"/>
        <v>8</v>
      </c>
      <c r="M3422" s="71" t="str">
        <f>IFERROR(INDEX(KALENDER!$D$3:$D$132,MATCH(H3422,KALENDER!$A$3:$A$132,0)),"Di luar periode")</f>
        <v>Hari Kerja</v>
      </c>
      <c r="N3422" s="71">
        <f t="shared" si="478"/>
        <v>0</v>
      </c>
      <c r="O3422" s="71">
        <f t="shared" si="479"/>
        <v>1</v>
      </c>
      <c r="P3422" s="71">
        <f t="shared" si="480"/>
        <v>0</v>
      </c>
      <c r="Q3422" s="71">
        <f t="shared" si="481"/>
        <v>0</v>
      </c>
      <c r="R3422" s="71">
        <f t="shared" si="482"/>
        <v>0</v>
      </c>
      <c r="S3422" s="71">
        <f t="shared" si="483"/>
        <v>0</v>
      </c>
      <c r="T3422" s="71">
        <f t="shared" si="484"/>
        <v>0</v>
      </c>
      <c r="U3422" s="71">
        <f>IF(AND(N3422=1,V3422=1),IF(COUNTIFS(AKTIVITAS!$B$2:$B$3052,B3422,AKTIVITAS!$E$2:$E$3052,H3422)&gt;0,1,0),0)</f>
        <v>0</v>
      </c>
      <c r="V3422" s="71">
        <f>IFERROR(IF(AND(H3422&gt;=INDEX(PEMAGANG!$J$3:$J$36,MATCH(B3422,PEMAGANG!$C$3:$C$36,0)),H3422&lt;=INDEX(PEMAGANG!$K$3:$K$36,MATCH(B3422,PEMAGANG!$C$3:$C$36,0))),1,0),0)</f>
        <v>1</v>
      </c>
      <c r="W3422" s="71">
        <f t="shared" si="485"/>
        <v>0</v>
      </c>
    </row>
    <row r="3423" spans="1:23" x14ac:dyDescent="0.2">
      <c r="A3423" s="71" t="s">
        <v>232</v>
      </c>
      <c r="B3423" s="71" t="s">
        <v>233</v>
      </c>
      <c r="C3423" s="71" t="s">
        <v>187</v>
      </c>
      <c r="D3423" s="71" t="s">
        <v>234</v>
      </c>
      <c r="E3423" s="71" t="s">
        <v>745</v>
      </c>
      <c r="F3423" s="71" t="s">
        <v>298</v>
      </c>
      <c r="G3423" s="88">
        <v>46265.304837962998</v>
      </c>
      <c r="H3423" s="89">
        <v>46265</v>
      </c>
      <c r="I3423" s="71" t="s">
        <v>326</v>
      </c>
      <c r="J3423" s="71">
        <v>-42</v>
      </c>
      <c r="K3423" s="71" t="s">
        <v>302</v>
      </c>
      <c r="L3423" s="71">
        <f t="shared" si="477"/>
        <v>8</v>
      </c>
      <c r="M3423" s="71" t="str">
        <f>IFERROR(INDEX(KALENDER!$D$3:$D$132,MATCH(H3423,KALENDER!$A$3:$A$132,0)),"Di luar periode")</f>
        <v>Hari Kerja</v>
      </c>
      <c r="N3423" s="71">
        <f t="shared" si="478"/>
        <v>1</v>
      </c>
      <c r="O3423" s="71">
        <f t="shared" si="479"/>
        <v>1</v>
      </c>
      <c r="P3423" s="71">
        <f t="shared" si="480"/>
        <v>1</v>
      </c>
      <c r="Q3423" s="71">
        <f t="shared" si="481"/>
        <v>0</v>
      </c>
      <c r="R3423" s="71">
        <f t="shared" si="482"/>
        <v>0</v>
      </c>
      <c r="S3423" s="71">
        <f t="shared" si="483"/>
        <v>0</v>
      </c>
      <c r="T3423" s="71">
        <f t="shared" si="484"/>
        <v>0</v>
      </c>
      <c r="U3423" s="71">
        <f>IF(AND(N3423=1,V3423=1),IF(COUNTIFS(AKTIVITAS!$B$2:$B$3052,B3423,AKTIVITAS!$E$2:$E$3052,H3423)&gt;0,1,0),0)</f>
        <v>1</v>
      </c>
      <c r="V3423" s="71">
        <f>IFERROR(IF(AND(H3423&gt;=INDEX(PEMAGANG!$J$3:$J$36,MATCH(B3423,PEMAGANG!$C$3:$C$36,0)),H3423&lt;=INDEX(PEMAGANG!$K$3:$K$36,MATCH(B3423,PEMAGANG!$C$3:$C$36,0))),1,0),0)</f>
        <v>1</v>
      </c>
      <c r="W3423" s="71">
        <f t="shared" si="485"/>
        <v>1</v>
      </c>
    </row>
    <row r="3424" spans="1:23" x14ac:dyDescent="0.2">
      <c r="A3424" s="71" t="s">
        <v>232</v>
      </c>
      <c r="B3424" s="71" t="s">
        <v>233</v>
      </c>
      <c r="C3424" s="71" t="s">
        <v>187</v>
      </c>
      <c r="D3424" s="71" t="s">
        <v>234</v>
      </c>
      <c r="E3424" s="71" t="s">
        <v>745</v>
      </c>
      <c r="F3424" s="71" t="s">
        <v>300</v>
      </c>
      <c r="G3424" s="88">
        <v>46265.694386574098</v>
      </c>
      <c r="H3424" s="89">
        <v>46265</v>
      </c>
      <c r="I3424" s="71" t="s">
        <v>308</v>
      </c>
      <c r="J3424" s="71">
        <v>0</v>
      </c>
      <c r="K3424" s="71" t="s">
        <v>302</v>
      </c>
      <c r="L3424" s="71">
        <f t="shared" si="477"/>
        <v>8</v>
      </c>
      <c r="M3424" s="71" t="str">
        <f>IFERROR(INDEX(KALENDER!$D$3:$D$132,MATCH(H3424,KALENDER!$A$3:$A$132,0)),"Di luar periode")</f>
        <v>Hari Kerja</v>
      </c>
      <c r="N3424" s="71">
        <f t="shared" si="478"/>
        <v>0</v>
      </c>
      <c r="O3424" s="71">
        <f t="shared" si="479"/>
        <v>1</v>
      </c>
      <c r="P3424" s="71">
        <f t="shared" si="480"/>
        <v>0</v>
      </c>
      <c r="Q3424" s="71">
        <f t="shared" si="481"/>
        <v>0</v>
      </c>
      <c r="R3424" s="71">
        <f t="shared" si="482"/>
        <v>0</v>
      </c>
      <c r="S3424" s="71">
        <f t="shared" si="483"/>
        <v>0</v>
      </c>
      <c r="T3424" s="71">
        <f t="shared" si="484"/>
        <v>0</v>
      </c>
      <c r="U3424" s="71">
        <f>IF(AND(N3424=1,V3424=1),IF(COUNTIFS(AKTIVITAS!$B$2:$B$3052,B3424,AKTIVITAS!$E$2:$E$3052,H3424)&gt;0,1,0),0)</f>
        <v>0</v>
      </c>
      <c r="V3424" s="71">
        <f>IFERROR(IF(AND(H3424&gt;=INDEX(PEMAGANG!$J$3:$J$36,MATCH(B3424,PEMAGANG!$C$3:$C$36,0)),H3424&lt;=INDEX(PEMAGANG!$K$3:$K$36,MATCH(B3424,PEMAGANG!$C$3:$C$36,0))),1,0),0)</f>
        <v>1</v>
      </c>
      <c r="W3424" s="71">
        <f t="shared" si="485"/>
        <v>0</v>
      </c>
    </row>
    <row r="3425" spans="1:23" x14ac:dyDescent="0.2">
      <c r="A3425" s="71" t="s">
        <v>232</v>
      </c>
      <c r="B3425" s="71" t="s">
        <v>233</v>
      </c>
      <c r="C3425" s="71" t="s">
        <v>187</v>
      </c>
      <c r="D3425" s="71" t="s">
        <v>234</v>
      </c>
      <c r="E3425" s="71" t="s">
        <v>745</v>
      </c>
      <c r="F3425" s="71" t="s">
        <v>298</v>
      </c>
      <c r="G3425" s="88">
        <v>46266.305011574099</v>
      </c>
      <c r="H3425" s="89">
        <v>46266</v>
      </c>
      <c r="I3425" s="71" t="s">
        <v>321</v>
      </c>
      <c r="J3425" s="71">
        <v>-41</v>
      </c>
      <c r="K3425" s="71" t="s">
        <v>302</v>
      </c>
      <c r="L3425" s="71">
        <f t="shared" si="477"/>
        <v>9</v>
      </c>
      <c r="M3425" s="71" t="str">
        <f>IFERROR(INDEX(KALENDER!$D$3:$D$132,MATCH(H3425,KALENDER!$A$3:$A$132,0)),"Di luar periode")</f>
        <v>Hari Kerja</v>
      </c>
      <c r="N3425" s="71">
        <f t="shared" si="478"/>
        <v>1</v>
      </c>
      <c r="O3425" s="71">
        <f t="shared" si="479"/>
        <v>1</v>
      </c>
      <c r="P3425" s="71">
        <f t="shared" si="480"/>
        <v>1</v>
      </c>
      <c r="Q3425" s="71">
        <f t="shared" si="481"/>
        <v>0</v>
      </c>
      <c r="R3425" s="71">
        <f t="shared" si="482"/>
        <v>0</v>
      </c>
      <c r="S3425" s="71">
        <f t="shared" si="483"/>
        <v>0</v>
      </c>
      <c r="T3425" s="71">
        <f t="shared" si="484"/>
        <v>0</v>
      </c>
      <c r="U3425" s="71">
        <f>IF(AND(N3425=1,V3425=1),IF(COUNTIFS(AKTIVITAS!$B$2:$B$3052,B3425,AKTIVITAS!$E$2:$E$3052,H3425)&gt;0,1,0),0)</f>
        <v>1</v>
      </c>
      <c r="V3425" s="71">
        <f>IFERROR(IF(AND(H3425&gt;=INDEX(PEMAGANG!$J$3:$J$36,MATCH(B3425,PEMAGANG!$C$3:$C$36,0)),H3425&lt;=INDEX(PEMAGANG!$K$3:$K$36,MATCH(B3425,PEMAGANG!$C$3:$C$36,0))),1,0),0)</f>
        <v>1</v>
      </c>
      <c r="W3425" s="71">
        <f t="shared" si="485"/>
        <v>1</v>
      </c>
    </row>
    <row r="3426" spans="1:23" x14ac:dyDescent="0.2">
      <c r="A3426" s="71" t="s">
        <v>232</v>
      </c>
      <c r="B3426" s="71" t="s">
        <v>233</v>
      </c>
      <c r="C3426" s="71" t="s">
        <v>187</v>
      </c>
      <c r="D3426" s="71" t="s">
        <v>234</v>
      </c>
      <c r="E3426" s="71" t="s">
        <v>745</v>
      </c>
      <c r="F3426" s="71" t="s">
        <v>300</v>
      </c>
      <c r="G3426" s="88">
        <v>46266.701840277798</v>
      </c>
      <c r="H3426" s="89">
        <v>46266</v>
      </c>
      <c r="I3426" s="71" t="s">
        <v>334</v>
      </c>
      <c r="J3426" s="71">
        <v>0</v>
      </c>
      <c r="K3426" s="71" t="s">
        <v>302</v>
      </c>
      <c r="L3426" s="71">
        <f t="shared" si="477"/>
        <v>9</v>
      </c>
      <c r="M3426" s="71" t="str">
        <f>IFERROR(INDEX(KALENDER!$D$3:$D$132,MATCH(H3426,KALENDER!$A$3:$A$132,0)),"Di luar periode")</f>
        <v>Hari Kerja</v>
      </c>
      <c r="N3426" s="71">
        <f t="shared" si="478"/>
        <v>0</v>
      </c>
      <c r="O3426" s="71">
        <f t="shared" si="479"/>
        <v>1</v>
      </c>
      <c r="P3426" s="71">
        <f t="shared" si="480"/>
        <v>0</v>
      </c>
      <c r="Q3426" s="71">
        <f t="shared" si="481"/>
        <v>0</v>
      </c>
      <c r="R3426" s="71">
        <f t="shared" si="482"/>
        <v>0</v>
      </c>
      <c r="S3426" s="71">
        <f t="shared" si="483"/>
        <v>0</v>
      </c>
      <c r="T3426" s="71">
        <f t="shared" si="484"/>
        <v>0</v>
      </c>
      <c r="U3426" s="71">
        <f>IF(AND(N3426=1,V3426=1),IF(COUNTIFS(AKTIVITAS!$B$2:$B$3052,B3426,AKTIVITAS!$E$2:$E$3052,H3426)&gt;0,1,0),0)</f>
        <v>0</v>
      </c>
      <c r="V3426" s="71">
        <f>IFERROR(IF(AND(H3426&gt;=INDEX(PEMAGANG!$J$3:$J$36,MATCH(B3426,PEMAGANG!$C$3:$C$36,0)),H3426&lt;=INDEX(PEMAGANG!$K$3:$K$36,MATCH(B3426,PEMAGANG!$C$3:$C$36,0))),1,0),0)</f>
        <v>1</v>
      </c>
      <c r="W3426" s="71">
        <f t="shared" si="485"/>
        <v>0</v>
      </c>
    </row>
    <row r="3427" spans="1:23" x14ac:dyDescent="0.2">
      <c r="A3427" s="71" t="s">
        <v>232</v>
      </c>
      <c r="B3427" s="71" t="s">
        <v>233</v>
      </c>
      <c r="C3427" s="71" t="s">
        <v>187</v>
      </c>
      <c r="D3427" s="71" t="s">
        <v>234</v>
      </c>
      <c r="E3427" s="71" t="s">
        <v>745</v>
      </c>
      <c r="F3427" s="71" t="s">
        <v>298</v>
      </c>
      <c r="G3427" s="88">
        <v>46267.297708333303</v>
      </c>
      <c r="H3427" s="89">
        <v>46267</v>
      </c>
      <c r="I3427" s="71" t="s">
        <v>486</v>
      </c>
      <c r="J3427" s="71">
        <v>-52</v>
      </c>
      <c r="K3427" s="71" t="s">
        <v>302</v>
      </c>
      <c r="L3427" s="71">
        <f t="shared" si="477"/>
        <v>9</v>
      </c>
      <c r="M3427" s="71" t="str">
        <f>IFERROR(INDEX(KALENDER!$D$3:$D$132,MATCH(H3427,KALENDER!$A$3:$A$132,0)),"Di luar periode")</f>
        <v>Hari Kerja</v>
      </c>
      <c r="N3427" s="71">
        <f t="shared" si="478"/>
        <v>1</v>
      </c>
      <c r="O3427" s="71">
        <f t="shared" si="479"/>
        <v>1</v>
      </c>
      <c r="P3427" s="71">
        <f t="shared" si="480"/>
        <v>1</v>
      </c>
      <c r="Q3427" s="71">
        <f t="shared" si="481"/>
        <v>0</v>
      </c>
      <c r="R3427" s="71">
        <f t="shared" si="482"/>
        <v>0</v>
      </c>
      <c r="S3427" s="71">
        <f t="shared" si="483"/>
        <v>0</v>
      </c>
      <c r="T3427" s="71">
        <f t="shared" si="484"/>
        <v>0</v>
      </c>
      <c r="U3427" s="71">
        <f>IF(AND(N3427=1,V3427=1),IF(COUNTIFS(AKTIVITAS!$B$2:$B$3052,B3427,AKTIVITAS!$E$2:$E$3052,H3427)&gt;0,1,0),0)</f>
        <v>1</v>
      </c>
      <c r="V3427" s="71">
        <f>IFERROR(IF(AND(H3427&gt;=INDEX(PEMAGANG!$J$3:$J$36,MATCH(B3427,PEMAGANG!$C$3:$C$36,0)),H3427&lt;=INDEX(PEMAGANG!$K$3:$K$36,MATCH(B3427,PEMAGANG!$C$3:$C$36,0))),1,0),0)</f>
        <v>1</v>
      </c>
      <c r="W3427" s="71">
        <f t="shared" si="485"/>
        <v>1</v>
      </c>
    </row>
    <row r="3428" spans="1:23" x14ac:dyDescent="0.2">
      <c r="A3428" s="71" t="s">
        <v>232</v>
      </c>
      <c r="B3428" s="71" t="s">
        <v>233</v>
      </c>
      <c r="C3428" s="71" t="s">
        <v>187</v>
      </c>
      <c r="D3428" s="71" t="s">
        <v>234</v>
      </c>
      <c r="E3428" s="71" t="s">
        <v>745</v>
      </c>
      <c r="F3428" s="71" t="s">
        <v>300</v>
      </c>
      <c r="G3428" s="88">
        <v>46267.697222222203</v>
      </c>
      <c r="H3428" s="89">
        <v>46267</v>
      </c>
      <c r="I3428" s="71" t="s">
        <v>312</v>
      </c>
      <c r="J3428" s="71">
        <v>0</v>
      </c>
      <c r="K3428" s="71" t="s">
        <v>302</v>
      </c>
      <c r="L3428" s="71">
        <f t="shared" si="477"/>
        <v>9</v>
      </c>
      <c r="M3428" s="71" t="str">
        <f>IFERROR(INDEX(KALENDER!$D$3:$D$132,MATCH(H3428,KALENDER!$A$3:$A$132,0)),"Di luar periode")</f>
        <v>Hari Kerja</v>
      </c>
      <c r="N3428" s="71">
        <f t="shared" si="478"/>
        <v>0</v>
      </c>
      <c r="O3428" s="71">
        <f t="shared" si="479"/>
        <v>1</v>
      </c>
      <c r="P3428" s="71">
        <f t="shared" si="480"/>
        <v>0</v>
      </c>
      <c r="Q3428" s="71">
        <f t="shared" si="481"/>
        <v>0</v>
      </c>
      <c r="R3428" s="71">
        <f t="shared" si="482"/>
        <v>0</v>
      </c>
      <c r="S3428" s="71">
        <f t="shared" si="483"/>
        <v>0</v>
      </c>
      <c r="T3428" s="71">
        <f t="shared" si="484"/>
        <v>0</v>
      </c>
      <c r="U3428" s="71">
        <f>IF(AND(N3428=1,V3428=1),IF(COUNTIFS(AKTIVITAS!$B$2:$B$3052,B3428,AKTIVITAS!$E$2:$E$3052,H3428)&gt;0,1,0),0)</f>
        <v>0</v>
      </c>
      <c r="V3428" s="71">
        <f>IFERROR(IF(AND(H3428&gt;=INDEX(PEMAGANG!$J$3:$J$36,MATCH(B3428,PEMAGANG!$C$3:$C$36,0)),H3428&lt;=INDEX(PEMAGANG!$K$3:$K$36,MATCH(B3428,PEMAGANG!$C$3:$C$36,0))),1,0),0)</f>
        <v>1</v>
      </c>
      <c r="W3428" s="71">
        <f t="shared" si="485"/>
        <v>0</v>
      </c>
    </row>
    <row r="3429" spans="1:23" x14ac:dyDescent="0.2">
      <c r="A3429" s="71" t="s">
        <v>232</v>
      </c>
      <c r="B3429" s="71" t="s">
        <v>233</v>
      </c>
      <c r="C3429" s="71" t="s">
        <v>187</v>
      </c>
      <c r="D3429" s="71" t="s">
        <v>234</v>
      </c>
      <c r="E3429" s="71" t="s">
        <v>747</v>
      </c>
      <c r="F3429" s="71" t="s">
        <v>300</v>
      </c>
      <c r="G3429" s="88">
        <v>46267.697222222203</v>
      </c>
      <c r="H3429" s="89">
        <v>46267</v>
      </c>
      <c r="I3429" s="71" t="s">
        <v>312</v>
      </c>
      <c r="J3429" s="71">
        <v>0</v>
      </c>
      <c r="K3429" s="71" t="s">
        <v>302</v>
      </c>
      <c r="L3429" s="71">
        <f t="shared" si="477"/>
        <v>9</v>
      </c>
      <c r="M3429" s="71" t="str">
        <f>IFERROR(INDEX(KALENDER!$D$3:$D$132,MATCH(H3429,KALENDER!$A$3:$A$132,0)),"Di luar periode")</f>
        <v>Hari Kerja</v>
      </c>
      <c r="N3429" s="71">
        <f t="shared" si="478"/>
        <v>0</v>
      </c>
      <c r="O3429" s="71">
        <f t="shared" si="479"/>
        <v>1</v>
      </c>
      <c r="P3429" s="71">
        <f t="shared" si="480"/>
        <v>0</v>
      </c>
      <c r="Q3429" s="71">
        <f t="shared" si="481"/>
        <v>0</v>
      </c>
      <c r="R3429" s="71">
        <f t="shared" si="482"/>
        <v>0</v>
      </c>
      <c r="S3429" s="71">
        <f t="shared" si="483"/>
        <v>0</v>
      </c>
      <c r="T3429" s="71">
        <f t="shared" si="484"/>
        <v>0</v>
      </c>
      <c r="U3429" s="71">
        <f>IF(AND(N3429=1,V3429=1),IF(COUNTIFS(AKTIVITAS!$B$2:$B$3052,B3429,AKTIVITAS!$E$2:$E$3052,H3429)&gt;0,1,0),0)</f>
        <v>0</v>
      </c>
      <c r="V3429" s="71">
        <f>IFERROR(IF(AND(H3429&gt;=INDEX(PEMAGANG!$J$3:$J$36,MATCH(B3429,PEMAGANG!$C$3:$C$36,0)),H3429&lt;=INDEX(PEMAGANG!$K$3:$K$36,MATCH(B3429,PEMAGANG!$C$3:$C$36,0))),1,0),0)</f>
        <v>1</v>
      </c>
      <c r="W3429" s="71">
        <f t="shared" si="485"/>
        <v>0</v>
      </c>
    </row>
    <row r="3430" spans="1:23" x14ac:dyDescent="0.2">
      <c r="A3430" s="71" t="s">
        <v>232</v>
      </c>
      <c r="B3430" s="71" t="s">
        <v>233</v>
      </c>
      <c r="C3430" s="71" t="s">
        <v>187</v>
      </c>
      <c r="D3430" s="71" t="s">
        <v>234</v>
      </c>
      <c r="E3430" s="71" t="s">
        <v>745</v>
      </c>
      <c r="F3430" s="71" t="s">
        <v>298</v>
      </c>
      <c r="G3430" s="88">
        <v>46268.302604166704</v>
      </c>
      <c r="H3430" s="89">
        <v>46268</v>
      </c>
      <c r="I3430" s="71" t="s">
        <v>370</v>
      </c>
      <c r="J3430" s="71">
        <v>-45</v>
      </c>
      <c r="K3430" s="71" t="s">
        <v>302</v>
      </c>
      <c r="L3430" s="71">
        <f t="shared" si="477"/>
        <v>9</v>
      </c>
      <c r="M3430" s="71" t="str">
        <f>IFERROR(INDEX(KALENDER!$D$3:$D$132,MATCH(H3430,KALENDER!$A$3:$A$132,0)),"Di luar periode")</f>
        <v>Hari Kerja</v>
      </c>
      <c r="N3430" s="71">
        <f t="shared" si="478"/>
        <v>1</v>
      </c>
      <c r="O3430" s="71">
        <f t="shared" si="479"/>
        <v>1</v>
      </c>
      <c r="P3430" s="71">
        <f t="shared" si="480"/>
        <v>1</v>
      </c>
      <c r="Q3430" s="71">
        <f t="shared" si="481"/>
        <v>0</v>
      </c>
      <c r="R3430" s="71">
        <f t="shared" si="482"/>
        <v>0</v>
      </c>
      <c r="S3430" s="71">
        <f t="shared" si="483"/>
        <v>0</v>
      </c>
      <c r="T3430" s="71">
        <f t="shared" si="484"/>
        <v>0</v>
      </c>
      <c r="U3430" s="71">
        <f>IF(AND(N3430=1,V3430=1),IF(COUNTIFS(AKTIVITAS!$B$2:$B$3052,B3430,AKTIVITAS!$E$2:$E$3052,H3430)&gt;0,1,0),0)</f>
        <v>1</v>
      </c>
      <c r="V3430" s="71">
        <f>IFERROR(IF(AND(H3430&gt;=INDEX(PEMAGANG!$J$3:$J$36,MATCH(B3430,PEMAGANG!$C$3:$C$36,0)),H3430&lt;=INDEX(PEMAGANG!$K$3:$K$36,MATCH(B3430,PEMAGANG!$C$3:$C$36,0))),1,0),0)</f>
        <v>1</v>
      </c>
      <c r="W3430" s="71">
        <f t="shared" si="485"/>
        <v>1</v>
      </c>
    </row>
    <row r="3431" spans="1:23" x14ac:dyDescent="0.2">
      <c r="A3431" s="71" t="s">
        <v>232</v>
      </c>
      <c r="B3431" s="71" t="s">
        <v>233</v>
      </c>
      <c r="C3431" s="71" t="s">
        <v>187</v>
      </c>
      <c r="D3431" s="71" t="s">
        <v>234</v>
      </c>
      <c r="E3431" s="71" t="s">
        <v>747</v>
      </c>
      <c r="F3431" s="71" t="s">
        <v>298</v>
      </c>
      <c r="G3431" s="88">
        <v>46268.302604166704</v>
      </c>
      <c r="H3431" s="89">
        <v>46268</v>
      </c>
      <c r="I3431" s="71" t="s">
        <v>370</v>
      </c>
      <c r="J3431" s="71">
        <v>-15</v>
      </c>
      <c r="K3431" s="71" t="s">
        <v>302</v>
      </c>
      <c r="L3431" s="71">
        <f t="shared" si="477"/>
        <v>9</v>
      </c>
      <c r="M3431" s="71" t="str">
        <f>IFERROR(INDEX(KALENDER!$D$3:$D$132,MATCH(H3431,KALENDER!$A$3:$A$132,0)),"Di luar periode")</f>
        <v>Hari Kerja</v>
      </c>
      <c r="N3431" s="71">
        <f t="shared" si="478"/>
        <v>0</v>
      </c>
      <c r="O3431" s="71">
        <f t="shared" si="479"/>
        <v>2</v>
      </c>
      <c r="P3431" s="71">
        <f t="shared" si="480"/>
        <v>0</v>
      </c>
      <c r="Q3431" s="71">
        <f t="shared" si="481"/>
        <v>0</v>
      </c>
      <c r="R3431" s="71">
        <f t="shared" si="482"/>
        <v>0</v>
      </c>
      <c r="S3431" s="71">
        <f t="shared" si="483"/>
        <v>0</v>
      </c>
      <c r="T3431" s="71">
        <f t="shared" si="484"/>
        <v>0</v>
      </c>
      <c r="U3431" s="71">
        <f>IF(AND(N3431=1,V3431=1),IF(COUNTIFS(AKTIVITAS!$B$2:$B$3052,B3431,AKTIVITAS!$E$2:$E$3052,H3431)&gt;0,1,0),0)</f>
        <v>0</v>
      </c>
      <c r="V3431" s="71">
        <f>IFERROR(IF(AND(H3431&gt;=INDEX(PEMAGANG!$J$3:$J$36,MATCH(B3431,PEMAGANG!$C$3:$C$36,0)),H3431&lt;=INDEX(PEMAGANG!$K$3:$K$36,MATCH(B3431,PEMAGANG!$C$3:$C$36,0))),1,0),0)</f>
        <v>1</v>
      </c>
      <c r="W3431" s="71">
        <f t="shared" si="485"/>
        <v>0</v>
      </c>
    </row>
    <row r="3432" spans="1:23" x14ac:dyDescent="0.2">
      <c r="A3432" s="71" t="s">
        <v>232</v>
      </c>
      <c r="B3432" s="71" t="s">
        <v>233</v>
      </c>
      <c r="C3432" s="71" t="s">
        <v>187</v>
      </c>
      <c r="D3432" s="71" t="s">
        <v>234</v>
      </c>
      <c r="E3432" s="71" t="s">
        <v>745</v>
      </c>
      <c r="F3432" s="71" t="s">
        <v>300</v>
      </c>
      <c r="G3432" s="88">
        <v>46268.696516203701</v>
      </c>
      <c r="H3432" s="89">
        <v>46268</v>
      </c>
      <c r="I3432" s="71" t="s">
        <v>320</v>
      </c>
      <c r="J3432" s="71">
        <v>0</v>
      </c>
      <c r="K3432" s="71" t="s">
        <v>302</v>
      </c>
      <c r="L3432" s="71">
        <f t="shared" si="477"/>
        <v>9</v>
      </c>
      <c r="M3432" s="71" t="str">
        <f>IFERROR(INDEX(KALENDER!$D$3:$D$132,MATCH(H3432,KALENDER!$A$3:$A$132,0)),"Di luar periode")</f>
        <v>Hari Kerja</v>
      </c>
      <c r="N3432" s="71">
        <f t="shared" si="478"/>
        <v>0</v>
      </c>
      <c r="O3432" s="71">
        <f t="shared" si="479"/>
        <v>2</v>
      </c>
      <c r="P3432" s="71">
        <f t="shared" si="480"/>
        <v>0</v>
      </c>
      <c r="Q3432" s="71">
        <f t="shared" si="481"/>
        <v>0</v>
      </c>
      <c r="R3432" s="71">
        <f t="shared" si="482"/>
        <v>0</v>
      </c>
      <c r="S3432" s="71">
        <f t="shared" si="483"/>
        <v>0</v>
      </c>
      <c r="T3432" s="71">
        <f t="shared" si="484"/>
        <v>0</v>
      </c>
      <c r="U3432" s="71">
        <f>IF(AND(N3432=1,V3432=1),IF(COUNTIFS(AKTIVITAS!$B$2:$B$3052,B3432,AKTIVITAS!$E$2:$E$3052,H3432)&gt;0,1,0),0)</f>
        <v>0</v>
      </c>
      <c r="V3432" s="71">
        <f>IFERROR(IF(AND(H3432&gt;=INDEX(PEMAGANG!$J$3:$J$36,MATCH(B3432,PEMAGANG!$C$3:$C$36,0)),H3432&lt;=INDEX(PEMAGANG!$K$3:$K$36,MATCH(B3432,PEMAGANG!$C$3:$C$36,0))),1,0),0)</f>
        <v>1</v>
      </c>
      <c r="W3432" s="71">
        <f t="shared" si="485"/>
        <v>0</v>
      </c>
    </row>
    <row r="3433" spans="1:23" x14ac:dyDescent="0.2">
      <c r="A3433" s="71" t="s">
        <v>232</v>
      </c>
      <c r="B3433" s="71" t="s">
        <v>233</v>
      </c>
      <c r="C3433" s="71" t="s">
        <v>187</v>
      </c>
      <c r="D3433" s="71" t="s">
        <v>234</v>
      </c>
      <c r="E3433" s="71" t="s">
        <v>747</v>
      </c>
      <c r="F3433" s="71" t="s">
        <v>300</v>
      </c>
      <c r="G3433" s="88">
        <v>46268.696516203701</v>
      </c>
      <c r="H3433" s="89">
        <v>46268</v>
      </c>
      <c r="I3433" s="71" t="s">
        <v>320</v>
      </c>
      <c r="J3433" s="71">
        <v>0</v>
      </c>
      <c r="K3433" s="71" t="s">
        <v>302</v>
      </c>
      <c r="L3433" s="71">
        <f t="shared" si="477"/>
        <v>9</v>
      </c>
      <c r="M3433" s="71" t="str">
        <f>IFERROR(INDEX(KALENDER!$D$3:$D$132,MATCH(H3433,KALENDER!$A$3:$A$132,0)),"Di luar periode")</f>
        <v>Hari Kerja</v>
      </c>
      <c r="N3433" s="71">
        <f t="shared" si="478"/>
        <v>0</v>
      </c>
      <c r="O3433" s="71">
        <f t="shared" si="479"/>
        <v>2</v>
      </c>
      <c r="P3433" s="71">
        <f t="shared" si="480"/>
        <v>0</v>
      </c>
      <c r="Q3433" s="71">
        <f t="shared" si="481"/>
        <v>0</v>
      </c>
      <c r="R3433" s="71">
        <f t="shared" si="482"/>
        <v>0</v>
      </c>
      <c r="S3433" s="71">
        <f t="shared" si="483"/>
        <v>0</v>
      </c>
      <c r="T3433" s="71">
        <f t="shared" si="484"/>
        <v>0</v>
      </c>
      <c r="U3433" s="71">
        <f>IF(AND(N3433=1,V3433=1),IF(COUNTIFS(AKTIVITAS!$B$2:$B$3052,B3433,AKTIVITAS!$E$2:$E$3052,H3433)&gt;0,1,0),0)</f>
        <v>0</v>
      </c>
      <c r="V3433" s="71">
        <f>IFERROR(IF(AND(H3433&gt;=INDEX(PEMAGANG!$J$3:$J$36,MATCH(B3433,PEMAGANG!$C$3:$C$36,0)),H3433&lt;=INDEX(PEMAGANG!$K$3:$K$36,MATCH(B3433,PEMAGANG!$C$3:$C$36,0))),1,0),0)</f>
        <v>1</v>
      </c>
      <c r="W3433" s="71">
        <f t="shared" si="485"/>
        <v>0</v>
      </c>
    </row>
    <row r="3434" spans="1:23" x14ac:dyDescent="0.2">
      <c r="A3434" s="71" t="s">
        <v>232</v>
      </c>
      <c r="B3434" s="71" t="s">
        <v>233</v>
      </c>
      <c r="C3434" s="71" t="s">
        <v>187</v>
      </c>
      <c r="D3434" s="71" t="s">
        <v>234</v>
      </c>
      <c r="E3434" s="71" t="s">
        <v>747</v>
      </c>
      <c r="F3434" s="71" t="s">
        <v>300</v>
      </c>
      <c r="G3434" s="88">
        <v>46269.699340277803</v>
      </c>
      <c r="H3434" s="89">
        <v>46269</v>
      </c>
      <c r="I3434" s="71" t="s">
        <v>337</v>
      </c>
      <c r="J3434" s="71">
        <v>0</v>
      </c>
      <c r="K3434" s="71" t="s">
        <v>302</v>
      </c>
      <c r="L3434" s="71">
        <f t="shared" si="477"/>
        <v>9</v>
      </c>
      <c r="M3434" s="71" t="str">
        <f>IFERROR(INDEX(KALENDER!$D$3:$D$132,MATCH(H3434,KALENDER!$A$3:$A$132,0)),"Di luar periode")</f>
        <v>Hari Kerja</v>
      </c>
      <c r="N3434" s="71">
        <f t="shared" si="478"/>
        <v>1</v>
      </c>
      <c r="O3434" s="71">
        <f t="shared" si="479"/>
        <v>0</v>
      </c>
      <c r="P3434" s="71">
        <f t="shared" si="480"/>
        <v>1</v>
      </c>
      <c r="Q3434" s="71">
        <f t="shared" si="481"/>
        <v>0</v>
      </c>
      <c r="R3434" s="71">
        <f t="shared" si="482"/>
        <v>0</v>
      </c>
      <c r="S3434" s="71">
        <f t="shared" si="483"/>
        <v>0</v>
      </c>
      <c r="T3434" s="71">
        <f t="shared" si="484"/>
        <v>0</v>
      </c>
      <c r="U3434" s="71">
        <f>IF(AND(N3434=1,V3434=1),IF(COUNTIFS(AKTIVITAS!$B$2:$B$3052,B3434,AKTIVITAS!$E$2:$E$3052,H3434)&gt;0,1,0),0)</f>
        <v>1</v>
      </c>
      <c r="V3434" s="71">
        <f>IFERROR(IF(AND(H3434&gt;=INDEX(PEMAGANG!$J$3:$J$36,MATCH(B3434,PEMAGANG!$C$3:$C$36,0)),H3434&lt;=INDEX(PEMAGANG!$K$3:$K$36,MATCH(B3434,PEMAGANG!$C$3:$C$36,0))),1,0),0)</f>
        <v>1</v>
      </c>
      <c r="W3434" s="71">
        <f t="shared" si="485"/>
        <v>1</v>
      </c>
    </row>
    <row r="3435" spans="1:23" x14ac:dyDescent="0.2">
      <c r="A3435" s="71" t="s">
        <v>232</v>
      </c>
      <c r="B3435" s="71" t="s">
        <v>233</v>
      </c>
      <c r="C3435" s="71" t="s">
        <v>187</v>
      </c>
      <c r="D3435" s="71" t="s">
        <v>234</v>
      </c>
      <c r="E3435" s="71" t="s">
        <v>747</v>
      </c>
      <c r="F3435" s="71" t="s">
        <v>298</v>
      </c>
      <c r="G3435" s="88">
        <v>46272.302499999998</v>
      </c>
      <c r="H3435" s="89">
        <v>46272</v>
      </c>
      <c r="I3435" s="71" t="s">
        <v>370</v>
      </c>
      <c r="J3435" s="71">
        <v>-45</v>
      </c>
      <c r="K3435" s="71" t="s">
        <v>302</v>
      </c>
      <c r="L3435" s="71">
        <f t="shared" si="477"/>
        <v>9</v>
      </c>
      <c r="M3435" s="71" t="str">
        <f>IFERROR(INDEX(KALENDER!$D$3:$D$132,MATCH(H3435,KALENDER!$A$3:$A$132,0)),"Di luar periode")</f>
        <v>Hari Kerja</v>
      </c>
      <c r="N3435" s="71">
        <f t="shared" si="478"/>
        <v>1</v>
      </c>
      <c r="O3435" s="71">
        <f t="shared" si="479"/>
        <v>1</v>
      </c>
      <c r="P3435" s="71">
        <f t="shared" si="480"/>
        <v>1</v>
      </c>
      <c r="Q3435" s="71">
        <f t="shared" si="481"/>
        <v>0</v>
      </c>
      <c r="R3435" s="71">
        <f t="shared" si="482"/>
        <v>0</v>
      </c>
      <c r="S3435" s="71">
        <f t="shared" si="483"/>
        <v>0</v>
      </c>
      <c r="T3435" s="71">
        <f t="shared" si="484"/>
        <v>0</v>
      </c>
      <c r="U3435" s="71">
        <f>IF(AND(N3435=1,V3435=1),IF(COUNTIFS(AKTIVITAS!$B$2:$B$3052,B3435,AKTIVITAS!$E$2:$E$3052,H3435)&gt;0,1,0),0)</f>
        <v>1</v>
      </c>
      <c r="V3435" s="71">
        <f>IFERROR(IF(AND(H3435&gt;=INDEX(PEMAGANG!$J$3:$J$36,MATCH(B3435,PEMAGANG!$C$3:$C$36,0)),H3435&lt;=INDEX(PEMAGANG!$K$3:$K$36,MATCH(B3435,PEMAGANG!$C$3:$C$36,0))),1,0),0)</f>
        <v>1</v>
      </c>
      <c r="W3435" s="71">
        <f t="shared" si="485"/>
        <v>1</v>
      </c>
    </row>
    <row r="3436" spans="1:23" x14ac:dyDescent="0.2">
      <c r="A3436" s="71" t="s">
        <v>232</v>
      </c>
      <c r="B3436" s="71" t="s">
        <v>233</v>
      </c>
      <c r="C3436" s="71" t="s">
        <v>187</v>
      </c>
      <c r="D3436" s="71" t="s">
        <v>234</v>
      </c>
      <c r="E3436" s="71" t="s">
        <v>747</v>
      </c>
      <c r="F3436" s="71" t="s">
        <v>300</v>
      </c>
      <c r="G3436" s="88">
        <v>46272.690729166701</v>
      </c>
      <c r="H3436" s="89">
        <v>46272</v>
      </c>
      <c r="I3436" s="71" t="s">
        <v>314</v>
      </c>
      <c r="J3436" s="71">
        <v>0</v>
      </c>
      <c r="K3436" s="71" t="s">
        <v>302</v>
      </c>
      <c r="L3436" s="71">
        <f t="shared" si="477"/>
        <v>9</v>
      </c>
      <c r="M3436" s="71" t="str">
        <f>IFERROR(INDEX(KALENDER!$D$3:$D$132,MATCH(H3436,KALENDER!$A$3:$A$132,0)),"Di luar periode")</f>
        <v>Hari Kerja</v>
      </c>
      <c r="N3436" s="71">
        <f t="shared" si="478"/>
        <v>0</v>
      </c>
      <c r="O3436" s="71">
        <f t="shared" si="479"/>
        <v>1</v>
      </c>
      <c r="P3436" s="71">
        <f t="shared" si="480"/>
        <v>0</v>
      </c>
      <c r="Q3436" s="71">
        <f t="shared" si="481"/>
        <v>0</v>
      </c>
      <c r="R3436" s="71">
        <f t="shared" si="482"/>
        <v>0</v>
      </c>
      <c r="S3436" s="71">
        <f t="shared" si="483"/>
        <v>0</v>
      </c>
      <c r="T3436" s="71">
        <f t="shared" si="484"/>
        <v>0</v>
      </c>
      <c r="U3436" s="71">
        <f>IF(AND(N3436=1,V3436=1),IF(COUNTIFS(AKTIVITAS!$B$2:$B$3052,B3436,AKTIVITAS!$E$2:$E$3052,H3436)&gt;0,1,0),0)</f>
        <v>0</v>
      </c>
      <c r="V3436" s="71">
        <f>IFERROR(IF(AND(H3436&gt;=INDEX(PEMAGANG!$J$3:$J$36,MATCH(B3436,PEMAGANG!$C$3:$C$36,0)),H3436&lt;=INDEX(PEMAGANG!$K$3:$K$36,MATCH(B3436,PEMAGANG!$C$3:$C$36,0))),1,0),0)</f>
        <v>1</v>
      </c>
      <c r="W3436" s="71">
        <f t="shared" si="485"/>
        <v>0</v>
      </c>
    </row>
    <row r="3437" spans="1:23" x14ac:dyDescent="0.2">
      <c r="A3437" s="71" t="s">
        <v>232</v>
      </c>
      <c r="B3437" s="71" t="s">
        <v>233</v>
      </c>
      <c r="C3437" s="71" t="s">
        <v>187</v>
      </c>
      <c r="D3437" s="71" t="s">
        <v>234</v>
      </c>
      <c r="E3437" s="71" t="s">
        <v>747</v>
      </c>
      <c r="F3437" s="71" t="s">
        <v>298</v>
      </c>
      <c r="G3437" s="88">
        <v>46273.319942129601</v>
      </c>
      <c r="H3437" s="89">
        <v>46273</v>
      </c>
      <c r="I3437" s="71" t="s">
        <v>381</v>
      </c>
      <c r="J3437" s="71">
        <v>-19.999999999999901</v>
      </c>
      <c r="K3437" s="71" t="s">
        <v>302</v>
      </c>
      <c r="L3437" s="71">
        <f t="shared" si="477"/>
        <v>9</v>
      </c>
      <c r="M3437" s="71" t="str">
        <f>IFERROR(INDEX(KALENDER!$D$3:$D$132,MATCH(H3437,KALENDER!$A$3:$A$132,0)),"Di luar periode")</f>
        <v>Hari Kerja</v>
      </c>
      <c r="N3437" s="71">
        <f t="shared" si="478"/>
        <v>1</v>
      </c>
      <c r="O3437" s="71">
        <f t="shared" si="479"/>
        <v>1</v>
      </c>
      <c r="P3437" s="71">
        <f t="shared" si="480"/>
        <v>1</v>
      </c>
      <c r="Q3437" s="71">
        <f t="shared" si="481"/>
        <v>0</v>
      </c>
      <c r="R3437" s="71">
        <f t="shared" si="482"/>
        <v>0</v>
      </c>
      <c r="S3437" s="71">
        <f t="shared" si="483"/>
        <v>0</v>
      </c>
      <c r="T3437" s="71">
        <f t="shared" si="484"/>
        <v>0</v>
      </c>
      <c r="U3437" s="71">
        <f>IF(AND(N3437=1,V3437=1),IF(COUNTIFS(AKTIVITAS!$B$2:$B$3052,B3437,AKTIVITAS!$E$2:$E$3052,H3437)&gt;0,1,0),0)</f>
        <v>1</v>
      </c>
      <c r="V3437" s="71">
        <f>IFERROR(IF(AND(H3437&gt;=INDEX(PEMAGANG!$J$3:$J$36,MATCH(B3437,PEMAGANG!$C$3:$C$36,0)),H3437&lt;=INDEX(PEMAGANG!$K$3:$K$36,MATCH(B3437,PEMAGANG!$C$3:$C$36,0))),1,0),0)</f>
        <v>1</v>
      </c>
      <c r="W3437" s="71">
        <f t="shared" si="485"/>
        <v>1</v>
      </c>
    </row>
    <row r="3438" spans="1:23" x14ac:dyDescent="0.2">
      <c r="A3438" s="71" t="s">
        <v>232</v>
      </c>
      <c r="B3438" s="71" t="s">
        <v>233</v>
      </c>
      <c r="C3438" s="71" t="s">
        <v>187</v>
      </c>
      <c r="D3438" s="71" t="s">
        <v>234</v>
      </c>
      <c r="E3438" s="71" t="s">
        <v>747</v>
      </c>
      <c r="F3438" s="71" t="s">
        <v>300</v>
      </c>
      <c r="G3438" s="88">
        <v>46273.699166666702</v>
      </c>
      <c r="H3438" s="89">
        <v>46273</v>
      </c>
      <c r="I3438" s="71" t="s">
        <v>488</v>
      </c>
      <c r="J3438" s="71">
        <v>0</v>
      </c>
      <c r="K3438" s="71" t="s">
        <v>302</v>
      </c>
      <c r="L3438" s="71">
        <f t="shared" si="477"/>
        <v>9</v>
      </c>
      <c r="M3438" s="71" t="str">
        <f>IFERROR(INDEX(KALENDER!$D$3:$D$132,MATCH(H3438,KALENDER!$A$3:$A$132,0)),"Di luar periode")</f>
        <v>Hari Kerja</v>
      </c>
      <c r="N3438" s="71">
        <f t="shared" si="478"/>
        <v>0</v>
      </c>
      <c r="O3438" s="71">
        <f t="shared" si="479"/>
        <v>1</v>
      </c>
      <c r="P3438" s="71">
        <f t="shared" si="480"/>
        <v>0</v>
      </c>
      <c r="Q3438" s="71">
        <f t="shared" si="481"/>
        <v>0</v>
      </c>
      <c r="R3438" s="71">
        <f t="shared" si="482"/>
        <v>0</v>
      </c>
      <c r="S3438" s="71">
        <f t="shared" si="483"/>
        <v>0</v>
      </c>
      <c r="T3438" s="71">
        <f t="shared" si="484"/>
        <v>0</v>
      </c>
      <c r="U3438" s="71">
        <f>IF(AND(N3438=1,V3438=1),IF(COUNTIFS(AKTIVITAS!$B$2:$B$3052,B3438,AKTIVITAS!$E$2:$E$3052,H3438)&gt;0,1,0),0)</f>
        <v>0</v>
      </c>
      <c r="V3438" s="71">
        <f>IFERROR(IF(AND(H3438&gt;=INDEX(PEMAGANG!$J$3:$J$36,MATCH(B3438,PEMAGANG!$C$3:$C$36,0)),H3438&lt;=INDEX(PEMAGANG!$K$3:$K$36,MATCH(B3438,PEMAGANG!$C$3:$C$36,0))),1,0),0)</f>
        <v>1</v>
      </c>
      <c r="W3438" s="71">
        <f t="shared" si="485"/>
        <v>0</v>
      </c>
    </row>
    <row r="3439" spans="1:23" x14ac:dyDescent="0.2">
      <c r="A3439" s="71" t="s">
        <v>232</v>
      </c>
      <c r="B3439" s="71" t="s">
        <v>233</v>
      </c>
      <c r="C3439" s="71" t="s">
        <v>187</v>
      </c>
      <c r="D3439" s="71" t="s">
        <v>234</v>
      </c>
      <c r="E3439" s="71" t="s">
        <v>747</v>
      </c>
      <c r="F3439" s="71" t="s">
        <v>298</v>
      </c>
      <c r="G3439" s="88">
        <v>46274.3070717593</v>
      </c>
      <c r="H3439" s="89">
        <v>46274</v>
      </c>
      <c r="I3439" s="71" t="s">
        <v>313</v>
      </c>
      <c r="J3439" s="71">
        <v>-38</v>
      </c>
      <c r="K3439" s="71" t="s">
        <v>302</v>
      </c>
      <c r="L3439" s="71">
        <f t="shared" si="477"/>
        <v>9</v>
      </c>
      <c r="M3439" s="71" t="str">
        <f>IFERROR(INDEX(KALENDER!$D$3:$D$132,MATCH(H3439,KALENDER!$A$3:$A$132,0)),"Di luar periode")</f>
        <v>Hari Kerja</v>
      </c>
      <c r="N3439" s="71">
        <f t="shared" si="478"/>
        <v>1</v>
      </c>
      <c r="O3439" s="71">
        <f t="shared" si="479"/>
        <v>1</v>
      </c>
      <c r="P3439" s="71">
        <f t="shared" si="480"/>
        <v>1</v>
      </c>
      <c r="Q3439" s="71">
        <f t="shared" si="481"/>
        <v>0</v>
      </c>
      <c r="R3439" s="71">
        <f t="shared" si="482"/>
        <v>0</v>
      </c>
      <c r="S3439" s="71">
        <f t="shared" si="483"/>
        <v>0</v>
      </c>
      <c r="T3439" s="71">
        <f t="shared" si="484"/>
        <v>0</v>
      </c>
      <c r="U3439" s="71">
        <f>IF(AND(N3439=1,V3439=1),IF(COUNTIFS(AKTIVITAS!$B$2:$B$3052,B3439,AKTIVITAS!$E$2:$E$3052,H3439)&gt;0,1,0),0)</f>
        <v>1</v>
      </c>
      <c r="V3439" s="71">
        <f>IFERROR(IF(AND(H3439&gt;=INDEX(PEMAGANG!$J$3:$J$36,MATCH(B3439,PEMAGANG!$C$3:$C$36,0)),H3439&lt;=INDEX(PEMAGANG!$K$3:$K$36,MATCH(B3439,PEMAGANG!$C$3:$C$36,0))),1,0),0)</f>
        <v>1</v>
      </c>
      <c r="W3439" s="71">
        <f t="shared" si="485"/>
        <v>1</v>
      </c>
    </row>
    <row r="3440" spans="1:23" x14ac:dyDescent="0.2">
      <c r="A3440" s="71" t="s">
        <v>232</v>
      </c>
      <c r="B3440" s="71" t="s">
        <v>233</v>
      </c>
      <c r="C3440" s="71" t="s">
        <v>187</v>
      </c>
      <c r="D3440" s="71" t="s">
        <v>234</v>
      </c>
      <c r="E3440" s="71" t="s">
        <v>747</v>
      </c>
      <c r="F3440" s="71" t="s">
        <v>300</v>
      </c>
      <c r="G3440" s="88">
        <v>46274.694930555597</v>
      </c>
      <c r="H3440" s="89">
        <v>46274</v>
      </c>
      <c r="I3440" s="71" t="s">
        <v>343</v>
      </c>
      <c r="J3440" s="71">
        <v>0</v>
      </c>
      <c r="K3440" s="71" t="s">
        <v>302</v>
      </c>
      <c r="L3440" s="71">
        <f t="shared" si="477"/>
        <v>9</v>
      </c>
      <c r="M3440" s="71" t="str">
        <f>IFERROR(INDEX(KALENDER!$D$3:$D$132,MATCH(H3440,KALENDER!$A$3:$A$132,0)),"Di luar periode")</f>
        <v>Hari Kerja</v>
      </c>
      <c r="N3440" s="71">
        <f t="shared" si="478"/>
        <v>0</v>
      </c>
      <c r="O3440" s="71">
        <f t="shared" si="479"/>
        <v>1</v>
      </c>
      <c r="P3440" s="71">
        <f t="shared" si="480"/>
        <v>0</v>
      </c>
      <c r="Q3440" s="71">
        <f t="shared" si="481"/>
        <v>0</v>
      </c>
      <c r="R3440" s="71">
        <f t="shared" si="482"/>
        <v>0</v>
      </c>
      <c r="S3440" s="71">
        <f t="shared" si="483"/>
        <v>0</v>
      </c>
      <c r="T3440" s="71">
        <f t="shared" si="484"/>
        <v>0</v>
      </c>
      <c r="U3440" s="71">
        <f>IF(AND(N3440=1,V3440=1),IF(COUNTIFS(AKTIVITAS!$B$2:$B$3052,B3440,AKTIVITAS!$E$2:$E$3052,H3440)&gt;0,1,0),0)</f>
        <v>0</v>
      </c>
      <c r="V3440" s="71">
        <f>IFERROR(IF(AND(H3440&gt;=INDEX(PEMAGANG!$J$3:$J$36,MATCH(B3440,PEMAGANG!$C$3:$C$36,0)),H3440&lt;=INDEX(PEMAGANG!$K$3:$K$36,MATCH(B3440,PEMAGANG!$C$3:$C$36,0))),1,0),0)</f>
        <v>1</v>
      </c>
      <c r="W3440" s="71">
        <f t="shared" si="485"/>
        <v>0</v>
      </c>
    </row>
    <row r="3441" spans="1:23" x14ac:dyDescent="0.2">
      <c r="A3441" s="71" t="s">
        <v>232</v>
      </c>
      <c r="B3441" s="71" t="s">
        <v>233</v>
      </c>
      <c r="C3441" s="71" t="s">
        <v>187</v>
      </c>
      <c r="D3441" s="71" t="s">
        <v>234</v>
      </c>
      <c r="E3441" s="71" t="s">
        <v>747</v>
      </c>
      <c r="F3441" s="71" t="s">
        <v>298</v>
      </c>
      <c r="G3441" s="88">
        <v>46275.303807870398</v>
      </c>
      <c r="H3441" s="89">
        <v>46275</v>
      </c>
      <c r="I3441" s="71" t="s">
        <v>331</v>
      </c>
      <c r="J3441" s="71">
        <v>-43</v>
      </c>
      <c r="K3441" s="71" t="s">
        <v>302</v>
      </c>
      <c r="L3441" s="71">
        <f t="shared" si="477"/>
        <v>9</v>
      </c>
      <c r="M3441" s="71" t="str">
        <f>IFERROR(INDEX(KALENDER!$D$3:$D$132,MATCH(H3441,KALENDER!$A$3:$A$132,0)),"Di luar periode")</f>
        <v>Hari Kerja</v>
      </c>
      <c r="N3441" s="71">
        <f t="shared" si="478"/>
        <v>1</v>
      </c>
      <c r="O3441" s="71">
        <f t="shared" si="479"/>
        <v>1</v>
      </c>
      <c r="P3441" s="71">
        <f t="shared" si="480"/>
        <v>1</v>
      </c>
      <c r="Q3441" s="71">
        <f t="shared" si="481"/>
        <v>0</v>
      </c>
      <c r="R3441" s="71">
        <f t="shared" si="482"/>
        <v>0</v>
      </c>
      <c r="S3441" s="71">
        <f t="shared" si="483"/>
        <v>0</v>
      </c>
      <c r="T3441" s="71">
        <f t="shared" si="484"/>
        <v>0</v>
      </c>
      <c r="U3441" s="71">
        <f>IF(AND(N3441=1,V3441=1),IF(COUNTIFS(AKTIVITAS!$B$2:$B$3052,B3441,AKTIVITAS!$E$2:$E$3052,H3441)&gt;0,1,0),0)</f>
        <v>1</v>
      </c>
      <c r="V3441" s="71">
        <f>IFERROR(IF(AND(H3441&gt;=INDEX(PEMAGANG!$J$3:$J$36,MATCH(B3441,PEMAGANG!$C$3:$C$36,0)),H3441&lt;=INDEX(PEMAGANG!$K$3:$K$36,MATCH(B3441,PEMAGANG!$C$3:$C$36,0))),1,0),0)</f>
        <v>1</v>
      </c>
      <c r="W3441" s="71">
        <f t="shared" si="485"/>
        <v>1</v>
      </c>
    </row>
    <row r="3442" spans="1:23" x14ac:dyDescent="0.2">
      <c r="A3442" s="71" t="s">
        <v>232</v>
      </c>
      <c r="B3442" s="71" t="s">
        <v>233</v>
      </c>
      <c r="C3442" s="71" t="s">
        <v>187</v>
      </c>
      <c r="D3442" s="71" t="s">
        <v>234</v>
      </c>
      <c r="E3442" s="71" t="s">
        <v>747</v>
      </c>
      <c r="F3442" s="71" t="s">
        <v>298</v>
      </c>
      <c r="G3442" s="88">
        <v>46275.303807870398</v>
      </c>
      <c r="H3442" s="89">
        <v>46275</v>
      </c>
      <c r="I3442" s="71" t="s">
        <v>331</v>
      </c>
      <c r="J3442" s="71">
        <v>-13</v>
      </c>
      <c r="K3442" s="71" t="s">
        <v>302</v>
      </c>
      <c r="L3442" s="71">
        <f t="shared" si="477"/>
        <v>9</v>
      </c>
      <c r="M3442" s="71" t="str">
        <f>IFERROR(INDEX(KALENDER!$D$3:$D$132,MATCH(H3442,KALENDER!$A$3:$A$132,0)),"Di luar periode")</f>
        <v>Hari Kerja</v>
      </c>
      <c r="N3442" s="71">
        <f t="shared" si="478"/>
        <v>0</v>
      </c>
      <c r="O3442" s="71">
        <f t="shared" si="479"/>
        <v>2</v>
      </c>
      <c r="P3442" s="71">
        <f t="shared" si="480"/>
        <v>0</v>
      </c>
      <c r="Q3442" s="71">
        <f t="shared" si="481"/>
        <v>0</v>
      </c>
      <c r="R3442" s="71">
        <f t="shared" si="482"/>
        <v>0</v>
      </c>
      <c r="S3442" s="71">
        <f t="shared" si="483"/>
        <v>0</v>
      </c>
      <c r="T3442" s="71">
        <f t="shared" si="484"/>
        <v>0</v>
      </c>
      <c r="U3442" s="71">
        <f>IF(AND(N3442=1,V3442=1),IF(COUNTIFS(AKTIVITAS!$B$2:$B$3052,B3442,AKTIVITAS!$E$2:$E$3052,H3442)&gt;0,1,0),0)</f>
        <v>0</v>
      </c>
      <c r="V3442" s="71">
        <f>IFERROR(IF(AND(H3442&gt;=INDEX(PEMAGANG!$J$3:$J$36,MATCH(B3442,PEMAGANG!$C$3:$C$36,0)),H3442&lt;=INDEX(PEMAGANG!$K$3:$K$36,MATCH(B3442,PEMAGANG!$C$3:$C$36,0))),1,0),0)</f>
        <v>1</v>
      </c>
      <c r="W3442" s="71">
        <f t="shared" si="485"/>
        <v>0</v>
      </c>
    </row>
    <row r="3443" spans="1:23" x14ac:dyDescent="0.2">
      <c r="A3443" s="71" t="s">
        <v>232</v>
      </c>
      <c r="B3443" s="71" t="s">
        <v>233</v>
      </c>
      <c r="C3443" s="71" t="s">
        <v>187</v>
      </c>
      <c r="D3443" s="71" t="s">
        <v>234</v>
      </c>
      <c r="E3443" s="71" t="s">
        <v>747</v>
      </c>
      <c r="F3443" s="71" t="s">
        <v>300</v>
      </c>
      <c r="G3443" s="88">
        <v>46275.695995370399</v>
      </c>
      <c r="H3443" s="89">
        <v>46275</v>
      </c>
      <c r="I3443" s="71" t="s">
        <v>320</v>
      </c>
      <c r="J3443" s="71">
        <v>0</v>
      </c>
      <c r="K3443" s="71" t="s">
        <v>302</v>
      </c>
      <c r="L3443" s="71">
        <f t="shared" si="477"/>
        <v>9</v>
      </c>
      <c r="M3443" s="71" t="str">
        <f>IFERROR(INDEX(KALENDER!$D$3:$D$132,MATCH(H3443,KALENDER!$A$3:$A$132,0)),"Di luar periode")</f>
        <v>Hari Kerja</v>
      </c>
      <c r="N3443" s="71">
        <f t="shared" si="478"/>
        <v>0</v>
      </c>
      <c r="O3443" s="71">
        <f t="shared" si="479"/>
        <v>2</v>
      </c>
      <c r="P3443" s="71">
        <f t="shared" si="480"/>
        <v>0</v>
      </c>
      <c r="Q3443" s="71">
        <f t="shared" si="481"/>
        <v>0</v>
      </c>
      <c r="R3443" s="71">
        <f t="shared" si="482"/>
        <v>0</v>
      </c>
      <c r="S3443" s="71">
        <f t="shared" si="483"/>
        <v>0</v>
      </c>
      <c r="T3443" s="71">
        <f t="shared" si="484"/>
        <v>0</v>
      </c>
      <c r="U3443" s="71">
        <f>IF(AND(N3443=1,V3443=1),IF(COUNTIFS(AKTIVITAS!$B$2:$B$3052,B3443,AKTIVITAS!$E$2:$E$3052,H3443)&gt;0,1,0),0)</f>
        <v>0</v>
      </c>
      <c r="V3443" s="71">
        <f>IFERROR(IF(AND(H3443&gt;=INDEX(PEMAGANG!$J$3:$J$36,MATCH(B3443,PEMAGANG!$C$3:$C$36,0)),H3443&lt;=INDEX(PEMAGANG!$K$3:$K$36,MATCH(B3443,PEMAGANG!$C$3:$C$36,0))),1,0),0)</f>
        <v>1</v>
      </c>
      <c r="W3443" s="71">
        <f t="shared" si="485"/>
        <v>0</v>
      </c>
    </row>
    <row r="3444" spans="1:23" x14ac:dyDescent="0.2">
      <c r="A3444" s="71" t="s">
        <v>232</v>
      </c>
      <c r="B3444" s="71" t="s">
        <v>233</v>
      </c>
      <c r="C3444" s="71" t="s">
        <v>187</v>
      </c>
      <c r="D3444" s="71" t="s">
        <v>234</v>
      </c>
      <c r="E3444" s="71" t="s">
        <v>747</v>
      </c>
      <c r="F3444" s="71" t="s">
        <v>298</v>
      </c>
      <c r="G3444" s="88">
        <v>46276.302557870396</v>
      </c>
      <c r="H3444" s="89">
        <v>46276</v>
      </c>
      <c r="I3444" s="71" t="s">
        <v>370</v>
      </c>
      <c r="J3444" s="71">
        <v>-15</v>
      </c>
      <c r="K3444" s="71" t="s">
        <v>302</v>
      </c>
      <c r="L3444" s="71">
        <f t="shared" si="477"/>
        <v>9</v>
      </c>
      <c r="M3444" s="71" t="str">
        <f>IFERROR(INDEX(KALENDER!$D$3:$D$132,MATCH(H3444,KALENDER!$A$3:$A$132,0)),"Di luar periode")</f>
        <v>Hari Kerja</v>
      </c>
      <c r="N3444" s="71">
        <f t="shared" si="478"/>
        <v>1</v>
      </c>
      <c r="O3444" s="71">
        <f t="shared" si="479"/>
        <v>1</v>
      </c>
      <c r="P3444" s="71">
        <f t="shared" si="480"/>
        <v>1</v>
      </c>
      <c r="Q3444" s="71">
        <f t="shared" si="481"/>
        <v>0</v>
      </c>
      <c r="R3444" s="71">
        <f t="shared" si="482"/>
        <v>0</v>
      </c>
      <c r="S3444" s="71">
        <f t="shared" si="483"/>
        <v>0</v>
      </c>
      <c r="T3444" s="71">
        <f t="shared" si="484"/>
        <v>1</v>
      </c>
      <c r="U3444" s="71">
        <f>IF(AND(N3444=1,V3444=1),IF(COUNTIFS(AKTIVITAS!$B$2:$B$3052,B3444,AKTIVITAS!$E$2:$E$3052,H3444)&gt;0,1,0),0)</f>
        <v>1</v>
      </c>
      <c r="V3444" s="71">
        <f>IFERROR(IF(AND(H3444&gt;=INDEX(PEMAGANG!$J$3:$J$36,MATCH(B3444,PEMAGANG!$C$3:$C$36,0)),H3444&lt;=INDEX(PEMAGANG!$K$3:$K$36,MATCH(B3444,PEMAGANG!$C$3:$C$36,0))),1,0),0)</f>
        <v>1</v>
      </c>
      <c r="W3444" s="71">
        <f t="shared" si="485"/>
        <v>1</v>
      </c>
    </row>
    <row r="3445" spans="1:23" x14ac:dyDescent="0.2">
      <c r="A3445" s="71" t="s">
        <v>232</v>
      </c>
      <c r="B3445" s="71" t="s">
        <v>233</v>
      </c>
      <c r="C3445" s="71" t="s">
        <v>187</v>
      </c>
      <c r="D3445" s="71" t="s">
        <v>234</v>
      </c>
      <c r="E3445" s="71" t="s">
        <v>747</v>
      </c>
      <c r="F3445" s="71" t="s">
        <v>298</v>
      </c>
      <c r="G3445" s="88">
        <v>46276.302638888897</v>
      </c>
      <c r="H3445" s="89">
        <v>46276</v>
      </c>
      <c r="I3445" s="71" t="s">
        <v>370</v>
      </c>
      <c r="J3445" s="71">
        <v>-15</v>
      </c>
      <c r="K3445" s="71" t="s">
        <v>302</v>
      </c>
      <c r="L3445" s="71">
        <f t="shared" si="477"/>
        <v>9</v>
      </c>
      <c r="M3445" s="71" t="str">
        <f>IFERROR(INDEX(KALENDER!$D$3:$D$132,MATCH(H3445,KALENDER!$A$3:$A$132,0)),"Di luar periode")</f>
        <v>Hari Kerja</v>
      </c>
      <c r="N3445" s="71">
        <f t="shared" si="478"/>
        <v>0</v>
      </c>
      <c r="O3445" s="71">
        <f t="shared" si="479"/>
        <v>2</v>
      </c>
      <c r="P3445" s="71">
        <f t="shared" si="480"/>
        <v>0</v>
      </c>
      <c r="Q3445" s="71">
        <f t="shared" si="481"/>
        <v>0</v>
      </c>
      <c r="R3445" s="71">
        <f t="shared" si="482"/>
        <v>0</v>
      </c>
      <c r="S3445" s="71">
        <f t="shared" si="483"/>
        <v>0</v>
      </c>
      <c r="T3445" s="71">
        <f t="shared" si="484"/>
        <v>0</v>
      </c>
      <c r="U3445" s="71">
        <f>IF(AND(N3445=1,V3445=1),IF(COUNTIFS(AKTIVITAS!$B$2:$B$3052,B3445,AKTIVITAS!$E$2:$E$3052,H3445)&gt;0,1,0),0)</f>
        <v>0</v>
      </c>
      <c r="V3445" s="71">
        <f>IFERROR(IF(AND(H3445&gt;=INDEX(PEMAGANG!$J$3:$J$36,MATCH(B3445,PEMAGANG!$C$3:$C$36,0)),H3445&lt;=INDEX(PEMAGANG!$K$3:$K$36,MATCH(B3445,PEMAGANG!$C$3:$C$36,0))),1,0),0)</f>
        <v>1</v>
      </c>
      <c r="W3445" s="71">
        <f t="shared" si="485"/>
        <v>0</v>
      </c>
    </row>
    <row r="3446" spans="1:23" x14ac:dyDescent="0.2">
      <c r="A3446" s="71" t="s">
        <v>232</v>
      </c>
      <c r="B3446" s="71" t="s">
        <v>233</v>
      </c>
      <c r="C3446" s="71" t="s">
        <v>187</v>
      </c>
      <c r="D3446" s="71" t="s">
        <v>234</v>
      </c>
      <c r="E3446" s="71" t="s">
        <v>747</v>
      </c>
      <c r="F3446" s="71" t="s">
        <v>300</v>
      </c>
      <c r="G3446" s="88">
        <v>46279.305555555598</v>
      </c>
      <c r="H3446" s="89">
        <v>46279</v>
      </c>
      <c r="I3446" s="71" t="s">
        <v>329</v>
      </c>
      <c r="J3446" s="71">
        <v>0</v>
      </c>
      <c r="K3446" s="71" t="s">
        <v>302</v>
      </c>
      <c r="L3446" s="71">
        <f t="shared" si="477"/>
        <v>9</v>
      </c>
      <c r="M3446" s="71" t="str">
        <f>IFERROR(INDEX(KALENDER!$D$3:$D$132,MATCH(H3446,KALENDER!$A$3:$A$132,0)),"Di luar periode")</f>
        <v>Hari Kerja</v>
      </c>
      <c r="N3446" s="71">
        <f t="shared" si="478"/>
        <v>1</v>
      </c>
      <c r="O3446" s="71">
        <f t="shared" si="479"/>
        <v>0</v>
      </c>
      <c r="P3446" s="71">
        <f t="shared" si="480"/>
        <v>1</v>
      </c>
      <c r="Q3446" s="71">
        <f t="shared" si="481"/>
        <v>0</v>
      </c>
      <c r="R3446" s="71">
        <f t="shared" si="482"/>
        <v>0</v>
      </c>
      <c r="S3446" s="71">
        <f t="shared" si="483"/>
        <v>0</v>
      </c>
      <c r="T3446" s="71">
        <f t="shared" si="484"/>
        <v>0</v>
      </c>
      <c r="U3446" s="71">
        <f>IF(AND(N3446=1,V3446=1),IF(COUNTIFS(AKTIVITAS!$B$2:$B$3052,B3446,AKTIVITAS!$E$2:$E$3052,H3446)&gt;0,1,0),0)</f>
        <v>1</v>
      </c>
      <c r="V3446" s="71">
        <f>IFERROR(IF(AND(H3446&gt;=INDEX(PEMAGANG!$J$3:$J$36,MATCH(B3446,PEMAGANG!$C$3:$C$36,0)),H3446&lt;=INDEX(PEMAGANG!$K$3:$K$36,MATCH(B3446,PEMAGANG!$C$3:$C$36,0))),1,0),0)</f>
        <v>1</v>
      </c>
      <c r="W3446" s="71">
        <f t="shared" si="485"/>
        <v>1</v>
      </c>
    </row>
    <row r="3447" spans="1:23" x14ac:dyDescent="0.2">
      <c r="A3447" s="71" t="s">
        <v>232</v>
      </c>
      <c r="B3447" s="71" t="s">
        <v>233</v>
      </c>
      <c r="C3447" s="71" t="s">
        <v>187</v>
      </c>
      <c r="D3447" s="71" t="s">
        <v>234</v>
      </c>
      <c r="E3447" s="71" t="s">
        <v>747</v>
      </c>
      <c r="F3447" s="71" t="s">
        <v>298</v>
      </c>
      <c r="G3447" s="88">
        <v>46279.305671296301</v>
      </c>
      <c r="H3447" s="89">
        <v>46279</v>
      </c>
      <c r="I3447" s="71" t="s">
        <v>329</v>
      </c>
      <c r="J3447" s="71">
        <v>-10</v>
      </c>
      <c r="K3447" s="71" t="s">
        <v>302</v>
      </c>
      <c r="L3447" s="71">
        <f t="shared" si="477"/>
        <v>9</v>
      </c>
      <c r="M3447" s="71" t="str">
        <f>IFERROR(INDEX(KALENDER!$D$3:$D$132,MATCH(H3447,KALENDER!$A$3:$A$132,0)),"Di luar periode")</f>
        <v>Hari Kerja</v>
      </c>
      <c r="N3447" s="71">
        <f t="shared" si="478"/>
        <v>0</v>
      </c>
      <c r="O3447" s="71">
        <f t="shared" si="479"/>
        <v>1</v>
      </c>
      <c r="P3447" s="71">
        <f t="shared" si="480"/>
        <v>0</v>
      </c>
      <c r="Q3447" s="71">
        <f t="shared" si="481"/>
        <v>0</v>
      </c>
      <c r="R3447" s="71">
        <f t="shared" si="482"/>
        <v>0</v>
      </c>
      <c r="S3447" s="71">
        <f t="shared" si="483"/>
        <v>0</v>
      </c>
      <c r="T3447" s="71">
        <f t="shared" si="484"/>
        <v>0</v>
      </c>
      <c r="U3447" s="71">
        <f>IF(AND(N3447=1,V3447=1),IF(COUNTIFS(AKTIVITAS!$B$2:$B$3052,B3447,AKTIVITAS!$E$2:$E$3052,H3447)&gt;0,1,0),0)</f>
        <v>0</v>
      </c>
      <c r="V3447" s="71">
        <f>IFERROR(IF(AND(H3447&gt;=INDEX(PEMAGANG!$J$3:$J$36,MATCH(B3447,PEMAGANG!$C$3:$C$36,0)),H3447&lt;=INDEX(PEMAGANG!$K$3:$K$36,MATCH(B3447,PEMAGANG!$C$3:$C$36,0))),1,0),0)</f>
        <v>1</v>
      </c>
      <c r="W3447" s="71">
        <f t="shared" si="485"/>
        <v>0</v>
      </c>
    </row>
    <row r="3448" spans="1:23" x14ac:dyDescent="0.2">
      <c r="A3448" s="71" t="s">
        <v>232</v>
      </c>
      <c r="B3448" s="71" t="s">
        <v>233</v>
      </c>
      <c r="C3448" s="71" t="s">
        <v>187</v>
      </c>
      <c r="D3448" s="71" t="s">
        <v>234</v>
      </c>
      <c r="E3448" s="71" t="s">
        <v>747</v>
      </c>
      <c r="F3448" s="71" t="s">
        <v>300</v>
      </c>
      <c r="G3448" s="88">
        <v>46279.305671296301</v>
      </c>
      <c r="H3448" s="89">
        <v>46279</v>
      </c>
      <c r="I3448" s="71" t="s">
        <v>329</v>
      </c>
      <c r="J3448" s="71">
        <v>0</v>
      </c>
      <c r="K3448" s="71" t="s">
        <v>302</v>
      </c>
      <c r="L3448" s="71">
        <f t="shared" si="477"/>
        <v>9</v>
      </c>
      <c r="M3448" s="71" t="str">
        <f>IFERROR(INDEX(KALENDER!$D$3:$D$132,MATCH(H3448,KALENDER!$A$3:$A$132,0)),"Di luar periode")</f>
        <v>Hari Kerja</v>
      </c>
      <c r="N3448" s="71">
        <f t="shared" si="478"/>
        <v>0</v>
      </c>
      <c r="O3448" s="71">
        <f t="shared" si="479"/>
        <v>1</v>
      </c>
      <c r="P3448" s="71">
        <f t="shared" si="480"/>
        <v>0</v>
      </c>
      <c r="Q3448" s="71">
        <f t="shared" si="481"/>
        <v>0</v>
      </c>
      <c r="R3448" s="71">
        <f t="shared" si="482"/>
        <v>0</v>
      </c>
      <c r="S3448" s="71">
        <f t="shared" si="483"/>
        <v>0</v>
      </c>
      <c r="T3448" s="71">
        <f t="shared" si="484"/>
        <v>0</v>
      </c>
      <c r="U3448" s="71">
        <f>IF(AND(N3448=1,V3448=1),IF(COUNTIFS(AKTIVITAS!$B$2:$B$3052,B3448,AKTIVITAS!$E$2:$E$3052,H3448)&gt;0,1,0),0)</f>
        <v>0</v>
      </c>
      <c r="V3448" s="71">
        <f>IFERROR(IF(AND(H3448&gt;=INDEX(PEMAGANG!$J$3:$J$36,MATCH(B3448,PEMAGANG!$C$3:$C$36,0)),H3448&lt;=INDEX(PEMAGANG!$K$3:$K$36,MATCH(B3448,PEMAGANG!$C$3:$C$36,0))),1,0),0)</f>
        <v>1</v>
      </c>
      <c r="W3448" s="71">
        <f t="shared" si="485"/>
        <v>0</v>
      </c>
    </row>
    <row r="3449" spans="1:23" x14ac:dyDescent="0.2">
      <c r="A3449" s="71" t="s">
        <v>232</v>
      </c>
      <c r="B3449" s="71" t="s">
        <v>233</v>
      </c>
      <c r="C3449" s="71" t="s">
        <v>187</v>
      </c>
      <c r="D3449" s="71" t="s">
        <v>234</v>
      </c>
      <c r="E3449" s="71" t="s">
        <v>747</v>
      </c>
      <c r="F3449" s="71" t="s">
        <v>300</v>
      </c>
      <c r="G3449" s="88">
        <v>46279.6933333333</v>
      </c>
      <c r="H3449" s="89">
        <v>46279</v>
      </c>
      <c r="I3449" s="71" t="s">
        <v>317</v>
      </c>
      <c r="J3449" s="71">
        <v>0</v>
      </c>
      <c r="K3449" s="71" t="s">
        <v>302</v>
      </c>
      <c r="L3449" s="71">
        <f t="shared" si="477"/>
        <v>9</v>
      </c>
      <c r="M3449" s="71" t="str">
        <f>IFERROR(INDEX(KALENDER!$D$3:$D$132,MATCH(H3449,KALENDER!$A$3:$A$132,0)),"Di luar periode")</f>
        <v>Hari Kerja</v>
      </c>
      <c r="N3449" s="71">
        <f t="shared" si="478"/>
        <v>0</v>
      </c>
      <c r="O3449" s="71">
        <f t="shared" si="479"/>
        <v>1</v>
      </c>
      <c r="P3449" s="71">
        <f t="shared" si="480"/>
        <v>0</v>
      </c>
      <c r="Q3449" s="71">
        <f t="shared" si="481"/>
        <v>0</v>
      </c>
      <c r="R3449" s="71">
        <f t="shared" si="482"/>
        <v>0</v>
      </c>
      <c r="S3449" s="71">
        <f t="shared" si="483"/>
        <v>0</v>
      </c>
      <c r="T3449" s="71">
        <f t="shared" si="484"/>
        <v>0</v>
      </c>
      <c r="U3449" s="71">
        <f>IF(AND(N3449=1,V3449=1),IF(COUNTIFS(AKTIVITAS!$B$2:$B$3052,B3449,AKTIVITAS!$E$2:$E$3052,H3449)&gt;0,1,0),0)</f>
        <v>0</v>
      </c>
      <c r="V3449" s="71">
        <f>IFERROR(IF(AND(H3449&gt;=INDEX(PEMAGANG!$J$3:$J$36,MATCH(B3449,PEMAGANG!$C$3:$C$36,0)),H3449&lt;=INDEX(PEMAGANG!$K$3:$K$36,MATCH(B3449,PEMAGANG!$C$3:$C$36,0))),1,0),0)</f>
        <v>1</v>
      </c>
      <c r="W3449" s="71">
        <f t="shared" si="485"/>
        <v>0</v>
      </c>
    </row>
    <row r="3450" spans="1:23" x14ac:dyDescent="0.2">
      <c r="A3450" s="71" t="s">
        <v>232</v>
      </c>
      <c r="B3450" s="71" t="s">
        <v>233</v>
      </c>
      <c r="C3450" s="71" t="s">
        <v>187</v>
      </c>
      <c r="D3450" s="71" t="s">
        <v>234</v>
      </c>
      <c r="E3450" s="71" t="s">
        <v>747</v>
      </c>
      <c r="F3450" s="71" t="s">
        <v>298</v>
      </c>
      <c r="G3450" s="88">
        <v>46280.305474537003</v>
      </c>
      <c r="H3450" s="89">
        <v>46280</v>
      </c>
      <c r="I3450" s="71" t="s">
        <v>321</v>
      </c>
      <c r="J3450" s="71">
        <v>-11</v>
      </c>
      <c r="K3450" s="71" t="s">
        <v>302</v>
      </c>
      <c r="L3450" s="71">
        <f t="shared" si="477"/>
        <v>9</v>
      </c>
      <c r="M3450" s="71" t="str">
        <f>IFERROR(INDEX(KALENDER!$D$3:$D$132,MATCH(H3450,KALENDER!$A$3:$A$132,0)),"Di luar periode")</f>
        <v>Hari Kerja</v>
      </c>
      <c r="N3450" s="71">
        <f t="shared" si="478"/>
        <v>1</v>
      </c>
      <c r="O3450" s="71">
        <f t="shared" si="479"/>
        <v>1</v>
      </c>
      <c r="P3450" s="71">
        <f t="shared" si="480"/>
        <v>1</v>
      </c>
      <c r="Q3450" s="71">
        <f t="shared" si="481"/>
        <v>0</v>
      </c>
      <c r="R3450" s="71">
        <f t="shared" si="482"/>
        <v>0</v>
      </c>
      <c r="S3450" s="71">
        <f t="shared" si="483"/>
        <v>0</v>
      </c>
      <c r="T3450" s="71">
        <f t="shared" si="484"/>
        <v>0</v>
      </c>
      <c r="U3450" s="71">
        <f>IF(AND(N3450=1,V3450=1),IF(COUNTIFS(AKTIVITAS!$B$2:$B$3052,B3450,AKTIVITAS!$E$2:$E$3052,H3450)&gt;0,1,0),0)</f>
        <v>1</v>
      </c>
      <c r="V3450" s="71">
        <f>IFERROR(IF(AND(H3450&gt;=INDEX(PEMAGANG!$J$3:$J$36,MATCH(B3450,PEMAGANG!$C$3:$C$36,0)),H3450&lt;=INDEX(PEMAGANG!$K$3:$K$36,MATCH(B3450,PEMAGANG!$C$3:$C$36,0))),1,0),0)</f>
        <v>1</v>
      </c>
      <c r="W3450" s="71">
        <f t="shared" si="485"/>
        <v>1</v>
      </c>
    </row>
    <row r="3451" spans="1:23" x14ac:dyDescent="0.2">
      <c r="A3451" s="71" t="s">
        <v>232</v>
      </c>
      <c r="B3451" s="71" t="s">
        <v>233</v>
      </c>
      <c r="C3451" s="71" t="s">
        <v>187</v>
      </c>
      <c r="D3451" s="71" t="s">
        <v>234</v>
      </c>
      <c r="E3451" s="71" t="s">
        <v>747</v>
      </c>
      <c r="F3451" s="71" t="s">
        <v>298</v>
      </c>
      <c r="G3451" s="88">
        <v>46280.3054976852</v>
      </c>
      <c r="H3451" s="89">
        <v>46280</v>
      </c>
      <c r="I3451" s="71" t="s">
        <v>321</v>
      </c>
      <c r="J3451" s="71">
        <v>-11</v>
      </c>
      <c r="K3451" s="71" t="s">
        <v>302</v>
      </c>
      <c r="L3451" s="71">
        <f t="shared" si="477"/>
        <v>9</v>
      </c>
      <c r="M3451" s="71" t="str">
        <f>IFERROR(INDEX(KALENDER!$D$3:$D$132,MATCH(H3451,KALENDER!$A$3:$A$132,0)),"Di luar periode")</f>
        <v>Hari Kerja</v>
      </c>
      <c r="N3451" s="71">
        <f t="shared" si="478"/>
        <v>0</v>
      </c>
      <c r="O3451" s="71">
        <f t="shared" si="479"/>
        <v>2</v>
      </c>
      <c r="P3451" s="71">
        <f t="shared" si="480"/>
        <v>0</v>
      </c>
      <c r="Q3451" s="71">
        <f t="shared" si="481"/>
        <v>0</v>
      </c>
      <c r="R3451" s="71">
        <f t="shared" si="482"/>
        <v>0</v>
      </c>
      <c r="S3451" s="71">
        <f t="shared" si="483"/>
        <v>0</v>
      </c>
      <c r="T3451" s="71">
        <f t="shared" si="484"/>
        <v>0</v>
      </c>
      <c r="U3451" s="71">
        <f>IF(AND(N3451=1,V3451=1),IF(COUNTIFS(AKTIVITAS!$B$2:$B$3052,B3451,AKTIVITAS!$E$2:$E$3052,H3451)&gt;0,1,0),0)</f>
        <v>0</v>
      </c>
      <c r="V3451" s="71">
        <f>IFERROR(IF(AND(H3451&gt;=INDEX(PEMAGANG!$J$3:$J$36,MATCH(B3451,PEMAGANG!$C$3:$C$36,0)),H3451&lt;=INDEX(PEMAGANG!$K$3:$K$36,MATCH(B3451,PEMAGANG!$C$3:$C$36,0))),1,0),0)</f>
        <v>1</v>
      </c>
      <c r="W3451" s="71">
        <f t="shared" si="485"/>
        <v>0</v>
      </c>
    </row>
    <row r="3452" spans="1:23" x14ac:dyDescent="0.2">
      <c r="A3452" s="71" t="s">
        <v>232</v>
      </c>
      <c r="B3452" s="71" t="s">
        <v>233</v>
      </c>
      <c r="C3452" s="71" t="s">
        <v>187</v>
      </c>
      <c r="D3452" s="71" t="s">
        <v>234</v>
      </c>
      <c r="E3452" s="71" t="s">
        <v>747</v>
      </c>
      <c r="F3452" s="71" t="s">
        <v>300</v>
      </c>
      <c r="G3452" s="88">
        <v>46280.692835648202</v>
      </c>
      <c r="H3452" s="89">
        <v>46280</v>
      </c>
      <c r="I3452" s="71" t="s">
        <v>328</v>
      </c>
      <c r="J3452" s="71">
        <v>0</v>
      </c>
      <c r="K3452" s="71" t="s">
        <v>302</v>
      </c>
      <c r="L3452" s="71">
        <f t="shared" si="477"/>
        <v>9</v>
      </c>
      <c r="M3452" s="71" t="str">
        <f>IFERROR(INDEX(KALENDER!$D$3:$D$132,MATCH(H3452,KALENDER!$A$3:$A$132,0)),"Di luar periode")</f>
        <v>Hari Kerja</v>
      </c>
      <c r="N3452" s="71">
        <f t="shared" si="478"/>
        <v>0</v>
      </c>
      <c r="O3452" s="71">
        <f t="shared" si="479"/>
        <v>2</v>
      </c>
      <c r="P3452" s="71">
        <f t="shared" si="480"/>
        <v>0</v>
      </c>
      <c r="Q3452" s="71">
        <f t="shared" si="481"/>
        <v>0</v>
      </c>
      <c r="R3452" s="71">
        <f t="shared" si="482"/>
        <v>0</v>
      </c>
      <c r="S3452" s="71">
        <f t="shared" si="483"/>
        <v>0</v>
      </c>
      <c r="T3452" s="71">
        <f t="shared" si="484"/>
        <v>0</v>
      </c>
      <c r="U3452" s="71">
        <f>IF(AND(N3452=1,V3452=1),IF(COUNTIFS(AKTIVITAS!$B$2:$B$3052,B3452,AKTIVITAS!$E$2:$E$3052,H3452)&gt;0,1,0),0)</f>
        <v>0</v>
      </c>
      <c r="V3452" s="71">
        <f>IFERROR(IF(AND(H3452&gt;=INDEX(PEMAGANG!$J$3:$J$36,MATCH(B3452,PEMAGANG!$C$3:$C$36,0)),H3452&lt;=INDEX(PEMAGANG!$K$3:$K$36,MATCH(B3452,PEMAGANG!$C$3:$C$36,0))),1,0),0)</f>
        <v>1</v>
      </c>
      <c r="W3452" s="71">
        <f t="shared" si="485"/>
        <v>0</v>
      </c>
    </row>
    <row r="3453" spans="1:23" x14ac:dyDescent="0.2">
      <c r="A3453" s="71" t="s">
        <v>232</v>
      </c>
      <c r="B3453" s="71" t="s">
        <v>233</v>
      </c>
      <c r="C3453" s="71" t="s">
        <v>187</v>
      </c>
      <c r="D3453" s="71" t="s">
        <v>234</v>
      </c>
      <c r="E3453" s="71" t="s">
        <v>747</v>
      </c>
      <c r="F3453" s="71" t="s">
        <v>298</v>
      </c>
      <c r="G3453" s="88">
        <v>46281.3030208333</v>
      </c>
      <c r="H3453" s="89">
        <v>46281</v>
      </c>
      <c r="I3453" s="71" t="s">
        <v>327</v>
      </c>
      <c r="J3453" s="71">
        <v>-14</v>
      </c>
      <c r="K3453" s="71" t="s">
        <v>302</v>
      </c>
      <c r="L3453" s="71">
        <f t="shared" si="477"/>
        <v>9</v>
      </c>
      <c r="M3453" s="71" t="str">
        <f>IFERROR(INDEX(KALENDER!$D$3:$D$132,MATCH(H3453,KALENDER!$A$3:$A$132,0)),"Di luar periode")</f>
        <v>Hari Kerja</v>
      </c>
      <c r="N3453" s="71">
        <f t="shared" si="478"/>
        <v>1</v>
      </c>
      <c r="O3453" s="71">
        <f t="shared" si="479"/>
        <v>1</v>
      </c>
      <c r="P3453" s="71">
        <f t="shared" si="480"/>
        <v>1</v>
      </c>
      <c r="Q3453" s="71">
        <f t="shared" si="481"/>
        <v>0</v>
      </c>
      <c r="R3453" s="71">
        <f t="shared" si="482"/>
        <v>0</v>
      </c>
      <c r="S3453" s="71">
        <f t="shared" si="483"/>
        <v>0</v>
      </c>
      <c r="T3453" s="71">
        <f t="shared" si="484"/>
        <v>0</v>
      </c>
      <c r="U3453" s="71">
        <f>IF(AND(N3453=1,V3453=1),IF(COUNTIFS(AKTIVITAS!$B$2:$B$3052,B3453,AKTIVITAS!$E$2:$E$3052,H3453)&gt;0,1,0),0)</f>
        <v>1</v>
      </c>
      <c r="V3453" s="71">
        <f>IFERROR(IF(AND(H3453&gt;=INDEX(PEMAGANG!$J$3:$J$36,MATCH(B3453,PEMAGANG!$C$3:$C$36,0)),H3453&lt;=INDEX(PEMAGANG!$K$3:$K$36,MATCH(B3453,PEMAGANG!$C$3:$C$36,0))),1,0),0)</f>
        <v>1</v>
      </c>
      <c r="W3453" s="71">
        <f t="shared" si="485"/>
        <v>1</v>
      </c>
    </row>
    <row r="3454" spans="1:23" x14ac:dyDescent="0.2">
      <c r="A3454" s="71" t="s">
        <v>232</v>
      </c>
      <c r="B3454" s="71" t="s">
        <v>233</v>
      </c>
      <c r="C3454" s="71" t="s">
        <v>187</v>
      </c>
      <c r="D3454" s="71" t="s">
        <v>234</v>
      </c>
      <c r="E3454" s="71" t="s">
        <v>747</v>
      </c>
      <c r="F3454" s="71" t="s">
        <v>300</v>
      </c>
      <c r="G3454" s="88">
        <v>46281.692534722199</v>
      </c>
      <c r="H3454" s="89">
        <v>46281</v>
      </c>
      <c r="I3454" s="71" t="s">
        <v>328</v>
      </c>
      <c r="J3454" s="71">
        <v>0</v>
      </c>
      <c r="K3454" s="71" t="s">
        <v>302</v>
      </c>
      <c r="L3454" s="71">
        <f t="shared" si="477"/>
        <v>9</v>
      </c>
      <c r="M3454" s="71" t="str">
        <f>IFERROR(INDEX(KALENDER!$D$3:$D$132,MATCH(H3454,KALENDER!$A$3:$A$132,0)),"Di luar periode")</f>
        <v>Hari Kerja</v>
      </c>
      <c r="N3454" s="71">
        <f t="shared" si="478"/>
        <v>0</v>
      </c>
      <c r="O3454" s="71">
        <f t="shared" si="479"/>
        <v>1</v>
      </c>
      <c r="P3454" s="71">
        <f t="shared" si="480"/>
        <v>0</v>
      </c>
      <c r="Q3454" s="71">
        <f t="shared" si="481"/>
        <v>0</v>
      </c>
      <c r="R3454" s="71">
        <f t="shared" si="482"/>
        <v>0</v>
      </c>
      <c r="S3454" s="71">
        <f t="shared" si="483"/>
        <v>0</v>
      </c>
      <c r="T3454" s="71">
        <f t="shared" si="484"/>
        <v>0</v>
      </c>
      <c r="U3454" s="71">
        <f>IF(AND(N3454=1,V3454=1),IF(COUNTIFS(AKTIVITAS!$B$2:$B$3052,B3454,AKTIVITAS!$E$2:$E$3052,H3454)&gt;0,1,0),0)</f>
        <v>0</v>
      </c>
      <c r="V3454" s="71">
        <f>IFERROR(IF(AND(H3454&gt;=INDEX(PEMAGANG!$J$3:$J$36,MATCH(B3454,PEMAGANG!$C$3:$C$36,0)),H3454&lt;=INDEX(PEMAGANG!$K$3:$K$36,MATCH(B3454,PEMAGANG!$C$3:$C$36,0))),1,0),0)</f>
        <v>1</v>
      </c>
      <c r="W3454" s="71">
        <f t="shared" si="485"/>
        <v>0</v>
      </c>
    </row>
    <row r="3455" spans="1:23" x14ac:dyDescent="0.2">
      <c r="A3455" s="71" t="s">
        <v>232</v>
      </c>
      <c r="B3455" s="71" t="s">
        <v>233</v>
      </c>
      <c r="C3455" s="71" t="s">
        <v>187</v>
      </c>
      <c r="D3455" s="71" t="s">
        <v>234</v>
      </c>
      <c r="E3455" s="71" t="s">
        <v>747</v>
      </c>
      <c r="F3455" s="71" t="s">
        <v>298</v>
      </c>
      <c r="G3455" s="88">
        <v>46282.308900463002</v>
      </c>
      <c r="H3455" s="89">
        <v>46282</v>
      </c>
      <c r="I3455" s="71" t="s">
        <v>303</v>
      </c>
      <c r="J3455" s="71">
        <v>-5.9999999999999796</v>
      </c>
      <c r="K3455" s="71" t="s">
        <v>302</v>
      </c>
      <c r="L3455" s="71">
        <f t="shared" si="477"/>
        <v>9</v>
      </c>
      <c r="M3455" s="71" t="str">
        <f>IFERROR(INDEX(KALENDER!$D$3:$D$132,MATCH(H3455,KALENDER!$A$3:$A$132,0)),"Di luar periode")</f>
        <v>Hari Kerja</v>
      </c>
      <c r="N3455" s="71">
        <f t="shared" si="478"/>
        <v>1</v>
      </c>
      <c r="O3455" s="71">
        <f t="shared" si="479"/>
        <v>1</v>
      </c>
      <c r="P3455" s="71">
        <f t="shared" si="480"/>
        <v>1</v>
      </c>
      <c r="Q3455" s="71">
        <f t="shared" si="481"/>
        <v>0</v>
      </c>
      <c r="R3455" s="71">
        <f t="shared" si="482"/>
        <v>0</v>
      </c>
      <c r="S3455" s="71">
        <f t="shared" si="483"/>
        <v>0</v>
      </c>
      <c r="T3455" s="71">
        <f t="shared" si="484"/>
        <v>0</v>
      </c>
      <c r="U3455" s="71">
        <f>IF(AND(N3455=1,V3455=1),IF(COUNTIFS(AKTIVITAS!$B$2:$B$3052,B3455,AKTIVITAS!$E$2:$E$3052,H3455)&gt;0,1,0),0)</f>
        <v>1</v>
      </c>
      <c r="V3455" s="71">
        <f>IFERROR(IF(AND(H3455&gt;=INDEX(PEMAGANG!$J$3:$J$36,MATCH(B3455,PEMAGANG!$C$3:$C$36,0)),H3455&lt;=INDEX(PEMAGANG!$K$3:$K$36,MATCH(B3455,PEMAGANG!$C$3:$C$36,0))),1,0),0)</f>
        <v>1</v>
      </c>
      <c r="W3455" s="71">
        <f t="shared" si="485"/>
        <v>1</v>
      </c>
    </row>
    <row r="3456" spans="1:23" x14ac:dyDescent="0.2">
      <c r="A3456" s="71" t="s">
        <v>232</v>
      </c>
      <c r="B3456" s="71" t="s">
        <v>233</v>
      </c>
      <c r="C3456" s="71" t="s">
        <v>187</v>
      </c>
      <c r="D3456" s="71" t="s">
        <v>234</v>
      </c>
      <c r="E3456" s="71" t="s">
        <v>747</v>
      </c>
      <c r="F3456" s="71" t="s">
        <v>300</v>
      </c>
      <c r="G3456" s="88">
        <v>46282.692037036999</v>
      </c>
      <c r="H3456" s="89">
        <v>46282</v>
      </c>
      <c r="I3456" s="71" t="s">
        <v>344</v>
      </c>
      <c r="J3456" s="71">
        <v>0</v>
      </c>
      <c r="K3456" s="71" t="s">
        <v>302</v>
      </c>
      <c r="L3456" s="71">
        <f t="shared" si="477"/>
        <v>9</v>
      </c>
      <c r="M3456" s="71" t="str">
        <f>IFERROR(INDEX(KALENDER!$D$3:$D$132,MATCH(H3456,KALENDER!$A$3:$A$132,0)),"Di luar periode")</f>
        <v>Hari Kerja</v>
      </c>
      <c r="N3456" s="71">
        <f t="shared" si="478"/>
        <v>0</v>
      </c>
      <c r="O3456" s="71">
        <f t="shared" si="479"/>
        <v>1</v>
      </c>
      <c r="P3456" s="71">
        <f t="shared" si="480"/>
        <v>0</v>
      </c>
      <c r="Q3456" s="71">
        <f t="shared" si="481"/>
        <v>0</v>
      </c>
      <c r="R3456" s="71">
        <f t="shared" si="482"/>
        <v>0</v>
      </c>
      <c r="S3456" s="71">
        <f t="shared" si="483"/>
        <v>0</v>
      </c>
      <c r="T3456" s="71">
        <f t="shared" si="484"/>
        <v>0</v>
      </c>
      <c r="U3456" s="71">
        <f>IF(AND(N3456=1,V3456=1),IF(COUNTIFS(AKTIVITAS!$B$2:$B$3052,B3456,AKTIVITAS!$E$2:$E$3052,H3456)&gt;0,1,0),0)</f>
        <v>0</v>
      </c>
      <c r="V3456" s="71">
        <f>IFERROR(IF(AND(H3456&gt;=INDEX(PEMAGANG!$J$3:$J$36,MATCH(B3456,PEMAGANG!$C$3:$C$36,0)),H3456&lt;=INDEX(PEMAGANG!$K$3:$K$36,MATCH(B3456,PEMAGANG!$C$3:$C$36,0))),1,0),0)</f>
        <v>1</v>
      </c>
      <c r="W3456" s="71">
        <f t="shared" si="485"/>
        <v>0</v>
      </c>
    </row>
    <row r="3457" spans="1:23" x14ac:dyDescent="0.2">
      <c r="A3457" s="71" t="s">
        <v>232</v>
      </c>
      <c r="B3457" s="71" t="s">
        <v>233</v>
      </c>
      <c r="C3457" s="71" t="s">
        <v>187</v>
      </c>
      <c r="D3457" s="71" t="s">
        <v>234</v>
      </c>
      <c r="E3457" s="71" t="s">
        <v>747</v>
      </c>
      <c r="F3457" s="71" t="s">
        <v>300</v>
      </c>
      <c r="G3457" s="88">
        <v>46282.692048611098</v>
      </c>
      <c r="H3457" s="89">
        <v>46282</v>
      </c>
      <c r="I3457" s="71" t="s">
        <v>344</v>
      </c>
      <c r="J3457" s="71">
        <v>0</v>
      </c>
      <c r="K3457" s="71" t="s">
        <v>302</v>
      </c>
      <c r="L3457" s="71">
        <f t="shared" si="477"/>
        <v>9</v>
      </c>
      <c r="M3457" s="71" t="str">
        <f>IFERROR(INDEX(KALENDER!$D$3:$D$132,MATCH(H3457,KALENDER!$A$3:$A$132,0)),"Di luar periode")</f>
        <v>Hari Kerja</v>
      </c>
      <c r="N3457" s="71">
        <f t="shared" si="478"/>
        <v>0</v>
      </c>
      <c r="O3457" s="71">
        <f t="shared" si="479"/>
        <v>1</v>
      </c>
      <c r="P3457" s="71">
        <f t="shared" si="480"/>
        <v>0</v>
      </c>
      <c r="Q3457" s="71">
        <f t="shared" si="481"/>
        <v>0</v>
      </c>
      <c r="R3457" s="71">
        <f t="shared" si="482"/>
        <v>0</v>
      </c>
      <c r="S3457" s="71">
        <f t="shared" si="483"/>
        <v>0</v>
      </c>
      <c r="T3457" s="71">
        <f t="shared" si="484"/>
        <v>0</v>
      </c>
      <c r="U3457" s="71">
        <f>IF(AND(N3457=1,V3457=1),IF(COUNTIFS(AKTIVITAS!$B$2:$B$3052,B3457,AKTIVITAS!$E$2:$E$3052,H3457)&gt;0,1,0),0)</f>
        <v>0</v>
      </c>
      <c r="V3457" s="71">
        <f>IFERROR(IF(AND(H3457&gt;=INDEX(PEMAGANG!$J$3:$J$36,MATCH(B3457,PEMAGANG!$C$3:$C$36,0)),H3457&lt;=INDEX(PEMAGANG!$K$3:$K$36,MATCH(B3457,PEMAGANG!$C$3:$C$36,0))),1,0),0)</f>
        <v>1</v>
      </c>
      <c r="W3457" s="71">
        <f t="shared" si="485"/>
        <v>0</v>
      </c>
    </row>
    <row r="3458" spans="1:23" x14ac:dyDescent="0.2">
      <c r="A3458" s="71" t="s">
        <v>232</v>
      </c>
      <c r="B3458" s="71" t="s">
        <v>233</v>
      </c>
      <c r="C3458" s="71" t="s">
        <v>187</v>
      </c>
      <c r="D3458" s="71" t="s">
        <v>234</v>
      </c>
      <c r="E3458" s="71" t="s">
        <v>747</v>
      </c>
      <c r="F3458" s="71" t="s">
        <v>298</v>
      </c>
      <c r="G3458" s="88">
        <v>46283.3074768519</v>
      </c>
      <c r="H3458" s="89">
        <v>46283</v>
      </c>
      <c r="I3458" s="71" t="s">
        <v>313</v>
      </c>
      <c r="J3458" s="71">
        <v>-8.0000000000000497</v>
      </c>
      <c r="K3458" s="71" t="s">
        <v>302</v>
      </c>
      <c r="L3458" s="71">
        <f t="shared" ref="L3458:L3521" si="486">MONTH(H3458)</f>
        <v>9</v>
      </c>
      <c r="M3458" s="71" t="str">
        <f>IFERROR(INDEX(KALENDER!$D$3:$D$132,MATCH(H3458,KALENDER!$A$3:$A$132,0)),"Di luar periode")</f>
        <v>Hari Kerja</v>
      </c>
      <c r="N3458" s="71">
        <f t="shared" ref="N3458:N3521" si="487">IF(AND(B3458=B3457,H3458=H3457),0,1)</f>
        <v>1</v>
      </c>
      <c r="O3458" s="71">
        <f t="shared" ref="O3458:O3521" si="488">IF(N3458=1,0,O3457)+IF(F3458="MASUK",1,0)</f>
        <v>1</v>
      </c>
      <c r="P3458" s="71">
        <f t="shared" ref="P3458:P3521" si="489">IF(AND(N3458=1,M3458="Hari Kerja",V3458=1),1,0)</f>
        <v>1</v>
      </c>
      <c r="Q3458" s="71">
        <f t="shared" ref="Q3458:Q3521" si="490">IF(AND(N3458=1,OR(M3458&lt;&gt;"Hari Kerja",V3458=0)),1,0)</f>
        <v>0</v>
      </c>
      <c r="R3458" s="71">
        <f t="shared" ref="R3458:R3521" si="491">IF(AND(F3458="MASUK",O3458=1,N(J3458)&gt;0,V3458=1),1,0)</f>
        <v>0</v>
      </c>
      <c r="S3458" s="71">
        <f t="shared" ref="S3458:S3521" si="492">R3458*N(J3458)</f>
        <v>0</v>
      </c>
      <c r="T3458" s="71">
        <f t="shared" ref="T3458:T3521" si="493">IF(AND(N3458=1,V3458=1),IF(AND(COUNTIFS($B$2:$B$4094,B3458,$H$2:$H$4094,H3458,$F$2:$F$4094,"MASUK")&gt;0,COUNTIFS($B$2:$B$4094,B3458,$H$2:$H$4094,H3458,$F$2:$F$4094,"PULANG")=0),1,0),0)</f>
        <v>1</v>
      </c>
      <c r="U3458" s="71">
        <f>IF(AND(N3458=1,V3458=1),IF(COUNTIFS(AKTIVITAS!$B$2:$B$3052,B3458,AKTIVITAS!$E$2:$E$3052,H3458)&gt;0,1,0),0)</f>
        <v>1</v>
      </c>
      <c r="V3458" s="71">
        <f>IFERROR(IF(AND(H3458&gt;=INDEX(PEMAGANG!$J$3:$J$36,MATCH(B3458,PEMAGANG!$C$3:$C$36,0)),H3458&lt;=INDEX(PEMAGANG!$K$3:$K$36,MATCH(B3458,PEMAGANG!$C$3:$C$36,0))),1,0),0)</f>
        <v>1</v>
      </c>
      <c r="W3458" s="71">
        <f t="shared" ref="W3458:W3521" si="494">N3458*V3458</f>
        <v>1</v>
      </c>
    </row>
    <row r="3459" spans="1:23" x14ac:dyDescent="0.2">
      <c r="A3459" s="71" t="s">
        <v>232</v>
      </c>
      <c r="B3459" s="71" t="s">
        <v>233</v>
      </c>
      <c r="C3459" s="71" t="s">
        <v>187</v>
      </c>
      <c r="D3459" s="71" t="s">
        <v>234</v>
      </c>
      <c r="E3459" s="71" t="s">
        <v>747</v>
      </c>
      <c r="F3459" s="71" t="s">
        <v>298</v>
      </c>
      <c r="G3459" s="88">
        <v>46286.306145833303</v>
      </c>
      <c r="H3459" s="89">
        <v>46286</v>
      </c>
      <c r="I3459" s="71" t="s">
        <v>329</v>
      </c>
      <c r="J3459" s="71">
        <v>-10</v>
      </c>
      <c r="K3459" s="71" t="s">
        <v>302</v>
      </c>
      <c r="L3459" s="71">
        <f t="shared" si="486"/>
        <v>9</v>
      </c>
      <c r="M3459" s="71" t="str">
        <f>IFERROR(INDEX(KALENDER!$D$3:$D$132,MATCH(H3459,KALENDER!$A$3:$A$132,0)),"Di luar periode")</f>
        <v>Hari Kerja</v>
      </c>
      <c r="N3459" s="71">
        <f t="shared" si="487"/>
        <v>1</v>
      </c>
      <c r="O3459" s="71">
        <f t="shared" si="488"/>
        <v>1</v>
      </c>
      <c r="P3459" s="71">
        <f t="shared" si="489"/>
        <v>1</v>
      </c>
      <c r="Q3459" s="71">
        <f t="shared" si="490"/>
        <v>0</v>
      </c>
      <c r="R3459" s="71">
        <f t="shared" si="491"/>
        <v>0</v>
      </c>
      <c r="S3459" s="71">
        <f t="shared" si="492"/>
        <v>0</v>
      </c>
      <c r="T3459" s="71">
        <f t="shared" si="493"/>
        <v>0</v>
      </c>
      <c r="U3459" s="71">
        <f>IF(AND(N3459=1,V3459=1),IF(COUNTIFS(AKTIVITAS!$B$2:$B$3052,B3459,AKTIVITAS!$E$2:$E$3052,H3459)&gt;0,1,0),0)</f>
        <v>1</v>
      </c>
      <c r="V3459" s="71">
        <f>IFERROR(IF(AND(H3459&gt;=INDEX(PEMAGANG!$J$3:$J$36,MATCH(B3459,PEMAGANG!$C$3:$C$36,0)),H3459&lt;=INDEX(PEMAGANG!$K$3:$K$36,MATCH(B3459,PEMAGANG!$C$3:$C$36,0))),1,0),0)</f>
        <v>1</v>
      </c>
      <c r="W3459" s="71">
        <f t="shared" si="494"/>
        <v>1</v>
      </c>
    </row>
    <row r="3460" spans="1:23" x14ac:dyDescent="0.2">
      <c r="A3460" s="71" t="s">
        <v>232</v>
      </c>
      <c r="B3460" s="71" t="s">
        <v>233</v>
      </c>
      <c r="C3460" s="71" t="s">
        <v>187</v>
      </c>
      <c r="D3460" s="71" t="s">
        <v>234</v>
      </c>
      <c r="E3460" s="71" t="s">
        <v>747</v>
      </c>
      <c r="F3460" s="71" t="s">
        <v>300</v>
      </c>
      <c r="G3460" s="88">
        <v>46286.697465277801</v>
      </c>
      <c r="H3460" s="89">
        <v>46286</v>
      </c>
      <c r="I3460" s="71" t="s">
        <v>312</v>
      </c>
      <c r="J3460" s="71">
        <v>0</v>
      </c>
      <c r="K3460" s="71" t="s">
        <v>302</v>
      </c>
      <c r="L3460" s="71">
        <f t="shared" si="486"/>
        <v>9</v>
      </c>
      <c r="M3460" s="71" t="str">
        <f>IFERROR(INDEX(KALENDER!$D$3:$D$132,MATCH(H3460,KALENDER!$A$3:$A$132,0)),"Di luar periode")</f>
        <v>Hari Kerja</v>
      </c>
      <c r="N3460" s="71">
        <f t="shared" si="487"/>
        <v>0</v>
      </c>
      <c r="O3460" s="71">
        <f t="shared" si="488"/>
        <v>1</v>
      </c>
      <c r="P3460" s="71">
        <f t="shared" si="489"/>
        <v>0</v>
      </c>
      <c r="Q3460" s="71">
        <f t="shared" si="490"/>
        <v>0</v>
      </c>
      <c r="R3460" s="71">
        <f t="shared" si="491"/>
        <v>0</v>
      </c>
      <c r="S3460" s="71">
        <f t="shared" si="492"/>
        <v>0</v>
      </c>
      <c r="T3460" s="71">
        <f t="shared" si="493"/>
        <v>0</v>
      </c>
      <c r="U3460" s="71">
        <f>IF(AND(N3460=1,V3460=1),IF(COUNTIFS(AKTIVITAS!$B$2:$B$3052,B3460,AKTIVITAS!$E$2:$E$3052,H3460)&gt;0,1,0),0)</f>
        <v>0</v>
      </c>
      <c r="V3460" s="71">
        <f>IFERROR(IF(AND(H3460&gt;=INDEX(PEMAGANG!$J$3:$J$36,MATCH(B3460,PEMAGANG!$C$3:$C$36,0)),H3460&lt;=INDEX(PEMAGANG!$K$3:$K$36,MATCH(B3460,PEMAGANG!$C$3:$C$36,0))),1,0),0)</f>
        <v>1</v>
      </c>
      <c r="W3460" s="71">
        <f t="shared" si="494"/>
        <v>0</v>
      </c>
    </row>
    <row r="3461" spans="1:23" x14ac:dyDescent="0.2">
      <c r="A3461" s="71" t="s">
        <v>232</v>
      </c>
      <c r="B3461" s="71" t="s">
        <v>233</v>
      </c>
      <c r="C3461" s="71" t="s">
        <v>187</v>
      </c>
      <c r="D3461" s="71" t="s">
        <v>234</v>
      </c>
      <c r="E3461" s="71" t="s">
        <v>747</v>
      </c>
      <c r="F3461" s="71" t="s">
        <v>300</v>
      </c>
      <c r="G3461" s="88">
        <v>46286.6975578704</v>
      </c>
      <c r="H3461" s="89">
        <v>46286</v>
      </c>
      <c r="I3461" s="71" t="s">
        <v>312</v>
      </c>
      <c r="J3461" s="71">
        <v>0</v>
      </c>
      <c r="K3461" s="71" t="s">
        <v>302</v>
      </c>
      <c r="L3461" s="71">
        <f t="shared" si="486"/>
        <v>9</v>
      </c>
      <c r="M3461" s="71" t="str">
        <f>IFERROR(INDEX(KALENDER!$D$3:$D$132,MATCH(H3461,KALENDER!$A$3:$A$132,0)),"Di luar periode")</f>
        <v>Hari Kerja</v>
      </c>
      <c r="N3461" s="71">
        <f t="shared" si="487"/>
        <v>0</v>
      </c>
      <c r="O3461" s="71">
        <f t="shared" si="488"/>
        <v>1</v>
      </c>
      <c r="P3461" s="71">
        <f t="shared" si="489"/>
        <v>0</v>
      </c>
      <c r="Q3461" s="71">
        <f t="shared" si="490"/>
        <v>0</v>
      </c>
      <c r="R3461" s="71">
        <f t="shared" si="491"/>
        <v>0</v>
      </c>
      <c r="S3461" s="71">
        <f t="shared" si="492"/>
        <v>0</v>
      </c>
      <c r="T3461" s="71">
        <f t="shared" si="493"/>
        <v>0</v>
      </c>
      <c r="U3461" s="71">
        <f>IF(AND(N3461=1,V3461=1),IF(COUNTIFS(AKTIVITAS!$B$2:$B$3052,B3461,AKTIVITAS!$E$2:$E$3052,H3461)&gt;0,1,0),0)</f>
        <v>0</v>
      </c>
      <c r="V3461" s="71">
        <f>IFERROR(IF(AND(H3461&gt;=INDEX(PEMAGANG!$J$3:$J$36,MATCH(B3461,PEMAGANG!$C$3:$C$36,0)),H3461&lt;=INDEX(PEMAGANG!$K$3:$K$36,MATCH(B3461,PEMAGANG!$C$3:$C$36,0))),1,0),0)</f>
        <v>1</v>
      </c>
      <c r="W3461" s="71">
        <f t="shared" si="494"/>
        <v>0</v>
      </c>
    </row>
    <row r="3462" spans="1:23" x14ac:dyDescent="0.2">
      <c r="A3462" s="71" t="s">
        <v>232</v>
      </c>
      <c r="B3462" s="71" t="s">
        <v>233</v>
      </c>
      <c r="C3462" s="71" t="s">
        <v>187</v>
      </c>
      <c r="D3462" s="71" t="s">
        <v>234</v>
      </c>
      <c r="E3462" s="71" t="s">
        <v>747</v>
      </c>
      <c r="F3462" s="71" t="s">
        <v>298</v>
      </c>
      <c r="G3462" s="88">
        <v>46287.3026157407</v>
      </c>
      <c r="H3462" s="89">
        <v>46287</v>
      </c>
      <c r="I3462" s="71" t="s">
        <v>370</v>
      </c>
      <c r="J3462" s="71">
        <v>-15</v>
      </c>
      <c r="K3462" s="71" t="s">
        <v>302</v>
      </c>
      <c r="L3462" s="71">
        <f t="shared" si="486"/>
        <v>9</v>
      </c>
      <c r="M3462" s="71" t="str">
        <f>IFERROR(INDEX(KALENDER!$D$3:$D$132,MATCH(H3462,KALENDER!$A$3:$A$132,0)),"Di luar periode")</f>
        <v>Hari Kerja</v>
      </c>
      <c r="N3462" s="71">
        <f t="shared" si="487"/>
        <v>1</v>
      </c>
      <c r="O3462" s="71">
        <f t="shared" si="488"/>
        <v>1</v>
      </c>
      <c r="P3462" s="71">
        <f t="shared" si="489"/>
        <v>1</v>
      </c>
      <c r="Q3462" s="71">
        <f t="shared" si="490"/>
        <v>0</v>
      </c>
      <c r="R3462" s="71">
        <f t="shared" si="491"/>
        <v>0</v>
      </c>
      <c r="S3462" s="71">
        <f t="shared" si="492"/>
        <v>0</v>
      </c>
      <c r="T3462" s="71">
        <f t="shared" si="493"/>
        <v>0</v>
      </c>
      <c r="U3462" s="71">
        <f>IF(AND(N3462=1,V3462=1),IF(COUNTIFS(AKTIVITAS!$B$2:$B$3052,B3462,AKTIVITAS!$E$2:$E$3052,H3462)&gt;0,1,0),0)</f>
        <v>1</v>
      </c>
      <c r="V3462" s="71">
        <f>IFERROR(IF(AND(H3462&gt;=INDEX(PEMAGANG!$J$3:$J$36,MATCH(B3462,PEMAGANG!$C$3:$C$36,0)),H3462&lt;=INDEX(PEMAGANG!$K$3:$K$36,MATCH(B3462,PEMAGANG!$C$3:$C$36,0))),1,0),0)</f>
        <v>1</v>
      </c>
      <c r="W3462" s="71">
        <f t="shared" si="494"/>
        <v>1</v>
      </c>
    </row>
    <row r="3463" spans="1:23" x14ac:dyDescent="0.2">
      <c r="A3463" s="71" t="s">
        <v>232</v>
      </c>
      <c r="B3463" s="71" t="s">
        <v>233</v>
      </c>
      <c r="C3463" s="71" t="s">
        <v>187</v>
      </c>
      <c r="D3463" s="71" t="s">
        <v>234</v>
      </c>
      <c r="E3463" s="71" t="s">
        <v>747</v>
      </c>
      <c r="F3463" s="71" t="s">
        <v>300</v>
      </c>
      <c r="G3463" s="88">
        <v>46287.6949074074</v>
      </c>
      <c r="H3463" s="89">
        <v>46287</v>
      </c>
      <c r="I3463" s="71" t="s">
        <v>343</v>
      </c>
      <c r="J3463" s="71">
        <v>0</v>
      </c>
      <c r="K3463" s="71" t="s">
        <v>302</v>
      </c>
      <c r="L3463" s="71">
        <f t="shared" si="486"/>
        <v>9</v>
      </c>
      <c r="M3463" s="71" t="str">
        <f>IFERROR(INDEX(KALENDER!$D$3:$D$132,MATCH(H3463,KALENDER!$A$3:$A$132,0)),"Di luar periode")</f>
        <v>Hari Kerja</v>
      </c>
      <c r="N3463" s="71">
        <f t="shared" si="487"/>
        <v>0</v>
      </c>
      <c r="O3463" s="71">
        <f t="shared" si="488"/>
        <v>1</v>
      </c>
      <c r="P3463" s="71">
        <f t="shared" si="489"/>
        <v>0</v>
      </c>
      <c r="Q3463" s="71">
        <f t="shared" si="490"/>
        <v>0</v>
      </c>
      <c r="R3463" s="71">
        <f t="shared" si="491"/>
        <v>0</v>
      </c>
      <c r="S3463" s="71">
        <f t="shared" si="492"/>
        <v>0</v>
      </c>
      <c r="T3463" s="71">
        <f t="shared" si="493"/>
        <v>0</v>
      </c>
      <c r="U3463" s="71">
        <f>IF(AND(N3463=1,V3463=1),IF(COUNTIFS(AKTIVITAS!$B$2:$B$3052,B3463,AKTIVITAS!$E$2:$E$3052,H3463)&gt;0,1,0),0)</f>
        <v>0</v>
      </c>
      <c r="V3463" s="71">
        <f>IFERROR(IF(AND(H3463&gt;=INDEX(PEMAGANG!$J$3:$J$36,MATCH(B3463,PEMAGANG!$C$3:$C$36,0)),H3463&lt;=INDEX(PEMAGANG!$K$3:$K$36,MATCH(B3463,PEMAGANG!$C$3:$C$36,0))),1,0),0)</f>
        <v>1</v>
      </c>
      <c r="W3463" s="71">
        <f t="shared" si="494"/>
        <v>0</v>
      </c>
    </row>
    <row r="3464" spans="1:23" x14ac:dyDescent="0.2">
      <c r="A3464" s="71" t="s">
        <v>232</v>
      </c>
      <c r="B3464" s="71" t="s">
        <v>233</v>
      </c>
      <c r="C3464" s="71" t="s">
        <v>187</v>
      </c>
      <c r="D3464" s="71" t="s">
        <v>234</v>
      </c>
      <c r="E3464" s="71" t="s">
        <v>747</v>
      </c>
      <c r="F3464" s="71" t="s">
        <v>298</v>
      </c>
      <c r="G3464" s="88">
        <v>46288.302604166704</v>
      </c>
      <c r="H3464" s="89">
        <v>46288</v>
      </c>
      <c r="I3464" s="71" t="s">
        <v>370</v>
      </c>
      <c r="J3464" s="71">
        <v>-15</v>
      </c>
      <c r="K3464" s="71" t="s">
        <v>302</v>
      </c>
      <c r="L3464" s="71">
        <f t="shared" si="486"/>
        <v>9</v>
      </c>
      <c r="M3464" s="71" t="str">
        <f>IFERROR(INDEX(KALENDER!$D$3:$D$132,MATCH(H3464,KALENDER!$A$3:$A$132,0)),"Di luar periode")</f>
        <v>Hari Kerja</v>
      </c>
      <c r="N3464" s="71">
        <f t="shared" si="487"/>
        <v>1</v>
      </c>
      <c r="O3464" s="71">
        <f t="shared" si="488"/>
        <v>1</v>
      </c>
      <c r="P3464" s="71">
        <f t="shared" si="489"/>
        <v>1</v>
      </c>
      <c r="Q3464" s="71">
        <f t="shared" si="490"/>
        <v>0</v>
      </c>
      <c r="R3464" s="71">
        <f t="shared" si="491"/>
        <v>0</v>
      </c>
      <c r="S3464" s="71">
        <f t="shared" si="492"/>
        <v>0</v>
      </c>
      <c r="T3464" s="71">
        <f t="shared" si="493"/>
        <v>0</v>
      </c>
      <c r="U3464" s="71">
        <f>IF(AND(N3464=1,V3464=1),IF(COUNTIFS(AKTIVITAS!$B$2:$B$3052,B3464,AKTIVITAS!$E$2:$E$3052,H3464)&gt;0,1,0),0)</f>
        <v>1</v>
      </c>
      <c r="V3464" s="71">
        <f>IFERROR(IF(AND(H3464&gt;=INDEX(PEMAGANG!$J$3:$J$36,MATCH(B3464,PEMAGANG!$C$3:$C$36,0)),H3464&lt;=INDEX(PEMAGANG!$K$3:$K$36,MATCH(B3464,PEMAGANG!$C$3:$C$36,0))),1,0),0)</f>
        <v>1</v>
      </c>
      <c r="W3464" s="71">
        <f t="shared" si="494"/>
        <v>1</v>
      </c>
    </row>
    <row r="3465" spans="1:23" x14ac:dyDescent="0.2">
      <c r="A3465" s="71" t="s">
        <v>232</v>
      </c>
      <c r="B3465" s="71" t="s">
        <v>233</v>
      </c>
      <c r="C3465" s="71" t="s">
        <v>187</v>
      </c>
      <c r="D3465" s="71" t="s">
        <v>234</v>
      </c>
      <c r="E3465" s="71" t="s">
        <v>747</v>
      </c>
      <c r="F3465" s="71" t="s">
        <v>300</v>
      </c>
      <c r="G3465" s="88">
        <v>46288.691481481503</v>
      </c>
      <c r="H3465" s="89">
        <v>46288</v>
      </c>
      <c r="I3465" s="71" t="s">
        <v>310</v>
      </c>
      <c r="J3465" s="71">
        <v>0</v>
      </c>
      <c r="K3465" s="71" t="s">
        <v>302</v>
      </c>
      <c r="L3465" s="71">
        <f t="shared" si="486"/>
        <v>9</v>
      </c>
      <c r="M3465" s="71" t="str">
        <f>IFERROR(INDEX(KALENDER!$D$3:$D$132,MATCH(H3465,KALENDER!$A$3:$A$132,0)),"Di luar periode")</f>
        <v>Hari Kerja</v>
      </c>
      <c r="N3465" s="71">
        <f t="shared" si="487"/>
        <v>0</v>
      </c>
      <c r="O3465" s="71">
        <f t="shared" si="488"/>
        <v>1</v>
      </c>
      <c r="P3465" s="71">
        <f t="shared" si="489"/>
        <v>0</v>
      </c>
      <c r="Q3465" s="71">
        <f t="shared" si="490"/>
        <v>0</v>
      </c>
      <c r="R3465" s="71">
        <f t="shared" si="491"/>
        <v>0</v>
      </c>
      <c r="S3465" s="71">
        <f t="shared" si="492"/>
        <v>0</v>
      </c>
      <c r="T3465" s="71">
        <f t="shared" si="493"/>
        <v>0</v>
      </c>
      <c r="U3465" s="71">
        <f>IF(AND(N3465=1,V3465=1),IF(COUNTIFS(AKTIVITAS!$B$2:$B$3052,B3465,AKTIVITAS!$E$2:$E$3052,H3465)&gt;0,1,0),0)</f>
        <v>0</v>
      </c>
      <c r="V3465" s="71">
        <f>IFERROR(IF(AND(H3465&gt;=INDEX(PEMAGANG!$J$3:$J$36,MATCH(B3465,PEMAGANG!$C$3:$C$36,0)),H3465&lt;=INDEX(PEMAGANG!$K$3:$K$36,MATCH(B3465,PEMAGANG!$C$3:$C$36,0))),1,0),0)</f>
        <v>1</v>
      </c>
      <c r="W3465" s="71">
        <f t="shared" si="494"/>
        <v>0</v>
      </c>
    </row>
    <row r="3466" spans="1:23" x14ac:dyDescent="0.2">
      <c r="A3466" s="71" t="s">
        <v>232</v>
      </c>
      <c r="B3466" s="71" t="s">
        <v>233</v>
      </c>
      <c r="C3466" s="71" t="s">
        <v>187</v>
      </c>
      <c r="D3466" s="71" t="s">
        <v>234</v>
      </c>
      <c r="E3466" s="71" t="s">
        <v>747</v>
      </c>
      <c r="F3466" s="71" t="s">
        <v>298</v>
      </c>
      <c r="G3466" s="88">
        <v>46289.299641203703</v>
      </c>
      <c r="H3466" s="89">
        <v>46289</v>
      </c>
      <c r="I3466" s="71" t="s">
        <v>402</v>
      </c>
      <c r="J3466" s="71">
        <v>-19</v>
      </c>
      <c r="K3466" s="71" t="s">
        <v>302</v>
      </c>
      <c r="L3466" s="71">
        <f t="shared" si="486"/>
        <v>9</v>
      </c>
      <c r="M3466" s="71" t="str">
        <f>IFERROR(INDEX(KALENDER!$D$3:$D$132,MATCH(H3466,KALENDER!$A$3:$A$132,0)),"Di luar periode")</f>
        <v>Hari Kerja</v>
      </c>
      <c r="N3466" s="71">
        <f t="shared" si="487"/>
        <v>1</v>
      </c>
      <c r="O3466" s="71">
        <f t="shared" si="488"/>
        <v>1</v>
      </c>
      <c r="P3466" s="71">
        <f t="shared" si="489"/>
        <v>1</v>
      </c>
      <c r="Q3466" s="71">
        <f t="shared" si="490"/>
        <v>0</v>
      </c>
      <c r="R3466" s="71">
        <f t="shared" si="491"/>
        <v>0</v>
      </c>
      <c r="S3466" s="71">
        <f t="shared" si="492"/>
        <v>0</v>
      </c>
      <c r="T3466" s="71">
        <f t="shared" si="493"/>
        <v>0</v>
      </c>
      <c r="U3466" s="71">
        <f>IF(AND(N3466=1,V3466=1),IF(COUNTIFS(AKTIVITAS!$B$2:$B$3052,B3466,AKTIVITAS!$E$2:$E$3052,H3466)&gt;0,1,0),0)</f>
        <v>1</v>
      </c>
      <c r="V3466" s="71">
        <f>IFERROR(IF(AND(H3466&gt;=INDEX(PEMAGANG!$J$3:$J$36,MATCH(B3466,PEMAGANG!$C$3:$C$36,0)),H3466&lt;=INDEX(PEMAGANG!$K$3:$K$36,MATCH(B3466,PEMAGANG!$C$3:$C$36,0))),1,0),0)</f>
        <v>1</v>
      </c>
      <c r="W3466" s="71">
        <f t="shared" si="494"/>
        <v>1</v>
      </c>
    </row>
    <row r="3467" spans="1:23" x14ac:dyDescent="0.2">
      <c r="A3467" s="71" t="s">
        <v>232</v>
      </c>
      <c r="B3467" s="71" t="s">
        <v>233</v>
      </c>
      <c r="C3467" s="71" t="s">
        <v>187</v>
      </c>
      <c r="D3467" s="71" t="s">
        <v>234</v>
      </c>
      <c r="E3467" s="71" t="s">
        <v>747</v>
      </c>
      <c r="F3467" s="71" t="s">
        <v>300</v>
      </c>
      <c r="G3467" s="88">
        <v>46289.700775463003</v>
      </c>
      <c r="H3467" s="89">
        <v>46289</v>
      </c>
      <c r="I3467" s="71" t="s">
        <v>342</v>
      </c>
      <c r="J3467" s="71">
        <v>0</v>
      </c>
      <c r="K3467" s="71" t="s">
        <v>302</v>
      </c>
      <c r="L3467" s="71">
        <f t="shared" si="486"/>
        <v>9</v>
      </c>
      <c r="M3467" s="71" t="str">
        <f>IFERROR(INDEX(KALENDER!$D$3:$D$132,MATCH(H3467,KALENDER!$A$3:$A$132,0)),"Di luar periode")</f>
        <v>Hari Kerja</v>
      </c>
      <c r="N3467" s="71">
        <f t="shared" si="487"/>
        <v>0</v>
      </c>
      <c r="O3467" s="71">
        <f t="shared" si="488"/>
        <v>1</v>
      </c>
      <c r="P3467" s="71">
        <f t="shared" si="489"/>
        <v>0</v>
      </c>
      <c r="Q3467" s="71">
        <f t="shared" si="490"/>
        <v>0</v>
      </c>
      <c r="R3467" s="71">
        <f t="shared" si="491"/>
        <v>0</v>
      </c>
      <c r="S3467" s="71">
        <f t="shared" si="492"/>
        <v>0</v>
      </c>
      <c r="T3467" s="71">
        <f t="shared" si="493"/>
        <v>0</v>
      </c>
      <c r="U3467" s="71">
        <f>IF(AND(N3467=1,V3467=1),IF(COUNTIFS(AKTIVITAS!$B$2:$B$3052,B3467,AKTIVITAS!$E$2:$E$3052,H3467)&gt;0,1,0),0)</f>
        <v>0</v>
      </c>
      <c r="V3467" s="71">
        <f>IFERROR(IF(AND(H3467&gt;=INDEX(PEMAGANG!$J$3:$J$36,MATCH(B3467,PEMAGANG!$C$3:$C$36,0)),H3467&lt;=INDEX(PEMAGANG!$K$3:$K$36,MATCH(B3467,PEMAGANG!$C$3:$C$36,0))),1,0),0)</f>
        <v>1</v>
      </c>
      <c r="W3467" s="71">
        <f t="shared" si="494"/>
        <v>0</v>
      </c>
    </row>
    <row r="3468" spans="1:23" x14ac:dyDescent="0.2">
      <c r="A3468" s="71" t="s">
        <v>232</v>
      </c>
      <c r="B3468" s="71" t="s">
        <v>233</v>
      </c>
      <c r="C3468" s="71" t="s">
        <v>187</v>
      </c>
      <c r="D3468" s="71" t="s">
        <v>234</v>
      </c>
      <c r="E3468" s="71" t="s">
        <v>747</v>
      </c>
      <c r="F3468" s="71" t="s">
        <v>298</v>
      </c>
      <c r="G3468" s="88">
        <v>46290.306064814802</v>
      </c>
      <c r="H3468" s="89">
        <v>46290</v>
      </c>
      <c r="I3468" s="71" t="s">
        <v>329</v>
      </c>
      <c r="J3468" s="71">
        <v>-10</v>
      </c>
      <c r="K3468" s="71" t="s">
        <v>302</v>
      </c>
      <c r="L3468" s="71">
        <f t="shared" si="486"/>
        <v>9</v>
      </c>
      <c r="M3468" s="71" t="str">
        <f>IFERROR(INDEX(KALENDER!$D$3:$D$132,MATCH(H3468,KALENDER!$A$3:$A$132,0)),"Di luar periode")</f>
        <v>Hari Kerja</v>
      </c>
      <c r="N3468" s="71">
        <f t="shared" si="487"/>
        <v>1</v>
      </c>
      <c r="O3468" s="71">
        <f t="shared" si="488"/>
        <v>1</v>
      </c>
      <c r="P3468" s="71">
        <f t="shared" si="489"/>
        <v>1</v>
      </c>
      <c r="Q3468" s="71">
        <f t="shared" si="490"/>
        <v>0</v>
      </c>
      <c r="R3468" s="71">
        <f t="shared" si="491"/>
        <v>0</v>
      </c>
      <c r="S3468" s="71">
        <f t="shared" si="492"/>
        <v>0</v>
      </c>
      <c r="T3468" s="71">
        <f t="shared" si="493"/>
        <v>0</v>
      </c>
      <c r="U3468" s="71">
        <f>IF(AND(N3468=1,V3468=1),IF(COUNTIFS(AKTIVITAS!$B$2:$B$3052,B3468,AKTIVITAS!$E$2:$E$3052,H3468)&gt;0,1,0),0)</f>
        <v>1</v>
      </c>
      <c r="V3468" s="71">
        <f>IFERROR(IF(AND(H3468&gt;=INDEX(PEMAGANG!$J$3:$J$36,MATCH(B3468,PEMAGANG!$C$3:$C$36,0)),H3468&lt;=INDEX(PEMAGANG!$K$3:$K$36,MATCH(B3468,PEMAGANG!$C$3:$C$36,0))),1,0),0)</f>
        <v>1</v>
      </c>
      <c r="W3468" s="71">
        <f t="shared" si="494"/>
        <v>1</v>
      </c>
    </row>
    <row r="3469" spans="1:23" x14ac:dyDescent="0.2">
      <c r="A3469" s="71" t="s">
        <v>232</v>
      </c>
      <c r="B3469" s="71" t="s">
        <v>233</v>
      </c>
      <c r="C3469" s="71" t="s">
        <v>187</v>
      </c>
      <c r="D3469" s="71" t="s">
        <v>234</v>
      </c>
      <c r="E3469" s="71" t="s">
        <v>747</v>
      </c>
      <c r="F3469" s="71" t="s">
        <v>300</v>
      </c>
      <c r="G3469" s="88">
        <v>46290.689756944397</v>
      </c>
      <c r="H3469" s="89">
        <v>46290</v>
      </c>
      <c r="I3469" s="71" t="s">
        <v>316</v>
      </c>
      <c r="J3469" s="71">
        <v>0</v>
      </c>
      <c r="K3469" s="71" t="s">
        <v>302</v>
      </c>
      <c r="L3469" s="71">
        <f t="shared" si="486"/>
        <v>9</v>
      </c>
      <c r="M3469" s="71" t="str">
        <f>IFERROR(INDEX(KALENDER!$D$3:$D$132,MATCH(H3469,KALENDER!$A$3:$A$132,0)),"Di luar periode")</f>
        <v>Hari Kerja</v>
      </c>
      <c r="N3469" s="71">
        <f t="shared" si="487"/>
        <v>0</v>
      </c>
      <c r="O3469" s="71">
        <f t="shared" si="488"/>
        <v>1</v>
      </c>
      <c r="P3469" s="71">
        <f t="shared" si="489"/>
        <v>0</v>
      </c>
      <c r="Q3469" s="71">
        <f t="shared" si="490"/>
        <v>0</v>
      </c>
      <c r="R3469" s="71">
        <f t="shared" si="491"/>
        <v>0</v>
      </c>
      <c r="S3469" s="71">
        <f t="shared" si="492"/>
        <v>0</v>
      </c>
      <c r="T3469" s="71">
        <f t="shared" si="493"/>
        <v>0</v>
      </c>
      <c r="U3469" s="71">
        <f>IF(AND(N3469=1,V3469=1),IF(COUNTIFS(AKTIVITAS!$B$2:$B$3052,B3469,AKTIVITAS!$E$2:$E$3052,H3469)&gt;0,1,0),0)</f>
        <v>0</v>
      </c>
      <c r="V3469" s="71">
        <f>IFERROR(IF(AND(H3469&gt;=INDEX(PEMAGANG!$J$3:$J$36,MATCH(B3469,PEMAGANG!$C$3:$C$36,0)),H3469&lt;=INDEX(PEMAGANG!$K$3:$K$36,MATCH(B3469,PEMAGANG!$C$3:$C$36,0))),1,0),0)</f>
        <v>1</v>
      </c>
      <c r="W3469" s="71">
        <f t="shared" si="494"/>
        <v>0</v>
      </c>
    </row>
    <row r="3470" spans="1:23" x14ac:dyDescent="0.2">
      <c r="A3470" s="71" t="s">
        <v>232</v>
      </c>
      <c r="B3470" s="71" t="s">
        <v>233</v>
      </c>
      <c r="C3470" s="71" t="s">
        <v>187</v>
      </c>
      <c r="D3470" s="71" t="s">
        <v>234</v>
      </c>
      <c r="E3470" s="71" t="s">
        <v>747</v>
      </c>
      <c r="F3470" s="71" t="s">
        <v>298</v>
      </c>
      <c r="G3470" s="88">
        <v>46293.299444444398</v>
      </c>
      <c r="H3470" s="89">
        <v>46293</v>
      </c>
      <c r="I3470" s="71" t="s">
        <v>402</v>
      </c>
      <c r="J3470" s="71">
        <v>-19</v>
      </c>
      <c r="K3470" s="71" t="s">
        <v>302</v>
      </c>
      <c r="L3470" s="71">
        <f t="shared" si="486"/>
        <v>9</v>
      </c>
      <c r="M3470" s="71" t="str">
        <f>IFERROR(INDEX(KALENDER!$D$3:$D$132,MATCH(H3470,KALENDER!$A$3:$A$132,0)),"Di luar periode")</f>
        <v>Hari Kerja</v>
      </c>
      <c r="N3470" s="71">
        <f t="shared" si="487"/>
        <v>1</v>
      </c>
      <c r="O3470" s="71">
        <f t="shared" si="488"/>
        <v>1</v>
      </c>
      <c r="P3470" s="71">
        <f t="shared" si="489"/>
        <v>1</v>
      </c>
      <c r="Q3470" s="71">
        <f t="shared" si="490"/>
        <v>0</v>
      </c>
      <c r="R3470" s="71">
        <f t="shared" si="491"/>
        <v>0</v>
      </c>
      <c r="S3470" s="71">
        <f t="shared" si="492"/>
        <v>0</v>
      </c>
      <c r="T3470" s="71">
        <f t="shared" si="493"/>
        <v>0</v>
      </c>
      <c r="U3470" s="71">
        <f>IF(AND(N3470=1,V3470=1),IF(COUNTIFS(AKTIVITAS!$B$2:$B$3052,B3470,AKTIVITAS!$E$2:$E$3052,H3470)&gt;0,1,0),0)</f>
        <v>1</v>
      </c>
      <c r="V3470" s="71">
        <f>IFERROR(IF(AND(H3470&gt;=INDEX(PEMAGANG!$J$3:$J$36,MATCH(B3470,PEMAGANG!$C$3:$C$36,0)),H3470&lt;=INDEX(PEMAGANG!$K$3:$K$36,MATCH(B3470,PEMAGANG!$C$3:$C$36,0))),1,0),0)</f>
        <v>1</v>
      </c>
      <c r="W3470" s="71">
        <f t="shared" si="494"/>
        <v>1</v>
      </c>
    </row>
    <row r="3471" spans="1:23" x14ac:dyDescent="0.2">
      <c r="A3471" s="71" t="s">
        <v>232</v>
      </c>
      <c r="B3471" s="71" t="s">
        <v>233</v>
      </c>
      <c r="C3471" s="71" t="s">
        <v>187</v>
      </c>
      <c r="D3471" s="71" t="s">
        <v>234</v>
      </c>
      <c r="E3471" s="71" t="s">
        <v>747</v>
      </c>
      <c r="F3471" s="71" t="s">
        <v>300</v>
      </c>
      <c r="G3471" s="88">
        <v>46293.691562499997</v>
      </c>
      <c r="H3471" s="89">
        <v>46293</v>
      </c>
      <c r="I3471" s="71" t="s">
        <v>310</v>
      </c>
      <c r="J3471" s="71">
        <v>0</v>
      </c>
      <c r="K3471" s="71" t="s">
        <v>302</v>
      </c>
      <c r="L3471" s="71">
        <f t="shared" si="486"/>
        <v>9</v>
      </c>
      <c r="M3471" s="71" t="str">
        <f>IFERROR(INDEX(KALENDER!$D$3:$D$132,MATCH(H3471,KALENDER!$A$3:$A$132,0)),"Di luar periode")</f>
        <v>Hari Kerja</v>
      </c>
      <c r="N3471" s="71">
        <f t="shared" si="487"/>
        <v>0</v>
      </c>
      <c r="O3471" s="71">
        <f t="shared" si="488"/>
        <v>1</v>
      </c>
      <c r="P3471" s="71">
        <f t="shared" si="489"/>
        <v>0</v>
      </c>
      <c r="Q3471" s="71">
        <f t="shared" si="490"/>
        <v>0</v>
      </c>
      <c r="R3471" s="71">
        <f t="shared" si="491"/>
        <v>0</v>
      </c>
      <c r="S3471" s="71">
        <f t="shared" si="492"/>
        <v>0</v>
      </c>
      <c r="T3471" s="71">
        <f t="shared" si="493"/>
        <v>0</v>
      </c>
      <c r="U3471" s="71">
        <f>IF(AND(N3471=1,V3471=1),IF(COUNTIFS(AKTIVITAS!$B$2:$B$3052,B3471,AKTIVITAS!$E$2:$E$3052,H3471)&gt;0,1,0),0)</f>
        <v>0</v>
      </c>
      <c r="V3471" s="71">
        <f>IFERROR(IF(AND(H3471&gt;=INDEX(PEMAGANG!$J$3:$J$36,MATCH(B3471,PEMAGANG!$C$3:$C$36,0)),H3471&lt;=INDEX(PEMAGANG!$K$3:$K$36,MATCH(B3471,PEMAGANG!$C$3:$C$36,0))),1,0),0)</f>
        <v>1</v>
      </c>
      <c r="W3471" s="71">
        <f t="shared" si="494"/>
        <v>0</v>
      </c>
    </row>
    <row r="3472" spans="1:23" x14ac:dyDescent="0.2">
      <c r="A3472" s="71" t="s">
        <v>232</v>
      </c>
      <c r="B3472" s="71" t="s">
        <v>233</v>
      </c>
      <c r="C3472" s="71" t="s">
        <v>187</v>
      </c>
      <c r="D3472" s="71" t="s">
        <v>234</v>
      </c>
      <c r="E3472" s="71" t="s">
        <v>747</v>
      </c>
      <c r="F3472" s="71" t="s">
        <v>298</v>
      </c>
      <c r="G3472" s="88">
        <v>46295.304247685199</v>
      </c>
      <c r="H3472" s="89">
        <v>46295</v>
      </c>
      <c r="I3472" s="71" t="s">
        <v>326</v>
      </c>
      <c r="J3472" s="71">
        <v>-12</v>
      </c>
      <c r="K3472" s="71" t="s">
        <v>302</v>
      </c>
      <c r="L3472" s="71">
        <f t="shared" si="486"/>
        <v>9</v>
      </c>
      <c r="M3472" s="71" t="str">
        <f>IFERROR(INDEX(KALENDER!$D$3:$D$132,MATCH(H3472,KALENDER!$A$3:$A$132,0)),"Di luar periode")</f>
        <v>Hari Kerja</v>
      </c>
      <c r="N3472" s="71">
        <f t="shared" si="487"/>
        <v>1</v>
      </c>
      <c r="O3472" s="71">
        <f t="shared" si="488"/>
        <v>1</v>
      </c>
      <c r="P3472" s="71">
        <f t="shared" si="489"/>
        <v>1</v>
      </c>
      <c r="Q3472" s="71">
        <f t="shared" si="490"/>
        <v>0</v>
      </c>
      <c r="R3472" s="71">
        <f t="shared" si="491"/>
        <v>0</v>
      </c>
      <c r="S3472" s="71">
        <f t="shared" si="492"/>
        <v>0</v>
      </c>
      <c r="T3472" s="71">
        <f t="shared" si="493"/>
        <v>0</v>
      </c>
      <c r="U3472" s="71">
        <f>IF(AND(N3472=1,V3472=1),IF(COUNTIFS(AKTIVITAS!$B$2:$B$3052,B3472,AKTIVITAS!$E$2:$E$3052,H3472)&gt;0,1,0),0)</f>
        <v>1</v>
      </c>
      <c r="V3472" s="71">
        <f>IFERROR(IF(AND(H3472&gt;=INDEX(PEMAGANG!$J$3:$J$36,MATCH(B3472,PEMAGANG!$C$3:$C$36,0)),H3472&lt;=INDEX(PEMAGANG!$K$3:$K$36,MATCH(B3472,PEMAGANG!$C$3:$C$36,0))),1,0),0)</f>
        <v>1</v>
      </c>
      <c r="W3472" s="71">
        <f t="shared" si="494"/>
        <v>1</v>
      </c>
    </row>
    <row r="3473" spans="1:23" x14ac:dyDescent="0.2">
      <c r="A3473" s="71" t="s">
        <v>232</v>
      </c>
      <c r="B3473" s="71" t="s">
        <v>233</v>
      </c>
      <c r="C3473" s="71" t="s">
        <v>187</v>
      </c>
      <c r="D3473" s="71" t="s">
        <v>234</v>
      </c>
      <c r="E3473" s="71" t="s">
        <v>747</v>
      </c>
      <c r="F3473" s="71" t="s">
        <v>300</v>
      </c>
      <c r="G3473" s="88">
        <v>46295.695474537002</v>
      </c>
      <c r="H3473" s="89">
        <v>46295</v>
      </c>
      <c r="I3473" s="71" t="s">
        <v>319</v>
      </c>
      <c r="J3473" s="71">
        <v>0</v>
      </c>
      <c r="K3473" s="71" t="s">
        <v>302</v>
      </c>
      <c r="L3473" s="71">
        <f t="shared" si="486"/>
        <v>9</v>
      </c>
      <c r="M3473" s="71" t="str">
        <f>IFERROR(INDEX(KALENDER!$D$3:$D$132,MATCH(H3473,KALENDER!$A$3:$A$132,0)),"Di luar periode")</f>
        <v>Hari Kerja</v>
      </c>
      <c r="N3473" s="71">
        <f t="shared" si="487"/>
        <v>0</v>
      </c>
      <c r="O3473" s="71">
        <f t="shared" si="488"/>
        <v>1</v>
      </c>
      <c r="P3473" s="71">
        <f t="shared" si="489"/>
        <v>0</v>
      </c>
      <c r="Q3473" s="71">
        <f t="shared" si="490"/>
        <v>0</v>
      </c>
      <c r="R3473" s="71">
        <f t="shared" si="491"/>
        <v>0</v>
      </c>
      <c r="S3473" s="71">
        <f t="shared" si="492"/>
        <v>0</v>
      </c>
      <c r="T3473" s="71">
        <f t="shared" si="493"/>
        <v>0</v>
      </c>
      <c r="U3473" s="71">
        <f>IF(AND(N3473=1,V3473=1),IF(COUNTIFS(AKTIVITAS!$B$2:$B$3052,B3473,AKTIVITAS!$E$2:$E$3052,H3473)&gt;0,1,0),0)</f>
        <v>0</v>
      </c>
      <c r="V3473" s="71">
        <f>IFERROR(IF(AND(H3473&gt;=INDEX(PEMAGANG!$J$3:$J$36,MATCH(B3473,PEMAGANG!$C$3:$C$36,0)),H3473&lt;=INDEX(PEMAGANG!$K$3:$K$36,MATCH(B3473,PEMAGANG!$C$3:$C$36,0))),1,0),0)</f>
        <v>1</v>
      </c>
      <c r="W3473" s="71">
        <f t="shared" si="494"/>
        <v>0</v>
      </c>
    </row>
    <row r="3474" spans="1:23" x14ac:dyDescent="0.2">
      <c r="A3474" s="71" t="s">
        <v>230</v>
      </c>
      <c r="B3474" s="71" t="s">
        <v>231</v>
      </c>
      <c r="C3474" s="71" t="s">
        <v>187</v>
      </c>
      <c r="D3474" s="71" t="s">
        <v>229</v>
      </c>
      <c r="E3474" s="71" t="s">
        <v>39</v>
      </c>
      <c r="F3474" s="71" t="s">
        <v>298</v>
      </c>
      <c r="G3474" s="88">
        <v>46175.291666666701</v>
      </c>
      <c r="H3474" s="89">
        <v>46175</v>
      </c>
      <c r="I3474" s="71" t="s">
        <v>615</v>
      </c>
      <c r="J3474" s="71">
        <v>-30</v>
      </c>
      <c r="K3474" s="71" t="s">
        <v>302</v>
      </c>
      <c r="L3474" s="71">
        <f t="shared" si="486"/>
        <v>6</v>
      </c>
      <c r="M3474" s="71" t="str">
        <f>IFERROR(INDEX(KALENDER!$D$3:$D$132,MATCH(H3474,KALENDER!$A$3:$A$132,0)),"Di luar periode")</f>
        <v>Hari Kerja</v>
      </c>
      <c r="N3474" s="71">
        <f t="shared" si="487"/>
        <v>1</v>
      </c>
      <c r="O3474" s="71">
        <f t="shared" si="488"/>
        <v>1</v>
      </c>
      <c r="P3474" s="71">
        <f t="shared" si="489"/>
        <v>1</v>
      </c>
      <c r="Q3474" s="71">
        <f t="shared" si="490"/>
        <v>0</v>
      </c>
      <c r="R3474" s="71">
        <f t="shared" si="491"/>
        <v>0</v>
      </c>
      <c r="S3474" s="71">
        <f t="shared" si="492"/>
        <v>0</v>
      </c>
      <c r="T3474" s="71">
        <f t="shared" si="493"/>
        <v>1</v>
      </c>
      <c r="U3474" s="71">
        <f>IF(AND(N3474=1,V3474=1),IF(COUNTIFS(AKTIVITAS!$B$2:$B$3052,B3474,AKTIVITAS!$E$2:$E$3052,H3474)&gt;0,1,0),0)</f>
        <v>1</v>
      </c>
      <c r="V3474" s="71">
        <f>IFERROR(IF(AND(H3474&gt;=INDEX(PEMAGANG!$J$3:$J$36,MATCH(B3474,PEMAGANG!$C$3:$C$36,0)),H3474&lt;=INDEX(PEMAGANG!$K$3:$K$36,MATCH(B3474,PEMAGANG!$C$3:$C$36,0))),1,0),0)</f>
        <v>1</v>
      </c>
      <c r="W3474" s="71">
        <f t="shared" si="494"/>
        <v>1</v>
      </c>
    </row>
    <row r="3475" spans="1:23" x14ac:dyDescent="0.2">
      <c r="A3475" s="71" t="s">
        <v>230</v>
      </c>
      <c r="B3475" s="71" t="s">
        <v>231</v>
      </c>
      <c r="C3475" s="71" t="s">
        <v>187</v>
      </c>
      <c r="D3475" s="71" t="s">
        <v>229</v>
      </c>
      <c r="E3475" s="71" t="s">
        <v>39</v>
      </c>
      <c r="F3475" s="71" t="s">
        <v>298</v>
      </c>
      <c r="G3475" s="88">
        <v>46177.278518518498</v>
      </c>
      <c r="H3475" s="89">
        <v>46177</v>
      </c>
      <c r="I3475" s="71" t="s">
        <v>494</v>
      </c>
      <c r="J3475" s="71">
        <v>-49</v>
      </c>
      <c r="K3475" s="71" t="s">
        <v>302</v>
      </c>
      <c r="L3475" s="71">
        <f t="shared" si="486"/>
        <v>6</v>
      </c>
      <c r="M3475" s="71" t="str">
        <f>IFERROR(INDEX(KALENDER!$D$3:$D$132,MATCH(H3475,KALENDER!$A$3:$A$132,0)),"Di luar periode")</f>
        <v>Hari Kerja</v>
      </c>
      <c r="N3475" s="71">
        <f t="shared" si="487"/>
        <v>1</v>
      </c>
      <c r="O3475" s="71">
        <f t="shared" si="488"/>
        <v>1</v>
      </c>
      <c r="P3475" s="71">
        <f t="shared" si="489"/>
        <v>1</v>
      </c>
      <c r="Q3475" s="71">
        <f t="shared" si="490"/>
        <v>0</v>
      </c>
      <c r="R3475" s="71">
        <f t="shared" si="491"/>
        <v>0</v>
      </c>
      <c r="S3475" s="71">
        <f t="shared" si="492"/>
        <v>0</v>
      </c>
      <c r="T3475" s="71">
        <f t="shared" si="493"/>
        <v>0</v>
      </c>
      <c r="U3475" s="71">
        <f>IF(AND(N3475=1,V3475=1),IF(COUNTIFS(AKTIVITAS!$B$2:$B$3052,B3475,AKTIVITAS!$E$2:$E$3052,H3475)&gt;0,1,0),0)</f>
        <v>1</v>
      </c>
      <c r="V3475" s="71">
        <f>IFERROR(IF(AND(H3475&gt;=INDEX(PEMAGANG!$J$3:$J$36,MATCH(B3475,PEMAGANG!$C$3:$C$36,0)),H3475&lt;=INDEX(PEMAGANG!$K$3:$K$36,MATCH(B3475,PEMAGANG!$C$3:$C$36,0))),1,0),0)</f>
        <v>1</v>
      </c>
      <c r="W3475" s="71">
        <f t="shared" si="494"/>
        <v>1</v>
      </c>
    </row>
    <row r="3476" spans="1:23" x14ac:dyDescent="0.2">
      <c r="A3476" s="71" t="s">
        <v>230</v>
      </c>
      <c r="B3476" s="71" t="s">
        <v>231</v>
      </c>
      <c r="C3476" s="71" t="s">
        <v>187</v>
      </c>
      <c r="D3476" s="71" t="s">
        <v>229</v>
      </c>
      <c r="E3476" s="71" t="s">
        <v>39</v>
      </c>
      <c r="F3476" s="71" t="s">
        <v>300</v>
      </c>
      <c r="G3476" s="88">
        <v>46177.6877662037</v>
      </c>
      <c r="H3476" s="89">
        <v>46177</v>
      </c>
      <c r="I3476" s="71" t="s">
        <v>330</v>
      </c>
      <c r="J3476" s="71">
        <v>0</v>
      </c>
      <c r="K3476" s="71" t="s">
        <v>302</v>
      </c>
      <c r="L3476" s="71">
        <f t="shared" si="486"/>
        <v>6</v>
      </c>
      <c r="M3476" s="71" t="str">
        <f>IFERROR(INDEX(KALENDER!$D$3:$D$132,MATCH(H3476,KALENDER!$A$3:$A$132,0)),"Di luar periode")</f>
        <v>Hari Kerja</v>
      </c>
      <c r="N3476" s="71">
        <f t="shared" si="487"/>
        <v>0</v>
      </c>
      <c r="O3476" s="71">
        <f t="shared" si="488"/>
        <v>1</v>
      </c>
      <c r="P3476" s="71">
        <f t="shared" si="489"/>
        <v>0</v>
      </c>
      <c r="Q3476" s="71">
        <f t="shared" si="490"/>
        <v>0</v>
      </c>
      <c r="R3476" s="71">
        <f t="shared" si="491"/>
        <v>0</v>
      </c>
      <c r="S3476" s="71">
        <f t="shared" si="492"/>
        <v>0</v>
      </c>
      <c r="T3476" s="71">
        <f t="shared" si="493"/>
        <v>0</v>
      </c>
      <c r="U3476" s="71">
        <f>IF(AND(N3476=1,V3476=1),IF(COUNTIFS(AKTIVITAS!$B$2:$B$3052,B3476,AKTIVITAS!$E$2:$E$3052,H3476)&gt;0,1,0),0)</f>
        <v>0</v>
      </c>
      <c r="V3476" s="71">
        <f>IFERROR(IF(AND(H3476&gt;=INDEX(PEMAGANG!$J$3:$J$36,MATCH(B3476,PEMAGANG!$C$3:$C$36,0)),H3476&lt;=INDEX(PEMAGANG!$K$3:$K$36,MATCH(B3476,PEMAGANG!$C$3:$C$36,0))),1,0),0)</f>
        <v>1</v>
      </c>
      <c r="W3476" s="71">
        <f t="shared" si="494"/>
        <v>0</v>
      </c>
    </row>
    <row r="3477" spans="1:23" x14ac:dyDescent="0.2">
      <c r="A3477" s="71" t="s">
        <v>230</v>
      </c>
      <c r="B3477" s="71" t="s">
        <v>231</v>
      </c>
      <c r="C3477" s="71" t="s">
        <v>187</v>
      </c>
      <c r="D3477" s="71" t="s">
        <v>229</v>
      </c>
      <c r="E3477" s="71" t="s">
        <v>39</v>
      </c>
      <c r="F3477" s="71" t="s">
        <v>298</v>
      </c>
      <c r="G3477" s="88">
        <v>46178.279560185198</v>
      </c>
      <c r="H3477" s="89">
        <v>46178</v>
      </c>
      <c r="I3477" s="71" t="s">
        <v>495</v>
      </c>
      <c r="J3477" s="71">
        <v>-48</v>
      </c>
      <c r="K3477" s="71" t="s">
        <v>302</v>
      </c>
      <c r="L3477" s="71">
        <f t="shared" si="486"/>
        <v>6</v>
      </c>
      <c r="M3477" s="71" t="str">
        <f>IFERROR(INDEX(KALENDER!$D$3:$D$132,MATCH(H3477,KALENDER!$A$3:$A$132,0)),"Di luar periode")</f>
        <v>Hari Kerja</v>
      </c>
      <c r="N3477" s="71">
        <f t="shared" si="487"/>
        <v>1</v>
      </c>
      <c r="O3477" s="71">
        <f t="shared" si="488"/>
        <v>1</v>
      </c>
      <c r="P3477" s="71">
        <f t="shared" si="489"/>
        <v>1</v>
      </c>
      <c r="Q3477" s="71">
        <f t="shared" si="490"/>
        <v>0</v>
      </c>
      <c r="R3477" s="71">
        <f t="shared" si="491"/>
        <v>0</v>
      </c>
      <c r="S3477" s="71">
        <f t="shared" si="492"/>
        <v>0</v>
      </c>
      <c r="T3477" s="71">
        <f t="shared" si="493"/>
        <v>0</v>
      </c>
      <c r="U3477" s="71">
        <f>IF(AND(N3477=1,V3477=1),IF(COUNTIFS(AKTIVITAS!$B$2:$B$3052,B3477,AKTIVITAS!$E$2:$E$3052,H3477)&gt;0,1,0),0)</f>
        <v>1</v>
      </c>
      <c r="V3477" s="71">
        <f>IFERROR(IF(AND(H3477&gt;=INDEX(PEMAGANG!$J$3:$J$36,MATCH(B3477,PEMAGANG!$C$3:$C$36,0)),H3477&lt;=INDEX(PEMAGANG!$K$3:$K$36,MATCH(B3477,PEMAGANG!$C$3:$C$36,0))),1,0),0)</f>
        <v>1</v>
      </c>
      <c r="W3477" s="71">
        <f t="shared" si="494"/>
        <v>1</v>
      </c>
    </row>
    <row r="3478" spans="1:23" x14ac:dyDescent="0.2">
      <c r="A3478" s="71" t="s">
        <v>230</v>
      </c>
      <c r="B3478" s="71" t="s">
        <v>231</v>
      </c>
      <c r="C3478" s="71" t="s">
        <v>187</v>
      </c>
      <c r="D3478" s="71" t="s">
        <v>229</v>
      </c>
      <c r="E3478" s="71" t="s">
        <v>39</v>
      </c>
      <c r="F3478" s="71" t="s">
        <v>300</v>
      </c>
      <c r="G3478" s="88">
        <v>46178.687962962998</v>
      </c>
      <c r="H3478" s="89">
        <v>46178</v>
      </c>
      <c r="I3478" s="71" t="s">
        <v>330</v>
      </c>
      <c r="J3478" s="71">
        <v>0</v>
      </c>
      <c r="K3478" s="71" t="s">
        <v>302</v>
      </c>
      <c r="L3478" s="71">
        <f t="shared" si="486"/>
        <v>6</v>
      </c>
      <c r="M3478" s="71" t="str">
        <f>IFERROR(INDEX(KALENDER!$D$3:$D$132,MATCH(H3478,KALENDER!$A$3:$A$132,0)),"Di luar periode")</f>
        <v>Hari Kerja</v>
      </c>
      <c r="N3478" s="71">
        <f t="shared" si="487"/>
        <v>0</v>
      </c>
      <c r="O3478" s="71">
        <f t="shared" si="488"/>
        <v>1</v>
      </c>
      <c r="P3478" s="71">
        <f t="shared" si="489"/>
        <v>0</v>
      </c>
      <c r="Q3478" s="71">
        <f t="shared" si="490"/>
        <v>0</v>
      </c>
      <c r="R3478" s="71">
        <f t="shared" si="491"/>
        <v>0</v>
      </c>
      <c r="S3478" s="71">
        <f t="shared" si="492"/>
        <v>0</v>
      </c>
      <c r="T3478" s="71">
        <f t="shared" si="493"/>
        <v>0</v>
      </c>
      <c r="U3478" s="71">
        <f>IF(AND(N3478=1,V3478=1),IF(COUNTIFS(AKTIVITAS!$B$2:$B$3052,B3478,AKTIVITAS!$E$2:$E$3052,H3478)&gt;0,1,0),0)</f>
        <v>0</v>
      </c>
      <c r="V3478" s="71">
        <f>IFERROR(IF(AND(H3478&gt;=INDEX(PEMAGANG!$J$3:$J$36,MATCH(B3478,PEMAGANG!$C$3:$C$36,0)),H3478&lt;=INDEX(PEMAGANG!$K$3:$K$36,MATCH(B3478,PEMAGANG!$C$3:$C$36,0))),1,0),0)</f>
        <v>1</v>
      </c>
      <c r="W3478" s="71">
        <f t="shared" si="494"/>
        <v>0</v>
      </c>
    </row>
    <row r="3479" spans="1:23" x14ac:dyDescent="0.2">
      <c r="A3479" s="71" t="s">
        <v>230</v>
      </c>
      <c r="B3479" s="71" t="s">
        <v>231</v>
      </c>
      <c r="C3479" s="71" t="s">
        <v>187</v>
      </c>
      <c r="D3479" s="71" t="s">
        <v>229</v>
      </c>
      <c r="E3479" s="71" t="s">
        <v>39</v>
      </c>
      <c r="F3479" s="71" t="s">
        <v>298</v>
      </c>
      <c r="G3479" s="88">
        <v>46181.285231481503</v>
      </c>
      <c r="H3479" s="89">
        <v>46181</v>
      </c>
      <c r="I3479" s="71" t="s">
        <v>514</v>
      </c>
      <c r="J3479" s="71">
        <v>-40</v>
      </c>
      <c r="K3479" s="71" t="s">
        <v>302</v>
      </c>
      <c r="L3479" s="71">
        <f t="shared" si="486"/>
        <v>6</v>
      </c>
      <c r="M3479" s="71" t="str">
        <f>IFERROR(INDEX(KALENDER!$D$3:$D$132,MATCH(H3479,KALENDER!$A$3:$A$132,0)),"Di luar periode")</f>
        <v>Hari Kerja</v>
      </c>
      <c r="N3479" s="71">
        <f t="shared" si="487"/>
        <v>1</v>
      </c>
      <c r="O3479" s="71">
        <f t="shared" si="488"/>
        <v>1</v>
      </c>
      <c r="P3479" s="71">
        <f t="shared" si="489"/>
        <v>1</v>
      </c>
      <c r="Q3479" s="71">
        <f t="shared" si="490"/>
        <v>0</v>
      </c>
      <c r="R3479" s="71">
        <f t="shared" si="491"/>
        <v>0</v>
      </c>
      <c r="S3479" s="71">
        <f t="shared" si="492"/>
        <v>0</v>
      </c>
      <c r="T3479" s="71">
        <f t="shared" si="493"/>
        <v>0</v>
      </c>
      <c r="U3479" s="71">
        <f>IF(AND(N3479=1,V3479=1),IF(COUNTIFS(AKTIVITAS!$B$2:$B$3052,B3479,AKTIVITAS!$E$2:$E$3052,H3479)&gt;0,1,0),0)</f>
        <v>1</v>
      </c>
      <c r="V3479" s="71">
        <f>IFERROR(IF(AND(H3479&gt;=INDEX(PEMAGANG!$J$3:$J$36,MATCH(B3479,PEMAGANG!$C$3:$C$36,0)),H3479&lt;=INDEX(PEMAGANG!$K$3:$K$36,MATCH(B3479,PEMAGANG!$C$3:$C$36,0))),1,0),0)</f>
        <v>1</v>
      </c>
      <c r="W3479" s="71">
        <f t="shared" si="494"/>
        <v>1</v>
      </c>
    </row>
    <row r="3480" spans="1:23" x14ac:dyDescent="0.2">
      <c r="A3480" s="71" t="s">
        <v>230</v>
      </c>
      <c r="B3480" s="71" t="s">
        <v>231</v>
      </c>
      <c r="C3480" s="71" t="s">
        <v>187</v>
      </c>
      <c r="D3480" s="71" t="s">
        <v>229</v>
      </c>
      <c r="E3480" s="71" t="s">
        <v>39</v>
      </c>
      <c r="F3480" s="71" t="s">
        <v>300</v>
      </c>
      <c r="G3480" s="88">
        <v>46181.6877662037</v>
      </c>
      <c r="H3480" s="89">
        <v>46181</v>
      </c>
      <c r="I3480" s="71" t="s">
        <v>330</v>
      </c>
      <c r="J3480" s="71">
        <v>0</v>
      </c>
      <c r="K3480" s="71" t="s">
        <v>302</v>
      </c>
      <c r="L3480" s="71">
        <f t="shared" si="486"/>
        <v>6</v>
      </c>
      <c r="M3480" s="71" t="str">
        <f>IFERROR(INDEX(KALENDER!$D$3:$D$132,MATCH(H3480,KALENDER!$A$3:$A$132,0)),"Di luar periode")</f>
        <v>Hari Kerja</v>
      </c>
      <c r="N3480" s="71">
        <f t="shared" si="487"/>
        <v>0</v>
      </c>
      <c r="O3480" s="71">
        <f t="shared" si="488"/>
        <v>1</v>
      </c>
      <c r="P3480" s="71">
        <f t="shared" si="489"/>
        <v>0</v>
      </c>
      <c r="Q3480" s="71">
        <f t="shared" si="490"/>
        <v>0</v>
      </c>
      <c r="R3480" s="71">
        <f t="shared" si="491"/>
        <v>0</v>
      </c>
      <c r="S3480" s="71">
        <f t="shared" si="492"/>
        <v>0</v>
      </c>
      <c r="T3480" s="71">
        <f t="shared" si="493"/>
        <v>0</v>
      </c>
      <c r="U3480" s="71">
        <f>IF(AND(N3480=1,V3480=1),IF(COUNTIFS(AKTIVITAS!$B$2:$B$3052,B3480,AKTIVITAS!$E$2:$E$3052,H3480)&gt;0,1,0),0)</f>
        <v>0</v>
      </c>
      <c r="V3480" s="71">
        <f>IFERROR(IF(AND(H3480&gt;=INDEX(PEMAGANG!$J$3:$J$36,MATCH(B3480,PEMAGANG!$C$3:$C$36,0)),H3480&lt;=INDEX(PEMAGANG!$K$3:$K$36,MATCH(B3480,PEMAGANG!$C$3:$C$36,0))),1,0),0)</f>
        <v>1</v>
      </c>
      <c r="W3480" s="71">
        <f t="shared" si="494"/>
        <v>0</v>
      </c>
    </row>
    <row r="3481" spans="1:23" x14ac:dyDescent="0.2">
      <c r="A3481" s="71" t="s">
        <v>230</v>
      </c>
      <c r="B3481" s="71" t="s">
        <v>231</v>
      </c>
      <c r="C3481" s="71" t="s">
        <v>187</v>
      </c>
      <c r="D3481" s="71" t="s">
        <v>229</v>
      </c>
      <c r="E3481" s="71" t="s">
        <v>39</v>
      </c>
      <c r="F3481" s="71" t="s">
        <v>298</v>
      </c>
      <c r="G3481" s="88">
        <v>46182.287731481498</v>
      </c>
      <c r="H3481" s="89">
        <v>46182</v>
      </c>
      <c r="I3481" s="71" t="s">
        <v>348</v>
      </c>
      <c r="J3481" s="71">
        <v>-36</v>
      </c>
      <c r="K3481" s="71" t="s">
        <v>302</v>
      </c>
      <c r="L3481" s="71">
        <f t="shared" si="486"/>
        <v>6</v>
      </c>
      <c r="M3481" s="71" t="str">
        <f>IFERROR(INDEX(KALENDER!$D$3:$D$132,MATCH(H3481,KALENDER!$A$3:$A$132,0)),"Di luar periode")</f>
        <v>Hari Kerja</v>
      </c>
      <c r="N3481" s="71">
        <f t="shared" si="487"/>
        <v>1</v>
      </c>
      <c r="O3481" s="71">
        <f t="shared" si="488"/>
        <v>1</v>
      </c>
      <c r="P3481" s="71">
        <f t="shared" si="489"/>
        <v>1</v>
      </c>
      <c r="Q3481" s="71">
        <f t="shared" si="490"/>
        <v>0</v>
      </c>
      <c r="R3481" s="71">
        <f t="shared" si="491"/>
        <v>0</v>
      </c>
      <c r="S3481" s="71">
        <f t="shared" si="492"/>
        <v>0</v>
      </c>
      <c r="T3481" s="71">
        <f t="shared" si="493"/>
        <v>0</v>
      </c>
      <c r="U3481" s="71">
        <f>IF(AND(N3481=1,V3481=1),IF(COUNTIFS(AKTIVITAS!$B$2:$B$3052,B3481,AKTIVITAS!$E$2:$E$3052,H3481)&gt;0,1,0),0)</f>
        <v>1</v>
      </c>
      <c r="V3481" s="71">
        <f>IFERROR(IF(AND(H3481&gt;=INDEX(PEMAGANG!$J$3:$J$36,MATCH(B3481,PEMAGANG!$C$3:$C$36,0)),H3481&lt;=INDEX(PEMAGANG!$K$3:$K$36,MATCH(B3481,PEMAGANG!$C$3:$C$36,0))),1,0),0)</f>
        <v>1</v>
      </c>
      <c r="W3481" s="71">
        <f t="shared" si="494"/>
        <v>1</v>
      </c>
    </row>
    <row r="3482" spans="1:23" x14ac:dyDescent="0.2">
      <c r="A3482" s="71" t="s">
        <v>230</v>
      </c>
      <c r="B3482" s="71" t="s">
        <v>231</v>
      </c>
      <c r="C3482" s="71" t="s">
        <v>187</v>
      </c>
      <c r="D3482" s="71" t="s">
        <v>229</v>
      </c>
      <c r="E3482" s="71" t="s">
        <v>39</v>
      </c>
      <c r="F3482" s="71" t="s">
        <v>300</v>
      </c>
      <c r="G3482" s="88">
        <v>46182.687916666699</v>
      </c>
      <c r="H3482" s="89">
        <v>46182</v>
      </c>
      <c r="I3482" s="71" t="s">
        <v>330</v>
      </c>
      <c r="J3482" s="71">
        <v>0</v>
      </c>
      <c r="K3482" s="71" t="s">
        <v>302</v>
      </c>
      <c r="L3482" s="71">
        <f t="shared" si="486"/>
        <v>6</v>
      </c>
      <c r="M3482" s="71" t="str">
        <f>IFERROR(INDEX(KALENDER!$D$3:$D$132,MATCH(H3482,KALENDER!$A$3:$A$132,0)),"Di luar periode")</f>
        <v>Hari Kerja</v>
      </c>
      <c r="N3482" s="71">
        <f t="shared" si="487"/>
        <v>0</v>
      </c>
      <c r="O3482" s="71">
        <f t="shared" si="488"/>
        <v>1</v>
      </c>
      <c r="P3482" s="71">
        <f t="shared" si="489"/>
        <v>0</v>
      </c>
      <c r="Q3482" s="71">
        <f t="shared" si="490"/>
        <v>0</v>
      </c>
      <c r="R3482" s="71">
        <f t="shared" si="491"/>
        <v>0</v>
      </c>
      <c r="S3482" s="71">
        <f t="shared" si="492"/>
        <v>0</v>
      </c>
      <c r="T3482" s="71">
        <f t="shared" si="493"/>
        <v>0</v>
      </c>
      <c r="U3482" s="71">
        <f>IF(AND(N3482=1,V3482=1),IF(COUNTIFS(AKTIVITAS!$B$2:$B$3052,B3482,AKTIVITAS!$E$2:$E$3052,H3482)&gt;0,1,0),0)</f>
        <v>0</v>
      </c>
      <c r="V3482" s="71">
        <f>IFERROR(IF(AND(H3482&gt;=INDEX(PEMAGANG!$J$3:$J$36,MATCH(B3482,PEMAGANG!$C$3:$C$36,0)),H3482&lt;=INDEX(PEMAGANG!$K$3:$K$36,MATCH(B3482,PEMAGANG!$C$3:$C$36,0))),1,0),0)</f>
        <v>1</v>
      </c>
      <c r="W3482" s="71">
        <f t="shared" si="494"/>
        <v>0</v>
      </c>
    </row>
    <row r="3483" spans="1:23" x14ac:dyDescent="0.2">
      <c r="A3483" s="71" t="s">
        <v>230</v>
      </c>
      <c r="B3483" s="71" t="s">
        <v>231</v>
      </c>
      <c r="C3483" s="71" t="s">
        <v>187</v>
      </c>
      <c r="D3483" s="71" t="s">
        <v>229</v>
      </c>
      <c r="E3483" s="71" t="s">
        <v>39</v>
      </c>
      <c r="F3483" s="71" t="s">
        <v>298</v>
      </c>
      <c r="G3483" s="88">
        <v>46184.283981481502</v>
      </c>
      <c r="H3483" s="89">
        <v>46184</v>
      </c>
      <c r="I3483" s="71" t="s">
        <v>503</v>
      </c>
      <c r="J3483" s="71">
        <v>-42</v>
      </c>
      <c r="K3483" s="71" t="s">
        <v>302</v>
      </c>
      <c r="L3483" s="71">
        <f t="shared" si="486"/>
        <v>6</v>
      </c>
      <c r="M3483" s="71" t="str">
        <f>IFERROR(INDEX(KALENDER!$D$3:$D$132,MATCH(H3483,KALENDER!$A$3:$A$132,0)),"Di luar periode")</f>
        <v>Hari Kerja</v>
      </c>
      <c r="N3483" s="71">
        <f t="shared" si="487"/>
        <v>1</v>
      </c>
      <c r="O3483" s="71">
        <f t="shared" si="488"/>
        <v>1</v>
      </c>
      <c r="P3483" s="71">
        <f t="shared" si="489"/>
        <v>1</v>
      </c>
      <c r="Q3483" s="71">
        <f t="shared" si="490"/>
        <v>0</v>
      </c>
      <c r="R3483" s="71">
        <f t="shared" si="491"/>
        <v>0</v>
      </c>
      <c r="S3483" s="71">
        <f t="shared" si="492"/>
        <v>0</v>
      </c>
      <c r="T3483" s="71">
        <f t="shared" si="493"/>
        <v>0</v>
      </c>
      <c r="U3483" s="71">
        <f>IF(AND(N3483=1,V3483=1),IF(COUNTIFS(AKTIVITAS!$B$2:$B$3052,B3483,AKTIVITAS!$E$2:$E$3052,H3483)&gt;0,1,0),0)</f>
        <v>1</v>
      </c>
      <c r="V3483" s="71">
        <f>IFERROR(IF(AND(H3483&gt;=INDEX(PEMAGANG!$J$3:$J$36,MATCH(B3483,PEMAGANG!$C$3:$C$36,0)),H3483&lt;=INDEX(PEMAGANG!$K$3:$K$36,MATCH(B3483,PEMAGANG!$C$3:$C$36,0))),1,0),0)</f>
        <v>1</v>
      </c>
      <c r="W3483" s="71">
        <f t="shared" si="494"/>
        <v>1</v>
      </c>
    </row>
    <row r="3484" spans="1:23" x14ac:dyDescent="0.2">
      <c r="A3484" s="71" t="s">
        <v>230</v>
      </c>
      <c r="B3484" s="71" t="s">
        <v>231</v>
      </c>
      <c r="C3484" s="71" t="s">
        <v>187</v>
      </c>
      <c r="D3484" s="71" t="s">
        <v>229</v>
      </c>
      <c r="E3484" s="71" t="s">
        <v>39</v>
      </c>
      <c r="F3484" s="71" t="s">
        <v>300</v>
      </c>
      <c r="G3484" s="88">
        <v>46184.687962962998</v>
      </c>
      <c r="H3484" s="89">
        <v>46184</v>
      </c>
      <c r="I3484" s="71" t="s">
        <v>330</v>
      </c>
      <c r="J3484" s="71">
        <v>0</v>
      </c>
      <c r="K3484" s="71" t="s">
        <v>302</v>
      </c>
      <c r="L3484" s="71">
        <f t="shared" si="486"/>
        <v>6</v>
      </c>
      <c r="M3484" s="71" t="str">
        <f>IFERROR(INDEX(KALENDER!$D$3:$D$132,MATCH(H3484,KALENDER!$A$3:$A$132,0)),"Di luar periode")</f>
        <v>Hari Kerja</v>
      </c>
      <c r="N3484" s="71">
        <f t="shared" si="487"/>
        <v>0</v>
      </c>
      <c r="O3484" s="71">
        <f t="shared" si="488"/>
        <v>1</v>
      </c>
      <c r="P3484" s="71">
        <f t="shared" si="489"/>
        <v>0</v>
      </c>
      <c r="Q3484" s="71">
        <f t="shared" si="490"/>
        <v>0</v>
      </c>
      <c r="R3484" s="71">
        <f t="shared" si="491"/>
        <v>0</v>
      </c>
      <c r="S3484" s="71">
        <f t="shared" si="492"/>
        <v>0</v>
      </c>
      <c r="T3484" s="71">
        <f t="shared" si="493"/>
        <v>0</v>
      </c>
      <c r="U3484" s="71">
        <f>IF(AND(N3484=1,V3484=1),IF(COUNTIFS(AKTIVITAS!$B$2:$B$3052,B3484,AKTIVITAS!$E$2:$E$3052,H3484)&gt;0,1,0),0)</f>
        <v>0</v>
      </c>
      <c r="V3484" s="71">
        <f>IFERROR(IF(AND(H3484&gt;=INDEX(PEMAGANG!$J$3:$J$36,MATCH(B3484,PEMAGANG!$C$3:$C$36,0)),H3484&lt;=INDEX(PEMAGANG!$K$3:$K$36,MATCH(B3484,PEMAGANG!$C$3:$C$36,0))),1,0),0)</f>
        <v>1</v>
      </c>
      <c r="W3484" s="71">
        <f t="shared" si="494"/>
        <v>0</v>
      </c>
    </row>
    <row r="3485" spans="1:23" x14ac:dyDescent="0.2">
      <c r="A3485" s="71" t="s">
        <v>230</v>
      </c>
      <c r="B3485" s="71" t="s">
        <v>231</v>
      </c>
      <c r="C3485" s="71" t="s">
        <v>187</v>
      </c>
      <c r="D3485" s="71" t="s">
        <v>229</v>
      </c>
      <c r="E3485" s="71" t="s">
        <v>39</v>
      </c>
      <c r="F3485" s="71" t="s">
        <v>298</v>
      </c>
      <c r="G3485" s="88">
        <v>46185.283877314803</v>
      </c>
      <c r="H3485" s="89">
        <v>46185</v>
      </c>
      <c r="I3485" s="71" t="s">
        <v>503</v>
      </c>
      <c r="J3485" s="71">
        <v>-42</v>
      </c>
      <c r="K3485" s="71" t="s">
        <v>302</v>
      </c>
      <c r="L3485" s="71">
        <f t="shared" si="486"/>
        <v>6</v>
      </c>
      <c r="M3485" s="71" t="str">
        <f>IFERROR(INDEX(KALENDER!$D$3:$D$132,MATCH(H3485,KALENDER!$A$3:$A$132,0)),"Di luar periode")</f>
        <v>Hari Kerja</v>
      </c>
      <c r="N3485" s="71">
        <f t="shared" si="487"/>
        <v>1</v>
      </c>
      <c r="O3485" s="71">
        <f t="shared" si="488"/>
        <v>1</v>
      </c>
      <c r="P3485" s="71">
        <f t="shared" si="489"/>
        <v>1</v>
      </c>
      <c r="Q3485" s="71">
        <f t="shared" si="490"/>
        <v>0</v>
      </c>
      <c r="R3485" s="71">
        <f t="shared" si="491"/>
        <v>0</v>
      </c>
      <c r="S3485" s="71">
        <f t="shared" si="492"/>
        <v>0</v>
      </c>
      <c r="T3485" s="71">
        <f t="shared" si="493"/>
        <v>0</v>
      </c>
      <c r="U3485" s="71">
        <f>IF(AND(N3485=1,V3485=1),IF(COUNTIFS(AKTIVITAS!$B$2:$B$3052,B3485,AKTIVITAS!$E$2:$E$3052,H3485)&gt;0,1,0),0)</f>
        <v>1</v>
      </c>
      <c r="V3485" s="71">
        <f>IFERROR(IF(AND(H3485&gt;=INDEX(PEMAGANG!$J$3:$J$36,MATCH(B3485,PEMAGANG!$C$3:$C$36,0)),H3485&lt;=INDEX(PEMAGANG!$K$3:$K$36,MATCH(B3485,PEMAGANG!$C$3:$C$36,0))),1,0),0)</f>
        <v>1</v>
      </c>
      <c r="W3485" s="71">
        <f t="shared" si="494"/>
        <v>1</v>
      </c>
    </row>
    <row r="3486" spans="1:23" x14ac:dyDescent="0.2">
      <c r="A3486" s="71" t="s">
        <v>230</v>
      </c>
      <c r="B3486" s="71" t="s">
        <v>231</v>
      </c>
      <c r="C3486" s="71" t="s">
        <v>187</v>
      </c>
      <c r="D3486" s="71" t="s">
        <v>229</v>
      </c>
      <c r="E3486" s="71" t="s">
        <v>39</v>
      </c>
      <c r="F3486" s="71" t="s">
        <v>300</v>
      </c>
      <c r="G3486" s="88">
        <v>46185.6878587963</v>
      </c>
      <c r="H3486" s="89">
        <v>46185</v>
      </c>
      <c r="I3486" s="71" t="s">
        <v>330</v>
      </c>
      <c r="J3486" s="71">
        <v>0</v>
      </c>
      <c r="K3486" s="71" t="s">
        <v>302</v>
      </c>
      <c r="L3486" s="71">
        <f t="shared" si="486"/>
        <v>6</v>
      </c>
      <c r="M3486" s="71" t="str">
        <f>IFERROR(INDEX(KALENDER!$D$3:$D$132,MATCH(H3486,KALENDER!$A$3:$A$132,0)),"Di luar periode")</f>
        <v>Hari Kerja</v>
      </c>
      <c r="N3486" s="71">
        <f t="shared" si="487"/>
        <v>0</v>
      </c>
      <c r="O3486" s="71">
        <f t="shared" si="488"/>
        <v>1</v>
      </c>
      <c r="P3486" s="71">
        <f t="shared" si="489"/>
        <v>0</v>
      </c>
      <c r="Q3486" s="71">
        <f t="shared" si="490"/>
        <v>0</v>
      </c>
      <c r="R3486" s="71">
        <f t="shared" si="491"/>
        <v>0</v>
      </c>
      <c r="S3486" s="71">
        <f t="shared" si="492"/>
        <v>0</v>
      </c>
      <c r="T3486" s="71">
        <f t="shared" si="493"/>
        <v>0</v>
      </c>
      <c r="U3486" s="71">
        <f>IF(AND(N3486=1,V3486=1),IF(COUNTIFS(AKTIVITAS!$B$2:$B$3052,B3486,AKTIVITAS!$E$2:$E$3052,H3486)&gt;0,1,0),0)</f>
        <v>0</v>
      </c>
      <c r="V3486" s="71">
        <f>IFERROR(IF(AND(H3486&gt;=INDEX(PEMAGANG!$J$3:$J$36,MATCH(B3486,PEMAGANG!$C$3:$C$36,0)),H3486&lt;=INDEX(PEMAGANG!$K$3:$K$36,MATCH(B3486,PEMAGANG!$C$3:$C$36,0))),1,0),0)</f>
        <v>1</v>
      </c>
      <c r="W3486" s="71">
        <f t="shared" si="494"/>
        <v>0</v>
      </c>
    </row>
    <row r="3487" spans="1:23" x14ac:dyDescent="0.2">
      <c r="A3487" s="71" t="s">
        <v>230</v>
      </c>
      <c r="B3487" s="71" t="s">
        <v>231</v>
      </c>
      <c r="C3487" s="71" t="s">
        <v>187</v>
      </c>
      <c r="D3487" s="71" t="s">
        <v>229</v>
      </c>
      <c r="E3487" s="71" t="s">
        <v>39</v>
      </c>
      <c r="F3487" s="71" t="s">
        <v>298</v>
      </c>
      <c r="G3487" s="88">
        <v>46188.285601851901</v>
      </c>
      <c r="H3487" s="89">
        <v>46188</v>
      </c>
      <c r="I3487" s="71" t="s">
        <v>508</v>
      </c>
      <c r="J3487" s="71">
        <v>-39</v>
      </c>
      <c r="K3487" s="71" t="s">
        <v>302</v>
      </c>
      <c r="L3487" s="71">
        <f t="shared" si="486"/>
        <v>6</v>
      </c>
      <c r="M3487" s="71" t="str">
        <f>IFERROR(INDEX(KALENDER!$D$3:$D$132,MATCH(H3487,KALENDER!$A$3:$A$132,0)),"Di luar periode")</f>
        <v>Hari Kerja</v>
      </c>
      <c r="N3487" s="71">
        <f t="shared" si="487"/>
        <v>1</v>
      </c>
      <c r="O3487" s="71">
        <f t="shared" si="488"/>
        <v>1</v>
      </c>
      <c r="P3487" s="71">
        <f t="shared" si="489"/>
        <v>1</v>
      </c>
      <c r="Q3487" s="71">
        <f t="shared" si="490"/>
        <v>0</v>
      </c>
      <c r="R3487" s="71">
        <f t="shared" si="491"/>
        <v>0</v>
      </c>
      <c r="S3487" s="71">
        <f t="shared" si="492"/>
        <v>0</v>
      </c>
      <c r="T3487" s="71">
        <f t="shared" si="493"/>
        <v>0</v>
      </c>
      <c r="U3487" s="71">
        <f>IF(AND(N3487=1,V3487=1),IF(COUNTIFS(AKTIVITAS!$B$2:$B$3052,B3487,AKTIVITAS!$E$2:$E$3052,H3487)&gt;0,1,0),0)</f>
        <v>1</v>
      </c>
      <c r="V3487" s="71">
        <f>IFERROR(IF(AND(H3487&gt;=INDEX(PEMAGANG!$J$3:$J$36,MATCH(B3487,PEMAGANG!$C$3:$C$36,0)),H3487&lt;=INDEX(PEMAGANG!$K$3:$K$36,MATCH(B3487,PEMAGANG!$C$3:$C$36,0))),1,0),0)</f>
        <v>1</v>
      </c>
      <c r="W3487" s="71">
        <f t="shared" si="494"/>
        <v>1</v>
      </c>
    </row>
    <row r="3488" spans="1:23" x14ac:dyDescent="0.2">
      <c r="A3488" s="71" t="s">
        <v>230</v>
      </c>
      <c r="B3488" s="71" t="s">
        <v>231</v>
      </c>
      <c r="C3488" s="71" t="s">
        <v>187</v>
      </c>
      <c r="D3488" s="71" t="s">
        <v>229</v>
      </c>
      <c r="E3488" s="71" t="s">
        <v>39</v>
      </c>
      <c r="F3488" s="71" t="s">
        <v>300</v>
      </c>
      <c r="G3488" s="88">
        <v>46188.687974537002</v>
      </c>
      <c r="H3488" s="89">
        <v>46188</v>
      </c>
      <c r="I3488" s="71" t="s">
        <v>330</v>
      </c>
      <c r="J3488" s="71">
        <v>0</v>
      </c>
      <c r="K3488" s="71" t="s">
        <v>302</v>
      </c>
      <c r="L3488" s="71">
        <f t="shared" si="486"/>
        <v>6</v>
      </c>
      <c r="M3488" s="71" t="str">
        <f>IFERROR(INDEX(KALENDER!$D$3:$D$132,MATCH(H3488,KALENDER!$A$3:$A$132,0)),"Di luar periode")</f>
        <v>Hari Kerja</v>
      </c>
      <c r="N3488" s="71">
        <f t="shared" si="487"/>
        <v>0</v>
      </c>
      <c r="O3488" s="71">
        <f t="shared" si="488"/>
        <v>1</v>
      </c>
      <c r="P3488" s="71">
        <f t="shared" si="489"/>
        <v>0</v>
      </c>
      <c r="Q3488" s="71">
        <f t="shared" si="490"/>
        <v>0</v>
      </c>
      <c r="R3488" s="71">
        <f t="shared" si="491"/>
        <v>0</v>
      </c>
      <c r="S3488" s="71">
        <f t="shared" si="492"/>
        <v>0</v>
      </c>
      <c r="T3488" s="71">
        <f t="shared" si="493"/>
        <v>0</v>
      </c>
      <c r="U3488" s="71">
        <f>IF(AND(N3488=1,V3488=1),IF(COUNTIFS(AKTIVITAS!$B$2:$B$3052,B3488,AKTIVITAS!$E$2:$E$3052,H3488)&gt;0,1,0),0)</f>
        <v>0</v>
      </c>
      <c r="V3488" s="71">
        <f>IFERROR(IF(AND(H3488&gt;=INDEX(PEMAGANG!$J$3:$J$36,MATCH(B3488,PEMAGANG!$C$3:$C$36,0)),H3488&lt;=INDEX(PEMAGANG!$K$3:$K$36,MATCH(B3488,PEMAGANG!$C$3:$C$36,0))),1,0),0)</f>
        <v>1</v>
      </c>
      <c r="W3488" s="71">
        <f t="shared" si="494"/>
        <v>0</v>
      </c>
    </row>
    <row r="3489" spans="1:23" x14ac:dyDescent="0.2">
      <c r="A3489" s="71" t="s">
        <v>230</v>
      </c>
      <c r="B3489" s="71" t="s">
        <v>231</v>
      </c>
      <c r="C3489" s="71" t="s">
        <v>187</v>
      </c>
      <c r="D3489" s="71" t="s">
        <v>229</v>
      </c>
      <c r="E3489" s="71" t="s">
        <v>39</v>
      </c>
      <c r="F3489" s="71" t="s">
        <v>298</v>
      </c>
      <c r="G3489" s="88">
        <v>46191.286157407398</v>
      </c>
      <c r="H3489" s="89">
        <v>46191</v>
      </c>
      <c r="I3489" s="71" t="s">
        <v>513</v>
      </c>
      <c r="J3489" s="71">
        <v>-37.999999999999901</v>
      </c>
      <c r="K3489" s="71" t="s">
        <v>302</v>
      </c>
      <c r="L3489" s="71">
        <f t="shared" si="486"/>
        <v>6</v>
      </c>
      <c r="M3489" s="71" t="str">
        <f>IFERROR(INDEX(KALENDER!$D$3:$D$132,MATCH(H3489,KALENDER!$A$3:$A$132,0)),"Di luar periode")</f>
        <v>Hari Kerja</v>
      </c>
      <c r="N3489" s="71">
        <f t="shared" si="487"/>
        <v>1</v>
      </c>
      <c r="O3489" s="71">
        <f t="shared" si="488"/>
        <v>1</v>
      </c>
      <c r="P3489" s="71">
        <f t="shared" si="489"/>
        <v>1</v>
      </c>
      <c r="Q3489" s="71">
        <f t="shared" si="490"/>
        <v>0</v>
      </c>
      <c r="R3489" s="71">
        <f t="shared" si="491"/>
        <v>0</v>
      </c>
      <c r="S3489" s="71">
        <f t="shared" si="492"/>
        <v>0</v>
      </c>
      <c r="T3489" s="71">
        <f t="shared" si="493"/>
        <v>0</v>
      </c>
      <c r="U3489" s="71">
        <f>IF(AND(N3489=1,V3489=1),IF(COUNTIFS(AKTIVITAS!$B$2:$B$3052,B3489,AKTIVITAS!$E$2:$E$3052,H3489)&gt;0,1,0),0)</f>
        <v>1</v>
      </c>
      <c r="V3489" s="71">
        <f>IFERROR(IF(AND(H3489&gt;=INDEX(PEMAGANG!$J$3:$J$36,MATCH(B3489,PEMAGANG!$C$3:$C$36,0)),H3489&lt;=INDEX(PEMAGANG!$K$3:$K$36,MATCH(B3489,PEMAGANG!$C$3:$C$36,0))),1,0),0)</f>
        <v>1</v>
      </c>
      <c r="W3489" s="71">
        <f t="shared" si="494"/>
        <v>1</v>
      </c>
    </row>
    <row r="3490" spans="1:23" x14ac:dyDescent="0.2">
      <c r="A3490" s="71" t="s">
        <v>230</v>
      </c>
      <c r="B3490" s="71" t="s">
        <v>231</v>
      </c>
      <c r="C3490" s="71" t="s">
        <v>187</v>
      </c>
      <c r="D3490" s="71" t="s">
        <v>229</v>
      </c>
      <c r="E3490" s="71" t="s">
        <v>39</v>
      </c>
      <c r="F3490" s="71" t="s">
        <v>300</v>
      </c>
      <c r="G3490" s="88">
        <v>46191.687824074099</v>
      </c>
      <c r="H3490" s="89">
        <v>46191</v>
      </c>
      <c r="I3490" s="71" t="s">
        <v>330</v>
      </c>
      <c r="J3490" s="71">
        <v>0</v>
      </c>
      <c r="K3490" s="71" t="s">
        <v>302</v>
      </c>
      <c r="L3490" s="71">
        <f t="shared" si="486"/>
        <v>6</v>
      </c>
      <c r="M3490" s="71" t="str">
        <f>IFERROR(INDEX(KALENDER!$D$3:$D$132,MATCH(H3490,KALENDER!$A$3:$A$132,0)),"Di luar periode")</f>
        <v>Hari Kerja</v>
      </c>
      <c r="N3490" s="71">
        <f t="shared" si="487"/>
        <v>0</v>
      </c>
      <c r="O3490" s="71">
        <f t="shared" si="488"/>
        <v>1</v>
      </c>
      <c r="P3490" s="71">
        <f t="shared" si="489"/>
        <v>0</v>
      </c>
      <c r="Q3490" s="71">
        <f t="shared" si="490"/>
        <v>0</v>
      </c>
      <c r="R3490" s="71">
        <f t="shared" si="491"/>
        <v>0</v>
      </c>
      <c r="S3490" s="71">
        <f t="shared" si="492"/>
        <v>0</v>
      </c>
      <c r="T3490" s="71">
        <f t="shared" si="493"/>
        <v>0</v>
      </c>
      <c r="U3490" s="71">
        <f>IF(AND(N3490=1,V3490=1),IF(COUNTIFS(AKTIVITAS!$B$2:$B$3052,B3490,AKTIVITAS!$E$2:$E$3052,H3490)&gt;0,1,0),0)</f>
        <v>0</v>
      </c>
      <c r="V3490" s="71">
        <f>IFERROR(IF(AND(H3490&gt;=INDEX(PEMAGANG!$J$3:$J$36,MATCH(B3490,PEMAGANG!$C$3:$C$36,0)),H3490&lt;=INDEX(PEMAGANG!$K$3:$K$36,MATCH(B3490,PEMAGANG!$C$3:$C$36,0))),1,0),0)</f>
        <v>1</v>
      </c>
      <c r="W3490" s="71">
        <f t="shared" si="494"/>
        <v>0</v>
      </c>
    </row>
    <row r="3491" spans="1:23" x14ac:dyDescent="0.2">
      <c r="A3491" s="71" t="s">
        <v>230</v>
      </c>
      <c r="B3491" s="71" t="s">
        <v>231</v>
      </c>
      <c r="C3491" s="71" t="s">
        <v>187</v>
      </c>
      <c r="D3491" s="71" t="s">
        <v>229</v>
      </c>
      <c r="E3491" s="71" t="s">
        <v>39</v>
      </c>
      <c r="F3491" s="71" t="s">
        <v>298</v>
      </c>
      <c r="G3491" s="88">
        <v>46192.281261574099</v>
      </c>
      <c r="H3491" s="89">
        <v>46192</v>
      </c>
      <c r="I3491" s="71" t="s">
        <v>510</v>
      </c>
      <c r="J3491" s="71">
        <v>-45</v>
      </c>
      <c r="K3491" s="71" t="s">
        <v>302</v>
      </c>
      <c r="L3491" s="71">
        <f t="shared" si="486"/>
        <v>6</v>
      </c>
      <c r="M3491" s="71" t="str">
        <f>IFERROR(INDEX(KALENDER!$D$3:$D$132,MATCH(H3491,KALENDER!$A$3:$A$132,0)),"Di luar periode")</f>
        <v>Hari Kerja</v>
      </c>
      <c r="N3491" s="71">
        <f t="shared" si="487"/>
        <v>1</v>
      </c>
      <c r="O3491" s="71">
        <f t="shared" si="488"/>
        <v>1</v>
      </c>
      <c r="P3491" s="71">
        <f t="shared" si="489"/>
        <v>1</v>
      </c>
      <c r="Q3491" s="71">
        <f t="shared" si="490"/>
        <v>0</v>
      </c>
      <c r="R3491" s="71">
        <f t="shared" si="491"/>
        <v>0</v>
      </c>
      <c r="S3491" s="71">
        <f t="shared" si="492"/>
        <v>0</v>
      </c>
      <c r="T3491" s="71">
        <f t="shared" si="493"/>
        <v>0</v>
      </c>
      <c r="U3491" s="71">
        <f>IF(AND(N3491=1,V3491=1),IF(COUNTIFS(AKTIVITAS!$B$2:$B$3052,B3491,AKTIVITAS!$E$2:$E$3052,H3491)&gt;0,1,0),0)</f>
        <v>1</v>
      </c>
      <c r="V3491" s="71">
        <f>IFERROR(IF(AND(H3491&gt;=INDEX(PEMAGANG!$J$3:$J$36,MATCH(B3491,PEMAGANG!$C$3:$C$36,0)),H3491&lt;=INDEX(PEMAGANG!$K$3:$K$36,MATCH(B3491,PEMAGANG!$C$3:$C$36,0))),1,0),0)</f>
        <v>1</v>
      </c>
      <c r="W3491" s="71">
        <f t="shared" si="494"/>
        <v>1</v>
      </c>
    </row>
    <row r="3492" spans="1:23" x14ac:dyDescent="0.2">
      <c r="A3492" s="71" t="s">
        <v>230</v>
      </c>
      <c r="B3492" s="71" t="s">
        <v>231</v>
      </c>
      <c r="C3492" s="71" t="s">
        <v>187</v>
      </c>
      <c r="D3492" s="71" t="s">
        <v>229</v>
      </c>
      <c r="E3492" s="71" t="s">
        <v>39</v>
      </c>
      <c r="F3492" s="71" t="s">
        <v>300</v>
      </c>
      <c r="G3492" s="88">
        <v>46192.687893518501</v>
      </c>
      <c r="H3492" s="89">
        <v>46192</v>
      </c>
      <c r="I3492" s="71" t="s">
        <v>330</v>
      </c>
      <c r="J3492" s="71">
        <v>0</v>
      </c>
      <c r="K3492" s="71" t="s">
        <v>302</v>
      </c>
      <c r="L3492" s="71">
        <f t="shared" si="486"/>
        <v>6</v>
      </c>
      <c r="M3492" s="71" t="str">
        <f>IFERROR(INDEX(KALENDER!$D$3:$D$132,MATCH(H3492,KALENDER!$A$3:$A$132,0)),"Di luar periode")</f>
        <v>Hari Kerja</v>
      </c>
      <c r="N3492" s="71">
        <f t="shared" si="487"/>
        <v>0</v>
      </c>
      <c r="O3492" s="71">
        <f t="shared" si="488"/>
        <v>1</v>
      </c>
      <c r="P3492" s="71">
        <f t="shared" si="489"/>
        <v>0</v>
      </c>
      <c r="Q3492" s="71">
        <f t="shared" si="490"/>
        <v>0</v>
      </c>
      <c r="R3492" s="71">
        <f t="shared" si="491"/>
        <v>0</v>
      </c>
      <c r="S3492" s="71">
        <f t="shared" si="492"/>
        <v>0</v>
      </c>
      <c r="T3492" s="71">
        <f t="shared" si="493"/>
        <v>0</v>
      </c>
      <c r="U3492" s="71">
        <f>IF(AND(N3492=1,V3492=1),IF(COUNTIFS(AKTIVITAS!$B$2:$B$3052,B3492,AKTIVITAS!$E$2:$E$3052,H3492)&gt;0,1,0),0)</f>
        <v>0</v>
      </c>
      <c r="V3492" s="71">
        <f>IFERROR(IF(AND(H3492&gt;=INDEX(PEMAGANG!$J$3:$J$36,MATCH(B3492,PEMAGANG!$C$3:$C$36,0)),H3492&lt;=INDEX(PEMAGANG!$K$3:$K$36,MATCH(B3492,PEMAGANG!$C$3:$C$36,0))),1,0),0)</f>
        <v>1</v>
      </c>
      <c r="W3492" s="71">
        <f t="shared" si="494"/>
        <v>0</v>
      </c>
    </row>
    <row r="3493" spans="1:23" x14ac:dyDescent="0.2">
      <c r="A3493" s="71" t="s">
        <v>230</v>
      </c>
      <c r="B3493" s="71" t="s">
        <v>231</v>
      </c>
      <c r="C3493" s="71" t="s">
        <v>187</v>
      </c>
      <c r="D3493" s="71" t="s">
        <v>229</v>
      </c>
      <c r="E3493" s="71" t="s">
        <v>39</v>
      </c>
      <c r="F3493" s="71" t="s">
        <v>298</v>
      </c>
      <c r="G3493" s="88">
        <v>46195.2834953704</v>
      </c>
      <c r="H3493" s="89">
        <v>46195</v>
      </c>
      <c r="I3493" s="71" t="s">
        <v>503</v>
      </c>
      <c r="J3493" s="71">
        <v>-42</v>
      </c>
      <c r="K3493" s="71" t="s">
        <v>302</v>
      </c>
      <c r="L3493" s="71">
        <f t="shared" si="486"/>
        <v>6</v>
      </c>
      <c r="M3493" s="71" t="str">
        <f>IFERROR(INDEX(KALENDER!$D$3:$D$132,MATCH(H3493,KALENDER!$A$3:$A$132,0)),"Di luar periode")</f>
        <v>Hari Kerja</v>
      </c>
      <c r="N3493" s="71">
        <f t="shared" si="487"/>
        <v>1</v>
      </c>
      <c r="O3493" s="71">
        <f t="shared" si="488"/>
        <v>1</v>
      </c>
      <c r="P3493" s="71">
        <f t="shared" si="489"/>
        <v>1</v>
      </c>
      <c r="Q3493" s="71">
        <f t="shared" si="490"/>
        <v>0</v>
      </c>
      <c r="R3493" s="71">
        <f t="shared" si="491"/>
        <v>0</v>
      </c>
      <c r="S3493" s="71">
        <f t="shared" si="492"/>
        <v>0</v>
      </c>
      <c r="T3493" s="71">
        <f t="shared" si="493"/>
        <v>0</v>
      </c>
      <c r="U3493" s="71">
        <f>IF(AND(N3493=1,V3493=1),IF(COUNTIFS(AKTIVITAS!$B$2:$B$3052,B3493,AKTIVITAS!$E$2:$E$3052,H3493)&gt;0,1,0),0)</f>
        <v>1</v>
      </c>
      <c r="V3493" s="71">
        <f>IFERROR(IF(AND(H3493&gt;=INDEX(PEMAGANG!$J$3:$J$36,MATCH(B3493,PEMAGANG!$C$3:$C$36,0)),H3493&lt;=INDEX(PEMAGANG!$K$3:$K$36,MATCH(B3493,PEMAGANG!$C$3:$C$36,0))),1,0),0)</f>
        <v>1</v>
      </c>
      <c r="W3493" s="71">
        <f t="shared" si="494"/>
        <v>1</v>
      </c>
    </row>
    <row r="3494" spans="1:23" x14ac:dyDescent="0.2">
      <c r="A3494" s="71" t="s">
        <v>230</v>
      </c>
      <c r="B3494" s="71" t="s">
        <v>231</v>
      </c>
      <c r="C3494" s="71" t="s">
        <v>187</v>
      </c>
      <c r="D3494" s="71" t="s">
        <v>229</v>
      </c>
      <c r="E3494" s="71" t="s">
        <v>39</v>
      </c>
      <c r="F3494" s="71" t="s">
        <v>300</v>
      </c>
      <c r="G3494" s="88">
        <v>46195.687708333302</v>
      </c>
      <c r="H3494" s="89">
        <v>46195</v>
      </c>
      <c r="I3494" s="71" t="s">
        <v>330</v>
      </c>
      <c r="J3494" s="71">
        <v>0</v>
      </c>
      <c r="K3494" s="71" t="s">
        <v>302</v>
      </c>
      <c r="L3494" s="71">
        <f t="shared" si="486"/>
        <v>6</v>
      </c>
      <c r="M3494" s="71" t="str">
        <f>IFERROR(INDEX(KALENDER!$D$3:$D$132,MATCH(H3494,KALENDER!$A$3:$A$132,0)),"Di luar periode")</f>
        <v>Hari Kerja</v>
      </c>
      <c r="N3494" s="71">
        <f t="shared" si="487"/>
        <v>0</v>
      </c>
      <c r="O3494" s="71">
        <f t="shared" si="488"/>
        <v>1</v>
      </c>
      <c r="P3494" s="71">
        <f t="shared" si="489"/>
        <v>0</v>
      </c>
      <c r="Q3494" s="71">
        <f t="shared" si="490"/>
        <v>0</v>
      </c>
      <c r="R3494" s="71">
        <f t="shared" si="491"/>
        <v>0</v>
      </c>
      <c r="S3494" s="71">
        <f t="shared" si="492"/>
        <v>0</v>
      </c>
      <c r="T3494" s="71">
        <f t="shared" si="493"/>
        <v>0</v>
      </c>
      <c r="U3494" s="71">
        <f>IF(AND(N3494=1,V3494=1),IF(COUNTIFS(AKTIVITAS!$B$2:$B$3052,B3494,AKTIVITAS!$E$2:$E$3052,H3494)&gt;0,1,0),0)</f>
        <v>0</v>
      </c>
      <c r="V3494" s="71">
        <f>IFERROR(IF(AND(H3494&gt;=INDEX(PEMAGANG!$J$3:$J$36,MATCH(B3494,PEMAGANG!$C$3:$C$36,0)),H3494&lt;=INDEX(PEMAGANG!$K$3:$K$36,MATCH(B3494,PEMAGANG!$C$3:$C$36,0))),1,0),0)</f>
        <v>1</v>
      </c>
      <c r="W3494" s="71">
        <f t="shared" si="494"/>
        <v>0</v>
      </c>
    </row>
    <row r="3495" spans="1:23" x14ac:dyDescent="0.2">
      <c r="A3495" s="71" t="s">
        <v>230</v>
      </c>
      <c r="B3495" s="71" t="s">
        <v>231</v>
      </c>
      <c r="C3495" s="71" t="s">
        <v>187</v>
      </c>
      <c r="D3495" s="71" t="s">
        <v>229</v>
      </c>
      <c r="E3495" s="71" t="s">
        <v>39</v>
      </c>
      <c r="F3495" s="71" t="s">
        <v>298</v>
      </c>
      <c r="G3495" s="88">
        <v>46196.284120370401</v>
      </c>
      <c r="H3495" s="89">
        <v>46196</v>
      </c>
      <c r="I3495" s="71" t="s">
        <v>699</v>
      </c>
      <c r="J3495" s="71">
        <v>-41</v>
      </c>
      <c r="K3495" s="71" t="s">
        <v>302</v>
      </c>
      <c r="L3495" s="71">
        <f t="shared" si="486"/>
        <v>6</v>
      </c>
      <c r="M3495" s="71" t="str">
        <f>IFERROR(INDEX(KALENDER!$D$3:$D$132,MATCH(H3495,KALENDER!$A$3:$A$132,0)),"Di luar periode")</f>
        <v>Hari Kerja</v>
      </c>
      <c r="N3495" s="71">
        <f t="shared" si="487"/>
        <v>1</v>
      </c>
      <c r="O3495" s="71">
        <f t="shared" si="488"/>
        <v>1</v>
      </c>
      <c r="P3495" s="71">
        <f t="shared" si="489"/>
        <v>1</v>
      </c>
      <c r="Q3495" s="71">
        <f t="shared" si="490"/>
        <v>0</v>
      </c>
      <c r="R3495" s="71">
        <f t="shared" si="491"/>
        <v>0</v>
      </c>
      <c r="S3495" s="71">
        <f t="shared" si="492"/>
        <v>0</v>
      </c>
      <c r="T3495" s="71">
        <f t="shared" si="493"/>
        <v>0</v>
      </c>
      <c r="U3495" s="71">
        <f>IF(AND(N3495=1,V3495=1),IF(COUNTIFS(AKTIVITAS!$B$2:$B$3052,B3495,AKTIVITAS!$E$2:$E$3052,H3495)&gt;0,1,0),0)</f>
        <v>1</v>
      </c>
      <c r="V3495" s="71">
        <f>IFERROR(IF(AND(H3495&gt;=INDEX(PEMAGANG!$J$3:$J$36,MATCH(B3495,PEMAGANG!$C$3:$C$36,0)),H3495&lt;=INDEX(PEMAGANG!$K$3:$K$36,MATCH(B3495,PEMAGANG!$C$3:$C$36,0))),1,0),0)</f>
        <v>1</v>
      </c>
      <c r="W3495" s="71">
        <f t="shared" si="494"/>
        <v>1</v>
      </c>
    </row>
    <row r="3496" spans="1:23" x14ac:dyDescent="0.2">
      <c r="A3496" s="71" t="s">
        <v>230</v>
      </c>
      <c r="B3496" s="71" t="s">
        <v>231</v>
      </c>
      <c r="C3496" s="71" t="s">
        <v>187</v>
      </c>
      <c r="D3496" s="71" t="s">
        <v>229</v>
      </c>
      <c r="E3496" s="71" t="s">
        <v>39</v>
      </c>
      <c r="F3496" s="71" t="s">
        <v>300</v>
      </c>
      <c r="G3496" s="88">
        <v>46196.687789351898</v>
      </c>
      <c r="H3496" s="89">
        <v>46196</v>
      </c>
      <c r="I3496" s="71" t="s">
        <v>330</v>
      </c>
      <c r="J3496" s="71">
        <v>0</v>
      </c>
      <c r="K3496" s="71" t="s">
        <v>302</v>
      </c>
      <c r="L3496" s="71">
        <f t="shared" si="486"/>
        <v>6</v>
      </c>
      <c r="M3496" s="71" t="str">
        <f>IFERROR(INDEX(KALENDER!$D$3:$D$132,MATCH(H3496,KALENDER!$A$3:$A$132,0)),"Di luar periode")</f>
        <v>Hari Kerja</v>
      </c>
      <c r="N3496" s="71">
        <f t="shared" si="487"/>
        <v>0</v>
      </c>
      <c r="O3496" s="71">
        <f t="shared" si="488"/>
        <v>1</v>
      </c>
      <c r="P3496" s="71">
        <f t="shared" si="489"/>
        <v>0</v>
      </c>
      <c r="Q3496" s="71">
        <f t="shared" si="490"/>
        <v>0</v>
      </c>
      <c r="R3496" s="71">
        <f t="shared" si="491"/>
        <v>0</v>
      </c>
      <c r="S3496" s="71">
        <f t="shared" si="492"/>
        <v>0</v>
      </c>
      <c r="T3496" s="71">
        <f t="shared" si="493"/>
        <v>0</v>
      </c>
      <c r="U3496" s="71">
        <f>IF(AND(N3496=1,V3496=1),IF(COUNTIFS(AKTIVITAS!$B$2:$B$3052,B3496,AKTIVITAS!$E$2:$E$3052,H3496)&gt;0,1,0),0)</f>
        <v>0</v>
      </c>
      <c r="V3496" s="71">
        <f>IFERROR(IF(AND(H3496&gt;=INDEX(PEMAGANG!$J$3:$J$36,MATCH(B3496,PEMAGANG!$C$3:$C$36,0)),H3496&lt;=INDEX(PEMAGANG!$K$3:$K$36,MATCH(B3496,PEMAGANG!$C$3:$C$36,0))),1,0),0)</f>
        <v>1</v>
      </c>
      <c r="W3496" s="71">
        <f t="shared" si="494"/>
        <v>0</v>
      </c>
    </row>
    <row r="3497" spans="1:23" x14ac:dyDescent="0.2">
      <c r="A3497" s="71" t="s">
        <v>230</v>
      </c>
      <c r="B3497" s="71" t="s">
        <v>231</v>
      </c>
      <c r="C3497" s="71" t="s">
        <v>187</v>
      </c>
      <c r="D3497" s="71" t="s">
        <v>229</v>
      </c>
      <c r="E3497" s="71" t="s">
        <v>39</v>
      </c>
      <c r="F3497" s="71" t="s">
        <v>298</v>
      </c>
      <c r="G3497" s="88">
        <v>46198.280787037002</v>
      </c>
      <c r="H3497" s="89">
        <v>46198</v>
      </c>
      <c r="I3497" s="71" t="s">
        <v>501</v>
      </c>
      <c r="J3497" s="71">
        <v>-46</v>
      </c>
      <c r="K3497" s="71" t="s">
        <v>302</v>
      </c>
      <c r="L3497" s="71">
        <f t="shared" si="486"/>
        <v>6</v>
      </c>
      <c r="M3497" s="71" t="str">
        <f>IFERROR(INDEX(KALENDER!$D$3:$D$132,MATCH(H3497,KALENDER!$A$3:$A$132,0)),"Di luar periode")</f>
        <v>Hari Kerja</v>
      </c>
      <c r="N3497" s="71">
        <f t="shared" si="487"/>
        <v>1</v>
      </c>
      <c r="O3497" s="71">
        <f t="shared" si="488"/>
        <v>1</v>
      </c>
      <c r="P3497" s="71">
        <f t="shared" si="489"/>
        <v>1</v>
      </c>
      <c r="Q3497" s="71">
        <f t="shared" si="490"/>
        <v>0</v>
      </c>
      <c r="R3497" s="71">
        <f t="shared" si="491"/>
        <v>0</v>
      </c>
      <c r="S3497" s="71">
        <f t="shared" si="492"/>
        <v>0</v>
      </c>
      <c r="T3497" s="71">
        <f t="shared" si="493"/>
        <v>0</v>
      </c>
      <c r="U3497" s="71">
        <f>IF(AND(N3497=1,V3497=1),IF(COUNTIFS(AKTIVITAS!$B$2:$B$3052,B3497,AKTIVITAS!$E$2:$E$3052,H3497)&gt;0,1,0),0)</f>
        <v>1</v>
      </c>
      <c r="V3497" s="71">
        <f>IFERROR(IF(AND(H3497&gt;=INDEX(PEMAGANG!$J$3:$J$36,MATCH(B3497,PEMAGANG!$C$3:$C$36,0)),H3497&lt;=INDEX(PEMAGANG!$K$3:$K$36,MATCH(B3497,PEMAGANG!$C$3:$C$36,0))),1,0),0)</f>
        <v>1</v>
      </c>
      <c r="W3497" s="71">
        <f t="shared" si="494"/>
        <v>1</v>
      </c>
    </row>
    <row r="3498" spans="1:23" x14ac:dyDescent="0.2">
      <c r="A3498" s="71" t="s">
        <v>230</v>
      </c>
      <c r="B3498" s="71" t="s">
        <v>231</v>
      </c>
      <c r="C3498" s="71" t="s">
        <v>187</v>
      </c>
      <c r="D3498" s="71" t="s">
        <v>229</v>
      </c>
      <c r="E3498" s="71" t="s">
        <v>39</v>
      </c>
      <c r="F3498" s="71" t="s">
        <v>300</v>
      </c>
      <c r="G3498" s="88">
        <v>46198.687777777799</v>
      </c>
      <c r="H3498" s="89">
        <v>46198</v>
      </c>
      <c r="I3498" s="71" t="s">
        <v>330</v>
      </c>
      <c r="J3498" s="71">
        <v>0</v>
      </c>
      <c r="K3498" s="71" t="s">
        <v>302</v>
      </c>
      <c r="L3498" s="71">
        <f t="shared" si="486"/>
        <v>6</v>
      </c>
      <c r="M3498" s="71" t="str">
        <f>IFERROR(INDEX(KALENDER!$D$3:$D$132,MATCH(H3498,KALENDER!$A$3:$A$132,0)),"Di luar periode")</f>
        <v>Hari Kerja</v>
      </c>
      <c r="N3498" s="71">
        <f t="shared" si="487"/>
        <v>0</v>
      </c>
      <c r="O3498" s="71">
        <f t="shared" si="488"/>
        <v>1</v>
      </c>
      <c r="P3498" s="71">
        <f t="shared" si="489"/>
        <v>0</v>
      </c>
      <c r="Q3498" s="71">
        <f t="shared" si="490"/>
        <v>0</v>
      </c>
      <c r="R3498" s="71">
        <f t="shared" si="491"/>
        <v>0</v>
      </c>
      <c r="S3498" s="71">
        <f t="shared" si="492"/>
        <v>0</v>
      </c>
      <c r="T3498" s="71">
        <f t="shared" si="493"/>
        <v>0</v>
      </c>
      <c r="U3498" s="71">
        <f>IF(AND(N3498=1,V3498=1),IF(COUNTIFS(AKTIVITAS!$B$2:$B$3052,B3498,AKTIVITAS!$E$2:$E$3052,H3498)&gt;0,1,0),0)</f>
        <v>0</v>
      </c>
      <c r="V3498" s="71">
        <f>IFERROR(IF(AND(H3498&gt;=INDEX(PEMAGANG!$J$3:$J$36,MATCH(B3498,PEMAGANG!$C$3:$C$36,0)),H3498&lt;=INDEX(PEMAGANG!$K$3:$K$36,MATCH(B3498,PEMAGANG!$C$3:$C$36,0))),1,0),0)</f>
        <v>1</v>
      </c>
      <c r="W3498" s="71">
        <f t="shared" si="494"/>
        <v>0</v>
      </c>
    </row>
    <row r="3499" spans="1:23" x14ac:dyDescent="0.2">
      <c r="A3499" s="71" t="s">
        <v>230</v>
      </c>
      <c r="B3499" s="71" t="s">
        <v>231</v>
      </c>
      <c r="C3499" s="71" t="s">
        <v>187</v>
      </c>
      <c r="D3499" s="71" t="s">
        <v>229</v>
      </c>
      <c r="E3499" s="71" t="s">
        <v>39</v>
      </c>
      <c r="F3499" s="71" t="s">
        <v>298</v>
      </c>
      <c r="G3499" s="88">
        <v>46199.292500000003</v>
      </c>
      <c r="H3499" s="89">
        <v>46199</v>
      </c>
      <c r="I3499" s="71" t="s">
        <v>491</v>
      </c>
      <c r="J3499" s="71">
        <v>-29</v>
      </c>
      <c r="K3499" s="71" t="s">
        <v>302</v>
      </c>
      <c r="L3499" s="71">
        <f t="shared" si="486"/>
        <v>6</v>
      </c>
      <c r="M3499" s="71" t="str">
        <f>IFERROR(INDEX(KALENDER!$D$3:$D$132,MATCH(H3499,KALENDER!$A$3:$A$132,0)),"Di luar periode")</f>
        <v>Hari Kerja</v>
      </c>
      <c r="N3499" s="71">
        <f t="shared" si="487"/>
        <v>1</v>
      </c>
      <c r="O3499" s="71">
        <f t="shared" si="488"/>
        <v>1</v>
      </c>
      <c r="P3499" s="71">
        <f t="shared" si="489"/>
        <v>1</v>
      </c>
      <c r="Q3499" s="71">
        <f t="shared" si="490"/>
        <v>0</v>
      </c>
      <c r="R3499" s="71">
        <f t="shared" si="491"/>
        <v>0</v>
      </c>
      <c r="S3499" s="71">
        <f t="shared" si="492"/>
        <v>0</v>
      </c>
      <c r="T3499" s="71">
        <f t="shared" si="493"/>
        <v>0</v>
      </c>
      <c r="U3499" s="71">
        <f>IF(AND(N3499=1,V3499=1),IF(COUNTIFS(AKTIVITAS!$B$2:$B$3052,B3499,AKTIVITAS!$E$2:$E$3052,H3499)&gt;0,1,0),0)</f>
        <v>0</v>
      </c>
      <c r="V3499" s="71">
        <f>IFERROR(IF(AND(H3499&gt;=INDEX(PEMAGANG!$J$3:$J$36,MATCH(B3499,PEMAGANG!$C$3:$C$36,0)),H3499&lt;=INDEX(PEMAGANG!$K$3:$K$36,MATCH(B3499,PEMAGANG!$C$3:$C$36,0))),1,0),0)</f>
        <v>1</v>
      </c>
      <c r="W3499" s="71">
        <f t="shared" si="494"/>
        <v>1</v>
      </c>
    </row>
    <row r="3500" spans="1:23" x14ac:dyDescent="0.2">
      <c r="A3500" s="71" t="s">
        <v>230</v>
      </c>
      <c r="B3500" s="71" t="s">
        <v>231</v>
      </c>
      <c r="C3500" s="71" t="s">
        <v>187</v>
      </c>
      <c r="D3500" s="71" t="s">
        <v>229</v>
      </c>
      <c r="E3500" s="71" t="s">
        <v>39</v>
      </c>
      <c r="F3500" s="71" t="s">
        <v>300</v>
      </c>
      <c r="G3500" s="88">
        <v>46199.687916666699</v>
      </c>
      <c r="H3500" s="89">
        <v>46199</v>
      </c>
      <c r="I3500" s="71" t="s">
        <v>330</v>
      </c>
      <c r="J3500" s="71">
        <v>0</v>
      </c>
      <c r="K3500" s="71" t="s">
        <v>302</v>
      </c>
      <c r="L3500" s="71">
        <f t="shared" si="486"/>
        <v>6</v>
      </c>
      <c r="M3500" s="71" t="str">
        <f>IFERROR(INDEX(KALENDER!$D$3:$D$132,MATCH(H3500,KALENDER!$A$3:$A$132,0)),"Di luar periode")</f>
        <v>Hari Kerja</v>
      </c>
      <c r="N3500" s="71">
        <f t="shared" si="487"/>
        <v>0</v>
      </c>
      <c r="O3500" s="71">
        <f t="shared" si="488"/>
        <v>1</v>
      </c>
      <c r="P3500" s="71">
        <f t="shared" si="489"/>
        <v>0</v>
      </c>
      <c r="Q3500" s="71">
        <f t="shared" si="490"/>
        <v>0</v>
      </c>
      <c r="R3500" s="71">
        <f t="shared" si="491"/>
        <v>0</v>
      </c>
      <c r="S3500" s="71">
        <f t="shared" si="492"/>
        <v>0</v>
      </c>
      <c r="T3500" s="71">
        <f t="shared" si="493"/>
        <v>0</v>
      </c>
      <c r="U3500" s="71">
        <f>IF(AND(N3500=1,V3500=1),IF(COUNTIFS(AKTIVITAS!$B$2:$B$3052,B3500,AKTIVITAS!$E$2:$E$3052,H3500)&gt;0,1,0),0)</f>
        <v>0</v>
      </c>
      <c r="V3500" s="71">
        <f>IFERROR(IF(AND(H3500&gt;=INDEX(PEMAGANG!$J$3:$J$36,MATCH(B3500,PEMAGANG!$C$3:$C$36,0)),H3500&lt;=INDEX(PEMAGANG!$K$3:$K$36,MATCH(B3500,PEMAGANG!$C$3:$C$36,0))),1,0),0)</f>
        <v>1</v>
      </c>
      <c r="W3500" s="71">
        <f t="shared" si="494"/>
        <v>0</v>
      </c>
    </row>
    <row r="3501" spans="1:23" x14ac:dyDescent="0.2">
      <c r="A3501" s="71" t="s">
        <v>230</v>
      </c>
      <c r="B3501" s="71" t="s">
        <v>231</v>
      </c>
      <c r="C3501" s="71" t="s">
        <v>187</v>
      </c>
      <c r="D3501" s="71" t="s">
        <v>229</v>
      </c>
      <c r="E3501" s="71" t="s">
        <v>39</v>
      </c>
      <c r="F3501" s="71" t="s">
        <v>298</v>
      </c>
      <c r="G3501" s="88">
        <v>46202.300219907404</v>
      </c>
      <c r="H3501" s="89">
        <v>46202</v>
      </c>
      <c r="I3501" s="71" t="s">
        <v>478</v>
      </c>
      <c r="J3501" s="71">
        <v>-18</v>
      </c>
      <c r="K3501" s="71" t="s">
        <v>302</v>
      </c>
      <c r="L3501" s="71">
        <f t="shared" si="486"/>
        <v>6</v>
      </c>
      <c r="M3501" s="71" t="str">
        <f>IFERROR(INDEX(KALENDER!$D$3:$D$132,MATCH(H3501,KALENDER!$A$3:$A$132,0)),"Di luar periode")</f>
        <v>Hari Kerja</v>
      </c>
      <c r="N3501" s="71">
        <f t="shared" si="487"/>
        <v>1</v>
      </c>
      <c r="O3501" s="71">
        <f t="shared" si="488"/>
        <v>1</v>
      </c>
      <c r="P3501" s="71">
        <f t="shared" si="489"/>
        <v>1</v>
      </c>
      <c r="Q3501" s="71">
        <f t="shared" si="490"/>
        <v>0</v>
      </c>
      <c r="R3501" s="71">
        <f t="shared" si="491"/>
        <v>0</v>
      </c>
      <c r="S3501" s="71">
        <f t="shared" si="492"/>
        <v>0</v>
      </c>
      <c r="T3501" s="71">
        <f t="shared" si="493"/>
        <v>0</v>
      </c>
      <c r="U3501" s="71">
        <f>IF(AND(N3501=1,V3501=1),IF(COUNTIFS(AKTIVITAS!$B$2:$B$3052,B3501,AKTIVITAS!$E$2:$E$3052,H3501)&gt;0,1,0),0)</f>
        <v>1</v>
      </c>
      <c r="V3501" s="71">
        <f>IFERROR(IF(AND(H3501&gt;=INDEX(PEMAGANG!$J$3:$J$36,MATCH(B3501,PEMAGANG!$C$3:$C$36,0)),H3501&lt;=INDEX(PEMAGANG!$K$3:$K$36,MATCH(B3501,PEMAGANG!$C$3:$C$36,0))),1,0),0)</f>
        <v>1</v>
      </c>
      <c r="W3501" s="71">
        <f t="shared" si="494"/>
        <v>1</v>
      </c>
    </row>
    <row r="3502" spans="1:23" x14ac:dyDescent="0.2">
      <c r="A3502" s="71" t="s">
        <v>230</v>
      </c>
      <c r="B3502" s="71" t="s">
        <v>231</v>
      </c>
      <c r="C3502" s="71" t="s">
        <v>187</v>
      </c>
      <c r="D3502" s="71" t="s">
        <v>229</v>
      </c>
      <c r="E3502" s="71" t="s">
        <v>39</v>
      </c>
      <c r="F3502" s="71" t="s">
        <v>300</v>
      </c>
      <c r="G3502" s="88">
        <v>46202.687835648198</v>
      </c>
      <c r="H3502" s="89">
        <v>46202</v>
      </c>
      <c r="I3502" s="71" t="s">
        <v>330</v>
      </c>
      <c r="J3502" s="71">
        <v>0</v>
      </c>
      <c r="K3502" s="71" t="s">
        <v>302</v>
      </c>
      <c r="L3502" s="71">
        <f t="shared" si="486"/>
        <v>6</v>
      </c>
      <c r="M3502" s="71" t="str">
        <f>IFERROR(INDEX(KALENDER!$D$3:$D$132,MATCH(H3502,KALENDER!$A$3:$A$132,0)),"Di luar periode")</f>
        <v>Hari Kerja</v>
      </c>
      <c r="N3502" s="71">
        <f t="shared" si="487"/>
        <v>0</v>
      </c>
      <c r="O3502" s="71">
        <f t="shared" si="488"/>
        <v>1</v>
      </c>
      <c r="P3502" s="71">
        <f t="shared" si="489"/>
        <v>0</v>
      </c>
      <c r="Q3502" s="71">
        <f t="shared" si="490"/>
        <v>0</v>
      </c>
      <c r="R3502" s="71">
        <f t="shared" si="491"/>
        <v>0</v>
      </c>
      <c r="S3502" s="71">
        <f t="shared" si="492"/>
        <v>0</v>
      </c>
      <c r="T3502" s="71">
        <f t="shared" si="493"/>
        <v>0</v>
      </c>
      <c r="U3502" s="71">
        <f>IF(AND(N3502=1,V3502=1),IF(COUNTIFS(AKTIVITAS!$B$2:$B$3052,B3502,AKTIVITAS!$E$2:$E$3052,H3502)&gt;0,1,0),0)</f>
        <v>0</v>
      </c>
      <c r="V3502" s="71">
        <f>IFERROR(IF(AND(H3502&gt;=INDEX(PEMAGANG!$J$3:$J$36,MATCH(B3502,PEMAGANG!$C$3:$C$36,0)),H3502&lt;=INDEX(PEMAGANG!$K$3:$K$36,MATCH(B3502,PEMAGANG!$C$3:$C$36,0))),1,0),0)</f>
        <v>1</v>
      </c>
      <c r="W3502" s="71">
        <f t="shared" si="494"/>
        <v>0</v>
      </c>
    </row>
    <row r="3503" spans="1:23" x14ac:dyDescent="0.2">
      <c r="A3503" s="71" t="s">
        <v>230</v>
      </c>
      <c r="B3503" s="71" t="s">
        <v>231</v>
      </c>
      <c r="C3503" s="71" t="s">
        <v>187</v>
      </c>
      <c r="D3503" s="71" t="s">
        <v>229</v>
      </c>
      <c r="E3503" s="71" t="s">
        <v>39</v>
      </c>
      <c r="F3503" s="71" t="s">
        <v>298</v>
      </c>
      <c r="G3503" s="88">
        <v>46203.2911805556</v>
      </c>
      <c r="H3503" s="89">
        <v>46203</v>
      </c>
      <c r="I3503" s="71" t="s">
        <v>485</v>
      </c>
      <c r="J3503" s="71">
        <v>-31</v>
      </c>
      <c r="K3503" s="71" t="s">
        <v>302</v>
      </c>
      <c r="L3503" s="71">
        <f t="shared" si="486"/>
        <v>6</v>
      </c>
      <c r="M3503" s="71" t="str">
        <f>IFERROR(INDEX(KALENDER!$D$3:$D$132,MATCH(H3503,KALENDER!$A$3:$A$132,0)),"Di luar periode")</f>
        <v>Hari Kerja</v>
      </c>
      <c r="N3503" s="71">
        <f t="shared" si="487"/>
        <v>1</v>
      </c>
      <c r="O3503" s="71">
        <f t="shared" si="488"/>
        <v>1</v>
      </c>
      <c r="P3503" s="71">
        <f t="shared" si="489"/>
        <v>1</v>
      </c>
      <c r="Q3503" s="71">
        <f t="shared" si="490"/>
        <v>0</v>
      </c>
      <c r="R3503" s="71">
        <f t="shared" si="491"/>
        <v>0</v>
      </c>
      <c r="S3503" s="71">
        <f t="shared" si="492"/>
        <v>0</v>
      </c>
      <c r="T3503" s="71">
        <f t="shared" si="493"/>
        <v>1</v>
      </c>
      <c r="U3503" s="71">
        <f>IF(AND(N3503=1,V3503=1),IF(COUNTIFS(AKTIVITAS!$B$2:$B$3052,B3503,AKTIVITAS!$E$2:$E$3052,H3503)&gt;0,1,0),0)</f>
        <v>0</v>
      </c>
      <c r="V3503" s="71">
        <f>IFERROR(IF(AND(H3503&gt;=INDEX(PEMAGANG!$J$3:$J$36,MATCH(B3503,PEMAGANG!$C$3:$C$36,0)),H3503&lt;=INDEX(PEMAGANG!$K$3:$K$36,MATCH(B3503,PEMAGANG!$C$3:$C$36,0))),1,0),0)</f>
        <v>1</v>
      </c>
      <c r="W3503" s="71">
        <f t="shared" si="494"/>
        <v>1</v>
      </c>
    </row>
    <row r="3504" spans="1:23" x14ac:dyDescent="0.2">
      <c r="A3504" s="71" t="s">
        <v>230</v>
      </c>
      <c r="B3504" s="71" t="s">
        <v>231</v>
      </c>
      <c r="C3504" s="71" t="s">
        <v>187</v>
      </c>
      <c r="D3504" s="71" t="s">
        <v>229</v>
      </c>
      <c r="E3504" s="71" t="s">
        <v>39</v>
      </c>
      <c r="F3504" s="71" t="s">
        <v>298</v>
      </c>
      <c r="G3504" s="88">
        <v>46205.2825115741</v>
      </c>
      <c r="H3504" s="89">
        <v>46205</v>
      </c>
      <c r="I3504" s="71" t="s">
        <v>509</v>
      </c>
      <c r="J3504" s="71">
        <v>-44</v>
      </c>
      <c r="K3504" s="71" t="s">
        <v>302</v>
      </c>
      <c r="L3504" s="71">
        <f t="shared" si="486"/>
        <v>7</v>
      </c>
      <c r="M3504" s="71" t="str">
        <f>IFERROR(INDEX(KALENDER!$D$3:$D$132,MATCH(H3504,KALENDER!$A$3:$A$132,0)),"Di luar periode")</f>
        <v>Hari Kerja</v>
      </c>
      <c r="N3504" s="71">
        <f t="shared" si="487"/>
        <v>1</v>
      </c>
      <c r="O3504" s="71">
        <f t="shared" si="488"/>
        <v>1</v>
      </c>
      <c r="P3504" s="71">
        <f t="shared" si="489"/>
        <v>0</v>
      </c>
      <c r="Q3504" s="71">
        <f t="shared" si="490"/>
        <v>1</v>
      </c>
      <c r="R3504" s="71">
        <f t="shared" si="491"/>
        <v>0</v>
      </c>
      <c r="S3504" s="71">
        <f t="shared" si="492"/>
        <v>0</v>
      </c>
      <c r="T3504" s="71">
        <f t="shared" si="493"/>
        <v>0</v>
      </c>
      <c r="U3504" s="71">
        <f>IF(AND(N3504=1,V3504=1),IF(COUNTIFS(AKTIVITAS!$B$2:$B$3052,B3504,AKTIVITAS!$E$2:$E$3052,H3504)&gt;0,1,0),0)</f>
        <v>0</v>
      </c>
      <c r="V3504" s="71">
        <f>IFERROR(IF(AND(H3504&gt;=INDEX(PEMAGANG!$J$3:$J$36,MATCH(B3504,PEMAGANG!$C$3:$C$36,0)),H3504&lt;=INDEX(PEMAGANG!$K$3:$K$36,MATCH(B3504,PEMAGANG!$C$3:$C$36,0))),1,0),0)</f>
        <v>0</v>
      </c>
      <c r="W3504" s="71">
        <f t="shared" si="494"/>
        <v>0</v>
      </c>
    </row>
    <row r="3505" spans="1:23" x14ac:dyDescent="0.2">
      <c r="A3505" s="71" t="s">
        <v>196</v>
      </c>
      <c r="B3505" s="71" t="s">
        <v>197</v>
      </c>
      <c r="C3505" s="71" t="s">
        <v>187</v>
      </c>
      <c r="D3505" s="71" t="s">
        <v>185</v>
      </c>
      <c r="E3505" s="71" t="s">
        <v>47</v>
      </c>
      <c r="F3505" s="71" t="s">
        <v>298</v>
      </c>
      <c r="G3505" s="88">
        <v>46244.494421296302</v>
      </c>
      <c r="H3505" s="89">
        <v>46244</v>
      </c>
      <c r="I3505" s="71" t="s">
        <v>412</v>
      </c>
      <c r="J3505" s="71">
        <v>261</v>
      </c>
      <c r="K3505" s="71" t="s">
        <v>293</v>
      </c>
      <c r="L3505" s="71">
        <f t="shared" si="486"/>
        <v>8</v>
      </c>
      <c r="M3505" s="71" t="str">
        <f>IFERROR(INDEX(KALENDER!$D$3:$D$132,MATCH(H3505,KALENDER!$A$3:$A$132,0)),"Di luar periode")</f>
        <v>Hari Kerja</v>
      </c>
      <c r="N3505" s="71">
        <f t="shared" si="487"/>
        <v>1</v>
      </c>
      <c r="O3505" s="71">
        <f t="shared" si="488"/>
        <v>1</v>
      </c>
      <c r="P3505" s="71">
        <f t="shared" si="489"/>
        <v>1</v>
      </c>
      <c r="Q3505" s="71">
        <f t="shared" si="490"/>
        <v>0</v>
      </c>
      <c r="R3505" s="71">
        <f t="shared" si="491"/>
        <v>1</v>
      </c>
      <c r="S3505" s="71">
        <f t="shared" si="492"/>
        <v>261</v>
      </c>
      <c r="T3505" s="71">
        <f t="shared" si="493"/>
        <v>0</v>
      </c>
      <c r="U3505" s="71">
        <f>IF(AND(N3505=1,V3505=1),IF(COUNTIFS(AKTIVITAS!$B$2:$B$3052,B3505,AKTIVITAS!$E$2:$E$3052,H3505)&gt;0,1,0),0)</f>
        <v>0</v>
      </c>
      <c r="V3505" s="71">
        <f>IFERROR(IF(AND(H3505&gt;=INDEX(PEMAGANG!$J$3:$J$36,MATCH(B3505,PEMAGANG!$C$3:$C$36,0)),H3505&lt;=INDEX(PEMAGANG!$K$3:$K$36,MATCH(B3505,PEMAGANG!$C$3:$C$36,0))),1,0),0)</f>
        <v>1</v>
      </c>
      <c r="W3505" s="71">
        <f t="shared" si="494"/>
        <v>1</v>
      </c>
    </row>
    <row r="3506" spans="1:23" x14ac:dyDescent="0.2">
      <c r="A3506" s="71" t="s">
        <v>196</v>
      </c>
      <c r="B3506" s="71" t="s">
        <v>197</v>
      </c>
      <c r="C3506" s="71" t="s">
        <v>187</v>
      </c>
      <c r="D3506" s="71" t="s">
        <v>185</v>
      </c>
      <c r="E3506" s="71" t="s">
        <v>47</v>
      </c>
      <c r="F3506" s="71" t="s">
        <v>300</v>
      </c>
      <c r="G3506" s="88">
        <v>46244.6902430556</v>
      </c>
      <c r="H3506" s="89">
        <v>46244</v>
      </c>
      <c r="I3506" s="71" t="s">
        <v>316</v>
      </c>
      <c r="J3506" s="71">
        <v>0</v>
      </c>
      <c r="K3506" s="71" t="s">
        <v>302</v>
      </c>
      <c r="L3506" s="71">
        <f t="shared" si="486"/>
        <v>8</v>
      </c>
      <c r="M3506" s="71" t="str">
        <f>IFERROR(INDEX(KALENDER!$D$3:$D$132,MATCH(H3506,KALENDER!$A$3:$A$132,0)),"Di luar periode")</f>
        <v>Hari Kerja</v>
      </c>
      <c r="N3506" s="71">
        <f t="shared" si="487"/>
        <v>0</v>
      </c>
      <c r="O3506" s="71">
        <f t="shared" si="488"/>
        <v>1</v>
      </c>
      <c r="P3506" s="71">
        <f t="shared" si="489"/>
        <v>0</v>
      </c>
      <c r="Q3506" s="71">
        <f t="shared" si="490"/>
        <v>0</v>
      </c>
      <c r="R3506" s="71">
        <f t="shared" si="491"/>
        <v>0</v>
      </c>
      <c r="S3506" s="71">
        <f t="shared" si="492"/>
        <v>0</v>
      </c>
      <c r="T3506" s="71">
        <f t="shared" si="493"/>
        <v>0</v>
      </c>
      <c r="U3506" s="71">
        <f>IF(AND(N3506=1,V3506=1),IF(COUNTIFS(AKTIVITAS!$B$2:$B$3052,B3506,AKTIVITAS!$E$2:$E$3052,H3506)&gt;0,1,0),0)</f>
        <v>0</v>
      </c>
      <c r="V3506" s="71">
        <f>IFERROR(IF(AND(H3506&gt;=INDEX(PEMAGANG!$J$3:$J$36,MATCH(B3506,PEMAGANG!$C$3:$C$36,0)),H3506&lt;=INDEX(PEMAGANG!$K$3:$K$36,MATCH(B3506,PEMAGANG!$C$3:$C$36,0))),1,0),0)</f>
        <v>1</v>
      </c>
      <c r="W3506" s="71">
        <f t="shared" si="494"/>
        <v>0</v>
      </c>
    </row>
    <row r="3507" spans="1:23" x14ac:dyDescent="0.2">
      <c r="A3507" s="71" t="s">
        <v>196</v>
      </c>
      <c r="B3507" s="71" t="s">
        <v>197</v>
      </c>
      <c r="C3507" s="71" t="s">
        <v>187</v>
      </c>
      <c r="D3507" s="71" t="s">
        <v>185</v>
      </c>
      <c r="E3507" s="71" t="s">
        <v>47</v>
      </c>
      <c r="F3507" s="71" t="s">
        <v>298</v>
      </c>
      <c r="G3507" s="88">
        <v>46245.307928240698</v>
      </c>
      <c r="H3507" s="89">
        <v>46245</v>
      </c>
      <c r="I3507" s="71" t="s">
        <v>311</v>
      </c>
      <c r="J3507" s="71">
        <v>-6.9999999999999796</v>
      </c>
      <c r="K3507" s="71" t="s">
        <v>302</v>
      </c>
      <c r="L3507" s="71">
        <f t="shared" si="486"/>
        <v>8</v>
      </c>
      <c r="M3507" s="71" t="str">
        <f>IFERROR(INDEX(KALENDER!$D$3:$D$132,MATCH(H3507,KALENDER!$A$3:$A$132,0)),"Di luar periode")</f>
        <v>Hari Kerja</v>
      </c>
      <c r="N3507" s="71">
        <f t="shared" si="487"/>
        <v>1</v>
      </c>
      <c r="O3507" s="71">
        <f t="shared" si="488"/>
        <v>1</v>
      </c>
      <c r="P3507" s="71">
        <f t="shared" si="489"/>
        <v>1</v>
      </c>
      <c r="Q3507" s="71">
        <f t="shared" si="490"/>
        <v>0</v>
      </c>
      <c r="R3507" s="71">
        <f t="shared" si="491"/>
        <v>0</v>
      </c>
      <c r="S3507" s="71">
        <f t="shared" si="492"/>
        <v>0</v>
      </c>
      <c r="T3507" s="71">
        <f t="shared" si="493"/>
        <v>0</v>
      </c>
      <c r="U3507" s="71">
        <f>IF(AND(N3507=1,V3507=1),IF(COUNTIFS(AKTIVITAS!$B$2:$B$3052,B3507,AKTIVITAS!$E$2:$E$3052,H3507)&gt;0,1,0),0)</f>
        <v>1</v>
      </c>
      <c r="V3507" s="71">
        <f>IFERROR(IF(AND(H3507&gt;=INDEX(PEMAGANG!$J$3:$J$36,MATCH(B3507,PEMAGANG!$C$3:$C$36,0)),H3507&lt;=INDEX(PEMAGANG!$K$3:$K$36,MATCH(B3507,PEMAGANG!$C$3:$C$36,0))),1,0),0)</f>
        <v>1</v>
      </c>
      <c r="W3507" s="71">
        <f t="shared" si="494"/>
        <v>1</v>
      </c>
    </row>
    <row r="3508" spans="1:23" x14ac:dyDescent="0.2">
      <c r="A3508" s="71" t="s">
        <v>196</v>
      </c>
      <c r="B3508" s="71" t="s">
        <v>197</v>
      </c>
      <c r="C3508" s="71" t="s">
        <v>187</v>
      </c>
      <c r="D3508" s="71" t="s">
        <v>185</v>
      </c>
      <c r="E3508" s="71" t="s">
        <v>47</v>
      </c>
      <c r="F3508" s="71" t="s">
        <v>300</v>
      </c>
      <c r="G3508" s="88">
        <v>46245.696608796301</v>
      </c>
      <c r="H3508" s="89">
        <v>46245</v>
      </c>
      <c r="I3508" s="71" t="s">
        <v>347</v>
      </c>
      <c r="J3508" s="71">
        <v>0</v>
      </c>
      <c r="K3508" s="71" t="s">
        <v>302</v>
      </c>
      <c r="L3508" s="71">
        <f t="shared" si="486"/>
        <v>8</v>
      </c>
      <c r="M3508" s="71" t="str">
        <f>IFERROR(INDEX(KALENDER!$D$3:$D$132,MATCH(H3508,KALENDER!$A$3:$A$132,0)),"Di luar periode")</f>
        <v>Hari Kerja</v>
      </c>
      <c r="N3508" s="71">
        <f t="shared" si="487"/>
        <v>0</v>
      </c>
      <c r="O3508" s="71">
        <f t="shared" si="488"/>
        <v>1</v>
      </c>
      <c r="P3508" s="71">
        <f t="shared" si="489"/>
        <v>0</v>
      </c>
      <c r="Q3508" s="71">
        <f t="shared" si="490"/>
        <v>0</v>
      </c>
      <c r="R3508" s="71">
        <f t="shared" si="491"/>
        <v>0</v>
      </c>
      <c r="S3508" s="71">
        <f t="shared" si="492"/>
        <v>0</v>
      </c>
      <c r="T3508" s="71">
        <f t="shared" si="493"/>
        <v>0</v>
      </c>
      <c r="U3508" s="71">
        <f>IF(AND(N3508=1,V3508=1),IF(COUNTIFS(AKTIVITAS!$B$2:$B$3052,B3508,AKTIVITAS!$E$2:$E$3052,H3508)&gt;0,1,0),0)</f>
        <v>0</v>
      </c>
      <c r="V3508" s="71">
        <f>IFERROR(IF(AND(H3508&gt;=INDEX(PEMAGANG!$J$3:$J$36,MATCH(B3508,PEMAGANG!$C$3:$C$36,0)),H3508&lt;=INDEX(PEMAGANG!$K$3:$K$36,MATCH(B3508,PEMAGANG!$C$3:$C$36,0))),1,0),0)</f>
        <v>1</v>
      </c>
      <c r="W3508" s="71">
        <f t="shared" si="494"/>
        <v>0</v>
      </c>
    </row>
    <row r="3509" spans="1:23" x14ac:dyDescent="0.2">
      <c r="A3509" s="71" t="s">
        <v>196</v>
      </c>
      <c r="B3509" s="71" t="s">
        <v>197</v>
      </c>
      <c r="C3509" s="71" t="s">
        <v>187</v>
      </c>
      <c r="D3509" s="71" t="s">
        <v>185</v>
      </c>
      <c r="E3509" s="71" t="s">
        <v>47</v>
      </c>
      <c r="F3509" s="71" t="s">
        <v>298</v>
      </c>
      <c r="G3509" s="88">
        <v>46246.309814814798</v>
      </c>
      <c r="H3509" s="89">
        <v>46246</v>
      </c>
      <c r="I3509" s="71" t="s">
        <v>315</v>
      </c>
      <c r="J3509" s="71">
        <v>-3.9999999999999898</v>
      </c>
      <c r="K3509" s="71" t="s">
        <v>302</v>
      </c>
      <c r="L3509" s="71">
        <f t="shared" si="486"/>
        <v>8</v>
      </c>
      <c r="M3509" s="71" t="str">
        <f>IFERROR(INDEX(KALENDER!$D$3:$D$132,MATCH(H3509,KALENDER!$A$3:$A$132,0)),"Di luar periode")</f>
        <v>Hari Kerja</v>
      </c>
      <c r="N3509" s="71">
        <f t="shared" si="487"/>
        <v>1</v>
      </c>
      <c r="O3509" s="71">
        <f t="shared" si="488"/>
        <v>1</v>
      </c>
      <c r="P3509" s="71">
        <f t="shared" si="489"/>
        <v>1</v>
      </c>
      <c r="Q3509" s="71">
        <f t="shared" si="490"/>
        <v>0</v>
      </c>
      <c r="R3509" s="71">
        <f t="shared" si="491"/>
        <v>0</v>
      </c>
      <c r="S3509" s="71">
        <f t="shared" si="492"/>
        <v>0</v>
      </c>
      <c r="T3509" s="71">
        <f t="shared" si="493"/>
        <v>0</v>
      </c>
      <c r="U3509" s="71">
        <f>IF(AND(N3509=1,V3509=1),IF(COUNTIFS(AKTIVITAS!$B$2:$B$3052,B3509,AKTIVITAS!$E$2:$E$3052,H3509)&gt;0,1,0),0)</f>
        <v>1</v>
      </c>
      <c r="V3509" s="71">
        <f>IFERROR(IF(AND(H3509&gt;=INDEX(PEMAGANG!$J$3:$J$36,MATCH(B3509,PEMAGANG!$C$3:$C$36,0)),H3509&lt;=INDEX(PEMAGANG!$K$3:$K$36,MATCH(B3509,PEMAGANG!$C$3:$C$36,0))),1,0),0)</f>
        <v>1</v>
      </c>
      <c r="W3509" s="71">
        <f t="shared" si="494"/>
        <v>1</v>
      </c>
    </row>
    <row r="3510" spans="1:23" x14ac:dyDescent="0.2">
      <c r="A3510" s="71" t="s">
        <v>196</v>
      </c>
      <c r="B3510" s="71" t="s">
        <v>197</v>
      </c>
      <c r="C3510" s="71" t="s">
        <v>187</v>
      </c>
      <c r="D3510" s="71" t="s">
        <v>185</v>
      </c>
      <c r="E3510" s="71" t="s">
        <v>47</v>
      </c>
      <c r="F3510" s="71" t="s">
        <v>300</v>
      </c>
      <c r="G3510" s="88">
        <v>46246.692523148202</v>
      </c>
      <c r="H3510" s="89">
        <v>46246</v>
      </c>
      <c r="I3510" s="71" t="s">
        <v>328</v>
      </c>
      <c r="J3510" s="71">
        <v>0</v>
      </c>
      <c r="K3510" s="71" t="s">
        <v>302</v>
      </c>
      <c r="L3510" s="71">
        <f t="shared" si="486"/>
        <v>8</v>
      </c>
      <c r="M3510" s="71" t="str">
        <f>IFERROR(INDEX(KALENDER!$D$3:$D$132,MATCH(H3510,KALENDER!$A$3:$A$132,0)),"Di luar periode")</f>
        <v>Hari Kerja</v>
      </c>
      <c r="N3510" s="71">
        <f t="shared" si="487"/>
        <v>0</v>
      </c>
      <c r="O3510" s="71">
        <f t="shared" si="488"/>
        <v>1</v>
      </c>
      <c r="P3510" s="71">
        <f t="shared" si="489"/>
        <v>0</v>
      </c>
      <c r="Q3510" s="71">
        <f t="shared" si="490"/>
        <v>0</v>
      </c>
      <c r="R3510" s="71">
        <f t="shared" si="491"/>
        <v>0</v>
      </c>
      <c r="S3510" s="71">
        <f t="shared" si="492"/>
        <v>0</v>
      </c>
      <c r="T3510" s="71">
        <f t="shared" si="493"/>
        <v>0</v>
      </c>
      <c r="U3510" s="71">
        <f>IF(AND(N3510=1,V3510=1),IF(COUNTIFS(AKTIVITAS!$B$2:$B$3052,B3510,AKTIVITAS!$E$2:$E$3052,H3510)&gt;0,1,0),0)</f>
        <v>0</v>
      </c>
      <c r="V3510" s="71">
        <f>IFERROR(IF(AND(H3510&gt;=INDEX(PEMAGANG!$J$3:$J$36,MATCH(B3510,PEMAGANG!$C$3:$C$36,0)),H3510&lt;=INDEX(PEMAGANG!$K$3:$K$36,MATCH(B3510,PEMAGANG!$C$3:$C$36,0))),1,0),0)</f>
        <v>1</v>
      </c>
      <c r="W3510" s="71">
        <f t="shared" si="494"/>
        <v>0</v>
      </c>
    </row>
    <row r="3511" spans="1:23" x14ac:dyDescent="0.2">
      <c r="A3511" s="71" t="s">
        <v>196</v>
      </c>
      <c r="B3511" s="71" t="s">
        <v>197</v>
      </c>
      <c r="C3511" s="71" t="s">
        <v>187</v>
      </c>
      <c r="D3511" s="71" t="s">
        <v>185</v>
      </c>
      <c r="E3511" s="71" t="s">
        <v>47</v>
      </c>
      <c r="F3511" s="71" t="s">
        <v>298</v>
      </c>
      <c r="G3511" s="88">
        <v>46247.311412037001</v>
      </c>
      <c r="H3511" s="89">
        <v>46247</v>
      </c>
      <c r="I3511" s="71" t="s">
        <v>377</v>
      </c>
      <c r="J3511" s="71">
        <v>-1.99999999999999</v>
      </c>
      <c r="K3511" s="71" t="s">
        <v>302</v>
      </c>
      <c r="L3511" s="71">
        <f t="shared" si="486"/>
        <v>8</v>
      </c>
      <c r="M3511" s="71" t="str">
        <f>IFERROR(INDEX(KALENDER!$D$3:$D$132,MATCH(H3511,KALENDER!$A$3:$A$132,0)),"Di luar periode")</f>
        <v>Hari Kerja</v>
      </c>
      <c r="N3511" s="71">
        <f t="shared" si="487"/>
        <v>1</v>
      </c>
      <c r="O3511" s="71">
        <f t="shared" si="488"/>
        <v>1</v>
      </c>
      <c r="P3511" s="71">
        <f t="shared" si="489"/>
        <v>1</v>
      </c>
      <c r="Q3511" s="71">
        <f t="shared" si="490"/>
        <v>0</v>
      </c>
      <c r="R3511" s="71">
        <f t="shared" si="491"/>
        <v>0</v>
      </c>
      <c r="S3511" s="71">
        <f t="shared" si="492"/>
        <v>0</v>
      </c>
      <c r="T3511" s="71">
        <f t="shared" si="493"/>
        <v>0</v>
      </c>
      <c r="U3511" s="71">
        <f>IF(AND(N3511=1,V3511=1),IF(COUNTIFS(AKTIVITAS!$B$2:$B$3052,B3511,AKTIVITAS!$E$2:$E$3052,H3511)&gt;0,1,0),0)</f>
        <v>1</v>
      </c>
      <c r="V3511" s="71">
        <f>IFERROR(IF(AND(H3511&gt;=INDEX(PEMAGANG!$J$3:$J$36,MATCH(B3511,PEMAGANG!$C$3:$C$36,0)),H3511&lt;=INDEX(PEMAGANG!$K$3:$K$36,MATCH(B3511,PEMAGANG!$C$3:$C$36,0))),1,0),0)</f>
        <v>1</v>
      </c>
      <c r="W3511" s="71">
        <f t="shared" si="494"/>
        <v>1</v>
      </c>
    </row>
    <row r="3512" spans="1:23" x14ac:dyDescent="0.2">
      <c r="A3512" s="71" t="s">
        <v>196</v>
      </c>
      <c r="B3512" s="71" t="s">
        <v>197</v>
      </c>
      <c r="C3512" s="71" t="s">
        <v>187</v>
      </c>
      <c r="D3512" s="71" t="s">
        <v>185</v>
      </c>
      <c r="E3512" s="71" t="s">
        <v>47</v>
      </c>
      <c r="F3512" s="71" t="s">
        <v>300</v>
      </c>
      <c r="G3512" s="88">
        <v>46247.690868055601</v>
      </c>
      <c r="H3512" s="89">
        <v>46247</v>
      </c>
      <c r="I3512" s="71" t="s">
        <v>314</v>
      </c>
      <c r="J3512" s="71">
        <v>0</v>
      </c>
      <c r="K3512" s="71" t="s">
        <v>302</v>
      </c>
      <c r="L3512" s="71">
        <f t="shared" si="486"/>
        <v>8</v>
      </c>
      <c r="M3512" s="71" t="str">
        <f>IFERROR(INDEX(KALENDER!$D$3:$D$132,MATCH(H3512,KALENDER!$A$3:$A$132,0)),"Di luar periode")</f>
        <v>Hari Kerja</v>
      </c>
      <c r="N3512" s="71">
        <f t="shared" si="487"/>
        <v>0</v>
      </c>
      <c r="O3512" s="71">
        <f t="shared" si="488"/>
        <v>1</v>
      </c>
      <c r="P3512" s="71">
        <f t="shared" si="489"/>
        <v>0</v>
      </c>
      <c r="Q3512" s="71">
        <f t="shared" si="490"/>
        <v>0</v>
      </c>
      <c r="R3512" s="71">
        <f t="shared" si="491"/>
        <v>0</v>
      </c>
      <c r="S3512" s="71">
        <f t="shared" si="492"/>
        <v>0</v>
      </c>
      <c r="T3512" s="71">
        <f t="shared" si="493"/>
        <v>0</v>
      </c>
      <c r="U3512" s="71">
        <f>IF(AND(N3512=1,V3512=1),IF(COUNTIFS(AKTIVITAS!$B$2:$B$3052,B3512,AKTIVITAS!$E$2:$E$3052,H3512)&gt;0,1,0),0)</f>
        <v>0</v>
      </c>
      <c r="V3512" s="71">
        <f>IFERROR(IF(AND(H3512&gt;=INDEX(PEMAGANG!$J$3:$J$36,MATCH(B3512,PEMAGANG!$C$3:$C$36,0)),H3512&lt;=INDEX(PEMAGANG!$K$3:$K$36,MATCH(B3512,PEMAGANG!$C$3:$C$36,0))),1,0),0)</f>
        <v>1</v>
      </c>
      <c r="W3512" s="71">
        <f t="shared" si="494"/>
        <v>0</v>
      </c>
    </row>
    <row r="3513" spans="1:23" x14ac:dyDescent="0.2">
      <c r="A3513" s="71" t="s">
        <v>196</v>
      </c>
      <c r="B3513" s="71" t="s">
        <v>197</v>
      </c>
      <c r="C3513" s="71" t="s">
        <v>187</v>
      </c>
      <c r="D3513" s="71" t="s">
        <v>185</v>
      </c>
      <c r="E3513" s="71" t="s">
        <v>47</v>
      </c>
      <c r="F3513" s="71" t="s">
        <v>298</v>
      </c>
      <c r="G3513" s="88">
        <v>46248.310173611098</v>
      </c>
      <c r="H3513" s="89">
        <v>46248</v>
      </c>
      <c r="I3513" s="71" t="s">
        <v>315</v>
      </c>
      <c r="J3513" s="71">
        <v>-3.9999999999999898</v>
      </c>
      <c r="K3513" s="71" t="s">
        <v>302</v>
      </c>
      <c r="L3513" s="71">
        <f t="shared" si="486"/>
        <v>8</v>
      </c>
      <c r="M3513" s="71" t="str">
        <f>IFERROR(INDEX(KALENDER!$D$3:$D$132,MATCH(H3513,KALENDER!$A$3:$A$132,0)),"Di luar periode")</f>
        <v>Hari Kerja</v>
      </c>
      <c r="N3513" s="71">
        <f t="shared" si="487"/>
        <v>1</v>
      </c>
      <c r="O3513" s="71">
        <f t="shared" si="488"/>
        <v>1</v>
      </c>
      <c r="P3513" s="71">
        <f t="shared" si="489"/>
        <v>1</v>
      </c>
      <c r="Q3513" s="71">
        <f t="shared" si="490"/>
        <v>0</v>
      </c>
      <c r="R3513" s="71">
        <f t="shared" si="491"/>
        <v>0</v>
      </c>
      <c r="S3513" s="71">
        <f t="shared" si="492"/>
        <v>0</v>
      </c>
      <c r="T3513" s="71">
        <f t="shared" si="493"/>
        <v>0</v>
      </c>
      <c r="U3513" s="71">
        <f>IF(AND(N3513=1,V3513=1),IF(COUNTIFS(AKTIVITAS!$B$2:$B$3052,B3513,AKTIVITAS!$E$2:$E$3052,H3513)&gt;0,1,0),0)</f>
        <v>0</v>
      </c>
      <c r="V3513" s="71">
        <f>IFERROR(IF(AND(H3513&gt;=INDEX(PEMAGANG!$J$3:$J$36,MATCH(B3513,PEMAGANG!$C$3:$C$36,0)),H3513&lt;=INDEX(PEMAGANG!$K$3:$K$36,MATCH(B3513,PEMAGANG!$C$3:$C$36,0))),1,0),0)</f>
        <v>1</v>
      </c>
      <c r="W3513" s="71">
        <f t="shared" si="494"/>
        <v>1</v>
      </c>
    </row>
    <row r="3514" spans="1:23" x14ac:dyDescent="0.2">
      <c r="A3514" s="71" t="s">
        <v>196</v>
      </c>
      <c r="B3514" s="71" t="s">
        <v>197</v>
      </c>
      <c r="C3514" s="71" t="s">
        <v>187</v>
      </c>
      <c r="D3514" s="71" t="s">
        <v>185</v>
      </c>
      <c r="E3514" s="71" t="s">
        <v>47</v>
      </c>
      <c r="F3514" s="71" t="s">
        <v>300</v>
      </c>
      <c r="G3514" s="88">
        <v>46248.698425925897</v>
      </c>
      <c r="H3514" s="89">
        <v>46248</v>
      </c>
      <c r="I3514" s="71" t="s">
        <v>318</v>
      </c>
      <c r="J3514" s="71">
        <v>0</v>
      </c>
      <c r="K3514" s="71" t="s">
        <v>302</v>
      </c>
      <c r="L3514" s="71">
        <f t="shared" si="486"/>
        <v>8</v>
      </c>
      <c r="M3514" s="71" t="str">
        <f>IFERROR(INDEX(KALENDER!$D$3:$D$132,MATCH(H3514,KALENDER!$A$3:$A$132,0)),"Di luar periode")</f>
        <v>Hari Kerja</v>
      </c>
      <c r="N3514" s="71">
        <f t="shared" si="487"/>
        <v>0</v>
      </c>
      <c r="O3514" s="71">
        <f t="shared" si="488"/>
        <v>1</v>
      </c>
      <c r="P3514" s="71">
        <f t="shared" si="489"/>
        <v>0</v>
      </c>
      <c r="Q3514" s="71">
        <f t="shared" si="490"/>
        <v>0</v>
      </c>
      <c r="R3514" s="71">
        <f t="shared" si="491"/>
        <v>0</v>
      </c>
      <c r="S3514" s="71">
        <f t="shared" si="492"/>
        <v>0</v>
      </c>
      <c r="T3514" s="71">
        <f t="shared" si="493"/>
        <v>0</v>
      </c>
      <c r="U3514" s="71">
        <f>IF(AND(N3514=1,V3514=1),IF(COUNTIFS(AKTIVITAS!$B$2:$B$3052,B3514,AKTIVITAS!$E$2:$E$3052,H3514)&gt;0,1,0),0)</f>
        <v>0</v>
      </c>
      <c r="V3514" s="71">
        <f>IFERROR(IF(AND(H3514&gt;=INDEX(PEMAGANG!$J$3:$J$36,MATCH(B3514,PEMAGANG!$C$3:$C$36,0)),H3514&lt;=INDEX(PEMAGANG!$K$3:$K$36,MATCH(B3514,PEMAGANG!$C$3:$C$36,0))),1,0),0)</f>
        <v>1</v>
      </c>
      <c r="W3514" s="71">
        <f t="shared" si="494"/>
        <v>0</v>
      </c>
    </row>
    <row r="3515" spans="1:23" x14ac:dyDescent="0.2">
      <c r="A3515" s="71" t="s">
        <v>196</v>
      </c>
      <c r="B3515" s="71" t="s">
        <v>197</v>
      </c>
      <c r="C3515" s="71" t="s">
        <v>187</v>
      </c>
      <c r="D3515" s="71" t="s">
        <v>185</v>
      </c>
      <c r="E3515" s="71" t="s">
        <v>47</v>
      </c>
      <c r="F3515" s="71" t="s">
        <v>298</v>
      </c>
      <c r="G3515" s="88">
        <v>46252.309050925898</v>
      </c>
      <c r="H3515" s="89">
        <v>46252</v>
      </c>
      <c r="I3515" s="71" t="s">
        <v>307</v>
      </c>
      <c r="J3515" s="71">
        <v>-4.9999999999999796</v>
      </c>
      <c r="K3515" s="71" t="s">
        <v>302</v>
      </c>
      <c r="L3515" s="71">
        <f t="shared" si="486"/>
        <v>8</v>
      </c>
      <c r="M3515" s="71" t="str">
        <f>IFERROR(INDEX(KALENDER!$D$3:$D$132,MATCH(H3515,KALENDER!$A$3:$A$132,0)),"Di luar periode")</f>
        <v>Hari Kerja</v>
      </c>
      <c r="N3515" s="71">
        <f t="shared" si="487"/>
        <v>1</v>
      </c>
      <c r="O3515" s="71">
        <f t="shared" si="488"/>
        <v>1</v>
      </c>
      <c r="P3515" s="71">
        <f t="shared" si="489"/>
        <v>1</v>
      </c>
      <c r="Q3515" s="71">
        <f t="shared" si="490"/>
        <v>0</v>
      </c>
      <c r="R3515" s="71">
        <f t="shared" si="491"/>
        <v>0</v>
      </c>
      <c r="S3515" s="71">
        <f t="shared" si="492"/>
        <v>0</v>
      </c>
      <c r="T3515" s="71">
        <f t="shared" si="493"/>
        <v>0</v>
      </c>
      <c r="U3515" s="71">
        <f>IF(AND(N3515=1,V3515=1),IF(COUNTIFS(AKTIVITAS!$B$2:$B$3052,B3515,AKTIVITAS!$E$2:$E$3052,H3515)&gt;0,1,0),0)</f>
        <v>1</v>
      </c>
      <c r="V3515" s="71">
        <f>IFERROR(IF(AND(H3515&gt;=INDEX(PEMAGANG!$J$3:$J$36,MATCH(B3515,PEMAGANG!$C$3:$C$36,0)),H3515&lt;=INDEX(PEMAGANG!$K$3:$K$36,MATCH(B3515,PEMAGANG!$C$3:$C$36,0))),1,0),0)</f>
        <v>1</v>
      </c>
      <c r="W3515" s="71">
        <f t="shared" si="494"/>
        <v>1</v>
      </c>
    </row>
    <row r="3516" spans="1:23" x14ac:dyDescent="0.2">
      <c r="A3516" s="71" t="s">
        <v>196</v>
      </c>
      <c r="B3516" s="71" t="s">
        <v>197</v>
      </c>
      <c r="C3516" s="71" t="s">
        <v>187</v>
      </c>
      <c r="D3516" s="71" t="s">
        <v>185</v>
      </c>
      <c r="E3516" s="71" t="s">
        <v>47</v>
      </c>
      <c r="F3516" s="71" t="s">
        <v>300</v>
      </c>
      <c r="G3516" s="88">
        <v>46252.728796296302</v>
      </c>
      <c r="H3516" s="89">
        <v>46252</v>
      </c>
      <c r="I3516" s="71" t="s">
        <v>698</v>
      </c>
      <c r="J3516" s="71">
        <v>0</v>
      </c>
      <c r="K3516" s="71" t="s">
        <v>302</v>
      </c>
      <c r="L3516" s="71">
        <f t="shared" si="486"/>
        <v>8</v>
      </c>
      <c r="M3516" s="71" t="str">
        <f>IFERROR(INDEX(KALENDER!$D$3:$D$132,MATCH(H3516,KALENDER!$A$3:$A$132,0)),"Di luar periode")</f>
        <v>Hari Kerja</v>
      </c>
      <c r="N3516" s="71">
        <f t="shared" si="487"/>
        <v>0</v>
      </c>
      <c r="O3516" s="71">
        <f t="shared" si="488"/>
        <v>1</v>
      </c>
      <c r="P3516" s="71">
        <f t="shared" si="489"/>
        <v>0</v>
      </c>
      <c r="Q3516" s="71">
        <f t="shared" si="490"/>
        <v>0</v>
      </c>
      <c r="R3516" s="71">
        <f t="shared" si="491"/>
        <v>0</v>
      </c>
      <c r="S3516" s="71">
        <f t="shared" si="492"/>
        <v>0</v>
      </c>
      <c r="T3516" s="71">
        <f t="shared" si="493"/>
        <v>0</v>
      </c>
      <c r="U3516" s="71">
        <f>IF(AND(N3516=1,V3516=1),IF(COUNTIFS(AKTIVITAS!$B$2:$B$3052,B3516,AKTIVITAS!$E$2:$E$3052,H3516)&gt;0,1,0),0)</f>
        <v>0</v>
      </c>
      <c r="V3516" s="71">
        <f>IFERROR(IF(AND(H3516&gt;=INDEX(PEMAGANG!$J$3:$J$36,MATCH(B3516,PEMAGANG!$C$3:$C$36,0)),H3516&lt;=INDEX(PEMAGANG!$K$3:$K$36,MATCH(B3516,PEMAGANG!$C$3:$C$36,0))),1,0),0)</f>
        <v>1</v>
      </c>
      <c r="W3516" s="71">
        <f t="shared" si="494"/>
        <v>0</v>
      </c>
    </row>
    <row r="3517" spans="1:23" x14ac:dyDescent="0.2">
      <c r="A3517" s="71" t="s">
        <v>196</v>
      </c>
      <c r="B3517" s="71" t="s">
        <v>197</v>
      </c>
      <c r="C3517" s="71" t="s">
        <v>187</v>
      </c>
      <c r="D3517" s="71" t="s">
        <v>185</v>
      </c>
      <c r="E3517" s="71" t="s">
        <v>47</v>
      </c>
      <c r="F3517" s="71" t="s">
        <v>298</v>
      </c>
      <c r="G3517" s="88">
        <v>46253.297650462999</v>
      </c>
      <c r="H3517" s="89">
        <v>46253</v>
      </c>
      <c r="I3517" s="71" t="s">
        <v>486</v>
      </c>
      <c r="J3517" s="71">
        <v>-22</v>
      </c>
      <c r="K3517" s="71" t="s">
        <v>302</v>
      </c>
      <c r="L3517" s="71">
        <f t="shared" si="486"/>
        <v>8</v>
      </c>
      <c r="M3517" s="71" t="str">
        <f>IFERROR(INDEX(KALENDER!$D$3:$D$132,MATCH(H3517,KALENDER!$A$3:$A$132,0)),"Di luar periode")</f>
        <v>Hari Kerja</v>
      </c>
      <c r="N3517" s="71">
        <f t="shared" si="487"/>
        <v>1</v>
      </c>
      <c r="O3517" s="71">
        <f t="shared" si="488"/>
        <v>1</v>
      </c>
      <c r="P3517" s="71">
        <f t="shared" si="489"/>
        <v>1</v>
      </c>
      <c r="Q3517" s="71">
        <f t="shared" si="490"/>
        <v>0</v>
      </c>
      <c r="R3517" s="71">
        <f t="shared" si="491"/>
        <v>0</v>
      </c>
      <c r="S3517" s="71">
        <f t="shared" si="492"/>
        <v>0</v>
      </c>
      <c r="T3517" s="71">
        <f t="shared" si="493"/>
        <v>0</v>
      </c>
      <c r="U3517" s="71">
        <f>IF(AND(N3517=1,V3517=1),IF(COUNTIFS(AKTIVITAS!$B$2:$B$3052,B3517,AKTIVITAS!$E$2:$E$3052,H3517)&gt;0,1,0),0)</f>
        <v>1</v>
      </c>
      <c r="V3517" s="71">
        <f>IFERROR(IF(AND(H3517&gt;=INDEX(PEMAGANG!$J$3:$J$36,MATCH(B3517,PEMAGANG!$C$3:$C$36,0)),H3517&lt;=INDEX(PEMAGANG!$K$3:$K$36,MATCH(B3517,PEMAGANG!$C$3:$C$36,0))),1,0),0)</f>
        <v>1</v>
      </c>
      <c r="W3517" s="71">
        <f t="shared" si="494"/>
        <v>1</v>
      </c>
    </row>
    <row r="3518" spans="1:23" x14ac:dyDescent="0.2">
      <c r="A3518" s="71" t="s">
        <v>196</v>
      </c>
      <c r="B3518" s="71" t="s">
        <v>197</v>
      </c>
      <c r="C3518" s="71" t="s">
        <v>187</v>
      </c>
      <c r="D3518" s="71" t="s">
        <v>185</v>
      </c>
      <c r="E3518" s="71" t="s">
        <v>47</v>
      </c>
      <c r="F3518" s="71" t="s">
        <v>300</v>
      </c>
      <c r="G3518" s="88">
        <v>46253.689849536997</v>
      </c>
      <c r="H3518" s="89">
        <v>46253</v>
      </c>
      <c r="I3518" s="71" t="s">
        <v>316</v>
      </c>
      <c r="J3518" s="71">
        <v>0</v>
      </c>
      <c r="K3518" s="71" t="s">
        <v>302</v>
      </c>
      <c r="L3518" s="71">
        <f t="shared" si="486"/>
        <v>8</v>
      </c>
      <c r="M3518" s="71" t="str">
        <f>IFERROR(INDEX(KALENDER!$D$3:$D$132,MATCH(H3518,KALENDER!$A$3:$A$132,0)),"Di luar periode")</f>
        <v>Hari Kerja</v>
      </c>
      <c r="N3518" s="71">
        <f t="shared" si="487"/>
        <v>0</v>
      </c>
      <c r="O3518" s="71">
        <f t="shared" si="488"/>
        <v>1</v>
      </c>
      <c r="P3518" s="71">
        <f t="shared" si="489"/>
        <v>0</v>
      </c>
      <c r="Q3518" s="71">
        <f t="shared" si="490"/>
        <v>0</v>
      </c>
      <c r="R3518" s="71">
        <f t="shared" si="491"/>
        <v>0</v>
      </c>
      <c r="S3518" s="71">
        <f t="shared" si="492"/>
        <v>0</v>
      </c>
      <c r="T3518" s="71">
        <f t="shared" si="493"/>
        <v>0</v>
      </c>
      <c r="U3518" s="71">
        <f>IF(AND(N3518=1,V3518=1),IF(COUNTIFS(AKTIVITAS!$B$2:$B$3052,B3518,AKTIVITAS!$E$2:$E$3052,H3518)&gt;0,1,0),0)</f>
        <v>0</v>
      </c>
      <c r="V3518" s="71">
        <f>IFERROR(IF(AND(H3518&gt;=INDEX(PEMAGANG!$J$3:$J$36,MATCH(B3518,PEMAGANG!$C$3:$C$36,0)),H3518&lt;=INDEX(PEMAGANG!$K$3:$K$36,MATCH(B3518,PEMAGANG!$C$3:$C$36,0))),1,0),0)</f>
        <v>1</v>
      </c>
      <c r="W3518" s="71">
        <f t="shared" si="494"/>
        <v>0</v>
      </c>
    </row>
    <row r="3519" spans="1:23" x14ac:dyDescent="0.2">
      <c r="A3519" s="71" t="s">
        <v>196</v>
      </c>
      <c r="B3519" s="71" t="s">
        <v>197</v>
      </c>
      <c r="C3519" s="71" t="s">
        <v>187</v>
      </c>
      <c r="D3519" s="71" t="s">
        <v>185</v>
      </c>
      <c r="E3519" s="71" t="s">
        <v>47</v>
      </c>
      <c r="F3519" s="71" t="s">
        <v>298</v>
      </c>
      <c r="G3519" s="88">
        <v>46254.3115972222</v>
      </c>
      <c r="H3519" s="89">
        <v>46254</v>
      </c>
      <c r="I3519" s="71" t="s">
        <v>377</v>
      </c>
      <c r="J3519" s="71">
        <v>-1.99999999999999</v>
      </c>
      <c r="K3519" s="71" t="s">
        <v>302</v>
      </c>
      <c r="L3519" s="71">
        <f t="shared" si="486"/>
        <v>8</v>
      </c>
      <c r="M3519" s="71" t="str">
        <f>IFERROR(INDEX(KALENDER!$D$3:$D$132,MATCH(H3519,KALENDER!$A$3:$A$132,0)),"Di luar periode")</f>
        <v>Hari Kerja</v>
      </c>
      <c r="N3519" s="71">
        <f t="shared" si="487"/>
        <v>1</v>
      </c>
      <c r="O3519" s="71">
        <f t="shared" si="488"/>
        <v>1</v>
      </c>
      <c r="P3519" s="71">
        <f t="shared" si="489"/>
        <v>1</v>
      </c>
      <c r="Q3519" s="71">
        <f t="shared" si="490"/>
        <v>0</v>
      </c>
      <c r="R3519" s="71">
        <f t="shared" si="491"/>
        <v>0</v>
      </c>
      <c r="S3519" s="71">
        <f t="shared" si="492"/>
        <v>0</v>
      </c>
      <c r="T3519" s="71">
        <f t="shared" si="493"/>
        <v>1</v>
      </c>
      <c r="U3519" s="71">
        <f>IF(AND(N3519=1,V3519=1),IF(COUNTIFS(AKTIVITAS!$B$2:$B$3052,B3519,AKTIVITAS!$E$2:$E$3052,H3519)&gt;0,1,0),0)</f>
        <v>1</v>
      </c>
      <c r="V3519" s="71">
        <f>IFERROR(IF(AND(H3519&gt;=INDEX(PEMAGANG!$J$3:$J$36,MATCH(B3519,PEMAGANG!$C$3:$C$36,0)),H3519&lt;=INDEX(PEMAGANG!$K$3:$K$36,MATCH(B3519,PEMAGANG!$C$3:$C$36,0))),1,0),0)</f>
        <v>1</v>
      </c>
      <c r="W3519" s="71">
        <f t="shared" si="494"/>
        <v>1</v>
      </c>
    </row>
    <row r="3520" spans="1:23" x14ac:dyDescent="0.2">
      <c r="A3520" s="71" t="s">
        <v>196</v>
      </c>
      <c r="B3520" s="71" t="s">
        <v>197</v>
      </c>
      <c r="C3520" s="71" t="s">
        <v>187</v>
      </c>
      <c r="D3520" s="71" t="s">
        <v>185</v>
      </c>
      <c r="E3520" s="71" t="s">
        <v>47</v>
      </c>
      <c r="F3520" s="71" t="s">
        <v>298</v>
      </c>
      <c r="G3520" s="88">
        <v>46255.311053240701</v>
      </c>
      <c r="H3520" s="89">
        <v>46255</v>
      </c>
      <c r="I3520" s="71" t="s">
        <v>309</v>
      </c>
      <c r="J3520" s="71">
        <v>-33</v>
      </c>
      <c r="K3520" s="71" t="s">
        <v>302</v>
      </c>
      <c r="L3520" s="71">
        <f t="shared" si="486"/>
        <v>8</v>
      </c>
      <c r="M3520" s="71" t="str">
        <f>IFERROR(INDEX(KALENDER!$D$3:$D$132,MATCH(H3520,KALENDER!$A$3:$A$132,0)),"Di luar periode")</f>
        <v>Hari Kerja</v>
      </c>
      <c r="N3520" s="71">
        <f t="shared" si="487"/>
        <v>1</v>
      </c>
      <c r="O3520" s="71">
        <f t="shared" si="488"/>
        <v>1</v>
      </c>
      <c r="P3520" s="71">
        <f t="shared" si="489"/>
        <v>1</v>
      </c>
      <c r="Q3520" s="71">
        <f t="shared" si="490"/>
        <v>0</v>
      </c>
      <c r="R3520" s="71">
        <f t="shared" si="491"/>
        <v>0</v>
      </c>
      <c r="S3520" s="71">
        <f t="shared" si="492"/>
        <v>0</v>
      </c>
      <c r="T3520" s="71">
        <f t="shared" si="493"/>
        <v>0</v>
      </c>
      <c r="U3520" s="71">
        <f>IF(AND(N3520=1,V3520=1),IF(COUNTIFS(AKTIVITAS!$B$2:$B$3052,B3520,AKTIVITAS!$E$2:$E$3052,H3520)&gt;0,1,0),0)</f>
        <v>1</v>
      </c>
      <c r="V3520" s="71">
        <f>IFERROR(IF(AND(H3520&gt;=INDEX(PEMAGANG!$J$3:$J$36,MATCH(B3520,PEMAGANG!$C$3:$C$36,0)),H3520&lt;=INDEX(PEMAGANG!$K$3:$K$36,MATCH(B3520,PEMAGANG!$C$3:$C$36,0))),1,0),0)</f>
        <v>1</v>
      </c>
      <c r="W3520" s="71">
        <f t="shared" si="494"/>
        <v>1</v>
      </c>
    </row>
    <row r="3521" spans="1:23" x14ac:dyDescent="0.2">
      <c r="A3521" s="71" t="s">
        <v>196</v>
      </c>
      <c r="B3521" s="71" t="s">
        <v>197</v>
      </c>
      <c r="C3521" s="71" t="s">
        <v>187</v>
      </c>
      <c r="D3521" s="71" t="s">
        <v>185</v>
      </c>
      <c r="E3521" s="71" t="s">
        <v>47</v>
      </c>
      <c r="F3521" s="71" t="s">
        <v>300</v>
      </c>
      <c r="G3521" s="88">
        <v>46255.692511574103</v>
      </c>
      <c r="H3521" s="89">
        <v>46255</v>
      </c>
      <c r="I3521" s="71" t="s">
        <v>328</v>
      </c>
      <c r="J3521" s="71">
        <v>0</v>
      </c>
      <c r="K3521" s="71" t="s">
        <v>302</v>
      </c>
      <c r="L3521" s="71">
        <f t="shared" si="486"/>
        <v>8</v>
      </c>
      <c r="M3521" s="71" t="str">
        <f>IFERROR(INDEX(KALENDER!$D$3:$D$132,MATCH(H3521,KALENDER!$A$3:$A$132,0)),"Di luar periode")</f>
        <v>Hari Kerja</v>
      </c>
      <c r="N3521" s="71">
        <f t="shared" si="487"/>
        <v>0</v>
      </c>
      <c r="O3521" s="71">
        <f t="shared" si="488"/>
        <v>1</v>
      </c>
      <c r="P3521" s="71">
        <f t="shared" si="489"/>
        <v>0</v>
      </c>
      <c r="Q3521" s="71">
        <f t="shared" si="490"/>
        <v>0</v>
      </c>
      <c r="R3521" s="71">
        <f t="shared" si="491"/>
        <v>0</v>
      </c>
      <c r="S3521" s="71">
        <f t="shared" si="492"/>
        <v>0</v>
      </c>
      <c r="T3521" s="71">
        <f t="shared" si="493"/>
        <v>0</v>
      </c>
      <c r="U3521" s="71">
        <f>IF(AND(N3521=1,V3521=1),IF(COUNTIFS(AKTIVITAS!$B$2:$B$3052,B3521,AKTIVITAS!$E$2:$E$3052,H3521)&gt;0,1,0),0)</f>
        <v>0</v>
      </c>
      <c r="V3521" s="71">
        <f>IFERROR(IF(AND(H3521&gt;=INDEX(PEMAGANG!$J$3:$J$36,MATCH(B3521,PEMAGANG!$C$3:$C$36,0)),H3521&lt;=INDEX(PEMAGANG!$K$3:$K$36,MATCH(B3521,PEMAGANG!$C$3:$C$36,0))),1,0),0)</f>
        <v>1</v>
      </c>
      <c r="W3521" s="71">
        <f t="shared" si="494"/>
        <v>0</v>
      </c>
    </row>
    <row r="3522" spans="1:23" x14ac:dyDescent="0.2">
      <c r="A3522" s="71" t="s">
        <v>196</v>
      </c>
      <c r="B3522" s="71" t="s">
        <v>197</v>
      </c>
      <c r="C3522" s="71" t="s">
        <v>187</v>
      </c>
      <c r="D3522" s="71" t="s">
        <v>185</v>
      </c>
      <c r="E3522" s="71" t="s">
        <v>47</v>
      </c>
      <c r="F3522" s="71" t="s">
        <v>298</v>
      </c>
      <c r="G3522" s="88">
        <v>46258.305972222202</v>
      </c>
      <c r="H3522" s="89">
        <v>46258</v>
      </c>
      <c r="I3522" s="71" t="s">
        <v>329</v>
      </c>
      <c r="J3522" s="71">
        <v>-40</v>
      </c>
      <c r="K3522" s="71" t="s">
        <v>302</v>
      </c>
      <c r="L3522" s="71">
        <f t="shared" ref="L3522:L3585" si="495">MONTH(H3522)</f>
        <v>8</v>
      </c>
      <c r="M3522" s="71" t="str">
        <f>IFERROR(INDEX(KALENDER!$D$3:$D$132,MATCH(H3522,KALENDER!$A$3:$A$132,0)),"Di luar periode")</f>
        <v>Hari Kerja</v>
      </c>
      <c r="N3522" s="71">
        <f t="shared" ref="N3522:N3585" si="496">IF(AND(B3522=B3521,H3522=H3521),0,1)</f>
        <v>1</v>
      </c>
      <c r="O3522" s="71">
        <f t="shared" ref="O3522:O3585" si="497">IF(N3522=1,0,O3521)+IF(F3522="MASUK",1,0)</f>
        <v>1</v>
      </c>
      <c r="P3522" s="71">
        <f t="shared" ref="P3522:P3585" si="498">IF(AND(N3522=1,M3522="Hari Kerja",V3522=1),1,0)</f>
        <v>1</v>
      </c>
      <c r="Q3522" s="71">
        <f t="shared" ref="Q3522:Q3585" si="499">IF(AND(N3522=1,OR(M3522&lt;&gt;"Hari Kerja",V3522=0)),1,0)</f>
        <v>0</v>
      </c>
      <c r="R3522" s="71">
        <f t="shared" ref="R3522:R3585" si="500">IF(AND(F3522="MASUK",O3522=1,N(J3522)&gt;0,V3522=1),1,0)</f>
        <v>0</v>
      </c>
      <c r="S3522" s="71">
        <f t="shared" ref="S3522:S3585" si="501">R3522*N(J3522)</f>
        <v>0</v>
      </c>
      <c r="T3522" s="71">
        <f t="shared" ref="T3522:T3585" si="502">IF(AND(N3522=1,V3522=1),IF(AND(COUNTIFS($B$2:$B$4094,B3522,$H$2:$H$4094,H3522,$F$2:$F$4094,"MASUK")&gt;0,COUNTIFS($B$2:$B$4094,B3522,$H$2:$H$4094,H3522,$F$2:$F$4094,"PULANG")=0),1,0),0)</f>
        <v>0</v>
      </c>
      <c r="U3522" s="71">
        <f>IF(AND(N3522=1,V3522=1),IF(COUNTIFS(AKTIVITAS!$B$2:$B$3052,B3522,AKTIVITAS!$E$2:$E$3052,H3522)&gt;0,1,0),0)</f>
        <v>1</v>
      </c>
      <c r="V3522" s="71">
        <f>IFERROR(IF(AND(H3522&gt;=INDEX(PEMAGANG!$J$3:$J$36,MATCH(B3522,PEMAGANG!$C$3:$C$36,0)),H3522&lt;=INDEX(PEMAGANG!$K$3:$K$36,MATCH(B3522,PEMAGANG!$C$3:$C$36,0))),1,0),0)</f>
        <v>1</v>
      </c>
      <c r="W3522" s="71">
        <f t="shared" ref="W3522:W3585" si="503">N3522*V3522</f>
        <v>1</v>
      </c>
    </row>
    <row r="3523" spans="1:23" x14ac:dyDescent="0.2">
      <c r="A3523" s="71" t="s">
        <v>196</v>
      </c>
      <c r="B3523" s="71" t="s">
        <v>197</v>
      </c>
      <c r="C3523" s="71" t="s">
        <v>187</v>
      </c>
      <c r="D3523" s="71" t="s">
        <v>185</v>
      </c>
      <c r="E3523" s="71" t="s">
        <v>47</v>
      </c>
      <c r="F3523" s="71" t="s">
        <v>300</v>
      </c>
      <c r="G3523" s="88">
        <v>46258.693599537</v>
      </c>
      <c r="H3523" s="89">
        <v>46258</v>
      </c>
      <c r="I3523" s="71" t="s">
        <v>317</v>
      </c>
      <c r="J3523" s="71">
        <v>0</v>
      </c>
      <c r="K3523" s="71" t="s">
        <v>302</v>
      </c>
      <c r="L3523" s="71">
        <f t="shared" si="495"/>
        <v>8</v>
      </c>
      <c r="M3523" s="71" t="str">
        <f>IFERROR(INDEX(KALENDER!$D$3:$D$132,MATCH(H3523,KALENDER!$A$3:$A$132,0)),"Di luar periode")</f>
        <v>Hari Kerja</v>
      </c>
      <c r="N3523" s="71">
        <f t="shared" si="496"/>
        <v>0</v>
      </c>
      <c r="O3523" s="71">
        <f t="shared" si="497"/>
        <v>1</v>
      </c>
      <c r="P3523" s="71">
        <f t="shared" si="498"/>
        <v>0</v>
      </c>
      <c r="Q3523" s="71">
        <f t="shared" si="499"/>
        <v>0</v>
      </c>
      <c r="R3523" s="71">
        <f t="shared" si="500"/>
        <v>0</v>
      </c>
      <c r="S3523" s="71">
        <f t="shared" si="501"/>
        <v>0</v>
      </c>
      <c r="T3523" s="71">
        <f t="shared" si="502"/>
        <v>0</v>
      </c>
      <c r="U3523" s="71">
        <f>IF(AND(N3523=1,V3523=1),IF(COUNTIFS(AKTIVITAS!$B$2:$B$3052,B3523,AKTIVITAS!$E$2:$E$3052,H3523)&gt;0,1,0),0)</f>
        <v>0</v>
      </c>
      <c r="V3523" s="71">
        <f>IFERROR(IF(AND(H3523&gt;=INDEX(PEMAGANG!$J$3:$J$36,MATCH(B3523,PEMAGANG!$C$3:$C$36,0)),H3523&lt;=INDEX(PEMAGANG!$K$3:$K$36,MATCH(B3523,PEMAGANG!$C$3:$C$36,0))),1,0),0)</f>
        <v>1</v>
      </c>
      <c r="W3523" s="71">
        <f t="shared" si="503"/>
        <v>0</v>
      </c>
    </row>
    <row r="3524" spans="1:23" x14ac:dyDescent="0.2">
      <c r="A3524" s="71" t="s">
        <v>196</v>
      </c>
      <c r="B3524" s="71" t="s">
        <v>197</v>
      </c>
      <c r="C3524" s="71" t="s">
        <v>187</v>
      </c>
      <c r="D3524" s="71" t="s">
        <v>185</v>
      </c>
      <c r="E3524" s="71" t="s">
        <v>47</v>
      </c>
      <c r="F3524" s="71" t="s">
        <v>298</v>
      </c>
      <c r="G3524" s="88">
        <v>46260.306087962999</v>
      </c>
      <c r="H3524" s="89">
        <v>46260</v>
      </c>
      <c r="I3524" s="71" t="s">
        <v>329</v>
      </c>
      <c r="J3524" s="71">
        <v>-40</v>
      </c>
      <c r="K3524" s="71" t="s">
        <v>302</v>
      </c>
      <c r="L3524" s="71">
        <f t="shared" si="495"/>
        <v>8</v>
      </c>
      <c r="M3524" s="71" t="str">
        <f>IFERROR(INDEX(KALENDER!$D$3:$D$132,MATCH(H3524,KALENDER!$A$3:$A$132,0)),"Di luar periode")</f>
        <v>Hari Kerja</v>
      </c>
      <c r="N3524" s="71">
        <f t="shared" si="496"/>
        <v>1</v>
      </c>
      <c r="O3524" s="71">
        <f t="shared" si="497"/>
        <v>1</v>
      </c>
      <c r="P3524" s="71">
        <f t="shared" si="498"/>
        <v>1</v>
      </c>
      <c r="Q3524" s="71">
        <f t="shared" si="499"/>
        <v>0</v>
      </c>
      <c r="R3524" s="71">
        <f t="shared" si="500"/>
        <v>0</v>
      </c>
      <c r="S3524" s="71">
        <f t="shared" si="501"/>
        <v>0</v>
      </c>
      <c r="T3524" s="71">
        <f t="shared" si="502"/>
        <v>0</v>
      </c>
      <c r="U3524" s="71">
        <f>IF(AND(N3524=1,V3524=1),IF(COUNTIFS(AKTIVITAS!$B$2:$B$3052,B3524,AKTIVITAS!$E$2:$E$3052,H3524)&gt;0,1,0),0)</f>
        <v>1</v>
      </c>
      <c r="V3524" s="71">
        <f>IFERROR(IF(AND(H3524&gt;=INDEX(PEMAGANG!$J$3:$J$36,MATCH(B3524,PEMAGANG!$C$3:$C$36,0)),H3524&lt;=INDEX(PEMAGANG!$K$3:$K$36,MATCH(B3524,PEMAGANG!$C$3:$C$36,0))),1,0),0)</f>
        <v>1</v>
      </c>
      <c r="W3524" s="71">
        <f t="shared" si="503"/>
        <v>1</v>
      </c>
    </row>
    <row r="3525" spans="1:23" x14ac:dyDescent="0.2">
      <c r="A3525" s="71" t="s">
        <v>196</v>
      </c>
      <c r="B3525" s="71" t="s">
        <v>197</v>
      </c>
      <c r="C3525" s="71" t="s">
        <v>187</v>
      </c>
      <c r="D3525" s="71" t="s">
        <v>185</v>
      </c>
      <c r="E3525" s="71" t="s">
        <v>47</v>
      </c>
      <c r="F3525" s="71" t="s">
        <v>300</v>
      </c>
      <c r="G3525" s="88">
        <v>46260.705000000002</v>
      </c>
      <c r="H3525" s="89">
        <v>46260</v>
      </c>
      <c r="I3525" s="71" t="s">
        <v>585</v>
      </c>
      <c r="J3525" s="71">
        <v>0</v>
      </c>
      <c r="K3525" s="71" t="s">
        <v>302</v>
      </c>
      <c r="L3525" s="71">
        <f t="shared" si="495"/>
        <v>8</v>
      </c>
      <c r="M3525" s="71" t="str">
        <f>IFERROR(INDEX(KALENDER!$D$3:$D$132,MATCH(H3525,KALENDER!$A$3:$A$132,0)),"Di luar periode")</f>
        <v>Hari Kerja</v>
      </c>
      <c r="N3525" s="71">
        <f t="shared" si="496"/>
        <v>0</v>
      </c>
      <c r="O3525" s="71">
        <f t="shared" si="497"/>
        <v>1</v>
      </c>
      <c r="P3525" s="71">
        <f t="shared" si="498"/>
        <v>0</v>
      </c>
      <c r="Q3525" s="71">
        <f t="shared" si="499"/>
        <v>0</v>
      </c>
      <c r="R3525" s="71">
        <f t="shared" si="500"/>
        <v>0</v>
      </c>
      <c r="S3525" s="71">
        <f t="shared" si="501"/>
        <v>0</v>
      </c>
      <c r="T3525" s="71">
        <f t="shared" si="502"/>
        <v>0</v>
      </c>
      <c r="U3525" s="71">
        <f>IF(AND(N3525=1,V3525=1),IF(COUNTIFS(AKTIVITAS!$B$2:$B$3052,B3525,AKTIVITAS!$E$2:$E$3052,H3525)&gt;0,1,0),0)</f>
        <v>0</v>
      </c>
      <c r="V3525" s="71">
        <f>IFERROR(IF(AND(H3525&gt;=INDEX(PEMAGANG!$J$3:$J$36,MATCH(B3525,PEMAGANG!$C$3:$C$36,0)),H3525&lt;=INDEX(PEMAGANG!$K$3:$K$36,MATCH(B3525,PEMAGANG!$C$3:$C$36,0))),1,0),0)</f>
        <v>1</v>
      </c>
      <c r="W3525" s="71">
        <f t="shared" si="503"/>
        <v>0</v>
      </c>
    </row>
    <row r="3526" spans="1:23" x14ac:dyDescent="0.2">
      <c r="A3526" s="71" t="s">
        <v>196</v>
      </c>
      <c r="B3526" s="71" t="s">
        <v>197</v>
      </c>
      <c r="C3526" s="71" t="s">
        <v>187</v>
      </c>
      <c r="D3526" s="71" t="s">
        <v>185</v>
      </c>
      <c r="E3526" s="71" t="s">
        <v>47</v>
      </c>
      <c r="F3526" s="71" t="s">
        <v>298</v>
      </c>
      <c r="G3526" s="88">
        <v>46261.308333333298</v>
      </c>
      <c r="H3526" s="89">
        <v>46261</v>
      </c>
      <c r="I3526" s="71" t="s">
        <v>303</v>
      </c>
      <c r="J3526" s="71">
        <v>-36</v>
      </c>
      <c r="K3526" s="71" t="s">
        <v>302</v>
      </c>
      <c r="L3526" s="71">
        <f t="shared" si="495"/>
        <v>8</v>
      </c>
      <c r="M3526" s="71" t="str">
        <f>IFERROR(INDEX(KALENDER!$D$3:$D$132,MATCH(H3526,KALENDER!$A$3:$A$132,0)),"Di luar periode")</f>
        <v>Hari Kerja</v>
      </c>
      <c r="N3526" s="71">
        <f t="shared" si="496"/>
        <v>1</v>
      </c>
      <c r="O3526" s="71">
        <f t="shared" si="497"/>
        <v>1</v>
      </c>
      <c r="P3526" s="71">
        <f t="shared" si="498"/>
        <v>1</v>
      </c>
      <c r="Q3526" s="71">
        <f t="shared" si="499"/>
        <v>0</v>
      </c>
      <c r="R3526" s="71">
        <f t="shared" si="500"/>
        <v>0</v>
      </c>
      <c r="S3526" s="71">
        <f t="shared" si="501"/>
        <v>0</v>
      </c>
      <c r="T3526" s="71">
        <f t="shared" si="502"/>
        <v>0</v>
      </c>
      <c r="U3526" s="71">
        <f>IF(AND(N3526=1,V3526=1),IF(COUNTIFS(AKTIVITAS!$B$2:$B$3052,B3526,AKTIVITAS!$E$2:$E$3052,H3526)&gt;0,1,0),0)</f>
        <v>1</v>
      </c>
      <c r="V3526" s="71">
        <f>IFERROR(IF(AND(H3526&gt;=INDEX(PEMAGANG!$J$3:$J$36,MATCH(B3526,PEMAGANG!$C$3:$C$36,0)),H3526&lt;=INDEX(PEMAGANG!$K$3:$K$36,MATCH(B3526,PEMAGANG!$C$3:$C$36,0))),1,0),0)</f>
        <v>1</v>
      </c>
      <c r="W3526" s="71">
        <f t="shared" si="503"/>
        <v>1</v>
      </c>
    </row>
    <row r="3527" spans="1:23" x14ac:dyDescent="0.2">
      <c r="A3527" s="71" t="s">
        <v>196</v>
      </c>
      <c r="B3527" s="71" t="s">
        <v>197</v>
      </c>
      <c r="C3527" s="71" t="s">
        <v>187</v>
      </c>
      <c r="D3527" s="71" t="s">
        <v>185</v>
      </c>
      <c r="E3527" s="71" t="s">
        <v>47</v>
      </c>
      <c r="F3527" s="71" t="s">
        <v>300</v>
      </c>
      <c r="G3527" s="88">
        <v>46261.690011574101</v>
      </c>
      <c r="H3527" s="89">
        <v>46261</v>
      </c>
      <c r="I3527" s="71" t="s">
        <v>316</v>
      </c>
      <c r="J3527" s="71">
        <v>0</v>
      </c>
      <c r="K3527" s="71" t="s">
        <v>302</v>
      </c>
      <c r="L3527" s="71">
        <f t="shared" si="495"/>
        <v>8</v>
      </c>
      <c r="M3527" s="71" t="str">
        <f>IFERROR(INDEX(KALENDER!$D$3:$D$132,MATCH(H3527,KALENDER!$A$3:$A$132,0)),"Di luar periode")</f>
        <v>Hari Kerja</v>
      </c>
      <c r="N3527" s="71">
        <f t="shared" si="496"/>
        <v>0</v>
      </c>
      <c r="O3527" s="71">
        <f t="shared" si="497"/>
        <v>1</v>
      </c>
      <c r="P3527" s="71">
        <f t="shared" si="498"/>
        <v>0</v>
      </c>
      <c r="Q3527" s="71">
        <f t="shared" si="499"/>
        <v>0</v>
      </c>
      <c r="R3527" s="71">
        <f t="shared" si="500"/>
        <v>0</v>
      </c>
      <c r="S3527" s="71">
        <f t="shared" si="501"/>
        <v>0</v>
      </c>
      <c r="T3527" s="71">
        <f t="shared" si="502"/>
        <v>0</v>
      </c>
      <c r="U3527" s="71">
        <f>IF(AND(N3527=1,V3527=1),IF(COUNTIFS(AKTIVITAS!$B$2:$B$3052,B3527,AKTIVITAS!$E$2:$E$3052,H3527)&gt;0,1,0),0)</f>
        <v>0</v>
      </c>
      <c r="V3527" s="71">
        <f>IFERROR(IF(AND(H3527&gt;=INDEX(PEMAGANG!$J$3:$J$36,MATCH(B3527,PEMAGANG!$C$3:$C$36,0)),H3527&lt;=INDEX(PEMAGANG!$K$3:$K$36,MATCH(B3527,PEMAGANG!$C$3:$C$36,0))),1,0),0)</f>
        <v>1</v>
      </c>
      <c r="W3527" s="71">
        <f t="shared" si="503"/>
        <v>0</v>
      </c>
    </row>
    <row r="3528" spans="1:23" x14ac:dyDescent="0.2">
      <c r="A3528" s="71" t="s">
        <v>196</v>
      </c>
      <c r="B3528" s="71" t="s">
        <v>197</v>
      </c>
      <c r="C3528" s="71" t="s">
        <v>187</v>
      </c>
      <c r="D3528" s="71" t="s">
        <v>185</v>
      </c>
      <c r="E3528" s="71" t="s">
        <v>47</v>
      </c>
      <c r="F3528" s="71" t="s">
        <v>298</v>
      </c>
      <c r="G3528" s="88">
        <v>46262.307337963</v>
      </c>
      <c r="H3528" s="89">
        <v>46262</v>
      </c>
      <c r="I3528" s="71" t="s">
        <v>313</v>
      </c>
      <c r="J3528" s="71">
        <v>-38</v>
      </c>
      <c r="K3528" s="71" t="s">
        <v>302</v>
      </c>
      <c r="L3528" s="71">
        <f t="shared" si="495"/>
        <v>8</v>
      </c>
      <c r="M3528" s="71" t="str">
        <f>IFERROR(INDEX(KALENDER!$D$3:$D$132,MATCH(H3528,KALENDER!$A$3:$A$132,0)),"Di luar periode")</f>
        <v>Hari Kerja</v>
      </c>
      <c r="N3528" s="71">
        <f t="shared" si="496"/>
        <v>1</v>
      </c>
      <c r="O3528" s="71">
        <f t="shared" si="497"/>
        <v>1</v>
      </c>
      <c r="P3528" s="71">
        <f t="shared" si="498"/>
        <v>1</v>
      </c>
      <c r="Q3528" s="71">
        <f t="shared" si="499"/>
        <v>0</v>
      </c>
      <c r="R3528" s="71">
        <f t="shared" si="500"/>
        <v>0</v>
      </c>
      <c r="S3528" s="71">
        <f t="shared" si="501"/>
        <v>0</v>
      </c>
      <c r="T3528" s="71">
        <f t="shared" si="502"/>
        <v>0</v>
      </c>
      <c r="U3528" s="71">
        <f>IF(AND(N3528=1,V3528=1),IF(COUNTIFS(AKTIVITAS!$B$2:$B$3052,B3528,AKTIVITAS!$E$2:$E$3052,H3528)&gt;0,1,0),0)</f>
        <v>1</v>
      </c>
      <c r="V3528" s="71">
        <f>IFERROR(IF(AND(H3528&gt;=INDEX(PEMAGANG!$J$3:$J$36,MATCH(B3528,PEMAGANG!$C$3:$C$36,0)),H3528&lt;=INDEX(PEMAGANG!$K$3:$K$36,MATCH(B3528,PEMAGANG!$C$3:$C$36,0))),1,0),0)</f>
        <v>1</v>
      </c>
      <c r="W3528" s="71">
        <f t="shared" si="503"/>
        <v>1</v>
      </c>
    </row>
    <row r="3529" spans="1:23" x14ac:dyDescent="0.2">
      <c r="A3529" s="71" t="s">
        <v>196</v>
      </c>
      <c r="B3529" s="71" t="s">
        <v>197</v>
      </c>
      <c r="C3529" s="71" t="s">
        <v>187</v>
      </c>
      <c r="D3529" s="71" t="s">
        <v>185</v>
      </c>
      <c r="E3529" s="71" t="s">
        <v>47</v>
      </c>
      <c r="F3529" s="71" t="s">
        <v>300</v>
      </c>
      <c r="G3529" s="88">
        <v>46262.704375000001</v>
      </c>
      <c r="H3529" s="89">
        <v>46262</v>
      </c>
      <c r="I3529" s="71" t="s">
        <v>394</v>
      </c>
      <c r="J3529" s="71">
        <v>0</v>
      </c>
      <c r="K3529" s="71" t="s">
        <v>302</v>
      </c>
      <c r="L3529" s="71">
        <f t="shared" si="495"/>
        <v>8</v>
      </c>
      <c r="M3529" s="71" t="str">
        <f>IFERROR(INDEX(KALENDER!$D$3:$D$132,MATCH(H3529,KALENDER!$A$3:$A$132,0)),"Di luar periode")</f>
        <v>Hari Kerja</v>
      </c>
      <c r="N3529" s="71">
        <f t="shared" si="496"/>
        <v>0</v>
      </c>
      <c r="O3529" s="71">
        <f t="shared" si="497"/>
        <v>1</v>
      </c>
      <c r="P3529" s="71">
        <f t="shared" si="498"/>
        <v>0</v>
      </c>
      <c r="Q3529" s="71">
        <f t="shared" si="499"/>
        <v>0</v>
      </c>
      <c r="R3529" s="71">
        <f t="shared" si="500"/>
        <v>0</v>
      </c>
      <c r="S3529" s="71">
        <f t="shared" si="501"/>
        <v>0</v>
      </c>
      <c r="T3529" s="71">
        <f t="shared" si="502"/>
        <v>0</v>
      </c>
      <c r="U3529" s="71">
        <f>IF(AND(N3529=1,V3529=1),IF(COUNTIFS(AKTIVITAS!$B$2:$B$3052,B3529,AKTIVITAS!$E$2:$E$3052,H3529)&gt;0,1,0),0)</f>
        <v>0</v>
      </c>
      <c r="V3529" s="71">
        <f>IFERROR(IF(AND(H3529&gt;=INDEX(PEMAGANG!$J$3:$J$36,MATCH(B3529,PEMAGANG!$C$3:$C$36,0)),H3529&lt;=INDEX(PEMAGANG!$K$3:$K$36,MATCH(B3529,PEMAGANG!$C$3:$C$36,0))),1,0),0)</f>
        <v>1</v>
      </c>
      <c r="W3529" s="71">
        <f t="shared" si="503"/>
        <v>0</v>
      </c>
    </row>
    <row r="3530" spans="1:23" x14ac:dyDescent="0.2">
      <c r="A3530" s="71" t="s">
        <v>196</v>
      </c>
      <c r="B3530" s="71" t="s">
        <v>197</v>
      </c>
      <c r="C3530" s="71" t="s">
        <v>187</v>
      </c>
      <c r="D3530" s="71" t="s">
        <v>185</v>
      </c>
      <c r="E3530" s="71" t="s">
        <v>47</v>
      </c>
      <c r="F3530" s="71" t="s">
        <v>298</v>
      </c>
      <c r="G3530" s="88">
        <v>46265.305509259299</v>
      </c>
      <c r="H3530" s="89">
        <v>46265</v>
      </c>
      <c r="I3530" s="71" t="s">
        <v>321</v>
      </c>
      <c r="J3530" s="71">
        <v>-41</v>
      </c>
      <c r="K3530" s="71" t="s">
        <v>302</v>
      </c>
      <c r="L3530" s="71">
        <f t="shared" si="495"/>
        <v>8</v>
      </c>
      <c r="M3530" s="71" t="str">
        <f>IFERROR(INDEX(KALENDER!$D$3:$D$132,MATCH(H3530,KALENDER!$A$3:$A$132,0)),"Di luar periode")</f>
        <v>Hari Kerja</v>
      </c>
      <c r="N3530" s="71">
        <f t="shared" si="496"/>
        <v>1</v>
      </c>
      <c r="O3530" s="71">
        <f t="shared" si="497"/>
        <v>1</v>
      </c>
      <c r="P3530" s="71">
        <f t="shared" si="498"/>
        <v>1</v>
      </c>
      <c r="Q3530" s="71">
        <f t="shared" si="499"/>
        <v>0</v>
      </c>
      <c r="R3530" s="71">
        <f t="shared" si="500"/>
        <v>0</v>
      </c>
      <c r="S3530" s="71">
        <f t="shared" si="501"/>
        <v>0</v>
      </c>
      <c r="T3530" s="71">
        <f t="shared" si="502"/>
        <v>0</v>
      </c>
      <c r="U3530" s="71">
        <f>IF(AND(N3530=1,V3530=1),IF(COUNTIFS(AKTIVITAS!$B$2:$B$3052,B3530,AKTIVITAS!$E$2:$E$3052,H3530)&gt;0,1,0),0)</f>
        <v>1</v>
      </c>
      <c r="V3530" s="71">
        <f>IFERROR(IF(AND(H3530&gt;=INDEX(PEMAGANG!$J$3:$J$36,MATCH(B3530,PEMAGANG!$C$3:$C$36,0)),H3530&lt;=INDEX(PEMAGANG!$K$3:$K$36,MATCH(B3530,PEMAGANG!$C$3:$C$36,0))),1,0),0)</f>
        <v>1</v>
      </c>
      <c r="W3530" s="71">
        <f t="shared" si="503"/>
        <v>1</v>
      </c>
    </row>
    <row r="3531" spans="1:23" x14ac:dyDescent="0.2">
      <c r="A3531" s="71" t="s">
        <v>196</v>
      </c>
      <c r="B3531" s="71" t="s">
        <v>197</v>
      </c>
      <c r="C3531" s="71" t="s">
        <v>187</v>
      </c>
      <c r="D3531" s="71" t="s">
        <v>185</v>
      </c>
      <c r="E3531" s="71" t="s">
        <v>47</v>
      </c>
      <c r="F3531" s="71" t="s">
        <v>300</v>
      </c>
      <c r="G3531" s="88">
        <v>46265.689340277801</v>
      </c>
      <c r="H3531" s="89">
        <v>46265</v>
      </c>
      <c r="I3531" s="71" t="s">
        <v>306</v>
      </c>
      <c r="J3531" s="71">
        <v>0</v>
      </c>
      <c r="K3531" s="71" t="s">
        <v>302</v>
      </c>
      <c r="L3531" s="71">
        <f t="shared" si="495"/>
        <v>8</v>
      </c>
      <c r="M3531" s="71" t="str">
        <f>IFERROR(INDEX(KALENDER!$D$3:$D$132,MATCH(H3531,KALENDER!$A$3:$A$132,0)),"Di luar periode")</f>
        <v>Hari Kerja</v>
      </c>
      <c r="N3531" s="71">
        <f t="shared" si="496"/>
        <v>0</v>
      </c>
      <c r="O3531" s="71">
        <f t="shared" si="497"/>
        <v>1</v>
      </c>
      <c r="P3531" s="71">
        <f t="shared" si="498"/>
        <v>0</v>
      </c>
      <c r="Q3531" s="71">
        <f t="shared" si="499"/>
        <v>0</v>
      </c>
      <c r="R3531" s="71">
        <f t="shared" si="500"/>
        <v>0</v>
      </c>
      <c r="S3531" s="71">
        <f t="shared" si="501"/>
        <v>0</v>
      </c>
      <c r="T3531" s="71">
        <f t="shared" si="502"/>
        <v>0</v>
      </c>
      <c r="U3531" s="71">
        <f>IF(AND(N3531=1,V3531=1),IF(COUNTIFS(AKTIVITAS!$B$2:$B$3052,B3531,AKTIVITAS!$E$2:$E$3052,H3531)&gt;0,1,0),0)</f>
        <v>0</v>
      </c>
      <c r="V3531" s="71">
        <f>IFERROR(IF(AND(H3531&gt;=INDEX(PEMAGANG!$J$3:$J$36,MATCH(B3531,PEMAGANG!$C$3:$C$36,0)),H3531&lt;=INDEX(PEMAGANG!$K$3:$K$36,MATCH(B3531,PEMAGANG!$C$3:$C$36,0))),1,0),0)</f>
        <v>1</v>
      </c>
      <c r="W3531" s="71">
        <f t="shared" si="503"/>
        <v>0</v>
      </c>
    </row>
    <row r="3532" spans="1:23" x14ac:dyDescent="0.2">
      <c r="A3532" s="71" t="s">
        <v>196</v>
      </c>
      <c r="B3532" s="71" t="s">
        <v>197</v>
      </c>
      <c r="C3532" s="71" t="s">
        <v>187</v>
      </c>
      <c r="D3532" s="71" t="s">
        <v>185</v>
      </c>
      <c r="E3532" s="71" t="s">
        <v>47</v>
      </c>
      <c r="F3532" s="71" t="s">
        <v>298</v>
      </c>
      <c r="G3532" s="88">
        <v>46266.305798611102</v>
      </c>
      <c r="H3532" s="89">
        <v>46266</v>
      </c>
      <c r="I3532" s="71" t="s">
        <v>329</v>
      </c>
      <c r="J3532" s="71">
        <v>-40</v>
      </c>
      <c r="K3532" s="71" t="s">
        <v>302</v>
      </c>
      <c r="L3532" s="71">
        <f t="shared" si="495"/>
        <v>9</v>
      </c>
      <c r="M3532" s="71" t="str">
        <f>IFERROR(INDEX(KALENDER!$D$3:$D$132,MATCH(H3532,KALENDER!$A$3:$A$132,0)),"Di luar periode")</f>
        <v>Hari Kerja</v>
      </c>
      <c r="N3532" s="71">
        <f t="shared" si="496"/>
        <v>1</v>
      </c>
      <c r="O3532" s="71">
        <f t="shared" si="497"/>
        <v>1</v>
      </c>
      <c r="P3532" s="71">
        <f t="shared" si="498"/>
        <v>1</v>
      </c>
      <c r="Q3532" s="71">
        <f t="shared" si="499"/>
        <v>0</v>
      </c>
      <c r="R3532" s="71">
        <f t="shared" si="500"/>
        <v>0</v>
      </c>
      <c r="S3532" s="71">
        <f t="shared" si="501"/>
        <v>0</v>
      </c>
      <c r="T3532" s="71">
        <f t="shared" si="502"/>
        <v>0</v>
      </c>
      <c r="U3532" s="71">
        <f>IF(AND(N3532=1,V3532=1),IF(COUNTIFS(AKTIVITAS!$B$2:$B$3052,B3532,AKTIVITAS!$E$2:$E$3052,H3532)&gt;0,1,0),0)</f>
        <v>1</v>
      </c>
      <c r="V3532" s="71">
        <f>IFERROR(IF(AND(H3532&gt;=INDEX(PEMAGANG!$J$3:$J$36,MATCH(B3532,PEMAGANG!$C$3:$C$36,0)),H3532&lt;=INDEX(PEMAGANG!$K$3:$K$36,MATCH(B3532,PEMAGANG!$C$3:$C$36,0))),1,0),0)</f>
        <v>1</v>
      </c>
      <c r="W3532" s="71">
        <f t="shared" si="503"/>
        <v>1</v>
      </c>
    </row>
    <row r="3533" spans="1:23" x14ac:dyDescent="0.2">
      <c r="A3533" s="71" t="s">
        <v>196</v>
      </c>
      <c r="B3533" s="71" t="s">
        <v>197</v>
      </c>
      <c r="C3533" s="71" t="s">
        <v>187</v>
      </c>
      <c r="D3533" s="71" t="s">
        <v>185</v>
      </c>
      <c r="E3533" s="71" t="s">
        <v>47</v>
      </c>
      <c r="F3533" s="71" t="s">
        <v>300</v>
      </c>
      <c r="G3533" s="88">
        <v>46266.691805555602</v>
      </c>
      <c r="H3533" s="89">
        <v>46266</v>
      </c>
      <c r="I3533" s="71" t="s">
        <v>344</v>
      </c>
      <c r="J3533" s="71">
        <v>0</v>
      </c>
      <c r="K3533" s="71" t="s">
        <v>302</v>
      </c>
      <c r="L3533" s="71">
        <f t="shared" si="495"/>
        <v>9</v>
      </c>
      <c r="M3533" s="71" t="str">
        <f>IFERROR(INDEX(KALENDER!$D$3:$D$132,MATCH(H3533,KALENDER!$A$3:$A$132,0)),"Di luar periode")</f>
        <v>Hari Kerja</v>
      </c>
      <c r="N3533" s="71">
        <f t="shared" si="496"/>
        <v>0</v>
      </c>
      <c r="O3533" s="71">
        <f t="shared" si="497"/>
        <v>1</v>
      </c>
      <c r="P3533" s="71">
        <f t="shared" si="498"/>
        <v>0</v>
      </c>
      <c r="Q3533" s="71">
        <f t="shared" si="499"/>
        <v>0</v>
      </c>
      <c r="R3533" s="71">
        <f t="shared" si="500"/>
        <v>0</v>
      </c>
      <c r="S3533" s="71">
        <f t="shared" si="501"/>
        <v>0</v>
      </c>
      <c r="T3533" s="71">
        <f t="shared" si="502"/>
        <v>0</v>
      </c>
      <c r="U3533" s="71">
        <f>IF(AND(N3533=1,V3533=1),IF(COUNTIFS(AKTIVITAS!$B$2:$B$3052,B3533,AKTIVITAS!$E$2:$E$3052,H3533)&gt;0,1,0),0)</f>
        <v>0</v>
      </c>
      <c r="V3533" s="71">
        <f>IFERROR(IF(AND(H3533&gt;=INDEX(PEMAGANG!$J$3:$J$36,MATCH(B3533,PEMAGANG!$C$3:$C$36,0)),H3533&lt;=INDEX(PEMAGANG!$K$3:$K$36,MATCH(B3533,PEMAGANG!$C$3:$C$36,0))),1,0),0)</f>
        <v>1</v>
      </c>
      <c r="W3533" s="71">
        <f t="shared" si="503"/>
        <v>0</v>
      </c>
    </row>
    <row r="3534" spans="1:23" x14ac:dyDescent="0.2">
      <c r="A3534" s="71" t="s">
        <v>196</v>
      </c>
      <c r="B3534" s="71" t="s">
        <v>197</v>
      </c>
      <c r="C3534" s="71" t="s">
        <v>187</v>
      </c>
      <c r="D3534" s="71" t="s">
        <v>185</v>
      </c>
      <c r="E3534" s="71" t="s">
        <v>47</v>
      </c>
      <c r="F3534" s="71" t="s">
        <v>298</v>
      </c>
      <c r="G3534" s="88">
        <v>46267.301979166703</v>
      </c>
      <c r="H3534" s="89">
        <v>46267</v>
      </c>
      <c r="I3534" s="71" t="s">
        <v>416</v>
      </c>
      <c r="J3534" s="71">
        <v>-46</v>
      </c>
      <c r="K3534" s="71" t="s">
        <v>302</v>
      </c>
      <c r="L3534" s="71">
        <f t="shared" si="495"/>
        <v>9</v>
      </c>
      <c r="M3534" s="71" t="str">
        <f>IFERROR(INDEX(KALENDER!$D$3:$D$132,MATCH(H3534,KALENDER!$A$3:$A$132,0)),"Di luar periode")</f>
        <v>Hari Kerja</v>
      </c>
      <c r="N3534" s="71">
        <f t="shared" si="496"/>
        <v>1</v>
      </c>
      <c r="O3534" s="71">
        <f t="shared" si="497"/>
        <v>1</v>
      </c>
      <c r="P3534" s="71">
        <f t="shared" si="498"/>
        <v>1</v>
      </c>
      <c r="Q3534" s="71">
        <f t="shared" si="499"/>
        <v>0</v>
      </c>
      <c r="R3534" s="71">
        <f t="shared" si="500"/>
        <v>0</v>
      </c>
      <c r="S3534" s="71">
        <f t="shared" si="501"/>
        <v>0</v>
      </c>
      <c r="T3534" s="71">
        <f t="shared" si="502"/>
        <v>0</v>
      </c>
      <c r="U3534" s="71">
        <f>IF(AND(N3534=1,V3534=1),IF(COUNTIFS(AKTIVITAS!$B$2:$B$3052,B3534,AKTIVITAS!$E$2:$E$3052,H3534)&gt;0,1,0),0)</f>
        <v>1</v>
      </c>
      <c r="V3534" s="71">
        <f>IFERROR(IF(AND(H3534&gt;=INDEX(PEMAGANG!$J$3:$J$36,MATCH(B3534,PEMAGANG!$C$3:$C$36,0)),H3534&lt;=INDEX(PEMAGANG!$K$3:$K$36,MATCH(B3534,PEMAGANG!$C$3:$C$36,0))),1,0),0)</f>
        <v>1</v>
      </c>
      <c r="W3534" s="71">
        <f t="shared" si="503"/>
        <v>1</v>
      </c>
    </row>
    <row r="3535" spans="1:23" x14ac:dyDescent="0.2">
      <c r="A3535" s="71" t="s">
        <v>196</v>
      </c>
      <c r="B3535" s="71" t="s">
        <v>197</v>
      </c>
      <c r="C3535" s="71" t="s">
        <v>187</v>
      </c>
      <c r="D3535" s="71" t="s">
        <v>185</v>
      </c>
      <c r="E3535" s="71" t="s">
        <v>47</v>
      </c>
      <c r="F3535" s="71" t="s">
        <v>300</v>
      </c>
      <c r="G3535" s="88">
        <v>46267.693449074097</v>
      </c>
      <c r="H3535" s="89">
        <v>46267</v>
      </c>
      <c r="I3535" s="71" t="s">
        <v>317</v>
      </c>
      <c r="J3535" s="71">
        <v>0</v>
      </c>
      <c r="K3535" s="71" t="s">
        <v>302</v>
      </c>
      <c r="L3535" s="71">
        <f t="shared" si="495"/>
        <v>9</v>
      </c>
      <c r="M3535" s="71" t="str">
        <f>IFERROR(INDEX(KALENDER!$D$3:$D$132,MATCH(H3535,KALENDER!$A$3:$A$132,0)),"Di luar periode")</f>
        <v>Hari Kerja</v>
      </c>
      <c r="N3535" s="71">
        <f t="shared" si="496"/>
        <v>0</v>
      </c>
      <c r="O3535" s="71">
        <f t="shared" si="497"/>
        <v>1</v>
      </c>
      <c r="P3535" s="71">
        <f t="shared" si="498"/>
        <v>0</v>
      </c>
      <c r="Q3535" s="71">
        <f t="shared" si="499"/>
        <v>0</v>
      </c>
      <c r="R3535" s="71">
        <f t="shared" si="500"/>
        <v>0</v>
      </c>
      <c r="S3535" s="71">
        <f t="shared" si="501"/>
        <v>0</v>
      </c>
      <c r="T3535" s="71">
        <f t="shared" si="502"/>
        <v>0</v>
      </c>
      <c r="U3535" s="71">
        <f>IF(AND(N3535=1,V3535=1),IF(COUNTIFS(AKTIVITAS!$B$2:$B$3052,B3535,AKTIVITAS!$E$2:$E$3052,H3535)&gt;0,1,0),0)</f>
        <v>0</v>
      </c>
      <c r="V3535" s="71">
        <f>IFERROR(IF(AND(H3535&gt;=INDEX(PEMAGANG!$J$3:$J$36,MATCH(B3535,PEMAGANG!$C$3:$C$36,0)),H3535&lt;=INDEX(PEMAGANG!$K$3:$K$36,MATCH(B3535,PEMAGANG!$C$3:$C$36,0))),1,0),0)</f>
        <v>1</v>
      </c>
      <c r="W3535" s="71">
        <f t="shared" si="503"/>
        <v>0</v>
      </c>
    </row>
    <row r="3536" spans="1:23" x14ac:dyDescent="0.2">
      <c r="A3536" s="71" t="s">
        <v>196</v>
      </c>
      <c r="B3536" s="71" t="s">
        <v>197</v>
      </c>
      <c r="C3536" s="71" t="s">
        <v>187</v>
      </c>
      <c r="D3536" s="71" t="s">
        <v>185</v>
      </c>
      <c r="E3536" s="71" t="s">
        <v>47</v>
      </c>
      <c r="F3536" s="71" t="s">
        <v>298</v>
      </c>
      <c r="G3536" s="88">
        <v>46268.312118055597</v>
      </c>
      <c r="H3536" s="89">
        <v>46268</v>
      </c>
      <c r="I3536" s="71" t="s">
        <v>365</v>
      </c>
      <c r="J3536" s="71">
        <v>-31</v>
      </c>
      <c r="K3536" s="71" t="s">
        <v>302</v>
      </c>
      <c r="L3536" s="71">
        <f t="shared" si="495"/>
        <v>9</v>
      </c>
      <c r="M3536" s="71" t="str">
        <f>IFERROR(INDEX(KALENDER!$D$3:$D$132,MATCH(H3536,KALENDER!$A$3:$A$132,0)),"Di luar periode")</f>
        <v>Hari Kerja</v>
      </c>
      <c r="N3536" s="71">
        <f t="shared" si="496"/>
        <v>1</v>
      </c>
      <c r="O3536" s="71">
        <f t="shared" si="497"/>
        <v>1</v>
      </c>
      <c r="P3536" s="71">
        <f t="shared" si="498"/>
        <v>1</v>
      </c>
      <c r="Q3536" s="71">
        <f t="shared" si="499"/>
        <v>0</v>
      </c>
      <c r="R3536" s="71">
        <f t="shared" si="500"/>
        <v>0</v>
      </c>
      <c r="S3536" s="71">
        <f t="shared" si="501"/>
        <v>0</v>
      </c>
      <c r="T3536" s="71">
        <f t="shared" si="502"/>
        <v>0</v>
      </c>
      <c r="U3536" s="71">
        <f>IF(AND(N3536=1,V3536=1),IF(COUNTIFS(AKTIVITAS!$B$2:$B$3052,B3536,AKTIVITAS!$E$2:$E$3052,H3536)&gt;0,1,0),0)</f>
        <v>1</v>
      </c>
      <c r="V3536" s="71">
        <f>IFERROR(IF(AND(H3536&gt;=INDEX(PEMAGANG!$J$3:$J$36,MATCH(B3536,PEMAGANG!$C$3:$C$36,0)),H3536&lt;=INDEX(PEMAGANG!$K$3:$K$36,MATCH(B3536,PEMAGANG!$C$3:$C$36,0))),1,0),0)</f>
        <v>1</v>
      </c>
      <c r="W3536" s="71">
        <f t="shared" si="503"/>
        <v>1</v>
      </c>
    </row>
    <row r="3537" spans="1:23" x14ac:dyDescent="0.2">
      <c r="A3537" s="71" t="s">
        <v>196</v>
      </c>
      <c r="B3537" s="71" t="s">
        <v>197</v>
      </c>
      <c r="C3537" s="71" t="s">
        <v>187</v>
      </c>
      <c r="D3537" s="71" t="s">
        <v>185</v>
      </c>
      <c r="E3537" s="71" t="s">
        <v>47</v>
      </c>
      <c r="F3537" s="71" t="s">
        <v>300</v>
      </c>
      <c r="G3537" s="88">
        <v>46268.6902430556</v>
      </c>
      <c r="H3537" s="89">
        <v>46268</v>
      </c>
      <c r="I3537" s="71" t="s">
        <v>316</v>
      </c>
      <c r="J3537" s="71">
        <v>0</v>
      </c>
      <c r="K3537" s="71" t="s">
        <v>302</v>
      </c>
      <c r="L3537" s="71">
        <f t="shared" si="495"/>
        <v>9</v>
      </c>
      <c r="M3537" s="71" t="str">
        <f>IFERROR(INDEX(KALENDER!$D$3:$D$132,MATCH(H3537,KALENDER!$A$3:$A$132,0)),"Di luar periode")</f>
        <v>Hari Kerja</v>
      </c>
      <c r="N3537" s="71">
        <f t="shared" si="496"/>
        <v>0</v>
      </c>
      <c r="O3537" s="71">
        <f t="shared" si="497"/>
        <v>1</v>
      </c>
      <c r="P3537" s="71">
        <f t="shared" si="498"/>
        <v>0</v>
      </c>
      <c r="Q3537" s="71">
        <f t="shared" si="499"/>
        <v>0</v>
      </c>
      <c r="R3537" s="71">
        <f t="shared" si="500"/>
        <v>0</v>
      </c>
      <c r="S3537" s="71">
        <f t="shared" si="501"/>
        <v>0</v>
      </c>
      <c r="T3537" s="71">
        <f t="shared" si="502"/>
        <v>0</v>
      </c>
      <c r="U3537" s="71">
        <f>IF(AND(N3537=1,V3537=1),IF(COUNTIFS(AKTIVITAS!$B$2:$B$3052,B3537,AKTIVITAS!$E$2:$E$3052,H3537)&gt;0,1,0),0)</f>
        <v>0</v>
      </c>
      <c r="V3537" s="71">
        <f>IFERROR(IF(AND(H3537&gt;=INDEX(PEMAGANG!$J$3:$J$36,MATCH(B3537,PEMAGANG!$C$3:$C$36,0)),H3537&lt;=INDEX(PEMAGANG!$K$3:$K$36,MATCH(B3537,PEMAGANG!$C$3:$C$36,0))),1,0),0)</f>
        <v>1</v>
      </c>
      <c r="W3537" s="71">
        <f t="shared" si="503"/>
        <v>0</v>
      </c>
    </row>
    <row r="3538" spans="1:23" x14ac:dyDescent="0.2">
      <c r="A3538" s="71" t="s">
        <v>196</v>
      </c>
      <c r="B3538" s="71" t="s">
        <v>197</v>
      </c>
      <c r="C3538" s="71" t="s">
        <v>187</v>
      </c>
      <c r="D3538" s="71" t="s">
        <v>185</v>
      </c>
      <c r="E3538" s="71" t="s">
        <v>47</v>
      </c>
      <c r="F3538" s="71" t="s">
        <v>300</v>
      </c>
      <c r="G3538" s="88">
        <v>46269.698958333298</v>
      </c>
      <c r="H3538" s="89">
        <v>46269</v>
      </c>
      <c r="I3538" s="71" t="s">
        <v>488</v>
      </c>
      <c r="J3538" s="71">
        <v>0</v>
      </c>
      <c r="K3538" s="71" t="s">
        <v>302</v>
      </c>
      <c r="L3538" s="71">
        <f t="shared" si="495"/>
        <v>9</v>
      </c>
      <c r="M3538" s="71" t="str">
        <f>IFERROR(INDEX(KALENDER!$D$3:$D$132,MATCH(H3538,KALENDER!$A$3:$A$132,0)),"Di luar periode")</f>
        <v>Hari Kerja</v>
      </c>
      <c r="N3538" s="71">
        <f t="shared" si="496"/>
        <v>1</v>
      </c>
      <c r="O3538" s="71">
        <f t="shared" si="497"/>
        <v>0</v>
      </c>
      <c r="P3538" s="71">
        <f t="shared" si="498"/>
        <v>1</v>
      </c>
      <c r="Q3538" s="71">
        <f t="shared" si="499"/>
        <v>0</v>
      </c>
      <c r="R3538" s="71">
        <f t="shared" si="500"/>
        <v>0</v>
      </c>
      <c r="S3538" s="71">
        <f t="shared" si="501"/>
        <v>0</v>
      </c>
      <c r="T3538" s="71">
        <f t="shared" si="502"/>
        <v>0</v>
      </c>
      <c r="U3538" s="71">
        <f>IF(AND(N3538=1,V3538=1),IF(COUNTIFS(AKTIVITAS!$B$2:$B$3052,B3538,AKTIVITAS!$E$2:$E$3052,H3538)&gt;0,1,0),0)</f>
        <v>1</v>
      </c>
      <c r="V3538" s="71">
        <f>IFERROR(IF(AND(H3538&gt;=INDEX(PEMAGANG!$J$3:$J$36,MATCH(B3538,PEMAGANG!$C$3:$C$36,0)),H3538&lt;=INDEX(PEMAGANG!$K$3:$K$36,MATCH(B3538,PEMAGANG!$C$3:$C$36,0))),1,0),0)</f>
        <v>1</v>
      </c>
      <c r="W3538" s="71">
        <f t="shared" si="503"/>
        <v>1</v>
      </c>
    </row>
    <row r="3539" spans="1:23" x14ac:dyDescent="0.2">
      <c r="A3539" s="71" t="s">
        <v>196</v>
      </c>
      <c r="B3539" s="71" t="s">
        <v>197</v>
      </c>
      <c r="C3539" s="71" t="s">
        <v>187</v>
      </c>
      <c r="D3539" s="71" t="s">
        <v>185</v>
      </c>
      <c r="E3539" s="71" t="s">
        <v>47</v>
      </c>
      <c r="F3539" s="71" t="s">
        <v>298</v>
      </c>
      <c r="G3539" s="88">
        <v>46272.303935185198</v>
      </c>
      <c r="H3539" s="89">
        <v>46272</v>
      </c>
      <c r="I3539" s="71" t="s">
        <v>331</v>
      </c>
      <c r="J3539" s="71">
        <v>-43</v>
      </c>
      <c r="K3539" s="71" t="s">
        <v>302</v>
      </c>
      <c r="L3539" s="71">
        <f t="shared" si="495"/>
        <v>9</v>
      </c>
      <c r="M3539" s="71" t="str">
        <f>IFERROR(INDEX(KALENDER!$D$3:$D$132,MATCH(H3539,KALENDER!$A$3:$A$132,0)),"Di luar periode")</f>
        <v>Hari Kerja</v>
      </c>
      <c r="N3539" s="71">
        <f t="shared" si="496"/>
        <v>1</v>
      </c>
      <c r="O3539" s="71">
        <f t="shared" si="497"/>
        <v>1</v>
      </c>
      <c r="P3539" s="71">
        <f t="shared" si="498"/>
        <v>1</v>
      </c>
      <c r="Q3539" s="71">
        <f t="shared" si="499"/>
        <v>0</v>
      </c>
      <c r="R3539" s="71">
        <f t="shared" si="500"/>
        <v>0</v>
      </c>
      <c r="S3539" s="71">
        <f t="shared" si="501"/>
        <v>0</v>
      </c>
      <c r="T3539" s="71">
        <f t="shared" si="502"/>
        <v>0</v>
      </c>
      <c r="U3539" s="71">
        <f>IF(AND(N3539=1,V3539=1),IF(COUNTIFS(AKTIVITAS!$B$2:$B$3052,B3539,AKTIVITAS!$E$2:$E$3052,H3539)&gt;0,1,0),0)</f>
        <v>1</v>
      </c>
      <c r="V3539" s="71">
        <f>IFERROR(IF(AND(H3539&gt;=INDEX(PEMAGANG!$J$3:$J$36,MATCH(B3539,PEMAGANG!$C$3:$C$36,0)),H3539&lt;=INDEX(PEMAGANG!$K$3:$K$36,MATCH(B3539,PEMAGANG!$C$3:$C$36,0))),1,0),0)</f>
        <v>1</v>
      </c>
      <c r="W3539" s="71">
        <f t="shared" si="503"/>
        <v>1</v>
      </c>
    </row>
    <row r="3540" spans="1:23" x14ac:dyDescent="0.2">
      <c r="A3540" s="71" t="s">
        <v>196</v>
      </c>
      <c r="B3540" s="71" t="s">
        <v>197</v>
      </c>
      <c r="C3540" s="71" t="s">
        <v>187</v>
      </c>
      <c r="D3540" s="71" t="s">
        <v>185</v>
      </c>
      <c r="E3540" s="71" t="s">
        <v>47</v>
      </c>
      <c r="F3540" s="71" t="s">
        <v>300</v>
      </c>
      <c r="G3540" s="88">
        <v>46272.693263888897</v>
      </c>
      <c r="H3540" s="89">
        <v>46272</v>
      </c>
      <c r="I3540" s="71" t="s">
        <v>317</v>
      </c>
      <c r="J3540" s="71">
        <v>0</v>
      </c>
      <c r="K3540" s="71" t="s">
        <v>302</v>
      </c>
      <c r="L3540" s="71">
        <f t="shared" si="495"/>
        <v>9</v>
      </c>
      <c r="M3540" s="71" t="str">
        <f>IFERROR(INDEX(KALENDER!$D$3:$D$132,MATCH(H3540,KALENDER!$A$3:$A$132,0)),"Di luar periode")</f>
        <v>Hari Kerja</v>
      </c>
      <c r="N3540" s="71">
        <f t="shared" si="496"/>
        <v>0</v>
      </c>
      <c r="O3540" s="71">
        <f t="shared" si="497"/>
        <v>1</v>
      </c>
      <c r="P3540" s="71">
        <f t="shared" si="498"/>
        <v>0</v>
      </c>
      <c r="Q3540" s="71">
        <f t="shared" si="499"/>
        <v>0</v>
      </c>
      <c r="R3540" s="71">
        <f t="shared" si="500"/>
        <v>0</v>
      </c>
      <c r="S3540" s="71">
        <f t="shared" si="501"/>
        <v>0</v>
      </c>
      <c r="T3540" s="71">
        <f t="shared" si="502"/>
        <v>0</v>
      </c>
      <c r="U3540" s="71">
        <f>IF(AND(N3540=1,V3540=1),IF(COUNTIFS(AKTIVITAS!$B$2:$B$3052,B3540,AKTIVITAS!$E$2:$E$3052,H3540)&gt;0,1,0),0)</f>
        <v>0</v>
      </c>
      <c r="V3540" s="71">
        <f>IFERROR(IF(AND(H3540&gt;=INDEX(PEMAGANG!$J$3:$J$36,MATCH(B3540,PEMAGANG!$C$3:$C$36,0)),H3540&lt;=INDEX(PEMAGANG!$K$3:$K$36,MATCH(B3540,PEMAGANG!$C$3:$C$36,0))),1,0),0)</f>
        <v>1</v>
      </c>
      <c r="W3540" s="71">
        <f t="shared" si="503"/>
        <v>0</v>
      </c>
    </row>
    <row r="3541" spans="1:23" x14ac:dyDescent="0.2">
      <c r="A3541" s="71" t="s">
        <v>196</v>
      </c>
      <c r="B3541" s="71" t="s">
        <v>197</v>
      </c>
      <c r="C3541" s="71" t="s">
        <v>187</v>
      </c>
      <c r="D3541" s="71" t="s">
        <v>185</v>
      </c>
      <c r="E3541" s="71" t="s">
        <v>47</v>
      </c>
      <c r="F3541" s="71" t="s">
        <v>298</v>
      </c>
      <c r="G3541" s="88">
        <v>46273.308749999997</v>
      </c>
      <c r="H3541" s="89">
        <v>46273</v>
      </c>
      <c r="I3541" s="71" t="s">
        <v>303</v>
      </c>
      <c r="J3541" s="71">
        <v>-36</v>
      </c>
      <c r="K3541" s="71" t="s">
        <v>302</v>
      </c>
      <c r="L3541" s="71">
        <f t="shared" si="495"/>
        <v>9</v>
      </c>
      <c r="M3541" s="71" t="str">
        <f>IFERROR(INDEX(KALENDER!$D$3:$D$132,MATCH(H3541,KALENDER!$A$3:$A$132,0)),"Di luar periode")</f>
        <v>Hari Kerja</v>
      </c>
      <c r="N3541" s="71">
        <f t="shared" si="496"/>
        <v>1</v>
      </c>
      <c r="O3541" s="71">
        <f t="shared" si="497"/>
        <v>1</v>
      </c>
      <c r="P3541" s="71">
        <f t="shared" si="498"/>
        <v>1</v>
      </c>
      <c r="Q3541" s="71">
        <f t="shared" si="499"/>
        <v>0</v>
      </c>
      <c r="R3541" s="71">
        <f t="shared" si="500"/>
        <v>0</v>
      </c>
      <c r="S3541" s="71">
        <f t="shared" si="501"/>
        <v>0</v>
      </c>
      <c r="T3541" s="71">
        <f t="shared" si="502"/>
        <v>0</v>
      </c>
      <c r="U3541" s="71">
        <f>IF(AND(N3541=1,V3541=1),IF(COUNTIFS(AKTIVITAS!$B$2:$B$3052,B3541,AKTIVITAS!$E$2:$E$3052,H3541)&gt;0,1,0),0)</f>
        <v>1</v>
      </c>
      <c r="V3541" s="71">
        <f>IFERROR(IF(AND(H3541&gt;=INDEX(PEMAGANG!$J$3:$J$36,MATCH(B3541,PEMAGANG!$C$3:$C$36,0)),H3541&lt;=INDEX(PEMAGANG!$K$3:$K$36,MATCH(B3541,PEMAGANG!$C$3:$C$36,0))),1,0),0)</f>
        <v>1</v>
      </c>
      <c r="W3541" s="71">
        <f t="shared" si="503"/>
        <v>1</v>
      </c>
    </row>
    <row r="3542" spans="1:23" x14ac:dyDescent="0.2">
      <c r="A3542" s="71" t="s">
        <v>196</v>
      </c>
      <c r="B3542" s="71" t="s">
        <v>197</v>
      </c>
      <c r="C3542" s="71" t="s">
        <v>187</v>
      </c>
      <c r="D3542" s="71" t="s">
        <v>185</v>
      </c>
      <c r="E3542" s="71" t="s">
        <v>47</v>
      </c>
      <c r="F3542" s="71" t="s">
        <v>300</v>
      </c>
      <c r="G3542" s="88">
        <v>46273.689513888901</v>
      </c>
      <c r="H3542" s="89">
        <v>46273</v>
      </c>
      <c r="I3542" s="71" t="s">
        <v>306</v>
      </c>
      <c r="J3542" s="71">
        <v>0</v>
      </c>
      <c r="K3542" s="71" t="s">
        <v>302</v>
      </c>
      <c r="L3542" s="71">
        <f t="shared" si="495"/>
        <v>9</v>
      </c>
      <c r="M3542" s="71" t="str">
        <f>IFERROR(INDEX(KALENDER!$D$3:$D$132,MATCH(H3542,KALENDER!$A$3:$A$132,0)),"Di luar periode")</f>
        <v>Hari Kerja</v>
      </c>
      <c r="N3542" s="71">
        <f t="shared" si="496"/>
        <v>0</v>
      </c>
      <c r="O3542" s="71">
        <f t="shared" si="497"/>
        <v>1</v>
      </c>
      <c r="P3542" s="71">
        <f t="shared" si="498"/>
        <v>0</v>
      </c>
      <c r="Q3542" s="71">
        <f t="shared" si="499"/>
        <v>0</v>
      </c>
      <c r="R3542" s="71">
        <f t="shared" si="500"/>
        <v>0</v>
      </c>
      <c r="S3542" s="71">
        <f t="shared" si="501"/>
        <v>0</v>
      </c>
      <c r="T3542" s="71">
        <f t="shared" si="502"/>
        <v>0</v>
      </c>
      <c r="U3542" s="71">
        <f>IF(AND(N3542=1,V3542=1),IF(COUNTIFS(AKTIVITAS!$B$2:$B$3052,B3542,AKTIVITAS!$E$2:$E$3052,H3542)&gt;0,1,0),0)</f>
        <v>0</v>
      </c>
      <c r="V3542" s="71">
        <f>IFERROR(IF(AND(H3542&gt;=INDEX(PEMAGANG!$J$3:$J$36,MATCH(B3542,PEMAGANG!$C$3:$C$36,0)),H3542&lt;=INDEX(PEMAGANG!$K$3:$K$36,MATCH(B3542,PEMAGANG!$C$3:$C$36,0))),1,0),0)</f>
        <v>1</v>
      </c>
      <c r="W3542" s="71">
        <f t="shared" si="503"/>
        <v>0</v>
      </c>
    </row>
    <row r="3543" spans="1:23" x14ac:dyDescent="0.2">
      <c r="A3543" s="71" t="s">
        <v>196</v>
      </c>
      <c r="B3543" s="71" t="s">
        <v>197</v>
      </c>
      <c r="C3543" s="71" t="s">
        <v>187</v>
      </c>
      <c r="D3543" s="71" t="s">
        <v>185</v>
      </c>
      <c r="E3543" s="71" t="s">
        <v>47</v>
      </c>
      <c r="F3543" s="71" t="s">
        <v>298</v>
      </c>
      <c r="G3543" s="88">
        <v>46274.3024421296</v>
      </c>
      <c r="H3543" s="89">
        <v>46274</v>
      </c>
      <c r="I3543" s="71" t="s">
        <v>370</v>
      </c>
      <c r="J3543" s="71">
        <v>-45</v>
      </c>
      <c r="K3543" s="71" t="s">
        <v>302</v>
      </c>
      <c r="L3543" s="71">
        <f t="shared" si="495"/>
        <v>9</v>
      </c>
      <c r="M3543" s="71" t="str">
        <f>IFERROR(INDEX(KALENDER!$D$3:$D$132,MATCH(H3543,KALENDER!$A$3:$A$132,0)),"Di luar periode")</f>
        <v>Hari Kerja</v>
      </c>
      <c r="N3543" s="71">
        <f t="shared" si="496"/>
        <v>1</v>
      </c>
      <c r="O3543" s="71">
        <f t="shared" si="497"/>
        <v>1</v>
      </c>
      <c r="P3543" s="71">
        <f t="shared" si="498"/>
        <v>1</v>
      </c>
      <c r="Q3543" s="71">
        <f t="shared" si="499"/>
        <v>0</v>
      </c>
      <c r="R3543" s="71">
        <f t="shared" si="500"/>
        <v>0</v>
      </c>
      <c r="S3543" s="71">
        <f t="shared" si="501"/>
        <v>0</v>
      </c>
      <c r="T3543" s="71">
        <f t="shared" si="502"/>
        <v>0</v>
      </c>
      <c r="U3543" s="71">
        <f>IF(AND(N3543=1,V3543=1),IF(COUNTIFS(AKTIVITAS!$B$2:$B$3052,B3543,AKTIVITAS!$E$2:$E$3052,H3543)&gt;0,1,0),0)</f>
        <v>1</v>
      </c>
      <c r="V3543" s="71">
        <f>IFERROR(IF(AND(H3543&gt;=INDEX(PEMAGANG!$J$3:$J$36,MATCH(B3543,PEMAGANG!$C$3:$C$36,0)),H3543&lt;=INDEX(PEMAGANG!$K$3:$K$36,MATCH(B3543,PEMAGANG!$C$3:$C$36,0))),1,0),0)</f>
        <v>1</v>
      </c>
      <c r="W3543" s="71">
        <f t="shared" si="503"/>
        <v>1</v>
      </c>
    </row>
    <row r="3544" spans="1:23" x14ac:dyDescent="0.2">
      <c r="A3544" s="71" t="s">
        <v>196</v>
      </c>
      <c r="B3544" s="71" t="s">
        <v>197</v>
      </c>
      <c r="C3544" s="71" t="s">
        <v>187</v>
      </c>
      <c r="D3544" s="71" t="s">
        <v>185</v>
      </c>
      <c r="E3544" s="71" t="s">
        <v>47</v>
      </c>
      <c r="F3544" s="71" t="s">
        <v>300</v>
      </c>
      <c r="G3544" s="88">
        <v>46274.703379629602</v>
      </c>
      <c r="H3544" s="89">
        <v>46274</v>
      </c>
      <c r="I3544" s="71" t="s">
        <v>325</v>
      </c>
      <c r="J3544" s="71">
        <v>0</v>
      </c>
      <c r="K3544" s="71" t="s">
        <v>302</v>
      </c>
      <c r="L3544" s="71">
        <f t="shared" si="495"/>
        <v>9</v>
      </c>
      <c r="M3544" s="71" t="str">
        <f>IFERROR(INDEX(KALENDER!$D$3:$D$132,MATCH(H3544,KALENDER!$A$3:$A$132,0)),"Di luar periode")</f>
        <v>Hari Kerja</v>
      </c>
      <c r="N3544" s="71">
        <f t="shared" si="496"/>
        <v>0</v>
      </c>
      <c r="O3544" s="71">
        <f t="shared" si="497"/>
        <v>1</v>
      </c>
      <c r="P3544" s="71">
        <f t="shared" si="498"/>
        <v>0</v>
      </c>
      <c r="Q3544" s="71">
        <f t="shared" si="499"/>
        <v>0</v>
      </c>
      <c r="R3544" s="71">
        <f t="shared" si="500"/>
        <v>0</v>
      </c>
      <c r="S3544" s="71">
        <f t="shared" si="501"/>
        <v>0</v>
      </c>
      <c r="T3544" s="71">
        <f t="shared" si="502"/>
        <v>0</v>
      </c>
      <c r="U3544" s="71">
        <f>IF(AND(N3544=1,V3544=1),IF(COUNTIFS(AKTIVITAS!$B$2:$B$3052,B3544,AKTIVITAS!$E$2:$E$3052,H3544)&gt;0,1,0),0)</f>
        <v>0</v>
      </c>
      <c r="V3544" s="71">
        <f>IFERROR(IF(AND(H3544&gt;=INDEX(PEMAGANG!$J$3:$J$36,MATCH(B3544,PEMAGANG!$C$3:$C$36,0)),H3544&lt;=INDEX(PEMAGANG!$K$3:$K$36,MATCH(B3544,PEMAGANG!$C$3:$C$36,0))),1,0),0)</f>
        <v>1</v>
      </c>
      <c r="W3544" s="71">
        <f t="shared" si="503"/>
        <v>0</v>
      </c>
    </row>
    <row r="3545" spans="1:23" x14ac:dyDescent="0.2">
      <c r="A3545" s="71" t="s">
        <v>196</v>
      </c>
      <c r="B3545" s="71" t="s">
        <v>197</v>
      </c>
      <c r="C3545" s="71" t="s">
        <v>187</v>
      </c>
      <c r="D3545" s="71" t="s">
        <v>185</v>
      </c>
      <c r="E3545" s="71" t="s">
        <v>47</v>
      </c>
      <c r="F3545" s="71" t="s">
        <v>298</v>
      </c>
      <c r="G3545" s="88">
        <v>46275.307881944398</v>
      </c>
      <c r="H3545" s="89">
        <v>46275</v>
      </c>
      <c r="I3545" s="71" t="s">
        <v>311</v>
      </c>
      <c r="J3545" s="71">
        <v>-37</v>
      </c>
      <c r="K3545" s="71" t="s">
        <v>302</v>
      </c>
      <c r="L3545" s="71">
        <f t="shared" si="495"/>
        <v>9</v>
      </c>
      <c r="M3545" s="71" t="str">
        <f>IFERROR(INDEX(KALENDER!$D$3:$D$132,MATCH(H3545,KALENDER!$A$3:$A$132,0)),"Di luar periode")</f>
        <v>Hari Kerja</v>
      </c>
      <c r="N3545" s="71">
        <f t="shared" si="496"/>
        <v>1</v>
      </c>
      <c r="O3545" s="71">
        <f t="shared" si="497"/>
        <v>1</v>
      </c>
      <c r="P3545" s="71">
        <f t="shared" si="498"/>
        <v>1</v>
      </c>
      <c r="Q3545" s="71">
        <f t="shared" si="499"/>
        <v>0</v>
      </c>
      <c r="R3545" s="71">
        <f t="shared" si="500"/>
        <v>0</v>
      </c>
      <c r="S3545" s="71">
        <f t="shared" si="501"/>
        <v>0</v>
      </c>
      <c r="T3545" s="71">
        <f t="shared" si="502"/>
        <v>0</v>
      </c>
      <c r="U3545" s="71">
        <f>IF(AND(N3545=1,V3545=1),IF(COUNTIFS(AKTIVITAS!$B$2:$B$3052,B3545,AKTIVITAS!$E$2:$E$3052,H3545)&gt;0,1,0),0)</f>
        <v>1</v>
      </c>
      <c r="V3545" s="71">
        <f>IFERROR(IF(AND(H3545&gt;=INDEX(PEMAGANG!$J$3:$J$36,MATCH(B3545,PEMAGANG!$C$3:$C$36,0)),H3545&lt;=INDEX(PEMAGANG!$K$3:$K$36,MATCH(B3545,PEMAGANG!$C$3:$C$36,0))),1,0),0)</f>
        <v>1</v>
      </c>
      <c r="W3545" s="71">
        <f t="shared" si="503"/>
        <v>1</v>
      </c>
    </row>
    <row r="3546" spans="1:23" x14ac:dyDescent="0.2">
      <c r="A3546" s="71" t="s">
        <v>196</v>
      </c>
      <c r="B3546" s="71" t="s">
        <v>197</v>
      </c>
      <c r="C3546" s="71" t="s">
        <v>187</v>
      </c>
      <c r="D3546" s="71" t="s">
        <v>185</v>
      </c>
      <c r="E3546" s="71" t="s">
        <v>47</v>
      </c>
      <c r="F3546" s="71" t="s">
        <v>298</v>
      </c>
      <c r="G3546" s="88">
        <v>46275.307881944398</v>
      </c>
      <c r="H3546" s="89">
        <v>46275</v>
      </c>
      <c r="I3546" s="71" t="s">
        <v>311</v>
      </c>
      <c r="J3546" s="71">
        <v>-6.9999999999999796</v>
      </c>
      <c r="K3546" s="71" t="s">
        <v>302</v>
      </c>
      <c r="L3546" s="71">
        <f t="shared" si="495"/>
        <v>9</v>
      </c>
      <c r="M3546" s="71" t="str">
        <f>IFERROR(INDEX(KALENDER!$D$3:$D$132,MATCH(H3546,KALENDER!$A$3:$A$132,0)),"Di luar periode")</f>
        <v>Hari Kerja</v>
      </c>
      <c r="N3546" s="71">
        <f t="shared" si="496"/>
        <v>0</v>
      </c>
      <c r="O3546" s="71">
        <f t="shared" si="497"/>
        <v>2</v>
      </c>
      <c r="P3546" s="71">
        <f t="shared" si="498"/>
        <v>0</v>
      </c>
      <c r="Q3546" s="71">
        <f t="shared" si="499"/>
        <v>0</v>
      </c>
      <c r="R3546" s="71">
        <f t="shared" si="500"/>
        <v>0</v>
      </c>
      <c r="S3546" s="71">
        <f t="shared" si="501"/>
        <v>0</v>
      </c>
      <c r="T3546" s="71">
        <f t="shared" si="502"/>
        <v>0</v>
      </c>
      <c r="U3546" s="71">
        <f>IF(AND(N3546=1,V3546=1),IF(COUNTIFS(AKTIVITAS!$B$2:$B$3052,B3546,AKTIVITAS!$E$2:$E$3052,H3546)&gt;0,1,0),0)</f>
        <v>0</v>
      </c>
      <c r="V3546" s="71">
        <f>IFERROR(IF(AND(H3546&gt;=INDEX(PEMAGANG!$J$3:$J$36,MATCH(B3546,PEMAGANG!$C$3:$C$36,0)),H3546&lt;=INDEX(PEMAGANG!$K$3:$K$36,MATCH(B3546,PEMAGANG!$C$3:$C$36,0))),1,0),0)</f>
        <v>1</v>
      </c>
      <c r="W3546" s="71">
        <f t="shared" si="503"/>
        <v>0</v>
      </c>
    </row>
    <row r="3547" spans="1:23" x14ac:dyDescent="0.2">
      <c r="A3547" s="71" t="s">
        <v>196</v>
      </c>
      <c r="B3547" s="71" t="s">
        <v>197</v>
      </c>
      <c r="C3547" s="71" t="s">
        <v>187</v>
      </c>
      <c r="D3547" s="71" t="s">
        <v>185</v>
      </c>
      <c r="E3547" s="71" t="s">
        <v>47</v>
      </c>
      <c r="F3547" s="71" t="s">
        <v>300</v>
      </c>
      <c r="G3547" s="88">
        <v>46275.6886226852</v>
      </c>
      <c r="H3547" s="89">
        <v>46275</v>
      </c>
      <c r="I3547" s="71" t="s">
        <v>336</v>
      </c>
      <c r="J3547" s="71">
        <v>0</v>
      </c>
      <c r="K3547" s="71" t="s">
        <v>302</v>
      </c>
      <c r="L3547" s="71">
        <f t="shared" si="495"/>
        <v>9</v>
      </c>
      <c r="M3547" s="71" t="str">
        <f>IFERROR(INDEX(KALENDER!$D$3:$D$132,MATCH(H3547,KALENDER!$A$3:$A$132,0)),"Di luar periode")</f>
        <v>Hari Kerja</v>
      </c>
      <c r="N3547" s="71">
        <f t="shared" si="496"/>
        <v>0</v>
      </c>
      <c r="O3547" s="71">
        <f t="shared" si="497"/>
        <v>2</v>
      </c>
      <c r="P3547" s="71">
        <f t="shared" si="498"/>
        <v>0</v>
      </c>
      <c r="Q3547" s="71">
        <f t="shared" si="499"/>
        <v>0</v>
      </c>
      <c r="R3547" s="71">
        <f t="shared" si="500"/>
        <v>0</v>
      </c>
      <c r="S3547" s="71">
        <f t="shared" si="501"/>
        <v>0</v>
      </c>
      <c r="T3547" s="71">
        <f t="shared" si="502"/>
        <v>0</v>
      </c>
      <c r="U3547" s="71">
        <f>IF(AND(N3547=1,V3547=1),IF(COUNTIFS(AKTIVITAS!$B$2:$B$3052,B3547,AKTIVITAS!$E$2:$E$3052,H3547)&gt;0,1,0),0)</f>
        <v>0</v>
      </c>
      <c r="V3547" s="71">
        <f>IFERROR(IF(AND(H3547&gt;=INDEX(PEMAGANG!$J$3:$J$36,MATCH(B3547,PEMAGANG!$C$3:$C$36,0)),H3547&lt;=INDEX(PEMAGANG!$K$3:$K$36,MATCH(B3547,PEMAGANG!$C$3:$C$36,0))),1,0),0)</f>
        <v>1</v>
      </c>
      <c r="W3547" s="71">
        <f t="shared" si="503"/>
        <v>0</v>
      </c>
    </row>
    <row r="3548" spans="1:23" x14ac:dyDescent="0.2">
      <c r="A3548" s="71" t="s">
        <v>196</v>
      </c>
      <c r="B3548" s="71" t="s">
        <v>197</v>
      </c>
      <c r="C3548" s="71" t="s">
        <v>187</v>
      </c>
      <c r="D3548" s="71" t="s">
        <v>185</v>
      </c>
      <c r="E3548" s="71" t="s">
        <v>47</v>
      </c>
      <c r="F3548" s="71" t="s">
        <v>298</v>
      </c>
      <c r="G3548" s="88">
        <v>46276.313854166699</v>
      </c>
      <c r="H3548" s="89">
        <v>46276</v>
      </c>
      <c r="I3548" s="71" t="s">
        <v>392</v>
      </c>
      <c r="J3548" s="71">
        <v>0.999999999999996</v>
      </c>
      <c r="K3548" s="71" t="s">
        <v>293</v>
      </c>
      <c r="L3548" s="71">
        <f t="shared" si="495"/>
        <v>9</v>
      </c>
      <c r="M3548" s="71" t="str">
        <f>IFERROR(INDEX(KALENDER!$D$3:$D$132,MATCH(H3548,KALENDER!$A$3:$A$132,0)),"Di luar periode")</f>
        <v>Hari Kerja</v>
      </c>
      <c r="N3548" s="71">
        <f t="shared" si="496"/>
        <v>1</v>
      </c>
      <c r="O3548" s="71">
        <f t="shared" si="497"/>
        <v>1</v>
      </c>
      <c r="P3548" s="71">
        <f t="shared" si="498"/>
        <v>1</v>
      </c>
      <c r="Q3548" s="71">
        <f t="shared" si="499"/>
        <v>0</v>
      </c>
      <c r="R3548" s="71">
        <f t="shared" si="500"/>
        <v>1</v>
      </c>
      <c r="S3548" s="71">
        <f t="shared" si="501"/>
        <v>0.999999999999996</v>
      </c>
      <c r="T3548" s="71">
        <f t="shared" si="502"/>
        <v>1</v>
      </c>
      <c r="U3548" s="71">
        <f>IF(AND(N3548=1,V3548=1),IF(COUNTIFS(AKTIVITAS!$B$2:$B$3052,B3548,AKTIVITAS!$E$2:$E$3052,H3548)&gt;0,1,0),0)</f>
        <v>1</v>
      </c>
      <c r="V3548" s="71">
        <f>IFERROR(IF(AND(H3548&gt;=INDEX(PEMAGANG!$J$3:$J$36,MATCH(B3548,PEMAGANG!$C$3:$C$36,0)),H3548&lt;=INDEX(PEMAGANG!$K$3:$K$36,MATCH(B3548,PEMAGANG!$C$3:$C$36,0))),1,0),0)</f>
        <v>1</v>
      </c>
      <c r="W3548" s="71">
        <f t="shared" si="503"/>
        <v>1</v>
      </c>
    </row>
    <row r="3549" spans="1:23" x14ac:dyDescent="0.2">
      <c r="A3549" s="71" t="s">
        <v>196</v>
      </c>
      <c r="B3549" s="71" t="s">
        <v>197</v>
      </c>
      <c r="C3549" s="71" t="s">
        <v>187</v>
      </c>
      <c r="D3549" s="71" t="s">
        <v>185</v>
      </c>
      <c r="E3549" s="71" t="s">
        <v>47</v>
      </c>
      <c r="F3549" s="71" t="s">
        <v>298</v>
      </c>
      <c r="G3549" s="88">
        <v>46279.308726851901</v>
      </c>
      <c r="H3549" s="89">
        <v>46279</v>
      </c>
      <c r="I3549" s="71" t="s">
        <v>303</v>
      </c>
      <c r="J3549" s="71">
        <v>-5.9999999999999796</v>
      </c>
      <c r="K3549" s="71" t="s">
        <v>302</v>
      </c>
      <c r="L3549" s="71">
        <f t="shared" si="495"/>
        <v>9</v>
      </c>
      <c r="M3549" s="71" t="str">
        <f>IFERROR(INDEX(KALENDER!$D$3:$D$132,MATCH(H3549,KALENDER!$A$3:$A$132,0)),"Di luar periode")</f>
        <v>Hari Kerja</v>
      </c>
      <c r="N3549" s="71">
        <f t="shared" si="496"/>
        <v>1</v>
      </c>
      <c r="O3549" s="71">
        <f t="shared" si="497"/>
        <v>1</v>
      </c>
      <c r="P3549" s="71">
        <f t="shared" si="498"/>
        <v>1</v>
      </c>
      <c r="Q3549" s="71">
        <f t="shared" si="499"/>
        <v>0</v>
      </c>
      <c r="R3549" s="71">
        <f t="shared" si="500"/>
        <v>0</v>
      </c>
      <c r="S3549" s="71">
        <f t="shared" si="501"/>
        <v>0</v>
      </c>
      <c r="T3549" s="71">
        <f t="shared" si="502"/>
        <v>0</v>
      </c>
      <c r="U3549" s="71">
        <f>IF(AND(N3549=1,V3549=1),IF(COUNTIFS(AKTIVITAS!$B$2:$B$3052,B3549,AKTIVITAS!$E$2:$E$3052,H3549)&gt;0,1,0),0)</f>
        <v>1</v>
      </c>
      <c r="V3549" s="71">
        <f>IFERROR(IF(AND(H3549&gt;=INDEX(PEMAGANG!$J$3:$J$36,MATCH(B3549,PEMAGANG!$C$3:$C$36,0)),H3549&lt;=INDEX(PEMAGANG!$K$3:$K$36,MATCH(B3549,PEMAGANG!$C$3:$C$36,0))),1,0),0)</f>
        <v>1</v>
      </c>
      <c r="W3549" s="71">
        <f t="shared" si="503"/>
        <v>1</v>
      </c>
    </row>
    <row r="3550" spans="1:23" x14ac:dyDescent="0.2">
      <c r="A3550" s="71" t="s">
        <v>196</v>
      </c>
      <c r="B3550" s="71" t="s">
        <v>197</v>
      </c>
      <c r="C3550" s="71" t="s">
        <v>187</v>
      </c>
      <c r="D3550" s="71" t="s">
        <v>185</v>
      </c>
      <c r="E3550" s="71" t="s">
        <v>47</v>
      </c>
      <c r="F3550" s="71" t="s">
        <v>300</v>
      </c>
      <c r="G3550" s="88">
        <v>46279.721307870401</v>
      </c>
      <c r="H3550" s="89">
        <v>46279</v>
      </c>
      <c r="I3550" s="71" t="s">
        <v>473</v>
      </c>
      <c r="J3550" s="71">
        <v>0</v>
      </c>
      <c r="K3550" s="71" t="s">
        <v>302</v>
      </c>
      <c r="L3550" s="71">
        <f t="shared" si="495"/>
        <v>9</v>
      </c>
      <c r="M3550" s="71" t="str">
        <f>IFERROR(INDEX(KALENDER!$D$3:$D$132,MATCH(H3550,KALENDER!$A$3:$A$132,0)),"Di luar periode")</f>
        <v>Hari Kerja</v>
      </c>
      <c r="N3550" s="71">
        <f t="shared" si="496"/>
        <v>0</v>
      </c>
      <c r="O3550" s="71">
        <f t="shared" si="497"/>
        <v>1</v>
      </c>
      <c r="P3550" s="71">
        <f t="shared" si="498"/>
        <v>0</v>
      </c>
      <c r="Q3550" s="71">
        <f t="shared" si="499"/>
        <v>0</v>
      </c>
      <c r="R3550" s="71">
        <f t="shared" si="500"/>
        <v>0</v>
      </c>
      <c r="S3550" s="71">
        <f t="shared" si="501"/>
        <v>0</v>
      </c>
      <c r="T3550" s="71">
        <f t="shared" si="502"/>
        <v>0</v>
      </c>
      <c r="U3550" s="71">
        <f>IF(AND(N3550=1,V3550=1),IF(COUNTIFS(AKTIVITAS!$B$2:$B$3052,B3550,AKTIVITAS!$E$2:$E$3052,H3550)&gt;0,1,0),0)</f>
        <v>0</v>
      </c>
      <c r="V3550" s="71">
        <f>IFERROR(IF(AND(H3550&gt;=INDEX(PEMAGANG!$J$3:$J$36,MATCH(B3550,PEMAGANG!$C$3:$C$36,0)),H3550&lt;=INDEX(PEMAGANG!$K$3:$K$36,MATCH(B3550,PEMAGANG!$C$3:$C$36,0))),1,0),0)</f>
        <v>1</v>
      </c>
      <c r="W3550" s="71">
        <f t="shared" si="503"/>
        <v>0</v>
      </c>
    </row>
    <row r="3551" spans="1:23" x14ac:dyDescent="0.2">
      <c r="A3551" s="71" t="s">
        <v>196</v>
      </c>
      <c r="B3551" s="71" t="s">
        <v>197</v>
      </c>
      <c r="C3551" s="71" t="s">
        <v>187</v>
      </c>
      <c r="D3551" s="71" t="s">
        <v>185</v>
      </c>
      <c r="E3551" s="71" t="s">
        <v>47</v>
      </c>
      <c r="F3551" s="71" t="s">
        <v>298</v>
      </c>
      <c r="G3551" s="88">
        <v>46280.307893518497</v>
      </c>
      <c r="H3551" s="89">
        <v>46280</v>
      </c>
      <c r="I3551" s="71" t="s">
        <v>311</v>
      </c>
      <c r="J3551" s="71">
        <v>-6.9999999999999796</v>
      </c>
      <c r="K3551" s="71" t="s">
        <v>302</v>
      </c>
      <c r="L3551" s="71">
        <f t="shared" si="495"/>
        <v>9</v>
      </c>
      <c r="M3551" s="71" t="str">
        <f>IFERROR(INDEX(KALENDER!$D$3:$D$132,MATCH(H3551,KALENDER!$A$3:$A$132,0)),"Di luar periode")</f>
        <v>Hari Kerja</v>
      </c>
      <c r="N3551" s="71">
        <f t="shared" si="496"/>
        <v>1</v>
      </c>
      <c r="O3551" s="71">
        <f t="shared" si="497"/>
        <v>1</v>
      </c>
      <c r="P3551" s="71">
        <f t="shared" si="498"/>
        <v>1</v>
      </c>
      <c r="Q3551" s="71">
        <f t="shared" si="499"/>
        <v>0</v>
      </c>
      <c r="R3551" s="71">
        <f t="shared" si="500"/>
        <v>0</v>
      </c>
      <c r="S3551" s="71">
        <f t="shared" si="501"/>
        <v>0</v>
      </c>
      <c r="T3551" s="71">
        <f t="shared" si="502"/>
        <v>0</v>
      </c>
      <c r="U3551" s="71">
        <f>IF(AND(N3551=1,V3551=1),IF(COUNTIFS(AKTIVITAS!$B$2:$B$3052,B3551,AKTIVITAS!$E$2:$E$3052,H3551)&gt;0,1,0),0)</f>
        <v>1</v>
      </c>
      <c r="V3551" s="71">
        <f>IFERROR(IF(AND(H3551&gt;=INDEX(PEMAGANG!$J$3:$J$36,MATCH(B3551,PEMAGANG!$C$3:$C$36,0)),H3551&lt;=INDEX(PEMAGANG!$K$3:$K$36,MATCH(B3551,PEMAGANG!$C$3:$C$36,0))),1,0),0)</f>
        <v>1</v>
      </c>
      <c r="W3551" s="71">
        <f t="shared" si="503"/>
        <v>1</v>
      </c>
    </row>
    <row r="3552" spans="1:23" x14ac:dyDescent="0.2">
      <c r="A3552" s="71" t="s">
        <v>196</v>
      </c>
      <c r="B3552" s="71" t="s">
        <v>197</v>
      </c>
      <c r="C3552" s="71" t="s">
        <v>187</v>
      </c>
      <c r="D3552" s="71" t="s">
        <v>185</v>
      </c>
      <c r="E3552" s="71" t="s">
        <v>47</v>
      </c>
      <c r="F3552" s="71" t="s">
        <v>300</v>
      </c>
      <c r="G3552" s="88">
        <v>46280.696747685201</v>
      </c>
      <c r="H3552" s="89">
        <v>46280</v>
      </c>
      <c r="I3552" s="71" t="s">
        <v>347</v>
      </c>
      <c r="J3552" s="71">
        <v>0</v>
      </c>
      <c r="K3552" s="71" t="s">
        <v>302</v>
      </c>
      <c r="L3552" s="71">
        <f t="shared" si="495"/>
        <v>9</v>
      </c>
      <c r="M3552" s="71" t="str">
        <f>IFERROR(INDEX(KALENDER!$D$3:$D$132,MATCH(H3552,KALENDER!$A$3:$A$132,0)),"Di luar periode")</f>
        <v>Hari Kerja</v>
      </c>
      <c r="N3552" s="71">
        <f t="shared" si="496"/>
        <v>0</v>
      </c>
      <c r="O3552" s="71">
        <f t="shared" si="497"/>
        <v>1</v>
      </c>
      <c r="P3552" s="71">
        <f t="shared" si="498"/>
        <v>0</v>
      </c>
      <c r="Q3552" s="71">
        <f t="shared" si="499"/>
        <v>0</v>
      </c>
      <c r="R3552" s="71">
        <f t="shared" si="500"/>
        <v>0</v>
      </c>
      <c r="S3552" s="71">
        <f t="shared" si="501"/>
        <v>0</v>
      </c>
      <c r="T3552" s="71">
        <f t="shared" si="502"/>
        <v>0</v>
      </c>
      <c r="U3552" s="71">
        <f>IF(AND(N3552=1,V3552=1),IF(COUNTIFS(AKTIVITAS!$B$2:$B$3052,B3552,AKTIVITAS!$E$2:$E$3052,H3552)&gt;0,1,0),0)</f>
        <v>0</v>
      </c>
      <c r="V3552" s="71">
        <f>IFERROR(IF(AND(H3552&gt;=INDEX(PEMAGANG!$J$3:$J$36,MATCH(B3552,PEMAGANG!$C$3:$C$36,0)),H3552&lt;=INDEX(PEMAGANG!$K$3:$K$36,MATCH(B3552,PEMAGANG!$C$3:$C$36,0))),1,0),0)</f>
        <v>1</v>
      </c>
      <c r="W3552" s="71">
        <f t="shared" si="503"/>
        <v>0</v>
      </c>
    </row>
    <row r="3553" spans="1:23" x14ac:dyDescent="0.2">
      <c r="A3553" s="71" t="s">
        <v>196</v>
      </c>
      <c r="B3553" s="71" t="s">
        <v>197</v>
      </c>
      <c r="C3553" s="71" t="s">
        <v>187</v>
      </c>
      <c r="D3553" s="71" t="s">
        <v>185</v>
      </c>
      <c r="E3553" s="71" t="s">
        <v>47</v>
      </c>
      <c r="F3553" s="71" t="s">
        <v>298</v>
      </c>
      <c r="G3553" s="88">
        <v>46281.310104166703</v>
      </c>
      <c r="H3553" s="89">
        <v>46281</v>
      </c>
      <c r="I3553" s="71" t="s">
        <v>315</v>
      </c>
      <c r="J3553" s="71">
        <v>-3.9999999999999898</v>
      </c>
      <c r="K3553" s="71" t="s">
        <v>302</v>
      </c>
      <c r="L3553" s="71">
        <f t="shared" si="495"/>
        <v>9</v>
      </c>
      <c r="M3553" s="71" t="str">
        <f>IFERROR(INDEX(KALENDER!$D$3:$D$132,MATCH(H3553,KALENDER!$A$3:$A$132,0)),"Di luar periode")</f>
        <v>Hari Kerja</v>
      </c>
      <c r="N3553" s="71">
        <f t="shared" si="496"/>
        <v>1</v>
      </c>
      <c r="O3553" s="71">
        <f t="shared" si="497"/>
        <v>1</v>
      </c>
      <c r="P3553" s="71">
        <f t="shared" si="498"/>
        <v>1</v>
      </c>
      <c r="Q3553" s="71">
        <f t="shared" si="499"/>
        <v>0</v>
      </c>
      <c r="R3553" s="71">
        <f t="shared" si="500"/>
        <v>0</v>
      </c>
      <c r="S3553" s="71">
        <f t="shared" si="501"/>
        <v>0</v>
      </c>
      <c r="T3553" s="71">
        <f t="shared" si="502"/>
        <v>0</v>
      </c>
      <c r="U3553" s="71">
        <f>IF(AND(N3553=1,V3553=1),IF(COUNTIFS(AKTIVITAS!$B$2:$B$3052,B3553,AKTIVITAS!$E$2:$E$3052,H3553)&gt;0,1,0),0)</f>
        <v>1</v>
      </c>
      <c r="V3553" s="71">
        <f>IFERROR(IF(AND(H3553&gt;=INDEX(PEMAGANG!$J$3:$J$36,MATCH(B3553,PEMAGANG!$C$3:$C$36,0)),H3553&lt;=INDEX(PEMAGANG!$K$3:$K$36,MATCH(B3553,PEMAGANG!$C$3:$C$36,0))),1,0),0)</f>
        <v>1</v>
      </c>
      <c r="W3553" s="71">
        <f t="shared" si="503"/>
        <v>1</v>
      </c>
    </row>
    <row r="3554" spans="1:23" x14ac:dyDescent="0.2">
      <c r="A3554" s="71" t="s">
        <v>196</v>
      </c>
      <c r="B3554" s="71" t="s">
        <v>197</v>
      </c>
      <c r="C3554" s="71" t="s">
        <v>187</v>
      </c>
      <c r="D3554" s="71" t="s">
        <v>185</v>
      </c>
      <c r="E3554" s="71" t="s">
        <v>47</v>
      </c>
      <c r="F3554" s="71" t="s">
        <v>300</v>
      </c>
      <c r="G3554" s="88">
        <v>46281.6976967593</v>
      </c>
      <c r="H3554" s="89">
        <v>46281</v>
      </c>
      <c r="I3554" s="71" t="s">
        <v>312</v>
      </c>
      <c r="J3554" s="71">
        <v>0</v>
      </c>
      <c r="K3554" s="71" t="s">
        <v>302</v>
      </c>
      <c r="L3554" s="71">
        <f t="shared" si="495"/>
        <v>9</v>
      </c>
      <c r="M3554" s="71" t="str">
        <f>IFERROR(INDEX(KALENDER!$D$3:$D$132,MATCH(H3554,KALENDER!$A$3:$A$132,0)),"Di luar periode")</f>
        <v>Hari Kerja</v>
      </c>
      <c r="N3554" s="71">
        <f t="shared" si="496"/>
        <v>0</v>
      </c>
      <c r="O3554" s="71">
        <f t="shared" si="497"/>
        <v>1</v>
      </c>
      <c r="P3554" s="71">
        <f t="shared" si="498"/>
        <v>0</v>
      </c>
      <c r="Q3554" s="71">
        <f t="shared" si="499"/>
        <v>0</v>
      </c>
      <c r="R3554" s="71">
        <f t="shared" si="500"/>
        <v>0</v>
      </c>
      <c r="S3554" s="71">
        <f t="shared" si="501"/>
        <v>0</v>
      </c>
      <c r="T3554" s="71">
        <f t="shared" si="502"/>
        <v>0</v>
      </c>
      <c r="U3554" s="71">
        <f>IF(AND(N3554=1,V3554=1),IF(COUNTIFS(AKTIVITAS!$B$2:$B$3052,B3554,AKTIVITAS!$E$2:$E$3052,H3554)&gt;0,1,0),0)</f>
        <v>0</v>
      </c>
      <c r="V3554" s="71">
        <f>IFERROR(IF(AND(H3554&gt;=INDEX(PEMAGANG!$J$3:$J$36,MATCH(B3554,PEMAGANG!$C$3:$C$36,0)),H3554&lt;=INDEX(PEMAGANG!$K$3:$K$36,MATCH(B3554,PEMAGANG!$C$3:$C$36,0))),1,0),0)</f>
        <v>1</v>
      </c>
      <c r="W3554" s="71">
        <f t="shared" si="503"/>
        <v>0</v>
      </c>
    </row>
    <row r="3555" spans="1:23" x14ac:dyDescent="0.2">
      <c r="A3555" s="71" t="s">
        <v>196</v>
      </c>
      <c r="B3555" s="71" t="s">
        <v>197</v>
      </c>
      <c r="C3555" s="71" t="s">
        <v>187</v>
      </c>
      <c r="D3555" s="71" t="s">
        <v>185</v>
      </c>
      <c r="E3555" s="71" t="s">
        <v>47</v>
      </c>
      <c r="F3555" s="71" t="s">
        <v>298</v>
      </c>
      <c r="G3555" s="88">
        <v>46282.311215277798</v>
      </c>
      <c r="H3555" s="89">
        <v>46282</v>
      </c>
      <c r="I3555" s="71" t="s">
        <v>377</v>
      </c>
      <c r="J3555" s="71">
        <v>-1.99999999999999</v>
      </c>
      <c r="K3555" s="71" t="s">
        <v>302</v>
      </c>
      <c r="L3555" s="71">
        <f t="shared" si="495"/>
        <v>9</v>
      </c>
      <c r="M3555" s="71" t="str">
        <f>IFERROR(INDEX(KALENDER!$D$3:$D$132,MATCH(H3555,KALENDER!$A$3:$A$132,0)),"Di luar periode")</f>
        <v>Hari Kerja</v>
      </c>
      <c r="N3555" s="71">
        <f t="shared" si="496"/>
        <v>1</v>
      </c>
      <c r="O3555" s="71">
        <f t="shared" si="497"/>
        <v>1</v>
      </c>
      <c r="P3555" s="71">
        <f t="shared" si="498"/>
        <v>1</v>
      </c>
      <c r="Q3555" s="71">
        <f t="shared" si="499"/>
        <v>0</v>
      </c>
      <c r="R3555" s="71">
        <f t="shared" si="500"/>
        <v>0</v>
      </c>
      <c r="S3555" s="71">
        <f t="shared" si="501"/>
        <v>0</v>
      </c>
      <c r="T3555" s="71">
        <f t="shared" si="502"/>
        <v>0</v>
      </c>
      <c r="U3555" s="71">
        <f>IF(AND(N3555=1,V3555=1),IF(COUNTIFS(AKTIVITAS!$B$2:$B$3052,B3555,AKTIVITAS!$E$2:$E$3052,H3555)&gt;0,1,0),0)</f>
        <v>1</v>
      </c>
      <c r="V3555" s="71">
        <f>IFERROR(IF(AND(H3555&gt;=INDEX(PEMAGANG!$J$3:$J$36,MATCH(B3555,PEMAGANG!$C$3:$C$36,0)),H3555&lt;=INDEX(PEMAGANG!$K$3:$K$36,MATCH(B3555,PEMAGANG!$C$3:$C$36,0))),1,0),0)</f>
        <v>1</v>
      </c>
      <c r="W3555" s="71">
        <f t="shared" si="503"/>
        <v>1</v>
      </c>
    </row>
    <row r="3556" spans="1:23" x14ac:dyDescent="0.2">
      <c r="A3556" s="71" t="s">
        <v>196</v>
      </c>
      <c r="B3556" s="71" t="s">
        <v>197</v>
      </c>
      <c r="C3556" s="71" t="s">
        <v>187</v>
      </c>
      <c r="D3556" s="71" t="s">
        <v>185</v>
      </c>
      <c r="E3556" s="71" t="s">
        <v>47</v>
      </c>
      <c r="F3556" s="71" t="s">
        <v>300</v>
      </c>
      <c r="G3556" s="88">
        <v>46282.689039351899</v>
      </c>
      <c r="H3556" s="89">
        <v>46282</v>
      </c>
      <c r="I3556" s="71" t="s">
        <v>306</v>
      </c>
      <c r="J3556" s="71">
        <v>0</v>
      </c>
      <c r="K3556" s="71" t="s">
        <v>302</v>
      </c>
      <c r="L3556" s="71">
        <f t="shared" si="495"/>
        <v>9</v>
      </c>
      <c r="M3556" s="71" t="str">
        <f>IFERROR(INDEX(KALENDER!$D$3:$D$132,MATCH(H3556,KALENDER!$A$3:$A$132,0)),"Di luar periode")</f>
        <v>Hari Kerja</v>
      </c>
      <c r="N3556" s="71">
        <f t="shared" si="496"/>
        <v>0</v>
      </c>
      <c r="O3556" s="71">
        <f t="shared" si="497"/>
        <v>1</v>
      </c>
      <c r="P3556" s="71">
        <f t="shared" si="498"/>
        <v>0</v>
      </c>
      <c r="Q3556" s="71">
        <f t="shared" si="499"/>
        <v>0</v>
      </c>
      <c r="R3556" s="71">
        <f t="shared" si="500"/>
        <v>0</v>
      </c>
      <c r="S3556" s="71">
        <f t="shared" si="501"/>
        <v>0</v>
      </c>
      <c r="T3556" s="71">
        <f t="shared" si="502"/>
        <v>0</v>
      </c>
      <c r="U3556" s="71">
        <f>IF(AND(N3556=1,V3556=1),IF(COUNTIFS(AKTIVITAS!$B$2:$B$3052,B3556,AKTIVITAS!$E$2:$E$3052,H3556)&gt;0,1,0),0)</f>
        <v>0</v>
      </c>
      <c r="V3556" s="71">
        <f>IFERROR(IF(AND(H3556&gt;=INDEX(PEMAGANG!$J$3:$J$36,MATCH(B3556,PEMAGANG!$C$3:$C$36,0)),H3556&lt;=INDEX(PEMAGANG!$K$3:$K$36,MATCH(B3556,PEMAGANG!$C$3:$C$36,0))),1,0),0)</f>
        <v>1</v>
      </c>
      <c r="W3556" s="71">
        <f t="shared" si="503"/>
        <v>0</v>
      </c>
    </row>
    <row r="3557" spans="1:23" x14ac:dyDescent="0.2">
      <c r="A3557" s="71" t="s">
        <v>196</v>
      </c>
      <c r="B3557" s="71" t="s">
        <v>197</v>
      </c>
      <c r="C3557" s="71" t="s">
        <v>187</v>
      </c>
      <c r="D3557" s="71" t="s">
        <v>185</v>
      </c>
      <c r="E3557" s="71" t="s">
        <v>47</v>
      </c>
      <c r="F3557" s="71" t="s">
        <v>298</v>
      </c>
      <c r="G3557" s="88">
        <v>46283.305694444498</v>
      </c>
      <c r="H3557" s="89">
        <v>46283</v>
      </c>
      <c r="I3557" s="71" t="s">
        <v>329</v>
      </c>
      <c r="J3557" s="71">
        <v>-10</v>
      </c>
      <c r="K3557" s="71" t="s">
        <v>302</v>
      </c>
      <c r="L3557" s="71">
        <f t="shared" si="495"/>
        <v>9</v>
      </c>
      <c r="M3557" s="71" t="str">
        <f>IFERROR(INDEX(KALENDER!$D$3:$D$132,MATCH(H3557,KALENDER!$A$3:$A$132,0)),"Di luar periode")</f>
        <v>Hari Kerja</v>
      </c>
      <c r="N3557" s="71">
        <f t="shared" si="496"/>
        <v>1</v>
      </c>
      <c r="O3557" s="71">
        <f t="shared" si="497"/>
        <v>1</v>
      </c>
      <c r="P3557" s="71">
        <f t="shared" si="498"/>
        <v>1</v>
      </c>
      <c r="Q3557" s="71">
        <f t="shared" si="499"/>
        <v>0</v>
      </c>
      <c r="R3557" s="71">
        <f t="shared" si="500"/>
        <v>0</v>
      </c>
      <c r="S3557" s="71">
        <f t="shared" si="501"/>
        <v>0</v>
      </c>
      <c r="T3557" s="71">
        <f t="shared" si="502"/>
        <v>0</v>
      </c>
      <c r="U3557" s="71">
        <f>IF(AND(N3557=1,V3557=1),IF(COUNTIFS(AKTIVITAS!$B$2:$B$3052,B3557,AKTIVITAS!$E$2:$E$3052,H3557)&gt;0,1,0),0)</f>
        <v>1</v>
      </c>
      <c r="V3557" s="71">
        <f>IFERROR(IF(AND(H3557&gt;=INDEX(PEMAGANG!$J$3:$J$36,MATCH(B3557,PEMAGANG!$C$3:$C$36,0)),H3557&lt;=INDEX(PEMAGANG!$K$3:$K$36,MATCH(B3557,PEMAGANG!$C$3:$C$36,0))),1,0),0)</f>
        <v>1</v>
      </c>
      <c r="W3557" s="71">
        <f t="shared" si="503"/>
        <v>1</v>
      </c>
    </row>
    <row r="3558" spans="1:23" x14ac:dyDescent="0.2">
      <c r="A3558" s="71" t="s">
        <v>196</v>
      </c>
      <c r="B3558" s="71" t="s">
        <v>197</v>
      </c>
      <c r="C3558" s="71" t="s">
        <v>187</v>
      </c>
      <c r="D3558" s="71" t="s">
        <v>185</v>
      </c>
      <c r="E3558" s="71" t="s">
        <v>47</v>
      </c>
      <c r="F3558" s="71" t="s">
        <v>300</v>
      </c>
      <c r="G3558" s="88">
        <v>46283.720520833303</v>
      </c>
      <c r="H3558" s="89">
        <v>46283</v>
      </c>
      <c r="I3558" s="71" t="s">
        <v>405</v>
      </c>
      <c r="J3558" s="71">
        <v>0</v>
      </c>
      <c r="K3558" s="71" t="s">
        <v>302</v>
      </c>
      <c r="L3558" s="71">
        <f t="shared" si="495"/>
        <v>9</v>
      </c>
      <c r="M3558" s="71" t="str">
        <f>IFERROR(INDEX(KALENDER!$D$3:$D$132,MATCH(H3558,KALENDER!$A$3:$A$132,0)),"Di luar periode")</f>
        <v>Hari Kerja</v>
      </c>
      <c r="N3558" s="71">
        <f t="shared" si="496"/>
        <v>0</v>
      </c>
      <c r="O3558" s="71">
        <f t="shared" si="497"/>
        <v>1</v>
      </c>
      <c r="P3558" s="71">
        <f t="shared" si="498"/>
        <v>0</v>
      </c>
      <c r="Q3558" s="71">
        <f t="shared" si="499"/>
        <v>0</v>
      </c>
      <c r="R3558" s="71">
        <f t="shared" si="500"/>
        <v>0</v>
      </c>
      <c r="S3558" s="71">
        <f t="shared" si="501"/>
        <v>0</v>
      </c>
      <c r="T3558" s="71">
        <f t="shared" si="502"/>
        <v>0</v>
      </c>
      <c r="U3558" s="71">
        <f>IF(AND(N3558=1,V3558=1),IF(COUNTIFS(AKTIVITAS!$B$2:$B$3052,B3558,AKTIVITAS!$E$2:$E$3052,H3558)&gt;0,1,0),0)</f>
        <v>0</v>
      </c>
      <c r="V3558" s="71">
        <f>IFERROR(IF(AND(H3558&gt;=INDEX(PEMAGANG!$J$3:$J$36,MATCH(B3558,PEMAGANG!$C$3:$C$36,0)),H3558&lt;=INDEX(PEMAGANG!$K$3:$K$36,MATCH(B3558,PEMAGANG!$C$3:$C$36,0))),1,0),0)</f>
        <v>1</v>
      </c>
      <c r="W3558" s="71">
        <f t="shared" si="503"/>
        <v>0</v>
      </c>
    </row>
    <row r="3559" spans="1:23" x14ac:dyDescent="0.2">
      <c r="A3559" s="71" t="s">
        <v>196</v>
      </c>
      <c r="B3559" s="71" t="s">
        <v>197</v>
      </c>
      <c r="C3559" s="71" t="s">
        <v>187</v>
      </c>
      <c r="D3559" s="71" t="s">
        <v>185</v>
      </c>
      <c r="E3559" s="71" t="s">
        <v>47</v>
      </c>
      <c r="F3559" s="71" t="s">
        <v>298</v>
      </c>
      <c r="G3559" s="88">
        <v>46286.304976851898</v>
      </c>
      <c r="H3559" s="89">
        <v>46286</v>
      </c>
      <c r="I3559" s="71" t="s">
        <v>321</v>
      </c>
      <c r="J3559" s="71">
        <v>-11</v>
      </c>
      <c r="K3559" s="71" t="s">
        <v>302</v>
      </c>
      <c r="L3559" s="71">
        <f t="shared" si="495"/>
        <v>9</v>
      </c>
      <c r="M3559" s="71" t="str">
        <f>IFERROR(INDEX(KALENDER!$D$3:$D$132,MATCH(H3559,KALENDER!$A$3:$A$132,0)),"Di luar periode")</f>
        <v>Hari Kerja</v>
      </c>
      <c r="N3559" s="71">
        <f t="shared" si="496"/>
        <v>1</v>
      </c>
      <c r="O3559" s="71">
        <f t="shared" si="497"/>
        <v>1</v>
      </c>
      <c r="P3559" s="71">
        <f t="shared" si="498"/>
        <v>1</v>
      </c>
      <c r="Q3559" s="71">
        <f t="shared" si="499"/>
        <v>0</v>
      </c>
      <c r="R3559" s="71">
        <f t="shared" si="500"/>
        <v>0</v>
      </c>
      <c r="S3559" s="71">
        <f t="shared" si="501"/>
        <v>0</v>
      </c>
      <c r="T3559" s="71">
        <f t="shared" si="502"/>
        <v>0</v>
      </c>
      <c r="U3559" s="71">
        <f>IF(AND(N3559=1,V3559=1),IF(COUNTIFS(AKTIVITAS!$B$2:$B$3052,B3559,AKTIVITAS!$E$2:$E$3052,H3559)&gt;0,1,0),0)</f>
        <v>1</v>
      </c>
      <c r="V3559" s="71">
        <f>IFERROR(IF(AND(H3559&gt;=INDEX(PEMAGANG!$J$3:$J$36,MATCH(B3559,PEMAGANG!$C$3:$C$36,0)),H3559&lt;=INDEX(PEMAGANG!$K$3:$K$36,MATCH(B3559,PEMAGANG!$C$3:$C$36,0))),1,0),0)</f>
        <v>1</v>
      </c>
      <c r="W3559" s="71">
        <f t="shared" si="503"/>
        <v>1</v>
      </c>
    </row>
    <row r="3560" spans="1:23" x14ac:dyDescent="0.2">
      <c r="A3560" s="71" t="s">
        <v>196</v>
      </c>
      <c r="B3560" s="71" t="s">
        <v>197</v>
      </c>
      <c r="C3560" s="71" t="s">
        <v>187</v>
      </c>
      <c r="D3560" s="71" t="s">
        <v>185</v>
      </c>
      <c r="E3560" s="71" t="s">
        <v>47</v>
      </c>
      <c r="F3560" s="71" t="s">
        <v>300</v>
      </c>
      <c r="G3560" s="88">
        <v>46286.722326388903</v>
      </c>
      <c r="H3560" s="89">
        <v>46286</v>
      </c>
      <c r="I3560" s="71" t="s">
        <v>407</v>
      </c>
      <c r="J3560" s="71">
        <v>0</v>
      </c>
      <c r="K3560" s="71" t="s">
        <v>302</v>
      </c>
      <c r="L3560" s="71">
        <f t="shared" si="495"/>
        <v>9</v>
      </c>
      <c r="M3560" s="71" t="str">
        <f>IFERROR(INDEX(KALENDER!$D$3:$D$132,MATCH(H3560,KALENDER!$A$3:$A$132,0)),"Di luar periode")</f>
        <v>Hari Kerja</v>
      </c>
      <c r="N3560" s="71">
        <f t="shared" si="496"/>
        <v>0</v>
      </c>
      <c r="O3560" s="71">
        <f t="shared" si="497"/>
        <v>1</v>
      </c>
      <c r="P3560" s="71">
        <f t="shared" si="498"/>
        <v>0</v>
      </c>
      <c r="Q3560" s="71">
        <f t="shared" si="499"/>
        <v>0</v>
      </c>
      <c r="R3560" s="71">
        <f t="shared" si="500"/>
        <v>0</v>
      </c>
      <c r="S3560" s="71">
        <f t="shared" si="501"/>
        <v>0</v>
      </c>
      <c r="T3560" s="71">
        <f t="shared" si="502"/>
        <v>0</v>
      </c>
      <c r="U3560" s="71">
        <f>IF(AND(N3560=1,V3560=1),IF(COUNTIFS(AKTIVITAS!$B$2:$B$3052,B3560,AKTIVITAS!$E$2:$E$3052,H3560)&gt;0,1,0),0)</f>
        <v>0</v>
      </c>
      <c r="V3560" s="71">
        <f>IFERROR(IF(AND(H3560&gt;=INDEX(PEMAGANG!$J$3:$J$36,MATCH(B3560,PEMAGANG!$C$3:$C$36,0)),H3560&lt;=INDEX(PEMAGANG!$K$3:$K$36,MATCH(B3560,PEMAGANG!$C$3:$C$36,0))),1,0),0)</f>
        <v>1</v>
      </c>
      <c r="W3560" s="71">
        <f t="shared" si="503"/>
        <v>0</v>
      </c>
    </row>
    <row r="3561" spans="1:23" x14ac:dyDescent="0.2">
      <c r="A3561" s="71" t="s">
        <v>196</v>
      </c>
      <c r="B3561" s="71" t="s">
        <v>197</v>
      </c>
      <c r="C3561" s="71" t="s">
        <v>187</v>
      </c>
      <c r="D3561" s="71" t="s">
        <v>185</v>
      </c>
      <c r="E3561" s="71" t="s">
        <v>47</v>
      </c>
      <c r="F3561" s="71" t="s">
        <v>298</v>
      </c>
      <c r="G3561" s="88">
        <v>46287.307662036997</v>
      </c>
      <c r="H3561" s="89">
        <v>46287</v>
      </c>
      <c r="I3561" s="71" t="s">
        <v>311</v>
      </c>
      <c r="J3561" s="71">
        <v>-6.9999999999999796</v>
      </c>
      <c r="K3561" s="71" t="s">
        <v>302</v>
      </c>
      <c r="L3561" s="71">
        <f t="shared" si="495"/>
        <v>9</v>
      </c>
      <c r="M3561" s="71" t="str">
        <f>IFERROR(INDEX(KALENDER!$D$3:$D$132,MATCH(H3561,KALENDER!$A$3:$A$132,0)),"Di luar periode")</f>
        <v>Hari Kerja</v>
      </c>
      <c r="N3561" s="71">
        <f t="shared" si="496"/>
        <v>1</v>
      </c>
      <c r="O3561" s="71">
        <f t="shared" si="497"/>
        <v>1</v>
      </c>
      <c r="P3561" s="71">
        <f t="shared" si="498"/>
        <v>1</v>
      </c>
      <c r="Q3561" s="71">
        <f t="shared" si="499"/>
        <v>0</v>
      </c>
      <c r="R3561" s="71">
        <f t="shared" si="500"/>
        <v>0</v>
      </c>
      <c r="S3561" s="71">
        <f t="shared" si="501"/>
        <v>0</v>
      </c>
      <c r="T3561" s="71">
        <f t="shared" si="502"/>
        <v>1</v>
      </c>
      <c r="U3561" s="71">
        <f>IF(AND(N3561=1,V3561=1),IF(COUNTIFS(AKTIVITAS!$B$2:$B$3052,B3561,AKTIVITAS!$E$2:$E$3052,H3561)&gt;0,1,0),0)</f>
        <v>1</v>
      </c>
      <c r="V3561" s="71">
        <f>IFERROR(IF(AND(H3561&gt;=INDEX(PEMAGANG!$J$3:$J$36,MATCH(B3561,PEMAGANG!$C$3:$C$36,0)),H3561&lt;=INDEX(PEMAGANG!$K$3:$K$36,MATCH(B3561,PEMAGANG!$C$3:$C$36,0))),1,0),0)</f>
        <v>1</v>
      </c>
      <c r="W3561" s="71">
        <f t="shared" si="503"/>
        <v>1</v>
      </c>
    </row>
    <row r="3562" spans="1:23" x14ac:dyDescent="0.2">
      <c r="A3562" s="71" t="s">
        <v>196</v>
      </c>
      <c r="B3562" s="71" t="s">
        <v>197</v>
      </c>
      <c r="C3562" s="71" t="s">
        <v>187</v>
      </c>
      <c r="D3562" s="71" t="s">
        <v>185</v>
      </c>
      <c r="E3562" s="71" t="s">
        <v>47</v>
      </c>
      <c r="F3562" s="71" t="s">
        <v>298</v>
      </c>
      <c r="G3562" s="88">
        <v>46288.306851851899</v>
      </c>
      <c r="H3562" s="89">
        <v>46288</v>
      </c>
      <c r="I3562" s="71" t="s">
        <v>305</v>
      </c>
      <c r="J3562" s="71">
        <v>-9.0000000000000497</v>
      </c>
      <c r="K3562" s="71" t="s">
        <v>302</v>
      </c>
      <c r="L3562" s="71">
        <f t="shared" si="495"/>
        <v>9</v>
      </c>
      <c r="M3562" s="71" t="str">
        <f>IFERROR(INDEX(KALENDER!$D$3:$D$132,MATCH(H3562,KALENDER!$A$3:$A$132,0)),"Di luar periode")</f>
        <v>Hari Kerja</v>
      </c>
      <c r="N3562" s="71">
        <f t="shared" si="496"/>
        <v>1</v>
      </c>
      <c r="O3562" s="71">
        <f t="shared" si="497"/>
        <v>1</v>
      </c>
      <c r="P3562" s="71">
        <f t="shared" si="498"/>
        <v>1</v>
      </c>
      <c r="Q3562" s="71">
        <f t="shared" si="499"/>
        <v>0</v>
      </c>
      <c r="R3562" s="71">
        <f t="shared" si="500"/>
        <v>0</v>
      </c>
      <c r="S3562" s="71">
        <f t="shared" si="501"/>
        <v>0</v>
      </c>
      <c r="T3562" s="71">
        <f t="shared" si="502"/>
        <v>0</v>
      </c>
      <c r="U3562" s="71">
        <f>IF(AND(N3562=1,V3562=1),IF(COUNTIFS(AKTIVITAS!$B$2:$B$3052,B3562,AKTIVITAS!$E$2:$E$3052,H3562)&gt;0,1,0),0)</f>
        <v>1</v>
      </c>
      <c r="V3562" s="71">
        <f>IFERROR(IF(AND(H3562&gt;=INDEX(PEMAGANG!$J$3:$J$36,MATCH(B3562,PEMAGANG!$C$3:$C$36,0)),H3562&lt;=INDEX(PEMAGANG!$K$3:$K$36,MATCH(B3562,PEMAGANG!$C$3:$C$36,0))),1,0),0)</f>
        <v>1</v>
      </c>
      <c r="W3562" s="71">
        <f t="shared" si="503"/>
        <v>1</v>
      </c>
    </row>
    <row r="3563" spans="1:23" x14ac:dyDescent="0.2">
      <c r="A3563" s="71" t="s">
        <v>196</v>
      </c>
      <c r="B3563" s="71" t="s">
        <v>197</v>
      </c>
      <c r="C3563" s="71" t="s">
        <v>187</v>
      </c>
      <c r="D3563" s="71" t="s">
        <v>185</v>
      </c>
      <c r="E3563" s="71" t="s">
        <v>47</v>
      </c>
      <c r="F3563" s="71" t="s">
        <v>300</v>
      </c>
      <c r="G3563" s="88">
        <v>46288.689733796302</v>
      </c>
      <c r="H3563" s="89">
        <v>46288</v>
      </c>
      <c r="I3563" s="71" t="s">
        <v>316</v>
      </c>
      <c r="J3563" s="71">
        <v>0</v>
      </c>
      <c r="K3563" s="71" t="s">
        <v>302</v>
      </c>
      <c r="L3563" s="71">
        <f t="shared" si="495"/>
        <v>9</v>
      </c>
      <c r="M3563" s="71" t="str">
        <f>IFERROR(INDEX(KALENDER!$D$3:$D$132,MATCH(H3563,KALENDER!$A$3:$A$132,0)),"Di luar periode")</f>
        <v>Hari Kerja</v>
      </c>
      <c r="N3563" s="71">
        <f t="shared" si="496"/>
        <v>0</v>
      </c>
      <c r="O3563" s="71">
        <f t="shared" si="497"/>
        <v>1</v>
      </c>
      <c r="P3563" s="71">
        <f t="shared" si="498"/>
        <v>0</v>
      </c>
      <c r="Q3563" s="71">
        <f t="shared" si="499"/>
        <v>0</v>
      </c>
      <c r="R3563" s="71">
        <f t="shared" si="500"/>
        <v>0</v>
      </c>
      <c r="S3563" s="71">
        <f t="shared" si="501"/>
        <v>0</v>
      </c>
      <c r="T3563" s="71">
        <f t="shared" si="502"/>
        <v>0</v>
      </c>
      <c r="U3563" s="71">
        <f>IF(AND(N3563=1,V3563=1),IF(COUNTIFS(AKTIVITAS!$B$2:$B$3052,B3563,AKTIVITAS!$E$2:$E$3052,H3563)&gt;0,1,0),0)</f>
        <v>0</v>
      </c>
      <c r="V3563" s="71">
        <f>IFERROR(IF(AND(H3563&gt;=INDEX(PEMAGANG!$J$3:$J$36,MATCH(B3563,PEMAGANG!$C$3:$C$36,0)),H3563&lt;=INDEX(PEMAGANG!$K$3:$K$36,MATCH(B3563,PEMAGANG!$C$3:$C$36,0))),1,0),0)</f>
        <v>1</v>
      </c>
      <c r="W3563" s="71">
        <f t="shared" si="503"/>
        <v>0</v>
      </c>
    </row>
    <row r="3564" spans="1:23" x14ac:dyDescent="0.2">
      <c r="A3564" s="71" t="s">
        <v>196</v>
      </c>
      <c r="B3564" s="71" t="s">
        <v>197</v>
      </c>
      <c r="C3564" s="71" t="s">
        <v>187</v>
      </c>
      <c r="D3564" s="71" t="s">
        <v>185</v>
      </c>
      <c r="E3564" s="71" t="s">
        <v>47</v>
      </c>
      <c r="F3564" s="71" t="s">
        <v>298</v>
      </c>
      <c r="G3564" s="88">
        <v>46289.307870370401</v>
      </c>
      <c r="H3564" s="89">
        <v>46289</v>
      </c>
      <c r="I3564" s="71" t="s">
        <v>311</v>
      </c>
      <c r="J3564" s="71">
        <v>-6.9999999999999796</v>
      </c>
      <c r="K3564" s="71" t="s">
        <v>302</v>
      </c>
      <c r="L3564" s="71">
        <f t="shared" si="495"/>
        <v>9</v>
      </c>
      <c r="M3564" s="71" t="str">
        <f>IFERROR(INDEX(KALENDER!$D$3:$D$132,MATCH(H3564,KALENDER!$A$3:$A$132,0)),"Di luar periode")</f>
        <v>Hari Kerja</v>
      </c>
      <c r="N3564" s="71">
        <f t="shared" si="496"/>
        <v>1</v>
      </c>
      <c r="O3564" s="71">
        <f t="shared" si="497"/>
        <v>1</v>
      </c>
      <c r="P3564" s="71">
        <f t="shared" si="498"/>
        <v>1</v>
      </c>
      <c r="Q3564" s="71">
        <f t="shared" si="499"/>
        <v>0</v>
      </c>
      <c r="R3564" s="71">
        <f t="shared" si="500"/>
        <v>0</v>
      </c>
      <c r="S3564" s="71">
        <f t="shared" si="501"/>
        <v>0</v>
      </c>
      <c r="T3564" s="71">
        <f t="shared" si="502"/>
        <v>0</v>
      </c>
      <c r="U3564" s="71">
        <f>IF(AND(N3564=1,V3564=1),IF(COUNTIFS(AKTIVITAS!$B$2:$B$3052,B3564,AKTIVITAS!$E$2:$E$3052,H3564)&gt;0,1,0),0)</f>
        <v>1</v>
      </c>
      <c r="V3564" s="71">
        <f>IFERROR(IF(AND(H3564&gt;=INDEX(PEMAGANG!$J$3:$J$36,MATCH(B3564,PEMAGANG!$C$3:$C$36,0)),H3564&lt;=INDEX(PEMAGANG!$K$3:$K$36,MATCH(B3564,PEMAGANG!$C$3:$C$36,0))),1,0),0)</f>
        <v>1</v>
      </c>
      <c r="W3564" s="71">
        <f t="shared" si="503"/>
        <v>1</v>
      </c>
    </row>
    <row r="3565" spans="1:23" x14ac:dyDescent="0.2">
      <c r="A3565" s="71" t="s">
        <v>196</v>
      </c>
      <c r="B3565" s="71" t="s">
        <v>197</v>
      </c>
      <c r="C3565" s="71" t="s">
        <v>187</v>
      </c>
      <c r="D3565" s="71" t="s">
        <v>185</v>
      </c>
      <c r="E3565" s="71" t="s">
        <v>47</v>
      </c>
      <c r="F3565" s="71" t="s">
        <v>300</v>
      </c>
      <c r="G3565" s="88">
        <v>46289.6905555556</v>
      </c>
      <c r="H3565" s="89">
        <v>46289</v>
      </c>
      <c r="I3565" s="71" t="s">
        <v>314</v>
      </c>
      <c r="J3565" s="71">
        <v>0</v>
      </c>
      <c r="K3565" s="71" t="s">
        <v>302</v>
      </c>
      <c r="L3565" s="71">
        <f t="shared" si="495"/>
        <v>9</v>
      </c>
      <c r="M3565" s="71" t="str">
        <f>IFERROR(INDEX(KALENDER!$D$3:$D$132,MATCH(H3565,KALENDER!$A$3:$A$132,0)),"Di luar periode")</f>
        <v>Hari Kerja</v>
      </c>
      <c r="N3565" s="71">
        <f t="shared" si="496"/>
        <v>0</v>
      </c>
      <c r="O3565" s="71">
        <f t="shared" si="497"/>
        <v>1</v>
      </c>
      <c r="P3565" s="71">
        <f t="shared" si="498"/>
        <v>0</v>
      </c>
      <c r="Q3565" s="71">
        <f t="shared" si="499"/>
        <v>0</v>
      </c>
      <c r="R3565" s="71">
        <f t="shared" si="500"/>
        <v>0</v>
      </c>
      <c r="S3565" s="71">
        <f t="shared" si="501"/>
        <v>0</v>
      </c>
      <c r="T3565" s="71">
        <f t="shared" si="502"/>
        <v>0</v>
      </c>
      <c r="U3565" s="71">
        <f>IF(AND(N3565=1,V3565=1),IF(COUNTIFS(AKTIVITAS!$B$2:$B$3052,B3565,AKTIVITAS!$E$2:$E$3052,H3565)&gt;0,1,0),0)</f>
        <v>0</v>
      </c>
      <c r="V3565" s="71">
        <f>IFERROR(IF(AND(H3565&gt;=INDEX(PEMAGANG!$J$3:$J$36,MATCH(B3565,PEMAGANG!$C$3:$C$36,0)),H3565&lt;=INDEX(PEMAGANG!$K$3:$K$36,MATCH(B3565,PEMAGANG!$C$3:$C$36,0))),1,0),0)</f>
        <v>1</v>
      </c>
      <c r="W3565" s="71">
        <f t="shared" si="503"/>
        <v>0</v>
      </c>
    </row>
    <row r="3566" spans="1:23" x14ac:dyDescent="0.2">
      <c r="A3566" s="71" t="s">
        <v>196</v>
      </c>
      <c r="B3566" s="71" t="s">
        <v>197</v>
      </c>
      <c r="C3566" s="71" t="s">
        <v>187</v>
      </c>
      <c r="D3566" s="71" t="s">
        <v>185</v>
      </c>
      <c r="E3566" s="71" t="s">
        <v>47</v>
      </c>
      <c r="F3566" s="71" t="s">
        <v>298</v>
      </c>
      <c r="G3566" s="88">
        <v>46290.302465277797</v>
      </c>
      <c r="H3566" s="89">
        <v>46290</v>
      </c>
      <c r="I3566" s="71" t="s">
        <v>370</v>
      </c>
      <c r="J3566" s="71">
        <v>-15</v>
      </c>
      <c r="K3566" s="71" t="s">
        <v>302</v>
      </c>
      <c r="L3566" s="71">
        <f t="shared" si="495"/>
        <v>9</v>
      </c>
      <c r="M3566" s="71" t="str">
        <f>IFERROR(INDEX(KALENDER!$D$3:$D$132,MATCH(H3566,KALENDER!$A$3:$A$132,0)),"Di luar periode")</f>
        <v>Hari Kerja</v>
      </c>
      <c r="N3566" s="71">
        <f t="shared" si="496"/>
        <v>1</v>
      </c>
      <c r="O3566" s="71">
        <f t="shared" si="497"/>
        <v>1</v>
      </c>
      <c r="P3566" s="71">
        <f t="shared" si="498"/>
        <v>1</v>
      </c>
      <c r="Q3566" s="71">
        <f t="shared" si="499"/>
        <v>0</v>
      </c>
      <c r="R3566" s="71">
        <f t="shared" si="500"/>
        <v>0</v>
      </c>
      <c r="S3566" s="71">
        <f t="shared" si="501"/>
        <v>0</v>
      </c>
      <c r="T3566" s="71">
        <f t="shared" si="502"/>
        <v>0</v>
      </c>
      <c r="U3566" s="71">
        <f>IF(AND(N3566=1,V3566=1),IF(COUNTIFS(AKTIVITAS!$B$2:$B$3052,B3566,AKTIVITAS!$E$2:$E$3052,H3566)&gt;0,1,0),0)</f>
        <v>1</v>
      </c>
      <c r="V3566" s="71">
        <f>IFERROR(IF(AND(H3566&gt;=INDEX(PEMAGANG!$J$3:$J$36,MATCH(B3566,PEMAGANG!$C$3:$C$36,0)),H3566&lt;=INDEX(PEMAGANG!$K$3:$K$36,MATCH(B3566,PEMAGANG!$C$3:$C$36,0))),1,0),0)</f>
        <v>1</v>
      </c>
      <c r="W3566" s="71">
        <f t="shared" si="503"/>
        <v>1</v>
      </c>
    </row>
    <row r="3567" spans="1:23" x14ac:dyDescent="0.2">
      <c r="A3567" s="71" t="s">
        <v>196</v>
      </c>
      <c r="B3567" s="71" t="s">
        <v>197</v>
      </c>
      <c r="C3567" s="71" t="s">
        <v>187</v>
      </c>
      <c r="D3567" s="71" t="s">
        <v>185</v>
      </c>
      <c r="E3567" s="71" t="s">
        <v>47</v>
      </c>
      <c r="F3567" s="71" t="s">
        <v>300</v>
      </c>
      <c r="G3567" s="88">
        <v>46290.713750000003</v>
      </c>
      <c r="H3567" s="89">
        <v>46290</v>
      </c>
      <c r="I3567" s="71" t="s">
        <v>324</v>
      </c>
      <c r="J3567" s="71">
        <v>0</v>
      </c>
      <c r="K3567" s="71" t="s">
        <v>302</v>
      </c>
      <c r="L3567" s="71">
        <f t="shared" si="495"/>
        <v>9</v>
      </c>
      <c r="M3567" s="71" t="str">
        <f>IFERROR(INDEX(KALENDER!$D$3:$D$132,MATCH(H3567,KALENDER!$A$3:$A$132,0)),"Di luar periode")</f>
        <v>Hari Kerja</v>
      </c>
      <c r="N3567" s="71">
        <f t="shared" si="496"/>
        <v>0</v>
      </c>
      <c r="O3567" s="71">
        <f t="shared" si="497"/>
        <v>1</v>
      </c>
      <c r="P3567" s="71">
        <f t="shared" si="498"/>
        <v>0</v>
      </c>
      <c r="Q3567" s="71">
        <f t="shared" si="499"/>
        <v>0</v>
      </c>
      <c r="R3567" s="71">
        <f t="shared" si="500"/>
        <v>0</v>
      </c>
      <c r="S3567" s="71">
        <f t="shared" si="501"/>
        <v>0</v>
      </c>
      <c r="T3567" s="71">
        <f t="shared" si="502"/>
        <v>0</v>
      </c>
      <c r="U3567" s="71">
        <f>IF(AND(N3567=1,V3567=1),IF(COUNTIFS(AKTIVITAS!$B$2:$B$3052,B3567,AKTIVITAS!$E$2:$E$3052,H3567)&gt;0,1,0),0)</f>
        <v>0</v>
      </c>
      <c r="V3567" s="71">
        <f>IFERROR(IF(AND(H3567&gt;=INDEX(PEMAGANG!$J$3:$J$36,MATCH(B3567,PEMAGANG!$C$3:$C$36,0)),H3567&lt;=INDEX(PEMAGANG!$K$3:$K$36,MATCH(B3567,PEMAGANG!$C$3:$C$36,0))),1,0),0)</f>
        <v>1</v>
      </c>
      <c r="W3567" s="71">
        <f t="shared" si="503"/>
        <v>0</v>
      </c>
    </row>
    <row r="3568" spans="1:23" x14ac:dyDescent="0.2">
      <c r="A3568" s="71" t="s">
        <v>196</v>
      </c>
      <c r="B3568" s="71" t="s">
        <v>197</v>
      </c>
      <c r="C3568" s="71" t="s">
        <v>187</v>
      </c>
      <c r="D3568" s="71" t="s">
        <v>185</v>
      </c>
      <c r="E3568" s="71" t="s">
        <v>47</v>
      </c>
      <c r="F3568" s="71" t="s">
        <v>298</v>
      </c>
      <c r="G3568" s="88">
        <v>46293.309259259302</v>
      </c>
      <c r="H3568" s="89">
        <v>46293</v>
      </c>
      <c r="I3568" s="71" t="s">
        <v>307</v>
      </c>
      <c r="J3568" s="71">
        <v>-4.9999999999999796</v>
      </c>
      <c r="K3568" s="71" t="s">
        <v>302</v>
      </c>
      <c r="L3568" s="71">
        <f t="shared" si="495"/>
        <v>9</v>
      </c>
      <c r="M3568" s="71" t="str">
        <f>IFERROR(INDEX(KALENDER!$D$3:$D$132,MATCH(H3568,KALENDER!$A$3:$A$132,0)),"Di luar periode")</f>
        <v>Hari Kerja</v>
      </c>
      <c r="N3568" s="71">
        <f t="shared" si="496"/>
        <v>1</v>
      </c>
      <c r="O3568" s="71">
        <f t="shared" si="497"/>
        <v>1</v>
      </c>
      <c r="P3568" s="71">
        <f t="shared" si="498"/>
        <v>1</v>
      </c>
      <c r="Q3568" s="71">
        <f t="shared" si="499"/>
        <v>0</v>
      </c>
      <c r="R3568" s="71">
        <f t="shared" si="500"/>
        <v>0</v>
      </c>
      <c r="S3568" s="71">
        <f t="shared" si="501"/>
        <v>0</v>
      </c>
      <c r="T3568" s="71">
        <f t="shared" si="502"/>
        <v>0</v>
      </c>
      <c r="U3568" s="71">
        <f>IF(AND(N3568=1,V3568=1),IF(COUNTIFS(AKTIVITAS!$B$2:$B$3052,B3568,AKTIVITAS!$E$2:$E$3052,H3568)&gt;0,1,0),0)</f>
        <v>1</v>
      </c>
      <c r="V3568" s="71">
        <f>IFERROR(IF(AND(H3568&gt;=INDEX(PEMAGANG!$J$3:$J$36,MATCH(B3568,PEMAGANG!$C$3:$C$36,0)),H3568&lt;=INDEX(PEMAGANG!$K$3:$K$36,MATCH(B3568,PEMAGANG!$C$3:$C$36,0))),1,0),0)</f>
        <v>1</v>
      </c>
      <c r="W3568" s="71">
        <f t="shared" si="503"/>
        <v>1</v>
      </c>
    </row>
    <row r="3569" spans="1:23" x14ac:dyDescent="0.2">
      <c r="A3569" s="71" t="s">
        <v>196</v>
      </c>
      <c r="B3569" s="71" t="s">
        <v>197</v>
      </c>
      <c r="C3569" s="71" t="s">
        <v>187</v>
      </c>
      <c r="D3569" s="71" t="s">
        <v>185</v>
      </c>
      <c r="E3569" s="71" t="s">
        <v>47</v>
      </c>
      <c r="F3569" s="71" t="s">
        <v>300</v>
      </c>
      <c r="G3569" s="88">
        <v>46293.689085648199</v>
      </c>
      <c r="H3569" s="89">
        <v>46293</v>
      </c>
      <c r="I3569" s="71" t="s">
        <v>306</v>
      </c>
      <c r="J3569" s="71">
        <v>0</v>
      </c>
      <c r="K3569" s="71" t="s">
        <v>302</v>
      </c>
      <c r="L3569" s="71">
        <f t="shared" si="495"/>
        <v>9</v>
      </c>
      <c r="M3569" s="71" t="str">
        <f>IFERROR(INDEX(KALENDER!$D$3:$D$132,MATCH(H3569,KALENDER!$A$3:$A$132,0)),"Di luar periode")</f>
        <v>Hari Kerja</v>
      </c>
      <c r="N3569" s="71">
        <f t="shared" si="496"/>
        <v>0</v>
      </c>
      <c r="O3569" s="71">
        <f t="shared" si="497"/>
        <v>1</v>
      </c>
      <c r="P3569" s="71">
        <f t="shared" si="498"/>
        <v>0</v>
      </c>
      <c r="Q3569" s="71">
        <f t="shared" si="499"/>
        <v>0</v>
      </c>
      <c r="R3569" s="71">
        <f t="shared" si="500"/>
        <v>0</v>
      </c>
      <c r="S3569" s="71">
        <f t="shared" si="501"/>
        <v>0</v>
      </c>
      <c r="T3569" s="71">
        <f t="shared" si="502"/>
        <v>0</v>
      </c>
      <c r="U3569" s="71">
        <f>IF(AND(N3569=1,V3569=1),IF(COUNTIFS(AKTIVITAS!$B$2:$B$3052,B3569,AKTIVITAS!$E$2:$E$3052,H3569)&gt;0,1,0),0)</f>
        <v>0</v>
      </c>
      <c r="V3569" s="71">
        <f>IFERROR(IF(AND(H3569&gt;=INDEX(PEMAGANG!$J$3:$J$36,MATCH(B3569,PEMAGANG!$C$3:$C$36,0)),H3569&lt;=INDEX(PEMAGANG!$K$3:$K$36,MATCH(B3569,PEMAGANG!$C$3:$C$36,0))),1,0),0)</f>
        <v>1</v>
      </c>
      <c r="W3569" s="71">
        <f t="shared" si="503"/>
        <v>0</v>
      </c>
    </row>
    <row r="3570" spans="1:23" x14ac:dyDescent="0.2">
      <c r="A3570" s="71" t="s">
        <v>196</v>
      </c>
      <c r="B3570" s="71" t="s">
        <v>197</v>
      </c>
      <c r="C3570" s="71" t="s">
        <v>187</v>
      </c>
      <c r="D3570" s="71" t="s">
        <v>185</v>
      </c>
      <c r="E3570" s="71" t="s">
        <v>47</v>
      </c>
      <c r="F3570" s="71" t="s">
        <v>298</v>
      </c>
      <c r="G3570" s="88">
        <v>46294.310092592597</v>
      </c>
      <c r="H3570" s="89">
        <v>46294</v>
      </c>
      <c r="I3570" s="71" t="s">
        <v>315</v>
      </c>
      <c r="J3570" s="71">
        <v>-3.9999999999999898</v>
      </c>
      <c r="K3570" s="71" t="s">
        <v>302</v>
      </c>
      <c r="L3570" s="71">
        <f t="shared" si="495"/>
        <v>9</v>
      </c>
      <c r="M3570" s="71" t="str">
        <f>IFERROR(INDEX(KALENDER!$D$3:$D$132,MATCH(H3570,KALENDER!$A$3:$A$132,0)),"Di luar periode")</f>
        <v>Hari Kerja</v>
      </c>
      <c r="N3570" s="71">
        <f t="shared" si="496"/>
        <v>1</v>
      </c>
      <c r="O3570" s="71">
        <f t="shared" si="497"/>
        <v>1</v>
      </c>
      <c r="P3570" s="71">
        <f t="shared" si="498"/>
        <v>1</v>
      </c>
      <c r="Q3570" s="71">
        <f t="shared" si="499"/>
        <v>0</v>
      </c>
      <c r="R3570" s="71">
        <f t="shared" si="500"/>
        <v>0</v>
      </c>
      <c r="S3570" s="71">
        <f t="shared" si="501"/>
        <v>0</v>
      </c>
      <c r="T3570" s="71">
        <f t="shared" si="502"/>
        <v>0</v>
      </c>
      <c r="U3570" s="71">
        <f>IF(AND(N3570=1,V3570=1),IF(COUNTIFS(AKTIVITAS!$B$2:$B$3052,B3570,AKTIVITAS!$E$2:$E$3052,H3570)&gt;0,1,0),0)</f>
        <v>1</v>
      </c>
      <c r="V3570" s="71">
        <f>IFERROR(IF(AND(H3570&gt;=INDEX(PEMAGANG!$J$3:$J$36,MATCH(B3570,PEMAGANG!$C$3:$C$36,0)),H3570&lt;=INDEX(PEMAGANG!$K$3:$K$36,MATCH(B3570,PEMAGANG!$C$3:$C$36,0))),1,0),0)</f>
        <v>1</v>
      </c>
      <c r="W3570" s="71">
        <f t="shared" si="503"/>
        <v>1</v>
      </c>
    </row>
    <row r="3571" spans="1:23" x14ac:dyDescent="0.2">
      <c r="A3571" s="71" t="s">
        <v>196</v>
      </c>
      <c r="B3571" s="71" t="s">
        <v>197</v>
      </c>
      <c r="C3571" s="71" t="s">
        <v>187</v>
      </c>
      <c r="D3571" s="71" t="s">
        <v>185</v>
      </c>
      <c r="E3571" s="71" t="s">
        <v>47</v>
      </c>
      <c r="F3571" s="71" t="s">
        <v>300</v>
      </c>
      <c r="G3571" s="88">
        <v>46294.6899768519</v>
      </c>
      <c r="H3571" s="89">
        <v>46294</v>
      </c>
      <c r="I3571" s="71" t="s">
        <v>316</v>
      </c>
      <c r="J3571" s="71">
        <v>0</v>
      </c>
      <c r="K3571" s="71" t="s">
        <v>302</v>
      </c>
      <c r="L3571" s="71">
        <f t="shared" si="495"/>
        <v>9</v>
      </c>
      <c r="M3571" s="71" t="str">
        <f>IFERROR(INDEX(KALENDER!$D$3:$D$132,MATCH(H3571,KALENDER!$A$3:$A$132,0)),"Di luar periode")</f>
        <v>Hari Kerja</v>
      </c>
      <c r="N3571" s="71">
        <f t="shared" si="496"/>
        <v>0</v>
      </c>
      <c r="O3571" s="71">
        <f t="shared" si="497"/>
        <v>1</v>
      </c>
      <c r="P3571" s="71">
        <f t="shared" si="498"/>
        <v>0</v>
      </c>
      <c r="Q3571" s="71">
        <f t="shared" si="499"/>
        <v>0</v>
      </c>
      <c r="R3571" s="71">
        <f t="shared" si="500"/>
        <v>0</v>
      </c>
      <c r="S3571" s="71">
        <f t="shared" si="501"/>
        <v>0</v>
      </c>
      <c r="T3571" s="71">
        <f t="shared" si="502"/>
        <v>0</v>
      </c>
      <c r="U3571" s="71">
        <f>IF(AND(N3571=1,V3571=1),IF(COUNTIFS(AKTIVITAS!$B$2:$B$3052,B3571,AKTIVITAS!$E$2:$E$3052,H3571)&gt;0,1,0),0)</f>
        <v>0</v>
      </c>
      <c r="V3571" s="71">
        <f>IFERROR(IF(AND(H3571&gt;=INDEX(PEMAGANG!$J$3:$J$36,MATCH(B3571,PEMAGANG!$C$3:$C$36,0)),H3571&lt;=INDEX(PEMAGANG!$K$3:$K$36,MATCH(B3571,PEMAGANG!$C$3:$C$36,0))),1,0),0)</f>
        <v>1</v>
      </c>
      <c r="W3571" s="71">
        <f t="shared" si="503"/>
        <v>0</v>
      </c>
    </row>
    <row r="3572" spans="1:23" x14ac:dyDescent="0.2">
      <c r="A3572" s="71" t="s">
        <v>196</v>
      </c>
      <c r="B3572" s="71" t="s">
        <v>197</v>
      </c>
      <c r="C3572" s="71" t="s">
        <v>187</v>
      </c>
      <c r="D3572" s="71" t="s">
        <v>185</v>
      </c>
      <c r="E3572" s="71" t="s">
        <v>47</v>
      </c>
      <c r="F3572" s="71" t="s">
        <v>298</v>
      </c>
      <c r="G3572" s="88">
        <v>46295.3025694444</v>
      </c>
      <c r="H3572" s="89">
        <v>46295</v>
      </c>
      <c r="I3572" s="71" t="s">
        <v>370</v>
      </c>
      <c r="J3572" s="71">
        <v>-15</v>
      </c>
      <c r="K3572" s="71" t="s">
        <v>302</v>
      </c>
      <c r="L3572" s="71">
        <f t="shared" si="495"/>
        <v>9</v>
      </c>
      <c r="M3572" s="71" t="str">
        <f>IFERROR(INDEX(KALENDER!$D$3:$D$132,MATCH(H3572,KALENDER!$A$3:$A$132,0)),"Di luar periode")</f>
        <v>Hari Kerja</v>
      </c>
      <c r="N3572" s="71">
        <f t="shared" si="496"/>
        <v>1</v>
      </c>
      <c r="O3572" s="71">
        <f t="shared" si="497"/>
        <v>1</v>
      </c>
      <c r="P3572" s="71">
        <f t="shared" si="498"/>
        <v>1</v>
      </c>
      <c r="Q3572" s="71">
        <f t="shared" si="499"/>
        <v>0</v>
      </c>
      <c r="R3572" s="71">
        <f t="shared" si="500"/>
        <v>0</v>
      </c>
      <c r="S3572" s="71">
        <f t="shared" si="501"/>
        <v>0</v>
      </c>
      <c r="T3572" s="71">
        <f t="shared" si="502"/>
        <v>0</v>
      </c>
      <c r="U3572" s="71">
        <f>IF(AND(N3572=1,V3572=1),IF(COUNTIFS(AKTIVITAS!$B$2:$B$3052,B3572,AKTIVITAS!$E$2:$E$3052,H3572)&gt;0,1,0),0)</f>
        <v>1</v>
      </c>
      <c r="V3572" s="71">
        <f>IFERROR(IF(AND(H3572&gt;=INDEX(PEMAGANG!$J$3:$J$36,MATCH(B3572,PEMAGANG!$C$3:$C$36,0)),H3572&lt;=INDEX(PEMAGANG!$K$3:$K$36,MATCH(B3572,PEMAGANG!$C$3:$C$36,0))),1,0),0)</f>
        <v>1</v>
      </c>
      <c r="W3572" s="71">
        <f t="shared" si="503"/>
        <v>1</v>
      </c>
    </row>
    <row r="3573" spans="1:23" x14ac:dyDescent="0.2">
      <c r="A3573" s="71" t="s">
        <v>196</v>
      </c>
      <c r="B3573" s="71" t="s">
        <v>197</v>
      </c>
      <c r="C3573" s="71" t="s">
        <v>187</v>
      </c>
      <c r="D3573" s="71" t="s">
        <v>185</v>
      </c>
      <c r="E3573" s="71" t="s">
        <v>47</v>
      </c>
      <c r="F3573" s="71" t="s">
        <v>300</v>
      </c>
      <c r="G3573" s="88">
        <v>46295.693703703699</v>
      </c>
      <c r="H3573" s="89">
        <v>46295</v>
      </c>
      <c r="I3573" s="71" t="s">
        <v>317</v>
      </c>
      <c r="J3573" s="71">
        <v>0</v>
      </c>
      <c r="K3573" s="71" t="s">
        <v>302</v>
      </c>
      <c r="L3573" s="71">
        <f t="shared" si="495"/>
        <v>9</v>
      </c>
      <c r="M3573" s="71" t="str">
        <f>IFERROR(INDEX(KALENDER!$D$3:$D$132,MATCH(H3573,KALENDER!$A$3:$A$132,0)),"Di luar periode")</f>
        <v>Hari Kerja</v>
      </c>
      <c r="N3573" s="71">
        <f t="shared" si="496"/>
        <v>0</v>
      </c>
      <c r="O3573" s="71">
        <f t="shared" si="497"/>
        <v>1</v>
      </c>
      <c r="P3573" s="71">
        <f t="shared" si="498"/>
        <v>0</v>
      </c>
      <c r="Q3573" s="71">
        <f t="shared" si="499"/>
        <v>0</v>
      </c>
      <c r="R3573" s="71">
        <f t="shared" si="500"/>
        <v>0</v>
      </c>
      <c r="S3573" s="71">
        <f t="shared" si="501"/>
        <v>0</v>
      </c>
      <c r="T3573" s="71">
        <f t="shared" si="502"/>
        <v>0</v>
      </c>
      <c r="U3573" s="71">
        <f>IF(AND(N3573=1,V3573=1),IF(COUNTIFS(AKTIVITAS!$B$2:$B$3052,B3573,AKTIVITAS!$E$2:$E$3052,H3573)&gt;0,1,0),0)</f>
        <v>0</v>
      </c>
      <c r="V3573" s="71">
        <f>IFERROR(IF(AND(H3573&gt;=INDEX(PEMAGANG!$J$3:$J$36,MATCH(B3573,PEMAGANG!$C$3:$C$36,0)),H3573&lt;=INDEX(PEMAGANG!$K$3:$K$36,MATCH(B3573,PEMAGANG!$C$3:$C$36,0))),1,0),0)</f>
        <v>1</v>
      </c>
      <c r="W3573" s="71">
        <f t="shared" si="503"/>
        <v>0</v>
      </c>
    </row>
    <row r="3574" spans="1:23" x14ac:dyDescent="0.2">
      <c r="A3574" s="71" t="s">
        <v>225</v>
      </c>
      <c r="B3574" s="71" t="s">
        <v>226</v>
      </c>
      <c r="C3574" s="71" t="s">
        <v>187</v>
      </c>
      <c r="D3574" s="71" t="s">
        <v>224</v>
      </c>
      <c r="E3574" s="71" t="s">
        <v>52</v>
      </c>
      <c r="F3574" s="71" t="s">
        <v>298</v>
      </c>
      <c r="G3574" s="88">
        <v>46244.494351851899</v>
      </c>
      <c r="H3574" s="89">
        <v>46244</v>
      </c>
      <c r="I3574" s="71" t="s">
        <v>412</v>
      </c>
      <c r="J3574" s="71">
        <v>261</v>
      </c>
      <c r="K3574" s="71" t="s">
        <v>293</v>
      </c>
      <c r="L3574" s="71">
        <f t="shared" si="495"/>
        <v>8</v>
      </c>
      <c r="M3574" s="71" t="str">
        <f>IFERROR(INDEX(KALENDER!$D$3:$D$132,MATCH(H3574,KALENDER!$A$3:$A$132,0)),"Di luar periode")</f>
        <v>Hari Kerja</v>
      </c>
      <c r="N3574" s="71">
        <f t="shared" si="496"/>
        <v>1</v>
      </c>
      <c r="O3574" s="71">
        <f t="shared" si="497"/>
        <v>1</v>
      </c>
      <c r="P3574" s="71">
        <f t="shared" si="498"/>
        <v>1</v>
      </c>
      <c r="Q3574" s="71">
        <f t="shared" si="499"/>
        <v>0</v>
      </c>
      <c r="R3574" s="71">
        <f t="shared" si="500"/>
        <v>1</v>
      </c>
      <c r="S3574" s="71">
        <f t="shared" si="501"/>
        <v>261</v>
      </c>
      <c r="T3574" s="71">
        <f t="shared" si="502"/>
        <v>0</v>
      </c>
      <c r="U3574" s="71">
        <f>IF(AND(N3574=1,V3574=1),IF(COUNTIFS(AKTIVITAS!$B$2:$B$3052,B3574,AKTIVITAS!$E$2:$E$3052,H3574)&gt;0,1,0),0)</f>
        <v>1</v>
      </c>
      <c r="V3574" s="71">
        <f>IFERROR(IF(AND(H3574&gt;=INDEX(PEMAGANG!$J$3:$J$36,MATCH(B3574,PEMAGANG!$C$3:$C$36,0)),H3574&lt;=INDEX(PEMAGANG!$K$3:$K$36,MATCH(B3574,PEMAGANG!$C$3:$C$36,0))),1,0),0)</f>
        <v>1</v>
      </c>
      <c r="W3574" s="71">
        <f t="shared" si="503"/>
        <v>1</v>
      </c>
    </row>
    <row r="3575" spans="1:23" x14ac:dyDescent="0.2">
      <c r="A3575" s="71" t="s">
        <v>225</v>
      </c>
      <c r="B3575" s="71" t="s">
        <v>226</v>
      </c>
      <c r="C3575" s="71" t="s">
        <v>187</v>
      </c>
      <c r="D3575" s="71" t="s">
        <v>224</v>
      </c>
      <c r="E3575" s="71" t="s">
        <v>52</v>
      </c>
      <c r="F3575" s="71" t="s">
        <v>300</v>
      </c>
      <c r="G3575" s="88">
        <v>46244.7137268519</v>
      </c>
      <c r="H3575" s="89">
        <v>46244</v>
      </c>
      <c r="I3575" s="71" t="s">
        <v>324</v>
      </c>
      <c r="J3575" s="71">
        <v>0</v>
      </c>
      <c r="K3575" s="71" t="s">
        <v>302</v>
      </c>
      <c r="L3575" s="71">
        <f t="shared" si="495"/>
        <v>8</v>
      </c>
      <c r="M3575" s="71" t="str">
        <f>IFERROR(INDEX(KALENDER!$D$3:$D$132,MATCH(H3575,KALENDER!$A$3:$A$132,0)),"Di luar periode")</f>
        <v>Hari Kerja</v>
      </c>
      <c r="N3575" s="71">
        <f t="shared" si="496"/>
        <v>0</v>
      </c>
      <c r="O3575" s="71">
        <f t="shared" si="497"/>
        <v>1</v>
      </c>
      <c r="P3575" s="71">
        <f t="shared" si="498"/>
        <v>0</v>
      </c>
      <c r="Q3575" s="71">
        <f t="shared" si="499"/>
        <v>0</v>
      </c>
      <c r="R3575" s="71">
        <f t="shared" si="500"/>
        <v>0</v>
      </c>
      <c r="S3575" s="71">
        <f t="shared" si="501"/>
        <v>0</v>
      </c>
      <c r="T3575" s="71">
        <f t="shared" si="502"/>
        <v>0</v>
      </c>
      <c r="U3575" s="71">
        <f>IF(AND(N3575=1,V3575=1),IF(COUNTIFS(AKTIVITAS!$B$2:$B$3052,B3575,AKTIVITAS!$E$2:$E$3052,H3575)&gt;0,1,0),0)</f>
        <v>0</v>
      </c>
      <c r="V3575" s="71">
        <f>IFERROR(IF(AND(H3575&gt;=INDEX(PEMAGANG!$J$3:$J$36,MATCH(B3575,PEMAGANG!$C$3:$C$36,0)),H3575&lt;=INDEX(PEMAGANG!$K$3:$K$36,MATCH(B3575,PEMAGANG!$C$3:$C$36,0))),1,0),0)</f>
        <v>1</v>
      </c>
      <c r="W3575" s="71">
        <f t="shared" si="503"/>
        <v>0</v>
      </c>
    </row>
    <row r="3576" spans="1:23" x14ac:dyDescent="0.2">
      <c r="A3576" s="71" t="s">
        <v>225</v>
      </c>
      <c r="B3576" s="71" t="s">
        <v>226</v>
      </c>
      <c r="C3576" s="71" t="s">
        <v>187</v>
      </c>
      <c r="D3576" s="71" t="s">
        <v>224</v>
      </c>
      <c r="E3576" s="71" t="s">
        <v>52</v>
      </c>
      <c r="F3576" s="71" t="s">
        <v>298</v>
      </c>
      <c r="G3576" s="88">
        <v>46245.307500000003</v>
      </c>
      <c r="H3576" s="89">
        <v>46245</v>
      </c>
      <c r="I3576" s="71" t="s">
        <v>313</v>
      </c>
      <c r="J3576" s="71">
        <v>-8.0000000000000497</v>
      </c>
      <c r="K3576" s="71" t="s">
        <v>302</v>
      </c>
      <c r="L3576" s="71">
        <f t="shared" si="495"/>
        <v>8</v>
      </c>
      <c r="M3576" s="71" t="str">
        <f>IFERROR(INDEX(KALENDER!$D$3:$D$132,MATCH(H3576,KALENDER!$A$3:$A$132,0)),"Di luar periode")</f>
        <v>Hari Kerja</v>
      </c>
      <c r="N3576" s="71">
        <f t="shared" si="496"/>
        <v>1</v>
      </c>
      <c r="O3576" s="71">
        <f t="shared" si="497"/>
        <v>1</v>
      </c>
      <c r="P3576" s="71">
        <f t="shared" si="498"/>
        <v>1</v>
      </c>
      <c r="Q3576" s="71">
        <f t="shared" si="499"/>
        <v>0</v>
      </c>
      <c r="R3576" s="71">
        <f t="shared" si="500"/>
        <v>0</v>
      </c>
      <c r="S3576" s="71">
        <f t="shared" si="501"/>
        <v>0</v>
      </c>
      <c r="T3576" s="71">
        <f t="shared" si="502"/>
        <v>0</v>
      </c>
      <c r="U3576" s="71">
        <f>IF(AND(N3576=1,V3576=1),IF(COUNTIFS(AKTIVITAS!$B$2:$B$3052,B3576,AKTIVITAS!$E$2:$E$3052,H3576)&gt;0,1,0),0)</f>
        <v>1</v>
      </c>
      <c r="V3576" s="71">
        <f>IFERROR(IF(AND(H3576&gt;=INDEX(PEMAGANG!$J$3:$J$36,MATCH(B3576,PEMAGANG!$C$3:$C$36,0)),H3576&lt;=INDEX(PEMAGANG!$K$3:$K$36,MATCH(B3576,PEMAGANG!$C$3:$C$36,0))),1,0),0)</f>
        <v>1</v>
      </c>
      <c r="W3576" s="71">
        <f t="shared" si="503"/>
        <v>1</v>
      </c>
    </row>
    <row r="3577" spans="1:23" x14ac:dyDescent="0.2">
      <c r="A3577" s="71" t="s">
        <v>225</v>
      </c>
      <c r="B3577" s="71" t="s">
        <v>226</v>
      </c>
      <c r="C3577" s="71" t="s">
        <v>187</v>
      </c>
      <c r="D3577" s="71" t="s">
        <v>224</v>
      </c>
      <c r="E3577" s="71" t="s">
        <v>52</v>
      </c>
      <c r="F3577" s="71" t="s">
        <v>300</v>
      </c>
      <c r="G3577" s="88">
        <v>46245.690636574102</v>
      </c>
      <c r="H3577" s="89">
        <v>46245</v>
      </c>
      <c r="I3577" s="71" t="s">
        <v>314</v>
      </c>
      <c r="J3577" s="71">
        <v>0</v>
      </c>
      <c r="K3577" s="71" t="s">
        <v>302</v>
      </c>
      <c r="L3577" s="71">
        <f t="shared" si="495"/>
        <v>8</v>
      </c>
      <c r="M3577" s="71" t="str">
        <f>IFERROR(INDEX(KALENDER!$D$3:$D$132,MATCH(H3577,KALENDER!$A$3:$A$132,0)),"Di luar periode")</f>
        <v>Hari Kerja</v>
      </c>
      <c r="N3577" s="71">
        <f t="shared" si="496"/>
        <v>0</v>
      </c>
      <c r="O3577" s="71">
        <f t="shared" si="497"/>
        <v>1</v>
      </c>
      <c r="P3577" s="71">
        <f t="shared" si="498"/>
        <v>0</v>
      </c>
      <c r="Q3577" s="71">
        <f t="shared" si="499"/>
        <v>0</v>
      </c>
      <c r="R3577" s="71">
        <f t="shared" si="500"/>
        <v>0</v>
      </c>
      <c r="S3577" s="71">
        <f t="shared" si="501"/>
        <v>0</v>
      </c>
      <c r="T3577" s="71">
        <f t="shared" si="502"/>
        <v>0</v>
      </c>
      <c r="U3577" s="71">
        <f>IF(AND(N3577=1,V3577=1),IF(COUNTIFS(AKTIVITAS!$B$2:$B$3052,B3577,AKTIVITAS!$E$2:$E$3052,H3577)&gt;0,1,0),0)</f>
        <v>0</v>
      </c>
      <c r="V3577" s="71">
        <f>IFERROR(IF(AND(H3577&gt;=INDEX(PEMAGANG!$J$3:$J$36,MATCH(B3577,PEMAGANG!$C$3:$C$36,0)),H3577&lt;=INDEX(PEMAGANG!$K$3:$K$36,MATCH(B3577,PEMAGANG!$C$3:$C$36,0))),1,0),0)</f>
        <v>1</v>
      </c>
      <c r="W3577" s="71">
        <f t="shared" si="503"/>
        <v>0</v>
      </c>
    </row>
    <row r="3578" spans="1:23" x14ac:dyDescent="0.2">
      <c r="A3578" s="71" t="s">
        <v>225</v>
      </c>
      <c r="B3578" s="71" t="s">
        <v>226</v>
      </c>
      <c r="C3578" s="71" t="s">
        <v>187</v>
      </c>
      <c r="D3578" s="71" t="s">
        <v>224</v>
      </c>
      <c r="E3578" s="71" t="s">
        <v>52</v>
      </c>
      <c r="F3578" s="71" t="s">
        <v>298</v>
      </c>
      <c r="G3578" s="88">
        <v>46246.302210648202</v>
      </c>
      <c r="H3578" s="89">
        <v>46246</v>
      </c>
      <c r="I3578" s="71" t="s">
        <v>370</v>
      </c>
      <c r="J3578" s="71">
        <v>-15</v>
      </c>
      <c r="K3578" s="71" t="s">
        <v>302</v>
      </c>
      <c r="L3578" s="71">
        <f t="shared" si="495"/>
        <v>8</v>
      </c>
      <c r="M3578" s="71" t="str">
        <f>IFERROR(INDEX(KALENDER!$D$3:$D$132,MATCH(H3578,KALENDER!$A$3:$A$132,0)),"Di luar periode")</f>
        <v>Hari Kerja</v>
      </c>
      <c r="N3578" s="71">
        <f t="shared" si="496"/>
        <v>1</v>
      </c>
      <c r="O3578" s="71">
        <f t="shared" si="497"/>
        <v>1</v>
      </c>
      <c r="P3578" s="71">
        <f t="shared" si="498"/>
        <v>1</v>
      </c>
      <c r="Q3578" s="71">
        <f t="shared" si="499"/>
        <v>0</v>
      </c>
      <c r="R3578" s="71">
        <f t="shared" si="500"/>
        <v>0</v>
      </c>
      <c r="S3578" s="71">
        <f t="shared" si="501"/>
        <v>0</v>
      </c>
      <c r="T3578" s="71">
        <f t="shared" si="502"/>
        <v>0</v>
      </c>
      <c r="U3578" s="71">
        <f>IF(AND(N3578=1,V3578=1),IF(COUNTIFS(AKTIVITAS!$B$2:$B$3052,B3578,AKTIVITAS!$E$2:$E$3052,H3578)&gt;0,1,0),0)</f>
        <v>1</v>
      </c>
      <c r="V3578" s="71">
        <f>IFERROR(IF(AND(H3578&gt;=INDEX(PEMAGANG!$J$3:$J$36,MATCH(B3578,PEMAGANG!$C$3:$C$36,0)),H3578&lt;=INDEX(PEMAGANG!$K$3:$K$36,MATCH(B3578,PEMAGANG!$C$3:$C$36,0))),1,0),0)</f>
        <v>1</v>
      </c>
      <c r="W3578" s="71">
        <f t="shared" si="503"/>
        <v>1</v>
      </c>
    </row>
    <row r="3579" spans="1:23" x14ac:dyDescent="0.2">
      <c r="A3579" s="71" t="s">
        <v>225</v>
      </c>
      <c r="B3579" s="71" t="s">
        <v>226</v>
      </c>
      <c r="C3579" s="71" t="s">
        <v>187</v>
      </c>
      <c r="D3579" s="71" t="s">
        <v>224</v>
      </c>
      <c r="E3579" s="71" t="s">
        <v>52</v>
      </c>
      <c r="F3579" s="71" t="s">
        <v>300</v>
      </c>
      <c r="G3579" s="88">
        <v>46246.689143518503</v>
      </c>
      <c r="H3579" s="89">
        <v>46246</v>
      </c>
      <c r="I3579" s="71" t="s">
        <v>306</v>
      </c>
      <c r="J3579" s="71">
        <v>0</v>
      </c>
      <c r="K3579" s="71" t="s">
        <v>302</v>
      </c>
      <c r="L3579" s="71">
        <f t="shared" si="495"/>
        <v>8</v>
      </c>
      <c r="M3579" s="71" t="str">
        <f>IFERROR(INDEX(KALENDER!$D$3:$D$132,MATCH(H3579,KALENDER!$A$3:$A$132,0)),"Di luar periode")</f>
        <v>Hari Kerja</v>
      </c>
      <c r="N3579" s="71">
        <f t="shared" si="496"/>
        <v>0</v>
      </c>
      <c r="O3579" s="71">
        <f t="shared" si="497"/>
        <v>1</v>
      </c>
      <c r="P3579" s="71">
        <f t="shared" si="498"/>
        <v>0</v>
      </c>
      <c r="Q3579" s="71">
        <f t="shared" si="499"/>
        <v>0</v>
      </c>
      <c r="R3579" s="71">
        <f t="shared" si="500"/>
        <v>0</v>
      </c>
      <c r="S3579" s="71">
        <f t="shared" si="501"/>
        <v>0</v>
      </c>
      <c r="T3579" s="71">
        <f t="shared" si="502"/>
        <v>0</v>
      </c>
      <c r="U3579" s="71">
        <f>IF(AND(N3579=1,V3579=1),IF(COUNTIFS(AKTIVITAS!$B$2:$B$3052,B3579,AKTIVITAS!$E$2:$E$3052,H3579)&gt;0,1,0),0)</f>
        <v>0</v>
      </c>
      <c r="V3579" s="71">
        <f>IFERROR(IF(AND(H3579&gt;=INDEX(PEMAGANG!$J$3:$J$36,MATCH(B3579,PEMAGANG!$C$3:$C$36,0)),H3579&lt;=INDEX(PEMAGANG!$K$3:$K$36,MATCH(B3579,PEMAGANG!$C$3:$C$36,0))),1,0),0)</f>
        <v>1</v>
      </c>
      <c r="W3579" s="71">
        <f t="shared" si="503"/>
        <v>0</v>
      </c>
    </row>
    <row r="3580" spans="1:23" x14ac:dyDescent="0.2">
      <c r="A3580" s="71" t="s">
        <v>225</v>
      </c>
      <c r="B3580" s="71" t="s">
        <v>226</v>
      </c>
      <c r="C3580" s="71" t="s">
        <v>187</v>
      </c>
      <c r="D3580" s="71" t="s">
        <v>224</v>
      </c>
      <c r="E3580" s="71" t="s">
        <v>52</v>
      </c>
      <c r="F3580" s="71" t="s">
        <v>298</v>
      </c>
      <c r="G3580" s="88">
        <v>46247.3046875</v>
      </c>
      <c r="H3580" s="89">
        <v>46247</v>
      </c>
      <c r="I3580" s="71" t="s">
        <v>326</v>
      </c>
      <c r="J3580" s="71">
        <v>-12</v>
      </c>
      <c r="K3580" s="71" t="s">
        <v>302</v>
      </c>
      <c r="L3580" s="71">
        <f t="shared" si="495"/>
        <v>8</v>
      </c>
      <c r="M3580" s="71" t="str">
        <f>IFERROR(INDEX(KALENDER!$D$3:$D$132,MATCH(H3580,KALENDER!$A$3:$A$132,0)),"Di luar periode")</f>
        <v>Hari Kerja</v>
      </c>
      <c r="N3580" s="71">
        <f t="shared" si="496"/>
        <v>1</v>
      </c>
      <c r="O3580" s="71">
        <f t="shared" si="497"/>
        <v>1</v>
      </c>
      <c r="P3580" s="71">
        <f t="shared" si="498"/>
        <v>1</v>
      </c>
      <c r="Q3580" s="71">
        <f t="shared" si="499"/>
        <v>0</v>
      </c>
      <c r="R3580" s="71">
        <f t="shared" si="500"/>
        <v>0</v>
      </c>
      <c r="S3580" s="71">
        <f t="shared" si="501"/>
        <v>0</v>
      </c>
      <c r="T3580" s="71">
        <f t="shared" si="502"/>
        <v>0</v>
      </c>
      <c r="U3580" s="71">
        <f>IF(AND(N3580=1,V3580=1),IF(COUNTIFS(AKTIVITAS!$B$2:$B$3052,B3580,AKTIVITAS!$E$2:$E$3052,H3580)&gt;0,1,0),0)</f>
        <v>1</v>
      </c>
      <c r="V3580" s="71">
        <f>IFERROR(IF(AND(H3580&gt;=INDEX(PEMAGANG!$J$3:$J$36,MATCH(B3580,PEMAGANG!$C$3:$C$36,0)),H3580&lt;=INDEX(PEMAGANG!$K$3:$K$36,MATCH(B3580,PEMAGANG!$C$3:$C$36,0))),1,0),0)</f>
        <v>1</v>
      </c>
      <c r="W3580" s="71">
        <f t="shared" si="503"/>
        <v>1</v>
      </c>
    </row>
    <row r="3581" spans="1:23" x14ac:dyDescent="0.2">
      <c r="A3581" s="71" t="s">
        <v>225</v>
      </c>
      <c r="B3581" s="71" t="s">
        <v>226</v>
      </c>
      <c r="C3581" s="71" t="s">
        <v>187</v>
      </c>
      <c r="D3581" s="71" t="s">
        <v>224</v>
      </c>
      <c r="E3581" s="71" t="s">
        <v>52</v>
      </c>
      <c r="F3581" s="71" t="s">
        <v>300</v>
      </c>
      <c r="G3581" s="88">
        <v>46247.691956018498</v>
      </c>
      <c r="H3581" s="89">
        <v>46247</v>
      </c>
      <c r="I3581" s="71" t="s">
        <v>344</v>
      </c>
      <c r="J3581" s="71">
        <v>0</v>
      </c>
      <c r="K3581" s="71" t="s">
        <v>302</v>
      </c>
      <c r="L3581" s="71">
        <f t="shared" si="495"/>
        <v>8</v>
      </c>
      <c r="M3581" s="71" t="str">
        <f>IFERROR(INDEX(KALENDER!$D$3:$D$132,MATCH(H3581,KALENDER!$A$3:$A$132,0)),"Di luar periode")</f>
        <v>Hari Kerja</v>
      </c>
      <c r="N3581" s="71">
        <f t="shared" si="496"/>
        <v>0</v>
      </c>
      <c r="O3581" s="71">
        <f t="shared" si="497"/>
        <v>1</v>
      </c>
      <c r="P3581" s="71">
        <f t="shared" si="498"/>
        <v>0</v>
      </c>
      <c r="Q3581" s="71">
        <f t="shared" si="499"/>
        <v>0</v>
      </c>
      <c r="R3581" s="71">
        <f t="shared" si="500"/>
        <v>0</v>
      </c>
      <c r="S3581" s="71">
        <f t="shared" si="501"/>
        <v>0</v>
      </c>
      <c r="T3581" s="71">
        <f t="shared" si="502"/>
        <v>0</v>
      </c>
      <c r="U3581" s="71">
        <f>IF(AND(N3581=1,V3581=1),IF(COUNTIFS(AKTIVITAS!$B$2:$B$3052,B3581,AKTIVITAS!$E$2:$E$3052,H3581)&gt;0,1,0),0)</f>
        <v>0</v>
      </c>
      <c r="V3581" s="71">
        <f>IFERROR(IF(AND(H3581&gt;=INDEX(PEMAGANG!$J$3:$J$36,MATCH(B3581,PEMAGANG!$C$3:$C$36,0)),H3581&lt;=INDEX(PEMAGANG!$K$3:$K$36,MATCH(B3581,PEMAGANG!$C$3:$C$36,0))),1,0),0)</f>
        <v>1</v>
      </c>
      <c r="W3581" s="71">
        <f t="shared" si="503"/>
        <v>0</v>
      </c>
    </row>
    <row r="3582" spans="1:23" x14ac:dyDescent="0.2">
      <c r="A3582" s="71" t="s">
        <v>225</v>
      </c>
      <c r="B3582" s="71" t="s">
        <v>226</v>
      </c>
      <c r="C3582" s="71" t="s">
        <v>187</v>
      </c>
      <c r="D3582" s="71" t="s">
        <v>224</v>
      </c>
      <c r="E3582" s="71" t="s">
        <v>52</v>
      </c>
      <c r="F3582" s="71" t="s">
        <v>298</v>
      </c>
      <c r="G3582" s="88">
        <v>46248.307858796303</v>
      </c>
      <c r="H3582" s="89">
        <v>46248</v>
      </c>
      <c r="I3582" s="71" t="s">
        <v>311</v>
      </c>
      <c r="J3582" s="71">
        <v>-6.9999999999999796</v>
      </c>
      <c r="K3582" s="71" t="s">
        <v>302</v>
      </c>
      <c r="L3582" s="71">
        <f t="shared" si="495"/>
        <v>8</v>
      </c>
      <c r="M3582" s="71" t="str">
        <f>IFERROR(INDEX(KALENDER!$D$3:$D$132,MATCH(H3582,KALENDER!$A$3:$A$132,0)),"Di luar periode")</f>
        <v>Hari Kerja</v>
      </c>
      <c r="N3582" s="71">
        <f t="shared" si="496"/>
        <v>1</v>
      </c>
      <c r="O3582" s="71">
        <f t="shared" si="497"/>
        <v>1</v>
      </c>
      <c r="P3582" s="71">
        <f t="shared" si="498"/>
        <v>1</v>
      </c>
      <c r="Q3582" s="71">
        <f t="shared" si="499"/>
        <v>0</v>
      </c>
      <c r="R3582" s="71">
        <f t="shared" si="500"/>
        <v>0</v>
      </c>
      <c r="S3582" s="71">
        <f t="shared" si="501"/>
        <v>0</v>
      </c>
      <c r="T3582" s="71">
        <f t="shared" si="502"/>
        <v>0</v>
      </c>
      <c r="U3582" s="71">
        <f>IF(AND(N3582=1,V3582=1),IF(COUNTIFS(AKTIVITAS!$B$2:$B$3052,B3582,AKTIVITAS!$E$2:$E$3052,H3582)&gt;0,1,0),0)</f>
        <v>1</v>
      </c>
      <c r="V3582" s="71">
        <f>IFERROR(IF(AND(H3582&gt;=INDEX(PEMAGANG!$J$3:$J$36,MATCH(B3582,PEMAGANG!$C$3:$C$36,0)),H3582&lt;=INDEX(PEMAGANG!$K$3:$K$36,MATCH(B3582,PEMAGANG!$C$3:$C$36,0))),1,0),0)</f>
        <v>1</v>
      </c>
      <c r="W3582" s="71">
        <f t="shared" si="503"/>
        <v>1</v>
      </c>
    </row>
    <row r="3583" spans="1:23" x14ac:dyDescent="0.2">
      <c r="A3583" s="71" t="s">
        <v>225</v>
      </c>
      <c r="B3583" s="71" t="s">
        <v>226</v>
      </c>
      <c r="C3583" s="71" t="s">
        <v>187</v>
      </c>
      <c r="D3583" s="71" t="s">
        <v>224</v>
      </c>
      <c r="E3583" s="71" t="s">
        <v>52</v>
      </c>
      <c r="F3583" s="71" t="s">
        <v>300</v>
      </c>
      <c r="G3583" s="88">
        <v>46248.689953703702</v>
      </c>
      <c r="H3583" s="89">
        <v>46248</v>
      </c>
      <c r="I3583" s="71" t="s">
        <v>316</v>
      </c>
      <c r="J3583" s="71">
        <v>0</v>
      </c>
      <c r="K3583" s="71" t="s">
        <v>302</v>
      </c>
      <c r="L3583" s="71">
        <f t="shared" si="495"/>
        <v>8</v>
      </c>
      <c r="M3583" s="71" t="str">
        <f>IFERROR(INDEX(KALENDER!$D$3:$D$132,MATCH(H3583,KALENDER!$A$3:$A$132,0)),"Di luar periode")</f>
        <v>Hari Kerja</v>
      </c>
      <c r="N3583" s="71">
        <f t="shared" si="496"/>
        <v>0</v>
      </c>
      <c r="O3583" s="71">
        <f t="shared" si="497"/>
        <v>1</v>
      </c>
      <c r="P3583" s="71">
        <f t="shared" si="498"/>
        <v>0</v>
      </c>
      <c r="Q3583" s="71">
        <f t="shared" si="499"/>
        <v>0</v>
      </c>
      <c r="R3583" s="71">
        <f t="shared" si="500"/>
        <v>0</v>
      </c>
      <c r="S3583" s="71">
        <f t="shared" si="501"/>
        <v>0</v>
      </c>
      <c r="T3583" s="71">
        <f t="shared" si="502"/>
        <v>0</v>
      </c>
      <c r="U3583" s="71">
        <f>IF(AND(N3583=1,V3583=1),IF(COUNTIFS(AKTIVITAS!$B$2:$B$3052,B3583,AKTIVITAS!$E$2:$E$3052,H3583)&gt;0,1,0),0)</f>
        <v>0</v>
      </c>
      <c r="V3583" s="71">
        <f>IFERROR(IF(AND(H3583&gt;=INDEX(PEMAGANG!$J$3:$J$36,MATCH(B3583,PEMAGANG!$C$3:$C$36,0)),H3583&lt;=INDEX(PEMAGANG!$K$3:$K$36,MATCH(B3583,PEMAGANG!$C$3:$C$36,0))),1,0),0)</f>
        <v>1</v>
      </c>
      <c r="W3583" s="71">
        <f t="shared" si="503"/>
        <v>0</v>
      </c>
    </row>
    <row r="3584" spans="1:23" x14ac:dyDescent="0.2">
      <c r="A3584" s="71" t="s">
        <v>225</v>
      </c>
      <c r="B3584" s="71" t="s">
        <v>226</v>
      </c>
      <c r="C3584" s="71" t="s">
        <v>187</v>
      </c>
      <c r="D3584" s="71" t="s">
        <v>224</v>
      </c>
      <c r="E3584" s="71" t="s">
        <v>52</v>
      </c>
      <c r="F3584" s="71" t="s">
        <v>298</v>
      </c>
      <c r="G3584" s="88">
        <v>46252.301689814798</v>
      </c>
      <c r="H3584" s="89">
        <v>46252</v>
      </c>
      <c r="I3584" s="71" t="s">
        <v>416</v>
      </c>
      <c r="J3584" s="71">
        <v>-16</v>
      </c>
      <c r="K3584" s="71" t="s">
        <v>302</v>
      </c>
      <c r="L3584" s="71">
        <f t="shared" si="495"/>
        <v>8</v>
      </c>
      <c r="M3584" s="71" t="str">
        <f>IFERROR(INDEX(KALENDER!$D$3:$D$132,MATCH(H3584,KALENDER!$A$3:$A$132,0)),"Di luar periode")</f>
        <v>Hari Kerja</v>
      </c>
      <c r="N3584" s="71">
        <f t="shared" si="496"/>
        <v>1</v>
      </c>
      <c r="O3584" s="71">
        <f t="shared" si="497"/>
        <v>1</v>
      </c>
      <c r="P3584" s="71">
        <f t="shared" si="498"/>
        <v>1</v>
      </c>
      <c r="Q3584" s="71">
        <f t="shared" si="499"/>
        <v>0</v>
      </c>
      <c r="R3584" s="71">
        <f t="shared" si="500"/>
        <v>0</v>
      </c>
      <c r="S3584" s="71">
        <f t="shared" si="501"/>
        <v>0</v>
      </c>
      <c r="T3584" s="71">
        <f t="shared" si="502"/>
        <v>0</v>
      </c>
      <c r="U3584" s="71">
        <f>IF(AND(N3584=1,V3584=1),IF(COUNTIFS(AKTIVITAS!$B$2:$B$3052,B3584,AKTIVITAS!$E$2:$E$3052,H3584)&gt;0,1,0),0)</f>
        <v>1</v>
      </c>
      <c r="V3584" s="71">
        <f>IFERROR(IF(AND(H3584&gt;=INDEX(PEMAGANG!$J$3:$J$36,MATCH(B3584,PEMAGANG!$C$3:$C$36,0)),H3584&lt;=INDEX(PEMAGANG!$K$3:$K$36,MATCH(B3584,PEMAGANG!$C$3:$C$36,0))),1,0),0)</f>
        <v>1</v>
      </c>
      <c r="W3584" s="71">
        <f t="shared" si="503"/>
        <v>1</v>
      </c>
    </row>
    <row r="3585" spans="1:23" x14ac:dyDescent="0.2">
      <c r="A3585" s="71" t="s">
        <v>225</v>
      </c>
      <c r="B3585" s="71" t="s">
        <v>226</v>
      </c>
      <c r="C3585" s="71" t="s">
        <v>187</v>
      </c>
      <c r="D3585" s="71" t="s">
        <v>224</v>
      </c>
      <c r="E3585" s="71" t="s">
        <v>52</v>
      </c>
      <c r="F3585" s="71" t="s">
        <v>300</v>
      </c>
      <c r="G3585" s="88">
        <v>46252.689270833303</v>
      </c>
      <c r="H3585" s="89">
        <v>46252</v>
      </c>
      <c r="I3585" s="71" t="s">
        <v>306</v>
      </c>
      <c r="J3585" s="71">
        <v>0</v>
      </c>
      <c r="K3585" s="71" t="s">
        <v>302</v>
      </c>
      <c r="L3585" s="71">
        <f t="shared" si="495"/>
        <v>8</v>
      </c>
      <c r="M3585" s="71" t="str">
        <f>IFERROR(INDEX(KALENDER!$D$3:$D$132,MATCH(H3585,KALENDER!$A$3:$A$132,0)),"Di luar periode")</f>
        <v>Hari Kerja</v>
      </c>
      <c r="N3585" s="71">
        <f t="shared" si="496"/>
        <v>0</v>
      </c>
      <c r="O3585" s="71">
        <f t="shared" si="497"/>
        <v>1</v>
      </c>
      <c r="P3585" s="71">
        <f t="shared" si="498"/>
        <v>0</v>
      </c>
      <c r="Q3585" s="71">
        <f t="shared" si="499"/>
        <v>0</v>
      </c>
      <c r="R3585" s="71">
        <f t="shared" si="500"/>
        <v>0</v>
      </c>
      <c r="S3585" s="71">
        <f t="shared" si="501"/>
        <v>0</v>
      </c>
      <c r="T3585" s="71">
        <f t="shared" si="502"/>
        <v>0</v>
      </c>
      <c r="U3585" s="71">
        <f>IF(AND(N3585=1,V3585=1),IF(COUNTIFS(AKTIVITAS!$B$2:$B$3052,B3585,AKTIVITAS!$E$2:$E$3052,H3585)&gt;0,1,0),0)</f>
        <v>0</v>
      </c>
      <c r="V3585" s="71">
        <f>IFERROR(IF(AND(H3585&gt;=INDEX(PEMAGANG!$J$3:$J$36,MATCH(B3585,PEMAGANG!$C$3:$C$36,0)),H3585&lt;=INDEX(PEMAGANG!$K$3:$K$36,MATCH(B3585,PEMAGANG!$C$3:$C$36,0))),1,0),0)</f>
        <v>1</v>
      </c>
      <c r="W3585" s="71">
        <f t="shared" si="503"/>
        <v>0</v>
      </c>
    </row>
    <row r="3586" spans="1:23" x14ac:dyDescent="0.2">
      <c r="A3586" s="71" t="s">
        <v>225</v>
      </c>
      <c r="B3586" s="71" t="s">
        <v>226</v>
      </c>
      <c r="C3586" s="71" t="s">
        <v>187</v>
      </c>
      <c r="D3586" s="71" t="s">
        <v>224</v>
      </c>
      <c r="E3586" s="71" t="s">
        <v>52</v>
      </c>
      <c r="F3586" s="71" t="s">
        <v>298</v>
      </c>
      <c r="G3586" s="88">
        <v>46253.305625000001</v>
      </c>
      <c r="H3586" s="89">
        <v>46253</v>
      </c>
      <c r="I3586" s="71" t="s">
        <v>329</v>
      </c>
      <c r="J3586" s="71">
        <v>-10</v>
      </c>
      <c r="K3586" s="71" t="s">
        <v>302</v>
      </c>
      <c r="L3586" s="71">
        <f t="shared" ref="L3586:L3649" si="504">MONTH(H3586)</f>
        <v>8</v>
      </c>
      <c r="M3586" s="71" t="str">
        <f>IFERROR(INDEX(KALENDER!$D$3:$D$132,MATCH(H3586,KALENDER!$A$3:$A$132,0)),"Di luar periode")</f>
        <v>Hari Kerja</v>
      </c>
      <c r="N3586" s="71">
        <f t="shared" ref="N3586:N3649" si="505">IF(AND(B3586=B3585,H3586=H3585),0,1)</f>
        <v>1</v>
      </c>
      <c r="O3586" s="71">
        <f t="shared" ref="O3586:O3649" si="506">IF(N3586=1,0,O3585)+IF(F3586="MASUK",1,0)</f>
        <v>1</v>
      </c>
      <c r="P3586" s="71">
        <f t="shared" ref="P3586:P3649" si="507">IF(AND(N3586=1,M3586="Hari Kerja",V3586=1),1,0)</f>
        <v>1</v>
      </c>
      <c r="Q3586" s="71">
        <f t="shared" ref="Q3586:Q3649" si="508">IF(AND(N3586=1,OR(M3586&lt;&gt;"Hari Kerja",V3586=0)),1,0)</f>
        <v>0</v>
      </c>
      <c r="R3586" s="71">
        <f t="shared" ref="R3586:R3649" si="509">IF(AND(F3586="MASUK",O3586=1,N(J3586)&gt;0,V3586=1),1,0)</f>
        <v>0</v>
      </c>
      <c r="S3586" s="71">
        <f t="shared" ref="S3586:S3649" si="510">R3586*N(J3586)</f>
        <v>0</v>
      </c>
      <c r="T3586" s="71">
        <f t="shared" ref="T3586:T3649" si="511">IF(AND(N3586=1,V3586=1),IF(AND(COUNTIFS($B$2:$B$4094,B3586,$H$2:$H$4094,H3586,$F$2:$F$4094,"MASUK")&gt;0,COUNTIFS($B$2:$B$4094,B3586,$H$2:$H$4094,H3586,$F$2:$F$4094,"PULANG")=0),1,0),0)</f>
        <v>0</v>
      </c>
      <c r="U3586" s="71">
        <f>IF(AND(N3586=1,V3586=1),IF(COUNTIFS(AKTIVITAS!$B$2:$B$3052,B3586,AKTIVITAS!$E$2:$E$3052,H3586)&gt;0,1,0),0)</f>
        <v>1</v>
      </c>
      <c r="V3586" s="71">
        <f>IFERROR(IF(AND(H3586&gt;=INDEX(PEMAGANG!$J$3:$J$36,MATCH(B3586,PEMAGANG!$C$3:$C$36,0)),H3586&lt;=INDEX(PEMAGANG!$K$3:$K$36,MATCH(B3586,PEMAGANG!$C$3:$C$36,0))),1,0),0)</f>
        <v>1</v>
      </c>
      <c r="W3586" s="71">
        <f t="shared" ref="W3586:W3649" si="512">N3586*V3586</f>
        <v>1</v>
      </c>
    </row>
    <row r="3587" spans="1:23" x14ac:dyDescent="0.2">
      <c r="A3587" s="71" t="s">
        <v>225</v>
      </c>
      <c r="B3587" s="71" t="s">
        <v>226</v>
      </c>
      <c r="C3587" s="71" t="s">
        <v>187</v>
      </c>
      <c r="D3587" s="71" t="s">
        <v>224</v>
      </c>
      <c r="E3587" s="71" t="s">
        <v>52</v>
      </c>
      <c r="F3587" s="71" t="s">
        <v>300</v>
      </c>
      <c r="G3587" s="88">
        <v>46253.688738425903</v>
      </c>
      <c r="H3587" s="89">
        <v>46253</v>
      </c>
      <c r="I3587" s="71" t="s">
        <v>336</v>
      </c>
      <c r="J3587" s="71">
        <v>0</v>
      </c>
      <c r="K3587" s="71" t="s">
        <v>302</v>
      </c>
      <c r="L3587" s="71">
        <f t="shared" si="504"/>
        <v>8</v>
      </c>
      <c r="M3587" s="71" t="str">
        <f>IFERROR(INDEX(KALENDER!$D$3:$D$132,MATCH(H3587,KALENDER!$A$3:$A$132,0)),"Di luar periode")</f>
        <v>Hari Kerja</v>
      </c>
      <c r="N3587" s="71">
        <f t="shared" si="505"/>
        <v>0</v>
      </c>
      <c r="O3587" s="71">
        <f t="shared" si="506"/>
        <v>1</v>
      </c>
      <c r="P3587" s="71">
        <f t="shared" si="507"/>
        <v>0</v>
      </c>
      <c r="Q3587" s="71">
        <f t="shared" si="508"/>
        <v>0</v>
      </c>
      <c r="R3587" s="71">
        <f t="shared" si="509"/>
        <v>0</v>
      </c>
      <c r="S3587" s="71">
        <f t="shared" si="510"/>
        <v>0</v>
      </c>
      <c r="T3587" s="71">
        <f t="shared" si="511"/>
        <v>0</v>
      </c>
      <c r="U3587" s="71">
        <f>IF(AND(N3587=1,V3587=1),IF(COUNTIFS(AKTIVITAS!$B$2:$B$3052,B3587,AKTIVITAS!$E$2:$E$3052,H3587)&gt;0,1,0),0)</f>
        <v>0</v>
      </c>
      <c r="V3587" s="71">
        <f>IFERROR(IF(AND(H3587&gt;=INDEX(PEMAGANG!$J$3:$J$36,MATCH(B3587,PEMAGANG!$C$3:$C$36,0)),H3587&lt;=INDEX(PEMAGANG!$K$3:$K$36,MATCH(B3587,PEMAGANG!$C$3:$C$36,0))),1,0),0)</f>
        <v>1</v>
      </c>
      <c r="W3587" s="71">
        <f t="shared" si="512"/>
        <v>0</v>
      </c>
    </row>
    <row r="3588" spans="1:23" x14ac:dyDescent="0.2">
      <c r="A3588" s="71" t="s">
        <v>225</v>
      </c>
      <c r="B3588" s="71" t="s">
        <v>226</v>
      </c>
      <c r="C3588" s="71" t="s">
        <v>187</v>
      </c>
      <c r="D3588" s="71" t="s">
        <v>224</v>
      </c>
      <c r="E3588" s="71" t="s">
        <v>52</v>
      </c>
      <c r="F3588" s="71" t="s">
        <v>298</v>
      </c>
      <c r="G3588" s="88">
        <v>46254.3074305556</v>
      </c>
      <c r="H3588" s="89">
        <v>46254</v>
      </c>
      <c r="I3588" s="71" t="s">
        <v>313</v>
      </c>
      <c r="J3588" s="71">
        <v>-8.0000000000000497</v>
      </c>
      <c r="K3588" s="71" t="s">
        <v>302</v>
      </c>
      <c r="L3588" s="71">
        <f t="shared" si="504"/>
        <v>8</v>
      </c>
      <c r="M3588" s="71" t="str">
        <f>IFERROR(INDEX(KALENDER!$D$3:$D$132,MATCH(H3588,KALENDER!$A$3:$A$132,0)),"Di luar periode")</f>
        <v>Hari Kerja</v>
      </c>
      <c r="N3588" s="71">
        <f t="shared" si="505"/>
        <v>1</v>
      </c>
      <c r="O3588" s="71">
        <f t="shared" si="506"/>
        <v>1</v>
      </c>
      <c r="P3588" s="71">
        <f t="shared" si="507"/>
        <v>1</v>
      </c>
      <c r="Q3588" s="71">
        <f t="shared" si="508"/>
        <v>0</v>
      </c>
      <c r="R3588" s="71">
        <f t="shared" si="509"/>
        <v>0</v>
      </c>
      <c r="S3588" s="71">
        <f t="shared" si="510"/>
        <v>0</v>
      </c>
      <c r="T3588" s="71">
        <f t="shared" si="511"/>
        <v>0</v>
      </c>
      <c r="U3588" s="71">
        <f>IF(AND(N3588=1,V3588=1),IF(COUNTIFS(AKTIVITAS!$B$2:$B$3052,B3588,AKTIVITAS!$E$2:$E$3052,H3588)&gt;0,1,0),0)</f>
        <v>1</v>
      </c>
      <c r="V3588" s="71">
        <f>IFERROR(IF(AND(H3588&gt;=INDEX(PEMAGANG!$J$3:$J$36,MATCH(B3588,PEMAGANG!$C$3:$C$36,0)),H3588&lt;=INDEX(PEMAGANG!$K$3:$K$36,MATCH(B3588,PEMAGANG!$C$3:$C$36,0))),1,0),0)</f>
        <v>1</v>
      </c>
      <c r="W3588" s="71">
        <f t="shared" si="512"/>
        <v>1</v>
      </c>
    </row>
    <row r="3589" spans="1:23" x14ac:dyDescent="0.2">
      <c r="A3589" s="71" t="s">
        <v>225</v>
      </c>
      <c r="B3589" s="71" t="s">
        <v>226</v>
      </c>
      <c r="C3589" s="71" t="s">
        <v>187</v>
      </c>
      <c r="D3589" s="71" t="s">
        <v>224</v>
      </c>
      <c r="E3589" s="71" t="s">
        <v>52</v>
      </c>
      <c r="F3589" s="71" t="s">
        <v>300</v>
      </c>
      <c r="G3589" s="88">
        <v>46254.689328703702</v>
      </c>
      <c r="H3589" s="89">
        <v>46254</v>
      </c>
      <c r="I3589" s="71" t="s">
        <v>306</v>
      </c>
      <c r="J3589" s="71">
        <v>0</v>
      </c>
      <c r="K3589" s="71" t="s">
        <v>302</v>
      </c>
      <c r="L3589" s="71">
        <f t="shared" si="504"/>
        <v>8</v>
      </c>
      <c r="M3589" s="71" t="str">
        <f>IFERROR(INDEX(KALENDER!$D$3:$D$132,MATCH(H3589,KALENDER!$A$3:$A$132,0)),"Di luar periode")</f>
        <v>Hari Kerja</v>
      </c>
      <c r="N3589" s="71">
        <f t="shared" si="505"/>
        <v>0</v>
      </c>
      <c r="O3589" s="71">
        <f t="shared" si="506"/>
        <v>1</v>
      </c>
      <c r="P3589" s="71">
        <f t="shared" si="507"/>
        <v>0</v>
      </c>
      <c r="Q3589" s="71">
        <f t="shared" si="508"/>
        <v>0</v>
      </c>
      <c r="R3589" s="71">
        <f t="shared" si="509"/>
        <v>0</v>
      </c>
      <c r="S3589" s="71">
        <f t="shared" si="510"/>
        <v>0</v>
      </c>
      <c r="T3589" s="71">
        <f t="shared" si="511"/>
        <v>0</v>
      </c>
      <c r="U3589" s="71">
        <f>IF(AND(N3589=1,V3589=1),IF(COUNTIFS(AKTIVITAS!$B$2:$B$3052,B3589,AKTIVITAS!$E$2:$E$3052,H3589)&gt;0,1,0),0)</f>
        <v>0</v>
      </c>
      <c r="V3589" s="71">
        <f>IFERROR(IF(AND(H3589&gt;=INDEX(PEMAGANG!$J$3:$J$36,MATCH(B3589,PEMAGANG!$C$3:$C$36,0)),H3589&lt;=INDEX(PEMAGANG!$K$3:$K$36,MATCH(B3589,PEMAGANG!$C$3:$C$36,0))),1,0),0)</f>
        <v>1</v>
      </c>
      <c r="W3589" s="71">
        <f t="shared" si="512"/>
        <v>0</v>
      </c>
    </row>
    <row r="3590" spans="1:23" x14ac:dyDescent="0.2">
      <c r="A3590" s="71" t="s">
        <v>225</v>
      </c>
      <c r="B3590" s="71" t="s">
        <v>226</v>
      </c>
      <c r="C3590" s="71" t="s">
        <v>187</v>
      </c>
      <c r="D3590" s="71" t="s">
        <v>224</v>
      </c>
      <c r="E3590" s="71" t="s">
        <v>52</v>
      </c>
      <c r="F3590" s="71" t="s">
        <v>298</v>
      </c>
      <c r="G3590" s="88">
        <v>46255.3039236111</v>
      </c>
      <c r="H3590" s="89">
        <v>46255</v>
      </c>
      <c r="I3590" s="71" t="s">
        <v>331</v>
      </c>
      <c r="J3590" s="71">
        <v>-43</v>
      </c>
      <c r="K3590" s="71" t="s">
        <v>302</v>
      </c>
      <c r="L3590" s="71">
        <f t="shared" si="504"/>
        <v>8</v>
      </c>
      <c r="M3590" s="71" t="str">
        <f>IFERROR(INDEX(KALENDER!$D$3:$D$132,MATCH(H3590,KALENDER!$A$3:$A$132,0)),"Di luar periode")</f>
        <v>Hari Kerja</v>
      </c>
      <c r="N3590" s="71">
        <f t="shared" si="505"/>
        <v>1</v>
      </c>
      <c r="O3590" s="71">
        <f t="shared" si="506"/>
        <v>1</v>
      </c>
      <c r="P3590" s="71">
        <f t="shared" si="507"/>
        <v>1</v>
      </c>
      <c r="Q3590" s="71">
        <f t="shared" si="508"/>
        <v>0</v>
      </c>
      <c r="R3590" s="71">
        <f t="shared" si="509"/>
        <v>0</v>
      </c>
      <c r="S3590" s="71">
        <f t="shared" si="510"/>
        <v>0</v>
      </c>
      <c r="T3590" s="71">
        <f t="shared" si="511"/>
        <v>0</v>
      </c>
      <c r="U3590" s="71">
        <f>IF(AND(N3590=1,V3590=1),IF(COUNTIFS(AKTIVITAS!$B$2:$B$3052,B3590,AKTIVITAS!$E$2:$E$3052,H3590)&gt;0,1,0),0)</f>
        <v>1</v>
      </c>
      <c r="V3590" s="71">
        <f>IFERROR(IF(AND(H3590&gt;=INDEX(PEMAGANG!$J$3:$J$36,MATCH(B3590,PEMAGANG!$C$3:$C$36,0)),H3590&lt;=INDEX(PEMAGANG!$K$3:$K$36,MATCH(B3590,PEMAGANG!$C$3:$C$36,0))),1,0),0)</f>
        <v>1</v>
      </c>
      <c r="W3590" s="71">
        <f t="shared" si="512"/>
        <v>1</v>
      </c>
    </row>
    <row r="3591" spans="1:23" x14ac:dyDescent="0.2">
      <c r="A3591" s="71" t="s">
        <v>225</v>
      </c>
      <c r="B3591" s="71" t="s">
        <v>226</v>
      </c>
      <c r="C3591" s="71" t="s">
        <v>187</v>
      </c>
      <c r="D3591" s="71" t="s">
        <v>224</v>
      </c>
      <c r="E3591" s="71" t="s">
        <v>52</v>
      </c>
      <c r="F3591" s="71" t="s">
        <v>300</v>
      </c>
      <c r="G3591" s="88">
        <v>46255.688750000001</v>
      </c>
      <c r="H3591" s="89">
        <v>46255</v>
      </c>
      <c r="I3591" s="71" t="s">
        <v>336</v>
      </c>
      <c r="J3591" s="71">
        <v>0</v>
      </c>
      <c r="K3591" s="71" t="s">
        <v>302</v>
      </c>
      <c r="L3591" s="71">
        <f t="shared" si="504"/>
        <v>8</v>
      </c>
      <c r="M3591" s="71" t="str">
        <f>IFERROR(INDEX(KALENDER!$D$3:$D$132,MATCH(H3591,KALENDER!$A$3:$A$132,0)),"Di luar periode")</f>
        <v>Hari Kerja</v>
      </c>
      <c r="N3591" s="71">
        <f t="shared" si="505"/>
        <v>0</v>
      </c>
      <c r="O3591" s="71">
        <f t="shared" si="506"/>
        <v>1</v>
      </c>
      <c r="P3591" s="71">
        <f t="shared" si="507"/>
        <v>0</v>
      </c>
      <c r="Q3591" s="71">
        <f t="shared" si="508"/>
        <v>0</v>
      </c>
      <c r="R3591" s="71">
        <f t="shared" si="509"/>
        <v>0</v>
      </c>
      <c r="S3591" s="71">
        <f t="shared" si="510"/>
        <v>0</v>
      </c>
      <c r="T3591" s="71">
        <f t="shared" si="511"/>
        <v>0</v>
      </c>
      <c r="U3591" s="71">
        <f>IF(AND(N3591=1,V3591=1),IF(COUNTIFS(AKTIVITAS!$B$2:$B$3052,B3591,AKTIVITAS!$E$2:$E$3052,H3591)&gt;0,1,0),0)</f>
        <v>0</v>
      </c>
      <c r="V3591" s="71">
        <f>IFERROR(IF(AND(H3591&gt;=INDEX(PEMAGANG!$J$3:$J$36,MATCH(B3591,PEMAGANG!$C$3:$C$36,0)),H3591&lt;=INDEX(PEMAGANG!$K$3:$K$36,MATCH(B3591,PEMAGANG!$C$3:$C$36,0))),1,0),0)</f>
        <v>1</v>
      </c>
      <c r="W3591" s="71">
        <f t="shared" si="512"/>
        <v>0</v>
      </c>
    </row>
    <row r="3592" spans="1:23" x14ac:dyDescent="0.2">
      <c r="A3592" s="71" t="s">
        <v>225</v>
      </c>
      <c r="B3592" s="71" t="s">
        <v>226</v>
      </c>
      <c r="C3592" s="71" t="s">
        <v>187</v>
      </c>
      <c r="D3592" s="71" t="s">
        <v>224</v>
      </c>
      <c r="E3592" s="71" t="s">
        <v>52</v>
      </c>
      <c r="F3592" s="71" t="s">
        <v>298</v>
      </c>
      <c r="G3592" s="88">
        <v>46258.302696759303</v>
      </c>
      <c r="H3592" s="89">
        <v>46258</v>
      </c>
      <c r="I3592" s="71" t="s">
        <v>370</v>
      </c>
      <c r="J3592" s="71">
        <v>-45</v>
      </c>
      <c r="K3592" s="71" t="s">
        <v>302</v>
      </c>
      <c r="L3592" s="71">
        <f t="shared" si="504"/>
        <v>8</v>
      </c>
      <c r="M3592" s="71" t="str">
        <f>IFERROR(INDEX(KALENDER!$D$3:$D$132,MATCH(H3592,KALENDER!$A$3:$A$132,0)),"Di luar periode")</f>
        <v>Hari Kerja</v>
      </c>
      <c r="N3592" s="71">
        <f t="shared" si="505"/>
        <v>1</v>
      </c>
      <c r="O3592" s="71">
        <f t="shared" si="506"/>
        <v>1</v>
      </c>
      <c r="P3592" s="71">
        <f t="shared" si="507"/>
        <v>1</v>
      </c>
      <c r="Q3592" s="71">
        <f t="shared" si="508"/>
        <v>0</v>
      </c>
      <c r="R3592" s="71">
        <f t="shared" si="509"/>
        <v>0</v>
      </c>
      <c r="S3592" s="71">
        <f t="shared" si="510"/>
        <v>0</v>
      </c>
      <c r="T3592" s="71">
        <f t="shared" si="511"/>
        <v>0</v>
      </c>
      <c r="U3592" s="71">
        <f>IF(AND(N3592=1,V3592=1),IF(COUNTIFS(AKTIVITAS!$B$2:$B$3052,B3592,AKTIVITAS!$E$2:$E$3052,H3592)&gt;0,1,0),0)</f>
        <v>1</v>
      </c>
      <c r="V3592" s="71">
        <f>IFERROR(IF(AND(H3592&gt;=INDEX(PEMAGANG!$J$3:$J$36,MATCH(B3592,PEMAGANG!$C$3:$C$36,0)),H3592&lt;=INDEX(PEMAGANG!$K$3:$K$36,MATCH(B3592,PEMAGANG!$C$3:$C$36,0))),1,0),0)</f>
        <v>1</v>
      </c>
      <c r="W3592" s="71">
        <f t="shared" si="512"/>
        <v>1</v>
      </c>
    </row>
    <row r="3593" spans="1:23" x14ac:dyDescent="0.2">
      <c r="A3593" s="71" t="s">
        <v>225</v>
      </c>
      <c r="B3593" s="71" t="s">
        <v>226</v>
      </c>
      <c r="C3593" s="71" t="s">
        <v>187</v>
      </c>
      <c r="D3593" s="71" t="s">
        <v>224</v>
      </c>
      <c r="E3593" s="71" t="s">
        <v>52</v>
      </c>
      <c r="F3593" s="71" t="s">
        <v>300</v>
      </c>
      <c r="G3593" s="88">
        <v>46258.689965277801</v>
      </c>
      <c r="H3593" s="89">
        <v>46258</v>
      </c>
      <c r="I3593" s="71" t="s">
        <v>316</v>
      </c>
      <c r="J3593" s="71">
        <v>0</v>
      </c>
      <c r="K3593" s="71" t="s">
        <v>302</v>
      </c>
      <c r="L3593" s="71">
        <f t="shared" si="504"/>
        <v>8</v>
      </c>
      <c r="M3593" s="71" t="str">
        <f>IFERROR(INDEX(KALENDER!$D$3:$D$132,MATCH(H3593,KALENDER!$A$3:$A$132,0)),"Di luar periode")</f>
        <v>Hari Kerja</v>
      </c>
      <c r="N3593" s="71">
        <f t="shared" si="505"/>
        <v>0</v>
      </c>
      <c r="O3593" s="71">
        <f t="shared" si="506"/>
        <v>1</v>
      </c>
      <c r="P3593" s="71">
        <f t="shared" si="507"/>
        <v>0</v>
      </c>
      <c r="Q3593" s="71">
        <f t="shared" si="508"/>
        <v>0</v>
      </c>
      <c r="R3593" s="71">
        <f t="shared" si="509"/>
        <v>0</v>
      </c>
      <c r="S3593" s="71">
        <f t="shared" si="510"/>
        <v>0</v>
      </c>
      <c r="T3593" s="71">
        <f t="shared" si="511"/>
        <v>0</v>
      </c>
      <c r="U3593" s="71">
        <f>IF(AND(N3593=1,V3593=1),IF(COUNTIFS(AKTIVITAS!$B$2:$B$3052,B3593,AKTIVITAS!$E$2:$E$3052,H3593)&gt;0,1,0),0)</f>
        <v>0</v>
      </c>
      <c r="V3593" s="71">
        <f>IFERROR(IF(AND(H3593&gt;=INDEX(PEMAGANG!$J$3:$J$36,MATCH(B3593,PEMAGANG!$C$3:$C$36,0)),H3593&lt;=INDEX(PEMAGANG!$K$3:$K$36,MATCH(B3593,PEMAGANG!$C$3:$C$36,0))),1,0),0)</f>
        <v>1</v>
      </c>
      <c r="W3593" s="71">
        <f t="shared" si="512"/>
        <v>0</v>
      </c>
    </row>
    <row r="3594" spans="1:23" x14ac:dyDescent="0.2">
      <c r="A3594" s="71" t="s">
        <v>225</v>
      </c>
      <c r="B3594" s="71" t="s">
        <v>226</v>
      </c>
      <c r="C3594" s="71" t="s">
        <v>187</v>
      </c>
      <c r="D3594" s="71" t="s">
        <v>224</v>
      </c>
      <c r="E3594" s="71" t="s">
        <v>52</v>
      </c>
      <c r="F3594" s="71" t="s">
        <v>298</v>
      </c>
      <c r="G3594" s="88">
        <v>46260.302060185197</v>
      </c>
      <c r="H3594" s="89">
        <v>46260</v>
      </c>
      <c r="I3594" s="71" t="s">
        <v>416</v>
      </c>
      <c r="J3594" s="71">
        <v>-46</v>
      </c>
      <c r="K3594" s="71" t="s">
        <v>302</v>
      </c>
      <c r="L3594" s="71">
        <f t="shared" si="504"/>
        <v>8</v>
      </c>
      <c r="M3594" s="71" t="str">
        <f>IFERROR(INDEX(KALENDER!$D$3:$D$132,MATCH(H3594,KALENDER!$A$3:$A$132,0)),"Di luar periode")</f>
        <v>Hari Kerja</v>
      </c>
      <c r="N3594" s="71">
        <f t="shared" si="505"/>
        <v>1</v>
      </c>
      <c r="O3594" s="71">
        <f t="shared" si="506"/>
        <v>1</v>
      </c>
      <c r="P3594" s="71">
        <f t="shared" si="507"/>
        <v>1</v>
      </c>
      <c r="Q3594" s="71">
        <f t="shared" si="508"/>
        <v>0</v>
      </c>
      <c r="R3594" s="71">
        <f t="shared" si="509"/>
        <v>0</v>
      </c>
      <c r="S3594" s="71">
        <f t="shared" si="510"/>
        <v>0</v>
      </c>
      <c r="T3594" s="71">
        <f t="shared" si="511"/>
        <v>0</v>
      </c>
      <c r="U3594" s="71">
        <f>IF(AND(N3594=1,V3594=1),IF(COUNTIFS(AKTIVITAS!$B$2:$B$3052,B3594,AKTIVITAS!$E$2:$E$3052,H3594)&gt;0,1,0),0)</f>
        <v>1</v>
      </c>
      <c r="V3594" s="71">
        <f>IFERROR(IF(AND(H3594&gt;=INDEX(PEMAGANG!$J$3:$J$36,MATCH(B3594,PEMAGANG!$C$3:$C$36,0)),H3594&lt;=INDEX(PEMAGANG!$K$3:$K$36,MATCH(B3594,PEMAGANG!$C$3:$C$36,0))),1,0),0)</f>
        <v>1</v>
      </c>
      <c r="W3594" s="71">
        <f t="shared" si="512"/>
        <v>1</v>
      </c>
    </row>
    <row r="3595" spans="1:23" x14ac:dyDescent="0.2">
      <c r="A3595" s="71" t="s">
        <v>225</v>
      </c>
      <c r="B3595" s="71" t="s">
        <v>226</v>
      </c>
      <c r="C3595" s="71" t="s">
        <v>187</v>
      </c>
      <c r="D3595" s="71" t="s">
        <v>224</v>
      </c>
      <c r="E3595" s="71" t="s">
        <v>52</v>
      </c>
      <c r="F3595" s="71" t="s">
        <v>300</v>
      </c>
      <c r="G3595" s="88">
        <v>46260.693726851903</v>
      </c>
      <c r="H3595" s="89">
        <v>46260</v>
      </c>
      <c r="I3595" s="71" t="s">
        <v>317</v>
      </c>
      <c r="J3595" s="71">
        <v>0</v>
      </c>
      <c r="K3595" s="71" t="s">
        <v>302</v>
      </c>
      <c r="L3595" s="71">
        <f t="shared" si="504"/>
        <v>8</v>
      </c>
      <c r="M3595" s="71" t="str">
        <f>IFERROR(INDEX(KALENDER!$D$3:$D$132,MATCH(H3595,KALENDER!$A$3:$A$132,0)),"Di luar periode")</f>
        <v>Hari Kerja</v>
      </c>
      <c r="N3595" s="71">
        <f t="shared" si="505"/>
        <v>0</v>
      </c>
      <c r="O3595" s="71">
        <f t="shared" si="506"/>
        <v>1</v>
      </c>
      <c r="P3595" s="71">
        <f t="shared" si="507"/>
        <v>0</v>
      </c>
      <c r="Q3595" s="71">
        <f t="shared" si="508"/>
        <v>0</v>
      </c>
      <c r="R3595" s="71">
        <f t="shared" si="509"/>
        <v>0</v>
      </c>
      <c r="S3595" s="71">
        <f t="shared" si="510"/>
        <v>0</v>
      </c>
      <c r="T3595" s="71">
        <f t="shared" si="511"/>
        <v>0</v>
      </c>
      <c r="U3595" s="71">
        <f>IF(AND(N3595=1,V3595=1),IF(COUNTIFS(AKTIVITAS!$B$2:$B$3052,B3595,AKTIVITAS!$E$2:$E$3052,H3595)&gt;0,1,0),0)</f>
        <v>0</v>
      </c>
      <c r="V3595" s="71">
        <f>IFERROR(IF(AND(H3595&gt;=INDEX(PEMAGANG!$J$3:$J$36,MATCH(B3595,PEMAGANG!$C$3:$C$36,0)),H3595&lt;=INDEX(PEMAGANG!$K$3:$K$36,MATCH(B3595,PEMAGANG!$C$3:$C$36,0))),1,0),0)</f>
        <v>1</v>
      </c>
      <c r="W3595" s="71">
        <f t="shared" si="512"/>
        <v>0</v>
      </c>
    </row>
    <row r="3596" spans="1:23" x14ac:dyDescent="0.2">
      <c r="A3596" s="71" t="s">
        <v>225</v>
      </c>
      <c r="B3596" s="71" t="s">
        <v>226</v>
      </c>
      <c r="C3596" s="71" t="s">
        <v>187</v>
      </c>
      <c r="D3596" s="71" t="s">
        <v>224</v>
      </c>
      <c r="E3596" s="71" t="s">
        <v>52</v>
      </c>
      <c r="F3596" s="71" t="s">
        <v>298</v>
      </c>
      <c r="G3596" s="88">
        <v>46261.302280092597</v>
      </c>
      <c r="H3596" s="89">
        <v>46261</v>
      </c>
      <c r="I3596" s="71" t="s">
        <v>370</v>
      </c>
      <c r="J3596" s="71">
        <v>-45</v>
      </c>
      <c r="K3596" s="71" t="s">
        <v>302</v>
      </c>
      <c r="L3596" s="71">
        <f t="shared" si="504"/>
        <v>8</v>
      </c>
      <c r="M3596" s="71" t="str">
        <f>IFERROR(INDEX(KALENDER!$D$3:$D$132,MATCH(H3596,KALENDER!$A$3:$A$132,0)),"Di luar periode")</f>
        <v>Hari Kerja</v>
      </c>
      <c r="N3596" s="71">
        <f t="shared" si="505"/>
        <v>1</v>
      </c>
      <c r="O3596" s="71">
        <f t="shared" si="506"/>
        <v>1</v>
      </c>
      <c r="P3596" s="71">
        <f t="shared" si="507"/>
        <v>1</v>
      </c>
      <c r="Q3596" s="71">
        <f t="shared" si="508"/>
        <v>0</v>
      </c>
      <c r="R3596" s="71">
        <f t="shared" si="509"/>
        <v>0</v>
      </c>
      <c r="S3596" s="71">
        <f t="shared" si="510"/>
        <v>0</v>
      </c>
      <c r="T3596" s="71">
        <f t="shared" si="511"/>
        <v>0</v>
      </c>
      <c r="U3596" s="71">
        <f>IF(AND(N3596=1,V3596=1),IF(COUNTIFS(AKTIVITAS!$B$2:$B$3052,B3596,AKTIVITAS!$E$2:$E$3052,H3596)&gt;0,1,0),0)</f>
        <v>1</v>
      </c>
      <c r="V3596" s="71">
        <f>IFERROR(IF(AND(H3596&gt;=INDEX(PEMAGANG!$J$3:$J$36,MATCH(B3596,PEMAGANG!$C$3:$C$36,0)),H3596&lt;=INDEX(PEMAGANG!$K$3:$K$36,MATCH(B3596,PEMAGANG!$C$3:$C$36,0))),1,0),0)</f>
        <v>1</v>
      </c>
      <c r="W3596" s="71">
        <f t="shared" si="512"/>
        <v>1</v>
      </c>
    </row>
    <row r="3597" spans="1:23" x14ac:dyDescent="0.2">
      <c r="A3597" s="71" t="s">
        <v>225</v>
      </c>
      <c r="B3597" s="71" t="s">
        <v>226</v>
      </c>
      <c r="C3597" s="71" t="s">
        <v>187</v>
      </c>
      <c r="D3597" s="71" t="s">
        <v>224</v>
      </c>
      <c r="E3597" s="71" t="s">
        <v>52</v>
      </c>
      <c r="F3597" s="71" t="s">
        <v>300</v>
      </c>
      <c r="G3597" s="88">
        <v>46261.689664351899</v>
      </c>
      <c r="H3597" s="89">
        <v>46261</v>
      </c>
      <c r="I3597" s="71" t="s">
        <v>316</v>
      </c>
      <c r="J3597" s="71">
        <v>0</v>
      </c>
      <c r="K3597" s="71" t="s">
        <v>302</v>
      </c>
      <c r="L3597" s="71">
        <f t="shared" si="504"/>
        <v>8</v>
      </c>
      <c r="M3597" s="71" t="str">
        <f>IFERROR(INDEX(KALENDER!$D$3:$D$132,MATCH(H3597,KALENDER!$A$3:$A$132,0)),"Di luar periode")</f>
        <v>Hari Kerja</v>
      </c>
      <c r="N3597" s="71">
        <f t="shared" si="505"/>
        <v>0</v>
      </c>
      <c r="O3597" s="71">
        <f t="shared" si="506"/>
        <v>1</v>
      </c>
      <c r="P3597" s="71">
        <f t="shared" si="507"/>
        <v>0</v>
      </c>
      <c r="Q3597" s="71">
        <f t="shared" si="508"/>
        <v>0</v>
      </c>
      <c r="R3597" s="71">
        <f t="shared" si="509"/>
        <v>0</v>
      </c>
      <c r="S3597" s="71">
        <f t="shared" si="510"/>
        <v>0</v>
      </c>
      <c r="T3597" s="71">
        <f t="shared" si="511"/>
        <v>0</v>
      </c>
      <c r="U3597" s="71">
        <f>IF(AND(N3597=1,V3597=1),IF(COUNTIFS(AKTIVITAS!$B$2:$B$3052,B3597,AKTIVITAS!$E$2:$E$3052,H3597)&gt;0,1,0),0)</f>
        <v>0</v>
      </c>
      <c r="V3597" s="71">
        <f>IFERROR(IF(AND(H3597&gt;=INDEX(PEMAGANG!$J$3:$J$36,MATCH(B3597,PEMAGANG!$C$3:$C$36,0)),H3597&lt;=INDEX(PEMAGANG!$K$3:$K$36,MATCH(B3597,PEMAGANG!$C$3:$C$36,0))),1,0),0)</f>
        <v>1</v>
      </c>
      <c r="W3597" s="71">
        <f t="shared" si="512"/>
        <v>0</v>
      </c>
    </row>
    <row r="3598" spans="1:23" x14ac:dyDescent="0.2">
      <c r="A3598" s="71" t="s">
        <v>225</v>
      </c>
      <c r="B3598" s="71" t="s">
        <v>226</v>
      </c>
      <c r="C3598" s="71" t="s">
        <v>187</v>
      </c>
      <c r="D3598" s="71" t="s">
        <v>224</v>
      </c>
      <c r="E3598" s="71" t="s">
        <v>52</v>
      </c>
      <c r="F3598" s="71" t="s">
        <v>298</v>
      </c>
      <c r="G3598" s="88">
        <v>46262.302534722199</v>
      </c>
      <c r="H3598" s="89">
        <v>46262</v>
      </c>
      <c r="I3598" s="71" t="s">
        <v>370</v>
      </c>
      <c r="J3598" s="71">
        <v>-45</v>
      </c>
      <c r="K3598" s="71" t="s">
        <v>302</v>
      </c>
      <c r="L3598" s="71">
        <f t="shared" si="504"/>
        <v>8</v>
      </c>
      <c r="M3598" s="71" t="str">
        <f>IFERROR(INDEX(KALENDER!$D$3:$D$132,MATCH(H3598,KALENDER!$A$3:$A$132,0)),"Di luar periode")</f>
        <v>Hari Kerja</v>
      </c>
      <c r="N3598" s="71">
        <f t="shared" si="505"/>
        <v>1</v>
      </c>
      <c r="O3598" s="71">
        <f t="shared" si="506"/>
        <v>1</v>
      </c>
      <c r="P3598" s="71">
        <f t="shared" si="507"/>
        <v>1</v>
      </c>
      <c r="Q3598" s="71">
        <f t="shared" si="508"/>
        <v>0</v>
      </c>
      <c r="R3598" s="71">
        <f t="shared" si="509"/>
        <v>0</v>
      </c>
      <c r="S3598" s="71">
        <f t="shared" si="510"/>
        <v>0</v>
      </c>
      <c r="T3598" s="71">
        <f t="shared" si="511"/>
        <v>0</v>
      </c>
      <c r="U3598" s="71">
        <f>IF(AND(N3598=1,V3598=1),IF(COUNTIFS(AKTIVITAS!$B$2:$B$3052,B3598,AKTIVITAS!$E$2:$E$3052,H3598)&gt;0,1,0),0)</f>
        <v>1</v>
      </c>
      <c r="V3598" s="71">
        <f>IFERROR(IF(AND(H3598&gt;=INDEX(PEMAGANG!$J$3:$J$36,MATCH(B3598,PEMAGANG!$C$3:$C$36,0)),H3598&lt;=INDEX(PEMAGANG!$K$3:$K$36,MATCH(B3598,PEMAGANG!$C$3:$C$36,0))),1,0),0)</f>
        <v>1</v>
      </c>
      <c r="W3598" s="71">
        <f t="shared" si="512"/>
        <v>1</v>
      </c>
    </row>
    <row r="3599" spans="1:23" x14ac:dyDescent="0.2">
      <c r="A3599" s="71" t="s">
        <v>225</v>
      </c>
      <c r="B3599" s="71" t="s">
        <v>226</v>
      </c>
      <c r="C3599" s="71" t="s">
        <v>187</v>
      </c>
      <c r="D3599" s="71" t="s">
        <v>224</v>
      </c>
      <c r="E3599" s="71" t="s">
        <v>52</v>
      </c>
      <c r="F3599" s="71" t="s">
        <v>300</v>
      </c>
      <c r="G3599" s="88">
        <v>46262.698298611103</v>
      </c>
      <c r="H3599" s="89">
        <v>46262</v>
      </c>
      <c r="I3599" s="71" t="s">
        <v>318</v>
      </c>
      <c r="J3599" s="71">
        <v>0</v>
      </c>
      <c r="K3599" s="71" t="s">
        <v>302</v>
      </c>
      <c r="L3599" s="71">
        <f t="shared" si="504"/>
        <v>8</v>
      </c>
      <c r="M3599" s="71" t="str">
        <f>IFERROR(INDEX(KALENDER!$D$3:$D$132,MATCH(H3599,KALENDER!$A$3:$A$132,0)),"Di luar periode")</f>
        <v>Hari Kerja</v>
      </c>
      <c r="N3599" s="71">
        <f t="shared" si="505"/>
        <v>0</v>
      </c>
      <c r="O3599" s="71">
        <f t="shared" si="506"/>
        <v>1</v>
      </c>
      <c r="P3599" s="71">
        <f t="shared" si="507"/>
        <v>0</v>
      </c>
      <c r="Q3599" s="71">
        <f t="shared" si="508"/>
        <v>0</v>
      </c>
      <c r="R3599" s="71">
        <f t="shared" si="509"/>
        <v>0</v>
      </c>
      <c r="S3599" s="71">
        <f t="shared" si="510"/>
        <v>0</v>
      </c>
      <c r="T3599" s="71">
        <f t="shared" si="511"/>
        <v>0</v>
      </c>
      <c r="U3599" s="71">
        <f>IF(AND(N3599=1,V3599=1),IF(COUNTIFS(AKTIVITAS!$B$2:$B$3052,B3599,AKTIVITAS!$E$2:$E$3052,H3599)&gt;0,1,0),0)</f>
        <v>0</v>
      </c>
      <c r="V3599" s="71">
        <f>IFERROR(IF(AND(H3599&gt;=INDEX(PEMAGANG!$J$3:$J$36,MATCH(B3599,PEMAGANG!$C$3:$C$36,0)),H3599&lt;=INDEX(PEMAGANG!$K$3:$K$36,MATCH(B3599,PEMAGANG!$C$3:$C$36,0))),1,0),0)</f>
        <v>1</v>
      </c>
      <c r="W3599" s="71">
        <f t="shared" si="512"/>
        <v>0</v>
      </c>
    </row>
    <row r="3600" spans="1:23" x14ac:dyDescent="0.2">
      <c r="A3600" s="71" t="s">
        <v>225</v>
      </c>
      <c r="B3600" s="71" t="s">
        <v>226</v>
      </c>
      <c r="C3600" s="71" t="s">
        <v>187</v>
      </c>
      <c r="D3600" s="71" t="s">
        <v>224</v>
      </c>
      <c r="E3600" s="71" t="s">
        <v>52</v>
      </c>
      <c r="F3600" s="71" t="s">
        <v>298</v>
      </c>
      <c r="G3600" s="88">
        <v>46265.305925925903</v>
      </c>
      <c r="H3600" s="89">
        <v>46265</v>
      </c>
      <c r="I3600" s="71" t="s">
        <v>329</v>
      </c>
      <c r="J3600" s="71">
        <v>-40</v>
      </c>
      <c r="K3600" s="71" t="s">
        <v>302</v>
      </c>
      <c r="L3600" s="71">
        <f t="shared" si="504"/>
        <v>8</v>
      </c>
      <c r="M3600" s="71" t="str">
        <f>IFERROR(INDEX(KALENDER!$D$3:$D$132,MATCH(H3600,KALENDER!$A$3:$A$132,0)),"Di luar periode")</f>
        <v>Hari Kerja</v>
      </c>
      <c r="N3600" s="71">
        <f t="shared" si="505"/>
        <v>1</v>
      </c>
      <c r="O3600" s="71">
        <f t="shared" si="506"/>
        <v>1</v>
      </c>
      <c r="P3600" s="71">
        <f t="shared" si="507"/>
        <v>1</v>
      </c>
      <c r="Q3600" s="71">
        <f t="shared" si="508"/>
        <v>0</v>
      </c>
      <c r="R3600" s="71">
        <f t="shared" si="509"/>
        <v>0</v>
      </c>
      <c r="S3600" s="71">
        <f t="shared" si="510"/>
        <v>0</v>
      </c>
      <c r="T3600" s="71">
        <f t="shared" si="511"/>
        <v>0</v>
      </c>
      <c r="U3600" s="71">
        <f>IF(AND(N3600=1,V3600=1),IF(COUNTIFS(AKTIVITAS!$B$2:$B$3052,B3600,AKTIVITAS!$E$2:$E$3052,H3600)&gt;0,1,0),0)</f>
        <v>1</v>
      </c>
      <c r="V3600" s="71">
        <f>IFERROR(IF(AND(H3600&gt;=INDEX(PEMAGANG!$J$3:$J$36,MATCH(B3600,PEMAGANG!$C$3:$C$36,0)),H3600&lt;=INDEX(PEMAGANG!$K$3:$K$36,MATCH(B3600,PEMAGANG!$C$3:$C$36,0))),1,0),0)</f>
        <v>1</v>
      </c>
      <c r="W3600" s="71">
        <f t="shared" si="512"/>
        <v>1</v>
      </c>
    </row>
    <row r="3601" spans="1:23" x14ac:dyDescent="0.2">
      <c r="A3601" s="71" t="s">
        <v>225</v>
      </c>
      <c r="B3601" s="71" t="s">
        <v>226</v>
      </c>
      <c r="C3601" s="71" t="s">
        <v>187</v>
      </c>
      <c r="D3601" s="71" t="s">
        <v>224</v>
      </c>
      <c r="E3601" s="71" t="s">
        <v>52</v>
      </c>
      <c r="F3601" s="71" t="s">
        <v>300</v>
      </c>
      <c r="G3601" s="88">
        <v>46265.6902430556</v>
      </c>
      <c r="H3601" s="89">
        <v>46265</v>
      </c>
      <c r="I3601" s="71" t="s">
        <v>316</v>
      </c>
      <c r="J3601" s="71">
        <v>0</v>
      </c>
      <c r="K3601" s="71" t="s">
        <v>302</v>
      </c>
      <c r="L3601" s="71">
        <f t="shared" si="504"/>
        <v>8</v>
      </c>
      <c r="M3601" s="71" t="str">
        <f>IFERROR(INDEX(KALENDER!$D$3:$D$132,MATCH(H3601,KALENDER!$A$3:$A$132,0)),"Di luar periode")</f>
        <v>Hari Kerja</v>
      </c>
      <c r="N3601" s="71">
        <f t="shared" si="505"/>
        <v>0</v>
      </c>
      <c r="O3601" s="71">
        <f t="shared" si="506"/>
        <v>1</v>
      </c>
      <c r="P3601" s="71">
        <f t="shared" si="507"/>
        <v>0</v>
      </c>
      <c r="Q3601" s="71">
        <f t="shared" si="508"/>
        <v>0</v>
      </c>
      <c r="R3601" s="71">
        <f t="shared" si="509"/>
        <v>0</v>
      </c>
      <c r="S3601" s="71">
        <f t="shared" si="510"/>
        <v>0</v>
      </c>
      <c r="T3601" s="71">
        <f t="shared" si="511"/>
        <v>0</v>
      </c>
      <c r="U3601" s="71">
        <f>IF(AND(N3601=1,V3601=1),IF(COUNTIFS(AKTIVITAS!$B$2:$B$3052,B3601,AKTIVITAS!$E$2:$E$3052,H3601)&gt;0,1,0),0)</f>
        <v>0</v>
      </c>
      <c r="V3601" s="71">
        <f>IFERROR(IF(AND(H3601&gt;=INDEX(PEMAGANG!$J$3:$J$36,MATCH(B3601,PEMAGANG!$C$3:$C$36,0)),H3601&lt;=INDEX(PEMAGANG!$K$3:$K$36,MATCH(B3601,PEMAGANG!$C$3:$C$36,0))),1,0),0)</f>
        <v>1</v>
      </c>
      <c r="W3601" s="71">
        <f t="shared" si="512"/>
        <v>0</v>
      </c>
    </row>
    <row r="3602" spans="1:23" x14ac:dyDescent="0.2">
      <c r="A3602" s="71" t="s">
        <v>225</v>
      </c>
      <c r="B3602" s="71" t="s">
        <v>226</v>
      </c>
      <c r="C3602" s="71" t="s">
        <v>187</v>
      </c>
      <c r="D3602" s="71" t="s">
        <v>224</v>
      </c>
      <c r="E3602" s="71" t="s">
        <v>52</v>
      </c>
      <c r="F3602" s="71" t="s">
        <v>298</v>
      </c>
      <c r="G3602" s="88">
        <v>46266.303402777798</v>
      </c>
      <c r="H3602" s="89">
        <v>46266</v>
      </c>
      <c r="I3602" s="71" t="s">
        <v>327</v>
      </c>
      <c r="J3602" s="71">
        <v>-44</v>
      </c>
      <c r="K3602" s="71" t="s">
        <v>302</v>
      </c>
      <c r="L3602" s="71">
        <f t="shared" si="504"/>
        <v>9</v>
      </c>
      <c r="M3602" s="71" t="str">
        <f>IFERROR(INDEX(KALENDER!$D$3:$D$132,MATCH(H3602,KALENDER!$A$3:$A$132,0)),"Di luar periode")</f>
        <v>Hari Kerja</v>
      </c>
      <c r="N3602" s="71">
        <f t="shared" si="505"/>
        <v>1</v>
      </c>
      <c r="O3602" s="71">
        <f t="shared" si="506"/>
        <v>1</v>
      </c>
      <c r="P3602" s="71">
        <f t="shared" si="507"/>
        <v>1</v>
      </c>
      <c r="Q3602" s="71">
        <f t="shared" si="508"/>
        <v>0</v>
      </c>
      <c r="R3602" s="71">
        <f t="shared" si="509"/>
        <v>0</v>
      </c>
      <c r="S3602" s="71">
        <f t="shared" si="510"/>
        <v>0</v>
      </c>
      <c r="T3602" s="71">
        <f t="shared" si="511"/>
        <v>0</v>
      </c>
      <c r="U3602" s="71">
        <f>IF(AND(N3602=1,V3602=1),IF(COUNTIFS(AKTIVITAS!$B$2:$B$3052,B3602,AKTIVITAS!$E$2:$E$3052,H3602)&gt;0,1,0),0)</f>
        <v>1</v>
      </c>
      <c r="V3602" s="71">
        <f>IFERROR(IF(AND(H3602&gt;=INDEX(PEMAGANG!$J$3:$J$36,MATCH(B3602,PEMAGANG!$C$3:$C$36,0)),H3602&lt;=INDEX(PEMAGANG!$K$3:$K$36,MATCH(B3602,PEMAGANG!$C$3:$C$36,0))),1,0),0)</f>
        <v>1</v>
      </c>
      <c r="W3602" s="71">
        <f t="shared" si="512"/>
        <v>1</v>
      </c>
    </row>
    <row r="3603" spans="1:23" x14ac:dyDescent="0.2">
      <c r="A3603" s="71" t="s">
        <v>225</v>
      </c>
      <c r="B3603" s="71" t="s">
        <v>226</v>
      </c>
      <c r="C3603" s="71" t="s">
        <v>187</v>
      </c>
      <c r="D3603" s="71" t="s">
        <v>224</v>
      </c>
      <c r="E3603" s="71" t="s">
        <v>52</v>
      </c>
      <c r="F3603" s="71" t="s">
        <v>300</v>
      </c>
      <c r="G3603" s="88">
        <v>46266.689918981501</v>
      </c>
      <c r="H3603" s="89">
        <v>46266</v>
      </c>
      <c r="I3603" s="71" t="s">
        <v>316</v>
      </c>
      <c r="J3603" s="71">
        <v>0</v>
      </c>
      <c r="K3603" s="71" t="s">
        <v>302</v>
      </c>
      <c r="L3603" s="71">
        <f t="shared" si="504"/>
        <v>9</v>
      </c>
      <c r="M3603" s="71" t="str">
        <f>IFERROR(INDEX(KALENDER!$D$3:$D$132,MATCH(H3603,KALENDER!$A$3:$A$132,0)),"Di luar periode")</f>
        <v>Hari Kerja</v>
      </c>
      <c r="N3603" s="71">
        <f t="shared" si="505"/>
        <v>0</v>
      </c>
      <c r="O3603" s="71">
        <f t="shared" si="506"/>
        <v>1</v>
      </c>
      <c r="P3603" s="71">
        <f t="shared" si="507"/>
        <v>0</v>
      </c>
      <c r="Q3603" s="71">
        <f t="shared" si="508"/>
        <v>0</v>
      </c>
      <c r="R3603" s="71">
        <f t="shared" si="509"/>
        <v>0</v>
      </c>
      <c r="S3603" s="71">
        <f t="shared" si="510"/>
        <v>0</v>
      </c>
      <c r="T3603" s="71">
        <f t="shared" si="511"/>
        <v>0</v>
      </c>
      <c r="U3603" s="71">
        <f>IF(AND(N3603=1,V3603=1),IF(COUNTIFS(AKTIVITAS!$B$2:$B$3052,B3603,AKTIVITAS!$E$2:$E$3052,H3603)&gt;0,1,0),0)</f>
        <v>0</v>
      </c>
      <c r="V3603" s="71">
        <f>IFERROR(IF(AND(H3603&gt;=INDEX(PEMAGANG!$J$3:$J$36,MATCH(B3603,PEMAGANG!$C$3:$C$36,0)),H3603&lt;=INDEX(PEMAGANG!$K$3:$K$36,MATCH(B3603,PEMAGANG!$C$3:$C$36,0))),1,0),0)</f>
        <v>1</v>
      </c>
      <c r="W3603" s="71">
        <f t="shared" si="512"/>
        <v>0</v>
      </c>
    </row>
    <row r="3604" spans="1:23" x14ac:dyDescent="0.2">
      <c r="A3604" s="71" t="s">
        <v>225</v>
      </c>
      <c r="B3604" s="71" t="s">
        <v>226</v>
      </c>
      <c r="C3604" s="71" t="s">
        <v>187</v>
      </c>
      <c r="D3604" s="71" t="s">
        <v>224</v>
      </c>
      <c r="E3604" s="71" t="s">
        <v>52</v>
      </c>
      <c r="F3604" s="71" t="s">
        <v>298</v>
      </c>
      <c r="G3604" s="88">
        <v>46267.303657407399</v>
      </c>
      <c r="H3604" s="89">
        <v>46267</v>
      </c>
      <c r="I3604" s="71" t="s">
        <v>331</v>
      </c>
      <c r="J3604" s="71">
        <v>-43</v>
      </c>
      <c r="K3604" s="71" t="s">
        <v>302</v>
      </c>
      <c r="L3604" s="71">
        <f t="shared" si="504"/>
        <v>9</v>
      </c>
      <c r="M3604" s="71" t="str">
        <f>IFERROR(INDEX(KALENDER!$D$3:$D$132,MATCH(H3604,KALENDER!$A$3:$A$132,0)),"Di luar periode")</f>
        <v>Hari Kerja</v>
      </c>
      <c r="N3604" s="71">
        <f t="shared" si="505"/>
        <v>1</v>
      </c>
      <c r="O3604" s="71">
        <f t="shared" si="506"/>
        <v>1</v>
      </c>
      <c r="P3604" s="71">
        <f t="shared" si="507"/>
        <v>1</v>
      </c>
      <c r="Q3604" s="71">
        <f t="shared" si="508"/>
        <v>0</v>
      </c>
      <c r="R3604" s="71">
        <f t="shared" si="509"/>
        <v>0</v>
      </c>
      <c r="S3604" s="71">
        <f t="shared" si="510"/>
        <v>0</v>
      </c>
      <c r="T3604" s="71">
        <f t="shared" si="511"/>
        <v>0</v>
      </c>
      <c r="U3604" s="71">
        <f>IF(AND(N3604=1,V3604=1),IF(COUNTIFS(AKTIVITAS!$B$2:$B$3052,B3604,AKTIVITAS!$E$2:$E$3052,H3604)&gt;0,1,0),0)</f>
        <v>1</v>
      </c>
      <c r="V3604" s="71">
        <f>IFERROR(IF(AND(H3604&gt;=INDEX(PEMAGANG!$J$3:$J$36,MATCH(B3604,PEMAGANG!$C$3:$C$36,0)),H3604&lt;=INDEX(PEMAGANG!$K$3:$K$36,MATCH(B3604,PEMAGANG!$C$3:$C$36,0))),1,0),0)</f>
        <v>1</v>
      </c>
      <c r="W3604" s="71">
        <f t="shared" si="512"/>
        <v>1</v>
      </c>
    </row>
    <row r="3605" spans="1:23" x14ac:dyDescent="0.2">
      <c r="A3605" s="71" t="s">
        <v>225</v>
      </c>
      <c r="B3605" s="71" t="s">
        <v>226</v>
      </c>
      <c r="C3605" s="71" t="s">
        <v>187</v>
      </c>
      <c r="D3605" s="71" t="s">
        <v>224</v>
      </c>
      <c r="E3605" s="71" t="s">
        <v>52</v>
      </c>
      <c r="F3605" s="71" t="s">
        <v>300</v>
      </c>
      <c r="G3605" s="88">
        <v>46267.689722222203</v>
      </c>
      <c r="H3605" s="89">
        <v>46267</v>
      </c>
      <c r="I3605" s="71" t="s">
        <v>316</v>
      </c>
      <c r="J3605" s="71">
        <v>0</v>
      </c>
      <c r="K3605" s="71" t="s">
        <v>302</v>
      </c>
      <c r="L3605" s="71">
        <f t="shared" si="504"/>
        <v>9</v>
      </c>
      <c r="M3605" s="71" t="str">
        <f>IFERROR(INDEX(KALENDER!$D$3:$D$132,MATCH(H3605,KALENDER!$A$3:$A$132,0)),"Di luar periode")</f>
        <v>Hari Kerja</v>
      </c>
      <c r="N3605" s="71">
        <f t="shared" si="505"/>
        <v>0</v>
      </c>
      <c r="O3605" s="71">
        <f t="shared" si="506"/>
        <v>1</v>
      </c>
      <c r="P3605" s="71">
        <f t="shared" si="507"/>
        <v>0</v>
      </c>
      <c r="Q3605" s="71">
        <f t="shared" si="508"/>
        <v>0</v>
      </c>
      <c r="R3605" s="71">
        <f t="shared" si="509"/>
        <v>0</v>
      </c>
      <c r="S3605" s="71">
        <f t="shared" si="510"/>
        <v>0</v>
      </c>
      <c r="T3605" s="71">
        <f t="shared" si="511"/>
        <v>0</v>
      </c>
      <c r="U3605" s="71">
        <f>IF(AND(N3605=1,V3605=1),IF(COUNTIFS(AKTIVITAS!$B$2:$B$3052,B3605,AKTIVITAS!$E$2:$E$3052,H3605)&gt;0,1,0),0)</f>
        <v>0</v>
      </c>
      <c r="V3605" s="71">
        <f>IFERROR(IF(AND(H3605&gt;=INDEX(PEMAGANG!$J$3:$J$36,MATCH(B3605,PEMAGANG!$C$3:$C$36,0)),H3605&lt;=INDEX(PEMAGANG!$K$3:$K$36,MATCH(B3605,PEMAGANG!$C$3:$C$36,0))),1,0),0)</f>
        <v>1</v>
      </c>
      <c r="W3605" s="71">
        <f t="shared" si="512"/>
        <v>0</v>
      </c>
    </row>
    <row r="3606" spans="1:23" x14ac:dyDescent="0.2">
      <c r="A3606" s="71" t="s">
        <v>225</v>
      </c>
      <c r="B3606" s="71" t="s">
        <v>226</v>
      </c>
      <c r="C3606" s="71" t="s">
        <v>187</v>
      </c>
      <c r="D3606" s="71" t="s">
        <v>224</v>
      </c>
      <c r="E3606" s="71" t="s">
        <v>52</v>
      </c>
      <c r="F3606" s="71" t="s">
        <v>298</v>
      </c>
      <c r="G3606" s="88">
        <v>46268.302627314799</v>
      </c>
      <c r="H3606" s="89">
        <v>46268</v>
      </c>
      <c r="I3606" s="71" t="s">
        <v>370</v>
      </c>
      <c r="J3606" s="71">
        <v>-45</v>
      </c>
      <c r="K3606" s="71" t="s">
        <v>302</v>
      </c>
      <c r="L3606" s="71">
        <f t="shared" si="504"/>
        <v>9</v>
      </c>
      <c r="M3606" s="71" t="str">
        <f>IFERROR(INDEX(KALENDER!$D$3:$D$132,MATCH(H3606,KALENDER!$A$3:$A$132,0)),"Di luar periode")</f>
        <v>Hari Kerja</v>
      </c>
      <c r="N3606" s="71">
        <f t="shared" si="505"/>
        <v>1</v>
      </c>
      <c r="O3606" s="71">
        <f t="shared" si="506"/>
        <v>1</v>
      </c>
      <c r="P3606" s="71">
        <f t="shared" si="507"/>
        <v>1</v>
      </c>
      <c r="Q3606" s="71">
        <f t="shared" si="508"/>
        <v>0</v>
      </c>
      <c r="R3606" s="71">
        <f t="shared" si="509"/>
        <v>0</v>
      </c>
      <c r="S3606" s="71">
        <f t="shared" si="510"/>
        <v>0</v>
      </c>
      <c r="T3606" s="71">
        <f t="shared" si="511"/>
        <v>0</v>
      </c>
      <c r="U3606" s="71">
        <f>IF(AND(N3606=1,V3606=1),IF(COUNTIFS(AKTIVITAS!$B$2:$B$3052,B3606,AKTIVITAS!$E$2:$E$3052,H3606)&gt;0,1,0),0)</f>
        <v>1</v>
      </c>
      <c r="V3606" s="71">
        <f>IFERROR(IF(AND(H3606&gt;=INDEX(PEMAGANG!$J$3:$J$36,MATCH(B3606,PEMAGANG!$C$3:$C$36,0)),H3606&lt;=INDEX(PEMAGANG!$K$3:$K$36,MATCH(B3606,PEMAGANG!$C$3:$C$36,0))),1,0),0)</f>
        <v>1</v>
      </c>
      <c r="W3606" s="71">
        <f t="shared" si="512"/>
        <v>1</v>
      </c>
    </row>
    <row r="3607" spans="1:23" x14ac:dyDescent="0.2">
      <c r="A3607" s="71" t="s">
        <v>225</v>
      </c>
      <c r="B3607" s="71" t="s">
        <v>226</v>
      </c>
      <c r="C3607" s="71" t="s">
        <v>187</v>
      </c>
      <c r="D3607" s="71" t="s">
        <v>224</v>
      </c>
      <c r="E3607" s="71" t="s">
        <v>52</v>
      </c>
      <c r="F3607" s="71" t="s">
        <v>300</v>
      </c>
      <c r="G3607" s="88">
        <v>46268.723240740699</v>
      </c>
      <c r="H3607" s="89">
        <v>46268</v>
      </c>
      <c r="I3607" s="71" t="s">
        <v>322</v>
      </c>
      <c r="J3607" s="71">
        <v>0</v>
      </c>
      <c r="K3607" s="71" t="s">
        <v>302</v>
      </c>
      <c r="L3607" s="71">
        <f t="shared" si="504"/>
        <v>9</v>
      </c>
      <c r="M3607" s="71" t="str">
        <f>IFERROR(INDEX(KALENDER!$D$3:$D$132,MATCH(H3607,KALENDER!$A$3:$A$132,0)),"Di luar periode")</f>
        <v>Hari Kerja</v>
      </c>
      <c r="N3607" s="71">
        <f t="shared" si="505"/>
        <v>0</v>
      </c>
      <c r="O3607" s="71">
        <f t="shared" si="506"/>
        <v>1</v>
      </c>
      <c r="P3607" s="71">
        <f t="shared" si="507"/>
        <v>0</v>
      </c>
      <c r="Q3607" s="71">
        <f t="shared" si="508"/>
        <v>0</v>
      </c>
      <c r="R3607" s="71">
        <f t="shared" si="509"/>
        <v>0</v>
      </c>
      <c r="S3607" s="71">
        <f t="shared" si="510"/>
        <v>0</v>
      </c>
      <c r="T3607" s="71">
        <f t="shared" si="511"/>
        <v>0</v>
      </c>
      <c r="U3607" s="71">
        <f>IF(AND(N3607=1,V3607=1),IF(COUNTIFS(AKTIVITAS!$B$2:$B$3052,B3607,AKTIVITAS!$E$2:$E$3052,H3607)&gt;0,1,0),0)</f>
        <v>0</v>
      </c>
      <c r="V3607" s="71">
        <f>IFERROR(IF(AND(H3607&gt;=INDEX(PEMAGANG!$J$3:$J$36,MATCH(B3607,PEMAGANG!$C$3:$C$36,0)),H3607&lt;=INDEX(PEMAGANG!$K$3:$K$36,MATCH(B3607,PEMAGANG!$C$3:$C$36,0))),1,0),0)</f>
        <v>1</v>
      </c>
      <c r="W3607" s="71">
        <f t="shared" si="512"/>
        <v>0</v>
      </c>
    </row>
    <row r="3608" spans="1:23" x14ac:dyDescent="0.2">
      <c r="A3608" s="71" t="s">
        <v>225</v>
      </c>
      <c r="B3608" s="71" t="s">
        <v>226</v>
      </c>
      <c r="C3608" s="71" t="s">
        <v>187</v>
      </c>
      <c r="D3608" s="71" t="s">
        <v>224</v>
      </c>
      <c r="E3608" s="71" t="s">
        <v>52</v>
      </c>
      <c r="F3608" s="71" t="s">
        <v>300</v>
      </c>
      <c r="G3608" s="88">
        <v>46269.689340277801</v>
      </c>
      <c r="H3608" s="89">
        <v>46269</v>
      </c>
      <c r="I3608" s="71" t="s">
        <v>306</v>
      </c>
      <c r="J3608" s="71">
        <v>0</v>
      </c>
      <c r="K3608" s="71" t="s">
        <v>302</v>
      </c>
      <c r="L3608" s="71">
        <f t="shared" si="504"/>
        <v>9</v>
      </c>
      <c r="M3608" s="71" t="str">
        <f>IFERROR(INDEX(KALENDER!$D$3:$D$132,MATCH(H3608,KALENDER!$A$3:$A$132,0)),"Di luar periode")</f>
        <v>Hari Kerja</v>
      </c>
      <c r="N3608" s="71">
        <f t="shared" si="505"/>
        <v>1</v>
      </c>
      <c r="O3608" s="71">
        <f t="shared" si="506"/>
        <v>0</v>
      </c>
      <c r="P3608" s="71">
        <f t="shared" si="507"/>
        <v>1</v>
      </c>
      <c r="Q3608" s="71">
        <f t="shared" si="508"/>
        <v>0</v>
      </c>
      <c r="R3608" s="71">
        <f t="shared" si="509"/>
        <v>0</v>
      </c>
      <c r="S3608" s="71">
        <f t="shared" si="510"/>
        <v>0</v>
      </c>
      <c r="T3608" s="71">
        <f t="shared" si="511"/>
        <v>0</v>
      </c>
      <c r="U3608" s="71">
        <f>IF(AND(N3608=1,V3608=1),IF(COUNTIFS(AKTIVITAS!$B$2:$B$3052,B3608,AKTIVITAS!$E$2:$E$3052,H3608)&gt;0,1,0),0)</f>
        <v>1</v>
      </c>
      <c r="V3608" s="71">
        <f>IFERROR(IF(AND(H3608&gt;=INDEX(PEMAGANG!$J$3:$J$36,MATCH(B3608,PEMAGANG!$C$3:$C$36,0)),H3608&lt;=INDEX(PEMAGANG!$K$3:$K$36,MATCH(B3608,PEMAGANG!$C$3:$C$36,0))),1,0),0)</f>
        <v>1</v>
      </c>
      <c r="W3608" s="71">
        <f t="shared" si="512"/>
        <v>1</v>
      </c>
    </row>
    <row r="3609" spans="1:23" x14ac:dyDescent="0.2">
      <c r="A3609" s="71" t="s">
        <v>225</v>
      </c>
      <c r="B3609" s="71" t="s">
        <v>226</v>
      </c>
      <c r="C3609" s="71" t="s">
        <v>187</v>
      </c>
      <c r="D3609" s="71" t="s">
        <v>224</v>
      </c>
      <c r="E3609" s="71" t="s">
        <v>52</v>
      </c>
      <c r="F3609" s="71" t="s">
        <v>298</v>
      </c>
      <c r="G3609" s="88">
        <v>46272.301840277803</v>
      </c>
      <c r="H3609" s="89">
        <v>46272</v>
      </c>
      <c r="I3609" s="71" t="s">
        <v>416</v>
      </c>
      <c r="J3609" s="71">
        <v>-46</v>
      </c>
      <c r="K3609" s="71" t="s">
        <v>302</v>
      </c>
      <c r="L3609" s="71">
        <f t="shared" si="504"/>
        <v>9</v>
      </c>
      <c r="M3609" s="71" t="str">
        <f>IFERROR(INDEX(KALENDER!$D$3:$D$132,MATCH(H3609,KALENDER!$A$3:$A$132,0)),"Di luar periode")</f>
        <v>Hari Kerja</v>
      </c>
      <c r="N3609" s="71">
        <f t="shared" si="505"/>
        <v>1</v>
      </c>
      <c r="O3609" s="71">
        <f t="shared" si="506"/>
        <v>1</v>
      </c>
      <c r="P3609" s="71">
        <f t="shared" si="507"/>
        <v>1</v>
      </c>
      <c r="Q3609" s="71">
        <f t="shared" si="508"/>
        <v>0</v>
      </c>
      <c r="R3609" s="71">
        <f t="shared" si="509"/>
        <v>0</v>
      </c>
      <c r="S3609" s="71">
        <f t="shared" si="510"/>
        <v>0</v>
      </c>
      <c r="T3609" s="71">
        <f t="shared" si="511"/>
        <v>0</v>
      </c>
      <c r="U3609" s="71">
        <f>IF(AND(N3609=1,V3609=1),IF(COUNTIFS(AKTIVITAS!$B$2:$B$3052,B3609,AKTIVITAS!$E$2:$E$3052,H3609)&gt;0,1,0),0)</f>
        <v>1</v>
      </c>
      <c r="V3609" s="71">
        <f>IFERROR(IF(AND(H3609&gt;=INDEX(PEMAGANG!$J$3:$J$36,MATCH(B3609,PEMAGANG!$C$3:$C$36,0)),H3609&lt;=INDEX(PEMAGANG!$K$3:$K$36,MATCH(B3609,PEMAGANG!$C$3:$C$36,0))),1,0),0)</f>
        <v>1</v>
      </c>
      <c r="W3609" s="71">
        <f t="shared" si="512"/>
        <v>1</v>
      </c>
    </row>
    <row r="3610" spans="1:23" x14ac:dyDescent="0.2">
      <c r="A3610" s="71" t="s">
        <v>225</v>
      </c>
      <c r="B3610" s="71" t="s">
        <v>226</v>
      </c>
      <c r="C3610" s="71" t="s">
        <v>187</v>
      </c>
      <c r="D3610" s="71" t="s">
        <v>224</v>
      </c>
      <c r="E3610" s="71" t="s">
        <v>52</v>
      </c>
      <c r="F3610" s="71" t="s">
        <v>300</v>
      </c>
      <c r="G3610" s="88">
        <v>46272.689143518503</v>
      </c>
      <c r="H3610" s="89">
        <v>46272</v>
      </c>
      <c r="I3610" s="71" t="s">
        <v>306</v>
      </c>
      <c r="J3610" s="71">
        <v>0</v>
      </c>
      <c r="K3610" s="71" t="s">
        <v>302</v>
      </c>
      <c r="L3610" s="71">
        <f t="shared" si="504"/>
        <v>9</v>
      </c>
      <c r="M3610" s="71" t="str">
        <f>IFERROR(INDEX(KALENDER!$D$3:$D$132,MATCH(H3610,KALENDER!$A$3:$A$132,0)),"Di luar periode")</f>
        <v>Hari Kerja</v>
      </c>
      <c r="N3610" s="71">
        <f t="shared" si="505"/>
        <v>0</v>
      </c>
      <c r="O3610" s="71">
        <f t="shared" si="506"/>
        <v>1</v>
      </c>
      <c r="P3610" s="71">
        <f t="shared" si="507"/>
        <v>0</v>
      </c>
      <c r="Q3610" s="71">
        <f t="shared" si="508"/>
        <v>0</v>
      </c>
      <c r="R3610" s="71">
        <f t="shared" si="509"/>
        <v>0</v>
      </c>
      <c r="S3610" s="71">
        <f t="shared" si="510"/>
        <v>0</v>
      </c>
      <c r="T3610" s="71">
        <f t="shared" si="511"/>
        <v>0</v>
      </c>
      <c r="U3610" s="71">
        <f>IF(AND(N3610=1,V3610=1),IF(COUNTIFS(AKTIVITAS!$B$2:$B$3052,B3610,AKTIVITAS!$E$2:$E$3052,H3610)&gt;0,1,0),0)</f>
        <v>0</v>
      </c>
      <c r="V3610" s="71">
        <f>IFERROR(IF(AND(H3610&gt;=INDEX(PEMAGANG!$J$3:$J$36,MATCH(B3610,PEMAGANG!$C$3:$C$36,0)),H3610&lt;=INDEX(PEMAGANG!$K$3:$K$36,MATCH(B3610,PEMAGANG!$C$3:$C$36,0))),1,0),0)</f>
        <v>1</v>
      </c>
      <c r="W3610" s="71">
        <f t="shared" si="512"/>
        <v>0</v>
      </c>
    </row>
    <row r="3611" spans="1:23" x14ac:dyDescent="0.2">
      <c r="A3611" s="71" t="s">
        <v>225</v>
      </c>
      <c r="B3611" s="71" t="s">
        <v>226</v>
      </c>
      <c r="C3611" s="71" t="s">
        <v>187</v>
      </c>
      <c r="D3611" s="71" t="s">
        <v>224</v>
      </c>
      <c r="E3611" s="71" t="s">
        <v>52</v>
      </c>
      <c r="F3611" s="71" t="s">
        <v>298</v>
      </c>
      <c r="G3611" s="88">
        <v>46273.309004629598</v>
      </c>
      <c r="H3611" s="89">
        <v>46273</v>
      </c>
      <c r="I3611" s="71" t="s">
        <v>303</v>
      </c>
      <c r="J3611" s="71">
        <v>-36</v>
      </c>
      <c r="K3611" s="71" t="s">
        <v>302</v>
      </c>
      <c r="L3611" s="71">
        <f t="shared" si="504"/>
        <v>9</v>
      </c>
      <c r="M3611" s="71" t="str">
        <f>IFERROR(INDEX(KALENDER!$D$3:$D$132,MATCH(H3611,KALENDER!$A$3:$A$132,0)),"Di luar periode")</f>
        <v>Hari Kerja</v>
      </c>
      <c r="N3611" s="71">
        <f t="shared" si="505"/>
        <v>1</v>
      </c>
      <c r="O3611" s="71">
        <f t="shared" si="506"/>
        <v>1</v>
      </c>
      <c r="P3611" s="71">
        <f t="shared" si="507"/>
        <v>1</v>
      </c>
      <c r="Q3611" s="71">
        <f t="shared" si="508"/>
        <v>0</v>
      </c>
      <c r="R3611" s="71">
        <f t="shared" si="509"/>
        <v>0</v>
      </c>
      <c r="S3611" s="71">
        <f t="shared" si="510"/>
        <v>0</v>
      </c>
      <c r="T3611" s="71">
        <f t="shared" si="511"/>
        <v>0</v>
      </c>
      <c r="U3611" s="71">
        <f>IF(AND(N3611=1,V3611=1),IF(COUNTIFS(AKTIVITAS!$B$2:$B$3052,B3611,AKTIVITAS!$E$2:$E$3052,H3611)&gt;0,1,0),0)</f>
        <v>1</v>
      </c>
      <c r="V3611" s="71">
        <f>IFERROR(IF(AND(H3611&gt;=INDEX(PEMAGANG!$J$3:$J$36,MATCH(B3611,PEMAGANG!$C$3:$C$36,0)),H3611&lt;=INDEX(PEMAGANG!$K$3:$K$36,MATCH(B3611,PEMAGANG!$C$3:$C$36,0))),1,0),0)</f>
        <v>1</v>
      </c>
      <c r="W3611" s="71">
        <f t="shared" si="512"/>
        <v>1</v>
      </c>
    </row>
    <row r="3612" spans="1:23" x14ac:dyDescent="0.2">
      <c r="A3612" s="71" t="s">
        <v>225</v>
      </c>
      <c r="B3612" s="71" t="s">
        <v>226</v>
      </c>
      <c r="C3612" s="71" t="s">
        <v>187</v>
      </c>
      <c r="D3612" s="71" t="s">
        <v>224</v>
      </c>
      <c r="E3612" s="71" t="s">
        <v>52</v>
      </c>
      <c r="F3612" s="71" t="s">
        <v>300</v>
      </c>
      <c r="G3612" s="88">
        <v>46273.691747685203</v>
      </c>
      <c r="H3612" s="89">
        <v>46273</v>
      </c>
      <c r="I3612" s="71" t="s">
        <v>344</v>
      </c>
      <c r="J3612" s="71">
        <v>0</v>
      </c>
      <c r="K3612" s="71" t="s">
        <v>302</v>
      </c>
      <c r="L3612" s="71">
        <f t="shared" si="504"/>
        <v>9</v>
      </c>
      <c r="M3612" s="71" t="str">
        <f>IFERROR(INDEX(KALENDER!$D$3:$D$132,MATCH(H3612,KALENDER!$A$3:$A$132,0)),"Di luar periode")</f>
        <v>Hari Kerja</v>
      </c>
      <c r="N3612" s="71">
        <f t="shared" si="505"/>
        <v>0</v>
      </c>
      <c r="O3612" s="71">
        <f t="shared" si="506"/>
        <v>1</v>
      </c>
      <c r="P3612" s="71">
        <f t="shared" si="507"/>
        <v>0</v>
      </c>
      <c r="Q3612" s="71">
        <f t="shared" si="508"/>
        <v>0</v>
      </c>
      <c r="R3612" s="71">
        <f t="shared" si="509"/>
        <v>0</v>
      </c>
      <c r="S3612" s="71">
        <f t="shared" si="510"/>
        <v>0</v>
      </c>
      <c r="T3612" s="71">
        <f t="shared" si="511"/>
        <v>0</v>
      </c>
      <c r="U3612" s="71">
        <f>IF(AND(N3612=1,V3612=1),IF(COUNTIFS(AKTIVITAS!$B$2:$B$3052,B3612,AKTIVITAS!$E$2:$E$3052,H3612)&gt;0,1,0),0)</f>
        <v>0</v>
      </c>
      <c r="V3612" s="71">
        <f>IFERROR(IF(AND(H3612&gt;=INDEX(PEMAGANG!$J$3:$J$36,MATCH(B3612,PEMAGANG!$C$3:$C$36,0)),H3612&lt;=INDEX(PEMAGANG!$K$3:$K$36,MATCH(B3612,PEMAGANG!$C$3:$C$36,0))),1,0),0)</f>
        <v>1</v>
      </c>
      <c r="W3612" s="71">
        <f t="shared" si="512"/>
        <v>0</v>
      </c>
    </row>
    <row r="3613" spans="1:23" x14ac:dyDescent="0.2">
      <c r="A3613" s="71" t="s">
        <v>225</v>
      </c>
      <c r="B3613" s="71" t="s">
        <v>226</v>
      </c>
      <c r="C3613" s="71" t="s">
        <v>187</v>
      </c>
      <c r="D3613" s="71" t="s">
        <v>224</v>
      </c>
      <c r="E3613" s="71" t="s">
        <v>52</v>
      </c>
      <c r="F3613" s="71" t="s">
        <v>298</v>
      </c>
      <c r="G3613" s="88">
        <v>46274.300381944398</v>
      </c>
      <c r="H3613" s="89">
        <v>46274</v>
      </c>
      <c r="I3613" s="71" t="s">
        <v>478</v>
      </c>
      <c r="J3613" s="71">
        <v>-48</v>
      </c>
      <c r="K3613" s="71" t="s">
        <v>302</v>
      </c>
      <c r="L3613" s="71">
        <f t="shared" si="504"/>
        <v>9</v>
      </c>
      <c r="M3613" s="71" t="str">
        <f>IFERROR(INDEX(KALENDER!$D$3:$D$132,MATCH(H3613,KALENDER!$A$3:$A$132,0)),"Di luar periode")</f>
        <v>Hari Kerja</v>
      </c>
      <c r="N3613" s="71">
        <f t="shared" si="505"/>
        <v>1</v>
      </c>
      <c r="O3613" s="71">
        <f t="shared" si="506"/>
        <v>1</v>
      </c>
      <c r="P3613" s="71">
        <f t="shared" si="507"/>
        <v>1</v>
      </c>
      <c r="Q3613" s="71">
        <f t="shared" si="508"/>
        <v>0</v>
      </c>
      <c r="R3613" s="71">
        <f t="shared" si="509"/>
        <v>0</v>
      </c>
      <c r="S3613" s="71">
        <f t="shared" si="510"/>
        <v>0</v>
      </c>
      <c r="T3613" s="71">
        <f t="shared" si="511"/>
        <v>1</v>
      </c>
      <c r="U3613" s="71">
        <f>IF(AND(N3613=1,V3613=1),IF(COUNTIFS(AKTIVITAS!$B$2:$B$3052,B3613,AKTIVITAS!$E$2:$E$3052,H3613)&gt;0,1,0),0)</f>
        <v>1</v>
      </c>
      <c r="V3613" s="71">
        <f>IFERROR(IF(AND(H3613&gt;=INDEX(PEMAGANG!$J$3:$J$36,MATCH(B3613,PEMAGANG!$C$3:$C$36,0)),H3613&lt;=INDEX(PEMAGANG!$K$3:$K$36,MATCH(B3613,PEMAGANG!$C$3:$C$36,0))),1,0),0)</f>
        <v>1</v>
      </c>
      <c r="W3613" s="71">
        <f t="shared" si="512"/>
        <v>1</v>
      </c>
    </row>
    <row r="3614" spans="1:23" x14ac:dyDescent="0.2">
      <c r="A3614" s="71" t="s">
        <v>225</v>
      </c>
      <c r="B3614" s="71" t="s">
        <v>226</v>
      </c>
      <c r="C3614" s="71" t="s">
        <v>187</v>
      </c>
      <c r="D3614" s="71" t="s">
        <v>224</v>
      </c>
      <c r="E3614" s="71" t="s">
        <v>52</v>
      </c>
      <c r="F3614" s="71" t="s">
        <v>298</v>
      </c>
      <c r="G3614" s="88">
        <v>46275.245625000003</v>
      </c>
      <c r="H3614" s="89">
        <v>46275</v>
      </c>
      <c r="I3614" s="71" t="s">
        <v>676</v>
      </c>
      <c r="J3614" s="71">
        <v>-127</v>
      </c>
      <c r="K3614" s="71" t="s">
        <v>302</v>
      </c>
      <c r="L3614" s="71">
        <f t="shared" si="504"/>
        <v>9</v>
      </c>
      <c r="M3614" s="71" t="str">
        <f>IFERROR(INDEX(KALENDER!$D$3:$D$132,MATCH(H3614,KALENDER!$A$3:$A$132,0)),"Di luar periode")</f>
        <v>Hari Kerja</v>
      </c>
      <c r="N3614" s="71">
        <f t="shared" si="505"/>
        <v>1</v>
      </c>
      <c r="O3614" s="71">
        <f t="shared" si="506"/>
        <v>1</v>
      </c>
      <c r="P3614" s="71">
        <f t="shared" si="507"/>
        <v>1</v>
      </c>
      <c r="Q3614" s="71">
        <f t="shared" si="508"/>
        <v>0</v>
      </c>
      <c r="R3614" s="71">
        <f t="shared" si="509"/>
        <v>0</v>
      </c>
      <c r="S3614" s="71">
        <f t="shared" si="510"/>
        <v>0</v>
      </c>
      <c r="T3614" s="71">
        <f t="shared" si="511"/>
        <v>0</v>
      </c>
      <c r="U3614" s="71">
        <f>IF(AND(N3614=1,V3614=1),IF(COUNTIFS(AKTIVITAS!$B$2:$B$3052,B3614,AKTIVITAS!$E$2:$E$3052,H3614)&gt;0,1,0),0)</f>
        <v>1</v>
      </c>
      <c r="V3614" s="71">
        <f>IFERROR(IF(AND(H3614&gt;=INDEX(PEMAGANG!$J$3:$J$36,MATCH(B3614,PEMAGANG!$C$3:$C$36,0)),H3614&lt;=INDEX(PEMAGANG!$K$3:$K$36,MATCH(B3614,PEMAGANG!$C$3:$C$36,0))),1,0),0)</f>
        <v>1</v>
      </c>
      <c r="W3614" s="71">
        <f t="shared" si="512"/>
        <v>1</v>
      </c>
    </row>
    <row r="3615" spans="1:23" x14ac:dyDescent="0.2">
      <c r="A3615" s="71" t="s">
        <v>225</v>
      </c>
      <c r="B3615" s="71" t="s">
        <v>226</v>
      </c>
      <c r="C3615" s="71" t="s">
        <v>187</v>
      </c>
      <c r="D3615" s="71" t="s">
        <v>224</v>
      </c>
      <c r="E3615" s="71" t="s">
        <v>52</v>
      </c>
      <c r="F3615" s="71" t="s">
        <v>298</v>
      </c>
      <c r="G3615" s="88">
        <v>46275.245625000003</v>
      </c>
      <c r="H3615" s="89">
        <v>46275</v>
      </c>
      <c r="I3615" s="71" t="s">
        <v>676</v>
      </c>
      <c r="J3615" s="71">
        <v>-97</v>
      </c>
      <c r="K3615" s="71" t="s">
        <v>302</v>
      </c>
      <c r="L3615" s="71">
        <f t="shared" si="504"/>
        <v>9</v>
      </c>
      <c r="M3615" s="71" t="str">
        <f>IFERROR(INDEX(KALENDER!$D$3:$D$132,MATCH(H3615,KALENDER!$A$3:$A$132,0)),"Di luar periode")</f>
        <v>Hari Kerja</v>
      </c>
      <c r="N3615" s="71">
        <f t="shared" si="505"/>
        <v>0</v>
      </c>
      <c r="O3615" s="71">
        <f t="shared" si="506"/>
        <v>2</v>
      </c>
      <c r="P3615" s="71">
        <f t="shared" si="507"/>
        <v>0</v>
      </c>
      <c r="Q3615" s="71">
        <f t="shared" si="508"/>
        <v>0</v>
      </c>
      <c r="R3615" s="71">
        <f t="shared" si="509"/>
        <v>0</v>
      </c>
      <c r="S3615" s="71">
        <f t="shared" si="510"/>
        <v>0</v>
      </c>
      <c r="T3615" s="71">
        <f t="shared" si="511"/>
        <v>0</v>
      </c>
      <c r="U3615" s="71">
        <f>IF(AND(N3615=1,V3615=1),IF(COUNTIFS(AKTIVITAS!$B$2:$B$3052,B3615,AKTIVITAS!$E$2:$E$3052,H3615)&gt;0,1,0),0)</f>
        <v>0</v>
      </c>
      <c r="V3615" s="71">
        <f>IFERROR(IF(AND(H3615&gt;=INDEX(PEMAGANG!$J$3:$J$36,MATCH(B3615,PEMAGANG!$C$3:$C$36,0)),H3615&lt;=INDEX(PEMAGANG!$K$3:$K$36,MATCH(B3615,PEMAGANG!$C$3:$C$36,0))),1,0),0)</f>
        <v>1</v>
      </c>
      <c r="W3615" s="71">
        <f t="shared" si="512"/>
        <v>0</v>
      </c>
    </row>
    <row r="3616" spans="1:23" x14ac:dyDescent="0.2">
      <c r="A3616" s="71" t="s">
        <v>225</v>
      </c>
      <c r="B3616" s="71" t="s">
        <v>226</v>
      </c>
      <c r="C3616" s="71" t="s">
        <v>187</v>
      </c>
      <c r="D3616" s="71" t="s">
        <v>224</v>
      </c>
      <c r="E3616" s="71" t="s">
        <v>52</v>
      </c>
      <c r="F3616" s="71" t="s">
        <v>300</v>
      </c>
      <c r="G3616" s="88">
        <v>46275.730347222197</v>
      </c>
      <c r="H3616" s="89">
        <v>46275</v>
      </c>
      <c r="I3616" s="71" t="s">
        <v>413</v>
      </c>
      <c r="J3616" s="71">
        <v>0</v>
      </c>
      <c r="K3616" s="71" t="s">
        <v>302</v>
      </c>
      <c r="L3616" s="71">
        <f t="shared" si="504"/>
        <v>9</v>
      </c>
      <c r="M3616" s="71" t="str">
        <f>IFERROR(INDEX(KALENDER!$D$3:$D$132,MATCH(H3616,KALENDER!$A$3:$A$132,0)),"Di luar periode")</f>
        <v>Hari Kerja</v>
      </c>
      <c r="N3616" s="71">
        <f t="shared" si="505"/>
        <v>0</v>
      </c>
      <c r="O3616" s="71">
        <f t="shared" si="506"/>
        <v>2</v>
      </c>
      <c r="P3616" s="71">
        <f t="shared" si="507"/>
        <v>0</v>
      </c>
      <c r="Q3616" s="71">
        <f t="shared" si="508"/>
        <v>0</v>
      </c>
      <c r="R3616" s="71">
        <f t="shared" si="509"/>
        <v>0</v>
      </c>
      <c r="S3616" s="71">
        <f t="shared" si="510"/>
        <v>0</v>
      </c>
      <c r="T3616" s="71">
        <f t="shared" si="511"/>
        <v>0</v>
      </c>
      <c r="U3616" s="71">
        <f>IF(AND(N3616=1,V3616=1),IF(COUNTIFS(AKTIVITAS!$B$2:$B$3052,B3616,AKTIVITAS!$E$2:$E$3052,H3616)&gt;0,1,0),0)</f>
        <v>0</v>
      </c>
      <c r="V3616" s="71">
        <f>IFERROR(IF(AND(H3616&gt;=INDEX(PEMAGANG!$J$3:$J$36,MATCH(B3616,PEMAGANG!$C$3:$C$36,0)),H3616&lt;=INDEX(PEMAGANG!$K$3:$K$36,MATCH(B3616,PEMAGANG!$C$3:$C$36,0))),1,0),0)</f>
        <v>1</v>
      </c>
      <c r="W3616" s="71">
        <f t="shared" si="512"/>
        <v>0</v>
      </c>
    </row>
    <row r="3617" spans="1:23" x14ac:dyDescent="0.2">
      <c r="A3617" s="71" t="s">
        <v>225</v>
      </c>
      <c r="B3617" s="71" t="s">
        <v>226</v>
      </c>
      <c r="C3617" s="71" t="s">
        <v>187</v>
      </c>
      <c r="D3617" s="71" t="s">
        <v>224</v>
      </c>
      <c r="E3617" s="71" t="s">
        <v>52</v>
      </c>
      <c r="F3617" s="71" t="s">
        <v>298</v>
      </c>
      <c r="G3617" s="88">
        <v>46276.303819444503</v>
      </c>
      <c r="H3617" s="89">
        <v>46276</v>
      </c>
      <c r="I3617" s="71" t="s">
        <v>331</v>
      </c>
      <c r="J3617" s="71">
        <v>-13</v>
      </c>
      <c r="K3617" s="71" t="s">
        <v>302</v>
      </c>
      <c r="L3617" s="71">
        <f t="shared" si="504"/>
        <v>9</v>
      </c>
      <c r="M3617" s="71" t="str">
        <f>IFERROR(INDEX(KALENDER!$D$3:$D$132,MATCH(H3617,KALENDER!$A$3:$A$132,0)),"Di luar periode")</f>
        <v>Hari Kerja</v>
      </c>
      <c r="N3617" s="71">
        <f t="shared" si="505"/>
        <v>1</v>
      </c>
      <c r="O3617" s="71">
        <f t="shared" si="506"/>
        <v>1</v>
      </c>
      <c r="P3617" s="71">
        <f t="shared" si="507"/>
        <v>1</v>
      </c>
      <c r="Q3617" s="71">
        <f t="shared" si="508"/>
        <v>0</v>
      </c>
      <c r="R3617" s="71">
        <f t="shared" si="509"/>
        <v>0</v>
      </c>
      <c r="S3617" s="71">
        <f t="shared" si="510"/>
        <v>0</v>
      </c>
      <c r="T3617" s="71">
        <f t="shared" si="511"/>
        <v>1</v>
      </c>
      <c r="U3617" s="71">
        <f>IF(AND(N3617=1,V3617=1),IF(COUNTIFS(AKTIVITAS!$B$2:$B$3052,B3617,AKTIVITAS!$E$2:$E$3052,H3617)&gt;0,1,0),0)</f>
        <v>1</v>
      </c>
      <c r="V3617" s="71">
        <f>IFERROR(IF(AND(H3617&gt;=INDEX(PEMAGANG!$J$3:$J$36,MATCH(B3617,PEMAGANG!$C$3:$C$36,0)),H3617&lt;=INDEX(PEMAGANG!$K$3:$K$36,MATCH(B3617,PEMAGANG!$C$3:$C$36,0))),1,0),0)</f>
        <v>1</v>
      </c>
      <c r="W3617" s="71">
        <f t="shared" si="512"/>
        <v>1</v>
      </c>
    </row>
    <row r="3618" spans="1:23" x14ac:dyDescent="0.2">
      <c r="A3618" s="71" t="s">
        <v>225</v>
      </c>
      <c r="B3618" s="71" t="s">
        <v>226</v>
      </c>
      <c r="C3618" s="71" t="s">
        <v>187</v>
      </c>
      <c r="D3618" s="71" t="s">
        <v>224</v>
      </c>
      <c r="E3618" s="71" t="s">
        <v>52</v>
      </c>
      <c r="F3618" s="71" t="s">
        <v>298</v>
      </c>
      <c r="G3618" s="88">
        <v>46276.303842592599</v>
      </c>
      <c r="H3618" s="89">
        <v>46276</v>
      </c>
      <c r="I3618" s="71" t="s">
        <v>331</v>
      </c>
      <c r="J3618" s="71">
        <v>-13</v>
      </c>
      <c r="K3618" s="71" t="s">
        <v>302</v>
      </c>
      <c r="L3618" s="71">
        <f t="shared" si="504"/>
        <v>9</v>
      </c>
      <c r="M3618" s="71" t="str">
        <f>IFERROR(INDEX(KALENDER!$D$3:$D$132,MATCH(H3618,KALENDER!$A$3:$A$132,0)),"Di luar periode")</f>
        <v>Hari Kerja</v>
      </c>
      <c r="N3618" s="71">
        <f t="shared" si="505"/>
        <v>0</v>
      </c>
      <c r="O3618" s="71">
        <f t="shared" si="506"/>
        <v>2</v>
      </c>
      <c r="P3618" s="71">
        <f t="shared" si="507"/>
        <v>0</v>
      </c>
      <c r="Q3618" s="71">
        <f t="shared" si="508"/>
        <v>0</v>
      </c>
      <c r="R3618" s="71">
        <f t="shared" si="509"/>
        <v>0</v>
      </c>
      <c r="S3618" s="71">
        <f t="shared" si="510"/>
        <v>0</v>
      </c>
      <c r="T3618" s="71">
        <f t="shared" si="511"/>
        <v>0</v>
      </c>
      <c r="U3618" s="71">
        <f>IF(AND(N3618=1,V3618=1),IF(COUNTIFS(AKTIVITAS!$B$2:$B$3052,B3618,AKTIVITAS!$E$2:$E$3052,H3618)&gt;0,1,0),0)</f>
        <v>0</v>
      </c>
      <c r="V3618" s="71">
        <f>IFERROR(IF(AND(H3618&gt;=INDEX(PEMAGANG!$J$3:$J$36,MATCH(B3618,PEMAGANG!$C$3:$C$36,0)),H3618&lt;=INDEX(PEMAGANG!$K$3:$K$36,MATCH(B3618,PEMAGANG!$C$3:$C$36,0))),1,0),0)</f>
        <v>1</v>
      </c>
      <c r="W3618" s="71">
        <f t="shared" si="512"/>
        <v>0</v>
      </c>
    </row>
    <row r="3619" spans="1:23" x14ac:dyDescent="0.2">
      <c r="A3619" s="71" t="s">
        <v>225</v>
      </c>
      <c r="B3619" s="71" t="s">
        <v>226</v>
      </c>
      <c r="C3619" s="71" t="s">
        <v>187</v>
      </c>
      <c r="D3619" s="71" t="s">
        <v>224</v>
      </c>
      <c r="E3619" s="71" t="s">
        <v>52</v>
      </c>
      <c r="F3619" s="71" t="s">
        <v>298</v>
      </c>
      <c r="G3619" s="88">
        <v>46279.309583333299</v>
      </c>
      <c r="H3619" s="89">
        <v>46279</v>
      </c>
      <c r="I3619" s="71" t="s">
        <v>307</v>
      </c>
      <c r="J3619" s="71">
        <v>-4.9999999999999796</v>
      </c>
      <c r="K3619" s="71" t="s">
        <v>302</v>
      </c>
      <c r="L3619" s="71">
        <f t="shared" si="504"/>
        <v>9</v>
      </c>
      <c r="M3619" s="71" t="str">
        <f>IFERROR(INDEX(KALENDER!$D$3:$D$132,MATCH(H3619,KALENDER!$A$3:$A$132,0)),"Di luar periode")</f>
        <v>Hari Kerja</v>
      </c>
      <c r="N3619" s="71">
        <f t="shared" si="505"/>
        <v>1</v>
      </c>
      <c r="O3619" s="71">
        <f t="shared" si="506"/>
        <v>1</v>
      </c>
      <c r="P3619" s="71">
        <f t="shared" si="507"/>
        <v>1</v>
      </c>
      <c r="Q3619" s="71">
        <f t="shared" si="508"/>
        <v>0</v>
      </c>
      <c r="R3619" s="71">
        <f t="shared" si="509"/>
        <v>0</v>
      </c>
      <c r="S3619" s="71">
        <f t="shared" si="510"/>
        <v>0</v>
      </c>
      <c r="T3619" s="71">
        <f t="shared" si="511"/>
        <v>0</v>
      </c>
      <c r="U3619" s="71">
        <f>IF(AND(N3619=1,V3619=1),IF(COUNTIFS(AKTIVITAS!$B$2:$B$3052,B3619,AKTIVITAS!$E$2:$E$3052,H3619)&gt;0,1,0),0)</f>
        <v>1</v>
      </c>
      <c r="V3619" s="71">
        <f>IFERROR(IF(AND(H3619&gt;=INDEX(PEMAGANG!$J$3:$J$36,MATCH(B3619,PEMAGANG!$C$3:$C$36,0)),H3619&lt;=INDEX(PEMAGANG!$K$3:$K$36,MATCH(B3619,PEMAGANG!$C$3:$C$36,0))),1,0),0)</f>
        <v>1</v>
      </c>
      <c r="W3619" s="71">
        <f t="shared" si="512"/>
        <v>1</v>
      </c>
    </row>
    <row r="3620" spans="1:23" x14ac:dyDescent="0.2">
      <c r="A3620" s="71" t="s">
        <v>225</v>
      </c>
      <c r="B3620" s="71" t="s">
        <v>226</v>
      </c>
      <c r="C3620" s="71" t="s">
        <v>187</v>
      </c>
      <c r="D3620" s="71" t="s">
        <v>224</v>
      </c>
      <c r="E3620" s="71" t="s">
        <v>52</v>
      </c>
      <c r="F3620" s="71" t="s">
        <v>300</v>
      </c>
      <c r="G3620" s="88">
        <v>46279.6934259259</v>
      </c>
      <c r="H3620" s="89">
        <v>46279</v>
      </c>
      <c r="I3620" s="71" t="s">
        <v>317</v>
      </c>
      <c r="J3620" s="71">
        <v>0</v>
      </c>
      <c r="K3620" s="71" t="s">
        <v>302</v>
      </c>
      <c r="L3620" s="71">
        <f t="shared" si="504"/>
        <v>9</v>
      </c>
      <c r="M3620" s="71" t="str">
        <f>IFERROR(INDEX(KALENDER!$D$3:$D$132,MATCH(H3620,KALENDER!$A$3:$A$132,0)),"Di luar periode")</f>
        <v>Hari Kerja</v>
      </c>
      <c r="N3620" s="71">
        <f t="shared" si="505"/>
        <v>0</v>
      </c>
      <c r="O3620" s="71">
        <f t="shared" si="506"/>
        <v>1</v>
      </c>
      <c r="P3620" s="71">
        <f t="shared" si="507"/>
        <v>0</v>
      </c>
      <c r="Q3620" s="71">
        <f t="shared" si="508"/>
        <v>0</v>
      </c>
      <c r="R3620" s="71">
        <f t="shared" si="509"/>
        <v>0</v>
      </c>
      <c r="S3620" s="71">
        <f t="shared" si="510"/>
        <v>0</v>
      </c>
      <c r="T3620" s="71">
        <f t="shared" si="511"/>
        <v>0</v>
      </c>
      <c r="U3620" s="71">
        <f>IF(AND(N3620=1,V3620=1),IF(COUNTIFS(AKTIVITAS!$B$2:$B$3052,B3620,AKTIVITAS!$E$2:$E$3052,H3620)&gt;0,1,0),0)</f>
        <v>0</v>
      </c>
      <c r="V3620" s="71">
        <f>IFERROR(IF(AND(H3620&gt;=INDEX(PEMAGANG!$J$3:$J$36,MATCH(B3620,PEMAGANG!$C$3:$C$36,0)),H3620&lt;=INDEX(PEMAGANG!$K$3:$K$36,MATCH(B3620,PEMAGANG!$C$3:$C$36,0))),1,0),0)</f>
        <v>1</v>
      </c>
      <c r="W3620" s="71">
        <f t="shared" si="512"/>
        <v>0</v>
      </c>
    </row>
    <row r="3621" spans="1:23" x14ac:dyDescent="0.2">
      <c r="A3621" s="71" t="s">
        <v>225</v>
      </c>
      <c r="B3621" s="71" t="s">
        <v>226</v>
      </c>
      <c r="C3621" s="71" t="s">
        <v>187</v>
      </c>
      <c r="D3621" s="71" t="s">
        <v>224</v>
      </c>
      <c r="E3621" s="71" t="s">
        <v>52</v>
      </c>
      <c r="F3621" s="71" t="s">
        <v>298</v>
      </c>
      <c r="G3621" s="88">
        <v>46280.301122685203</v>
      </c>
      <c r="H3621" s="89">
        <v>46280</v>
      </c>
      <c r="I3621" s="71" t="s">
        <v>475</v>
      </c>
      <c r="J3621" s="71">
        <v>-17</v>
      </c>
      <c r="K3621" s="71" t="s">
        <v>302</v>
      </c>
      <c r="L3621" s="71">
        <f t="shared" si="504"/>
        <v>9</v>
      </c>
      <c r="M3621" s="71" t="str">
        <f>IFERROR(INDEX(KALENDER!$D$3:$D$132,MATCH(H3621,KALENDER!$A$3:$A$132,0)),"Di luar periode")</f>
        <v>Hari Kerja</v>
      </c>
      <c r="N3621" s="71">
        <f t="shared" si="505"/>
        <v>1</v>
      </c>
      <c r="O3621" s="71">
        <f t="shared" si="506"/>
        <v>1</v>
      </c>
      <c r="P3621" s="71">
        <f t="shared" si="507"/>
        <v>1</v>
      </c>
      <c r="Q3621" s="71">
        <f t="shared" si="508"/>
        <v>0</v>
      </c>
      <c r="R3621" s="71">
        <f t="shared" si="509"/>
        <v>0</v>
      </c>
      <c r="S3621" s="71">
        <f t="shared" si="510"/>
        <v>0</v>
      </c>
      <c r="T3621" s="71">
        <f t="shared" si="511"/>
        <v>0</v>
      </c>
      <c r="U3621" s="71">
        <f>IF(AND(N3621=1,V3621=1),IF(COUNTIFS(AKTIVITAS!$B$2:$B$3052,B3621,AKTIVITAS!$E$2:$E$3052,H3621)&gt;0,1,0),0)</f>
        <v>1</v>
      </c>
      <c r="V3621" s="71">
        <f>IFERROR(IF(AND(H3621&gt;=INDEX(PEMAGANG!$J$3:$J$36,MATCH(B3621,PEMAGANG!$C$3:$C$36,0)),H3621&lt;=INDEX(PEMAGANG!$K$3:$K$36,MATCH(B3621,PEMAGANG!$C$3:$C$36,0))),1,0),0)</f>
        <v>1</v>
      </c>
      <c r="W3621" s="71">
        <f t="shared" si="512"/>
        <v>1</v>
      </c>
    </row>
    <row r="3622" spans="1:23" x14ac:dyDescent="0.2">
      <c r="A3622" s="71" t="s">
        <v>225</v>
      </c>
      <c r="B3622" s="71" t="s">
        <v>226</v>
      </c>
      <c r="C3622" s="71" t="s">
        <v>187</v>
      </c>
      <c r="D3622" s="71" t="s">
        <v>224</v>
      </c>
      <c r="E3622" s="71" t="s">
        <v>52</v>
      </c>
      <c r="F3622" s="71" t="s">
        <v>300</v>
      </c>
      <c r="G3622" s="88">
        <v>46280.694918981499</v>
      </c>
      <c r="H3622" s="89">
        <v>46280</v>
      </c>
      <c r="I3622" s="71" t="s">
        <v>343</v>
      </c>
      <c r="J3622" s="71">
        <v>0</v>
      </c>
      <c r="K3622" s="71" t="s">
        <v>302</v>
      </c>
      <c r="L3622" s="71">
        <f t="shared" si="504"/>
        <v>9</v>
      </c>
      <c r="M3622" s="71" t="str">
        <f>IFERROR(INDEX(KALENDER!$D$3:$D$132,MATCH(H3622,KALENDER!$A$3:$A$132,0)),"Di luar periode")</f>
        <v>Hari Kerja</v>
      </c>
      <c r="N3622" s="71">
        <f t="shared" si="505"/>
        <v>0</v>
      </c>
      <c r="O3622" s="71">
        <f t="shared" si="506"/>
        <v>1</v>
      </c>
      <c r="P3622" s="71">
        <f t="shared" si="507"/>
        <v>0</v>
      </c>
      <c r="Q3622" s="71">
        <f t="shared" si="508"/>
        <v>0</v>
      </c>
      <c r="R3622" s="71">
        <f t="shared" si="509"/>
        <v>0</v>
      </c>
      <c r="S3622" s="71">
        <f t="shared" si="510"/>
        <v>0</v>
      </c>
      <c r="T3622" s="71">
        <f t="shared" si="511"/>
        <v>0</v>
      </c>
      <c r="U3622" s="71">
        <f>IF(AND(N3622=1,V3622=1),IF(COUNTIFS(AKTIVITAS!$B$2:$B$3052,B3622,AKTIVITAS!$E$2:$E$3052,H3622)&gt;0,1,0),0)</f>
        <v>0</v>
      </c>
      <c r="V3622" s="71">
        <f>IFERROR(IF(AND(H3622&gt;=INDEX(PEMAGANG!$J$3:$J$36,MATCH(B3622,PEMAGANG!$C$3:$C$36,0)),H3622&lt;=INDEX(PEMAGANG!$K$3:$K$36,MATCH(B3622,PEMAGANG!$C$3:$C$36,0))),1,0),0)</f>
        <v>1</v>
      </c>
      <c r="W3622" s="71">
        <f t="shared" si="512"/>
        <v>0</v>
      </c>
    </row>
    <row r="3623" spans="1:23" x14ac:dyDescent="0.2">
      <c r="A3623" s="71" t="s">
        <v>225</v>
      </c>
      <c r="B3623" s="71" t="s">
        <v>226</v>
      </c>
      <c r="C3623" s="71" t="s">
        <v>187</v>
      </c>
      <c r="D3623" s="71" t="s">
        <v>224</v>
      </c>
      <c r="E3623" s="71" t="s">
        <v>52</v>
      </c>
      <c r="F3623" s="71" t="s">
        <v>298</v>
      </c>
      <c r="G3623" s="88">
        <v>46282.309965277796</v>
      </c>
      <c r="H3623" s="89">
        <v>46282</v>
      </c>
      <c r="I3623" s="71" t="s">
        <v>315</v>
      </c>
      <c r="J3623" s="71">
        <v>-3.9999999999999898</v>
      </c>
      <c r="K3623" s="71" t="s">
        <v>302</v>
      </c>
      <c r="L3623" s="71">
        <f t="shared" si="504"/>
        <v>9</v>
      </c>
      <c r="M3623" s="71" t="str">
        <f>IFERROR(INDEX(KALENDER!$D$3:$D$132,MATCH(H3623,KALENDER!$A$3:$A$132,0)),"Di luar periode")</f>
        <v>Hari Kerja</v>
      </c>
      <c r="N3623" s="71">
        <f t="shared" si="505"/>
        <v>1</v>
      </c>
      <c r="O3623" s="71">
        <f t="shared" si="506"/>
        <v>1</v>
      </c>
      <c r="P3623" s="71">
        <f t="shared" si="507"/>
        <v>1</v>
      </c>
      <c r="Q3623" s="71">
        <f t="shared" si="508"/>
        <v>0</v>
      </c>
      <c r="R3623" s="71">
        <f t="shared" si="509"/>
        <v>0</v>
      </c>
      <c r="S3623" s="71">
        <f t="shared" si="510"/>
        <v>0</v>
      </c>
      <c r="T3623" s="71">
        <f t="shared" si="511"/>
        <v>0</v>
      </c>
      <c r="U3623" s="71">
        <f>IF(AND(N3623=1,V3623=1),IF(COUNTIFS(AKTIVITAS!$B$2:$B$3052,B3623,AKTIVITAS!$E$2:$E$3052,H3623)&gt;0,1,0),0)</f>
        <v>1</v>
      </c>
      <c r="V3623" s="71">
        <f>IFERROR(IF(AND(H3623&gt;=INDEX(PEMAGANG!$J$3:$J$36,MATCH(B3623,PEMAGANG!$C$3:$C$36,0)),H3623&lt;=INDEX(PEMAGANG!$K$3:$K$36,MATCH(B3623,PEMAGANG!$C$3:$C$36,0))),1,0),0)</f>
        <v>1</v>
      </c>
      <c r="W3623" s="71">
        <f t="shared" si="512"/>
        <v>1</v>
      </c>
    </row>
    <row r="3624" spans="1:23" x14ac:dyDescent="0.2">
      <c r="A3624" s="71" t="s">
        <v>225</v>
      </c>
      <c r="B3624" s="71" t="s">
        <v>226</v>
      </c>
      <c r="C3624" s="71" t="s">
        <v>187</v>
      </c>
      <c r="D3624" s="71" t="s">
        <v>224</v>
      </c>
      <c r="E3624" s="71" t="s">
        <v>52</v>
      </c>
      <c r="F3624" s="71" t="s">
        <v>300</v>
      </c>
      <c r="G3624" s="88">
        <v>46282.6906481482</v>
      </c>
      <c r="H3624" s="89">
        <v>46282</v>
      </c>
      <c r="I3624" s="71" t="s">
        <v>314</v>
      </c>
      <c r="J3624" s="71">
        <v>0</v>
      </c>
      <c r="K3624" s="71" t="s">
        <v>302</v>
      </c>
      <c r="L3624" s="71">
        <f t="shared" si="504"/>
        <v>9</v>
      </c>
      <c r="M3624" s="71" t="str">
        <f>IFERROR(INDEX(KALENDER!$D$3:$D$132,MATCH(H3624,KALENDER!$A$3:$A$132,0)),"Di luar periode")</f>
        <v>Hari Kerja</v>
      </c>
      <c r="N3624" s="71">
        <f t="shared" si="505"/>
        <v>0</v>
      </c>
      <c r="O3624" s="71">
        <f t="shared" si="506"/>
        <v>1</v>
      </c>
      <c r="P3624" s="71">
        <f t="shared" si="507"/>
        <v>0</v>
      </c>
      <c r="Q3624" s="71">
        <f t="shared" si="508"/>
        <v>0</v>
      </c>
      <c r="R3624" s="71">
        <f t="shared" si="509"/>
        <v>0</v>
      </c>
      <c r="S3624" s="71">
        <f t="shared" si="510"/>
        <v>0</v>
      </c>
      <c r="T3624" s="71">
        <f t="shared" si="511"/>
        <v>0</v>
      </c>
      <c r="U3624" s="71">
        <f>IF(AND(N3624=1,V3624=1),IF(COUNTIFS(AKTIVITAS!$B$2:$B$3052,B3624,AKTIVITAS!$E$2:$E$3052,H3624)&gt;0,1,0),0)</f>
        <v>0</v>
      </c>
      <c r="V3624" s="71">
        <f>IFERROR(IF(AND(H3624&gt;=INDEX(PEMAGANG!$J$3:$J$36,MATCH(B3624,PEMAGANG!$C$3:$C$36,0)),H3624&lt;=INDEX(PEMAGANG!$K$3:$K$36,MATCH(B3624,PEMAGANG!$C$3:$C$36,0))),1,0),0)</f>
        <v>1</v>
      </c>
      <c r="W3624" s="71">
        <f t="shared" si="512"/>
        <v>0</v>
      </c>
    </row>
    <row r="3625" spans="1:23" x14ac:dyDescent="0.2">
      <c r="A3625" s="71" t="s">
        <v>225</v>
      </c>
      <c r="B3625" s="71" t="s">
        <v>226</v>
      </c>
      <c r="C3625" s="71" t="s">
        <v>187</v>
      </c>
      <c r="D3625" s="71" t="s">
        <v>224</v>
      </c>
      <c r="E3625" s="71" t="s">
        <v>52</v>
      </c>
      <c r="F3625" s="71" t="s">
        <v>298</v>
      </c>
      <c r="G3625" s="88">
        <v>46283.301226851901</v>
      </c>
      <c r="H3625" s="89">
        <v>46283</v>
      </c>
      <c r="I3625" s="71" t="s">
        <v>475</v>
      </c>
      <c r="J3625" s="71">
        <v>-17</v>
      </c>
      <c r="K3625" s="71" t="s">
        <v>302</v>
      </c>
      <c r="L3625" s="71">
        <f t="shared" si="504"/>
        <v>9</v>
      </c>
      <c r="M3625" s="71" t="str">
        <f>IFERROR(INDEX(KALENDER!$D$3:$D$132,MATCH(H3625,KALENDER!$A$3:$A$132,0)),"Di luar periode")</f>
        <v>Hari Kerja</v>
      </c>
      <c r="N3625" s="71">
        <f t="shared" si="505"/>
        <v>1</v>
      </c>
      <c r="O3625" s="71">
        <f t="shared" si="506"/>
        <v>1</v>
      </c>
      <c r="P3625" s="71">
        <f t="shared" si="507"/>
        <v>1</v>
      </c>
      <c r="Q3625" s="71">
        <f t="shared" si="508"/>
        <v>0</v>
      </c>
      <c r="R3625" s="71">
        <f t="shared" si="509"/>
        <v>0</v>
      </c>
      <c r="S3625" s="71">
        <f t="shared" si="510"/>
        <v>0</v>
      </c>
      <c r="T3625" s="71">
        <f t="shared" si="511"/>
        <v>1</v>
      </c>
      <c r="U3625" s="71">
        <f>IF(AND(N3625=1,V3625=1),IF(COUNTIFS(AKTIVITAS!$B$2:$B$3052,B3625,AKTIVITAS!$E$2:$E$3052,H3625)&gt;0,1,0),0)</f>
        <v>1</v>
      </c>
      <c r="V3625" s="71">
        <f>IFERROR(IF(AND(H3625&gt;=INDEX(PEMAGANG!$J$3:$J$36,MATCH(B3625,PEMAGANG!$C$3:$C$36,0)),H3625&lt;=INDEX(PEMAGANG!$K$3:$K$36,MATCH(B3625,PEMAGANG!$C$3:$C$36,0))),1,0),0)</f>
        <v>1</v>
      </c>
      <c r="W3625" s="71">
        <f t="shared" si="512"/>
        <v>1</v>
      </c>
    </row>
    <row r="3626" spans="1:23" x14ac:dyDescent="0.2">
      <c r="A3626" s="71" t="s">
        <v>225</v>
      </c>
      <c r="B3626" s="71" t="s">
        <v>226</v>
      </c>
      <c r="C3626" s="71" t="s">
        <v>187</v>
      </c>
      <c r="D3626" s="71" t="s">
        <v>224</v>
      </c>
      <c r="E3626" s="71" t="s">
        <v>52</v>
      </c>
      <c r="F3626" s="71" t="s">
        <v>298</v>
      </c>
      <c r="G3626" s="88">
        <v>46286.300208333298</v>
      </c>
      <c r="H3626" s="89">
        <v>46286</v>
      </c>
      <c r="I3626" s="71" t="s">
        <v>478</v>
      </c>
      <c r="J3626" s="71">
        <v>-18</v>
      </c>
      <c r="K3626" s="71" t="s">
        <v>302</v>
      </c>
      <c r="L3626" s="71">
        <f t="shared" si="504"/>
        <v>9</v>
      </c>
      <c r="M3626" s="71" t="str">
        <f>IFERROR(INDEX(KALENDER!$D$3:$D$132,MATCH(H3626,KALENDER!$A$3:$A$132,0)),"Di luar periode")</f>
        <v>Hari Kerja</v>
      </c>
      <c r="N3626" s="71">
        <f t="shared" si="505"/>
        <v>1</v>
      </c>
      <c r="O3626" s="71">
        <f t="shared" si="506"/>
        <v>1</v>
      </c>
      <c r="P3626" s="71">
        <f t="shared" si="507"/>
        <v>1</v>
      </c>
      <c r="Q3626" s="71">
        <f t="shared" si="508"/>
        <v>0</v>
      </c>
      <c r="R3626" s="71">
        <f t="shared" si="509"/>
        <v>0</v>
      </c>
      <c r="S3626" s="71">
        <f t="shared" si="510"/>
        <v>0</v>
      </c>
      <c r="T3626" s="71">
        <f t="shared" si="511"/>
        <v>0</v>
      </c>
      <c r="U3626" s="71">
        <f>IF(AND(N3626=1,V3626=1),IF(COUNTIFS(AKTIVITAS!$B$2:$B$3052,B3626,AKTIVITAS!$E$2:$E$3052,H3626)&gt;0,1,0),0)</f>
        <v>1</v>
      </c>
      <c r="V3626" s="71">
        <f>IFERROR(IF(AND(H3626&gt;=INDEX(PEMAGANG!$J$3:$J$36,MATCH(B3626,PEMAGANG!$C$3:$C$36,0)),H3626&lt;=INDEX(PEMAGANG!$K$3:$K$36,MATCH(B3626,PEMAGANG!$C$3:$C$36,0))),1,0),0)</f>
        <v>1</v>
      </c>
      <c r="W3626" s="71">
        <f t="shared" si="512"/>
        <v>1</v>
      </c>
    </row>
    <row r="3627" spans="1:23" x14ac:dyDescent="0.2">
      <c r="A3627" s="71" t="s">
        <v>225</v>
      </c>
      <c r="B3627" s="71" t="s">
        <v>226</v>
      </c>
      <c r="C3627" s="71" t="s">
        <v>187</v>
      </c>
      <c r="D3627" s="71" t="s">
        <v>224</v>
      </c>
      <c r="E3627" s="71" t="s">
        <v>52</v>
      </c>
      <c r="F3627" s="71" t="s">
        <v>300</v>
      </c>
      <c r="G3627" s="88">
        <v>46286.690312500003</v>
      </c>
      <c r="H3627" s="89">
        <v>46286</v>
      </c>
      <c r="I3627" s="71" t="s">
        <v>314</v>
      </c>
      <c r="J3627" s="71">
        <v>0</v>
      </c>
      <c r="K3627" s="71" t="s">
        <v>302</v>
      </c>
      <c r="L3627" s="71">
        <f t="shared" si="504"/>
        <v>9</v>
      </c>
      <c r="M3627" s="71" t="str">
        <f>IFERROR(INDEX(KALENDER!$D$3:$D$132,MATCH(H3627,KALENDER!$A$3:$A$132,0)),"Di luar periode")</f>
        <v>Hari Kerja</v>
      </c>
      <c r="N3627" s="71">
        <f t="shared" si="505"/>
        <v>0</v>
      </c>
      <c r="O3627" s="71">
        <f t="shared" si="506"/>
        <v>1</v>
      </c>
      <c r="P3627" s="71">
        <f t="shared" si="507"/>
        <v>0</v>
      </c>
      <c r="Q3627" s="71">
        <f t="shared" si="508"/>
        <v>0</v>
      </c>
      <c r="R3627" s="71">
        <f t="shared" si="509"/>
        <v>0</v>
      </c>
      <c r="S3627" s="71">
        <f t="shared" si="510"/>
        <v>0</v>
      </c>
      <c r="T3627" s="71">
        <f t="shared" si="511"/>
        <v>0</v>
      </c>
      <c r="U3627" s="71">
        <f>IF(AND(N3627=1,V3627=1),IF(COUNTIFS(AKTIVITAS!$B$2:$B$3052,B3627,AKTIVITAS!$E$2:$E$3052,H3627)&gt;0,1,0),0)</f>
        <v>0</v>
      </c>
      <c r="V3627" s="71">
        <f>IFERROR(IF(AND(H3627&gt;=INDEX(PEMAGANG!$J$3:$J$36,MATCH(B3627,PEMAGANG!$C$3:$C$36,0)),H3627&lt;=INDEX(PEMAGANG!$K$3:$K$36,MATCH(B3627,PEMAGANG!$C$3:$C$36,0))),1,0),0)</f>
        <v>1</v>
      </c>
      <c r="W3627" s="71">
        <f t="shared" si="512"/>
        <v>0</v>
      </c>
    </row>
    <row r="3628" spans="1:23" x14ac:dyDescent="0.2">
      <c r="A3628" s="71" t="s">
        <v>225</v>
      </c>
      <c r="B3628" s="71" t="s">
        <v>226</v>
      </c>
      <c r="C3628" s="71" t="s">
        <v>187</v>
      </c>
      <c r="D3628" s="71" t="s">
        <v>224</v>
      </c>
      <c r="E3628" s="71" t="s">
        <v>52</v>
      </c>
      <c r="F3628" s="71" t="s">
        <v>298</v>
      </c>
      <c r="G3628" s="88">
        <v>46287.3003356482</v>
      </c>
      <c r="H3628" s="89">
        <v>46287</v>
      </c>
      <c r="I3628" s="71" t="s">
        <v>478</v>
      </c>
      <c r="J3628" s="71">
        <v>-18</v>
      </c>
      <c r="K3628" s="71" t="s">
        <v>302</v>
      </c>
      <c r="L3628" s="71">
        <f t="shared" si="504"/>
        <v>9</v>
      </c>
      <c r="M3628" s="71" t="str">
        <f>IFERROR(INDEX(KALENDER!$D$3:$D$132,MATCH(H3628,KALENDER!$A$3:$A$132,0)),"Di luar periode")</f>
        <v>Hari Kerja</v>
      </c>
      <c r="N3628" s="71">
        <f t="shared" si="505"/>
        <v>1</v>
      </c>
      <c r="O3628" s="71">
        <f t="shared" si="506"/>
        <v>1</v>
      </c>
      <c r="P3628" s="71">
        <f t="shared" si="507"/>
        <v>1</v>
      </c>
      <c r="Q3628" s="71">
        <f t="shared" si="508"/>
        <v>0</v>
      </c>
      <c r="R3628" s="71">
        <f t="shared" si="509"/>
        <v>0</v>
      </c>
      <c r="S3628" s="71">
        <f t="shared" si="510"/>
        <v>0</v>
      </c>
      <c r="T3628" s="71">
        <f t="shared" si="511"/>
        <v>0</v>
      </c>
      <c r="U3628" s="71">
        <f>IF(AND(N3628=1,V3628=1),IF(COUNTIFS(AKTIVITAS!$B$2:$B$3052,B3628,AKTIVITAS!$E$2:$E$3052,H3628)&gt;0,1,0),0)</f>
        <v>1</v>
      </c>
      <c r="V3628" s="71">
        <f>IFERROR(IF(AND(H3628&gt;=INDEX(PEMAGANG!$J$3:$J$36,MATCH(B3628,PEMAGANG!$C$3:$C$36,0)),H3628&lt;=INDEX(PEMAGANG!$K$3:$K$36,MATCH(B3628,PEMAGANG!$C$3:$C$36,0))),1,0),0)</f>
        <v>1</v>
      </c>
      <c r="W3628" s="71">
        <f t="shared" si="512"/>
        <v>1</v>
      </c>
    </row>
    <row r="3629" spans="1:23" x14ac:dyDescent="0.2">
      <c r="A3629" s="71" t="s">
        <v>225</v>
      </c>
      <c r="B3629" s="71" t="s">
        <v>226</v>
      </c>
      <c r="C3629" s="71" t="s">
        <v>187</v>
      </c>
      <c r="D3629" s="71" t="s">
        <v>224</v>
      </c>
      <c r="E3629" s="71" t="s">
        <v>52</v>
      </c>
      <c r="F3629" s="71" t="s">
        <v>300</v>
      </c>
      <c r="G3629" s="88">
        <v>46287.689178240696</v>
      </c>
      <c r="H3629" s="89">
        <v>46287</v>
      </c>
      <c r="I3629" s="71" t="s">
        <v>306</v>
      </c>
      <c r="J3629" s="71">
        <v>0</v>
      </c>
      <c r="K3629" s="71" t="s">
        <v>302</v>
      </c>
      <c r="L3629" s="71">
        <f t="shared" si="504"/>
        <v>9</v>
      </c>
      <c r="M3629" s="71" t="str">
        <f>IFERROR(INDEX(KALENDER!$D$3:$D$132,MATCH(H3629,KALENDER!$A$3:$A$132,0)),"Di luar periode")</f>
        <v>Hari Kerja</v>
      </c>
      <c r="N3629" s="71">
        <f t="shared" si="505"/>
        <v>0</v>
      </c>
      <c r="O3629" s="71">
        <f t="shared" si="506"/>
        <v>1</v>
      </c>
      <c r="P3629" s="71">
        <f t="shared" si="507"/>
        <v>0</v>
      </c>
      <c r="Q3629" s="71">
        <f t="shared" si="508"/>
        <v>0</v>
      </c>
      <c r="R3629" s="71">
        <f t="shared" si="509"/>
        <v>0</v>
      </c>
      <c r="S3629" s="71">
        <f t="shared" si="510"/>
        <v>0</v>
      </c>
      <c r="T3629" s="71">
        <f t="shared" si="511"/>
        <v>0</v>
      </c>
      <c r="U3629" s="71">
        <f>IF(AND(N3629=1,V3629=1),IF(COUNTIFS(AKTIVITAS!$B$2:$B$3052,B3629,AKTIVITAS!$E$2:$E$3052,H3629)&gt;0,1,0),0)</f>
        <v>0</v>
      </c>
      <c r="V3629" s="71">
        <f>IFERROR(IF(AND(H3629&gt;=INDEX(PEMAGANG!$J$3:$J$36,MATCH(B3629,PEMAGANG!$C$3:$C$36,0)),H3629&lt;=INDEX(PEMAGANG!$K$3:$K$36,MATCH(B3629,PEMAGANG!$C$3:$C$36,0))),1,0),0)</f>
        <v>1</v>
      </c>
      <c r="W3629" s="71">
        <f t="shared" si="512"/>
        <v>0</v>
      </c>
    </row>
    <row r="3630" spans="1:23" x14ac:dyDescent="0.2">
      <c r="A3630" s="71" t="s">
        <v>225</v>
      </c>
      <c r="B3630" s="71" t="s">
        <v>226</v>
      </c>
      <c r="C3630" s="71" t="s">
        <v>187</v>
      </c>
      <c r="D3630" s="71" t="s">
        <v>224</v>
      </c>
      <c r="E3630" s="71" t="s">
        <v>52</v>
      </c>
      <c r="F3630" s="71" t="s">
        <v>298</v>
      </c>
      <c r="G3630" s="88">
        <v>46288.301956018498</v>
      </c>
      <c r="H3630" s="89">
        <v>46288</v>
      </c>
      <c r="I3630" s="71" t="s">
        <v>416</v>
      </c>
      <c r="J3630" s="71">
        <v>-16</v>
      </c>
      <c r="K3630" s="71" t="s">
        <v>302</v>
      </c>
      <c r="L3630" s="71">
        <f t="shared" si="504"/>
        <v>9</v>
      </c>
      <c r="M3630" s="71" t="str">
        <f>IFERROR(INDEX(KALENDER!$D$3:$D$132,MATCH(H3630,KALENDER!$A$3:$A$132,0)),"Di luar periode")</f>
        <v>Hari Kerja</v>
      </c>
      <c r="N3630" s="71">
        <f t="shared" si="505"/>
        <v>1</v>
      </c>
      <c r="O3630" s="71">
        <f t="shared" si="506"/>
        <v>1</v>
      </c>
      <c r="P3630" s="71">
        <f t="shared" si="507"/>
        <v>1</v>
      </c>
      <c r="Q3630" s="71">
        <f t="shared" si="508"/>
        <v>0</v>
      </c>
      <c r="R3630" s="71">
        <f t="shared" si="509"/>
        <v>0</v>
      </c>
      <c r="S3630" s="71">
        <f t="shared" si="510"/>
        <v>0</v>
      </c>
      <c r="T3630" s="71">
        <f t="shared" si="511"/>
        <v>0</v>
      </c>
      <c r="U3630" s="71">
        <f>IF(AND(N3630=1,V3630=1),IF(COUNTIFS(AKTIVITAS!$B$2:$B$3052,B3630,AKTIVITAS!$E$2:$E$3052,H3630)&gt;0,1,0),0)</f>
        <v>1</v>
      </c>
      <c r="V3630" s="71">
        <f>IFERROR(IF(AND(H3630&gt;=INDEX(PEMAGANG!$J$3:$J$36,MATCH(B3630,PEMAGANG!$C$3:$C$36,0)),H3630&lt;=INDEX(PEMAGANG!$K$3:$K$36,MATCH(B3630,PEMAGANG!$C$3:$C$36,0))),1,0),0)</f>
        <v>1</v>
      </c>
      <c r="W3630" s="71">
        <f t="shared" si="512"/>
        <v>1</v>
      </c>
    </row>
    <row r="3631" spans="1:23" x14ac:dyDescent="0.2">
      <c r="A3631" s="71" t="s">
        <v>225</v>
      </c>
      <c r="B3631" s="71" t="s">
        <v>226</v>
      </c>
      <c r="C3631" s="71" t="s">
        <v>187</v>
      </c>
      <c r="D3631" s="71" t="s">
        <v>224</v>
      </c>
      <c r="E3631" s="71" t="s">
        <v>52</v>
      </c>
      <c r="F3631" s="71" t="s">
        <v>300</v>
      </c>
      <c r="G3631" s="88">
        <v>46288.689143518503</v>
      </c>
      <c r="H3631" s="89">
        <v>46288</v>
      </c>
      <c r="I3631" s="71" t="s">
        <v>306</v>
      </c>
      <c r="J3631" s="71">
        <v>0</v>
      </c>
      <c r="K3631" s="71" t="s">
        <v>302</v>
      </c>
      <c r="L3631" s="71">
        <f t="shared" si="504"/>
        <v>9</v>
      </c>
      <c r="M3631" s="71" t="str">
        <f>IFERROR(INDEX(KALENDER!$D$3:$D$132,MATCH(H3631,KALENDER!$A$3:$A$132,0)),"Di luar periode")</f>
        <v>Hari Kerja</v>
      </c>
      <c r="N3631" s="71">
        <f t="shared" si="505"/>
        <v>0</v>
      </c>
      <c r="O3631" s="71">
        <f t="shared" si="506"/>
        <v>1</v>
      </c>
      <c r="P3631" s="71">
        <f t="shared" si="507"/>
        <v>0</v>
      </c>
      <c r="Q3631" s="71">
        <f t="shared" si="508"/>
        <v>0</v>
      </c>
      <c r="R3631" s="71">
        <f t="shared" si="509"/>
        <v>0</v>
      </c>
      <c r="S3631" s="71">
        <f t="shared" si="510"/>
        <v>0</v>
      </c>
      <c r="T3631" s="71">
        <f t="shared" si="511"/>
        <v>0</v>
      </c>
      <c r="U3631" s="71">
        <f>IF(AND(N3631=1,V3631=1),IF(COUNTIFS(AKTIVITAS!$B$2:$B$3052,B3631,AKTIVITAS!$E$2:$E$3052,H3631)&gt;0,1,0),0)</f>
        <v>0</v>
      </c>
      <c r="V3631" s="71">
        <f>IFERROR(IF(AND(H3631&gt;=INDEX(PEMAGANG!$J$3:$J$36,MATCH(B3631,PEMAGANG!$C$3:$C$36,0)),H3631&lt;=INDEX(PEMAGANG!$K$3:$K$36,MATCH(B3631,PEMAGANG!$C$3:$C$36,0))),1,0),0)</f>
        <v>1</v>
      </c>
      <c r="W3631" s="71">
        <f t="shared" si="512"/>
        <v>0</v>
      </c>
    </row>
    <row r="3632" spans="1:23" x14ac:dyDescent="0.2">
      <c r="A3632" s="71" t="s">
        <v>225</v>
      </c>
      <c r="B3632" s="71" t="s">
        <v>226</v>
      </c>
      <c r="C3632" s="71" t="s">
        <v>187</v>
      </c>
      <c r="D3632" s="71" t="s">
        <v>224</v>
      </c>
      <c r="E3632" s="71" t="s">
        <v>52</v>
      </c>
      <c r="F3632" s="71" t="s">
        <v>298</v>
      </c>
      <c r="G3632" s="88">
        <v>46289.300937499997</v>
      </c>
      <c r="H3632" s="89">
        <v>46289</v>
      </c>
      <c r="I3632" s="71" t="s">
        <v>475</v>
      </c>
      <c r="J3632" s="71">
        <v>-17</v>
      </c>
      <c r="K3632" s="71" t="s">
        <v>302</v>
      </c>
      <c r="L3632" s="71">
        <f t="shared" si="504"/>
        <v>9</v>
      </c>
      <c r="M3632" s="71" t="str">
        <f>IFERROR(INDEX(KALENDER!$D$3:$D$132,MATCH(H3632,KALENDER!$A$3:$A$132,0)),"Di luar periode")</f>
        <v>Hari Kerja</v>
      </c>
      <c r="N3632" s="71">
        <f t="shared" si="505"/>
        <v>1</v>
      </c>
      <c r="O3632" s="71">
        <f t="shared" si="506"/>
        <v>1</v>
      </c>
      <c r="P3632" s="71">
        <f t="shared" si="507"/>
        <v>1</v>
      </c>
      <c r="Q3632" s="71">
        <f t="shared" si="508"/>
        <v>0</v>
      </c>
      <c r="R3632" s="71">
        <f t="shared" si="509"/>
        <v>0</v>
      </c>
      <c r="S3632" s="71">
        <f t="shared" si="510"/>
        <v>0</v>
      </c>
      <c r="T3632" s="71">
        <f t="shared" si="511"/>
        <v>0</v>
      </c>
      <c r="U3632" s="71">
        <f>IF(AND(N3632=1,V3632=1),IF(COUNTIFS(AKTIVITAS!$B$2:$B$3052,B3632,AKTIVITAS!$E$2:$E$3052,H3632)&gt;0,1,0),0)</f>
        <v>1</v>
      </c>
      <c r="V3632" s="71">
        <f>IFERROR(IF(AND(H3632&gt;=INDEX(PEMAGANG!$J$3:$J$36,MATCH(B3632,PEMAGANG!$C$3:$C$36,0)),H3632&lt;=INDEX(PEMAGANG!$K$3:$K$36,MATCH(B3632,PEMAGANG!$C$3:$C$36,0))),1,0),0)</f>
        <v>1</v>
      </c>
      <c r="W3632" s="71">
        <f t="shared" si="512"/>
        <v>1</v>
      </c>
    </row>
    <row r="3633" spans="1:23" x14ac:dyDescent="0.2">
      <c r="A3633" s="71" t="s">
        <v>225</v>
      </c>
      <c r="B3633" s="71" t="s">
        <v>226</v>
      </c>
      <c r="C3633" s="71" t="s">
        <v>187</v>
      </c>
      <c r="D3633" s="71" t="s">
        <v>224</v>
      </c>
      <c r="E3633" s="71" t="s">
        <v>52</v>
      </c>
      <c r="F3633" s="71" t="s">
        <v>300</v>
      </c>
      <c r="G3633" s="88">
        <v>46289.6886226852</v>
      </c>
      <c r="H3633" s="89">
        <v>46289</v>
      </c>
      <c r="I3633" s="71" t="s">
        <v>336</v>
      </c>
      <c r="J3633" s="71">
        <v>0</v>
      </c>
      <c r="K3633" s="71" t="s">
        <v>302</v>
      </c>
      <c r="L3633" s="71">
        <f t="shared" si="504"/>
        <v>9</v>
      </c>
      <c r="M3633" s="71" t="str">
        <f>IFERROR(INDEX(KALENDER!$D$3:$D$132,MATCH(H3633,KALENDER!$A$3:$A$132,0)),"Di luar periode")</f>
        <v>Hari Kerja</v>
      </c>
      <c r="N3633" s="71">
        <f t="shared" si="505"/>
        <v>0</v>
      </c>
      <c r="O3633" s="71">
        <f t="shared" si="506"/>
        <v>1</v>
      </c>
      <c r="P3633" s="71">
        <f t="shared" si="507"/>
        <v>0</v>
      </c>
      <c r="Q3633" s="71">
        <f t="shared" si="508"/>
        <v>0</v>
      </c>
      <c r="R3633" s="71">
        <f t="shared" si="509"/>
        <v>0</v>
      </c>
      <c r="S3633" s="71">
        <f t="shared" si="510"/>
        <v>0</v>
      </c>
      <c r="T3633" s="71">
        <f t="shared" si="511"/>
        <v>0</v>
      </c>
      <c r="U3633" s="71">
        <f>IF(AND(N3633=1,V3633=1),IF(COUNTIFS(AKTIVITAS!$B$2:$B$3052,B3633,AKTIVITAS!$E$2:$E$3052,H3633)&gt;0,1,0),0)</f>
        <v>0</v>
      </c>
      <c r="V3633" s="71">
        <f>IFERROR(IF(AND(H3633&gt;=INDEX(PEMAGANG!$J$3:$J$36,MATCH(B3633,PEMAGANG!$C$3:$C$36,0)),H3633&lt;=INDEX(PEMAGANG!$K$3:$K$36,MATCH(B3633,PEMAGANG!$C$3:$C$36,0))),1,0),0)</f>
        <v>1</v>
      </c>
      <c r="W3633" s="71">
        <f t="shared" si="512"/>
        <v>0</v>
      </c>
    </row>
    <row r="3634" spans="1:23" x14ac:dyDescent="0.2">
      <c r="A3634" s="71" t="s">
        <v>225</v>
      </c>
      <c r="B3634" s="71" t="s">
        <v>226</v>
      </c>
      <c r="C3634" s="71" t="s">
        <v>187</v>
      </c>
      <c r="D3634" s="71" t="s">
        <v>224</v>
      </c>
      <c r="E3634" s="71" t="s">
        <v>52</v>
      </c>
      <c r="F3634" s="71" t="s">
        <v>298</v>
      </c>
      <c r="G3634" s="88">
        <v>46290.304837962998</v>
      </c>
      <c r="H3634" s="89">
        <v>46290</v>
      </c>
      <c r="I3634" s="71" t="s">
        <v>326</v>
      </c>
      <c r="J3634" s="71">
        <v>-12</v>
      </c>
      <c r="K3634" s="71" t="s">
        <v>302</v>
      </c>
      <c r="L3634" s="71">
        <f t="shared" si="504"/>
        <v>9</v>
      </c>
      <c r="M3634" s="71" t="str">
        <f>IFERROR(INDEX(KALENDER!$D$3:$D$132,MATCH(H3634,KALENDER!$A$3:$A$132,0)),"Di luar periode")</f>
        <v>Hari Kerja</v>
      </c>
      <c r="N3634" s="71">
        <f t="shared" si="505"/>
        <v>1</v>
      </c>
      <c r="O3634" s="71">
        <f t="shared" si="506"/>
        <v>1</v>
      </c>
      <c r="P3634" s="71">
        <f t="shared" si="507"/>
        <v>1</v>
      </c>
      <c r="Q3634" s="71">
        <f t="shared" si="508"/>
        <v>0</v>
      </c>
      <c r="R3634" s="71">
        <f t="shared" si="509"/>
        <v>0</v>
      </c>
      <c r="S3634" s="71">
        <f t="shared" si="510"/>
        <v>0</v>
      </c>
      <c r="T3634" s="71">
        <f t="shared" si="511"/>
        <v>0</v>
      </c>
      <c r="U3634" s="71">
        <f>IF(AND(N3634=1,V3634=1),IF(COUNTIFS(AKTIVITAS!$B$2:$B$3052,B3634,AKTIVITAS!$E$2:$E$3052,H3634)&gt;0,1,0),0)</f>
        <v>1</v>
      </c>
      <c r="V3634" s="71">
        <f>IFERROR(IF(AND(H3634&gt;=INDEX(PEMAGANG!$J$3:$J$36,MATCH(B3634,PEMAGANG!$C$3:$C$36,0)),H3634&lt;=INDEX(PEMAGANG!$K$3:$K$36,MATCH(B3634,PEMAGANG!$C$3:$C$36,0))),1,0),0)</f>
        <v>1</v>
      </c>
      <c r="W3634" s="71">
        <f t="shared" si="512"/>
        <v>1</v>
      </c>
    </row>
    <row r="3635" spans="1:23" x14ac:dyDescent="0.2">
      <c r="A3635" s="71" t="s">
        <v>225</v>
      </c>
      <c r="B3635" s="71" t="s">
        <v>226</v>
      </c>
      <c r="C3635" s="71" t="s">
        <v>187</v>
      </c>
      <c r="D3635" s="71" t="s">
        <v>224</v>
      </c>
      <c r="E3635" s="71" t="s">
        <v>52</v>
      </c>
      <c r="F3635" s="71" t="s">
        <v>300</v>
      </c>
      <c r="G3635" s="88">
        <v>46290.688854166699</v>
      </c>
      <c r="H3635" s="89">
        <v>46290</v>
      </c>
      <c r="I3635" s="71" t="s">
        <v>336</v>
      </c>
      <c r="J3635" s="71">
        <v>0</v>
      </c>
      <c r="K3635" s="71" t="s">
        <v>302</v>
      </c>
      <c r="L3635" s="71">
        <f t="shared" si="504"/>
        <v>9</v>
      </c>
      <c r="M3635" s="71" t="str">
        <f>IFERROR(INDEX(KALENDER!$D$3:$D$132,MATCH(H3635,KALENDER!$A$3:$A$132,0)),"Di luar periode")</f>
        <v>Hari Kerja</v>
      </c>
      <c r="N3635" s="71">
        <f t="shared" si="505"/>
        <v>0</v>
      </c>
      <c r="O3635" s="71">
        <f t="shared" si="506"/>
        <v>1</v>
      </c>
      <c r="P3635" s="71">
        <f t="shared" si="507"/>
        <v>0</v>
      </c>
      <c r="Q3635" s="71">
        <f t="shared" si="508"/>
        <v>0</v>
      </c>
      <c r="R3635" s="71">
        <f t="shared" si="509"/>
        <v>0</v>
      </c>
      <c r="S3635" s="71">
        <f t="shared" si="510"/>
        <v>0</v>
      </c>
      <c r="T3635" s="71">
        <f t="shared" si="511"/>
        <v>0</v>
      </c>
      <c r="U3635" s="71">
        <f>IF(AND(N3635=1,V3635=1),IF(COUNTIFS(AKTIVITAS!$B$2:$B$3052,B3635,AKTIVITAS!$E$2:$E$3052,H3635)&gt;0,1,0),0)</f>
        <v>0</v>
      </c>
      <c r="V3635" s="71">
        <f>IFERROR(IF(AND(H3635&gt;=INDEX(PEMAGANG!$J$3:$J$36,MATCH(B3635,PEMAGANG!$C$3:$C$36,0)),H3635&lt;=INDEX(PEMAGANG!$K$3:$K$36,MATCH(B3635,PEMAGANG!$C$3:$C$36,0))),1,0),0)</f>
        <v>1</v>
      </c>
      <c r="W3635" s="71">
        <f t="shared" si="512"/>
        <v>0</v>
      </c>
    </row>
    <row r="3636" spans="1:23" x14ac:dyDescent="0.2">
      <c r="A3636" s="71" t="s">
        <v>225</v>
      </c>
      <c r="B3636" s="71" t="s">
        <v>226</v>
      </c>
      <c r="C3636" s="71" t="s">
        <v>187</v>
      </c>
      <c r="D3636" s="71" t="s">
        <v>224</v>
      </c>
      <c r="E3636" s="71" t="s">
        <v>52</v>
      </c>
      <c r="F3636" s="71" t="s">
        <v>298</v>
      </c>
      <c r="G3636" s="88">
        <v>46293.301307870403</v>
      </c>
      <c r="H3636" s="89">
        <v>46293</v>
      </c>
      <c r="I3636" s="71" t="s">
        <v>475</v>
      </c>
      <c r="J3636" s="71">
        <v>-17</v>
      </c>
      <c r="K3636" s="71" t="s">
        <v>302</v>
      </c>
      <c r="L3636" s="71">
        <f t="shared" si="504"/>
        <v>9</v>
      </c>
      <c r="M3636" s="71" t="str">
        <f>IFERROR(INDEX(KALENDER!$D$3:$D$132,MATCH(H3636,KALENDER!$A$3:$A$132,0)),"Di luar periode")</f>
        <v>Hari Kerja</v>
      </c>
      <c r="N3636" s="71">
        <f t="shared" si="505"/>
        <v>1</v>
      </c>
      <c r="O3636" s="71">
        <f t="shared" si="506"/>
        <v>1</v>
      </c>
      <c r="P3636" s="71">
        <f t="shared" si="507"/>
        <v>1</v>
      </c>
      <c r="Q3636" s="71">
        <f t="shared" si="508"/>
        <v>0</v>
      </c>
      <c r="R3636" s="71">
        <f t="shared" si="509"/>
        <v>0</v>
      </c>
      <c r="S3636" s="71">
        <f t="shared" si="510"/>
        <v>0</v>
      </c>
      <c r="T3636" s="71">
        <f t="shared" si="511"/>
        <v>0</v>
      </c>
      <c r="U3636" s="71">
        <f>IF(AND(N3636=1,V3636=1),IF(COUNTIFS(AKTIVITAS!$B$2:$B$3052,B3636,AKTIVITAS!$E$2:$E$3052,H3636)&gt;0,1,0),0)</f>
        <v>1</v>
      </c>
      <c r="V3636" s="71">
        <f>IFERROR(IF(AND(H3636&gt;=INDEX(PEMAGANG!$J$3:$J$36,MATCH(B3636,PEMAGANG!$C$3:$C$36,0)),H3636&lt;=INDEX(PEMAGANG!$K$3:$K$36,MATCH(B3636,PEMAGANG!$C$3:$C$36,0))),1,0),0)</f>
        <v>1</v>
      </c>
      <c r="W3636" s="71">
        <f t="shared" si="512"/>
        <v>1</v>
      </c>
    </row>
    <row r="3637" spans="1:23" x14ac:dyDescent="0.2">
      <c r="A3637" s="71" t="s">
        <v>225</v>
      </c>
      <c r="B3637" s="71" t="s">
        <v>226</v>
      </c>
      <c r="C3637" s="71" t="s">
        <v>187</v>
      </c>
      <c r="D3637" s="71" t="s">
        <v>224</v>
      </c>
      <c r="E3637" s="71" t="s">
        <v>52</v>
      </c>
      <c r="F3637" s="71" t="s">
        <v>298</v>
      </c>
      <c r="G3637" s="88">
        <v>46293.301388888904</v>
      </c>
      <c r="H3637" s="89">
        <v>46293</v>
      </c>
      <c r="I3637" s="71" t="s">
        <v>416</v>
      </c>
      <c r="J3637" s="71">
        <v>-16</v>
      </c>
      <c r="K3637" s="71" t="s">
        <v>302</v>
      </c>
      <c r="L3637" s="71">
        <f t="shared" si="504"/>
        <v>9</v>
      </c>
      <c r="M3637" s="71" t="str">
        <f>IFERROR(INDEX(KALENDER!$D$3:$D$132,MATCH(H3637,KALENDER!$A$3:$A$132,0)),"Di luar periode")</f>
        <v>Hari Kerja</v>
      </c>
      <c r="N3637" s="71">
        <f t="shared" si="505"/>
        <v>0</v>
      </c>
      <c r="O3637" s="71">
        <f t="shared" si="506"/>
        <v>2</v>
      </c>
      <c r="P3637" s="71">
        <f t="shared" si="507"/>
        <v>0</v>
      </c>
      <c r="Q3637" s="71">
        <f t="shared" si="508"/>
        <v>0</v>
      </c>
      <c r="R3637" s="71">
        <f t="shared" si="509"/>
        <v>0</v>
      </c>
      <c r="S3637" s="71">
        <f t="shared" si="510"/>
        <v>0</v>
      </c>
      <c r="T3637" s="71">
        <f t="shared" si="511"/>
        <v>0</v>
      </c>
      <c r="U3637" s="71">
        <f>IF(AND(N3637=1,V3637=1),IF(COUNTIFS(AKTIVITAS!$B$2:$B$3052,B3637,AKTIVITAS!$E$2:$E$3052,H3637)&gt;0,1,0),0)</f>
        <v>0</v>
      </c>
      <c r="V3637" s="71">
        <f>IFERROR(IF(AND(H3637&gt;=INDEX(PEMAGANG!$J$3:$J$36,MATCH(B3637,PEMAGANG!$C$3:$C$36,0)),H3637&lt;=INDEX(PEMAGANG!$K$3:$K$36,MATCH(B3637,PEMAGANG!$C$3:$C$36,0))),1,0),0)</f>
        <v>1</v>
      </c>
      <c r="W3637" s="71">
        <f t="shared" si="512"/>
        <v>0</v>
      </c>
    </row>
    <row r="3638" spans="1:23" x14ac:dyDescent="0.2">
      <c r="A3638" s="71" t="s">
        <v>225</v>
      </c>
      <c r="B3638" s="71" t="s">
        <v>226</v>
      </c>
      <c r="C3638" s="71" t="s">
        <v>187</v>
      </c>
      <c r="D3638" s="71" t="s">
        <v>224</v>
      </c>
      <c r="E3638" s="71" t="s">
        <v>52</v>
      </c>
      <c r="F3638" s="71" t="s">
        <v>300</v>
      </c>
      <c r="G3638" s="88">
        <v>46293.6899305556</v>
      </c>
      <c r="H3638" s="89">
        <v>46293</v>
      </c>
      <c r="I3638" s="71" t="s">
        <v>316</v>
      </c>
      <c r="J3638" s="71">
        <v>0</v>
      </c>
      <c r="K3638" s="71" t="s">
        <v>302</v>
      </c>
      <c r="L3638" s="71">
        <f t="shared" si="504"/>
        <v>9</v>
      </c>
      <c r="M3638" s="71" t="str">
        <f>IFERROR(INDEX(KALENDER!$D$3:$D$132,MATCH(H3638,KALENDER!$A$3:$A$132,0)),"Di luar periode")</f>
        <v>Hari Kerja</v>
      </c>
      <c r="N3638" s="71">
        <f t="shared" si="505"/>
        <v>0</v>
      </c>
      <c r="O3638" s="71">
        <f t="shared" si="506"/>
        <v>2</v>
      </c>
      <c r="P3638" s="71">
        <f t="shared" si="507"/>
        <v>0</v>
      </c>
      <c r="Q3638" s="71">
        <f t="shared" si="508"/>
        <v>0</v>
      </c>
      <c r="R3638" s="71">
        <f t="shared" si="509"/>
        <v>0</v>
      </c>
      <c r="S3638" s="71">
        <f t="shared" si="510"/>
        <v>0</v>
      </c>
      <c r="T3638" s="71">
        <f t="shared" si="511"/>
        <v>0</v>
      </c>
      <c r="U3638" s="71">
        <f>IF(AND(N3638=1,V3638=1),IF(COUNTIFS(AKTIVITAS!$B$2:$B$3052,B3638,AKTIVITAS!$E$2:$E$3052,H3638)&gt;0,1,0),0)</f>
        <v>0</v>
      </c>
      <c r="V3638" s="71">
        <f>IFERROR(IF(AND(H3638&gt;=INDEX(PEMAGANG!$J$3:$J$36,MATCH(B3638,PEMAGANG!$C$3:$C$36,0)),H3638&lt;=INDEX(PEMAGANG!$K$3:$K$36,MATCH(B3638,PEMAGANG!$C$3:$C$36,0))),1,0),0)</f>
        <v>1</v>
      </c>
      <c r="W3638" s="71">
        <f t="shared" si="512"/>
        <v>0</v>
      </c>
    </row>
    <row r="3639" spans="1:23" x14ac:dyDescent="0.2">
      <c r="A3639" s="71" t="s">
        <v>225</v>
      </c>
      <c r="B3639" s="71" t="s">
        <v>226</v>
      </c>
      <c r="C3639" s="71" t="s">
        <v>187</v>
      </c>
      <c r="D3639" s="71" t="s">
        <v>224</v>
      </c>
      <c r="E3639" s="71" t="s">
        <v>52</v>
      </c>
      <c r="F3639" s="71" t="s">
        <v>298</v>
      </c>
      <c r="G3639" s="88">
        <v>46294.302326388897</v>
      </c>
      <c r="H3639" s="89">
        <v>46294</v>
      </c>
      <c r="I3639" s="71" t="s">
        <v>370</v>
      </c>
      <c r="J3639" s="71">
        <v>-15</v>
      </c>
      <c r="K3639" s="71" t="s">
        <v>302</v>
      </c>
      <c r="L3639" s="71">
        <f t="shared" si="504"/>
        <v>9</v>
      </c>
      <c r="M3639" s="71" t="str">
        <f>IFERROR(INDEX(KALENDER!$D$3:$D$132,MATCH(H3639,KALENDER!$A$3:$A$132,0)),"Di luar periode")</f>
        <v>Hari Kerja</v>
      </c>
      <c r="N3639" s="71">
        <f t="shared" si="505"/>
        <v>1</v>
      </c>
      <c r="O3639" s="71">
        <f t="shared" si="506"/>
        <v>1</v>
      </c>
      <c r="P3639" s="71">
        <f t="shared" si="507"/>
        <v>1</v>
      </c>
      <c r="Q3639" s="71">
        <f t="shared" si="508"/>
        <v>0</v>
      </c>
      <c r="R3639" s="71">
        <f t="shared" si="509"/>
        <v>0</v>
      </c>
      <c r="S3639" s="71">
        <f t="shared" si="510"/>
        <v>0</v>
      </c>
      <c r="T3639" s="71">
        <f t="shared" si="511"/>
        <v>0</v>
      </c>
      <c r="U3639" s="71">
        <f>IF(AND(N3639=1,V3639=1),IF(COUNTIFS(AKTIVITAS!$B$2:$B$3052,B3639,AKTIVITAS!$E$2:$E$3052,H3639)&gt;0,1,0),0)</f>
        <v>1</v>
      </c>
      <c r="V3639" s="71">
        <f>IFERROR(IF(AND(H3639&gt;=INDEX(PEMAGANG!$J$3:$J$36,MATCH(B3639,PEMAGANG!$C$3:$C$36,0)),H3639&lt;=INDEX(PEMAGANG!$K$3:$K$36,MATCH(B3639,PEMAGANG!$C$3:$C$36,0))),1,0),0)</f>
        <v>1</v>
      </c>
      <c r="W3639" s="71">
        <f t="shared" si="512"/>
        <v>1</v>
      </c>
    </row>
    <row r="3640" spans="1:23" x14ac:dyDescent="0.2">
      <c r="A3640" s="71" t="s">
        <v>225</v>
      </c>
      <c r="B3640" s="71" t="s">
        <v>226</v>
      </c>
      <c r="C3640" s="71" t="s">
        <v>187</v>
      </c>
      <c r="D3640" s="71" t="s">
        <v>224</v>
      </c>
      <c r="E3640" s="71" t="s">
        <v>52</v>
      </c>
      <c r="F3640" s="71" t="s">
        <v>300</v>
      </c>
      <c r="G3640" s="88">
        <v>46294.690578703703</v>
      </c>
      <c r="H3640" s="89">
        <v>46294</v>
      </c>
      <c r="I3640" s="71" t="s">
        <v>314</v>
      </c>
      <c r="J3640" s="71">
        <v>0</v>
      </c>
      <c r="K3640" s="71" t="s">
        <v>302</v>
      </c>
      <c r="L3640" s="71">
        <f t="shared" si="504"/>
        <v>9</v>
      </c>
      <c r="M3640" s="71" t="str">
        <f>IFERROR(INDEX(KALENDER!$D$3:$D$132,MATCH(H3640,KALENDER!$A$3:$A$132,0)),"Di luar periode")</f>
        <v>Hari Kerja</v>
      </c>
      <c r="N3640" s="71">
        <f t="shared" si="505"/>
        <v>0</v>
      </c>
      <c r="O3640" s="71">
        <f t="shared" si="506"/>
        <v>1</v>
      </c>
      <c r="P3640" s="71">
        <f t="shared" si="507"/>
        <v>0</v>
      </c>
      <c r="Q3640" s="71">
        <f t="shared" si="508"/>
        <v>0</v>
      </c>
      <c r="R3640" s="71">
        <f t="shared" si="509"/>
        <v>0</v>
      </c>
      <c r="S3640" s="71">
        <f t="shared" si="510"/>
        <v>0</v>
      </c>
      <c r="T3640" s="71">
        <f t="shared" si="511"/>
        <v>0</v>
      </c>
      <c r="U3640" s="71">
        <f>IF(AND(N3640=1,V3640=1),IF(COUNTIFS(AKTIVITAS!$B$2:$B$3052,B3640,AKTIVITAS!$E$2:$E$3052,H3640)&gt;0,1,0),0)</f>
        <v>0</v>
      </c>
      <c r="V3640" s="71">
        <f>IFERROR(IF(AND(H3640&gt;=INDEX(PEMAGANG!$J$3:$J$36,MATCH(B3640,PEMAGANG!$C$3:$C$36,0)),H3640&lt;=INDEX(PEMAGANG!$K$3:$K$36,MATCH(B3640,PEMAGANG!$C$3:$C$36,0))),1,0),0)</f>
        <v>1</v>
      </c>
      <c r="W3640" s="71">
        <f t="shared" si="512"/>
        <v>0</v>
      </c>
    </row>
    <row r="3641" spans="1:23" x14ac:dyDescent="0.2">
      <c r="A3641" s="71" t="s">
        <v>225</v>
      </c>
      <c r="B3641" s="71" t="s">
        <v>226</v>
      </c>
      <c r="C3641" s="71" t="s">
        <v>187</v>
      </c>
      <c r="D3641" s="71" t="s">
        <v>224</v>
      </c>
      <c r="E3641" s="71" t="s">
        <v>52</v>
      </c>
      <c r="F3641" s="71" t="s">
        <v>298</v>
      </c>
      <c r="G3641" s="88">
        <v>46295.301331018498</v>
      </c>
      <c r="H3641" s="89">
        <v>46295</v>
      </c>
      <c r="I3641" s="71" t="s">
        <v>475</v>
      </c>
      <c r="J3641" s="71">
        <v>-17</v>
      </c>
      <c r="K3641" s="71" t="s">
        <v>302</v>
      </c>
      <c r="L3641" s="71">
        <f t="shared" si="504"/>
        <v>9</v>
      </c>
      <c r="M3641" s="71" t="str">
        <f>IFERROR(INDEX(KALENDER!$D$3:$D$132,MATCH(H3641,KALENDER!$A$3:$A$132,0)),"Di luar periode")</f>
        <v>Hari Kerja</v>
      </c>
      <c r="N3641" s="71">
        <f t="shared" si="505"/>
        <v>1</v>
      </c>
      <c r="O3641" s="71">
        <f t="shared" si="506"/>
        <v>1</v>
      </c>
      <c r="P3641" s="71">
        <f t="shared" si="507"/>
        <v>1</v>
      </c>
      <c r="Q3641" s="71">
        <f t="shared" si="508"/>
        <v>0</v>
      </c>
      <c r="R3641" s="71">
        <f t="shared" si="509"/>
        <v>0</v>
      </c>
      <c r="S3641" s="71">
        <f t="shared" si="510"/>
        <v>0</v>
      </c>
      <c r="T3641" s="71">
        <f t="shared" si="511"/>
        <v>0</v>
      </c>
      <c r="U3641" s="71">
        <f>IF(AND(N3641=1,V3641=1),IF(COUNTIFS(AKTIVITAS!$B$2:$B$3052,B3641,AKTIVITAS!$E$2:$E$3052,H3641)&gt;0,1,0),0)</f>
        <v>1</v>
      </c>
      <c r="V3641" s="71">
        <f>IFERROR(IF(AND(H3641&gt;=INDEX(PEMAGANG!$J$3:$J$36,MATCH(B3641,PEMAGANG!$C$3:$C$36,0)),H3641&lt;=INDEX(PEMAGANG!$K$3:$K$36,MATCH(B3641,PEMAGANG!$C$3:$C$36,0))),1,0),0)</f>
        <v>1</v>
      </c>
      <c r="W3641" s="71">
        <f t="shared" si="512"/>
        <v>1</v>
      </c>
    </row>
    <row r="3642" spans="1:23" x14ac:dyDescent="0.2">
      <c r="A3642" s="71" t="s">
        <v>225</v>
      </c>
      <c r="B3642" s="71" t="s">
        <v>226</v>
      </c>
      <c r="C3642" s="71" t="s">
        <v>187</v>
      </c>
      <c r="D3642" s="71" t="s">
        <v>224</v>
      </c>
      <c r="E3642" s="71" t="s">
        <v>52</v>
      </c>
      <c r="F3642" s="71" t="s">
        <v>298</v>
      </c>
      <c r="G3642" s="88">
        <v>46295.301354166702</v>
      </c>
      <c r="H3642" s="89">
        <v>46295</v>
      </c>
      <c r="I3642" s="71" t="s">
        <v>475</v>
      </c>
      <c r="J3642" s="71">
        <v>-17</v>
      </c>
      <c r="K3642" s="71" t="s">
        <v>302</v>
      </c>
      <c r="L3642" s="71">
        <f t="shared" si="504"/>
        <v>9</v>
      </c>
      <c r="M3642" s="71" t="str">
        <f>IFERROR(INDEX(KALENDER!$D$3:$D$132,MATCH(H3642,KALENDER!$A$3:$A$132,0)),"Di luar periode")</f>
        <v>Hari Kerja</v>
      </c>
      <c r="N3642" s="71">
        <f t="shared" si="505"/>
        <v>0</v>
      </c>
      <c r="O3642" s="71">
        <f t="shared" si="506"/>
        <v>2</v>
      </c>
      <c r="P3642" s="71">
        <f t="shared" si="507"/>
        <v>0</v>
      </c>
      <c r="Q3642" s="71">
        <f t="shared" si="508"/>
        <v>0</v>
      </c>
      <c r="R3642" s="71">
        <f t="shared" si="509"/>
        <v>0</v>
      </c>
      <c r="S3642" s="71">
        <f t="shared" si="510"/>
        <v>0</v>
      </c>
      <c r="T3642" s="71">
        <f t="shared" si="511"/>
        <v>0</v>
      </c>
      <c r="U3642" s="71">
        <f>IF(AND(N3642=1,V3642=1),IF(COUNTIFS(AKTIVITAS!$B$2:$B$3052,B3642,AKTIVITAS!$E$2:$E$3052,H3642)&gt;0,1,0),0)</f>
        <v>0</v>
      </c>
      <c r="V3642" s="71">
        <f>IFERROR(IF(AND(H3642&gt;=INDEX(PEMAGANG!$J$3:$J$36,MATCH(B3642,PEMAGANG!$C$3:$C$36,0)),H3642&lt;=INDEX(PEMAGANG!$K$3:$K$36,MATCH(B3642,PEMAGANG!$C$3:$C$36,0))),1,0),0)</f>
        <v>1</v>
      </c>
      <c r="W3642" s="71">
        <f t="shared" si="512"/>
        <v>0</v>
      </c>
    </row>
    <row r="3643" spans="1:23" x14ac:dyDescent="0.2">
      <c r="A3643" s="71" t="s">
        <v>225</v>
      </c>
      <c r="B3643" s="71" t="s">
        <v>226</v>
      </c>
      <c r="C3643" s="71" t="s">
        <v>187</v>
      </c>
      <c r="D3643" s="71" t="s">
        <v>224</v>
      </c>
      <c r="E3643" s="71" t="s">
        <v>52</v>
      </c>
      <c r="F3643" s="71" t="s">
        <v>300</v>
      </c>
      <c r="G3643" s="88">
        <v>46295.758159722202</v>
      </c>
      <c r="H3643" s="89">
        <v>46295</v>
      </c>
      <c r="I3643" s="71" t="s">
        <v>380</v>
      </c>
      <c r="J3643" s="71">
        <v>0</v>
      </c>
      <c r="K3643" s="71" t="s">
        <v>302</v>
      </c>
      <c r="L3643" s="71">
        <f t="shared" si="504"/>
        <v>9</v>
      </c>
      <c r="M3643" s="71" t="str">
        <f>IFERROR(INDEX(KALENDER!$D$3:$D$132,MATCH(H3643,KALENDER!$A$3:$A$132,0)),"Di luar periode")</f>
        <v>Hari Kerja</v>
      </c>
      <c r="N3643" s="71">
        <f t="shared" si="505"/>
        <v>0</v>
      </c>
      <c r="O3643" s="71">
        <f t="shared" si="506"/>
        <v>2</v>
      </c>
      <c r="P3643" s="71">
        <f t="shared" si="507"/>
        <v>0</v>
      </c>
      <c r="Q3643" s="71">
        <f t="shared" si="508"/>
        <v>0</v>
      </c>
      <c r="R3643" s="71">
        <f t="shared" si="509"/>
        <v>0</v>
      </c>
      <c r="S3643" s="71">
        <f t="shared" si="510"/>
        <v>0</v>
      </c>
      <c r="T3643" s="71">
        <f t="shared" si="511"/>
        <v>0</v>
      </c>
      <c r="U3643" s="71">
        <f>IF(AND(N3643=1,V3643=1),IF(COUNTIFS(AKTIVITAS!$B$2:$B$3052,B3643,AKTIVITAS!$E$2:$E$3052,H3643)&gt;0,1,0),0)</f>
        <v>0</v>
      </c>
      <c r="V3643" s="71">
        <f>IFERROR(IF(AND(H3643&gt;=INDEX(PEMAGANG!$J$3:$J$36,MATCH(B3643,PEMAGANG!$C$3:$C$36,0)),H3643&lt;=INDEX(PEMAGANG!$K$3:$K$36,MATCH(B3643,PEMAGANG!$C$3:$C$36,0))),1,0),0)</f>
        <v>1</v>
      </c>
      <c r="W3643" s="71">
        <f t="shared" si="512"/>
        <v>0</v>
      </c>
    </row>
    <row r="3644" spans="1:23" x14ac:dyDescent="0.2">
      <c r="A3644" s="71" t="s">
        <v>262</v>
      </c>
      <c r="B3644" s="71" t="s">
        <v>263</v>
      </c>
      <c r="C3644" s="71" t="s">
        <v>187</v>
      </c>
      <c r="D3644" s="71" t="s">
        <v>259</v>
      </c>
      <c r="E3644" s="71" t="s">
        <v>55</v>
      </c>
      <c r="F3644" s="71" t="s">
        <v>298</v>
      </c>
      <c r="G3644" s="88">
        <v>46178.477083333302</v>
      </c>
      <c r="H3644" s="89">
        <v>46178</v>
      </c>
      <c r="I3644" s="71" t="s">
        <v>748</v>
      </c>
      <c r="J3644" s="71">
        <v>237</v>
      </c>
      <c r="K3644" s="71" t="s">
        <v>293</v>
      </c>
      <c r="L3644" s="71">
        <f t="shared" si="504"/>
        <v>6</v>
      </c>
      <c r="M3644" s="71" t="str">
        <f>IFERROR(INDEX(KALENDER!$D$3:$D$132,MATCH(H3644,KALENDER!$A$3:$A$132,0)),"Di luar periode")</f>
        <v>Hari Kerja</v>
      </c>
      <c r="N3644" s="71">
        <f t="shared" si="505"/>
        <v>1</v>
      </c>
      <c r="O3644" s="71">
        <f t="shared" si="506"/>
        <v>1</v>
      </c>
      <c r="P3644" s="71">
        <f t="shared" si="507"/>
        <v>1</v>
      </c>
      <c r="Q3644" s="71">
        <f t="shared" si="508"/>
        <v>0</v>
      </c>
      <c r="R3644" s="71">
        <f t="shared" si="509"/>
        <v>1</v>
      </c>
      <c r="S3644" s="71">
        <f t="shared" si="510"/>
        <v>237</v>
      </c>
      <c r="T3644" s="71">
        <f t="shared" si="511"/>
        <v>0</v>
      </c>
      <c r="U3644" s="71">
        <f>IF(AND(N3644=1,V3644=1),IF(COUNTIFS(AKTIVITAS!$B$2:$B$3052,B3644,AKTIVITAS!$E$2:$E$3052,H3644)&gt;0,1,0),0)</f>
        <v>1</v>
      </c>
      <c r="V3644" s="71">
        <f>IFERROR(IF(AND(H3644&gt;=INDEX(PEMAGANG!$J$3:$J$36,MATCH(B3644,PEMAGANG!$C$3:$C$36,0)),H3644&lt;=INDEX(PEMAGANG!$K$3:$K$36,MATCH(B3644,PEMAGANG!$C$3:$C$36,0))),1,0),0)</f>
        <v>1</v>
      </c>
      <c r="W3644" s="71">
        <f t="shared" si="512"/>
        <v>1</v>
      </c>
    </row>
    <row r="3645" spans="1:23" x14ac:dyDescent="0.2">
      <c r="A3645" s="71" t="s">
        <v>262</v>
      </c>
      <c r="B3645" s="71" t="s">
        <v>263</v>
      </c>
      <c r="C3645" s="71" t="s">
        <v>187</v>
      </c>
      <c r="D3645" s="71" t="s">
        <v>259</v>
      </c>
      <c r="E3645" s="71" t="s">
        <v>55</v>
      </c>
      <c r="F3645" s="71" t="s">
        <v>300</v>
      </c>
      <c r="G3645" s="88">
        <v>46178.691782407397</v>
      </c>
      <c r="H3645" s="89">
        <v>46178</v>
      </c>
      <c r="I3645" s="71" t="s">
        <v>344</v>
      </c>
      <c r="J3645" s="71">
        <v>0</v>
      </c>
      <c r="K3645" s="71" t="s">
        <v>302</v>
      </c>
      <c r="L3645" s="71">
        <f t="shared" si="504"/>
        <v>6</v>
      </c>
      <c r="M3645" s="71" t="str">
        <f>IFERROR(INDEX(KALENDER!$D$3:$D$132,MATCH(H3645,KALENDER!$A$3:$A$132,0)),"Di luar periode")</f>
        <v>Hari Kerja</v>
      </c>
      <c r="N3645" s="71">
        <f t="shared" si="505"/>
        <v>0</v>
      </c>
      <c r="O3645" s="71">
        <f t="shared" si="506"/>
        <v>1</v>
      </c>
      <c r="P3645" s="71">
        <f t="shared" si="507"/>
        <v>0</v>
      </c>
      <c r="Q3645" s="71">
        <f t="shared" si="508"/>
        <v>0</v>
      </c>
      <c r="R3645" s="71">
        <f t="shared" si="509"/>
        <v>0</v>
      </c>
      <c r="S3645" s="71">
        <f t="shared" si="510"/>
        <v>0</v>
      </c>
      <c r="T3645" s="71">
        <f t="shared" si="511"/>
        <v>0</v>
      </c>
      <c r="U3645" s="71">
        <f>IF(AND(N3645=1,V3645=1),IF(COUNTIFS(AKTIVITAS!$B$2:$B$3052,B3645,AKTIVITAS!$E$2:$E$3052,H3645)&gt;0,1,0),0)</f>
        <v>0</v>
      </c>
      <c r="V3645" s="71">
        <f>IFERROR(IF(AND(H3645&gt;=INDEX(PEMAGANG!$J$3:$J$36,MATCH(B3645,PEMAGANG!$C$3:$C$36,0)),H3645&lt;=INDEX(PEMAGANG!$K$3:$K$36,MATCH(B3645,PEMAGANG!$C$3:$C$36,0))),1,0),0)</f>
        <v>1</v>
      </c>
      <c r="W3645" s="71">
        <f t="shared" si="512"/>
        <v>0</v>
      </c>
    </row>
    <row r="3646" spans="1:23" x14ac:dyDescent="0.2">
      <c r="A3646" s="71" t="s">
        <v>262</v>
      </c>
      <c r="B3646" s="71" t="s">
        <v>263</v>
      </c>
      <c r="C3646" s="71" t="s">
        <v>187</v>
      </c>
      <c r="D3646" s="71" t="s">
        <v>259</v>
      </c>
      <c r="E3646" s="71" t="s">
        <v>55</v>
      </c>
      <c r="F3646" s="71" t="s">
        <v>298</v>
      </c>
      <c r="G3646" s="88">
        <v>46181.301331018498</v>
      </c>
      <c r="H3646" s="89">
        <v>46181</v>
      </c>
      <c r="I3646" s="71" t="s">
        <v>475</v>
      </c>
      <c r="J3646" s="71">
        <v>-17</v>
      </c>
      <c r="K3646" s="71" t="s">
        <v>302</v>
      </c>
      <c r="L3646" s="71">
        <f t="shared" si="504"/>
        <v>6</v>
      </c>
      <c r="M3646" s="71" t="str">
        <f>IFERROR(INDEX(KALENDER!$D$3:$D$132,MATCH(H3646,KALENDER!$A$3:$A$132,0)),"Di luar periode")</f>
        <v>Hari Kerja</v>
      </c>
      <c r="N3646" s="71">
        <f t="shared" si="505"/>
        <v>1</v>
      </c>
      <c r="O3646" s="71">
        <f t="shared" si="506"/>
        <v>1</v>
      </c>
      <c r="P3646" s="71">
        <f t="shared" si="507"/>
        <v>1</v>
      </c>
      <c r="Q3646" s="71">
        <f t="shared" si="508"/>
        <v>0</v>
      </c>
      <c r="R3646" s="71">
        <f t="shared" si="509"/>
        <v>0</v>
      </c>
      <c r="S3646" s="71">
        <f t="shared" si="510"/>
        <v>0</v>
      </c>
      <c r="T3646" s="71">
        <f t="shared" si="511"/>
        <v>0</v>
      </c>
      <c r="U3646" s="71">
        <f>IF(AND(N3646=1,V3646=1),IF(COUNTIFS(AKTIVITAS!$B$2:$B$3052,B3646,AKTIVITAS!$E$2:$E$3052,H3646)&gt;0,1,0),0)</f>
        <v>1</v>
      </c>
      <c r="V3646" s="71">
        <f>IFERROR(IF(AND(H3646&gt;=INDEX(PEMAGANG!$J$3:$J$36,MATCH(B3646,PEMAGANG!$C$3:$C$36,0)),H3646&lt;=INDEX(PEMAGANG!$K$3:$K$36,MATCH(B3646,PEMAGANG!$C$3:$C$36,0))),1,0),0)</f>
        <v>1</v>
      </c>
      <c r="W3646" s="71">
        <f t="shared" si="512"/>
        <v>1</v>
      </c>
    </row>
    <row r="3647" spans="1:23" x14ac:dyDescent="0.2">
      <c r="A3647" s="71" t="s">
        <v>262</v>
      </c>
      <c r="B3647" s="71" t="s">
        <v>263</v>
      </c>
      <c r="C3647" s="71" t="s">
        <v>187</v>
      </c>
      <c r="D3647" s="71" t="s">
        <v>259</v>
      </c>
      <c r="E3647" s="71" t="s">
        <v>55</v>
      </c>
      <c r="F3647" s="71" t="s">
        <v>300</v>
      </c>
      <c r="G3647" s="88">
        <v>46181.688125000001</v>
      </c>
      <c r="H3647" s="89">
        <v>46181</v>
      </c>
      <c r="I3647" s="71" t="s">
        <v>330</v>
      </c>
      <c r="J3647" s="71">
        <v>0</v>
      </c>
      <c r="K3647" s="71" t="s">
        <v>302</v>
      </c>
      <c r="L3647" s="71">
        <f t="shared" si="504"/>
        <v>6</v>
      </c>
      <c r="M3647" s="71" t="str">
        <f>IFERROR(INDEX(KALENDER!$D$3:$D$132,MATCH(H3647,KALENDER!$A$3:$A$132,0)),"Di luar periode")</f>
        <v>Hari Kerja</v>
      </c>
      <c r="N3647" s="71">
        <f t="shared" si="505"/>
        <v>0</v>
      </c>
      <c r="O3647" s="71">
        <f t="shared" si="506"/>
        <v>1</v>
      </c>
      <c r="P3647" s="71">
        <f t="shared" si="507"/>
        <v>0</v>
      </c>
      <c r="Q3647" s="71">
        <f t="shared" si="508"/>
        <v>0</v>
      </c>
      <c r="R3647" s="71">
        <f t="shared" si="509"/>
        <v>0</v>
      </c>
      <c r="S3647" s="71">
        <f t="shared" si="510"/>
        <v>0</v>
      </c>
      <c r="T3647" s="71">
        <f t="shared" si="511"/>
        <v>0</v>
      </c>
      <c r="U3647" s="71">
        <f>IF(AND(N3647=1,V3647=1),IF(COUNTIFS(AKTIVITAS!$B$2:$B$3052,B3647,AKTIVITAS!$E$2:$E$3052,H3647)&gt;0,1,0),0)</f>
        <v>0</v>
      </c>
      <c r="V3647" s="71">
        <f>IFERROR(IF(AND(H3647&gt;=INDEX(PEMAGANG!$J$3:$J$36,MATCH(B3647,PEMAGANG!$C$3:$C$36,0)),H3647&lt;=INDEX(PEMAGANG!$K$3:$K$36,MATCH(B3647,PEMAGANG!$C$3:$C$36,0))),1,0),0)</f>
        <v>1</v>
      </c>
      <c r="W3647" s="71">
        <f t="shared" si="512"/>
        <v>0</v>
      </c>
    </row>
    <row r="3648" spans="1:23" x14ac:dyDescent="0.2">
      <c r="A3648" s="71" t="s">
        <v>262</v>
      </c>
      <c r="B3648" s="71" t="s">
        <v>263</v>
      </c>
      <c r="C3648" s="71" t="s">
        <v>187</v>
      </c>
      <c r="D3648" s="71" t="s">
        <v>259</v>
      </c>
      <c r="E3648" s="71" t="s">
        <v>55</v>
      </c>
      <c r="F3648" s="71" t="s">
        <v>298</v>
      </c>
      <c r="G3648" s="88">
        <v>46182.303888888899</v>
      </c>
      <c r="H3648" s="89">
        <v>46182</v>
      </c>
      <c r="I3648" s="71" t="s">
        <v>331</v>
      </c>
      <c r="J3648" s="71">
        <v>-13</v>
      </c>
      <c r="K3648" s="71" t="s">
        <v>302</v>
      </c>
      <c r="L3648" s="71">
        <f t="shared" si="504"/>
        <v>6</v>
      </c>
      <c r="M3648" s="71" t="str">
        <f>IFERROR(INDEX(KALENDER!$D$3:$D$132,MATCH(H3648,KALENDER!$A$3:$A$132,0)),"Di luar periode")</f>
        <v>Hari Kerja</v>
      </c>
      <c r="N3648" s="71">
        <f t="shared" si="505"/>
        <v>1</v>
      </c>
      <c r="O3648" s="71">
        <f t="shared" si="506"/>
        <v>1</v>
      </c>
      <c r="P3648" s="71">
        <f t="shared" si="507"/>
        <v>1</v>
      </c>
      <c r="Q3648" s="71">
        <f t="shared" si="508"/>
        <v>0</v>
      </c>
      <c r="R3648" s="71">
        <f t="shared" si="509"/>
        <v>0</v>
      </c>
      <c r="S3648" s="71">
        <f t="shared" si="510"/>
        <v>0</v>
      </c>
      <c r="T3648" s="71">
        <f t="shared" si="511"/>
        <v>0</v>
      </c>
      <c r="U3648" s="71">
        <f>IF(AND(N3648=1,V3648=1),IF(COUNTIFS(AKTIVITAS!$B$2:$B$3052,B3648,AKTIVITAS!$E$2:$E$3052,H3648)&gt;0,1,0),0)</f>
        <v>1</v>
      </c>
      <c r="V3648" s="71">
        <f>IFERROR(IF(AND(H3648&gt;=INDEX(PEMAGANG!$J$3:$J$36,MATCH(B3648,PEMAGANG!$C$3:$C$36,0)),H3648&lt;=INDEX(PEMAGANG!$K$3:$K$36,MATCH(B3648,PEMAGANG!$C$3:$C$36,0))),1,0),0)</f>
        <v>1</v>
      </c>
      <c r="W3648" s="71">
        <f t="shared" si="512"/>
        <v>1</v>
      </c>
    </row>
    <row r="3649" spans="1:23" x14ac:dyDescent="0.2">
      <c r="A3649" s="71" t="s">
        <v>262</v>
      </c>
      <c r="B3649" s="71" t="s">
        <v>263</v>
      </c>
      <c r="C3649" s="71" t="s">
        <v>187</v>
      </c>
      <c r="D3649" s="71" t="s">
        <v>259</v>
      </c>
      <c r="E3649" s="71" t="s">
        <v>55</v>
      </c>
      <c r="F3649" s="71" t="s">
        <v>300</v>
      </c>
      <c r="G3649" s="88">
        <v>46182.691192129598</v>
      </c>
      <c r="H3649" s="89">
        <v>46182</v>
      </c>
      <c r="I3649" s="71" t="s">
        <v>310</v>
      </c>
      <c r="J3649" s="71">
        <v>0</v>
      </c>
      <c r="K3649" s="71" t="s">
        <v>302</v>
      </c>
      <c r="L3649" s="71">
        <f t="shared" si="504"/>
        <v>6</v>
      </c>
      <c r="M3649" s="71" t="str">
        <f>IFERROR(INDEX(KALENDER!$D$3:$D$132,MATCH(H3649,KALENDER!$A$3:$A$132,0)),"Di luar periode")</f>
        <v>Hari Kerja</v>
      </c>
      <c r="N3649" s="71">
        <f t="shared" si="505"/>
        <v>0</v>
      </c>
      <c r="O3649" s="71">
        <f t="shared" si="506"/>
        <v>1</v>
      </c>
      <c r="P3649" s="71">
        <f t="shared" si="507"/>
        <v>0</v>
      </c>
      <c r="Q3649" s="71">
        <f t="shared" si="508"/>
        <v>0</v>
      </c>
      <c r="R3649" s="71">
        <f t="shared" si="509"/>
        <v>0</v>
      </c>
      <c r="S3649" s="71">
        <f t="shared" si="510"/>
        <v>0</v>
      </c>
      <c r="T3649" s="71">
        <f t="shared" si="511"/>
        <v>0</v>
      </c>
      <c r="U3649" s="71">
        <f>IF(AND(N3649=1,V3649=1),IF(COUNTIFS(AKTIVITAS!$B$2:$B$3052,B3649,AKTIVITAS!$E$2:$E$3052,H3649)&gt;0,1,0),0)</f>
        <v>0</v>
      </c>
      <c r="V3649" s="71">
        <f>IFERROR(IF(AND(H3649&gt;=INDEX(PEMAGANG!$J$3:$J$36,MATCH(B3649,PEMAGANG!$C$3:$C$36,0)),H3649&lt;=INDEX(PEMAGANG!$K$3:$K$36,MATCH(B3649,PEMAGANG!$C$3:$C$36,0))),1,0),0)</f>
        <v>1</v>
      </c>
      <c r="W3649" s="71">
        <f t="shared" si="512"/>
        <v>0</v>
      </c>
    </row>
    <row r="3650" spans="1:23" x14ac:dyDescent="0.2">
      <c r="A3650" s="71" t="s">
        <v>262</v>
      </c>
      <c r="B3650" s="71" t="s">
        <v>263</v>
      </c>
      <c r="C3650" s="71" t="s">
        <v>187</v>
      </c>
      <c r="D3650" s="71" t="s">
        <v>259</v>
      </c>
      <c r="E3650" s="71" t="s">
        <v>55</v>
      </c>
      <c r="F3650" s="71" t="s">
        <v>298</v>
      </c>
      <c r="G3650" s="88">
        <v>46184.298530092601</v>
      </c>
      <c r="H3650" s="89">
        <v>46184</v>
      </c>
      <c r="I3650" s="71" t="s">
        <v>479</v>
      </c>
      <c r="J3650" s="71">
        <v>-21</v>
      </c>
      <c r="K3650" s="71" t="s">
        <v>302</v>
      </c>
      <c r="L3650" s="71">
        <f t="shared" ref="L3650:L3713" si="513">MONTH(H3650)</f>
        <v>6</v>
      </c>
      <c r="M3650" s="71" t="str">
        <f>IFERROR(INDEX(KALENDER!$D$3:$D$132,MATCH(H3650,KALENDER!$A$3:$A$132,0)),"Di luar periode")</f>
        <v>Hari Kerja</v>
      </c>
      <c r="N3650" s="71">
        <f t="shared" ref="N3650:N3713" si="514">IF(AND(B3650=B3649,H3650=H3649),0,1)</f>
        <v>1</v>
      </c>
      <c r="O3650" s="71">
        <f t="shared" ref="O3650:O3713" si="515">IF(N3650=1,0,O3649)+IF(F3650="MASUK",1,0)</f>
        <v>1</v>
      </c>
      <c r="P3650" s="71">
        <f t="shared" ref="P3650:P3713" si="516">IF(AND(N3650=1,M3650="Hari Kerja",V3650=1),1,0)</f>
        <v>1</v>
      </c>
      <c r="Q3650" s="71">
        <f t="shared" ref="Q3650:Q3713" si="517">IF(AND(N3650=1,OR(M3650&lt;&gt;"Hari Kerja",V3650=0)),1,0)</f>
        <v>0</v>
      </c>
      <c r="R3650" s="71">
        <f t="shared" ref="R3650:R3713" si="518">IF(AND(F3650="MASUK",O3650=1,N(J3650)&gt;0,V3650=1),1,0)</f>
        <v>0</v>
      </c>
      <c r="S3650" s="71">
        <f t="shared" ref="S3650:S3713" si="519">R3650*N(J3650)</f>
        <v>0</v>
      </c>
      <c r="T3650" s="71">
        <f t="shared" ref="T3650:T3713" si="520">IF(AND(N3650=1,V3650=1),IF(AND(COUNTIFS($B$2:$B$4094,B3650,$H$2:$H$4094,H3650,$F$2:$F$4094,"MASUK")&gt;0,COUNTIFS($B$2:$B$4094,B3650,$H$2:$H$4094,H3650,$F$2:$F$4094,"PULANG")=0),1,0),0)</f>
        <v>0</v>
      </c>
      <c r="U3650" s="71">
        <f>IF(AND(N3650=1,V3650=1),IF(COUNTIFS(AKTIVITAS!$B$2:$B$3052,B3650,AKTIVITAS!$E$2:$E$3052,H3650)&gt;0,1,0),0)</f>
        <v>1</v>
      </c>
      <c r="V3650" s="71">
        <f>IFERROR(IF(AND(H3650&gt;=INDEX(PEMAGANG!$J$3:$J$36,MATCH(B3650,PEMAGANG!$C$3:$C$36,0)),H3650&lt;=INDEX(PEMAGANG!$K$3:$K$36,MATCH(B3650,PEMAGANG!$C$3:$C$36,0))),1,0),0)</f>
        <v>1</v>
      </c>
      <c r="W3650" s="71">
        <f t="shared" ref="W3650:W3713" si="521">N3650*V3650</f>
        <v>1</v>
      </c>
    </row>
    <row r="3651" spans="1:23" x14ac:dyDescent="0.2">
      <c r="A3651" s="71" t="s">
        <v>262</v>
      </c>
      <c r="B3651" s="71" t="s">
        <v>263</v>
      </c>
      <c r="C3651" s="71" t="s">
        <v>187</v>
      </c>
      <c r="D3651" s="71" t="s">
        <v>259</v>
      </c>
      <c r="E3651" s="71" t="s">
        <v>55</v>
      </c>
      <c r="F3651" s="71" t="s">
        <v>300</v>
      </c>
      <c r="G3651" s="88">
        <v>46184.689039351899</v>
      </c>
      <c r="H3651" s="89">
        <v>46184</v>
      </c>
      <c r="I3651" s="71" t="s">
        <v>306</v>
      </c>
      <c r="J3651" s="71">
        <v>0</v>
      </c>
      <c r="K3651" s="71" t="s">
        <v>302</v>
      </c>
      <c r="L3651" s="71">
        <f t="shared" si="513"/>
        <v>6</v>
      </c>
      <c r="M3651" s="71" t="str">
        <f>IFERROR(INDEX(KALENDER!$D$3:$D$132,MATCH(H3651,KALENDER!$A$3:$A$132,0)),"Di luar periode")</f>
        <v>Hari Kerja</v>
      </c>
      <c r="N3651" s="71">
        <f t="shared" si="514"/>
        <v>0</v>
      </c>
      <c r="O3651" s="71">
        <f t="shared" si="515"/>
        <v>1</v>
      </c>
      <c r="P3651" s="71">
        <f t="shared" si="516"/>
        <v>0</v>
      </c>
      <c r="Q3651" s="71">
        <f t="shared" si="517"/>
        <v>0</v>
      </c>
      <c r="R3651" s="71">
        <f t="shared" si="518"/>
        <v>0</v>
      </c>
      <c r="S3651" s="71">
        <f t="shared" si="519"/>
        <v>0</v>
      </c>
      <c r="T3651" s="71">
        <f t="shared" si="520"/>
        <v>0</v>
      </c>
      <c r="U3651" s="71">
        <f>IF(AND(N3651=1,V3651=1),IF(COUNTIFS(AKTIVITAS!$B$2:$B$3052,B3651,AKTIVITAS!$E$2:$E$3052,H3651)&gt;0,1,0),0)</f>
        <v>0</v>
      </c>
      <c r="V3651" s="71">
        <f>IFERROR(IF(AND(H3651&gt;=INDEX(PEMAGANG!$J$3:$J$36,MATCH(B3651,PEMAGANG!$C$3:$C$36,0)),H3651&lt;=INDEX(PEMAGANG!$K$3:$K$36,MATCH(B3651,PEMAGANG!$C$3:$C$36,0))),1,0),0)</f>
        <v>1</v>
      </c>
      <c r="W3651" s="71">
        <f t="shared" si="521"/>
        <v>0</v>
      </c>
    </row>
    <row r="3652" spans="1:23" x14ac:dyDescent="0.2">
      <c r="A3652" s="71" t="s">
        <v>262</v>
      </c>
      <c r="B3652" s="71" t="s">
        <v>263</v>
      </c>
      <c r="C3652" s="71" t="s">
        <v>187</v>
      </c>
      <c r="D3652" s="71" t="s">
        <v>259</v>
      </c>
      <c r="E3652" s="71" t="s">
        <v>55</v>
      </c>
      <c r="F3652" s="71" t="s">
        <v>298</v>
      </c>
      <c r="G3652" s="88">
        <v>46185.305752314802</v>
      </c>
      <c r="H3652" s="89">
        <v>46185</v>
      </c>
      <c r="I3652" s="71" t="s">
        <v>329</v>
      </c>
      <c r="J3652" s="71">
        <v>-10</v>
      </c>
      <c r="K3652" s="71" t="s">
        <v>302</v>
      </c>
      <c r="L3652" s="71">
        <f t="shared" si="513"/>
        <v>6</v>
      </c>
      <c r="M3652" s="71" t="str">
        <f>IFERROR(INDEX(KALENDER!$D$3:$D$132,MATCH(H3652,KALENDER!$A$3:$A$132,0)),"Di luar periode")</f>
        <v>Hari Kerja</v>
      </c>
      <c r="N3652" s="71">
        <f t="shared" si="514"/>
        <v>1</v>
      </c>
      <c r="O3652" s="71">
        <f t="shared" si="515"/>
        <v>1</v>
      </c>
      <c r="P3652" s="71">
        <f t="shared" si="516"/>
        <v>1</v>
      </c>
      <c r="Q3652" s="71">
        <f t="shared" si="517"/>
        <v>0</v>
      </c>
      <c r="R3652" s="71">
        <f t="shared" si="518"/>
        <v>0</v>
      </c>
      <c r="S3652" s="71">
        <f t="shared" si="519"/>
        <v>0</v>
      </c>
      <c r="T3652" s="71">
        <f t="shared" si="520"/>
        <v>0</v>
      </c>
      <c r="U3652" s="71">
        <f>IF(AND(N3652=1,V3652=1),IF(COUNTIFS(AKTIVITAS!$B$2:$B$3052,B3652,AKTIVITAS!$E$2:$E$3052,H3652)&gt;0,1,0),0)</f>
        <v>1</v>
      </c>
      <c r="V3652" s="71">
        <f>IFERROR(IF(AND(H3652&gt;=INDEX(PEMAGANG!$J$3:$J$36,MATCH(B3652,PEMAGANG!$C$3:$C$36,0)),H3652&lt;=INDEX(PEMAGANG!$K$3:$K$36,MATCH(B3652,PEMAGANG!$C$3:$C$36,0))),1,0),0)</f>
        <v>1</v>
      </c>
      <c r="W3652" s="71">
        <f t="shared" si="521"/>
        <v>1</v>
      </c>
    </row>
    <row r="3653" spans="1:23" x14ac:dyDescent="0.2">
      <c r="A3653" s="71" t="s">
        <v>262</v>
      </c>
      <c r="B3653" s="71" t="s">
        <v>263</v>
      </c>
      <c r="C3653" s="71" t="s">
        <v>187</v>
      </c>
      <c r="D3653" s="71" t="s">
        <v>259</v>
      </c>
      <c r="E3653" s="71" t="s">
        <v>55</v>
      </c>
      <c r="F3653" s="71" t="s">
        <v>300</v>
      </c>
      <c r="G3653" s="88">
        <v>46185.688333333303</v>
      </c>
      <c r="H3653" s="89">
        <v>46185</v>
      </c>
      <c r="I3653" s="71" t="s">
        <v>336</v>
      </c>
      <c r="J3653" s="71">
        <v>0</v>
      </c>
      <c r="K3653" s="71" t="s">
        <v>302</v>
      </c>
      <c r="L3653" s="71">
        <f t="shared" si="513"/>
        <v>6</v>
      </c>
      <c r="M3653" s="71" t="str">
        <f>IFERROR(INDEX(KALENDER!$D$3:$D$132,MATCH(H3653,KALENDER!$A$3:$A$132,0)),"Di luar periode")</f>
        <v>Hari Kerja</v>
      </c>
      <c r="N3653" s="71">
        <f t="shared" si="514"/>
        <v>0</v>
      </c>
      <c r="O3653" s="71">
        <f t="shared" si="515"/>
        <v>1</v>
      </c>
      <c r="P3653" s="71">
        <f t="shared" si="516"/>
        <v>0</v>
      </c>
      <c r="Q3653" s="71">
        <f t="shared" si="517"/>
        <v>0</v>
      </c>
      <c r="R3653" s="71">
        <f t="shared" si="518"/>
        <v>0</v>
      </c>
      <c r="S3653" s="71">
        <f t="shared" si="519"/>
        <v>0</v>
      </c>
      <c r="T3653" s="71">
        <f t="shared" si="520"/>
        <v>0</v>
      </c>
      <c r="U3653" s="71">
        <f>IF(AND(N3653=1,V3653=1),IF(COUNTIFS(AKTIVITAS!$B$2:$B$3052,B3653,AKTIVITAS!$E$2:$E$3052,H3653)&gt;0,1,0),0)</f>
        <v>0</v>
      </c>
      <c r="V3653" s="71">
        <f>IFERROR(IF(AND(H3653&gt;=INDEX(PEMAGANG!$J$3:$J$36,MATCH(B3653,PEMAGANG!$C$3:$C$36,0)),H3653&lt;=INDEX(PEMAGANG!$K$3:$K$36,MATCH(B3653,PEMAGANG!$C$3:$C$36,0))),1,0),0)</f>
        <v>1</v>
      </c>
      <c r="W3653" s="71">
        <f t="shared" si="521"/>
        <v>0</v>
      </c>
    </row>
    <row r="3654" spans="1:23" x14ac:dyDescent="0.2">
      <c r="A3654" s="71" t="s">
        <v>262</v>
      </c>
      <c r="B3654" s="71" t="s">
        <v>263</v>
      </c>
      <c r="C3654" s="71" t="s">
        <v>187</v>
      </c>
      <c r="D3654" s="71" t="s">
        <v>259</v>
      </c>
      <c r="E3654" s="71" t="s">
        <v>55</v>
      </c>
      <c r="F3654" s="71" t="s">
        <v>298</v>
      </c>
      <c r="G3654" s="88">
        <v>46188.297164351898</v>
      </c>
      <c r="H3654" s="89">
        <v>46188</v>
      </c>
      <c r="I3654" s="71" t="s">
        <v>487</v>
      </c>
      <c r="J3654" s="71">
        <v>-23</v>
      </c>
      <c r="K3654" s="71" t="s">
        <v>302</v>
      </c>
      <c r="L3654" s="71">
        <f t="shared" si="513"/>
        <v>6</v>
      </c>
      <c r="M3654" s="71" t="str">
        <f>IFERROR(INDEX(KALENDER!$D$3:$D$132,MATCH(H3654,KALENDER!$A$3:$A$132,0)),"Di luar periode")</f>
        <v>Hari Kerja</v>
      </c>
      <c r="N3654" s="71">
        <f t="shared" si="514"/>
        <v>1</v>
      </c>
      <c r="O3654" s="71">
        <f t="shared" si="515"/>
        <v>1</v>
      </c>
      <c r="P3654" s="71">
        <f t="shared" si="516"/>
        <v>1</v>
      </c>
      <c r="Q3654" s="71">
        <f t="shared" si="517"/>
        <v>0</v>
      </c>
      <c r="R3654" s="71">
        <f t="shared" si="518"/>
        <v>0</v>
      </c>
      <c r="S3654" s="71">
        <f t="shared" si="519"/>
        <v>0</v>
      </c>
      <c r="T3654" s="71">
        <f t="shared" si="520"/>
        <v>0</v>
      </c>
      <c r="U3654" s="71">
        <f>IF(AND(N3654=1,V3654=1),IF(COUNTIFS(AKTIVITAS!$B$2:$B$3052,B3654,AKTIVITAS!$E$2:$E$3052,H3654)&gt;0,1,0),0)</f>
        <v>1</v>
      </c>
      <c r="V3654" s="71">
        <f>IFERROR(IF(AND(H3654&gt;=INDEX(PEMAGANG!$J$3:$J$36,MATCH(B3654,PEMAGANG!$C$3:$C$36,0)),H3654&lt;=INDEX(PEMAGANG!$K$3:$K$36,MATCH(B3654,PEMAGANG!$C$3:$C$36,0))),1,0),0)</f>
        <v>1</v>
      </c>
      <c r="W3654" s="71">
        <f t="shared" si="521"/>
        <v>1</v>
      </c>
    </row>
    <row r="3655" spans="1:23" x14ac:dyDescent="0.2">
      <c r="A3655" s="71" t="s">
        <v>262</v>
      </c>
      <c r="B3655" s="71" t="s">
        <v>263</v>
      </c>
      <c r="C3655" s="71" t="s">
        <v>187</v>
      </c>
      <c r="D3655" s="71" t="s">
        <v>259</v>
      </c>
      <c r="E3655" s="71" t="s">
        <v>55</v>
      </c>
      <c r="F3655" s="71" t="s">
        <v>300</v>
      </c>
      <c r="G3655" s="88">
        <v>46188.6899305556</v>
      </c>
      <c r="H3655" s="89">
        <v>46188</v>
      </c>
      <c r="I3655" s="71" t="s">
        <v>316</v>
      </c>
      <c r="J3655" s="71">
        <v>0</v>
      </c>
      <c r="K3655" s="71" t="s">
        <v>302</v>
      </c>
      <c r="L3655" s="71">
        <f t="shared" si="513"/>
        <v>6</v>
      </c>
      <c r="M3655" s="71" t="str">
        <f>IFERROR(INDEX(KALENDER!$D$3:$D$132,MATCH(H3655,KALENDER!$A$3:$A$132,0)),"Di luar periode")</f>
        <v>Hari Kerja</v>
      </c>
      <c r="N3655" s="71">
        <f t="shared" si="514"/>
        <v>0</v>
      </c>
      <c r="O3655" s="71">
        <f t="shared" si="515"/>
        <v>1</v>
      </c>
      <c r="P3655" s="71">
        <f t="shared" si="516"/>
        <v>0</v>
      </c>
      <c r="Q3655" s="71">
        <f t="shared" si="517"/>
        <v>0</v>
      </c>
      <c r="R3655" s="71">
        <f t="shared" si="518"/>
        <v>0</v>
      </c>
      <c r="S3655" s="71">
        <f t="shared" si="519"/>
        <v>0</v>
      </c>
      <c r="T3655" s="71">
        <f t="shared" si="520"/>
        <v>0</v>
      </c>
      <c r="U3655" s="71">
        <f>IF(AND(N3655=1,V3655=1),IF(COUNTIFS(AKTIVITAS!$B$2:$B$3052,B3655,AKTIVITAS!$E$2:$E$3052,H3655)&gt;0,1,0),0)</f>
        <v>0</v>
      </c>
      <c r="V3655" s="71">
        <f>IFERROR(IF(AND(H3655&gt;=INDEX(PEMAGANG!$J$3:$J$36,MATCH(B3655,PEMAGANG!$C$3:$C$36,0)),H3655&lt;=INDEX(PEMAGANG!$K$3:$K$36,MATCH(B3655,PEMAGANG!$C$3:$C$36,0))),1,0),0)</f>
        <v>1</v>
      </c>
      <c r="W3655" s="71">
        <f t="shared" si="521"/>
        <v>0</v>
      </c>
    </row>
    <row r="3656" spans="1:23" x14ac:dyDescent="0.2">
      <c r="A3656" s="71" t="s">
        <v>262</v>
      </c>
      <c r="B3656" s="71" t="s">
        <v>263</v>
      </c>
      <c r="C3656" s="71" t="s">
        <v>187</v>
      </c>
      <c r="D3656" s="71" t="s">
        <v>259</v>
      </c>
      <c r="E3656" s="71" t="s">
        <v>55</v>
      </c>
      <c r="F3656" s="71" t="s">
        <v>298</v>
      </c>
      <c r="G3656" s="88">
        <v>46191.3115972222</v>
      </c>
      <c r="H3656" s="89">
        <v>46191</v>
      </c>
      <c r="I3656" s="71" t="s">
        <v>377</v>
      </c>
      <c r="J3656" s="71">
        <v>-1.99999999999999</v>
      </c>
      <c r="K3656" s="71" t="s">
        <v>302</v>
      </c>
      <c r="L3656" s="71">
        <f t="shared" si="513"/>
        <v>6</v>
      </c>
      <c r="M3656" s="71" t="str">
        <f>IFERROR(INDEX(KALENDER!$D$3:$D$132,MATCH(H3656,KALENDER!$A$3:$A$132,0)),"Di luar periode")</f>
        <v>Hari Kerja</v>
      </c>
      <c r="N3656" s="71">
        <f t="shared" si="514"/>
        <v>1</v>
      </c>
      <c r="O3656" s="71">
        <f t="shared" si="515"/>
        <v>1</v>
      </c>
      <c r="P3656" s="71">
        <f t="shared" si="516"/>
        <v>1</v>
      </c>
      <c r="Q3656" s="71">
        <f t="shared" si="517"/>
        <v>0</v>
      </c>
      <c r="R3656" s="71">
        <f t="shared" si="518"/>
        <v>0</v>
      </c>
      <c r="S3656" s="71">
        <f t="shared" si="519"/>
        <v>0</v>
      </c>
      <c r="T3656" s="71">
        <f t="shared" si="520"/>
        <v>0</v>
      </c>
      <c r="U3656" s="71">
        <f>IF(AND(N3656=1,V3656=1),IF(COUNTIFS(AKTIVITAS!$B$2:$B$3052,B3656,AKTIVITAS!$E$2:$E$3052,H3656)&gt;0,1,0),0)</f>
        <v>1</v>
      </c>
      <c r="V3656" s="71">
        <f>IFERROR(IF(AND(H3656&gt;=INDEX(PEMAGANG!$J$3:$J$36,MATCH(B3656,PEMAGANG!$C$3:$C$36,0)),H3656&lt;=INDEX(PEMAGANG!$K$3:$K$36,MATCH(B3656,PEMAGANG!$C$3:$C$36,0))),1,0),0)</f>
        <v>1</v>
      </c>
      <c r="W3656" s="71">
        <f t="shared" si="521"/>
        <v>1</v>
      </c>
    </row>
    <row r="3657" spans="1:23" x14ac:dyDescent="0.2">
      <c r="A3657" s="71" t="s">
        <v>262</v>
      </c>
      <c r="B3657" s="71" t="s">
        <v>263</v>
      </c>
      <c r="C3657" s="71" t="s">
        <v>187</v>
      </c>
      <c r="D3657" s="71" t="s">
        <v>259</v>
      </c>
      <c r="E3657" s="71" t="s">
        <v>55</v>
      </c>
      <c r="F3657" s="71" t="s">
        <v>300</v>
      </c>
      <c r="G3657" s="88">
        <v>46191.688877314802</v>
      </c>
      <c r="H3657" s="89">
        <v>46191</v>
      </c>
      <c r="I3657" s="71" t="s">
        <v>336</v>
      </c>
      <c r="J3657" s="71">
        <v>0</v>
      </c>
      <c r="K3657" s="71" t="s">
        <v>302</v>
      </c>
      <c r="L3657" s="71">
        <f t="shared" si="513"/>
        <v>6</v>
      </c>
      <c r="M3657" s="71" t="str">
        <f>IFERROR(INDEX(KALENDER!$D$3:$D$132,MATCH(H3657,KALENDER!$A$3:$A$132,0)),"Di luar periode")</f>
        <v>Hari Kerja</v>
      </c>
      <c r="N3657" s="71">
        <f t="shared" si="514"/>
        <v>0</v>
      </c>
      <c r="O3657" s="71">
        <f t="shared" si="515"/>
        <v>1</v>
      </c>
      <c r="P3657" s="71">
        <f t="shared" si="516"/>
        <v>0</v>
      </c>
      <c r="Q3657" s="71">
        <f t="shared" si="517"/>
        <v>0</v>
      </c>
      <c r="R3657" s="71">
        <f t="shared" si="518"/>
        <v>0</v>
      </c>
      <c r="S3657" s="71">
        <f t="shared" si="519"/>
        <v>0</v>
      </c>
      <c r="T3657" s="71">
        <f t="shared" si="520"/>
        <v>0</v>
      </c>
      <c r="U3657" s="71">
        <f>IF(AND(N3657=1,V3657=1),IF(COUNTIFS(AKTIVITAS!$B$2:$B$3052,B3657,AKTIVITAS!$E$2:$E$3052,H3657)&gt;0,1,0),0)</f>
        <v>0</v>
      </c>
      <c r="V3657" s="71">
        <f>IFERROR(IF(AND(H3657&gt;=INDEX(PEMAGANG!$J$3:$J$36,MATCH(B3657,PEMAGANG!$C$3:$C$36,0)),H3657&lt;=INDEX(PEMAGANG!$K$3:$K$36,MATCH(B3657,PEMAGANG!$C$3:$C$36,0))),1,0),0)</f>
        <v>1</v>
      </c>
      <c r="W3657" s="71">
        <f t="shared" si="521"/>
        <v>0</v>
      </c>
    </row>
    <row r="3658" spans="1:23" x14ac:dyDescent="0.2">
      <c r="A3658" s="71" t="s">
        <v>262</v>
      </c>
      <c r="B3658" s="71" t="s">
        <v>263</v>
      </c>
      <c r="C3658" s="71" t="s">
        <v>187</v>
      </c>
      <c r="D3658" s="71" t="s">
        <v>259</v>
      </c>
      <c r="E3658" s="71" t="s">
        <v>55</v>
      </c>
      <c r="F3658" s="71" t="s">
        <v>298</v>
      </c>
      <c r="G3658" s="88">
        <v>46192.304618055598</v>
      </c>
      <c r="H3658" s="89">
        <v>46192</v>
      </c>
      <c r="I3658" s="71" t="s">
        <v>326</v>
      </c>
      <c r="J3658" s="71">
        <v>-12</v>
      </c>
      <c r="K3658" s="71" t="s">
        <v>302</v>
      </c>
      <c r="L3658" s="71">
        <f t="shared" si="513"/>
        <v>6</v>
      </c>
      <c r="M3658" s="71" t="str">
        <f>IFERROR(INDEX(KALENDER!$D$3:$D$132,MATCH(H3658,KALENDER!$A$3:$A$132,0)),"Di luar periode")</f>
        <v>Hari Kerja</v>
      </c>
      <c r="N3658" s="71">
        <f t="shared" si="514"/>
        <v>1</v>
      </c>
      <c r="O3658" s="71">
        <f t="shared" si="515"/>
        <v>1</v>
      </c>
      <c r="P3658" s="71">
        <f t="shared" si="516"/>
        <v>1</v>
      </c>
      <c r="Q3658" s="71">
        <f t="shared" si="517"/>
        <v>0</v>
      </c>
      <c r="R3658" s="71">
        <f t="shared" si="518"/>
        <v>0</v>
      </c>
      <c r="S3658" s="71">
        <f t="shared" si="519"/>
        <v>0</v>
      </c>
      <c r="T3658" s="71">
        <f t="shared" si="520"/>
        <v>0</v>
      </c>
      <c r="U3658" s="71">
        <f>IF(AND(N3658=1,V3658=1),IF(COUNTIFS(AKTIVITAS!$B$2:$B$3052,B3658,AKTIVITAS!$E$2:$E$3052,H3658)&gt;0,1,0),0)</f>
        <v>1</v>
      </c>
      <c r="V3658" s="71">
        <f>IFERROR(IF(AND(H3658&gt;=INDEX(PEMAGANG!$J$3:$J$36,MATCH(B3658,PEMAGANG!$C$3:$C$36,0)),H3658&lt;=INDEX(PEMAGANG!$K$3:$K$36,MATCH(B3658,PEMAGANG!$C$3:$C$36,0))),1,0),0)</f>
        <v>1</v>
      </c>
      <c r="W3658" s="71">
        <f t="shared" si="521"/>
        <v>1</v>
      </c>
    </row>
    <row r="3659" spans="1:23" x14ac:dyDescent="0.2">
      <c r="A3659" s="71" t="s">
        <v>262</v>
      </c>
      <c r="B3659" s="71" t="s">
        <v>263</v>
      </c>
      <c r="C3659" s="71" t="s">
        <v>187</v>
      </c>
      <c r="D3659" s="71" t="s">
        <v>259</v>
      </c>
      <c r="E3659" s="71" t="s">
        <v>55</v>
      </c>
      <c r="F3659" s="71" t="s">
        <v>300</v>
      </c>
      <c r="G3659" s="88">
        <v>46192.6899305556</v>
      </c>
      <c r="H3659" s="89">
        <v>46192</v>
      </c>
      <c r="I3659" s="71" t="s">
        <v>316</v>
      </c>
      <c r="J3659" s="71">
        <v>0</v>
      </c>
      <c r="K3659" s="71" t="s">
        <v>302</v>
      </c>
      <c r="L3659" s="71">
        <f t="shared" si="513"/>
        <v>6</v>
      </c>
      <c r="M3659" s="71" t="str">
        <f>IFERROR(INDEX(KALENDER!$D$3:$D$132,MATCH(H3659,KALENDER!$A$3:$A$132,0)),"Di luar periode")</f>
        <v>Hari Kerja</v>
      </c>
      <c r="N3659" s="71">
        <f t="shared" si="514"/>
        <v>0</v>
      </c>
      <c r="O3659" s="71">
        <f t="shared" si="515"/>
        <v>1</v>
      </c>
      <c r="P3659" s="71">
        <f t="shared" si="516"/>
        <v>0</v>
      </c>
      <c r="Q3659" s="71">
        <f t="shared" si="517"/>
        <v>0</v>
      </c>
      <c r="R3659" s="71">
        <f t="shared" si="518"/>
        <v>0</v>
      </c>
      <c r="S3659" s="71">
        <f t="shared" si="519"/>
        <v>0</v>
      </c>
      <c r="T3659" s="71">
        <f t="shared" si="520"/>
        <v>0</v>
      </c>
      <c r="U3659" s="71">
        <f>IF(AND(N3659=1,V3659=1),IF(COUNTIFS(AKTIVITAS!$B$2:$B$3052,B3659,AKTIVITAS!$E$2:$E$3052,H3659)&gt;0,1,0),0)</f>
        <v>0</v>
      </c>
      <c r="V3659" s="71">
        <f>IFERROR(IF(AND(H3659&gt;=INDEX(PEMAGANG!$J$3:$J$36,MATCH(B3659,PEMAGANG!$C$3:$C$36,0)),H3659&lt;=INDEX(PEMAGANG!$K$3:$K$36,MATCH(B3659,PEMAGANG!$C$3:$C$36,0))),1,0),0)</f>
        <v>1</v>
      </c>
      <c r="W3659" s="71">
        <f t="shared" si="521"/>
        <v>0</v>
      </c>
    </row>
    <row r="3660" spans="1:23" x14ac:dyDescent="0.2">
      <c r="A3660" s="71" t="s">
        <v>262</v>
      </c>
      <c r="B3660" s="71" t="s">
        <v>263</v>
      </c>
      <c r="C3660" s="71" t="s">
        <v>187</v>
      </c>
      <c r="D3660" s="71" t="s">
        <v>259</v>
      </c>
      <c r="E3660" s="71" t="s">
        <v>55</v>
      </c>
      <c r="F3660" s="71" t="s">
        <v>298</v>
      </c>
      <c r="G3660" s="88">
        <v>46195.302685185197</v>
      </c>
      <c r="H3660" s="89">
        <v>46195</v>
      </c>
      <c r="I3660" s="71" t="s">
        <v>370</v>
      </c>
      <c r="J3660" s="71">
        <v>-15</v>
      </c>
      <c r="K3660" s="71" t="s">
        <v>302</v>
      </c>
      <c r="L3660" s="71">
        <f t="shared" si="513"/>
        <v>6</v>
      </c>
      <c r="M3660" s="71" t="str">
        <f>IFERROR(INDEX(KALENDER!$D$3:$D$132,MATCH(H3660,KALENDER!$A$3:$A$132,0)),"Di luar periode")</f>
        <v>Hari Kerja</v>
      </c>
      <c r="N3660" s="71">
        <f t="shared" si="514"/>
        <v>1</v>
      </c>
      <c r="O3660" s="71">
        <f t="shared" si="515"/>
        <v>1</v>
      </c>
      <c r="P3660" s="71">
        <f t="shared" si="516"/>
        <v>1</v>
      </c>
      <c r="Q3660" s="71">
        <f t="shared" si="517"/>
        <v>0</v>
      </c>
      <c r="R3660" s="71">
        <f t="shared" si="518"/>
        <v>0</v>
      </c>
      <c r="S3660" s="71">
        <f t="shared" si="519"/>
        <v>0</v>
      </c>
      <c r="T3660" s="71">
        <f t="shared" si="520"/>
        <v>0</v>
      </c>
      <c r="U3660" s="71">
        <f>IF(AND(N3660=1,V3660=1),IF(COUNTIFS(AKTIVITAS!$B$2:$B$3052,B3660,AKTIVITAS!$E$2:$E$3052,H3660)&gt;0,1,0),0)</f>
        <v>1</v>
      </c>
      <c r="V3660" s="71">
        <f>IFERROR(IF(AND(H3660&gt;=INDEX(PEMAGANG!$J$3:$J$36,MATCH(B3660,PEMAGANG!$C$3:$C$36,0)),H3660&lt;=INDEX(PEMAGANG!$K$3:$K$36,MATCH(B3660,PEMAGANG!$C$3:$C$36,0))),1,0),0)</f>
        <v>1</v>
      </c>
      <c r="W3660" s="71">
        <f t="shared" si="521"/>
        <v>1</v>
      </c>
    </row>
    <row r="3661" spans="1:23" x14ac:dyDescent="0.2">
      <c r="A3661" s="71" t="s">
        <v>262</v>
      </c>
      <c r="B3661" s="71" t="s">
        <v>263</v>
      </c>
      <c r="C3661" s="71" t="s">
        <v>187</v>
      </c>
      <c r="D3661" s="71" t="s">
        <v>259</v>
      </c>
      <c r="E3661" s="71" t="s">
        <v>55</v>
      </c>
      <c r="F3661" s="71" t="s">
        <v>300</v>
      </c>
      <c r="G3661" s="88">
        <v>46195.6882175926</v>
      </c>
      <c r="H3661" s="89">
        <v>46195</v>
      </c>
      <c r="I3661" s="71" t="s">
        <v>336</v>
      </c>
      <c r="J3661" s="71">
        <v>0</v>
      </c>
      <c r="K3661" s="71" t="s">
        <v>302</v>
      </c>
      <c r="L3661" s="71">
        <f t="shared" si="513"/>
        <v>6</v>
      </c>
      <c r="M3661" s="71" t="str">
        <f>IFERROR(INDEX(KALENDER!$D$3:$D$132,MATCH(H3661,KALENDER!$A$3:$A$132,0)),"Di luar periode")</f>
        <v>Hari Kerja</v>
      </c>
      <c r="N3661" s="71">
        <f t="shared" si="514"/>
        <v>0</v>
      </c>
      <c r="O3661" s="71">
        <f t="shared" si="515"/>
        <v>1</v>
      </c>
      <c r="P3661" s="71">
        <f t="shared" si="516"/>
        <v>0</v>
      </c>
      <c r="Q3661" s="71">
        <f t="shared" si="517"/>
        <v>0</v>
      </c>
      <c r="R3661" s="71">
        <f t="shared" si="518"/>
        <v>0</v>
      </c>
      <c r="S3661" s="71">
        <f t="shared" si="519"/>
        <v>0</v>
      </c>
      <c r="T3661" s="71">
        <f t="shared" si="520"/>
        <v>0</v>
      </c>
      <c r="U3661" s="71">
        <f>IF(AND(N3661=1,V3661=1),IF(COUNTIFS(AKTIVITAS!$B$2:$B$3052,B3661,AKTIVITAS!$E$2:$E$3052,H3661)&gt;0,1,0),0)</f>
        <v>0</v>
      </c>
      <c r="V3661" s="71">
        <f>IFERROR(IF(AND(H3661&gt;=INDEX(PEMAGANG!$J$3:$J$36,MATCH(B3661,PEMAGANG!$C$3:$C$36,0)),H3661&lt;=INDEX(PEMAGANG!$K$3:$K$36,MATCH(B3661,PEMAGANG!$C$3:$C$36,0))),1,0),0)</f>
        <v>1</v>
      </c>
      <c r="W3661" s="71">
        <f t="shared" si="521"/>
        <v>0</v>
      </c>
    </row>
    <row r="3662" spans="1:23" x14ac:dyDescent="0.2">
      <c r="A3662" s="71" t="s">
        <v>262</v>
      </c>
      <c r="B3662" s="71" t="s">
        <v>263</v>
      </c>
      <c r="C3662" s="71" t="s">
        <v>187</v>
      </c>
      <c r="D3662" s="71" t="s">
        <v>259</v>
      </c>
      <c r="E3662" s="71" t="s">
        <v>55</v>
      </c>
      <c r="F3662" s="71" t="s">
        <v>298</v>
      </c>
      <c r="G3662" s="88">
        <v>46196.305081018501</v>
      </c>
      <c r="H3662" s="89">
        <v>46196</v>
      </c>
      <c r="I3662" s="71" t="s">
        <v>321</v>
      </c>
      <c r="J3662" s="71">
        <v>-11</v>
      </c>
      <c r="K3662" s="71" t="s">
        <v>302</v>
      </c>
      <c r="L3662" s="71">
        <f t="shared" si="513"/>
        <v>6</v>
      </c>
      <c r="M3662" s="71" t="str">
        <f>IFERROR(INDEX(KALENDER!$D$3:$D$132,MATCH(H3662,KALENDER!$A$3:$A$132,0)),"Di luar periode")</f>
        <v>Hari Kerja</v>
      </c>
      <c r="N3662" s="71">
        <f t="shared" si="514"/>
        <v>1</v>
      </c>
      <c r="O3662" s="71">
        <f t="shared" si="515"/>
        <v>1</v>
      </c>
      <c r="P3662" s="71">
        <f t="shared" si="516"/>
        <v>1</v>
      </c>
      <c r="Q3662" s="71">
        <f t="shared" si="517"/>
        <v>0</v>
      </c>
      <c r="R3662" s="71">
        <f t="shared" si="518"/>
        <v>0</v>
      </c>
      <c r="S3662" s="71">
        <f t="shared" si="519"/>
        <v>0</v>
      </c>
      <c r="T3662" s="71">
        <f t="shared" si="520"/>
        <v>0</v>
      </c>
      <c r="U3662" s="71">
        <f>IF(AND(N3662=1,V3662=1),IF(COUNTIFS(AKTIVITAS!$B$2:$B$3052,B3662,AKTIVITAS!$E$2:$E$3052,H3662)&gt;0,1,0),0)</f>
        <v>1</v>
      </c>
      <c r="V3662" s="71">
        <f>IFERROR(IF(AND(H3662&gt;=INDEX(PEMAGANG!$J$3:$J$36,MATCH(B3662,PEMAGANG!$C$3:$C$36,0)),H3662&lt;=INDEX(PEMAGANG!$K$3:$K$36,MATCH(B3662,PEMAGANG!$C$3:$C$36,0))),1,0),0)</f>
        <v>1</v>
      </c>
      <c r="W3662" s="71">
        <f t="shared" si="521"/>
        <v>1</v>
      </c>
    </row>
    <row r="3663" spans="1:23" x14ac:dyDescent="0.2">
      <c r="A3663" s="71" t="s">
        <v>262</v>
      </c>
      <c r="B3663" s="71" t="s">
        <v>263</v>
      </c>
      <c r="C3663" s="71" t="s">
        <v>187</v>
      </c>
      <c r="D3663" s="71" t="s">
        <v>259</v>
      </c>
      <c r="E3663" s="71" t="s">
        <v>55</v>
      </c>
      <c r="F3663" s="71" t="s">
        <v>300</v>
      </c>
      <c r="G3663" s="88">
        <v>46196.691481481503</v>
      </c>
      <c r="H3663" s="89">
        <v>46196</v>
      </c>
      <c r="I3663" s="71" t="s">
        <v>310</v>
      </c>
      <c r="J3663" s="71">
        <v>0</v>
      </c>
      <c r="K3663" s="71" t="s">
        <v>302</v>
      </c>
      <c r="L3663" s="71">
        <f t="shared" si="513"/>
        <v>6</v>
      </c>
      <c r="M3663" s="71" t="str">
        <f>IFERROR(INDEX(KALENDER!$D$3:$D$132,MATCH(H3663,KALENDER!$A$3:$A$132,0)),"Di luar periode")</f>
        <v>Hari Kerja</v>
      </c>
      <c r="N3663" s="71">
        <f t="shared" si="514"/>
        <v>0</v>
      </c>
      <c r="O3663" s="71">
        <f t="shared" si="515"/>
        <v>1</v>
      </c>
      <c r="P3663" s="71">
        <f t="shared" si="516"/>
        <v>0</v>
      </c>
      <c r="Q3663" s="71">
        <f t="shared" si="517"/>
        <v>0</v>
      </c>
      <c r="R3663" s="71">
        <f t="shared" si="518"/>
        <v>0</v>
      </c>
      <c r="S3663" s="71">
        <f t="shared" si="519"/>
        <v>0</v>
      </c>
      <c r="T3663" s="71">
        <f t="shared" si="520"/>
        <v>0</v>
      </c>
      <c r="U3663" s="71">
        <f>IF(AND(N3663=1,V3663=1),IF(COUNTIFS(AKTIVITAS!$B$2:$B$3052,B3663,AKTIVITAS!$E$2:$E$3052,H3663)&gt;0,1,0),0)</f>
        <v>0</v>
      </c>
      <c r="V3663" s="71">
        <f>IFERROR(IF(AND(H3663&gt;=INDEX(PEMAGANG!$J$3:$J$36,MATCH(B3663,PEMAGANG!$C$3:$C$36,0)),H3663&lt;=INDEX(PEMAGANG!$K$3:$K$36,MATCH(B3663,PEMAGANG!$C$3:$C$36,0))),1,0),0)</f>
        <v>1</v>
      </c>
      <c r="W3663" s="71">
        <f t="shared" si="521"/>
        <v>0</v>
      </c>
    </row>
    <row r="3664" spans="1:23" x14ac:dyDescent="0.2">
      <c r="A3664" s="71" t="s">
        <v>262</v>
      </c>
      <c r="B3664" s="71" t="s">
        <v>263</v>
      </c>
      <c r="C3664" s="71" t="s">
        <v>187</v>
      </c>
      <c r="D3664" s="71" t="s">
        <v>259</v>
      </c>
      <c r="E3664" s="71" t="s">
        <v>55</v>
      </c>
      <c r="F3664" s="71" t="s">
        <v>298</v>
      </c>
      <c r="G3664" s="88">
        <v>46198.303275462997</v>
      </c>
      <c r="H3664" s="89">
        <v>46198</v>
      </c>
      <c r="I3664" s="71" t="s">
        <v>327</v>
      </c>
      <c r="J3664" s="71">
        <v>-14</v>
      </c>
      <c r="K3664" s="71" t="s">
        <v>302</v>
      </c>
      <c r="L3664" s="71">
        <f t="shared" si="513"/>
        <v>6</v>
      </c>
      <c r="M3664" s="71" t="str">
        <f>IFERROR(INDEX(KALENDER!$D$3:$D$132,MATCH(H3664,KALENDER!$A$3:$A$132,0)),"Di luar periode")</f>
        <v>Hari Kerja</v>
      </c>
      <c r="N3664" s="71">
        <f t="shared" si="514"/>
        <v>1</v>
      </c>
      <c r="O3664" s="71">
        <f t="shared" si="515"/>
        <v>1</v>
      </c>
      <c r="P3664" s="71">
        <f t="shared" si="516"/>
        <v>1</v>
      </c>
      <c r="Q3664" s="71">
        <f t="shared" si="517"/>
        <v>0</v>
      </c>
      <c r="R3664" s="71">
        <f t="shared" si="518"/>
        <v>0</v>
      </c>
      <c r="S3664" s="71">
        <f t="shared" si="519"/>
        <v>0</v>
      </c>
      <c r="T3664" s="71">
        <f t="shared" si="520"/>
        <v>0</v>
      </c>
      <c r="U3664" s="71">
        <f>IF(AND(N3664=1,V3664=1),IF(COUNTIFS(AKTIVITAS!$B$2:$B$3052,B3664,AKTIVITAS!$E$2:$E$3052,H3664)&gt;0,1,0),0)</f>
        <v>1</v>
      </c>
      <c r="V3664" s="71">
        <f>IFERROR(IF(AND(H3664&gt;=INDEX(PEMAGANG!$J$3:$J$36,MATCH(B3664,PEMAGANG!$C$3:$C$36,0)),H3664&lt;=INDEX(PEMAGANG!$K$3:$K$36,MATCH(B3664,PEMAGANG!$C$3:$C$36,0))),1,0),0)</f>
        <v>1</v>
      </c>
      <c r="W3664" s="71">
        <f t="shared" si="521"/>
        <v>1</v>
      </c>
    </row>
    <row r="3665" spans="1:23" x14ac:dyDescent="0.2">
      <c r="A3665" s="71" t="s">
        <v>262</v>
      </c>
      <c r="B3665" s="71" t="s">
        <v>263</v>
      </c>
      <c r="C3665" s="71" t="s">
        <v>187</v>
      </c>
      <c r="D3665" s="71" t="s">
        <v>259</v>
      </c>
      <c r="E3665" s="71" t="s">
        <v>55</v>
      </c>
      <c r="F3665" s="71" t="s">
        <v>300</v>
      </c>
      <c r="G3665" s="88">
        <v>46198.6890740741</v>
      </c>
      <c r="H3665" s="89">
        <v>46198</v>
      </c>
      <c r="I3665" s="71" t="s">
        <v>306</v>
      </c>
      <c r="J3665" s="71">
        <v>0</v>
      </c>
      <c r="K3665" s="71" t="s">
        <v>302</v>
      </c>
      <c r="L3665" s="71">
        <f t="shared" si="513"/>
        <v>6</v>
      </c>
      <c r="M3665" s="71" t="str">
        <f>IFERROR(INDEX(KALENDER!$D$3:$D$132,MATCH(H3665,KALENDER!$A$3:$A$132,0)),"Di luar periode")</f>
        <v>Hari Kerja</v>
      </c>
      <c r="N3665" s="71">
        <f t="shared" si="514"/>
        <v>0</v>
      </c>
      <c r="O3665" s="71">
        <f t="shared" si="515"/>
        <v>1</v>
      </c>
      <c r="P3665" s="71">
        <f t="shared" si="516"/>
        <v>0</v>
      </c>
      <c r="Q3665" s="71">
        <f t="shared" si="517"/>
        <v>0</v>
      </c>
      <c r="R3665" s="71">
        <f t="shared" si="518"/>
        <v>0</v>
      </c>
      <c r="S3665" s="71">
        <f t="shared" si="519"/>
        <v>0</v>
      </c>
      <c r="T3665" s="71">
        <f t="shared" si="520"/>
        <v>0</v>
      </c>
      <c r="U3665" s="71">
        <f>IF(AND(N3665=1,V3665=1),IF(COUNTIFS(AKTIVITAS!$B$2:$B$3052,B3665,AKTIVITAS!$E$2:$E$3052,H3665)&gt;0,1,0),0)</f>
        <v>0</v>
      </c>
      <c r="V3665" s="71">
        <f>IFERROR(IF(AND(H3665&gt;=INDEX(PEMAGANG!$J$3:$J$36,MATCH(B3665,PEMAGANG!$C$3:$C$36,0)),H3665&lt;=INDEX(PEMAGANG!$K$3:$K$36,MATCH(B3665,PEMAGANG!$C$3:$C$36,0))),1,0),0)</f>
        <v>1</v>
      </c>
      <c r="W3665" s="71">
        <f t="shared" si="521"/>
        <v>0</v>
      </c>
    </row>
    <row r="3666" spans="1:23" x14ac:dyDescent="0.2">
      <c r="A3666" s="71" t="s">
        <v>262</v>
      </c>
      <c r="B3666" s="71" t="s">
        <v>263</v>
      </c>
      <c r="C3666" s="71" t="s">
        <v>187</v>
      </c>
      <c r="D3666" s="71" t="s">
        <v>259</v>
      </c>
      <c r="E3666" s="71" t="s">
        <v>55</v>
      </c>
      <c r="F3666" s="71" t="s">
        <v>298</v>
      </c>
      <c r="G3666" s="88">
        <v>46199.293229166702</v>
      </c>
      <c r="H3666" s="89">
        <v>46199</v>
      </c>
      <c r="I3666" s="71" t="s">
        <v>492</v>
      </c>
      <c r="J3666" s="71">
        <v>-28</v>
      </c>
      <c r="K3666" s="71" t="s">
        <v>302</v>
      </c>
      <c r="L3666" s="71">
        <f t="shared" si="513"/>
        <v>6</v>
      </c>
      <c r="M3666" s="71" t="str">
        <f>IFERROR(INDEX(KALENDER!$D$3:$D$132,MATCH(H3666,KALENDER!$A$3:$A$132,0)),"Di luar periode")</f>
        <v>Hari Kerja</v>
      </c>
      <c r="N3666" s="71">
        <f t="shared" si="514"/>
        <v>1</v>
      </c>
      <c r="O3666" s="71">
        <f t="shared" si="515"/>
        <v>1</v>
      </c>
      <c r="P3666" s="71">
        <f t="shared" si="516"/>
        <v>1</v>
      </c>
      <c r="Q3666" s="71">
        <f t="shared" si="517"/>
        <v>0</v>
      </c>
      <c r="R3666" s="71">
        <f t="shared" si="518"/>
        <v>0</v>
      </c>
      <c r="S3666" s="71">
        <f t="shared" si="519"/>
        <v>0</v>
      </c>
      <c r="T3666" s="71">
        <f t="shared" si="520"/>
        <v>0</v>
      </c>
      <c r="U3666" s="71">
        <f>IF(AND(N3666=1,V3666=1),IF(COUNTIFS(AKTIVITAS!$B$2:$B$3052,B3666,AKTIVITAS!$E$2:$E$3052,H3666)&gt;0,1,0),0)</f>
        <v>1</v>
      </c>
      <c r="V3666" s="71">
        <f>IFERROR(IF(AND(H3666&gt;=INDEX(PEMAGANG!$J$3:$J$36,MATCH(B3666,PEMAGANG!$C$3:$C$36,0)),H3666&lt;=INDEX(PEMAGANG!$K$3:$K$36,MATCH(B3666,PEMAGANG!$C$3:$C$36,0))),1,0),0)</f>
        <v>1</v>
      </c>
      <c r="W3666" s="71">
        <f t="shared" si="521"/>
        <v>1</v>
      </c>
    </row>
    <row r="3667" spans="1:23" x14ac:dyDescent="0.2">
      <c r="A3667" s="71" t="s">
        <v>262</v>
      </c>
      <c r="B3667" s="71" t="s">
        <v>263</v>
      </c>
      <c r="C3667" s="71" t="s">
        <v>187</v>
      </c>
      <c r="D3667" s="71" t="s">
        <v>259</v>
      </c>
      <c r="E3667" s="71" t="s">
        <v>55</v>
      </c>
      <c r="F3667" s="71" t="s">
        <v>300</v>
      </c>
      <c r="G3667" s="88">
        <v>46199.689560185201</v>
      </c>
      <c r="H3667" s="89">
        <v>46199</v>
      </c>
      <c r="I3667" s="71" t="s">
        <v>306</v>
      </c>
      <c r="J3667" s="71">
        <v>0</v>
      </c>
      <c r="K3667" s="71" t="s">
        <v>302</v>
      </c>
      <c r="L3667" s="71">
        <f t="shared" si="513"/>
        <v>6</v>
      </c>
      <c r="M3667" s="71" t="str">
        <f>IFERROR(INDEX(KALENDER!$D$3:$D$132,MATCH(H3667,KALENDER!$A$3:$A$132,0)),"Di luar periode")</f>
        <v>Hari Kerja</v>
      </c>
      <c r="N3667" s="71">
        <f t="shared" si="514"/>
        <v>0</v>
      </c>
      <c r="O3667" s="71">
        <f t="shared" si="515"/>
        <v>1</v>
      </c>
      <c r="P3667" s="71">
        <f t="shared" si="516"/>
        <v>0</v>
      </c>
      <c r="Q3667" s="71">
        <f t="shared" si="517"/>
        <v>0</v>
      </c>
      <c r="R3667" s="71">
        <f t="shared" si="518"/>
        <v>0</v>
      </c>
      <c r="S3667" s="71">
        <f t="shared" si="519"/>
        <v>0</v>
      </c>
      <c r="T3667" s="71">
        <f t="shared" si="520"/>
        <v>0</v>
      </c>
      <c r="U3667" s="71">
        <f>IF(AND(N3667=1,V3667=1),IF(COUNTIFS(AKTIVITAS!$B$2:$B$3052,B3667,AKTIVITAS!$E$2:$E$3052,H3667)&gt;0,1,0),0)</f>
        <v>0</v>
      </c>
      <c r="V3667" s="71">
        <f>IFERROR(IF(AND(H3667&gt;=INDEX(PEMAGANG!$J$3:$J$36,MATCH(B3667,PEMAGANG!$C$3:$C$36,0)),H3667&lt;=INDEX(PEMAGANG!$K$3:$K$36,MATCH(B3667,PEMAGANG!$C$3:$C$36,0))),1,0),0)</f>
        <v>1</v>
      </c>
      <c r="W3667" s="71">
        <f t="shared" si="521"/>
        <v>0</v>
      </c>
    </row>
    <row r="3668" spans="1:23" x14ac:dyDescent="0.2">
      <c r="A3668" s="71" t="s">
        <v>262</v>
      </c>
      <c r="B3668" s="71" t="s">
        <v>263</v>
      </c>
      <c r="C3668" s="71" t="s">
        <v>187</v>
      </c>
      <c r="D3668" s="71" t="s">
        <v>259</v>
      </c>
      <c r="E3668" s="71" t="s">
        <v>55</v>
      </c>
      <c r="F3668" s="71" t="s">
        <v>298</v>
      </c>
      <c r="G3668" s="88">
        <v>46202.296724537002</v>
      </c>
      <c r="H3668" s="89">
        <v>46202</v>
      </c>
      <c r="I3668" s="71" t="s">
        <v>487</v>
      </c>
      <c r="J3668" s="71">
        <v>-23</v>
      </c>
      <c r="K3668" s="71" t="s">
        <v>302</v>
      </c>
      <c r="L3668" s="71">
        <f t="shared" si="513"/>
        <v>6</v>
      </c>
      <c r="M3668" s="71" t="str">
        <f>IFERROR(INDEX(KALENDER!$D$3:$D$132,MATCH(H3668,KALENDER!$A$3:$A$132,0)),"Di luar periode")</f>
        <v>Hari Kerja</v>
      </c>
      <c r="N3668" s="71">
        <f t="shared" si="514"/>
        <v>1</v>
      </c>
      <c r="O3668" s="71">
        <f t="shared" si="515"/>
        <v>1</v>
      </c>
      <c r="P3668" s="71">
        <f t="shared" si="516"/>
        <v>1</v>
      </c>
      <c r="Q3668" s="71">
        <f t="shared" si="517"/>
        <v>0</v>
      </c>
      <c r="R3668" s="71">
        <f t="shared" si="518"/>
        <v>0</v>
      </c>
      <c r="S3668" s="71">
        <f t="shared" si="519"/>
        <v>0</v>
      </c>
      <c r="T3668" s="71">
        <f t="shared" si="520"/>
        <v>0</v>
      </c>
      <c r="U3668" s="71">
        <f>IF(AND(N3668=1,V3668=1),IF(COUNTIFS(AKTIVITAS!$B$2:$B$3052,B3668,AKTIVITAS!$E$2:$E$3052,H3668)&gt;0,1,0),0)</f>
        <v>1</v>
      </c>
      <c r="V3668" s="71">
        <f>IFERROR(IF(AND(H3668&gt;=INDEX(PEMAGANG!$J$3:$J$36,MATCH(B3668,PEMAGANG!$C$3:$C$36,0)),H3668&lt;=INDEX(PEMAGANG!$K$3:$K$36,MATCH(B3668,PEMAGANG!$C$3:$C$36,0))),1,0),0)</f>
        <v>1</v>
      </c>
      <c r="W3668" s="71">
        <f t="shared" si="521"/>
        <v>1</v>
      </c>
    </row>
    <row r="3669" spans="1:23" x14ac:dyDescent="0.2">
      <c r="A3669" s="71" t="s">
        <v>262</v>
      </c>
      <c r="B3669" s="71" t="s">
        <v>263</v>
      </c>
      <c r="C3669" s="71" t="s">
        <v>187</v>
      </c>
      <c r="D3669" s="71" t="s">
        <v>259</v>
      </c>
      <c r="E3669" s="71" t="s">
        <v>55</v>
      </c>
      <c r="F3669" s="71" t="s">
        <v>300</v>
      </c>
      <c r="G3669" s="88">
        <v>46202.689155092601</v>
      </c>
      <c r="H3669" s="89">
        <v>46202</v>
      </c>
      <c r="I3669" s="71" t="s">
        <v>306</v>
      </c>
      <c r="J3669" s="71">
        <v>0</v>
      </c>
      <c r="K3669" s="71" t="s">
        <v>302</v>
      </c>
      <c r="L3669" s="71">
        <f t="shared" si="513"/>
        <v>6</v>
      </c>
      <c r="M3669" s="71" t="str">
        <f>IFERROR(INDEX(KALENDER!$D$3:$D$132,MATCH(H3669,KALENDER!$A$3:$A$132,0)),"Di luar periode")</f>
        <v>Hari Kerja</v>
      </c>
      <c r="N3669" s="71">
        <f t="shared" si="514"/>
        <v>0</v>
      </c>
      <c r="O3669" s="71">
        <f t="shared" si="515"/>
        <v>1</v>
      </c>
      <c r="P3669" s="71">
        <f t="shared" si="516"/>
        <v>0</v>
      </c>
      <c r="Q3669" s="71">
        <f t="shared" si="517"/>
        <v>0</v>
      </c>
      <c r="R3669" s="71">
        <f t="shared" si="518"/>
        <v>0</v>
      </c>
      <c r="S3669" s="71">
        <f t="shared" si="519"/>
        <v>0</v>
      </c>
      <c r="T3669" s="71">
        <f t="shared" si="520"/>
        <v>0</v>
      </c>
      <c r="U3669" s="71">
        <f>IF(AND(N3669=1,V3669=1),IF(COUNTIFS(AKTIVITAS!$B$2:$B$3052,B3669,AKTIVITAS!$E$2:$E$3052,H3669)&gt;0,1,0),0)</f>
        <v>0</v>
      </c>
      <c r="V3669" s="71">
        <f>IFERROR(IF(AND(H3669&gt;=INDEX(PEMAGANG!$J$3:$J$36,MATCH(B3669,PEMAGANG!$C$3:$C$36,0)),H3669&lt;=INDEX(PEMAGANG!$K$3:$K$36,MATCH(B3669,PEMAGANG!$C$3:$C$36,0))),1,0),0)</f>
        <v>1</v>
      </c>
      <c r="W3669" s="71">
        <f t="shared" si="521"/>
        <v>0</v>
      </c>
    </row>
    <row r="3670" spans="1:23" x14ac:dyDescent="0.2">
      <c r="A3670" s="71" t="s">
        <v>262</v>
      </c>
      <c r="B3670" s="71" t="s">
        <v>263</v>
      </c>
      <c r="C3670" s="71" t="s">
        <v>187</v>
      </c>
      <c r="D3670" s="71" t="s">
        <v>259</v>
      </c>
      <c r="E3670" s="71" t="s">
        <v>55</v>
      </c>
      <c r="F3670" s="71" t="s">
        <v>298</v>
      </c>
      <c r="G3670" s="88">
        <v>46203.303888888899</v>
      </c>
      <c r="H3670" s="89">
        <v>46203</v>
      </c>
      <c r="I3670" s="71" t="s">
        <v>331</v>
      </c>
      <c r="J3670" s="71">
        <v>-13</v>
      </c>
      <c r="K3670" s="71" t="s">
        <v>302</v>
      </c>
      <c r="L3670" s="71">
        <f t="shared" si="513"/>
        <v>6</v>
      </c>
      <c r="M3670" s="71" t="str">
        <f>IFERROR(INDEX(KALENDER!$D$3:$D$132,MATCH(H3670,KALENDER!$A$3:$A$132,0)),"Di luar periode")</f>
        <v>Hari Kerja</v>
      </c>
      <c r="N3670" s="71">
        <f t="shared" si="514"/>
        <v>1</v>
      </c>
      <c r="O3670" s="71">
        <f t="shared" si="515"/>
        <v>1</v>
      </c>
      <c r="P3670" s="71">
        <f t="shared" si="516"/>
        <v>1</v>
      </c>
      <c r="Q3670" s="71">
        <f t="shared" si="517"/>
        <v>0</v>
      </c>
      <c r="R3670" s="71">
        <f t="shared" si="518"/>
        <v>0</v>
      </c>
      <c r="S3670" s="71">
        <f t="shared" si="519"/>
        <v>0</v>
      </c>
      <c r="T3670" s="71">
        <f t="shared" si="520"/>
        <v>1</v>
      </c>
      <c r="U3670" s="71">
        <f>IF(AND(N3670=1,V3670=1),IF(COUNTIFS(AKTIVITAS!$B$2:$B$3052,B3670,AKTIVITAS!$E$2:$E$3052,H3670)&gt;0,1,0),0)</f>
        <v>0</v>
      </c>
      <c r="V3670" s="71">
        <f>IFERROR(IF(AND(H3670&gt;=INDEX(PEMAGANG!$J$3:$J$36,MATCH(B3670,PEMAGANG!$C$3:$C$36,0)),H3670&lt;=INDEX(PEMAGANG!$K$3:$K$36,MATCH(B3670,PEMAGANG!$C$3:$C$36,0))),1,0),0)</f>
        <v>1</v>
      </c>
      <c r="W3670" s="71">
        <f t="shared" si="521"/>
        <v>1</v>
      </c>
    </row>
    <row r="3671" spans="1:23" x14ac:dyDescent="0.2">
      <c r="A3671" s="71" t="s">
        <v>262</v>
      </c>
      <c r="B3671" s="71" t="s">
        <v>263</v>
      </c>
      <c r="C3671" s="71" t="s">
        <v>187</v>
      </c>
      <c r="D3671" s="71" t="s">
        <v>259</v>
      </c>
      <c r="E3671" s="71" t="s">
        <v>55</v>
      </c>
      <c r="F3671" s="71" t="s">
        <v>298</v>
      </c>
      <c r="G3671" s="88">
        <v>46205.302939814799</v>
      </c>
      <c r="H3671" s="89">
        <v>46205</v>
      </c>
      <c r="I3671" s="71" t="s">
        <v>327</v>
      </c>
      <c r="J3671" s="71">
        <v>-14</v>
      </c>
      <c r="K3671" s="71" t="s">
        <v>302</v>
      </c>
      <c r="L3671" s="71">
        <f t="shared" si="513"/>
        <v>7</v>
      </c>
      <c r="M3671" s="71" t="str">
        <f>IFERROR(INDEX(KALENDER!$D$3:$D$132,MATCH(H3671,KALENDER!$A$3:$A$132,0)),"Di luar periode")</f>
        <v>Hari Kerja</v>
      </c>
      <c r="N3671" s="71">
        <f t="shared" si="514"/>
        <v>1</v>
      </c>
      <c r="O3671" s="71">
        <f t="shared" si="515"/>
        <v>1</v>
      </c>
      <c r="P3671" s="71">
        <f t="shared" si="516"/>
        <v>1</v>
      </c>
      <c r="Q3671" s="71">
        <f t="shared" si="517"/>
        <v>0</v>
      </c>
      <c r="R3671" s="71">
        <f t="shared" si="518"/>
        <v>0</v>
      </c>
      <c r="S3671" s="71">
        <f t="shared" si="519"/>
        <v>0</v>
      </c>
      <c r="T3671" s="71">
        <f t="shared" si="520"/>
        <v>0</v>
      </c>
      <c r="U3671" s="71">
        <f>IF(AND(N3671=1,V3671=1),IF(COUNTIFS(AKTIVITAS!$B$2:$B$3052,B3671,AKTIVITAS!$E$2:$E$3052,H3671)&gt;0,1,0),0)</f>
        <v>1</v>
      </c>
      <c r="V3671" s="71">
        <f>IFERROR(IF(AND(H3671&gt;=INDEX(PEMAGANG!$J$3:$J$36,MATCH(B3671,PEMAGANG!$C$3:$C$36,0)),H3671&lt;=INDEX(PEMAGANG!$K$3:$K$36,MATCH(B3671,PEMAGANG!$C$3:$C$36,0))),1,0),0)</f>
        <v>1</v>
      </c>
      <c r="W3671" s="71">
        <f t="shared" si="521"/>
        <v>1</v>
      </c>
    </row>
    <row r="3672" spans="1:23" x14ac:dyDescent="0.2">
      <c r="A3672" s="71" t="s">
        <v>262</v>
      </c>
      <c r="B3672" s="71" t="s">
        <v>263</v>
      </c>
      <c r="C3672" s="71" t="s">
        <v>187</v>
      </c>
      <c r="D3672" s="71" t="s">
        <v>259</v>
      </c>
      <c r="E3672" s="71" t="s">
        <v>55</v>
      </c>
      <c r="F3672" s="71" t="s">
        <v>300</v>
      </c>
      <c r="G3672" s="88">
        <v>46205.688298611101</v>
      </c>
      <c r="H3672" s="89">
        <v>46205</v>
      </c>
      <c r="I3672" s="71" t="s">
        <v>336</v>
      </c>
      <c r="J3672" s="71">
        <v>0</v>
      </c>
      <c r="K3672" s="71" t="s">
        <v>302</v>
      </c>
      <c r="L3672" s="71">
        <f t="shared" si="513"/>
        <v>7</v>
      </c>
      <c r="M3672" s="71" t="str">
        <f>IFERROR(INDEX(KALENDER!$D$3:$D$132,MATCH(H3672,KALENDER!$A$3:$A$132,0)),"Di luar periode")</f>
        <v>Hari Kerja</v>
      </c>
      <c r="N3672" s="71">
        <f t="shared" si="514"/>
        <v>0</v>
      </c>
      <c r="O3672" s="71">
        <f t="shared" si="515"/>
        <v>1</v>
      </c>
      <c r="P3672" s="71">
        <f t="shared" si="516"/>
        <v>0</v>
      </c>
      <c r="Q3672" s="71">
        <f t="shared" si="517"/>
        <v>0</v>
      </c>
      <c r="R3672" s="71">
        <f t="shared" si="518"/>
        <v>0</v>
      </c>
      <c r="S3672" s="71">
        <f t="shared" si="519"/>
        <v>0</v>
      </c>
      <c r="T3672" s="71">
        <f t="shared" si="520"/>
        <v>0</v>
      </c>
      <c r="U3672" s="71">
        <f>IF(AND(N3672=1,V3672=1),IF(COUNTIFS(AKTIVITAS!$B$2:$B$3052,B3672,AKTIVITAS!$E$2:$E$3052,H3672)&gt;0,1,0),0)</f>
        <v>0</v>
      </c>
      <c r="V3672" s="71">
        <f>IFERROR(IF(AND(H3672&gt;=INDEX(PEMAGANG!$J$3:$J$36,MATCH(B3672,PEMAGANG!$C$3:$C$36,0)),H3672&lt;=INDEX(PEMAGANG!$K$3:$K$36,MATCH(B3672,PEMAGANG!$C$3:$C$36,0))),1,0),0)</f>
        <v>1</v>
      </c>
      <c r="W3672" s="71">
        <f t="shared" si="521"/>
        <v>0</v>
      </c>
    </row>
    <row r="3673" spans="1:23" x14ac:dyDescent="0.2">
      <c r="A3673" s="71" t="s">
        <v>262</v>
      </c>
      <c r="B3673" s="71" t="s">
        <v>263</v>
      </c>
      <c r="C3673" s="71" t="s">
        <v>187</v>
      </c>
      <c r="D3673" s="71" t="s">
        <v>259</v>
      </c>
      <c r="E3673" s="71" t="s">
        <v>55</v>
      </c>
      <c r="F3673" s="71" t="s">
        <v>298</v>
      </c>
      <c r="G3673" s="88">
        <v>46206.3025694444</v>
      </c>
      <c r="H3673" s="89">
        <v>46206</v>
      </c>
      <c r="I3673" s="71" t="s">
        <v>370</v>
      </c>
      <c r="J3673" s="71">
        <v>-15</v>
      </c>
      <c r="K3673" s="71" t="s">
        <v>302</v>
      </c>
      <c r="L3673" s="71">
        <f t="shared" si="513"/>
        <v>7</v>
      </c>
      <c r="M3673" s="71" t="str">
        <f>IFERROR(INDEX(KALENDER!$D$3:$D$132,MATCH(H3673,KALENDER!$A$3:$A$132,0)),"Di luar periode")</f>
        <v>Hari Kerja</v>
      </c>
      <c r="N3673" s="71">
        <f t="shared" si="514"/>
        <v>1</v>
      </c>
      <c r="O3673" s="71">
        <f t="shared" si="515"/>
        <v>1</v>
      </c>
      <c r="P3673" s="71">
        <f t="shared" si="516"/>
        <v>1</v>
      </c>
      <c r="Q3673" s="71">
        <f t="shared" si="517"/>
        <v>0</v>
      </c>
      <c r="R3673" s="71">
        <f t="shared" si="518"/>
        <v>0</v>
      </c>
      <c r="S3673" s="71">
        <f t="shared" si="519"/>
        <v>0</v>
      </c>
      <c r="T3673" s="71">
        <f t="shared" si="520"/>
        <v>0</v>
      </c>
      <c r="U3673" s="71">
        <f>IF(AND(N3673=1,V3673=1),IF(COUNTIFS(AKTIVITAS!$B$2:$B$3052,B3673,AKTIVITAS!$E$2:$E$3052,H3673)&gt;0,1,0),0)</f>
        <v>1</v>
      </c>
      <c r="V3673" s="71">
        <f>IFERROR(IF(AND(H3673&gt;=INDEX(PEMAGANG!$J$3:$J$36,MATCH(B3673,PEMAGANG!$C$3:$C$36,0)),H3673&lt;=INDEX(PEMAGANG!$K$3:$K$36,MATCH(B3673,PEMAGANG!$C$3:$C$36,0))),1,0),0)</f>
        <v>1</v>
      </c>
      <c r="W3673" s="71">
        <f t="shared" si="521"/>
        <v>1</v>
      </c>
    </row>
    <row r="3674" spans="1:23" x14ac:dyDescent="0.2">
      <c r="A3674" s="71" t="s">
        <v>262</v>
      </c>
      <c r="B3674" s="71" t="s">
        <v>263</v>
      </c>
      <c r="C3674" s="71" t="s">
        <v>187</v>
      </c>
      <c r="D3674" s="71" t="s">
        <v>259</v>
      </c>
      <c r="E3674" s="71" t="s">
        <v>55</v>
      </c>
      <c r="F3674" s="71" t="s">
        <v>300</v>
      </c>
      <c r="G3674" s="88">
        <v>46206.693159722199</v>
      </c>
      <c r="H3674" s="89">
        <v>46206</v>
      </c>
      <c r="I3674" s="71" t="s">
        <v>317</v>
      </c>
      <c r="J3674" s="71">
        <v>0</v>
      </c>
      <c r="K3674" s="71" t="s">
        <v>302</v>
      </c>
      <c r="L3674" s="71">
        <f t="shared" si="513"/>
        <v>7</v>
      </c>
      <c r="M3674" s="71" t="str">
        <f>IFERROR(INDEX(KALENDER!$D$3:$D$132,MATCH(H3674,KALENDER!$A$3:$A$132,0)),"Di luar periode")</f>
        <v>Hari Kerja</v>
      </c>
      <c r="N3674" s="71">
        <f t="shared" si="514"/>
        <v>0</v>
      </c>
      <c r="O3674" s="71">
        <f t="shared" si="515"/>
        <v>1</v>
      </c>
      <c r="P3674" s="71">
        <f t="shared" si="516"/>
        <v>0</v>
      </c>
      <c r="Q3674" s="71">
        <f t="shared" si="517"/>
        <v>0</v>
      </c>
      <c r="R3674" s="71">
        <f t="shared" si="518"/>
        <v>0</v>
      </c>
      <c r="S3674" s="71">
        <f t="shared" si="519"/>
        <v>0</v>
      </c>
      <c r="T3674" s="71">
        <f t="shared" si="520"/>
        <v>0</v>
      </c>
      <c r="U3674" s="71">
        <f>IF(AND(N3674=1,V3674=1),IF(COUNTIFS(AKTIVITAS!$B$2:$B$3052,B3674,AKTIVITAS!$E$2:$E$3052,H3674)&gt;0,1,0),0)</f>
        <v>0</v>
      </c>
      <c r="V3674" s="71">
        <f>IFERROR(IF(AND(H3674&gt;=INDEX(PEMAGANG!$J$3:$J$36,MATCH(B3674,PEMAGANG!$C$3:$C$36,0)),H3674&lt;=INDEX(PEMAGANG!$K$3:$K$36,MATCH(B3674,PEMAGANG!$C$3:$C$36,0))),1,0),0)</f>
        <v>1</v>
      </c>
      <c r="W3674" s="71">
        <f t="shared" si="521"/>
        <v>0</v>
      </c>
    </row>
    <row r="3675" spans="1:23" x14ac:dyDescent="0.2">
      <c r="A3675" s="71" t="s">
        <v>262</v>
      </c>
      <c r="B3675" s="71" t="s">
        <v>263</v>
      </c>
      <c r="C3675" s="71" t="s">
        <v>187</v>
      </c>
      <c r="D3675" s="71" t="s">
        <v>259</v>
      </c>
      <c r="E3675" s="71" t="s">
        <v>55</v>
      </c>
      <c r="F3675" s="71" t="s">
        <v>298</v>
      </c>
      <c r="G3675" s="88">
        <v>46209.297222222202</v>
      </c>
      <c r="H3675" s="89">
        <v>46209</v>
      </c>
      <c r="I3675" s="71" t="s">
        <v>486</v>
      </c>
      <c r="J3675" s="71">
        <v>-22</v>
      </c>
      <c r="K3675" s="71" t="s">
        <v>302</v>
      </c>
      <c r="L3675" s="71">
        <f t="shared" si="513"/>
        <v>7</v>
      </c>
      <c r="M3675" s="71" t="str">
        <f>IFERROR(INDEX(KALENDER!$D$3:$D$132,MATCH(H3675,KALENDER!$A$3:$A$132,0)),"Di luar periode")</f>
        <v>Hari Kerja</v>
      </c>
      <c r="N3675" s="71">
        <f t="shared" si="514"/>
        <v>1</v>
      </c>
      <c r="O3675" s="71">
        <f t="shared" si="515"/>
        <v>1</v>
      </c>
      <c r="P3675" s="71">
        <f t="shared" si="516"/>
        <v>1</v>
      </c>
      <c r="Q3675" s="71">
        <f t="shared" si="517"/>
        <v>0</v>
      </c>
      <c r="R3675" s="71">
        <f t="shared" si="518"/>
        <v>0</v>
      </c>
      <c r="S3675" s="71">
        <f t="shared" si="519"/>
        <v>0</v>
      </c>
      <c r="T3675" s="71">
        <f t="shared" si="520"/>
        <v>0</v>
      </c>
      <c r="U3675" s="71">
        <f>IF(AND(N3675=1,V3675=1),IF(COUNTIFS(AKTIVITAS!$B$2:$B$3052,B3675,AKTIVITAS!$E$2:$E$3052,H3675)&gt;0,1,0),0)</f>
        <v>1</v>
      </c>
      <c r="V3675" s="71">
        <f>IFERROR(IF(AND(H3675&gt;=INDEX(PEMAGANG!$J$3:$J$36,MATCH(B3675,PEMAGANG!$C$3:$C$36,0)),H3675&lt;=INDEX(PEMAGANG!$K$3:$K$36,MATCH(B3675,PEMAGANG!$C$3:$C$36,0))),1,0),0)</f>
        <v>1</v>
      </c>
      <c r="W3675" s="71">
        <f t="shared" si="521"/>
        <v>1</v>
      </c>
    </row>
    <row r="3676" spans="1:23" x14ac:dyDescent="0.2">
      <c r="A3676" s="71" t="s">
        <v>262</v>
      </c>
      <c r="B3676" s="71" t="s">
        <v>263</v>
      </c>
      <c r="C3676" s="71" t="s">
        <v>187</v>
      </c>
      <c r="D3676" s="71" t="s">
        <v>259</v>
      </c>
      <c r="E3676" s="71" t="s">
        <v>55</v>
      </c>
      <c r="F3676" s="71" t="s">
        <v>300</v>
      </c>
      <c r="G3676" s="88">
        <v>46209.692453703698</v>
      </c>
      <c r="H3676" s="89">
        <v>46209</v>
      </c>
      <c r="I3676" s="71" t="s">
        <v>328</v>
      </c>
      <c r="J3676" s="71">
        <v>0</v>
      </c>
      <c r="K3676" s="71" t="s">
        <v>302</v>
      </c>
      <c r="L3676" s="71">
        <f t="shared" si="513"/>
        <v>7</v>
      </c>
      <c r="M3676" s="71" t="str">
        <f>IFERROR(INDEX(KALENDER!$D$3:$D$132,MATCH(H3676,KALENDER!$A$3:$A$132,0)),"Di luar periode")</f>
        <v>Hari Kerja</v>
      </c>
      <c r="N3676" s="71">
        <f t="shared" si="514"/>
        <v>0</v>
      </c>
      <c r="O3676" s="71">
        <f t="shared" si="515"/>
        <v>1</v>
      </c>
      <c r="P3676" s="71">
        <f t="shared" si="516"/>
        <v>0</v>
      </c>
      <c r="Q3676" s="71">
        <f t="shared" si="517"/>
        <v>0</v>
      </c>
      <c r="R3676" s="71">
        <f t="shared" si="518"/>
        <v>0</v>
      </c>
      <c r="S3676" s="71">
        <f t="shared" si="519"/>
        <v>0</v>
      </c>
      <c r="T3676" s="71">
        <f t="shared" si="520"/>
        <v>0</v>
      </c>
      <c r="U3676" s="71">
        <f>IF(AND(N3676=1,V3676=1),IF(COUNTIFS(AKTIVITAS!$B$2:$B$3052,B3676,AKTIVITAS!$E$2:$E$3052,H3676)&gt;0,1,0),0)</f>
        <v>0</v>
      </c>
      <c r="V3676" s="71">
        <f>IFERROR(IF(AND(H3676&gt;=INDEX(PEMAGANG!$J$3:$J$36,MATCH(B3676,PEMAGANG!$C$3:$C$36,0)),H3676&lt;=INDEX(PEMAGANG!$K$3:$K$36,MATCH(B3676,PEMAGANG!$C$3:$C$36,0))),1,0),0)</f>
        <v>1</v>
      </c>
      <c r="W3676" s="71">
        <f t="shared" si="521"/>
        <v>0</v>
      </c>
    </row>
    <row r="3677" spans="1:23" x14ac:dyDescent="0.2">
      <c r="A3677" s="71" t="s">
        <v>262</v>
      </c>
      <c r="B3677" s="71" t="s">
        <v>263</v>
      </c>
      <c r="C3677" s="71" t="s">
        <v>187</v>
      </c>
      <c r="D3677" s="71" t="s">
        <v>259</v>
      </c>
      <c r="E3677" s="71" t="s">
        <v>55</v>
      </c>
      <c r="F3677" s="71" t="s">
        <v>298</v>
      </c>
      <c r="G3677" s="88">
        <v>46210.2993981482</v>
      </c>
      <c r="H3677" s="89">
        <v>46210</v>
      </c>
      <c r="I3677" s="71" t="s">
        <v>402</v>
      </c>
      <c r="J3677" s="71">
        <v>-19</v>
      </c>
      <c r="K3677" s="71" t="s">
        <v>302</v>
      </c>
      <c r="L3677" s="71">
        <f t="shared" si="513"/>
        <v>7</v>
      </c>
      <c r="M3677" s="71" t="str">
        <f>IFERROR(INDEX(KALENDER!$D$3:$D$132,MATCH(H3677,KALENDER!$A$3:$A$132,0)),"Di luar periode")</f>
        <v>Hari Kerja</v>
      </c>
      <c r="N3677" s="71">
        <f t="shared" si="514"/>
        <v>1</v>
      </c>
      <c r="O3677" s="71">
        <f t="shared" si="515"/>
        <v>1</v>
      </c>
      <c r="P3677" s="71">
        <f t="shared" si="516"/>
        <v>1</v>
      </c>
      <c r="Q3677" s="71">
        <f t="shared" si="517"/>
        <v>0</v>
      </c>
      <c r="R3677" s="71">
        <f t="shared" si="518"/>
        <v>0</v>
      </c>
      <c r="S3677" s="71">
        <f t="shared" si="519"/>
        <v>0</v>
      </c>
      <c r="T3677" s="71">
        <f t="shared" si="520"/>
        <v>0</v>
      </c>
      <c r="U3677" s="71">
        <f>IF(AND(N3677=1,V3677=1),IF(COUNTIFS(AKTIVITAS!$B$2:$B$3052,B3677,AKTIVITAS!$E$2:$E$3052,H3677)&gt;0,1,0),0)</f>
        <v>1</v>
      </c>
      <c r="V3677" s="71">
        <f>IFERROR(IF(AND(H3677&gt;=INDEX(PEMAGANG!$J$3:$J$36,MATCH(B3677,PEMAGANG!$C$3:$C$36,0)),H3677&lt;=INDEX(PEMAGANG!$K$3:$K$36,MATCH(B3677,PEMAGANG!$C$3:$C$36,0))),1,0),0)</f>
        <v>1</v>
      </c>
      <c r="W3677" s="71">
        <f t="shared" si="521"/>
        <v>1</v>
      </c>
    </row>
    <row r="3678" spans="1:23" x14ac:dyDescent="0.2">
      <c r="A3678" s="71" t="s">
        <v>262</v>
      </c>
      <c r="B3678" s="71" t="s">
        <v>263</v>
      </c>
      <c r="C3678" s="71" t="s">
        <v>187</v>
      </c>
      <c r="D3678" s="71" t="s">
        <v>259</v>
      </c>
      <c r="E3678" s="71" t="s">
        <v>55</v>
      </c>
      <c r="F3678" s="71" t="s">
        <v>300</v>
      </c>
      <c r="G3678" s="88">
        <v>46210.688530092601</v>
      </c>
      <c r="H3678" s="89">
        <v>46210</v>
      </c>
      <c r="I3678" s="71" t="s">
        <v>336</v>
      </c>
      <c r="J3678" s="71">
        <v>0</v>
      </c>
      <c r="K3678" s="71" t="s">
        <v>302</v>
      </c>
      <c r="L3678" s="71">
        <f t="shared" si="513"/>
        <v>7</v>
      </c>
      <c r="M3678" s="71" t="str">
        <f>IFERROR(INDEX(KALENDER!$D$3:$D$132,MATCH(H3678,KALENDER!$A$3:$A$132,0)),"Di luar periode")</f>
        <v>Hari Kerja</v>
      </c>
      <c r="N3678" s="71">
        <f t="shared" si="514"/>
        <v>0</v>
      </c>
      <c r="O3678" s="71">
        <f t="shared" si="515"/>
        <v>1</v>
      </c>
      <c r="P3678" s="71">
        <f t="shared" si="516"/>
        <v>0</v>
      </c>
      <c r="Q3678" s="71">
        <f t="shared" si="517"/>
        <v>0</v>
      </c>
      <c r="R3678" s="71">
        <f t="shared" si="518"/>
        <v>0</v>
      </c>
      <c r="S3678" s="71">
        <f t="shared" si="519"/>
        <v>0</v>
      </c>
      <c r="T3678" s="71">
        <f t="shared" si="520"/>
        <v>0</v>
      </c>
      <c r="U3678" s="71">
        <f>IF(AND(N3678=1,V3678=1),IF(COUNTIFS(AKTIVITAS!$B$2:$B$3052,B3678,AKTIVITAS!$E$2:$E$3052,H3678)&gt;0,1,0),0)</f>
        <v>0</v>
      </c>
      <c r="V3678" s="71">
        <f>IFERROR(IF(AND(H3678&gt;=INDEX(PEMAGANG!$J$3:$J$36,MATCH(B3678,PEMAGANG!$C$3:$C$36,0)),H3678&lt;=INDEX(PEMAGANG!$K$3:$K$36,MATCH(B3678,PEMAGANG!$C$3:$C$36,0))),1,0),0)</f>
        <v>1</v>
      </c>
      <c r="W3678" s="71">
        <f t="shared" si="521"/>
        <v>0</v>
      </c>
    </row>
    <row r="3679" spans="1:23" x14ac:dyDescent="0.2">
      <c r="A3679" s="71" t="s">
        <v>262</v>
      </c>
      <c r="B3679" s="71" t="s">
        <v>263</v>
      </c>
      <c r="C3679" s="71" t="s">
        <v>187</v>
      </c>
      <c r="D3679" s="71" t="s">
        <v>259</v>
      </c>
      <c r="E3679" s="71" t="s">
        <v>55</v>
      </c>
      <c r="F3679" s="71" t="s">
        <v>298</v>
      </c>
      <c r="G3679" s="88">
        <v>46212.2989930556</v>
      </c>
      <c r="H3679" s="89">
        <v>46212</v>
      </c>
      <c r="I3679" s="71" t="s">
        <v>481</v>
      </c>
      <c r="J3679" s="71">
        <v>-20</v>
      </c>
      <c r="K3679" s="71" t="s">
        <v>302</v>
      </c>
      <c r="L3679" s="71">
        <f t="shared" si="513"/>
        <v>7</v>
      </c>
      <c r="M3679" s="71" t="str">
        <f>IFERROR(INDEX(KALENDER!$D$3:$D$132,MATCH(H3679,KALENDER!$A$3:$A$132,0)),"Di luar periode")</f>
        <v>Hari Kerja</v>
      </c>
      <c r="N3679" s="71">
        <f t="shared" si="514"/>
        <v>1</v>
      </c>
      <c r="O3679" s="71">
        <f t="shared" si="515"/>
        <v>1</v>
      </c>
      <c r="P3679" s="71">
        <f t="shared" si="516"/>
        <v>1</v>
      </c>
      <c r="Q3679" s="71">
        <f t="shared" si="517"/>
        <v>0</v>
      </c>
      <c r="R3679" s="71">
        <f t="shared" si="518"/>
        <v>0</v>
      </c>
      <c r="S3679" s="71">
        <f t="shared" si="519"/>
        <v>0</v>
      </c>
      <c r="T3679" s="71">
        <f t="shared" si="520"/>
        <v>0</v>
      </c>
      <c r="U3679" s="71">
        <f>IF(AND(N3679=1,V3679=1),IF(COUNTIFS(AKTIVITAS!$B$2:$B$3052,B3679,AKTIVITAS!$E$2:$E$3052,H3679)&gt;0,1,0),0)</f>
        <v>1</v>
      </c>
      <c r="V3679" s="71">
        <f>IFERROR(IF(AND(H3679&gt;=INDEX(PEMAGANG!$J$3:$J$36,MATCH(B3679,PEMAGANG!$C$3:$C$36,0)),H3679&lt;=INDEX(PEMAGANG!$K$3:$K$36,MATCH(B3679,PEMAGANG!$C$3:$C$36,0))),1,0),0)</f>
        <v>1</v>
      </c>
      <c r="W3679" s="71">
        <f t="shared" si="521"/>
        <v>1</v>
      </c>
    </row>
    <row r="3680" spans="1:23" x14ac:dyDescent="0.2">
      <c r="A3680" s="71" t="s">
        <v>262</v>
      </c>
      <c r="B3680" s="71" t="s">
        <v>263</v>
      </c>
      <c r="C3680" s="71" t="s">
        <v>187</v>
      </c>
      <c r="D3680" s="71" t="s">
        <v>259</v>
      </c>
      <c r="E3680" s="71" t="s">
        <v>55</v>
      </c>
      <c r="F3680" s="71" t="s">
        <v>300</v>
      </c>
      <c r="G3680" s="88">
        <v>46212.692442129599</v>
      </c>
      <c r="H3680" s="89">
        <v>46212</v>
      </c>
      <c r="I3680" s="71" t="s">
        <v>328</v>
      </c>
      <c r="J3680" s="71">
        <v>0</v>
      </c>
      <c r="K3680" s="71" t="s">
        <v>302</v>
      </c>
      <c r="L3680" s="71">
        <f t="shared" si="513"/>
        <v>7</v>
      </c>
      <c r="M3680" s="71" t="str">
        <f>IFERROR(INDEX(KALENDER!$D$3:$D$132,MATCH(H3680,KALENDER!$A$3:$A$132,0)),"Di luar periode")</f>
        <v>Hari Kerja</v>
      </c>
      <c r="N3680" s="71">
        <f t="shared" si="514"/>
        <v>0</v>
      </c>
      <c r="O3680" s="71">
        <f t="shared" si="515"/>
        <v>1</v>
      </c>
      <c r="P3680" s="71">
        <f t="shared" si="516"/>
        <v>0</v>
      </c>
      <c r="Q3680" s="71">
        <f t="shared" si="517"/>
        <v>0</v>
      </c>
      <c r="R3680" s="71">
        <f t="shared" si="518"/>
        <v>0</v>
      </c>
      <c r="S3680" s="71">
        <f t="shared" si="519"/>
        <v>0</v>
      </c>
      <c r="T3680" s="71">
        <f t="shared" si="520"/>
        <v>0</v>
      </c>
      <c r="U3680" s="71">
        <f>IF(AND(N3680=1,V3680=1),IF(COUNTIFS(AKTIVITAS!$B$2:$B$3052,B3680,AKTIVITAS!$E$2:$E$3052,H3680)&gt;0,1,0),0)</f>
        <v>0</v>
      </c>
      <c r="V3680" s="71">
        <f>IFERROR(IF(AND(H3680&gt;=INDEX(PEMAGANG!$J$3:$J$36,MATCH(B3680,PEMAGANG!$C$3:$C$36,0)),H3680&lt;=INDEX(PEMAGANG!$K$3:$K$36,MATCH(B3680,PEMAGANG!$C$3:$C$36,0))),1,0),0)</f>
        <v>1</v>
      </c>
      <c r="W3680" s="71">
        <f t="shared" si="521"/>
        <v>0</v>
      </c>
    </row>
    <row r="3681" spans="1:23" x14ac:dyDescent="0.2">
      <c r="A3681" s="71" t="s">
        <v>262</v>
      </c>
      <c r="B3681" s="71" t="s">
        <v>263</v>
      </c>
      <c r="C3681" s="71" t="s">
        <v>187</v>
      </c>
      <c r="D3681" s="71" t="s">
        <v>259</v>
      </c>
      <c r="E3681" s="71" t="s">
        <v>55</v>
      </c>
      <c r="F3681" s="71" t="s">
        <v>298</v>
      </c>
      <c r="G3681" s="88">
        <v>46213.298750000002</v>
      </c>
      <c r="H3681" s="89">
        <v>46213</v>
      </c>
      <c r="I3681" s="71" t="s">
        <v>481</v>
      </c>
      <c r="J3681" s="71">
        <v>-20</v>
      </c>
      <c r="K3681" s="71" t="s">
        <v>302</v>
      </c>
      <c r="L3681" s="71">
        <f t="shared" si="513"/>
        <v>7</v>
      </c>
      <c r="M3681" s="71" t="str">
        <f>IFERROR(INDEX(KALENDER!$D$3:$D$132,MATCH(H3681,KALENDER!$A$3:$A$132,0)),"Di luar periode")</f>
        <v>Hari Kerja</v>
      </c>
      <c r="N3681" s="71">
        <f t="shared" si="514"/>
        <v>1</v>
      </c>
      <c r="O3681" s="71">
        <f t="shared" si="515"/>
        <v>1</v>
      </c>
      <c r="P3681" s="71">
        <f t="shared" si="516"/>
        <v>1</v>
      </c>
      <c r="Q3681" s="71">
        <f t="shared" si="517"/>
        <v>0</v>
      </c>
      <c r="R3681" s="71">
        <f t="shared" si="518"/>
        <v>0</v>
      </c>
      <c r="S3681" s="71">
        <f t="shared" si="519"/>
        <v>0</v>
      </c>
      <c r="T3681" s="71">
        <f t="shared" si="520"/>
        <v>0</v>
      </c>
      <c r="U3681" s="71">
        <f>IF(AND(N3681=1,V3681=1),IF(COUNTIFS(AKTIVITAS!$B$2:$B$3052,B3681,AKTIVITAS!$E$2:$E$3052,H3681)&gt;0,1,0),0)</f>
        <v>1</v>
      </c>
      <c r="V3681" s="71">
        <f>IFERROR(IF(AND(H3681&gt;=INDEX(PEMAGANG!$J$3:$J$36,MATCH(B3681,PEMAGANG!$C$3:$C$36,0)),H3681&lt;=INDEX(PEMAGANG!$K$3:$K$36,MATCH(B3681,PEMAGANG!$C$3:$C$36,0))),1,0),0)</f>
        <v>1</v>
      </c>
      <c r="W3681" s="71">
        <f t="shared" si="521"/>
        <v>1</v>
      </c>
    </row>
    <row r="3682" spans="1:23" x14ac:dyDescent="0.2">
      <c r="A3682" s="71" t="s">
        <v>262</v>
      </c>
      <c r="B3682" s="71" t="s">
        <v>263</v>
      </c>
      <c r="C3682" s="71" t="s">
        <v>187</v>
      </c>
      <c r="D3682" s="71" t="s">
        <v>259</v>
      </c>
      <c r="E3682" s="71" t="s">
        <v>55</v>
      </c>
      <c r="F3682" s="71" t="s">
        <v>300</v>
      </c>
      <c r="G3682" s="88">
        <v>46213.688553240703</v>
      </c>
      <c r="H3682" s="89">
        <v>46213</v>
      </c>
      <c r="I3682" s="71" t="s">
        <v>336</v>
      </c>
      <c r="J3682" s="71">
        <v>0</v>
      </c>
      <c r="K3682" s="71" t="s">
        <v>302</v>
      </c>
      <c r="L3682" s="71">
        <f t="shared" si="513"/>
        <v>7</v>
      </c>
      <c r="M3682" s="71" t="str">
        <f>IFERROR(INDEX(KALENDER!$D$3:$D$132,MATCH(H3682,KALENDER!$A$3:$A$132,0)),"Di luar periode")</f>
        <v>Hari Kerja</v>
      </c>
      <c r="N3682" s="71">
        <f t="shared" si="514"/>
        <v>0</v>
      </c>
      <c r="O3682" s="71">
        <f t="shared" si="515"/>
        <v>1</v>
      </c>
      <c r="P3682" s="71">
        <f t="shared" si="516"/>
        <v>0</v>
      </c>
      <c r="Q3682" s="71">
        <f t="shared" si="517"/>
        <v>0</v>
      </c>
      <c r="R3682" s="71">
        <f t="shared" si="518"/>
        <v>0</v>
      </c>
      <c r="S3682" s="71">
        <f t="shared" si="519"/>
        <v>0</v>
      </c>
      <c r="T3682" s="71">
        <f t="shared" si="520"/>
        <v>0</v>
      </c>
      <c r="U3682" s="71">
        <f>IF(AND(N3682=1,V3682=1),IF(COUNTIFS(AKTIVITAS!$B$2:$B$3052,B3682,AKTIVITAS!$E$2:$E$3052,H3682)&gt;0,1,0),0)</f>
        <v>0</v>
      </c>
      <c r="V3682" s="71">
        <f>IFERROR(IF(AND(H3682&gt;=INDEX(PEMAGANG!$J$3:$J$36,MATCH(B3682,PEMAGANG!$C$3:$C$36,0)),H3682&lt;=INDEX(PEMAGANG!$K$3:$K$36,MATCH(B3682,PEMAGANG!$C$3:$C$36,0))),1,0),0)</f>
        <v>1</v>
      </c>
      <c r="W3682" s="71">
        <f t="shared" si="521"/>
        <v>0</v>
      </c>
    </row>
    <row r="3683" spans="1:23" x14ac:dyDescent="0.2">
      <c r="A3683" s="71" t="s">
        <v>262</v>
      </c>
      <c r="B3683" s="71" t="s">
        <v>263</v>
      </c>
      <c r="C3683" s="71" t="s">
        <v>187</v>
      </c>
      <c r="D3683" s="71" t="s">
        <v>259</v>
      </c>
      <c r="E3683" s="71" t="s">
        <v>55</v>
      </c>
      <c r="F3683" s="71" t="s">
        <v>298</v>
      </c>
      <c r="G3683" s="88">
        <v>46217.295266203699</v>
      </c>
      <c r="H3683" s="89">
        <v>46217</v>
      </c>
      <c r="I3683" s="71" t="s">
        <v>355</v>
      </c>
      <c r="J3683" s="71">
        <v>-25</v>
      </c>
      <c r="K3683" s="71" t="s">
        <v>302</v>
      </c>
      <c r="L3683" s="71">
        <f t="shared" si="513"/>
        <v>7</v>
      </c>
      <c r="M3683" s="71" t="str">
        <f>IFERROR(INDEX(KALENDER!$D$3:$D$132,MATCH(H3683,KALENDER!$A$3:$A$132,0)),"Di luar periode")</f>
        <v>Hari Kerja</v>
      </c>
      <c r="N3683" s="71">
        <f t="shared" si="514"/>
        <v>1</v>
      </c>
      <c r="O3683" s="71">
        <f t="shared" si="515"/>
        <v>1</v>
      </c>
      <c r="P3683" s="71">
        <f t="shared" si="516"/>
        <v>1</v>
      </c>
      <c r="Q3683" s="71">
        <f t="shared" si="517"/>
        <v>0</v>
      </c>
      <c r="R3683" s="71">
        <f t="shared" si="518"/>
        <v>0</v>
      </c>
      <c r="S3683" s="71">
        <f t="shared" si="519"/>
        <v>0</v>
      </c>
      <c r="T3683" s="71">
        <f t="shared" si="520"/>
        <v>0</v>
      </c>
      <c r="U3683" s="71">
        <f>IF(AND(N3683=1,V3683=1),IF(COUNTIFS(AKTIVITAS!$B$2:$B$3052,B3683,AKTIVITAS!$E$2:$E$3052,H3683)&gt;0,1,0),0)</f>
        <v>1</v>
      </c>
      <c r="V3683" s="71">
        <f>IFERROR(IF(AND(H3683&gt;=INDEX(PEMAGANG!$J$3:$J$36,MATCH(B3683,PEMAGANG!$C$3:$C$36,0)),H3683&lt;=INDEX(PEMAGANG!$K$3:$K$36,MATCH(B3683,PEMAGANG!$C$3:$C$36,0))),1,0),0)</f>
        <v>1</v>
      </c>
      <c r="W3683" s="71">
        <f t="shared" si="521"/>
        <v>1</v>
      </c>
    </row>
    <row r="3684" spans="1:23" x14ac:dyDescent="0.2">
      <c r="A3684" s="71" t="s">
        <v>262</v>
      </c>
      <c r="B3684" s="71" t="s">
        <v>263</v>
      </c>
      <c r="C3684" s="71" t="s">
        <v>187</v>
      </c>
      <c r="D3684" s="71" t="s">
        <v>259</v>
      </c>
      <c r="E3684" s="71" t="s">
        <v>55</v>
      </c>
      <c r="F3684" s="71" t="s">
        <v>300</v>
      </c>
      <c r="G3684" s="88">
        <v>46217.689548611103</v>
      </c>
      <c r="H3684" s="89">
        <v>46217</v>
      </c>
      <c r="I3684" s="71" t="s">
        <v>306</v>
      </c>
      <c r="J3684" s="71">
        <v>0</v>
      </c>
      <c r="K3684" s="71" t="s">
        <v>302</v>
      </c>
      <c r="L3684" s="71">
        <f t="shared" si="513"/>
        <v>7</v>
      </c>
      <c r="M3684" s="71" t="str">
        <f>IFERROR(INDEX(KALENDER!$D$3:$D$132,MATCH(H3684,KALENDER!$A$3:$A$132,0)),"Di luar periode")</f>
        <v>Hari Kerja</v>
      </c>
      <c r="N3684" s="71">
        <f t="shared" si="514"/>
        <v>0</v>
      </c>
      <c r="O3684" s="71">
        <f t="shared" si="515"/>
        <v>1</v>
      </c>
      <c r="P3684" s="71">
        <f t="shared" si="516"/>
        <v>0</v>
      </c>
      <c r="Q3684" s="71">
        <f t="shared" si="517"/>
        <v>0</v>
      </c>
      <c r="R3684" s="71">
        <f t="shared" si="518"/>
        <v>0</v>
      </c>
      <c r="S3684" s="71">
        <f t="shared" si="519"/>
        <v>0</v>
      </c>
      <c r="T3684" s="71">
        <f t="shared" si="520"/>
        <v>0</v>
      </c>
      <c r="U3684" s="71">
        <f>IF(AND(N3684=1,V3684=1),IF(COUNTIFS(AKTIVITAS!$B$2:$B$3052,B3684,AKTIVITAS!$E$2:$E$3052,H3684)&gt;0,1,0),0)</f>
        <v>0</v>
      </c>
      <c r="V3684" s="71">
        <f>IFERROR(IF(AND(H3684&gt;=INDEX(PEMAGANG!$J$3:$J$36,MATCH(B3684,PEMAGANG!$C$3:$C$36,0)),H3684&lt;=INDEX(PEMAGANG!$K$3:$K$36,MATCH(B3684,PEMAGANG!$C$3:$C$36,0))),1,0),0)</f>
        <v>1</v>
      </c>
      <c r="W3684" s="71">
        <f t="shared" si="521"/>
        <v>0</v>
      </c>
    </row>
    <row r="3685" spans="1:23" x14ac:dyDescent="0.2">
      <c r="A3685" s="71" t="s">
        <v>262</v>
      </c>
      <c r="B3685" s="71" t="s">
        <v>263</v>
      </c>
      <c r="C3685" s="71" t="s">
        <v>187</v>
      </c>
      <c r="D3685" s="71" t="s">
        <v>259</v>
      </c>
      <c r="E3685" s="71" t="s">
        <v>55</v>
      </c>
      <c r="F3685" s="71" t="s">
        <v>298</v>
      </c>
      <c r="G3685" s="88">
        <v>46218.298923611103</v>
      </c>
      <c r="H3685" s="89">
        <v>46218</v>
      </c>
      <c r="I3685" s="71" t="s">
        <v>481</v>
      </c>
      <c r="J3685" s="71">
        <v>-20</v>
      </c>
      <c r="K3685" s="71" t="s">
        <v>302</v>
      </c>
      <c r="L3685" s="71">
        <f t="shared" si="513"/>
        <v>7</v>
      </c>
      <c r="M3685" s="71" t="str">
        <f>IFERROR(INDEX(KALENDER!$D$3:$D$132,MATCH(H3685,KALENDER!$A$3:$A$132,0)),"Di luar periode")</f>
        <v>WFH</v>
      </c>
      <c r="N3685" s="71">
        <f t="shared" si="514"/>
        <v>1</v>
      </c>
      <c r="O3685" s="71">
        <f t="shared" si="515"/>
        <v>1</v>
      </c>
      <c r="P3685" s="71">
        <f t="shared" si="516"/>
        <v>0</v>
      </c>
      <c r="Q3685" s="71">
        <f t="shared" si="517"/>
        <v>1</v>
      </c>
      <c r="R3685" s="71">
        <f t="shared" si="518"/>
        <v>0</v>
      </c>
      <c r="S3685" s="71">
        <f t="shared" si="519"/>
        <v>0</v>
      </c>
      <c r="T3685" s="71">
        <f t="shared" si="520"/>
        <v>0</v>
      </c>
      <c r="U3685" s="71">
        <f>IF(AND(N3685=1,V3685=1),IF(COUNTIFS(AKTIVITAS!$B$2:$B$3052,B3685,AKTIVITAS!$E$2:$E$3052,H3685)&gt;0,1,0),0)</f>
        <v>1</v>
      </c>
      <c r="V3685" s="71">
        <f>IFERROR(IF(AND(H3685&gt;=INDEX(PEMAGANG!$J$3:$J$36,MATCH(B3685,PEMAGANG!$C$3:$C$36,0)),H3685&lt;=INDEX(PEMAGANG!$K$3:$K$36,MATCH(B3685,PEMAGANG!$C$3:$C$36,0))),1,0),0)</f>
        <v>1</v>
      </c>
      <c r="W3685" s="71">
        <f t="shared" si="521"/>
        <v>1</v>
      </c>
    </row>
    <row r="3686" spans="1:23" x14ac:dyDescent="0.2">
      <c r="A3686" s="71" t="s">
        <v>262</v>
      </c>
      <c r="B3686" s="71" t="s">
        <v>263</v>
      </c>
      <c r="C3686" s="71" t="s">
        <v>187</v>
      </c>
      <c r="D3686" s="71" t="s">
        <v>259</v>
      </c>
      <c r="E3686" s="71" t="s">
        <v>55</v>
      </c>
      <c r="F3686" s="71" t="s">
        <v>300</v>
      </c>
      <c r="G3686" s="88">
        <v>46218.518807870401</v>
      </c>
      <c r="H3686" s="89">
        <v>46218</v>
      </c>
      <c r="I3686" s="71" t="s">
        <v>749</v>
      </c>
      <c r="J3686" s="71">
        <v>0</v>
      </c>
      <c r="K3686" s="71" t="s">
        <v>302</v>
      </c>
      <c r="L3686" s="71">
        <f t="shared" si="513"/>
        <v>7</v>
      </c>
      <c r="M3686" s="71" t="str">
        <f>IFERROR(INDEX(KALENDER!$D$3:$D$132,MATCH(H3686,KALENDER!$A$3:$A$132,0)),"Di luar periode")</f>
        <v>WFH</v>
      </c>
      <c r="N3686" s="71">
        <f t="shared" si="514"/>
        <v>0</v>
      </c>
      <c r="O3686" s="71">
        <f t="shared" si="515"/>
        <v>1</v>
      </c>
      <c r="P3686" s="71">
        <f t="shared" si="516"/>
        <v>0</v>
      </c>
      <c r="Q3686" s="71">
        <f t="shared" si="517"/>
        <v>0</v>
      </c>
      <c r="R3686" s="71">
        <f t="shared" si="518"/>
        <v>0</v>
      </c>
      <c r="S3686" s="71">
        <f t="shared" si="519"/>
        <v>0</v>
      </c>
      <c r="T3686" s="71">
        <f t="shared" si="520"/>
        <v>0</v>
      </c>
      <c r="U3686" s="71">
        <f>IF(AND(N3686=1,V3686=1),IF(COUNTIFS(AKTIVITAS!$B$2:$B$3052,B3686,AKTIVITAS!$E$2:$E$3052,H3686)&gt;0,1,0),0)</f>
        <v>0</v>
      </c>
      <c r="V3686" s="71">
        <f>IFERROR(IF(AND(H3686&gt;=INDEX(PEMAGANG!$J$3:$J$36,MATCH(B3686,PEMAGANG!$C$3:$C$36,0)),H3686&lt;=INDEX(PEMAGANG!$K$3:$K$36,MATCH(B3686,PEMAGANG!$C$3:$C$36,0))),1,0),0)</f>
        <v>1</v>
      </c>
      <c r="W3686" s="71">
        <f t="shared" si="521"/>
        <v>0</v>
      </c>
    </row>
    <row r="3687" spans="1:23" x14ac:dyDescent="0.2">
      <c r="A3687" s="71" t="s">
        <v>262</v>
      </c>
      <c r="B3687" s="71" t="s">
        <v>263</v>
      </c>
      <c r="C3687" s="71" t="s">
        <v>187</v>
      </c>
      <c r="D3687" s="71" t="s">
        <v>259</v>
      </c>
      <c r="E3687" s="71" t="s">
        <v>55</v>
      </c>
      <c r="F3687" s="71" t="s">
        <v>298</v>
      </c>
      <c r="G3687" s="88">
        <v>46219.295011574097</v>
      </c>
      <c r="H3687" s="89">
        <v>46219</v>
      </c>
      <c r="I3687" s="71" t="s">
        <v>411</v>
      </c>
      <c r="J3687" s="71">
        <v>-26</v>
      </c>
      <c r="K3687" s="71" t="s">
        <v>302</v>
      </c>
      <c r="L3687" s="71">
        <f t="shared" si="513"/>
        <v>7</v>
      </c>
      <c r="M3687" s="71" t="str">
        <f>IFERROR(INDEX(KALENDER!$D$3:$D$132,MATCH(H3687,KALENDER!$A$3:$A$132,0)),"Di luar periode")</f>
        <v>Hari Kerja</v>
      </c>
      <c r="N3687" s="71">
        <f t="shared" si="514"/>
        <v>1</v>
      </c>
      <c r="O3687" s="71">
        <f t="shared" si="515"/>
        <v>1</v>
      </c>
      <c r="P3687" s="71">
        <f t="shared" si="516"/>
        <v>1</v>
      </c>
      <c r="Q3687" s="71">
        <f t="shared" si="517"/>
        <v>0</v>
      </c>
      <c r="R3687" s="71">
        <f t="shared" si="518"/>
        <v>0</v>
      </c>
      <c r="S3687" s="71">
        <f t="shared" si="519"/>
        <v>0</v>
      </c>
      <c r="T3687" s="71">
        <f t="shared" si="520"/>
        <v>0</v>
      </c>
      <c r="U3687" s="71">
        <f>IF(AND(N3687=1,V3687=1),IF(COUNTIFS(AKTIVITAS!$B$2:$B$3052,B3687,AKTIVITAS!$E$2:$E$3052,H3687)&gt;0,1,0),0)</f>
        <v>1</v>
      </c>
      <c r="V3687" s="71">
        <f>IFERROR(IF(AND(H3687&gt;=INDEX(PEMAGANG!$J$3:$J$36,MATCH(B3687,PEMAGANG!$C$3:$C$36,0)),H3687&lt;=INDEX(PEMAGANG!$K$3:$K$36,MATCH(B3687,PEMAGANG!$C$3:$C$36,0))),1,0),0)</f>
        <v>1</v>
      </c>
      <c r="W3687" s="71">
        <f t="shared" si="521"/>
        <v>1</v>
      </c>
    </row>
    <row r="3688" spans="1:23" x14ac:dyDescent="0.2">
      <c r="A3688" s="71" t="s">
        <v>262</v>
      </c>
      <c r="B3688" s="71" t="s">
        <v>263</v>
      </c>
      <c r="C3688" s="71" t="s">
        <v>187</v>
      </c>
      <c r="D3688" s="71" t="s">
        <v>259</v>
      </c>
      <c r="E3688" s="71" t="s">
        <v>55</v>
      </c>
      <c r="F3688" s="71" t="s">
        <v>300</v>
      </c>
      <c r="G3688" s="88">
        <v>46219.688680555599</v>
      </c>
      <c r="H3688" s="89">
        <v>46219</v>
      </c>
      <c r="I3688" s="71" t="s">
        <v>336</v>
      </c>
      <c r="J3688" s="71">
        <v>0</v>
      </c>
      <c r="K3688" s="71" t="s">
        <v>302</v>
      </c>
      <c r="L3688" s="71">
        <f t="shared" si="513"/>
        <v>7</v>
      </c>
      <c r="M3688" s="71" t="str">
        <f>IFERROR(INDEX(KALENDER!$D$3:$D$132,MATCH(H3688,KALENDER!$A$3:$A$132,0)),"Di luar periode")</f>
        <v>Hari Kerja</v>
      </c>
      <c r="N3688" s="71">
        <f t="shared" si="514"/>
        <v>0</v>
      </c>
      <c r="O3688" s="71">
        <f t="shared" si="515"/>
        <v>1</v>
      </c>
      <c r="P3688" s="71">
        <f t="shared" si="516"/>
        <v>0</v>
      </c>
      <c r="Q3688" s="71">
        <f t="shared" si="517"/>
        <v>0</v>
      </c>
      <c r="R3688" s="71">
        <f t="shared" si="518"/>
        <v>0</v>
      </c>
      <c r="S3688" s="71">
        <f t="shared" si="519"/>
        <v>0</v>
      </c>
      <c r="T3688" s="71">
        <f t="shared" si="520"/>
        <v>0</v>
      </c>
      <c r="U3688" s="71">
        <f>IF(AND(N3688=1,V3688=1),IF(COUNTIFS(AKTIVITAS!$B$2:$B$3052,B3688,AKTIVITAS!$E$2:$E$3052,H3688)&gt;0,1,0),0)</f>
        <v>0</v>
      </c>
      <c r="V3688" s="71">
        <f>IFERROR(IF(AND(H3688&gt;=INDEX(PEMAGANG!$J$3:$J$36,MATCH(B3688,PEMAGANG!$C$3:$C$36,0)),H3688&lt;=INDEX(PEMAGANG!$K$3:$K$36,MATCH(B3688,PEMAGANG!$C$3:$C$36,0))),1,0),0)</f>
        <v>1</v>
      </c>
      <c r="W3688" s="71">
        <f t="shared" si="521"/>
        <v>0</v>
      </c>
    </row>
    <row r="3689" spans="1:23" x14ac:dyDescent="0.2">
      <c r="A3689" s="71" t="s">
        <v>262</v>
      </c>
      <c r="B3689" s="71" t="s">
        <v>263</v>
      </c>
      <c r="C3689" s="71" t="s">
        <v>187</v>
      </c>
      <c r="D3689" s="71" t="s">
        <v>259</v>
      </c>
      <c r="E3689" s="71" t="s">
        <v>55</v>
      </c>
      <c r="F3689" s="71" t="s">
        <v>298</v>
      </c>
      <c r="G3689" s="88">
        <v>46220.303749999999</v>
      </c>
      <c r="H3689" s="89">
        <v>46220</v>
      </c>
      <c r="I3689" s="71" t="s">
        <v>331</v>
      </c>
      <c r="J3689" s="71">
        <v>-13</v>
      </c>
      <c r="K3689" s="71" t="s">
        <v>302</v>
      </c>
      <c r="L3689" s="71">
        <f t="shared" si="513"/>
        <v>7</v>
      </c>
      <c r="M3689" s="71" t="str">
        <f>IFERROR(INDEX(KALENDER!$D$3:$D$132,MATCH(H3689,KALENDER!$A$3:$A$132,0)),"Di luar periode")</f>
        <v>Hari Kerja</v>
      </c>
      <c r="N3689" s="71">
        <f t="shared" si="514"/>
        <v>1</v>
      </c>
      <c r="O3689" s="71">
        <f t="shared" si="515"/>
        <v>1</v>
      </c>
      <c r="P3689" s="71">
        <f t="shared" si="516"/>
        <v>1</v>
      </c>
      <c r="Q3689" s="71">
        <f t="shared" si="517"/>
        <v>0</v>
      </c>
      <c r="R3689" s="71">
        <f t="shared" si="518"/>
        <v>0</v>
      </c>
      <c r="S3689" s="71">
        <f t="shared" si="519"/>
        <v>0</v>
      </c>
      <c r="T3689" s="71">
        <f t="shared" si="520"/>
        <v>0</v>
      </c>
      <c r="U3689" s="71">
        <f>IF(AND(N3689=1,V3689=1),IF(COUNTIFS(AKTIVITAS!$B$2:$B$3052,B3689,AKTIVITAS!$E$2:$E$3052,H3689)&gt;0,1,0),0)</f>
        <v>1</v>
      </c>
      <c r="V3689" s="71">
        <f>IFERROR(IF(AND(H3689&gt;=INDEX(PEMAGANG!$J$3:$J$36,MATCH(B3689,PEMAGANG!$C$3:$C$36,0)),H3689&lt;=INDEX(PEMAGANG!$K$3:$K$36,MATCH(B3689,PEMAGANG!$C$3:$C$36,0))),1,0),0)</f>
        <v>1</v>
      </c>
      <c r="W3689" s="71">
        <f t="shared" si="521"/>
        <v>1</v>
      </c>
    </row>
    <row r="3690" spans="1:23" x14ac:dyDescent="0.2">
      <c r="A3690" s="71" t="s">
        <v>262</v>
      </c>
      <c r="B3690" s="71" t="s">
        <v>263</v>
      </c>
      <c r="C3690" s="71" t="s">
        <v>187</v>
      </c>
      <c r="D3690" s="71" t="s">
        <v>259</v>
      </c>
      <c r="E3690" s="71" t="s">
        <v>55</v>
      </c>
      <c r="F3690" s="71" t="s">
        <v>300</v>
      </c>
      <c r="G3690" s="88">
        <v>46220.689513888901</v>
      </c>
      <c r="H3690" s="89">
        <v>46220</v>
      </c>
      <c r="I3690" s="71" t="s">
        <v>306</v>
      </c>
      <c r="J3690" s="71">
        <v>0</v>
      </c>
      <c r="K3690" s="71" t="s">
        <v>302</v>
      </c>
      <c r="L3690" s="71">
        <f t="shared" si="513"/>
        <v>7</v>
      </c>
      <c r="M3690" s="71" t="str">
        <f>IFERROR(INDEX(KALENDER!$D$3:$D$132,MATCH(H3690,KALENDER!$A$3:$A$132,0)),"Di luar periode")</f>
        <v>Hari Kerja</v>
      </c>
      <c r="N3690" s="71">
        <f t="shared" si="514"/>
        <v>0</v>
      </c>
      <c r="O3690" s="71">
        <f t="shared" si="515"/>
        <v>1</v>
      </c>
      <c r="P3690" s="71">
        <f t="shared" si="516"/>
        <v>0</v>
      </c>
      <c r="Q3690" s="71">
        <f t="shared" si="517"/>
        <v>0</v>
      </c>
      <c r="R3690" s="71">
        <f t="shared" si="518"/>
        <v>0</v>
      </c>
      <c r="S3690" s="71">
        <f t="shared" si="519"/>
        <v>0</v>
      </c>
      <c r="T3690" s="71">
        <f t="shared" si="520"/>
        <v>0</v>
      </c>
      <c r="U3690" s="71">
        <f>IF(AND(N3690=1,V3690=1),IF(COUNTIFS(AKTIVITAS!$B$2:$B$3052,B3690,AKTIVITAS!$E$2:$E$3052,H3690)&gt;0,1,0),0)</f>
        <v>0</v>
      </c>
      <c r="V3690" s="71">
        <f>IFERROR(IF(AND(H3690&gt;=INDEX(PEMAGANG!$J$3:$J$36,MATCH(B3690,PEMAGANG!$C$3:$C$36,0)),H3690&lt;=INDEX(PEMAGANG!$K$3:$K$36,MATCH(B3690,PEMAGANG!$C$3:$C$36,0))),1,0),0)</f>
        <v>1</v>
      </c>
      <c r="W3690" s="71">
        <f t="shared" si="521"/>
        <v>0</v>
      </c>
    </row>
    <row r="3691" spans="1:23" x14ac:dyDescent="0.2">
      <c r="A3691" s="71" t="s">
        <v>262</v>
      </c>
      <c r="B3691" s="71" t="s">
        <v>263</v>
      </c>
      <c r="C3691" s="71" t="s">
        <v>187</v>
      </c>
      <c r="D3691" s="71" t="s">
        <v>259</v>
      </c>
      <c r="E3691" s="71" t="s">
        <v>55</v>
      </c>
      <c r="F3691" s="71" t="s">
        <v>298</v>
      </c>
      <c r="G3691" s="88">
        <v>46223.301377314798</v>
      </c>
      <c r="H3691" s="89">
        <v>46223</v>
      </c>
      <c r="I3691" s="71" t="s">
        <v>475</v>
      </c>
      <c r="J3691" s="71">
        <v>-17</v>
      </c>
      <c r="K3691" s="71" t="s">
        <v>302</v>
      </c>
      <c r="L3691" s="71">
        <f t="shared" si="513"/>
        <v>7</v>
      </c>
      <c r="M3691" s="71" t="str">
        <f>IFERROR(INDEX(KALENDER!$D$3:$D$132,MATCH(H3691,KALENDER!$A$3:$A$132,0)),"Di luar periode")</f>
        <v>Hari Kerja</v>
      </c>
      <c r="N3691" s="71">
        <f t="shared" si="514"/>
        <v>1</v>
      </c>
      <c r="O3691" s="71">
        <f t="shared" si="515"/>
        <v>1</v>
      </c>
      <c r="P3691" s="71">
        <f t="shared" si="516"/>
        <v>1</v>
      </c>
      <c r="Q3691" s="71">
        <f t="shared" si="517"/>
        <v>0</v>
      </c>
      <c r="R3691" s="71">
        <f t="shared" si="518"/>
        <v>0</v>
      </c>
      <c r="S3691" s="71">
        <f t="shared" si="519"/>
        <v>0</v>
      </c>
      <c r="T3691" s="71">
        <f t="shared" si="520"/>
        <v>0</v>
      </c>
      <c r="U3691" s="71">
        <f>IF(AND(N3691=1,V3691=1),IF(COUNTIFS(AKTIVITAS!$B$2:$B$3052,B3691,AKTIVITAS!$E$2:$E$3052,H3691)&gt;0,1,0),0)</f>
        <v>1</v>
      </c>
      <c r="V3691" s="71">
        <f>IFERROR(IF(AND(H3691&gt;=INDEX(PEMAGANG!$J$3:$J$36,MATCH(B3691,PEMAGANG!$C$3:$C$36,0)),H3691&lt;=INDEX(PEMAGANG!$K$3:$K$36,MATCH(B3691,PEMAGANG!$C$3:$C$36,0))),1,0),0)</f>
        <v>1</v>
      </c>
      <c r="W3691" s="71">
        <f t="shared" si="521"/>
        <v>1</v>
      </c>
    </row>
    <row r="3692" spans="1:23" x14ac:dyDescent="0.2">
      <c r="A3692" s="71" t="s">
        <v>262</v>
      </c>
      <c r="B3692" s="71" t="s">
        <v>263</v>
      </c>
      <c r="C3692" s="71" t="s">
        <v>187</v>
      </c>
      <c r="D3692" s="71" t="s">
        <v>259</v>
      </c>
      <c r="E3692" s="71" t="s">
        <v>55</v>
      </c>
      <c r="F3692" s="71" t="s">
        <v>300</v>
      </c>
      <c r="G3692" s="88">
        <v>46223.688553240703</v>
      </c>
      <c r="H3692" s="89">
        <v>46223</v>
      </c>
      <c r="I3692" s="71" t="s">
        <v>336</v>
      </c>
      <c r="J3692" s="71">
        <v>0</v>
      </c>
      <c r="K3692" s="71" t="s">
        <v>302</v>
      </c>
      <c r="L3692" s="71">
        <f t="shared" si="513"/>
        <v>7</v>
      </c>
      <c r="M3692" s="71" t="str">
        <f>IFERROR(INDEX(KALENDER!$D$3:$D$132,MATCH(H3692,KALENDER!$A$3:$A$132,0)),"Di luar periode")</f>
        <v>Hari Kerja</v>
      </c>
      <c r="N3692" s="71">
        <f t="shared" si="514"/>
        <v>0</v>
      </c>
      <c r="O3692" s="71">
        <f t="shared" si="515"/>
        <v>1</v>
      </c>
      <c r="P3692" s="71">
        <f t="shared" si="516"/>
        <v>0</v>
      </c>
      <c r="Q3692" s="71">
        <f t="shared" si="517"/>
        <v>0</v>
      </c>
      <c r="R3692" s="71">
        <f t="shared" si="518"/>
        <v>0</v>
      </c>
      <c r="S3692" s="71">
        <f t="shared" si="519"/>
        <v>0</v>
      </c>
      <c r="T3692" s="71">
        <f t="shared" si="520"/>
        <v>0</v>
      </c>
      <c r="U3692" s="71">
        <f>IF(AND(N3692=1,V3692=1),IF(COUNTIFS(AKTIVITAS!$B$2:$B$3052,B3692,AKTIVITAS!$E$2:$E$3052,H3692)&gt;0,1,0),0)</f>
        <v>0</v>
      </c>
      <c r="V3692" s="71">
        <f>IFERROR(IF(AND(H3692&gt;=INDEX(PEMAGANG!$J$3:$J$36,MATCH(B3692,PEMAGANG!$C$3:$C$36,0)),H3692&lt;=INDEX(PEMAGANG!$K$3:$K$36,MATCH(B3692,PEMAGANG!$C$3:$C$36,0))),1,0),0)</f>
        <v>1</v>
      </c>
      <c r="W3692" s="71">
        <f t="shared" si="521"/>
        <v>0</v>
      </c>
    </row>
    <row r="3693" spans="1:23" x14ac:dyDescent="0.2">
      <c r="A3693" s="71" t="s">
        <v>262</v>
      </c>
      <c r="B3693" s="71" t="s">
        <v>263</v>
      </c>
      <c r="C3693" s="71" t="s">
        <v>187</v>
      </c>
      <c r="D3693" s="71" t="s">
        <v>259</v>
      </c>
      <c r="E3693" s="71" t="s">
        <v>55</v>
      </c>
      <c r="F3693" s="71" t="s">
        <v>298</v>
      </c>
      <c r="G3693" s="88">
        <v>46224.304120370398</v>
      </c>
      <c r="H3693" s="89">
        <v>46224</v>
      </c>
      <c r="I3693" s="71" t="s">
        <v>331</v>
      </c>
      <c r="J3693" s="71">
        <v>-13</v>
      </c>
      <c r="K3693" s="71" t="s">
        <v>302</v>
      </c>
      <c r="L3693" s="71">
        <f t="shared" si="513"/>
        <v>7</v>
      </c>
      <c r="M3693" s="71" t="str">
        <f>IFERROR(INDEX(KALENDER!$D$3:$D$132,MATCH(H3693,KALENDER!$A$3:$A$132,0)),"Di luar periode")</f>
        <v>Hari Kerja</v>
      </c>
      <c r="N3693" s="71">
        <f t="shared" si="514"/>
        <v>1</v>
      </c>
      <c r="O3693" s="71">
        <f t="shared" si="515"/>
        <v>1</v>
      </c>
      <c r="P3693" s="71">
        <f t="shared" si="516"/>
        <v>1</v>
      </c>
      <c r="Q3693" s="71">
        <f t="shared" si="517"/>
        <v>0</v>
      </c>
      <c r="R3693" s="71">
        <f t="shared" si="518"/>
        <v>0</v>
      </c>
      <c r="S3693" s="71">
        <f t="shared" si="519"/>
        <v>0</v>
      </c>
      <c r="T3693" s="71">
        <f t="shared" si="520"/>
        <v>0</v>
      </c>
      <c r="U3693" s="71">
        <f>IF(AND(N3693=1,V3693=1),IF(COUNTIFS(AKTIVITAS!$B$2:$B$3052,B3693,AKTIVITAS!$E$2:$E$3052,H3693)&gt;0,1,0),0)</f>
        <v>1</v>
      </c>
      <c r="V3693" s="71">
        <f>IFERROR(IF(AND(H3693&gt;=INDEX(PEMAGANG!$J$3:$J$36,MATCH(B3693,PEMAGANG!$C$3:$C$36,0)),H3693&lt;=INDEX(PEMAGANG!$K$3:$K$36,MATCH(B3693,PEMAGANG!$C$3:$C$36,0))),1,0),0)</f>
        <v>1</v>
      </c>
      <c r="W3693" s="71">
        <f t="shared" si="521"/>
        <v>1</v>
      </c>
    </row>
    <row r="3694" spans="1:23" x14ac:dyDescent="0.2">
      <c r="A3694" s="71" t="s">
        <v>262</v>
      </c>
      <c r="B3694" s="71" t="s">
        <v>263</v>
      </c>
      <c r="C3694" s="71" t="s">
        <v>187</v>
      </c>
      <c r="D3694" s="71" t="s">
        <v>259</v>
      </c>
      <c r="E3694" s="71" t="s">
        <v>55</v>
      </c>
      <c r="F3694" s="71" t="s">
        <v>300</v>
      </c>
      <c r="G3694" s="88">
        <v>46224.690104166701</v>
      </c>
      <c r="H3694" s="89">
        <v>46224</v>
      </c>
      <c r="I3694" s="71" t="s">
        <v>316</v>
      </c>
      <c r="J3694" s="71">
        <v>0</v>
      </c>
      <c r="K3694" s="71" t="s">
        <v>302</v>
      </c>
      <c r="L3694" s="71">
        <f t="shared" si="513"/>
        <v>7</v>
      </c>
      <c r="M3694" s="71" t="str">
        <f>IFERROR(INDEX(KALENDER!$D$3:$D$132,MATCH(H3694,KALENDER!$A$3:$A$132,0)),"Di luar periode")</f>
        <v>Hari Kerja</v>
      </c>
      <c r="N3694" s="71">
        <f t="shared" si="514"/>
        <v>0</v>
      </c>
      <c r="O3694" s="71">
        <f t="shared" si="515"/>
        <v>1</v>
      </c>
      <c r="P3694" s="71">
        <f t="shared" si="516"/>
        <v>0</v>
      </c>
      <c r="Q3694" s="71">
        <f t="shared" si="517"/>
        <v>0</v>
      </c>
      <c r="R3694" s="71">
        <f t="shared" si="518"/>
        <v>0</v>
      </c>
      <c r="S3694" s="71">
        <f t="shared" si="519"/>
        <v>0</v>
      </c>
      <c r="T3694" s="71">
        <f t="shared" si="520"/>
        <v>0</v>
      </c>
      <c r="U3694" s="71">
        <f>IF(AND(N3694=1,V3694=1),IF(COUNTIFS(AKTIVITAS!$B$2:$B$3052,B3694,AKTIVITAS!$E$2:$E$3052,H3694)&gt;0,1,0),0)</f>
        <v>0</v>
      </c>
      <c r="V3694" s="71">
        <f>IFERROR(IF(AND(H3694&gt;=INDEX(PEMAGANG!$J$3:$J$36,MATCH(B3694,PEMAGANG!$C$3:$C$36,0)),H3694&lt;=INDEX(PEMAGANG!$K$3:$K$36,MATCH(B3694,PEMAGANG!$C$3:$C$36,0))),1,0),0)</f>
        <v>1</v>
      </c>
      <c r="W3694" s="71">
        <f t="shared" si="521"/>
        <v>0</v>
      </c>
    </row>
    <row r="3695" spans="1:23" x14ac:dyDescent="0.2">
      <c r="A3695" s="71" t="s">
        <v>262</v>
      </c>
      <c r="B3695" s="71" t="s">
        <v>263</v>
      </c>
      <c r="C3695" s="71" t="s">
        <v>187</v>
      </c>
      <c r="D3695" s="71" t="s">
        <v>259</v>
      </c>
      <c r="E3695" s="71" t="s">
        <v>55</v>
      </c>
      <c r="F3695" s="71" t="s">
        <v>298</v>
      </c>
      <c r="G3695" s="88">
        <v>46226.301805555602</v>
      </c>
      <c r="H3695" s="89">
        <v>46226</v>
      </c>
      <c r="I3695" s="71" t="s">
        <v>416</v>
      </c>
      <c r="J3695" s="71">
        <v>-16</v>
      </c>
      <c r="K3695" s="71" t="s">
        <v>302</v>
      </c>
      <c r="L3695" s="71">
        <f t="shared" si="513"/>
        <v>7</v>
      </c>
      <c r="M3695" s="71" t="str">
        <f>IFERROR(INDEX(KALENDER!$D$3:$D$132,MATCH(H3695,KALENDER!$A$3:$A$132,0)),"Di luar periode")</f>
        <v>Hari Kerja</v>
      </c>
      <c r="N3695" s="71">
        <f t="shared" si="514"/>
        <v>1</v>
      </c>
      <c r="O3695" s="71">
        <f t="shared" si="515"/>
        <v>1</v>
      </c>
      <c r="P3695" s="71">
        <f t="shared" si="516"/>
        <v>1</v>
      </c>
      <c r="Q3695" s="71">
        <f t="shared" si="517"/>
        <v>0</v>
      </c>
      <c r="R3695" s="71">
        <f t="shared" si="518"/>
        <v>0</v>
      </c>
      <c r="S3695" s="71">
        <f t="shared" si="519"/>
        <v>0</v>
      </c>
      <c r="T3695" s="71">
        <f t="shared" si="520"/>
        <v>0</v>
      </c>
      <c r="U3695" s="71">
        <f>IF(AND(N3695=1,V3695=1),IF(COUNTIFS(AKTIVITAS!$B$2:$B$3052,B3695,AKTIVITAS!$E$2:$E$3052,H3695)&gt;0,1,0),0)</f>
        <v>1</v>
      </c>
      <c r="V3695" s="71">
        <f>IFERROR(IF(AND(H3695&gt;=INDEX(PEMAGANG!$J$3:$J$36,MATCH(B3695,PEMAGANG!$C$3:$C$36,0)),H3695&lt;=INDEX(PEMAGANG!$K$3:$K$36,MATCH(B3695,PEMAGANG!$C$3:$C$36,0))),1,0),0)</f>
        <v>1</v>
      </c>
      <c r="W3695" s="71">
        <f t="shared" si="521"/>
        <v>1</v>
      </c>
    </row>
    <row r="3696" spans="1:23" x14ac:dyDescent="0.2">
      <c r="A3696" s="71" t="s">
        <v>262</v>
      </c>
      <c r="B3696" s="71" t="s">
        <v>263</v>
      </c>
      <c r="C3696" s="71" t="s">
        <v>187</v>
      </c>
      <c r="D3696" s="71" t="s">
        <v>259</v>
      </c>
      <c r="E3696" s="71" t="s">
        <v>55</v>
      </c>
      <c r="F3696" s="71" t="s">
        <v>300</v>
      </c>
      <c r="G3696" s="88">
        <v>46226.728368055599</v>
      </c>
      <c r="H3696" s="89">
        <v>46226</v>
      </c>
      <c r="I3696" s="71" t="s">
        <v>391</v>
      </c>
      <c r="J3696" s="71">
        <v>0</v>
      </c>
      <c r="K3696" s="71" t="s">
        <v>302</v>
      </c>
      <c r="L3696" s="71">
        <f t="shared" si="513"/>
        <v>7</v>
      </c>
      <c r="M3696" s="71" t="str">
        <f>IFERROR(INDEX(KALENDER!$D$3:$D$132,MATCH(H3696,KALENDER!$A$3:$A$132,0)),"Di luar periode")</f>
        <v>Hari Kerja</v>
      </c>
      <c r="N3696" s="71">
        <f t="shared" si="514"/>
        <v>0</v>
      </c>
      <c r="O3696" s="71">
        <f t="shared" si="515"/>
        <v>1</v>
      </c>
      <c r="P3696" s="71">
        <f t="shared" si="516"/>
        <v>0</v>
      </c>
      <c r="Q3696" s="71">
        <f t="shared" si="517"/>
        <v>0</v>
      </c>
      <c r="R3696" s="71">
        <f t="shared" si="518"/>
        <v>0</v>
      </c>
      <c r="S3696" s="71">
        <f t="shared" si="519"/>
        <v>0</v>
      </c>
      <c r="T3696" s="71">
        <f t="shared" si="520"/>
        <v>0</v>
      </c>
      <c r="U3696" s="71">
        <f>IF(AND(N3696=1,V3696=1),IF(COUNTIFS(AKTIVITAS!$B$2:$B$3052,B3696,AKTIVITAS!$E$2:$E$3052,H3696)&gt;0,1,0),0)</f>
        <v>0</v>
      </c>
      <c r="V3696" s="71">
        <f>IFERROR(IF(AND(H3696&gt;=INDEX(PEMAGANG!$J$3:$J$36,MATCH(B3696,PEMAGANG!$C$3:$C$36,0)),H3696&lt;=INDEX(PEMAGANG!$K$3:$K$36,MATCH(B3696,PEMAGANG!$C$3:$C$36,0))),1,0),0)</f>
        <v>1</v>
      </c>
      <c r="W3696" s="71">
        <f t="shared" si="521"/>
        <v>0</v>
      </c>
    </row>
    <row r="3697" spans="1:23" x14ac:dyDescent="0.2">
      <c r="A3697" s="71" t="s">
        <v>262</v>
      </c>
      <c r="B3697" s="71" t="s">
        <v>263</v>
      </c>
      <c r="C3697" s="71" t="s">
        <v>187</v>
      </c>
      <c r="D3697" s="71" t="s">
        <v>259</v>
      </c>
      <c r="E3697" s="71" t="s">
        <v>55</v>
      </c>
      <c r="F3697" s="71" t="s">
        <v>298</v>
      </c>
      <c r="G3697" s="88">
        <v>46227.300312500003</v>
      </c>
      <c r="H3697" s="89">
        <v>46227</v>
      </c>
      <c r="I3697" s="71" t="s">
        <v>478</v>
      </c>
      <c r="J3697" s="71">
        <v>-18</v>
      </c>
      <c r="K3697" s="71" t="s">
        <v>302</v>
      </c>
      <c r="L3697" s="71">
        <f t="shared" si="513"/>
        <v>7</v>
      </c>
      <c r="M3697" s="71" t="str">
        <f>IFERROR(INDEX(KALENDER!$D$3:$D$132,MATCH(H3697,KALENDER!$A$3:$A$132,0)),"Di luar periode")</f>
        <v>Hari Kerja</v>
      </c>
      <c r="N3697" s="71">
        <f t="shared" si="514"/>
        <v>1</v>
      </c>
      <c r="O3697" s="71">
        <f t="shared" si="515"/>
        <v>1</v>
      </c>
      <c r="P3697" s="71">
        <f t="shared" si="516"/>
        <v>1</v>
      </c>
      <c r="Q3697" s="71">
        <f t="shared" si="517"/>
        <v>0</v>
      </c>
      <c r="R3697" s="71">
        <f t="shared" si="518"/>
        <v>0</v>
      </c>
      <c r="S3697" s="71">
        <f t="shared" si="519"/>
        <v>0</v>
      </c>
      <c r="T3697" s="71">
        <f t="shared" si="520"/>
        <v>0</v>
      </c>
      <c r="U3697" s="71">
        <f>IF(AND(N3697=1,V3697=1),IF(COUNTIFS(AKTIVITAS!$B$2:$B$3052,B3697,AKTIVITAS!$E$2:$E$3052,H3697)&gt;0,1,0),0)</f>
        <v>1</v>
      </c>
      <c r="V3697" s="71">
        <f>IFERROR(IF(AND(H3697&gt;=INDEX(PEMAGANG!$J$3:$J$36,MATCH(B3697,PEMAGANG!$C$3:$C$36,0)),H3697&lt;=INDEX(PEMAGANG!$K$3:$K$36,MATCH(B3697,PEMAGANG!$C$3:$C$36,0))),1,0),0)</f>
        <v>1</v>
      </c>
      <c r="W3697" s="71">
        <f t="shared" si="521"/>
        <v>1</v>
      </c>
    </row>
    <row r="3698" spans="1:23" x14ac:dyDescent="0.2">
      <c r="A3698" s="71" t="s">
        <v>262</v>
      </c>
      <c r="B3698" s="71" t="s">
        <v>263</v>
      </c>
      <c r="C3698" s="71" t="s">
        <v>187</v>
      </c>
      <c r="D3698" s="71" t="s">
        <v>259</v>
      </c>
      <c r="E3698" s="71" t="s">
        <v>55</v>
      </c>
      <c r="F3698" s="71" t="s">
        <v>300</v>
      </c>
      <c r="G3698" s="88">
        <v>46227.692187499997</v>
      </c>
      <c r="H3698" s="89">
        <v>46227</v>
      </c>
      <c r="I3698" s="71" t="s">
        <v>344</v>
      </c>
      <c r="J3698" s="71">
        <v>0</v>
      </c>
      <c r="K3698" s="71" t="s">
        <v>302</v>
      </c>
      <c r="L3698" s="71">
        <f t="shared" si="513"/>
        <v>7</v>
      </c>
      <c r="M3698" s="71" t="str">
        <f>IFERROR(INDEX(KALENDER!$D$3:$D$132,MATCH(H3698,KALENDER!$A$3:$A$132,0)),"Di luar periode")</f>
        <v>Hari Kerja</v>
      </c>
      <c r="N3698" s="71">
        <f t="shared" si="514"/>
        <v>0</v>
      </c>
      <c r="O3698" s="71">
        <f t="shared" si="515"/>
        <v>1</v>
      </c>
      <c r="P3698" s="71">
        <f t="shared" si="516"/>
        <v>0</v>
      </c>
      <c r="Q3698" s="71">
        <f t="shared" si="517"/>
        <v>0</v>
      </c>
      <c r="R3698" s="71">
        <f t="shared" si="518"/>
        <v>0</v>
      </c>
      <c r="S3698" s="71">
        <f t="shared" si="519"/>
        <v>0</v>
      </c>
      <c r="T3698" s="71">
        <f t="shared" si="520"/>
        <v>0</v>
      </c>
      <c r="U3698" s="71">
        <f>IF(AND(N3698=1,V3698=1),IF(COUNTIFS(AKTIVITAS!$B$2:$B$3052,B3698,AKTIVITAS!$E$2:$E$3052,H3698)&gt;0,1,0),0)</f>
        <v>0</v>
      </c>
      <c r="V3698" s="71">
        <f>IFERROR(IF(AND(H3698&gt;=INDEX(PEMAGANG!$J$3:$J$36,MATCH(B3698,PEMAGANG!$C$3:$C$36,0)),H3698&lt;=INDEX(PEMAGANG!$K$3:$K$36,MATCH(B3698,PEMAGANG!$C$3:$C$36,0))),1,0),0)</f>
        <v>1</v>
      </c>
      <c r="W3698" s="71">
        <f t="shared" si="521"/>
        <v>0</v>
      </c>
    </row>
    <row r="3699" spans="1:23" x14ac:dyDescent="0.2">
      <c r="A3699" s="71" t="s">
        <v>262</v>
      </c>
      <c r="B3699" s="71" t="s">
        <v>263</v>
      </c>
      <c r="C3699" s="71" t="s">
        <v>187</v>
      </c>
      <c r="D3699" s="71" t="s">
        <v>259</v>
      </c>
      <c r="E3699" s="71" t="s">
        <v>55</v>
      </c>
      <c r="F3699" s="71" t="s">
        <v>298</v>
      </c>
      <c r="G3699" s="88">
        <v>46230.303043981497</v>
      </c>
      <c r="H3699" s="89">
        <v>46230</v>
      </c>
      <c r="I3699" s="71" t="s">
        <v>327</v>
      </c>
      <c r="J3699" s="71">
        <v>-14</v>
      </c>
      <c r="K3699" s="71" t="s">
        <v>302</v>
      </c>
      <c r="L3699" s="71">
        <f t="shared" si="513"/>
        <v>7</v>
      </c>
      <c r="M3699" s="71" t="str">
        <f>IFERROR(INDEX(KALENDER!$D$3:$D$132,MATCH(H3699,KALENDER!$A$3:$A$132,0)),"Di luar periode")</f>
        <v>Hari Kerja</v>
      </c>
      <c r="N3699" s="71">
        <f t="shared" si="514"/>
        <v>1</v>
      </c>
      <c r="O3699" s="71">
        <f t="shared" si="515"/>
        <v>1</v>
      </c>
      <c r="P3699" s="71">
        <f t="shared" si="516"/>
        <v>1</v>
      </c>
      <c r="Q3699" s="71">
        <f t="shared" si="517"/>
        <v>0</v>
      </c>
      <c r="R3699" s="71">
        <f t="shared" si="518"/>
        <v>0</v>
      </c>
      <c r="S3699" s="71">
        <f t="shared" si="519"/>
        <v>0</v>
      </c>
      <c r="T3699" s="71">
        <f t="shared" si="520"/>
        <v>0</v>
      </c>
      <c r="U3699" s="71">
        <f>IF(AND(N3699=1,V3699=1),IF(COUNTIFS(AKTIVITAS!$B$2:$B$3052,B3699,AKTIVITAS!$E$2:$E$3052,H3699)&gt;0,1,0),0)</f>
        <v>1</v>
      </c>
      <c r="V3699" s="71">
        <f>IFERROR(IF(AND(H3699&gt;=INDEX(PEMAGANG!$J$3:$J$36,MATCH(B3699,PEMAGANG!$C$3:$C$36,0)),H3699&lt;=INDEX(PEMAGANG!$K$3:$K$36,MATCH(B3699,PEMAGANG!$C$3:$C$36,0))),1,0),0)</f>
        <v>1</v>
      </c>
      <c r="W3699" s="71">
        <f t="shared" si="521"/>
        <v>1</v>
      </c>
    </row>
    <row r="3700" spans="1:23" x14ac:dyDescent="0.2">
      <c r="A3700" s="71" t="s">
        <v>262</v>
      </c>
      <c r="B3700" s="71" t="s">
        <v>263</v>
      </c>
      <c r="C3700" s="71" t="s">
        <v>187</v>
      </c>
      <c r="D3700" s="71" t="s">
        <v>259</v>
      </c>
      <c r="E3700" s="71" t="s">
        <v>55</v>
      </c>
      <c r="F3700" s="71" t="s">
        <v>300</v>
      </c>
      <c r="G3700" s="88">
        <v>46230.691643518498</v>
      </c>
      <c r="H3700" s="89">
        <v>46230</v>
      </c>
      <c r="I3700" s="71" t="s">
        <v>310</v>
      </c>
      <c r="J3700" s="71">
        <v>0</v>
      </c>
      <c r="K3700" s="71" t="s">
        <v>302</v>
      </c>
      <c r="L3700" s="71">
        <f t="shared" si="513"/>
        <v>7</v>
      </c>
      <c r="M3700" s="71" t="str">
        <f>IFERROR(INDEX(KALENDER!$D$3:$D$132,MATCH(H3700,KALENDER!$A$3:$A$132,0)),"Di luar periode")</f>
        <v>Hari Kerja</v>
      </c>
      <c r="N3700" s="71">
        <f t="shared" si="514"/>
        <v>0</v>
      </c>
      <c r="O3700" s="71">
        <f t="shared" si="515"/>
        <v>1</v>
      </c>
      <c r="P3700" s="71">
        <f t="shared" si="516"/>
        <v>0</v>
      </c>
      <c r="Q3700" s="71">
        <f t="shared" si="517"/>
        <v>0</v>
      </c>
      <c r="R3700" s="71">
        <f t="shared" si="518"/>
        <v>0</v>
      </c>
      <c r="S3700" s="71">
        <f t="shared" si="519"/>
        <v>0</v>
      </c>
      <c r="T3700" s="71">
        <f t="shared" si="520"/>
        <v>0</v>
      </c>
      <c r="U3700" s="71">
        <f>IF(AND(N3700=1,V3700=1),IF(COUNTIFS(AKTIVITAS!$B$2:$B$3052,B3700,AKTIVITAS!$E$2:$E$3052,H3700)&gt;0,1,0),0)</f>
        <v>0</v>
      </c>
      <c r="V3700" s="71">
        <f>IFERROR(IF(AND(H3700&gt;=INDEX(PEMAGANG!$J$3:$J$36,MATCH(B3700,PEMAGANG!$C$3:$C$36,0)),H3700&lt;=INDEX(PEMAGANG!$K$3:$K$36,MATCH(B3700,PEMAGANG!$C$3:$C$36,0))),1,0),0)</f>
        <v>1</v>
      </c>
      <c r="W3700" s="71">
        <f t="shared" si="521"/>
        <v>0</v>
      </c>
    </row>
    <row r="3701" spans="1:23" x14ac:dyDescent="0.2">
      <c r="A3701" s="71" t="s">
        <v>262</v>
      </c>
      <c r="B3701" s="71" t="s">
        <v>263</v>
      </c>
      <c r="C3701" s="71" t="s">
        <v>187</v>
      </c>
      <c r="D3701" s="71" t="s">
        <v>259</v>
      </c>
      <c r="E3701" s="71" t="s">
        <v>55</v>
      </c>
      <c r="F3701" s="71" t="s">
        <v>298</v>
      </c>
      <c r="G3701" s="88">
        <v>46231.293506944399</v>
      </c>
      <c r="H3701" s="89">
        <v>46231</v>
      </c>
      <c r="I3701" s="71" t="s">
        <v>492</v>
      </c>
      <c r="J3701" s="71">
        <v>-28</v>
      </c>
      <c r="K3701" s="71" t="s">
        <v>302</v>
      </c>
      <c r="L3701" s="71">
        <f t="shared" si="513"/>
        <v>7</v>
      </c>
      <c r="M3701" s="71" t="str">
        <f>IFERROR(INDEX(KALENDER!$D$3:$D$132,MATCH(H3701,KALENDER!$A$3:$A$132,0)),"Di luar periode")</f>
        <v>Hari Kerja</v>
      </c>
      <c r="N3701" s="71">
        <f t="shared" si="514"/>
        <v>1</v>
      </c>
      <c r="O3701" s="71">
        <f t="shared" si="515"/>
        <v>1</v>
      </c>
      <c r="P3701" s="71">
        <f t="shared" si="516"/>
        <v>1</v>
      </c>
      <c r="Q3701" s="71">
        <f t="shared" si="517"/>
        <v>0</v>
      </c>
      <c r="R3701" s="71">
        <f t="shared" si="518"/>
        <v>0</v>
      </c>
      <c r="S3701" s="71">
        <f t="shared" si="519"/>
        <v>0</v>
      </c>
      <c r="T3701" s="71">
        <f t="shared" si="520"/>
        <v>0</v>
      </c>
      <c r="U3701" s="71">
        <f>IF(AND(N3701=1,V3701=1),IF(COUNTIFS(AKTIVITAS!$B$2:$B$3052,B3701,AKTIVITAS!$E$2:$E$3052,H3701)&gt;0,1,0),0)</f>
        <v>1</v>
      </c>
      <c r="V3701" s="71">
        <f>IFERROR(IF(AND(H3701&gt;=INDEX(PEMAGANG!$J$3:$J$36,MATCH(B3701,PEMAGANG!$C$3:$C$36,0)),H3701&lt;=INDEX(PEMAGANG!$K$3:$K$36,MATCH(B3701,PEMAGANG!$C$3:$C$36,0))),1,0),0)</f>
        <v>1</v>
      </c>
      <c r="W3701" s="71">
        <f t="shared" si="521"/>
        <v>1</v>
      </c>
    </row>
    <row r="3702" spans="1:23" x14ac:dyDescent="0.2">
      <c r="A3702" s="71" t="s">
        <v>262</v>
      </c>
      <c r="B3702" s="71" t="s">
        <v>263</v>
      </c>
      <c r="C3702" s="71" t="s">
        <v>187</v>
      </c>
      <c r="D3702" s="71" t="s">
        <v>259</v>
      </c>
      <c r="E3702" s="71" t="s">
        <v>55</v>
      </c>
      <c r="F3702" s="71" t="s">
        <v>300</v>
      </c>
      <c r="G3702" s="88">
        <v>46231.692812499998</v>
      </c>
      <c r="H3702" s="89">
        <v>46231</v>
      </c>
      <c r="I3702" s="71" t="s">
        <v>328</v>
      </c>
      <c r="J3702" s="71">
        <v>0</v>
      </c>
      <c r="K3702" s="71" t="s">
        <v>302</v>
      </c>
      <c r="L3702" s="71">
        <f t="shared" si="513"/>
        <v>7</v>
      </c>
      <c r="M3702" s="71" t="str">
        <f>IFERROR(INDEX(KALENDER!$D$3:$D$132,MATCH(H3702,KALENDER!$A$3:$A$132,0)),"Di luar periode")</f>
        <v>Hari Kerja</v>
      </c>
      <c r="N3702" s="71">
        <f t="shared" si="514"/>
        <v>0</v>
      </c>
      <c r="O3702" s="71">
        <f t="shared" si="515"/>
        <v>1</v>
      </c>
      <c r="P3702" s="71">
        <f t="shared" si="516"/>
        <v>0</v>
      </c>
      <c r="Q3702" s="71">
        <f t="shared" si="517"/>
        <v>0</v>
      </c>
      <c r="R3702" s="71">
        <f t="shared" si="518"/>
        <v>0</v>
      </c>
      <c r="S3702" s="71">
        <f t="shared" si="519"/>
        <v>0</v>
      </c>
      <c r="T3702" s="71">
        <f t="shared" si="520"/>
        <v>0</v>
      </c>
      <c r="U3702" s="71">
        <f>IF(AND(N3702=1,V3702=1),IF(COUNTIFS(AKTIVITAS!$B$2:$B$3052,B3702,AKTIVITAS!$E$2:$E$3052,H3702)&gt;0,1,0),0)</f>
        <v>0</v>
      </c>
      <c r="V3702" s="71">
        <f>IFERROR(IF(AND(H3702&gt;=INDEX(PEMAGANG!$J$3:$J$36,MATCH(B3702,PEMAGANG!$C$3:$C$36,0)),H3702&lt;=INDEX(PEMAGANG!$K$3:$K$36,MATCH(B3702,PEMAGANG!$C$3:$C$36,0))),1,0),0)</f>
        <v>1</v>
      </c>
      <c r="W3702" s="71">
        <f t="shared" si="521"/>
        <v>0</v>
      </c>
    </row>
    <row r="3703" spans="1:23" x14ac:dyDescent="0.2">
      <c r="A3703" s="71" t="s">
        <v>262</v>
      </c>
      <c r="B3703" s="71" t="s">
        <v>263</v>
      </c>
      <c r="C3703" s="71" t="s">
        <v>187</v>
      </c>
      <c r="D3703" s="71" t="s">
        <v>259</v>
      </c>
      <c r="E3703" s="71" t="s">
        <v>55</v>
      </c>
      <c r="F3703" s="71" t="s">
        <v>298</v>
      </c>
      <c r="G3703" s="88">
        <v>46233.298715277801</v>
      </c>
      <c r="H3703" s="89">
        <v>46233</v>
      </c>
      <c r="I3703" s="71" t="s">
        <v>481</v>
      </c>
      <c r="J3703" s="71">
        <v>-20</v>
      </c>
      <c r="K3703" s="71" t="s">
        <v>302</v>
      </c>
      <c r="L3703" s="71">
        <f t="shared" si="513"/>
        <v>7</v>
      </c>
      <c r="M3703" s="71" t="str">
        <f>IFERROR(INDEX(KALENDER!$D$3:$D$132,MATCH(H3703,KALENDER!$A$3:$A$132,0)),"Di luar periode")</f>
        <v>Hari Kerja</v>
      </c>
      <c r="N3703" s="71">
        <f t="shared" si="514"/>
        <v>1</v>
      </c>
      <c r="O3703" s="71">
        <f t="shared" si="515"/>
        <v>1</v>
      </c>
      <c r="P3703" s="71">
        <f t="shared" si="516"/>
        <v>1</v>
      </c>
      <c r="Q3703" s="71">
        <f t="shared" si="517"/>
        <v>0</v>
      </c>
      <c r="R3703" s="71">
        <f t="shared" si="518"/>
        <v>0</v>
      </c>
      <c r="S3703" s="71">
        <f t="shared" si="519"/>
        <v>0</v>
      </c>
      <c r="T3703" s="71">
        <f t="shared" si="520"/>
        <v>0</v>
      </c>
      <c r="U3703" s="71">
        <f>IF(AND(N3703=1,V3703=1),IF(COUNTIFS(AKTIVITAS!$B$2:$B$3052,B3703,AKTIVITAS!$E$2:$E$3052,H3703)&gt;0,1,0),0)</f>
        <v>1</v>
      </c>
      <c r="V3703" s="71">
        <f>IFERROR(IF(AND(H3703&gt;=INDEX(PEMAGANG!$J$3:$J$36,MATCH(B3703,PEMAGANG!$C$3:$C$36,0)),H3703&lt;=INDEX(PEMAGANG!$K$3:$K$36,MATCH(B3703,PEMAGANG!$C$3:$C$36,0))),1,0),0)</f>
        <v>1</v>
      </c>
      <c r="W3703" s="71">
        <f t="shared" si="521"/>
        <v>1</v>
      </c>
    </row>
    <row r="3704" spans="1:23" x14ac:dyDescent="0.2">
      <c r="A3704" s="71" t="s">
        <v>262</v>
      </c>
      <c r="B3704" s="71" t="s">
        <v>263</v>
      </c>
      <c r="C3704" s="71" t="s">
        <v>187</v>
      </c>
      <c r="D3704" s="71" t="s">
        <v>259</v>
      </c>
      <c r="E3704" s="71" t="s">
        <v>55</v>
      </c>
      <c r="F3704" s="71" t="s">
        <v>300</v>
      </c>
      <c r="G3704" s="88">
        <v>46233.688148148198</v>
      </c>
      <c r="H3704" s="89">
        <v>46233</v>
      </c>
      <c r="I3704" s="71" t="s">
        <v>330</v>
      </c>
      <c r="J3704" s="71">
        <v>0</v>
      </c>
      <c r="K3704" s="71" t="s">
        <v>302</v>
      </c>
      <c r="L3704" s="71">
        <f t="shared" si="513"/>
        <v>7</v>
      </c>
      <c r="M3704" s="71" t="str">
        <f>IFERROR(INDEX(KALENDER!$D$3:$D$132,MATCH(H3704,KALENDER!$A$3:$A$132,0)),"Di luar periode")</f>
        <v>Hari Kerja</v>
      </c>
      <c r="N3704" s="71">
        <f t="shared" si="514"/>
        <v>0</v>
      </c>
      <c r="O3704" s="71">
        <f t="shared" si="515"/>
        <v>1</v>
      </c>
      <c r="P3704" s="71">
        <f t="shared" si="516"/>
        <v>0</v>
      </c>
      <c r="Q3704" s="71">
        <f t="shared" si="517"/>
        <v>0</v>
      </c>
      <c r="R3704" s="71">
        <f t="shared" si="518"/>
        <v>0</v>
      </c>
      <c r="S3704" s="71">
        <f t="shared" si="519"/>
        <v>0</v>
      </c>
      <c r="T3704" s="71">
        <f t="shared" si="520"/>
        <v>0</v>
      </c>
      <c r="U3704" s="71">
        <f>IF(AND(N3704=1,V3704=1),IF(COUNTIFS(AKTIVITAS!$B$2:$B$3052,B3704,AKTIVITAS!$E$2:$E$3052,H3704)&gt;0,1,0),0)</f>
        <v>0</v>
      </c>
      <c r="V3704" s="71">
        <f>IFERROR(IF(AND(H3704&gt;=INDEX(PEMAGANG!$J$3:$J$36,MATCH(B3704,PEMAGANG!$C$3:$C$36,0)),H3704&lt;=INDEX(PEMAGANG!$K$3:$K$36,MATCH(B3704,PEMAGANG!$C$3:$C$36,0))),1,0),0)</f>
        <v>1</v>
      </c>
      <c r="W3704" s="71">
        <f t="shared" si="521"/>
        <v>0</v>
      </c>
    </row>
    <row r="3705" spans="1:23" x14ac:dyDescent="0.2">
      <c r="A3705" s="71" t="s">
        <v>262</v>
      </c>
      <c r="B3705" s="71" t="s">
        <v>263</v>
      </c>
      <c r="C3705" s="71" t="s">
        <v>187</v>
      </c>
      <c r="D3705" s="71" t="s">
        <v>259</v>
      </c>
      <c r="E3705" s="71" t="s">
        <v>55</v>
      </c>
      <c r="F3705" s="71" t="s">
        <v>298</v>
      </c>
      <c r="G3705" s="88">
        <v>46234.2959722222</v>
      </c>
      <c r="H3705" s="89">
        <v>46234</v>
      </c>
      <c r="I3705" s="71" t="s">
        <v>349</v>
      </c>
      <c r="J3705" s="71">
        <v>-24</v>
      </c>
      <c r="K3705" s="71" t="s">
        <v>302</v>
      </c>
      <c r="L3705" s="71">
        <f t="shared" si="513"/>
        <v>7</v>
      </c>
      <c r="M3705" s="71" t="str">
        <f>IFERROR(INDEX(KALENDER!$D$3:$D$132,MATCH(H3705,KALENDER!$A$3:$A$132,0)),"Di luar periode")</f>
        <v>Hari Kerja</v>
      </c>
      <c r="N3705" s="71">
        <f t="shared" si="514"/>
        <v>1</v>
      </c>
      <c r="O3705" s="71">
        <f t="shared" si="515"/>
        <v>1</v>
      </c>
      <c r="P3705" s="71">
        <f t="shared" si="516"/>
        <v>1</v>
      </c>
      <c r="Q3705" s="71">
        <f t="shared" si="517"/>
        <v>0</v>
      </c>
      <c r="R3705" s="71">
        <f t="shared" si="518"/>
        <v>0</v>
      </c>
      <c r="S3705" s="71">
        <f t="shared" si="519"/>
        <v>0</v>
      </c>
      <c r="T3705" s="71">
        <f t="shared" si="520"/>
        <v>0</v>
      </c>
      <c r="U3705" s="71">
        <f>IF(AND(N3705=1,V3705=1),IF(COUNTIFS(AKTIVITAS!$B$2:$B$3052,B3705,AKTIVITAS!$E$2:$E$3052,H3705)&gt;0,1,0),0)</f>
        <v>1</v>
      </c>
      <c r="V3705" s="71">
        <f>IFERROR(IF(AND(H3705&gt;=INDEX(PEMAGANG!$J$3:$J$36,MATCH(B3705,PEMAGANG!$C$3:$C$36,0)),H3705&lt;=INDEX(PEMAGANG!$K$3:$K$36,MATCH(B3705,PEMAGANG!$C$3:$C$36,0))),1,0),0)</f>
        <v>1</v>
      </c>
      <c r="W3705" s="71">
        <f t="shared" si="521"/>
        <v>1</v>
      </c>
    </row>
    <row r="3706" spans="1:23" x14ac:dyDescent="0.2">
      <c r="A3706" s="71" t="s">
        <v>262</v>
      </c>
      <c r="B3706" s="71" t="s">
        <v>263</v>
      </c>
      <c r="C3706" s="71" t="s">
        <v>187</v>
      </c>
      <c r="D3706" s="71" t="s">
        <v>259</v>
      </c>
      <c r="E3706" s="71" t="s">
        <v>55</v>
      </c>
      <c r="F3706" s="71" t="s">
        <v>300</v>
      </c>
      <c r="G3706" s="88">
        <v>46234.690671296303</v>
      </c>
      <c r="H3706" s="89">
        <v>46234</v>
      </c>
      <c r="I3706" s="71" t="s">
        <v>314</v>
      </c>
      <c r="J3706" s="71">
        <v>0</v>
      </c>
      <c r="K3706" s="71" t="s">
        <v>302</v>
      </c>
      <c r="L3706" s="71">
        <f t="shared" si="513"/>
        <v>7</v>
      </c>
      <c r="M3706" s="71" t="str">
        <f>IFERROR(INDEX(KALENDER!$D$3:$D$132,MATCH(H3706,KALENDER!$A$3:$A$132,0)),"Di luar periode")</f>
        <v>Hari Kerja</v>
      </c>
      <c r="N3706" s="71">
        <f t="shared" si="514"/>
        <v>0</v>
      </c>
      <c r="O3706" s="71">
        <f t="shared" si="515"/>
        <v>1</v>
      </c>
      <c r="P3706" s="71">
        <f t="shared" si="516"/>
        <v>0</v>
      </c>
      <c r="Q3706" s="71">
        <f t="shared" si="517"/>
        <v>0</v>
      </c>
      <c r="R3706" s="71">
        <f t="shared" si="518"/>
        <v>0</v>
      </c>
      <c r="S3706" s="71">
        <f t="shared" si="519"/>
        <v>0</v>
      </c>
      <c r="T3706" s="71">
        <f t="shared" si="520"/>
        <v>0</v>
      </c>
      <c r="U3706" s="71">
        <f>IF(AND(N3706=1,V3706=1),IF(COUNTIFS(AKTIVITAS!$B$2:$B$3052,B3706,AKTIVITAS!$E$2:$E$3052,H3706)&gt;0,1,0),0)</f>
        <v>0</v>
      </c>
      <c r="V3706" s="71">
        <f>IFERROR(IF(AND(H3706&gt;=INDEX(PEMAGANG!$J$3:$J$36,MATCH(B3706,PEMAGANG!$C$3:$C$36,0)),H3706&lt;=INDEX(PEMAGANG!$K$3:$K$36,MATCH(B3706,PEMAGANG!$C$3:$C$36,0))),1,0),0)</f>
        <v>1</v>
      </c>
      <c r="W3706" s="71">
        <f t="shared" si="521"/>
        <v>0</v>
      </c>
    </row>
    <row r="3707" spans="1:23" x14ac:dyDescent="0.2">
      <c r="A3707" s="71" t="s">
        <v>262</v>
      </c>
      <c r="B3707" s="71" t="s">
        <v>263</v>
      </c>
      <c r="C3707" s="71" t="s">
        <v>187</v>
      </c>
      <c r="D3707" s="71" t="s">
        <v>259</v>
      </c>
      <c r="E3707" s="71" t="s">
        <v>55</v>
      </c>
      <c r="F3707" s="71" t="s">
        <v>298</v>
      </c>
      <c r="G3707" s="88">
        <v>46237.298796296302</v>
      </c>
      <c r="H3707" s="89">
        <v>46237</v>
      </c>
      <c r="I3707" s="71" t="s">
        <v>481</v>
      </c>
      <c r="J3707" s="71">
        <v>-20</v>
      </c>
      <c r="K3707" s="71" t="s">
        <v>302</v>
      </c>
      <c r="L3707" s="71">
        <f t="shared" si="513"/>
        <v>8</v>
      </c>
      <c r="M3707" s="71" t="str">
        <f>IFERROR(INDEX(KALENDER!$D$3:$D$132,MATCH(H3707,KALENDER!$A$3:$A$132,0)),"Di luar periode")</f>
        <v>Hari Kerja</v>
      </c>
      <c r="N3707" s="71">
        <f t="shared" si="514"/>
        <v>1</v>
      </c>
      <c r="O3707" s="71">
        <f t="shared" si="515"/>
        <v>1</v>
      </c>
      <c r="P3707" s="71">
        <f t="shared" si="516"/>
        <v>1</v>
      </c>
      <c r="Q3707" s="71">
        <f t="shared" si="517"/>
        <v>0</v>
      </c>
      <c r="R3707" s="71">
        <f t="shared" si="518"/>
        <v>0</v>
      </c>
      <c r="S3707" s="71">
        <f t="shared" si="519"/>
        <v>0</v>
      </c>
      <c r="T3707" s="71">
        <f t="shared" si="520"/>
        <v>0</v>
      </c>
      <c r="U3707" s="71">
        <f>IF(AND(N3707=1,V3707=1),IF(COUNTIFS(AKTIVITAS!$B$2:$B$3052,B3707,AKTIVITAS!$E$2:$E$3052,H3707)&gt;0,1,0),0)</f>
        <v>1</v>
      </c>
      <c r="V3707" s="71">
        <f>IFERROR(IF(AND(H3707&gt;=INDEX(PEMAGANG!$J$3:$J$36,MATCH(B3707,PEMAGANG!$C$3:$C$36,0)),H3707&lt;=INDEX(PEMAGANG!$K$3:$K$36,MATCH(B3707,PEMAGANG!$C$3:$C$36,0))),1,0),0)</f>
        <v>1</v>
      </c>
      <c r="W3707" s="71">
        <f t="shared" si="521"/>
        <v>1</v>
      </c>
    </row>
    <row r="3708" spans="1:23" x14ac:dyDescent="0.2">
      <c r="A3708" s="71" t="s">
        <v>262</v>
      </c>
      <c r="B3708" s="71" t="s">
        <v>263</v>
      </c>
      <c r="C3708" s="71" t="s">
        <v>187</v>
      </c>
      <c r="D3708" s="71" t="s">
        <v>259</v>
      </c>
      <c r="E3708" s="71" t="s">
        <v>55</v>
      </c>
      <c r="F3708" s="71" t="s">
        <v>300</v>
      </c>
      <c r="G3708" s="88">
        <v>46237.702025462997</v>
      </c>
      <c r="H3708" s="89">
        <v>46237</v>
      </c>
      <c r="I3708" s="71" t="s">
        <v>334</v>
      </c>
      <c r="J3708" s="71">
        <v>0</v>
      </c>
      <c r="K3708" s="71" t="s">
        <v>302</v>
      </c>
      <c r="L3708" s="71">
        <f t="shared" si="513"/>
        <v>8</v>
      </c>
      <c r="M3708" s="71" t="str">
        <f>IFERROR(INDEX(KALENDER!$D$3:$D$132,MATCH(H3708,KALENDER!$A$3:$A$132,0)),"Di luar periode")</f>
        <v>Hari Kerja</v>
      </c>
      <c r="N3708" s="71">
        <f t="shared" si="514"/>
        <v>0</v>
      </c>
      <c r="O3708" s="71">
        <f t="shared" si="515"/>
        <v>1</v>
      </c>
      <c r="P3708" s="71">
        <f t="shared" si="516"/>
        <v>0</v>
      </c>
      <c r="Q3708" s="71">
        <f t="shared" si="517"/>
        <v>0</v>
      </c>
      <c r="R3708" s="71">
        <f t="shared" si="518"/>
        <v>0</v>
      </c>
      <c r="S3708" s="71">
        <f t="shared" si="519"/>
        <v>0</v>
      </c>
      <c r="T3708" s="71">
        <f t="shared" si="520"/>
        <v>0</v>
      </c>
      <c r="U3708" s="71">
        <f>IF(AND(N3708=1,V3708=1),IF(COUNTIFS(AKTIVITAS!$B$2:$B$3052,B3708,AKTIVITAS!$E$2:$E$3052,H3708)&gt;0,1,0),0)</f>
        <v>0</v>
      </c>
      <c r="V3708" s="71">
        <f>IFERROR(IF(AND(H3708&gt;=INDEX(PEMAGANG!$J$3:$J$36,MATCH(B3708,PEMAGANG!$C$3:$C$36,0)),H3708&lt;=INDEX(PEMAGANG!$K$3:$K$36,MATCH(B3708,PEMAGANG!$C$3:$C$36,0))),1,0),0)</f>
        <v>1</v>
      </c>
      <c r="W3708" s="71">
        <f t="shared" si="521"/>
        <v>0</v>
      </c>
    </row>
    <row r="3709" spans="1:23" x14ac:dyDescent="0.2">
      <c r="A3709" s="71" t="s">
        <v>262</v>
      </c>
      <c r="B3709" s="71" t="s">
        <v>263</v>
      </c>
      <c r="C3709" s="71" t="s">
        <v>187</v>
      </c>
      <c r="D3709" s="71" t="s">
        <v>259</v>
      </c>
      <c r="E3709" s="71" t="s">
        <v>55</v>
      </c>
      <c r="F3709" s="71" t="s">
        <v>298</v>
      </c>
      <c r="G3709" s="88">
        <v>46238.297986111102</v>
      </c>
      <c r="H3709" s="89">
        <v>46238</v>
      </c>
      <c r="I3709" s="71" t="s">
        <v>479</v>
      </c>
      <c r="J3709" s="71">
        <v>-21</v>
      </c>
      <c r="K3709" s="71" t="s">
        <v>302</v>
      </c>
      <c r="L3709" s="71">
        <f t="shared" si="513"/>
        <v>8</v>
      </c>
      <c r="M3709" s="71" t="str">
        <f>IFERROR(INDEX(KALENDER!$D$3:$D$132,MATCH(H3709,KALENDER!$A$3:$A$132,0)),"Di luar periode")</f>
        <v>Hari Kerja</v>
      </c>
      <c r="N3709" s="71">
        <f t="shared" si="514"/>
        <v>1</v>
      </c>
      <c r="O3709" s="71">
        <f t="shared" si="515"/>
        <v>1</v>
      </c>
      <c r="P3709" s="71">
        <f t="shared" si="516"/>
        <v>1</v>
      </c>
      <c r="Q3709" s="71">
        <f t="shared" si="517"/>
        <v>0</v>
      </c>
      <c r="R3709" s="71">
        <f t="shared" si="518"/>
        <v>0</v>
      </c>
      <c r="S3709" s="71">
        <f t="shared" si="519"/>
        <v>0</v>
      </c>
      <c r="T3709" s="71">
        <f t="shared" si="520"/>
        <v>0</v>
      </c>
      <c r="U3709" s="71">
        <f>IF(AND(N3709=1,V3709=1),IF(COUNTIFS(AKTIVITAS!$B$2:$B$3052,B3709,AKTIVITAS!$E$2:$E$3052,H3709)&gt;0,1,0),0)</f>
        <v>1</v>
      </c>
      <c r="V3709" s="71">
        <f>IFERROR(IF(AND(H3709&gt;=INDEX(PEMAGANG!$J$3:$J$36,MATCH(B3709,PEMAGANG!$C$3:$C$36,0)),H3709&lt;=INDEX(PEMAGANG!$K$3:$K$36,MATCH(B3709,PEMAGANG!$C$3:$C$36,0))),1,0),0)</f>
        <v>1</v>
      </c>
      <c r="W3709" s="71">
        <f t="shared" si="521"/>
        <v>1</v>
      </c>
    </row>
    <row r="3710" spans="1:23" x14ac:dyDescent="0.2">
      <c r="A3710" s="71" t="s">
        <v>262</v>
      </c>
      <c r="B3710" s="71" t="s">
        <v>263</v>
      </c>
      <c r="C3710" s="71" t="s">
        <v>187</v>
      </c>
      <c r="D3710" s="71" t="s">
        <v>259</v>
      </c>
      <c r="E3710" s="71" t="s">
        <v>55</v>
      </c>
      <c r="F3710" s="71" t="s">
        <v>300</v>
      </c>
      <c r="G3710" s="88">
        <v>46238.689606481501</v>
      </c>
      <c r="H3710" s="89">
        <v>46238</v>
      </c>
      <c r="I3710" s="71" t="s">
        <v>316</v>
      </c>
      <c r="J3710" s="71">
        <v>0</v>
      </c>
      <c r="K3710" s="71" t="s">
        <v>302</v>
      </c>
      <c r="L3710" s="71">
        <f t="shared" si="513"/>
        <v>8</v>
      </c>
      <c r="M3710" s="71" t="str">
        <f>IFERROR(INDEX(KALENDER!$D$3:$D$132,MATCH(H3710,KALENDER!$A$3:$A$132,0)),"Di luar periode")</f>
        <v>Hari Kerja</v>
      </c>
      <c r="N3710" s="71">
        <f t="shared" si="514"/>
        <v>0</v>
      </c>
      <c r="O3710" s="71">
        <f t="shared" si="515"/>
        <v>1</v>
      </c>
      <c r="P3710" s="71">
        <f t="shared" si="516"/>
        <v>0</v>
      </c>
      <c r="Q3710" s="71">
        <f t="shared" si="517"/>
        <v>0</v>
      </c>
      <c r="R3710" s="71">
        <f t="shared" si="518"/>
        <v>0</v>
      </c>
      <c r="S3710" s="71">
        <f t="shared" si="519"/>
        <v>0</v>
      </c>
      <c r="T3710" s="71">
        <f t="shared" si="520"/>
        <v>0</v>
      </c>
      <c r="U3710" s="71">
        <f>IF(AND(N3710=1,V3710=1),IF(COUNTIFS(AKTIVITAS!$B$2:$B$3052,B3710,AKTIVITAS!$E$2:$E$3052,H3710)&gt;0,1,0),0)</f>
        <v>0</v>
      </c>
      <c r="V3710" s="71">
        <f>IFERROR(IF(AND(H3710&gt;=INDEX(PEMAGANG!$J$3:$J$36,MATCH(B3710,PEMAGANG!$C$3:$C$36,0)),H3710&lt;=INDEX(PEMAGANG!$K$3:$K$36,MATCH(B3710,PEMAGANG!$C$3:$C$36,0))),1,0),0)</f>
        <v>1</v>
      </c>
      <c r="W3710" s="71">
        <f t="shared" si="521"/>
        <v>0</v>
      </c>
    </row>
    <row r="3711" spans="1:23" x14ac:dyDescent="0.2">
      <c r="A3711" s="71" t="s">
        <v>262</v>
      </c>
      <c r="B3711" s="71" t="s">
        <v>263</v>
      </c>
      <c r="C3711" s="71" t="s">
        <v>187</v>
      </c>
      <c r="D3711" s="71" t="s">
        <v>259</v>
      </c>
      <c r="E3711" s="71" t="s">
        <v>55</v>
      </c>
      <c r="F3711" s="71" t="s">
        <v>298</v>
      </c>
      <c r="G3711" s="88">
        <v>46239.299479166701</v>
      </c>
      <c r="H3711" s="89">
        <v>46239</v>
      </c>
      <c r="I3711" s="71" t="s">
        <v>402</v>
      </c>
      <c r="J3711" s="71">
        <v>-19</v>
      </c>
      <c r="K3711" s="71" t="s">
        <v>302</v>
      </c>
      <c r="L3711" s="71">
        <f t="shared" si="513"/>
        <v>8</v>
      </c>
      <c r="M3711" s="71" t="str">
        <f>IFERROR(INDEX(KALENDER!$D$3:$D$132,MATCH(H3711,KALENDER!$A$3:$A$132,0)),"Di luar periode")</f>
        <v>Hari Kerja</v>
      </c>
      <c r="N3711" s="71">
        <f t="shared" si="514"/>
        <v>1</v>
      </c>
      <c r="O3711" s="71">
        <f t="shared" si="515"/>
        <v>1</v>
      </c>
      <c r="P3711" s="71">
        <f t="shared" si="516"/>
        <v>1</v>
      </c>
      <c r="Q3711" s="71">
        <f t="shared" si="517"/>
        <v>0</v>
      </c>
      <c r="R3711" s="71">
        <f t="shared" si="518"/>
        <v>0</v>
      </c>
      <c r="S3711" s="71">
        <f t="shared" si="519"/>
        <v>0</v>
      </c>
      <c r="T3711" s="71">
        <f t="shared" si="520"/>
        <v>0</v>
      </c>
      <c r="U3711" s="71">
        <f>IF(AND(N3711=1,V3711=1),IF(COUNTIFS(AKTIVITAS!$B$2:$B$3052,B3711,AKTIVITAS!$E$2:$E$3052,H3711)&gt;0,1,0),0)</f>
        <v>1</v>
      </c>
      <c r="V3711" s="71">
        <f>IFERROR(IF(AND(H3711&gt;=INDEX(PEMAGANG!$J$3:$J$36,MATCH(B3711,PEMAGANG!$C$3:$C$36,0)),H3711&lt;=INDEX(PEMAGANG!$K$3:$K$36,MATCH(B3711,PEMAGANG!$C$3:$C$36,0))),1,0),0)</f>
        <v>1</v>
      </c>
      <c r="W3711" s="71">
        <f t="shared" si="521"/>
        <v>1</v>
      </c>
    </row>
    <row r="3712" spans="1:23" x14ac:dyDescent="0.2">
      <c r="A3712" s="71" t="s">
        <v>262</v>
      </c>
      <c r="B3712" s="71" t="s">
        <v>263</v>
      </c>
      <c r="C3712" s="71" t="s">
        <v>187</v>
      </c>
      <c r="D3712" s="71" t="s">
        <v>259</v>
      </c>
      <c r="E3712" s="71" t="s">
        <v>55</v>
      </c>
      <c r="F3712" s="71" t="s">
        <v>300</v>
      </c>
      <c r="G3712" s="88">
        <v>46239.691111111097</v>
      </c>
      <c r="H3712" s="89">
        <v>46239</v>
      </c>
      <c r="I3712" s="71" t="s">
        <v>310</v>
      </c>
      <c r="J3712" s="71">
        <v>0</v>
      </c>
      <c r="K3712" s="71" t="s">
        <v>302</v>
      </c>
      <c r="L3712" s="71">
        <f t="shared" si="513"/>
        <v>8</v>
      </c>
      <c r="M3712" s="71" t="str">
        <f>IFERROR(INDEX(KALENDER!$D$3:$D$132,MATCH(H3712,KALENDER!$A$3:$A$132,0)),"Di luar periode")</f>
        <v>Hari Kerja</v>
      </c>
      <c r="N3712" s="71">
        <f t="shared" si="514"/>
        <v>0</v>
      </c>
      <c r="O3712" s="71">
        <f t="shared" si="515"/>
        <v>1</v>
      </c>
      <c r="P3712" s="71">
        <f t="shared" si="516"/>
        <v>0</v>
      </c>
      <c r="Q3712" s="71">
        <f t="shared" si="517"/>
        <v>0</v>
      </c>
      <c r="R3712" s="71">
        <f t="shared" si="518"/>
        <v>0</v>
      </c>
      <c r="S3712" s="71">
        <f t="shared" si="519"/>
        <v>0</v>
      </c>
      <c r="T3712" s="71">
        <f t="shared" si="520"/>
        <v>0</v>
      </c>
      <c r="U3712" s="71">
        <f>IF(AND(N3712=1,V3712=1),IF(COUNTIFS(AKTIVITAS!$B$2:$B$3052,B3712,AKTIVITAS!$E$2:$E$3052,H3712)&gt;0,1,0),0)</f>
        <v>0</v>
      </c>
      <c r="V3712" s="71">
        <f>IFERROR(IF(AND(H3712&gt;=INDEX(PEMAGANG!$J$3:$J$36,MATCH(B3712,PEMAGANG!$C$3:$C$36,0)),H3712&lt;=INDEX(PEMAGANG!$K$3:$K$36,MATCH(B3712,PEMAGANG!$C$3:$C$36,0))),1,0),0)</f>
        <v>1</v>
      </c>
      <c r="W3712" s="71">
        <f t="shared" si="521"/>
        <v>0</v>
      </c>
    </row>
    <row r="3713" spans="1:23" x14ac:dyDescent="0.2">
      <c r="A3713" s="71" t="s">
        <v>262</v>
      </c>
      <c r="B3713" s="71" t="s">
        <v>263</v>
      </c>
      <c r="C3713" s="71" t="s">
        <v>187</v>
      </c>
      <c r="D3713" s="71" t="s">
        <v>259</v>
      </c>
      <c r="E3713" s="71" t="s">
        <v>55</v>
      </c>
      <c r="F3713" s="71" t="s">
        <v>298</v>
      </c>
      <c r="G3713" s="88">
        <v>46240.295219907399</v>
      </c>
      <c r="H3713" s="89">
        <v>46240</v>
      </c>
      <c r="I3713" s="71" t="s">
        <v>355</v>
      </c>
      <c r="J3713" s="71">
        <v>-25</v>
      </c>
      <c r="K3713" s="71" t="s">
        <v>302</v>
      </c>
      <c r="L3713" s="71">
        <f t="shared" si="513"/>
        <v>8</v>
      </c>
      <c r="M3713" s="71" t="str">
        <f>IFERROR(INDEX(KALENDER!$D$3:$D$132,MATCH(H3713,KALENDER!$A$3:$A$132,0)),"Di luar periode")</f>
        <v>Hari Kerja</v>
      </c>
      <c r="N3713" s="71">
        <f t="shared" si="514"/>
        <v>1</v>
      </c>
      <c r="O3713" s="71">
        <f t="shared" si="515"/>
        <v>1</v>
      </c>
      <c r="P3713" s="71">
        <f t="shared" si="516"/>
        <v>1</v>
      </c>
      <c r="Q3713" s="71">
        <f t="shared" si="517"/>
        <v>0</v>
      </c>
      <c r="R3713" s="71">
        <f t="shared" si="518"/>
        <v>0</v>
      </c>
      <c r="S3713" s="71">
        <f t="shared" si="519"/>
        <v>0</v>
      </c>
      <c r="T3713" s="71">
        <f t="shared" si="520"/>
        <v>0</v>
      </c>
      <c r="U3713" s="71">
        <f>IF(AND(N3713=1,V3713=1),IF(COUNTIFS(AKTIVITAS!$B$2:$B$3052,B3713,AKTIVITAS!$E$2:$E$3052,H3713)&gt;0,1,0),0)</f>
        <v>1</v>
      </c>
      <c r="V3713" s="71">
        <f>IFERROR(IF(AND(H3713&gt;=INDEX(PEMAGANG!$J$3:$J$36,MATCH(B3713,PEMAGANG!$C$3:$C$36,0)),H3713&lt;=INDEX(PEMAGANG!$K$3:$K$36,MATCH(B3713,PEMAGANG!$C$3:$C$36,0))),1,0),0)</f>
        <v>1</v>
      </c>
      <c r="W3713" s="71">
        <f t="shared" si="521"/>
        <v>1</v>
      </c>
    </row>
    <row r="3714" spans="1:23" x14ac:dyDescent="0.2">
      <c r="A3714" s="71" t="s">
        <v>262</v>
      </c>
      <c r="B3714" s="71" t="s">
        <v>263</v>
      </c>
      <c r="C3714" s="71" t="s">
        <v>187</v>
      </c>
      <c r="D3714" s="71" t="s">
        <v>259</v>
      </c>
      <c r="E3714" s="71" t="s">
        <v>55</v>
      </c>
      <c r="F3714" s="71" t="s">
        <v>300</v>
      </c>
      <c r="G3714" s="88">
        <v>46240.689108796301</v>
      </c>
      <c r="H3714" s="89">
        <v>46240</v>
      </c>
      <c r="I3714" s="71" t="s">
        <v>306</v>
      </c>
      <c r="J3714" s="71">
        <v>0</v>
      </c>
      <c r="K3714" s="71" t="s">
        <v>302</v>
      </c>
      <c r="L3714" s="71">
        <f t="shared" ref="L3714:L3777" si="522">MONTH(H3714)</f>
        <v>8</v>
      </c>
      <c r="M3714" s="71" t="str">
        <f>IFERROR(INDEX(KALENDER!$D$3:$D$132,MATCH(H3714,KALENDER!$A$3:$A$132,0)),"Di luar periode")</f>
        <v>Hari Kerja</v>
      </c>
      <c r="N3714" s="71">
        <f t="shared" ref="N3714:N3777" si="523">IF(AND(B3714=B3713,H3714=H3713),0,1)</f>
        <v>0</v>
      </c>
      <c r="O3714" s="71">
        <f t="shared" ref="O3714:O3777" si="524">IF(N3714=1,0,O3713)+IF(F3714="MASUK",1,0)</f>
        <v>1</v>
      </c>
      <c r="P3714" s="71">
        <f t="shared" ref="P3714:P3777" si="525">IF(AND(N3714=1,M3714="Hari Kerja",V3714=1),1,0)</f>
        <v>0</v>
      </c>
      <c r="Q3714" s="71">
        <f t="shared" ref="Q3714:Q3777" si="526">IF(AND(N3714=1,OR(M3714&lt;&gt;"Hari Kerja",V3714=0)),1,0)</f>
        <v>0</v>
      </c>
      <c r="R3714" s="71">
        <f t="shared" ref="R3714:R3777" si="527">IF(AND(F3714="MASUK",O3714=1,N(J3714)&gt;0,V3714=1),1,0)</f>
        <v>0</v>
      </c>
      <c r="S3714" s="71">
        <f t="shared" ref="S3714:S3777" si="528">R3714*N(J3714)</f>
        <v>0</v>
      </c>
      <c r="T3714" s="71">
        <f t="shared" ref="T3714:T3777" si="529">IF(AND(N3714=1,V3714=1),IF(AND(COUNTIFS($B$2:$B$4094,B3714,$H$2:$H$4094,H3714,$F$2:$F$4094,"MASUK")&gt;0,COUNTIFS($B$2:$B$4094,B3714,$H$2:$H$4094,H3714,$F$2:$F$4094,"PULANG")=0),1,0),0)</f>
        <v>0</v>
      </c>
      <c r="U3714" s="71">
        <f>IF(AND(N3714=1,V3714=1),IF(COUNTIFS(AKTIVITAS!$B$2:$B$3052,B3714,AKTIVITAS!$E$2:$E$3052,H3714)&gt;0,1,0),0)</f>
        <v>0</v>
      </c>
      <c r="V3714" s="71">
        <f>IFERROR(IF(AND(H3714&gt;=INDEX(PEMAGANG!$J$3:$J$36,MATCH(B3714,PEMAGANG!$C$3:$C$36,0)),H3714&lt;=INDEX(PEMAGANG!$K$3:$K$36,MATCH(B3714,PEMAGANG!$C$3:$C$36,0))),1,0),0)</f>
        <v>1</v>
      </c>
      <c r="W3714" s="71">
        <f t="shared" ref="W3714:W3777" si="530">N3714*V3714</f>
        <v>0</v>
      </c>
    </row>
    <row r="3715" spans="1:23" x14ac:dyDescent="0.2">
      <c r="A3715" s="71" t="s">
        <v>262</v>
      </c>
      <c r="B3715" s="71" t="s">
        <v>263</v>
      </c>
      <c r="C3715" s="71" t="s">
        <v>187</v>
      </c>
      <c r="D3715" s="71" t="s">
        <v>259</v>
      </c>
      <c r="E3715" s="71" t="s">
        <v>55</v>
      </c>
      <c r="F3715" s="71" t="s">
        <v>298</v>
      </c>
      <c r="G3715" s="88">
        <v>46241.311203703699</v>
      </c>
      <c r="H3715" s="89">
        <v>46241</v>
      </c>
      <c r="I3715" s="71" t="s">
        <v>377</v>
      </c>
      <c r="J3715" s="71">
        <v>-1.99999999999999</v>
      </c>
      <c r="K3715" s="71" t="s">
        <v>302</v>
      </c>
      <c r="L3715" s="71">
        <f t="shared" si="522"/>
        <v>8</v>
      </c>
      <c r="M3715" s="71" t="str">
        <f>IFERROR(INDEX(KALENDER!$D$3:$D$132,MATCH(H3715,KALENDER!$A$3:$A$132,0)),"Di luar periode")</f>
        <v>Hari Kerja</v>
      </c>
      <c r="N3715" s="71">
        <f t="shared" si="523"/>
        <v>1</v>
      </c>
      <c r="O3715" s="71">
        <f t="shared" si="524"/>
        <v>1</v>
      </c>
      <c r="P3715" s="71">
        <f t="shared" si="525"/>
        <v>1</v>
      </c>
      <c r="Q3715" s="71">
        <f t="shared" si="526"/>
        <v>0</v>
      </c>
      <c r="R3715" s="71">
        <f t="shared" si="527"/>
        <v>0</v>
      </c>
      <c r="S3715" s="71">
        <f t="shared" si="528"/>
        <v>0</v>
      </c>
      <c r="T3715" s="71">
        <f t="shared" si="529"/>
        <v>0</v>
      </c>
      <c r="U3715" s="71">
        <f>IF(AND(N3715=1,V3715=1),IF(COUNTIFS(AKTIVITAS!$B$2:$B$3052,B3715,AKTIVITAS!$E$2:$E$3052,H3715)&gt;0,1,0),0)</f>
        <v>1</v>
      </c>
      <c r="V3715" s="71">
        <f>IFERROR(IF(AND(H3715&gt;=INDEX(PEMAGANG!$J$3:$J$36,MATCH(B3715,PEMAGANG!$C$3:$C$36,0)),H3715&lt;=INDEX(PEMAGANG!$K$3:$K$36,MATCH(B3715,PEMAGANG!$C$3:$C$36,0))),1,0),0)</f>
        <v>1</v>
      </c>
      <c r="W3715" s="71">
        <f t="shared" si="530"/>
        <v>1</v>
      </c>
    </row>
    <row r="3716" spans="1:23" x14ac:dyDescent="0.2">
      <c r="A3716" s="71" t="s">
        <v>262</v>
      </c>
      <c r="B3716" s="71" t="s">
        <v>263</v>
      </c>
      <c r="C3716" s="71" t="s">
        <v>187</v>
      </c>
      <c r="D3716" s="71" t="s">
        <v>259</v>
      </c>
      <c r="E3716" s="71" t="s">
        <v>55</v>
      </c>
      <c r="F3716" s="71" t="s">
        <v>300</v>
      </c>
      <c r="G3716" s="88">
        <v>46241.690127314803</v>
      </c>
      <c r="H3716" s="89">
        <v>46241</v>
      </c>
      <c r="I3716" s="71" t="s">
        <v>316</v>
      </c>
      <c r="J3716" s="71">
        <v>0</v>
      </c>
      <c r="K3716" s="71" t="s">
        <v>302</v>
      </c>
      <c r="L3716" s="71">
        <f t="shared" si="522"/>
        <v>8</v>
      </c>
      <c r="M3716" s="71" t="str">
        <f>IFERROR(INDEX(KALENDER!$D$3:$D$132,MATCH(H3716,KALENDER!$A$3:$A$132,0)),"Di luar periode")</f>
        <v>Hari Kerja</v>
      </c>
      <c r="N3716" s="71">
        <f t="shared" si="523"/>
        <v>0</v>
      </c>
      <c r="O3716" s="71">
        <f t="shared" si="524"/>
        <v>1</v>
      </c>
      <c r="P3716" s="71">
        <f t="shared" si="525"/>
        <v>0</v>
      </c>
      <c r="Q3716" s="71">
        <f t="shared" si="526"/>
        <v>0</v>
      </c>
      <c r="R3716" s="71">
        <f t="shared" si="527"/>
        <v>0</v>
      </c>
      <c r="S3716" s="71">
        <f t="shared" si="528"/>
        <v>0</v>
      </c>
      <c r="T3716" s="71">
        <f t="shared" si="529"/>
        <v>0</v>
      </c>
      <c r="U3716" s="71">
        <f>IF(AND(N3716=1,V3716=1),IF(COUNTIFS(AKTIVITAS!$B$2:$B$3052,B3716,AKTIVITAS!$E$2:$E$3052,H3716)&gt;0,1,0),0)</f>
        <v>0</v>
      </c>
      <c r="V3716" s="71">
        <f>IFERROR(IF(AND(H3716&gt;=INDEX(PEMAGANG!$J$3:$J$36,MATCH(B3716,PEMAGANG!$C$3:$C$36,0)),H3716&lt;=INDEX(PEMAGANG!$K$3:$K$36,MATCH(B3716,PEMAGANG!$C$3:$C$36,0))),1,0),0)</f>
        <v>1</v>
      </c>
      <c r="W3716" s="71">
        <f t="shared" si="530"/>
        <v>0</v>
      </c>
    </row>
    <row r="3717" spans="1:23" x14ac:dyDescent="0.2">
      <c r="A3717" s="71" t="s">
        <v>262</v>
      </c>
      <c r="B3717" s="71" t="s">
        <v>263</v>
      </c>
      <c r="C3717" s="71" t="s">
        <v>187</v>
      </c>
      <c r="D3717" s="71" t="s">
        <v>259</v>
      </c>
      <c r="E3717" s="71" t="s">
        <v>55</v>
      </c>
      <c r="F3717" s="71" t="s">
        <v>298</v>
      </c>
      <c r="G3717" s="88">
        <v>46244.296875</v>
      </c>
      <c r="H3717" s="89">
        <v>46244</v>
      </c>
      <c r="I3717" s="71" t="s">
        <v>487</v>
      </c>
      <c r="J3717" s="71">
        <v>-23</v>
      </c>
      <c r="K3717" s="71" t="s">
        <v>302</v>
      </c>
      <c r="L3717" s="71">
        <f t="shared" si="522"/>
        <v>8</v>
      </c>
      <c r="M3717" s="71" t="str">
        <f>IFERROR(INDEX(KALENDER!$D$3:$D$132,MATCH(H3717,KALENDER!$A$3:$A$132,0)),"Di luar periode")</f>
        <v>Hari Kerja</v>
      </c>
      <c r="N3717" s="71">
        <f t="shared" si="523"/>
        <v>1</v>
      </c>
      <c r="O3717" s="71">
        <f t="shared" si="524"/>
        <v>1</v>
      </c>
      <c r="P3717" s="71">
        <f t="shared" si="525"/>
        <v>1</v>
      </c>
      <c r="Q3717" s="71">
        <f t="shared" si="526"/>
        <v>0</v>
      </c>
      <c r="R3717" s="71">
        <f t="shared" si="527"/>
        <v>0</v>
      </c>
      <c r="S3717" s="71">
        <f t="shared" si="528"/>
        <v>0</v>
      </c>
      <c r="T3717" s="71">
        <f t="shared" si="529"/>
        <v>0</v>
      </c>
      <c r="U3717" s="71">
        <f>IF(AND(N3717=1,V3717=1),IF(COUNTIFS(AKTIVITAS!$B$2:$B$3052,B3717,AKTIVITAS!$E$2:$E$3052,H3717)&gt;0,1,0),0)</f>
        <v>1</v>
      </c>
      <c r="V3717" s="71">
        <f>IFERROR(IF(AND(H3717&gt;=INDEX(PEMAGANG!$J$3:$J$36,MATCH(B3717,PEMAGANG!$C$3:$C$36,0)),H3717&lt;=INDEX(PEMAGANG!$K$3:$K$36,MATCH(B3717,PEMAGANG!$C$3:$C$36,0))),1,0),0)</f>
        <v>1</v>
      </c>
      <c r="W3717" s="71">
        <f t="shared" si="530"/>
        <v>1</v>
      </c>
    </row>
    <row r="3718" spans="1:23" x14ac:dyDescent="0.2">
      <c r="A3718" s="71" t="s">
        <v>262</v>
      </c>
      <c r="B3718" s="71" t="s">
        <v>263</v>
      </c>
      <c r="C3718" s="71" t="s">
        <v>187</v>
      </c>
      <c r="D3718" s="71" t="s">
        <v>259</v>
      </c>
      <c r="E3718" s="71" t="s">
        <v>55</v>
      </c>
      <c r="F3718" s="71" t="s">
        <v>300</v>
      </c>
      <c r="G3718" s="88">
        <v>46244.688483796301</v>
      </c>
      <c r="H3718" s="89">
        <v>46244</v>
      </c>
      <c r="I3718" s="71" t="s">
        <v>336</v>
      </c>
      <c r="J3718" s="71">
        <v>0</v>
      </c>
      <c r="K3718" s="71" t="s">
        <v>302</v>
      </c>
      <c r="L3718" s="71">
        <f t="shared" si="522"/>
        <v>8</v>
      </c>
      <c r="M3718" s="71" t="str">
        <f>IFERROR(INDEX(KALENDER!$D$3:$D$132,MATCH(H3718,KALENDER!$A$3:$A$132,0)),"Di luar periode")</f>
        <v>Hari Kerja</v>
      </c>
      <c r="N3718" s="71">
        <f t="shared" si="523"/>
        <v>0</v>
      </c>
      <c r="O3718" s="71">
        <f t="shared" si="524"/>
        <v>1</v>
      </c>
      <c r="P3718" s="71">
        <f t="shared" si="525"/>
        <v>0</v>
      </c>
      <c r="Q3718" s="71">
        <f t="shared" si="526"/>
        <v>0</v>
      </c>
      <c r="R3718" s="71">
        <f t="shared" si="527"/>
        <v>0</v>
      </c>
      <c r="S3718" s="71">
        <f t="shared" si="528"/>
        <v>0</v>
      </c>
      <c r="T3718" s="71">
        <f t="shared" si="529"/>
        <v>0</v>
      </c>
      <c r="U3718" s="71">
        <f>IF(AND(N3718=1,V3718=1),IF(COUNTIFS(AKTIVITAS!$B$2:$B$3052,B3718,AKTIVITAS!$E$2:$E$3052,H3718)&gt;0,1,0),0)</f>
        <v>0</v>
      </c>
      <c r="V3718" s="71">
        <f>IFERROR(IF(AND(H3718&gt;=INDEX(PEMAGANG!$J$3:$J$36,MATCH(B3718,PEMAGANG!$C$3:$C$36,0)),H3718&lt;=INDEX(PEMAGANG!$K$3:$K$36,MATCH(B3718,PEMAGANG!$C$3:$C$36,0))),1,0),0)</f>
        <v>1</v>
      </c>
      <c r="W3718" s="71">
        <f t="shared" si="530"/>
        <v>0</v>
      </c>
    </row>
    <row r="3719" spans="1:23" x14ac:dyDescent="0.2">
      <c r="A3719" s="71" t="s">
        <v>262</v>
      </c>
      <c r="B3719" s="71" t="s">
        <v>263</v>
      </c>
      <c r="C3719" s="71" t="s">
        <v>187</v>
      </c>
      <c r="D3719" s="71" t="s">
        <v>259</v>
      </c>
      <c r="E3719" s="71" t="s">
        <v>55</v>
      </c>
      <c r="F3719" s="71" t="s">
        <v>298</v>
      </c>
      <c r="G3719" s="88">
        <v>46245.295775462997</v>
      </c>
      <c r="H3719" s="89">
        <v>46245</v>
      </c>
      <c r="I3719" s="71" t="s">
        <v>355</v>
      </c>
      <c r="J3719" s="71">
        <v>-25</v>
      </c>
      <c r="K3719" s="71" t="s">
        <v>302</v>
      </c>
      <c r="L3719" s="71">
        <f t="shared" si="522"/>
        <v>8</v>
      </c>
      <c r="M3719" s="71" t="str">
        <f>IFERROR(INDEX(KALENDER!$D$3:$D$132,MATCH(H3719,KALENDER!$A$3:$A$132,0)),"Di luar periode")</f>
        <v>Hari Kerja</v>
      </c>
      <c r="N3719" s="71">
        <f t="shared" si="523"/>
        <v>1</v>
      </c>
      <c r="O3719" s="71">
        <f t="shared" si="524"/>
        <v>1</v>
      </c>
      <c r="P3719" s="71">
        <f t="shared" si="525"/>
        <v>1</v>
      </c>
      <c r="Q3719" s="71">
        <f t="shared" si="526"/>
        <v>0</v>
      </c>
      <c r="R3719" s="71">
        <f t="shared" si="527"/>
        <v>0</v>
      </c>
      <c r="S3719" s="71">
        <f t="shared" si="528"/>
        <v>0</v>
      </c>
      <c r="T3719" s="71">
        <f t="shared" si="529"/>
        <v>0</v>
      </c>
      <c r="U3719" s="71">
        <f>IF(AND(N3719=1,V3719=1),IF(COUNTIFS(AKTIVITAS!$B$2:$B$3052,B3719,AKTIVITAS!$E$2:$E$3052,H3719)&gt;0,1,0),0)</f>
        <v>1</v>
      </c>
      <c r="V3719" s="71">
        <f>IFERROR(IF(AND(H3719&gt;=INDEX(PEMAGANG!$J$3:$J$36,MATCH(B3719,PEMAGANG!$C$3:$C$36,0)),H3719&lt;=INDEX(PEMAGANG!$K$3:$K$36,MATCH(B3719,PEMAGANG!$C$3:$C$36,0))),1,0),0)</f>
        <v>1</v>
      </c>
      <c r="W3719" s="71">
        <f t="shared" si="530"/>
        <v>1</v>
      </c>
    </row>
    <row r="3720" spans="1:23" x14ac:dyDescent="0.2">
      <c r="A3720" s="71" t="s">
        <v>262</v>
      </c>
      <c r="B3720" s="71" t="s">
        <v>263</v>
      </c>
      <c r="C3720" s="71" t="s">
        <v>187</v>
      </c>
      <c r="D3720" s="71" t="s">
        <v>259</v>
      </c>
      <c r="E3720" s="71" t="s">
        <v>55</v>
      </c>
      <c r="F3720" s="71" t="s">
        <v>300</v>
      </c>
      <c r="G3720" s="88">
        <v>46245.698333333297</v>
      </c>
      <c r="H3720" s="89">
        <v>46245</v>
      </c>
      <c r="I3720" s="71" t="s">
        <v>318</v>
      </c>
      <c r="J3720" s="71">
        <v>0</v>
      </c>
      <c r="K3720" s="71" t="s">
        <v>302</v>
      </c>
      <c r="L3720" s="71">
        <f t="shared" si="522"/>
        <v>8</v>
      </c>
      <c r="M3720" s="71" t="str">
        <f>IFERROR(INDEX(KALENDER!$D$3:$D$132,MATCH(H3720,KALENDER!$A$3:$A$132,0)),"Di luar periode")</f>
        <v>Hari Kerja</v>
      </c>
      <c r="N3720" s="71">
        <f t="shared" si="523"/>
        <v>0</v>
      </c>
      <c r="O3720" s="71">
        <f t="shared" si="524"/>
        <v>1</v>
      </c>
      <c r="P3720" s="71">
        <f t="shared" si="525"/>
        <v>0</v>
      </c>
      <c r="Q3720" s="71">
        <f t="shared" si="526"/>
        <v>0</v>
      </c>
      <c r="R3720" s="71">
        <f t="shared" si="527"/>
        <v>0</v>
      </c>
      <c r="S3720" s="71">
        <f t="shared" si="528"/>
        <v>0</v>
      </c>
      <c r="T3720" s="71">
        <f t="shared" si="529"/>
        <v>0</v>
      </c>
      <c r="U3720" s="71">
        <f>IF(AND(N3720=1,V3720=1),IF(COUNTIFS(AKTIVITAS!$B$2:$B$3052,B3720,AKTIVITAS!$E$2:$E$3052,H3720)&gt;0,1,0),0)</f>
        <v>0</v>
      </c>
      <c r="V3720" s="71">
        <f>IFERROR(IF(AND(H3720&gt;=INDEX(PEMAGANG!$J$3:$J$36,MATCH(B3720,PEMAGANG!$C$3:$C$36,0)),H3720&lt;=INDEX(PEMAGANG!$K$3:$K$36,MATCH(B3720,PEMAGANG!$C$3:$C$36,0))),1,0),0)</f>
        <v>1</v>
      </c>
      <c r="W3720" s="71">
        <f t="shared" si="530"/>
        <v>0</v>
      </c>
    </row>
    <row r="3721" spans="1:23" x14ac:dyDescent="0.2">
      <c r="A3721" s="71" t="s">
        <v>262</v>
      </c>
      <c r="B3721" s="71" t="s">
        <v>263</v>
      </c>
      <c r="C3721" s="71" t="s">
        <v>187</v>
      </c>
      <c r="D3721" s="71" t="s">
        <v>259</v>
      </c>
      <c r="E3721" s="71" t="s">
        <v>55</v>
      </c>
      <c r="F3721" s="71" t="s">
        <v>298</v>
      </c>
      <c r="G3721" s="88">
        <v>46246.2993055556</v>
      </c>
      <c r="H3721" s="89">
        <v>46246</v>
      </c>
      <c r="I3721" s="71" t="s">
        <v>402</v>
      </c>
      <c r="J3721" s="71">
        <v>-19</v>
      </c>
      <c r="K3721" s="71" t="s">
        <v>302</v>
      </c>
      <c r="L3721" s="71">
        <f t="shared" si="522"/>
        <v>8</v>
      </c>
      <c r="M3721" s="71" t="str">
        <f>IFERROR(INDEX(KALENDER!$D$3:$D$132,MATCH(H3721,KALENDER!$A$3:$A$132,0)),"Di luar periode")</f>
        <v>Hari Kerja</v>
      </c>
      <c r="N3721" s="71">
        <f t="shared" si="523"/>
        <v>1</v>
      </c>
      <c r="O3721" s="71">
        <f t="shared" si="524"/>
        <v>1</v>
      </c>
      <c r="P3721" s="71">
        <f t="shared" si="525"/>
        <v>1</v>
      </c>
      <c r="Q3721" s="71">
        <f t="shared" si="526"/>
        <v>0</v>
      </c>
      <c r="R3721" s="71">
        <f t="shared" si="527"/>
        <v>0</v>
      </c>
      <c r="S3721" s="71">
        <f t="shared" si="528"/>
        <v>0</v>
      </c>
      <c r="T3721" s="71">
        <f t="shared" si="529"/>
        <v>0</v>
      </c>
      <c r="U3721" s="71">
        <f>IF(AND(N3721=1,V3721=1),IF(COUNTIFS(AKTIVITAS!$B$2:$B$3052,B3721,AKTIVITAS!$E$2:$E$3052,H3721)&gt;0,1,0),0)</f>
        <v>1</v>
      </c>
      <c r="V3721" s="71">
        <f>IFERROR(IF(AND(H3721&gt;=INDEX(PEMAGANG!$J$3:$J$36,MATCH(B3721,PEMAGANG!$C$3:$C$36,0)),H3721&lt;=INDEX(PEMAGANG!$K$3:$K$36,MATCH(B3721,PEMAGANG!$C$3:$C$36,0))),1,0),0)</f>
        <v>1</v>
      </c>
      <c r="W3721" s="71">
        <f t="shared" si="530"/>
        <v>1</v>
      </c>
    </row>
    <row r="3722" spans="1:23" x14ac:dyDescent="0.2">
      <c r="A3722" s="71" t="s">
        <v>262</v>
      </c>
      <c r="B3722" s="71" t="s">
        <v>263</v>
      </c>
      <c r="C3722" s="71" t="s">
        <v>187</v>
      </c>
      <c r="D3722" s="71" t="s">
        <v>259</v>
      </c>
      <c r="E3722" s="71" t="s">
        <v>55</v>
      </c>
      <c r="F3722" s="71" t="s">
        <v>300</v>
      </c>
      <c r="G3722" s="88">
        <v>46246.689965277801</v>
      </c>
      <c r="H3722" s="89">
        <v>46246</v>
      </c>
      <c r="I3722" s="71" t="s">
        <v>316</v>
      </c>
      <c r="J3722" s="71">
        <v>0</v>
      </c>
      <c r="K3722" s="71" t="s">
        <v>302</v>
      </c>
      <c r="L3722" s="71">
        <f t="shared" si="522"/>
        <v>8</v>
      </c>
      <c r="M3722" s="71" t="str">
        <f>IFERROR(INDEX(KALENDER!$D$3:$D$132,MATCH(H3722,KALENDER!$A$3:$A$132,0)),"Di luar periode")</f>
        <v>Hari Kerja</v>
      </c>
      <c r="N3722" s="71">
        <f t="shared" si="523"/>
        <v>0</v>
      </c>
      <c r="O3722" s="71">
        <f t="shared" si="524"/>
        <v>1</v>
      </c>
      <c r="P3722" s="71">
        <f t="shared" si="525"/>
        <v>0</v>
      </c>
      <c r="Q3722" s="71">
        <f t="shared" si="526"/>
        <v>0</v>
      </c>
      <c r="R3722" s="71">
        <f t="shared" si="527"/>
        <v>0</v>
      </c>
      <c r="S3722" s="71">
        <f t="shared" si="528"/>
        <v>0</v>
      </c>
      <c r="T3722" s="71">
        <f t="shared" si="529"/>
        <v>0</v>
      </c>
      <c r="U3722" s="71">
        <f>IF(AND(N3722=1,V3722=1),IF(COUNTIFS(AKTIVITAS!$B$2:$B$3052,B3722,AKTIVITAS!$E$2:$E$3052,H3722)&gt;0,1,0),0)</f>
        <v>0</v>
      </c>
      <c r="V3722" s="71">
        <f>IFERROR(IF(AND(H3722&gt;=INDEX(PEMAGANG!$J$3:$J$36,MATCH(B3722,PEMAGANG!$C$3:$C$36,0)),H3722&lt;=INDEX(PEMAGANG!$K$3:$K$36,MATCH(B3722,PEMAGANG!$C$3:$C$36,0))),1,0),0)</f>
        <v>1</v>
      </c>
      <c r="W3722" s="71">
        <f t="shared" si="530"/>
        <v>0</v>
      </c>
    </row>
    <row r="3723" spans="1:23" x14ac:dyDescent="0.2">
      <c r="A3723" s="71" t="s">
        <v>262</v>
      </c>
      <c r="B3723" s="71" t="s">
        <v>263</v>
      </c>
      <c r="C3723" s="71" t="s">
        <v>187</v>
      </c>
      <c r="D3723" s="71" t="s">
        <v>259</v>
      </c>
      <c r="E3723" s="71" t="s">
        <v>55</v>
      </c>
      <c r="F3723" s="71" t="s">
        <v>298</v>
      </c>
      <c r="G3723" s="88">
        <v>46247.296053240701</v>
      </c>
      <c r="H3723" s="89">
        <v>46247</v>
      </c>
      <c r="I3723" s="71" t="s">
        <v>349</v>
      </c>
      <c r="J3723" s="71">
        <v>-24</v>
      </c>
      <c r="K3723" s="71" t="s">
        <v>302</v>
      </c>
      <c r="L3723" s="71">
        <f t="shared" si="522"/>
        <v>8</v>
      </c>
      <c r="M3723" s="71" t="str">
        <f>IFERROR(INDEX(KALENDER!$D$3:$D$132,MATCH(H3723,KALENDER!$A$3:$A$132,0)),"Di luar periode")</f>
        <v>Hari Kerja</v>
      </c>
      <c r="N3723" s="71">
        <f t="shared" si="523"/>
        <v>1</v>
      </c>
      <c r="O3723" s="71">
        <f t="shared" si="524"/>
        <v>1</v>
      </c>
      <c r="P3723" s="71">
        <f t="shared" si="525"/>
        <v>1</v>
      </c>
      <c r="Q3723" s="71">
        <f t="shared" si="526"/>
        <v>0</v>
      </c>
      <c r="R3723" s="71">
        <f t="shared" si="527"/>
        <v>0</v>
      </c>
      <c r="S3723" s="71">
        <f t="shared" si="528"/>
        <v>0</v>
      </c>
      <c r="T3723" s="71">
        <f t="shared" si="529"/>
        <v>0</v>
      </c>
      <c r="U3723" s="71">
        <f>IF(AND(N3723=1,V3723=1),IF(COUNTIFS(AKTIVITAS!$B$2:$B$3052,B3723,AKTIVITAS!$E$2:$E$3052,H3723)&gt;0,1,0),0)</f>
        <v>1</v>
      </c>
      <c r="V3723" s="71">
        <f>IFERROR(IF(AND(H3723&gt;=INDEX(PEMAGANG!$J$3:$J$36,MATCH(B3723,PEMAGANG!$C$3:$C$36,0)),H3723&lt;=INDEX(PEMAGANG!$K$3:$K$36,MATCH(B3723,PEMAGANG!$C$3:$C$36,0))),1,0),0)</f>
        <v>1</v>
      </c>
      <c r="W3723" s="71">
        <f t="shared" si="530"/>
        <v>1</v>
      </c>
    </row>
    <row r="3724" spans="1:23" x14ac:dyDescent="0.2">
      <c r="A3724" s="71" t="s">
        <v>262</v>
      </c>
      <c r="B3724" s="71" t="s">
        <v>263</v>
      </c>
      <c r="C3724" s="71" t="s">
        <v>187</v>
      </c>
      <c r="D3724" s="71" t="s">
        <v>259</v>
      </c>
      <c r="E3724" s="71" t="s">
        <v>55</v>
      </c>
      <c r="F3724" s="71" t="s">
        <v>300</v>
      </c>
      <c r="G3724" s="88">
        <v>46247.692476851902</v>
      </c>
      <c r="H3724" s="89">
        <v>46247</v>
      </c>
      <c r="I3724" s="71" t="s">
        <v>328</v>
      </c>
      <c r="J3724" s="71">
        <v>0</v>
      </c>
      <c r="K3724" s="71" t="s">
        <v>302</v>
      </c>
      <c r="L3724" s="71">
        <f t="shared" si="522"/>
        <v>8</v>
      </c>
      <c r="M3724" s="71" t="str">
        <f>IFERROR(INDEX(KALENDER!$D$3:$D$132,MATCH(H3724,KALENDER!$A$3:$A$132,0)),"Di luar periode")</f>
        <v>Hari Kerja</v>
      </c>
      <c r="N3724" s="71">
        <f t="shared" si="523"/>
        <v>0</v>
      </c>
      <c r="O3724" s="71">
        <f t="shared" si="524"/>
        <v>1</v>
      </c>
      <c r="P3724" s="71">
        <f t="shared" si="525"/>
        <v>0</v>
      </c>
      <c r="Q3724" s="71">
        <f t="shared" si="526"/>
        <v>0</v>
      </c>
      <c r="R3724" s="71">
        <f t="shared" si="527"/>
        <v>0</v>
      </c>
      <c r="S3724" s="71">
        <f t="shared" si="528"/>
        <v>0</v>
      </c>
      <c r="T3724" s="71">
        <f t="shared" si="529"/>
        <v>0</v>
      </c>
      <c r="U3724" s="71">
        <f>IF(AND(N3724=1,V3724=1),IF(COUNTIFS(AKTIVITAS!$B$2:$B$3052,B3724,AKTIVITAS!$E$2:$E$3052,H3724)&gt;0,1,0),0)</f>
        <v>0</v>
      </c>
      <c r="V3724" s="71">
        <f>IFERROR(IF(AND(H3724&gt;=INDEX(PEMAGANG!$J$3:$J$36,MATCH(B3724,PEMAGANG!$C$3:$C$36,0)),H3724&lt;=INDEX(PEMAGANG!$K$3:$K$36,MATCH(B3724,PEMAGANG!$C$3:$C$36,0))),1,0),0)</f>
        <v>1</v>
      </c>
      <c r="W3724" s="71">
        <f t="shared" si="530"/>
        <v>0</v>
      </c>
    </row>
    <row r="3725" spans="1:23" x14ac:dyDescent="0.2">
      <c r="A3725" s="71" t="s">
        <v>262</v>
      </c>
      <c r="B3725" s="71" t="s">
        <v>263</v>
      </c>
      <c r="C3725" s="71" t="s">
        <v>187</v>
      </c>
      <c r="D3725" s="71" t="s">
        <v>259</v>
      </c>
      <c r="E3725" s="71" t="s">
        <v>55</v>
      </c>
      <c r="F3725" s="71" t="s">
        <v>298</v>
      </c>
      <c r="G3725" s="88">
        <v>46248.305648148198</v>
      </c>
      <c r="H3725" s="89">
        <v>46248</v>
      </c>
      <c r="I3725" s="71" t="s">
        <v>329</v>
      </c>
      <c r="J3725" s="71">
        <v>-10</v>
      </c>
      <c r="K3725" s="71" t="s">
        <v>302</v>
      </c>
      <c r="L3725" s="71">
        <f t="shared" si="522"/>
        <v>8</v>
      </c>
      <c r="M3725" s="71" t="str">
        <f>IFERROR(INDEX(KALENDER!$D$3:$D$132,MATCH(H3725,KALENDER!$A$3:$A$132,0)),"Di luar periode")</f>
        <v>Hari Kerja</v>
      </c>
      <c r="N3725" s="71">
        <f t="shared" si="523"/>
        <v>1</v>
      </c>
      <c r="O3725" s="71">
        <f t="shared" si="524"/>
        <v>1</v>
      </c>
      <c r="P3725" s="71">
        <f t="shared" si="525"/>
        <v>1</v>
      </c>
      <c r="Q3725" s="71">
        <f t="shared" si="526"/>
        <v>0</v>
      </c>
      <c r="R3725" s="71">
        <f t="shared" si="527"/>
        <v>0</v>
      </c>
      <c r="S3725" s="71">
        <f t="shared" si="528"/>
        <v>0</v>
      </c>
      <c r="T3725" s="71">
        <f t="shared" si="529"/>
        <v>0</v>
      </c>
      <c r="U3725" s="71">
        <f>IF(AND(N3725=1,V3725=1),IF(COUNTIFS(AKTIVITAS!$B$2:$B$3052,B3725,AKTIVITAS!$E$2:$E$3052,H3725)&gt;0,1,0),0)</f>
        <v>1</v>
      </c>
      <c r="V3725" s="71">
        <f>IFERROR(IF(AND(H3725&gt;=INDEX(PEMAGANG!$J$3:$J$36,MATCH(B3725,PEMAGANG!$C$3:$C$36,0)),H3725&lt;=INDEX(PEMAGANG!$K$3:$K$36,MATCH(B3725,PEMAGANG!$C$3:$C$36,0))),1,0),0)</f>
        <v>1</v>
      </c>
      <c r="W3725" s="71">
        <f t="shared" si="530"/>
        <v>1</v>
      </c>
    </row>
    <row r="3726" spans="1:23" x14ac:dyDescent="0.2">
      <c r="A3726" s="71" t="s">
        <v>262</v>
      </c>
      <c r="B3726" s="71" t="s">
        <v>263</v>
      </c>
      <c r="C3726" s="71" t="s">
        <v>187</v>
      </c>
      <c r="D3726" s="71" t="s">
        <v>259</v>
      </c>
      <c r="E3726" s="71" t="s">
        <v>55</v>
      </c>
      <c r="F3726" s="71" t="s">
        <v>300</v>
      </c>
      <c r="G3726" s="88">
        <v>46248.689664351899</v>
      </c>
      <c r="H3726" s="89">
        <v>46248</v>
      </c>
      <c r="I3726" s="71" t="s">
        <v>316</v>
      </c>
      <c r="J3726" s="71">
        <v>0</v>
      </c>
      <c r="K3726" s="71" t="s">
        <v>302</v>
      </c>
      <c r="L3726" s="71">
        <f t="shared" si="522"/>
        <v>8</v>
      </c>
      <c r="M3726" s="71" t="str">
        <f>IFERROR(INDEX(KALENDER!$D$3:$D$132,MATCH(H3726,KALENDER!$A$3:$A$132,0)),"Di luar periode")</f>
        <v>Hari Kerja</v>
      </c>
      <c r="N3726" s="71">
        <f t="shared" si="523"/>
        <v>0</v>
      </c>
      <c r="O3726" s="71">
        <f t="shared" si="524"/>
        <v>1</v>
      </c>
      <c r="P3726" s="71">
        <f t="shared" si="525"/>
        <v>0</v>
      </c>
      <c r="Q3726" s="71">
        <f t="shared" si="526"/>
        <v>0</v>
      </c>
      <c r="R3726" s="71">
        <f t="shared" si="527"/>
        <v>0</v>
      </c>
      <c r="S3726" s="71">
        <f t="shared" si="528"/>
        <v>0</v>
      </c>
      <c r="T3726" s="71">
        <f t="shared" si="529"/>
        <v>0</v>
      </c>
      <c r="U3726" s="71">
        <f>IF(AND(N3726=1,V3726=1),IF(COUNTIFS(AKTIVITAS!$B$2:$B$3052,B3726,AKTIVITAS!$E$2:$E$3052,H3726)&gt;0,1,0),0)</f>
        <v>0</v>
      </c>
      <c r="V3726" s="71">
        <f>IFERROR(IF(AND(H3726&gt;=INDEX(PEMAGANG!$J$3:$J$36,MATCH(B3726,PEMAGANG!$C$3:$C$36,0)),H3726&lt;=INDEX(PEMAGANG!$K$3:$K$36,MATCH(B3726,PEMAGANG!$C$3:$C$36,0))),1,0),0)</f>
        <v>1</v>
      </c>
      <c r="W3726" s="71">
        <f t="shared" si="530"/>
        <v>0</v>
      </c>
    </row>
    <row r="3727" spans="1:23" x14ac:dyDescent="0.2">
      <c r="A3727" s="71" t="s">
        <v>262</v>
      </c>
      <c r="B3727" s="71" t="s">
        <v>263</v>
      </c>
      <c r="C3727" s="71" t="s">
        <v>187</v>
      </c>
      <c r="D3727" s="71" t="s">
        <v>259</v>
      </c>
      <c r="E3727" s="71" t="s">
        <v>55</v>
      </c>
      <c r="F3727" s="71" t="s">
        <v>298</v>
      </c>
      <c r="G3727" s="88">
        <v>46252.304305555597</v>
      </c>
      <c r="H3727" s="89">
        <v>46252</v>
      </c>
      <c r="I3727" s="71" t="s">
        <v>326</v>
      </c>
      <c r="J3727" s="71">
        <v>-12</v>
      </c>
      <c r="K3727" s="71" t="s">
        <v>302</v>
      </c>
      <c r="L3727" s="71">
        <f t="shared" si="522"/>
        <v>8</v>
      </c>
      <c r="M3727" s="71" t="str">
        <f>IFERROR(INDEX(KALENDER!$D$3:$D$132,MATCH(H3727,KALENDER!$A$3:$A$132,0)),"Di luar periode")</f>
        <v>Hari Kerja</v>
      </c>
      <c r="N3727" s="71">
        <f t="shared" si="523"/>
        <v>1</v>
      </c>
      <c r="O3727" s="71">
        <f t="shared" si="524"/>
        <v>1</v>
      </c>
      <c r="P3727" s="71">
        <f t="shared" si="525"/>
        <v>1</v>
      </c>
      <c r="Q3727" s="71">
        <f t="shared" si="526"/>
        <v>0</v>
      </c>
      <c r="R3727" s="71">
        <f t="shared" si="527"/>
        <v>0</v>
      </c>
      <c r="S3727" s="71">
        <f t="shared" si="528"/>
        <v>0</v>
      </c>
      <c r="T3727" s="71">
        <f t="shared" si="529"/>
        <v>0</v>
      </c>
      <c r="U3727" s="71">
        <f>IF(AND(N3727=1,V3727=1),IF(COUNTIFS(AKTIVITAS!$B$2:$B$3052,B3727,AKTIVITAS!$E$2:$E$3052,H3727)&gt;0,1,0),0)</f>
        <v>1</v>
      </c>
      <c r="V3727" s="71">
        <f>IFERROR(IF(AND(H3727&gt;=INDEX(PEMAGANG!$J$3:$J$36,MATCH(B3727,PEMAGANG!$C$3:$C$36,0)),H3727&lt;=INDEX(PEMAGANG!$K$3:$K$36,MATCH(B3727,PEMAGANG!$C$3:$C$36,0))),1,0),0)</f>
        <v>1</v>
      </c>
      <c r="W3727" s="71">
        <f t="shared" si="530"/>
        <v>1</v>
      </c>
    </row>
    <row r="3728" spans="1:23" x14ac:dyDescent="0.2">
      <c r="A3728" s="71" t="s">
        <v>262</v>
      </c>
      <c r="B3728" s="71" t="s">
        <v>263</v>
      </c>
      <c r="C3728" s="71" t="s">
        <v>187</v>
      </c>
      <c r="D3728" s="71" t="s">
        <v>259</v>
      </c>
      <c r="E3728" s="71" t="s">
        <v>55</v>
      </c>
      <c r="F3728" s="71" t="s">
        <v>300</v>
      </c>
      <c r="G3728" s="88">
        <v>46252.691747685203</v>
      </c>
      <c r="H3728" s="89">
        <v>46252</v>
      </c>
      <c r="I3728" s="71" t="s">
        <v>344</v>
      </c>
      <c r="J3728" s="71">
        <v>0</v>
      </c>
      <c r="K3728" s="71" t="s">
        <v>302</v>
      </c>
      <c r="L3728" s="71">
        <f t="shared" si="522"/>
        <v>8</v>
      </c>
      <c r="M3728" s="71" t="str">
        <f>IFERROR(INDEX(KALENDER!$D$3:$D$132,MATCH(H3728,KALENDER!$A$3:$A$132,0)),"Di luar periode")</f>
        <v>Hari Kerja</v>
      </c>
      <c r="N3728" s="71">
        <f t="shared" si="523"/>
        <v>0</v>
      </c>
      <c r="O3728" s="71">
        <f t="shared" si="524"/>
        <v>1</v>
      </c>
      <c r="P3728" s="71">
        <f t="shared" si="525"/>
        <v>0</v>
      </c>
      <c r="Q3728" s="71">
        <f t="shared" si="526"/>
        <v>0</v>
      </c>
      <c r="R3728" s="71">
        <f t="shared" si="527"/>
        <v>0</v>
      </c>
      <c r="S3728" s="71">
        <f t="shared" si="528"/>
        <v>0</v>
      </c>
      <c r="T3728" s="71">
        <f t="shared" si="529"/>
        <v>0</v>
      </c>
      <c r="U3728" s="71">
        <f>IF(AND(N3728=1,V3728=1),IF(COUNTIFS(AKTIVITAS!$B$2:$B$3052,B3728,AKTIVITAS!$E$2:$E$3052,H3728)&gt;0,1,0),0)</f>
        <v>0</v>
      </c>
      <c r="V3728" s="71">
        <f>IFERROR(IF(AND(H3728&gt;=INDEX(PEMAGANG!$J$3:$J$36,MATCH(B3728,PEMAGANG!$C$3:$C$36,0)),H3728&lt;=INDEX(PEMAGANG!$K$3:$K$36,MATCH(B3728,PEMAGANG!$C$3:$C$36,0))),1,0),0)</f>
        <v>1</v>
      </c>
      <c r="W3728" s="71">
        <f t="shared" si="530"/>
        <v>0</v>
      </c>
    </row>
    <row r="3729" spans="1:23" x14ac:dyDescent="0.2">
      <c r="A3729" s="71" t="s">
        <v>262</v>
      </c>
      <c r="B3729" s="71" t="s">
        <v>263</v>
      </c>
      <c r="C3729" s="71" t="s">
        <v>187</v>
      </c>
      <c r="D3729" s="71" t="s">
        <v>259</v>
      </c>
      <c r="E3729" s="71" t="s">
        <v>55</v>
      </c>
      <c r="F3729" s="71" t="s">
        <v>298</v>
      </c>
      <c r="G3729" s="88">
        <v>46253.297476851898</v>
      </c>
      <c r="H3729" s="89">
        <v>46253</v>
      </c>
      <c r="I3729" s="71" t="s">
        <v>486</v>
      </c>
      <c r="J3729" s="71">
        <v>-22</v>
      </c>
      <c r="K3729" s="71" t="s">
        <v>302</v>
      </c>
      <c r="L3729" s="71">
        <f t="shared" si="522"/>
        <v>8</v>
      </c>
      <c r="M3729" s="71" t="str">
        <f>IFERROR(INDEX(KALENDER!$D$3:$D$132,MATCH(H3729,KALENDER!$A$3:$A$132,0)),"Di luar periode")</f>
        <v>Hari Kerja</v>
      </c>
      <c r="N3729" s="71">
        <f t="shared" si="523"/>
        <v>1</v>
      </c>
      <c r="O3729" s="71">
        <f t="shared" si="524"/>
        <v>1</v>
      </c>
      <c r="P3729" s="71">
        <f t="shared" si="525"/>
        <v>1</v>
      </c>
      <c r="Q3729" s="71">
        <f t="shared" si="526"/>
        <v>0</v>
      </c>
      <c r="R3729" s="71">
        <f t="shared" si="527"/>
        <v>0</v>
      </c>
      <c r="S3729" s="71">
        <f t="shared" si="528"/>
        <v>0</v>
      </c>
      <c r="T3729" s="71">
        <f t="shared" si="529"/>
        <v>0</v>
      </c>
      <c r="U3729" s="71">
        <f>IF(AND(N3729=1,V3729=1),IF(COUNTIFS(AKTIVITAS!$B$2:$B$3052,B3729,AKTIVITAS!$E$2:$E$3052,H3729)&gt;0,1,0),0)</f>
        <v>1</v>
      </c>
      <c r="V3729" s="71">
        <f>IFERROR(IF(AND(H3729&gt;=INDEX(PEMAGANG!$J$3:$J$36,MATCH(B3729,PEMAGANG!$C$3:$C$36,0)),H3729&lt;=INDEX(PEMAGANG!$K$3:$K$36,MATCH(B3729,PEMAGANG!$C$3:$C$36,0))),1,0),0)</f>
        <v>1</v>
      </c>
      <c r="W3729" s="71">
        <f t="shared" si="530"/>
        <v>1</v>
      </c>
    </row>
    <row r="3730" spans="1:23" x14ac:dyDescent="0.2">
      <c r="A3730" s="71" t="s">
        <v>262</v>
      </c>
      <c r="B3730" s="71" t="s">
        <v>263</v>
      </c>
      <c r="C3730" s="71" t="s">
        <v>187</v>
      </c>
      <c r="D3730" s="71" t="s">
        <v>259</v>
      </c>
      <c r="E3730" s="71" t="s">
        <v>55</v>
      </c>
      <c r="F3730" s="71" t="s">
        <v>300</v>
      </c>
      <c r="G3730" s="88">
        <v>46253.687824074099</v>
      </c>
      <c r="H3730" s="89">
        <v>46253</v>
      </c>
      <c r="I3730" s="71" t="s">
        <v>330</v>
      </c>
      <c r="J3730" s="71">
        <v>0</v>
      </c>
      <c r="K3730" s="71" t="s">
        <v>302</v>
      </c>
      <c r="L3730" s="71">
        <f t="shared" si="522"/>
        <v>8</v>
      </c>
      <c r="M3730" s="71" t="str">
        <f>IFERROR(INDEX(KALENDER!$D$3:$D$132,MATCH(H3730,KALENDER!$A$3:$A$132,0)),"Di luar periode")</f>
        <v>Hari Kerja</v>
      </c>
      <c r="N3730" s="71">
        <f t="shared" si="523"/>
        <v>0</v>
      </c>
      <c r="O3730" s="71">
        <f t="shared" si="524"/>
        <v>1</v>
      </c>
      <c r="P3730" s="71">
        <f t="shared" si="525"/>
        <v>0</v>
      </c>
      <c r="Q3730" s="71">
        <f t="shared" si="526"/>
        <v>0</v>
      </c>
      <c r="R3730" s="71">
        <f t="shared" si="527"/>
        <v>0</v>
      </c>
      <c r="S3730" s="71">
        <f t="shared" si="528"/>
        <v>0</v>
      </c>
      <c r="T3730" s="71">
        <f t="shared" si="529"/>
        <v>0</v>
      </c>
      <c r="U3730" s="71">
        <f>IF(AND(N3730=1,V3730=1),IF(COUNTIFS(AKTIVITAS!$B$2:$B$3052,B3730,AKTIVITAS!$E$2:$E$3052,H3730)&gt;0,1,0),0)</f>
        <v>0</v>
      </c>
      <c r="V3730" s="71">
        <f>IFERROR(IF(AND(H3730&gt;=INDEX(PEMAGANG!$J$3:$J$36,MATCH(B3730,PEMAGANG!$C$3:$C$36,0)),H3730&lt;=INDEX(PEMAGANG!$K$3:$K$36,MATCH(B3730,PEMAGANG!$C$3:$C$36,0))),1,0),0)</f>
        <v>1</v>
      </c>
      <c r="W3730" s="71">
        <f t="shared" si="530"/>
        <v>0</v>
      </c>
    </row>
    <row r="3731" spans="1:23" x14ac:dyDescent="0.2">
      <c r="A3731" s="71" t="s">
        <v>262</v>
      </c>
      <c r="B3731" s="71" t="s">
        <v>263</v>
      </c>
      <c r="C3731" s="71" t="s">
        <v>187</v>
      </c>
      <c r="D3731" s="71" t="s">
        <v>259</v>
      </c>
      <c r="E3731" s="71" t="s">
        <v>55</v>
      </c>
      <c r="F3731" s="71" t="s">
        <v>298</v>
      </c>
      <c r="G3731" s="88">
        <v>46254.298599537004</v>
      </c>
      <c r="H3731" s="89">
        <v>46254</v>
      </c>
      <c r="I3731" s="71" t="s">
        <v>479</v>
      </c>
      <c r="J3731" s="71">
        <v>-21</v>
      </c>
      <c r="K3731" s="71" t="s">
        <v>302</v>
      </c>
      <c r="L3731" s="71">
        <f t="shared" si="522"/>
        <v>8</v>
      </c>
      <c r="M3731" s="71" t="str">
        <f>IFERROR(INDEX(KALENDER!$D$3:$D$132,MATCH(H3731,KALENDER!$A$3:$A$132,0)),"Di luar periode")</f>
        <v>Hari Kerja</v>
      </c>
      <c r="N3731" s="71">
        <f t="shared" si="523"/>
        <v>1</v>
      </c>
      <c r="O3731" s="71">
        <f t="shared" si="524"/>
        <v>1</v>
      </c>
      <c r="P3731" s="71">
        <f t="shared" si="525"/>
        <v>1</v>
      </c>
      <c r="Q3731" s="71">
        <f t="shared" si="526"/>
        <v>0</v>
      </c>
      <c r="R3731" s="71">
        <f t="shared" si="527"/>
        <v>0</v>
      </c>
      <c r="S3731" s="71">
        <f t="shared" si="528"/>
        <v>0</v>
      </c>
      <c r="T3731" s="71">
        <f t="shared" si="529"/>
        <v>0</v>
      </c>
      <c r="U3731" s="71">
        <f>IF(AND(N3731=1,V3731=1),IF(COUNTIFS(AKTIVITAS!$B$2:$B$3052,B3731,AKTIVITAS!$E$2:$E$3052,H3731)&gt;0,1,0),0)</f>
        <v>1</v>
      </c>
      <c r="V3731" s="71">
        <f>IFERROR(IF(AND(H3731&gt;=INDEX(PEMAGANG!$J$3:$J$36,MATCH(B3731,PEMAGANG!$C$3:$C$36,0)),H3731&lt;=INDEX(PEMAGANG!$K$3:$K$36,MATCH(B3731,PEMAGANG!$C$3:$C$36,0))),1,0),0)</f>
        <v>1</v>
      </c>
      <c r="W3731" s="71">
        <f t="shared" si="530"/>
        <v>1</v>
      </c>
    </row>
    <row r="3732" spans="1:23" x14ac:dyDescent="0.2">
      <c r="A3732" s="71" t="s">
        <v>262</v>
      </c>
      <c r="B3732" s="71" t="s">
        <v>263</v>
      </c>
      <c r="C3732" s="71" t="s">
        <v>187</v>
      </c>
      <c r="D3732" s="71" t="s">
        <v>259</v>
      </c>
      <c r="E3732" s="71" t="s">
        <v>55</v>
      </c>
      <c r="F3732" s="71" t="s">
        <v>300</v>
      </c>
      <c r="G3732" s="88">
        <v>46254.689108796301</v>
      </c>
      <c r="H3732" s="89">
        <v>46254</v>
      </c>
      <c r="I3732" s="71" t="s">
        <v>306</v>
      </c>
      <c r="J3732" s="71">
        <v>0</v>
      </c>
      <c r="K3732" s="71" t="s">
        <v>302</v>
      </c>
      <c r="L3732" s="71">
        <f t="shared" si="522"/>
        <v>8</v>
      </c>
      <c r="M3732" s="71" t="str">
        <f>IFERROR(INDEX(KALENDER!$D$3:$D$132,MATCH(H3732,KALENDER!$A$3:$A$132,0)),"Di luar periode")</f>
        <v>Hari Kerja</v>
      </c>
      <c r="N3732" s="71">
        <f t="shared" si="523"/>
        <v>0</v>
      </c>
      <c r="O3732" s="71">
        <f t="shared" si="524"/>
        <v>1</v>
      </c>
      <c r="P3732" s="71">
        <f t="shared" si="525"/>
        <v>0</v>
      </c>
      <c r="Q3732" s="71">
        <f t="shared" si="526"/>
        <v>0</v>
      </c>
      <c r="R3732" s="71">
        <f t="shared" si="527"/>
        <v>0</v>
      </c>
      <c r="S3732" s="71">
        <f t="shared" si="528"/>
        <v>0</v>
      </c>
      <c r="T3732" s="71">
        <f t="shared" si="529"/>
        <v>0</v>
      </c>
      <c r="U3732" s="71">
        <f>IF(AND(N3732=1,V3732=1),IF(COUNTIFS(AKTIVITAS!$B$2:$B$3052,B3732,AKTIVITAS!$E$2:$E$3052,H3732)&gt;0,1,0),0)</f>
        <v>0</v>
      </c>
      <c r="V3732" s="71">
        <f>IFERROR(IF(AND(H3732&gt;=INDEX(PEMAGANG!$J$3:$J$36,MATCH(B3732,PEMAGANG!$C$3:$C$36,0)),H3732&lt;=INDEX(PEMAGANG!$K$3:$K$36,MATCH(B3732,PEMAGANG!$C$3:$C$36,0))),1,0),0)</f>
        <v>1</v>
      </c>
      <c r="W3732" s="71">
        <f t="shared" si="530"/>
        <v>0</v>
      </c>
    </row>
    <row r="3733" spans="1:23" x14ac:dyDescent="0.2">
      <c r="A3733" s="71" t="s">
        <v>262</v>
      </c>
      <c r="B3733" s="71" t="s">
        <v>263</v>
      </c>
      <c r="C3733" s="71" t="s">
        <v>187</v>
      </c>
      <c r="D3733" s="71" t="s">
        <v>259</v>
      </c>
      <c r="E3733" s="71" t="s">
        <v>55</v>
      </c>
      <c r="F3733" s="71" t="s">
        <v>298</v>
      </c>
      <c r="G3733" s="88">
        <v>46255.298506944499</v>
      </c>
      <c r="H3733" s="89">
        <v>46255</v>
      </c>
      <c r="I3733" s="71" t="s">
        <v>479</v>
      </c>
      <c r="J3733" s="71">
        <v>-51</v>
      </c>
      <c r="K3733" s="71" t="s">
        <v>302</v>
      </c>
      <c r="L3733" s="71">
        <f t="shared" si="522"/>
        <v>8</v>
      </c>
      <c r="M3733" s="71" t="str">
        <f>IFERROR(INDEX(KALENDER!$D$3:$D$132,MATCH(H3733,KALENDER!$A$3:$A$132,0)),"Di luar periode")</f>
        <v>Hari Kerja</v>
      </c>
      <c r="N3733" s="71">
        <f t="shared" si="523"/>
        <v>1</v>
      </c>
      <c r="O3733" s="71">
        <f t="shared" si="524"/>
        <v>1</v>
      </c>
      <c r="P3733" s="71">
        <f t="shared" si="525"/>
        <v>1</v>
      </c>
      <c r="Q3733" s="71">
        <f t="shared" si="526"/>
        <v>0</v>
      </c>
      <c r="R3733" s="71">
        <f t="shared" si="527"/>
        <v>0</v>
      </c>
      <c r="S3733" s="71">
        <f t="shared" si="528"/>
        <v>0</v>
      </c>
      <c r="T3733" s="71">
        <f t="shared" si="529"/>
        <v>0</v>
      </c>
      <c r="U3733" s="71">
        <f>IF(AND(N3733=1,V3733=1),IF(COUNTIFS(AKTIVITAS!$B$2:$B$3052,B3733,AKTIVITAS!$E$2:$E$3052,H3733)&gt;0,1,0),0)</f>
        <v>1</v>
      </c>
      <c r="V3733" s="71">
        <f>IFERROR(IF(AND(H3733&gt;=INDEX(PEMAGANG!$J$3:$J$36,MATCH(B3733,PEMAGANG!$C$3:$C$36,0)),H3733&lt;=INDEX(PEMAGANG!$K$3:$K$36,MATCH(B3733,PEMAGANG!$C$3:$C$36,0))),1,0),0)</f>
        <v>1</v>
      </c>
      <c r="W3733" s="71">
        <f t="shared" si="530"/>
        <v>1</v>
      </c>
    </row>
    <row r="3734" spans="1:23" x14ac:dyDescent="0.2">
      <c r="A3734" s="71" t="s">
        <v>262</v>
      </c>
      <c r="B3734" s="71" t="s">
        <v>263</v>
      </c>
      <c r="C3734" s="71" t="s">
        <v>187</v>
      </c>
      <c r="D3734" s="71" t="s">
        <v>259</v>
      </c>
      <c r="E3734" s="71" t="s">
        <v>55</v>
      </c>
      <c r="F3734" s="71" t="s">
        <v>300</v>
      </c>
      <c r="G3734" s="88">
        <v>46255.690393518496</v>
      </c>
      <c r="H3734" s="89">
        <v>46255</v>
      </c>
      <c r="I3734" s="71" t="s">
        <v>314</v>
      </c>
      <c r="J3734" s="71">
        <v>0</v>
      </c>
      <c r="K3734" s="71" t="s">
        <v>302</v>
      </c>
      <c r="L3734" s="71">
        <f t="shared" si="522"/>
        <v>8</v>
      </c>
      <c r="M3734" s="71" t="str">
        <f>IFERROR(INDEX(KALENDER!$D$3:$D$132,MATCH(H3734,KALENDER!$A$3:$A$132,0)),"Di luar periode")</f>
        <v>Hari Kerja</v>
      </c>
      <c r="N3734" s="71">
        <f t="shared" si="523"/>
        <v>0</v>
      </c>
      <c r="O3734" s="71">
        <f t="shared" si="524"/>
        <v>1</v>
      </c>
      <c r="P3734" s="71">
        <f t="shared" si="525"/>
        <v>0</v>
      </c>
      <c r="Q3734" s="71">
        <f t="shared" si="526"/>
        <v>0</v>
      </c>
      <c r="R3734" s="71">
        <f t="shared" si="527"/>
        <v>0</v>
      </c>
      <c r="S3734" s="71">
        <f t="shared" si="528"/>
        <v>0</v>
      </c>
      <c r="T3734" s="71">
        <f t="shared" si="529"/>
        <v>0</v>
      </c>
      <c r="U3734" s="71">
        <f>IF(AND(N3734=1,V3734=1),IF(COUNTIFS(AKTIVITAS!$B$2:$B$3052,B3734,AKTIVITAS!$E$2:$E$3052,H3734)&gt;0,1,0),0)</f>
        <v>0</v>
      </c>
      <c r="V3734" s="71">
        <f>IFERROR(IF(AND(H3734&gt;=INDEX(PEMAGANG!$J$3:$J$36,MATCH(B3734,PEMAGANG!$C$3:$C$36,0)),H3734&lt;=INDEX(PEMAGANG!$K$3:$K$36,MATCH(B3734,PEMAGANG!$C$3:$C$36,0))),1,0),0)</f>
        <v>1</v>
      </c>
      <c r="W3734" s="71">
        <f t="shared" si="530"/>
        <v>0</v>
      </c>
    </row>
    <row r="3735" spans="1:23" x14ac:dyDescent="0.2">
      <c r="A3735" s="71" t="s">
        <v>262</v>
      </c>
      <c r="B3735" s="71" t="s">
        <v>263</v>
      </c>
      <c r="C3735" s="71" t="s">
        <v>187</v>
      </c>
      <c r="D3735" s="71" t="s">
        <v>259</v>
      </c>
      <c r="E3735" s="71" t="s">
        <v>55</v>
      </c>
      <c r="F3735" s="71" t="s">
        <v>298</v>
      </c>
      <c r="G3735" s="88">
        <v>46258.294999999998</v>
      </c>
      <c r="H3735" s="89">
        <v>46258</v>
      </c>
      <c r="I3735" s="71" t="s">
        <v>411</v>
      </c>
      <c r="J3735" s="71">
        <v>-56</v>
      </c>
      <c r="K3735" s="71" t="s">
        <v>302</v>
      </c>
      <c r="L3735" s="71">
        <f t="shared" si="522"/>
        <v>8</v>
      </c>
      <c r="M3735" s="71" t="str">
        <f>IFERROR(INDEX(KALENDER!$D$3:$D$132,MATCH(H3735,KALENDER!$A$3:$A$132,0)),"Di luar periode")</f>
        <v>Hari Kerja</v>
      </c>
      <c r="N3735" s="71">
        <f t="shared" si="523"/>
        <v>1</v>
      </c>
      <c r="O3735" s="71">
        <f t="shared" si="524"/>
        <v>1</v>
      </c>
      <c r="P3735" s="71">
        <f t="shared" si="525"/>
        <v>1</v>
      </c>
      <c r="Q3735" s="71">
        <f t="shared" si="526"/>
        <v>0</v>
      </c>
      <c r="R3735" s="71">
        <f t="shared" si="527"/>
        <v>0</v>
      </c>
      <c r="S3735" s="71">
        <f t="shared" si="528"/>
        <v>0</v>
      </c>
      <c r="T3735" s="71">
        <f t="shared" si="529"/>
        <v>0</v>
      </c>
      <c r="U3735" s="71">
        <f>IF(AND(N3735=1,V3735=1),IF(COUNTIFS(AKTIVITAS!$B$2:$B$3052,B3735,AKTIVITAS!$E$2:$E$3052,H3735)&gt;0,1,0),0)</f>
        <v>1</v>
      </c>
      <c r="V3735" s="71">
        <f>IFERROR(IF(AND(H3735&gt;=INDEX(PEMAGANG!$J$3:$J$36,MATCH(B3735,PEMAGANG!$C$3:$C$36,0)),H3735&lt;=INDEX(PEMAGANG!$K$3:$K$36,MATCH(B3735,PEMAGANG!$C$3:$C$36,0))),1,0),0)</f>
        <v>1</v>
      </c>
      <c r="W3735" s="71">
        <f t="shared" si="530"/>
        <v>1</v>
      </c>
    </row>
    <row r="3736" spans="1:23" x14ac:dyDescent="0.2">
      <c r="A3736" s="71" t="s">
        <v>262</v>
      </c>
      <c r="B3736" s="71" t="s">
        <v>263</v>
      </c>
      <c r="C3736" s="71" t="s">
        <v>187</v>
      </c>
      <c r="D3736" s="71" t="s">
        <v>259</v>
      </c>
      <c r="E3736" s="71" t="s">
        <v>55</v>
      </c>
      <c r="F3736" s="71" t="s">
        <v>300</v>
      </c>
      <c r="G3736" s="88">
        <v>46258.690636574102</v>
      </c>
      <c r="H3736" s="89">
        <v>46258</v>
      </c>
      <c r="I3736" s="71" t="s">
        <v>314</v>
      </c>
      <c r="J3736" s="71">
        <v>0</v>
      </c>
      <c r="K3736" s="71" t="s">
        <v>302</v>
      </c>
      <c r="L3736" s="71">
        <f t="shared" si="522"/>
        <v>8</v>
      </c>
      <c r="M3736" s="71" t="str">
        <f>IFERROR(INDEX(KALENDER!$D$3:$D$132,MATCH(H3736,KALENDER!$A$3:$A$132,0)),"Di luar periode")</f>
        <v>Hari Kerja</v>
      </c>
      <c r="N3736" s="71">
        <f t="shared" si="523"/>
        <v>0</v>
      </c>
      <c r="O3736" s="71">
        <f t="shared" si="524"/>
        <v>1</v>
      </c>
      <c r="P3736" s="71">
        <f t="shared" si="525"/>
        <v>0</v>
      </c>
      <c r="Q3736" s="71">
        <f t="shared" si="526"/>
        <v>0</v>
      </c>
      <c r="R3736" s="71">
        <f t="shared" si="527"/>
        <v>0</v>
      </c>
      <c r="S3736" s="71">
        <f t="shared" si="528"/>
        <v>0</v>
      </c>
      <c r="T3736" s="71">
        <f t="shared" si="529"/>
        <v>0</v>
      </c>
      <c r="U3736" s="71">
        <f>IF(AND(N3736=1,V3736=1),IF(COUNTIFS(AKTIVITAS!$B$2:$B$3052,B3736,AKTIVITAS!$E$2:$E$3052,H3736)&gt;0,1,0),0)</f>
        <v>0</v>
      </c>
      <c r="V3736" s="71">
        <f>IFERROR(IF(AND(H3736&gt;=INDEX(PEMAGANG!$J$3:$J$36,MATCH(B3736,PEMAGANG!$C$3:$C$36,0)),H3736&lt;=INDEX(PEMAGANG!$K$3:$K$36,MATCH(B3736,PEMAGANG!$C$3:$C$36,0))),1,0),0)</f>
        <v>1</v>
      </c>
      <c r="W3736" s="71">
        <f t="shared" si="530"/>
        <v>0</v>
      </c>
    </row>
    <row r="3737" spans="1:23" x14ac:dyDescent="0.2">
      <c r="A3737" s="71" t="s">
        <v>262</v>
      </c>
      <c r="B3737" s="71" t="s">
        <v>263</v>
      </c>
      <c r="C3737" s="71" t="s">
        <v>187</v>
      </c>
      <c r="D3737" s="71" t="s">
        <v>259</v>
      </c>
      <c r="E3737" s="71" t="s">
        <v>55</v>
      </c>
      <c r="F3737" s="71" t="s">
        <v>298</v>
      </c>
      <c r="G3737" s="88">
        <v>46260.298715277801</v>
      </c>
      <c r="H3737" s="89">
        <v>46260</v>
      </c>
      <c r="I3737" s="71" t="s">
        <v>481</v>
      </c>
      <c r="J3737" s="71">
        <v>-50</v>
      </c>
      <c r="K3737" s="71" t="s">
        <v>302</v>
      </c>
      <c r="L3737" s="71">
        <f t="shared" si="522"/>
        <v>8</v>
      </c>
      <c r="M3737" s="71" t="str">
        <f>IFERROR(INDEX(KALENDER!$D$3:$D$132,MATCH(H3737,KALENDER!$A$3:$A$132,0)),"Di luar periode")</f>
        <v>Hari Kerja</v>
      </c>
      <c r="N3737" s="71">
        <f t="shared" si="523"/>
        <v>1</v>
      </c>
      <c r="O3737" s="71">
        <f t="shared" si="524"/>
        <v>1</v>
      </c>
      <c r="P3737" s="71">
        <f t="shared" si="525"/>
        <v>1</v>
      </c>
      <c r="Q3737" s="71">
        <f t="shared" si="526"/>
        <v>0</v>
      </c>
      <c r="R3737" s="71">
        <f t="shared" si="527"/>
        <v>0</v>
      </c>
      <c r="S3737" s="71">
        <f t="shared" si="528"/>
        <v>0</v>
      </c>
      <c r="T3737" s="71">
        <f t="shared" si="529"/>
        <v>0</v>
      </c>
      <c r="U3737" s="71">
        <f>IF(AND(N3737=1,V3737=1),IF(COUNTIFS(AKTIVITAS!$B$2:$B$3052,B3737,AKTIVITAS!$E$2:$E$3052,H3737)&gt;0,1,0),0)</f>
        <v>1</v>
      </c>
      <c r="V3737" s="71">
        <f>IFERROR(IF(AND(H3737&gt;=INDEX(PEMAGANG!$J$3:$J$36,MATCH(B3737,PEMAGANG!$C$3:$C$36,0)),H3737&lt;=INDEX(PEMAGANG!$K$3:$K$36,MATCH(B3737,PEMAGANG!$C$3:$C$36,0))),1,0),0)</f>
        <v>1</v>
      </c>
      <c r="W3737" s="71">
        <f t="shared" si="530"/>
        <v>1</v>
      </c>
    </row>
    <row r="3738" spans="1:23" x14ac:dyDescent="0.2">
      <c r="A3738" s="71" t="s">
        <v>262</v>
      </c>
      <c r="B3738" s="71" t="s">
        <v>263</v>
      </c>
      <c r="C3738" s="71" t="s">
        <v>187</v>
      </c>
      <c r="D3738" s="71" t="s">
        <v>259</v>
      </c>
      <c r="E3738" s="71" t="s">
        <v>55</v>
      </c>
      <c r="F3738" s="71" t="s">
        <v>300</v>
      </c>
      <c r="G3738" s="88">
        <v>46260.6889814815</v>
      </c>
      <c r="H3738" s="89">
        <v>46260</v>
      </c>
      <c r="I3738" s="71" t="s">
        <v>306</v>
      </c>
      <c r="J3738" s="71">
        <v>0</v>
      </c>
      <c r="K3738" s="71" t="s">
        <v>302</v>
      </c>
      <c r="L3738" s="71">
        <f t="shared" si="522"/>
        <v>8</v>
      </c>
      <c r="M3738" s="71" t="str">
        <f>IFERROR(INDEX(KALENDER!$D$3:$D$132,MATCH(H3738,KALENDER!$A$3:$A$132,0)),"Di luar periode")</f>
        <v>Hari Kerja</v>
      </c>
      <c r="N3738" s="71">
        <f t="shared" si="523"/>
        <v>0</v>
      </c>
      <c r="O3738" s="71">
        <f t="shared" si="524"/>
        <v>1</v>
      </c>
      <c r="P3738" s="71">
        <f t="shared" si="525"/>
        <v>0</v>
      </c>
      <c r="Q3738" s="71">
        <f t="shared" si="526"/>
        <v>0</v>
      </c>
      <c r="R3738" s="71">
        <f t="shared" si="527"/>
        <v>0</v>
      </c>
      <c r="S3738" s="71">
        <f t="shared" si="528"/>
        <v>0</v>
      </c>
      <c r="T3738" s="71">
        <f t="shared" si="529"/>
        <v>0</v>
      </c>
      <c r="U3738" s="71">
        <f>IF(AND(N3738=1,V3738=1),IF(COUNTIFS(AKTIVITAS!$B$2:$B$3052,B3738,AKTIVITAS!$E$2:$E$3052,H3738)&gt;0,1,0),0)</f>
        <v>0</v>
      </c>
      <c r="V3738" s="71">
        <f>IFERROR(IF(AND(H3738&gt;=INDEX(PEMAGANG!$J$3:$J$36,MATCH(B3738,PEMAGANG!$C$3:$C$36,0)),H3738&lt;=INDEX(PEMAGANG!$K$3:$K$36,MATCH(B3738,PEMAGANG!$C$3:$C$36,0))),1,0),0)</f>
        <v>1</v>
      </c>
      <c r="W3738" s="71">
        <f t="shared" si="530"/>
        <v>0</v>
      </c>
    </row>
    <row r="3739" spans="1:23" x14ac:dyDescent="0.2">
      <c r="A3739" s="71" t="s">
        <v>262</v>
      </c>
      <c r="B3739" s="71" t="s">
        <v>263</v>
      </c>
      <c r="C3739" s="71" t="s">
        <v>187</v>
      </c>
      <c r="D3739" s="71" t="s">
        <v>259</v>
      </c>
      <c r="E3739" s="71" t="s">
        <v>55</v>
      </c>
      <c r="F3739" s="71" t="s">
        <v>298</v>
      </c>
      <c r="G3739" s="88">
        <v>46261.297175925902</v>
      </c>
      <c r="H3739" s="89">
        <v>46261</v>
      </c>
      <c r="I3739" s="71" t="s">
        <v>487</v>
      </c>
      <c r="J3739" s="71">
        <v>-53</v>
      </c>
      <c r="K3739" s="71" t="s">
        <v>302</v>
      </c>
      <c r="L3739" s="71">
        <f t="shared" si="522"/>
        <v>8</v>
      </c>
      <c r="M3739" s="71" t="str">
        <f>IFERROR(INDEX(KALENDER!$D$3:$D$132,MATCH(H3739,KALENDER!$A$3:$A$132,0)),"Di luar periode")</f>
        <v>Hari Kerja</v>
      </c>
      <c r="N3739" s="71">
        <f t="shared" si="523"/>
        <v>1</v>
      </c>
      <c r="O3739" s="71">
        <f t="shared" si="524"/>
        <v>1</v>
      </c>
      <c r="P3739" s="71">
        <f t="shared" si="525"/>
        <v>1</v>
      </c>
      <c r="Q3739" s="71">
        <f t="shared" si="526"/>
        <v>0</v>
      </c>
      <c r="R3739" s="71">
        <f t="shared" si="527"/>
        <v>0</v>
      </c>
      <c r="S3739" s="71">
        <f t="shared" si="528"/>
        <v>0</v>
      </c>
      <c r="T3739" s="71">
        <f t="shared" si="529"/>
        <v>0</v>
      </c>
      <c r="U3739" s="71">
        <f>IF(AND(N3739=1,V3739=1),IF(COUNTIFS(AKTIVITAS!$B$2:$B$3052,B3739,AKTIVITAS!$E$2:$E$3052,H3739)&gt;0,1,0),0)</f>
        <v>1</v>
      </c>
      <c r="V3739" s="71">
        <f>IFERROR(IF(AND(H3739&gt;=INDEX(PEMAGANG!$J$3:$J$36,MATCH(B3739,PEMAGANG!$C$3:$C$36,0)),H3739&lt;=INDEX(PEMAGANG!$K$3:$K$36,MATCH(B3739,PEMAGANG!$C$3:$C$36,0))),1,0),0)</f>
        <v>1</v>
      </c>
      <c r="W3739" s="71">
        <f t="shared" si="530"/>
        <v>1</v>
      </c>
    </row>
    <row r="3740" spans="1:23" x14ac:dyDescent="0.2">
      <c r="A3740" s="71" t="s">
        <v>262</v>
      </c>
      <c r="B3740" s="71" t="s">
        <v>263</v>
      </c>
      <c r="C3740" s="71" t="s">
        <v>187</v>
      </c>
      <c r="D3740" s="71" t="s">
        <v>259</v>
      </c>
      <c r="E3740" s="71" t="s">
        <v>55</v>
      </c>
      <c r="F3740" s="71" t="s">
        <v>300</v>
      </c>
      <c r="G3740" s="88">
        <v>46261.688032407401</v>
      </c>
      <c r="H3740" s="89">
        <v>46261</v>
      </c>
      <c r="I3740" s="71" t="s">
        <v>330</v>
      </c>
      <c r="J3740" s="71">
        <v>0</v>
      </c>
      <c r="K3740" s="71" t="s">
        <v>302</v>
      </c>
      <c r="L3740" s="71">
        <f t="shared" si="522"/>
        <v>8</v>
      </c>
      <c r="M3740" s="71" t="str">
        <f>IFERROR(INDEX(KALENDER!$D$3:$D$132,MATCH(H3740,KALENDER!$A$3:$A$132,0)),"Di luar periode")</f>
        <v>Hari Kerja</v>
      </c>
      <c r="N3740" s="71">
        <f t="shared" si="523"/>
        <v>0</v>
      </c>
      <c r="O3740" s="71">
        <f t="shared" si="524"/>
        <v>1</v>
      </c>
      <c r="P3740" s="71">
        <f t="shared" si="525"/>
        <v>0</v>
      </c>
      <c r="Q3740" s="71">
        <f t="shared" si="526"/>
        <v>0</v>
      </c>
      <c r="R3740" s="71">
        <f t="shared" si="527"/>
        <v>0</v>
      </c>
      <c r="S3740" s="71">
        <f t="shared" si="528"/>
        <v>0</v>
      </c>
      <c r="T3740" s="71">
        <f t="shared" si="529"/>
        <v>0</v>
      </c>
      <c r="U3740" s="71">
        <f>IF(AND(N3740=1,V3740=1),IF(COUNTIFS(AKTIVITAS!$B$2:$B$3052,B3740,AKTIVITAS!$E$2:$E$3052,H3740)&gt;0,1,0),0)</f>
        <v>0</v>
      </c>
      <c r="V3740" s="71">
        <f>IFERROR(IF(AND(H3740&gt;=INDEX(PEMAGANG!$J$3:$J$36,MATCH(B3740,PEMAGANG!$C$3:$C$36,0)),H3740&lt;=INDEX(PEMAGANG!$K$3:$K$36,MATCH(B3740,PEMAGANG!$C$3:$C$36,0))),1,0),0)</f>
        <v>1</v>
      </c>
      <c r="W3740" s="71">
        <f t="shared" si="530"/>
        <v>0</v>
      </c>
    </row>
    <row r="3741" spans="1:23" x14ac:dyDescent="0.2">
      <c r="A3741" s="71" t="s">
        <v>262</v>
      </c>
      <c r="B3741" s="71" t="s">
        <v>263</v>
      </c>
      <c r="C3741" s="71" t="s">
        <v>187</v>
      </c>
      <c r="D3741" s="71" t="s">
        <v>259</v>
      </c>
      <c r="E3741" s="71" t="s">
        <v>55</v>
      </c>
      <c r="F3741" s="71" t="s">
        <v>298</v>
      </c>
      <c r="G3741" s="88">
        <v>46262.297858796301</v>
      </c>
      <c r="H3741" s="89">
        <v>46262</v>
      </c>
      <c r="I3741" s="71" t="s">
        <v>486</v>
      </c>
      <c r="J3741" s="71">
        <v>-52</v>
      </c>
      <c r="K3741" s="71" t="s">
        <v>302</v>
      </c>
      <c r="L3741" s="71">
        <f t="shared" si="522"/>
        <v>8</v>
      </c>
      <c r="M3741" s="71" t="str">
        <f>IFERROR(INDEX(KALENDER!$D$3:$D$132,MATCH(H3741,KALENDER!$A$3:$A$132,0)),"Di luar periode")</f>
        <v>Hari Kerja</v>
      </c>
      <c r="N3741" s="71">
        <f t="shared" si="523"/>
        <v>1</v>
      </c>
      <c r="O3741" s="71">
        <f t="shared" si="524"/>
        <v>1</v>
      </c>
      <c r="P3741" s="71">
        <f t="shared" si="525"/>
        <v>1</v>
      </c>
      <c r="Q3741" s="71">
        <f t="shared" si="526"/>
        <v>0</v>
      </c>
      <c r="R3741" s="71">
        <f t="shared" si="527"/>
        <v>0</v>
      </c>
      <c r="S3741" s="71">
        <f t="shared" si="528"/>
        <v>0</v>
      </c>
      <c r="T3741" s="71">
        <f t="shared" si="529"/>
        <v>0</v>
      </c>
      <c r="U3741" s="71">
        <f>IF(AND(N3741=1,V3741=1),IF(COUNTIFS(AKTIVITAS!$B$2:$B$3052,B3741,AKTIVITAS!$E$2:$E$3052,H3741)&gt;0,1,0),0)</f>
        <v>1</v>
      </c>
      <c r="V3741" s="71">
        <f>IFERROR(IF(AND(H3741&gt;=INDEX(PEMAGANG!$J$3:$J$36,MATCH(B3741,PEMAGANG!$C$3:$C$36,0)),H3741&lt;=INDEX(PEMAGANG!$K$3:$K$36,MATCH(B3741,PEMAGANG!$C$3:$C$36,0))),1,0),0)</f>
        <v>1</v>
      </c>
      <c r="W3741" s="71">
        <f t="shared" si="530"/>
        <v>1</v>
      </c>
    </row>
    <row r="3742" spans="1:23" x14ac:dyDescent="0.2">
      <c r="A3742" s="71" t="s">
        <v>262</v>
      </c>
      <c r="B3742" s="71" t="s">
        <v>263</v>
      </c>
      <c r="C3742" s="71" t="s">
        <v>187</v>
      </c>
      <c r="D3742" s="71" t="s">
        <v>259</v>
      </c>
      <c r="E3742" s="71" t="s">
        <v>55</v>
      </c>
      <c r="F3742" s="71" t="s">
        <v>300</v>
      </c>
      <c r="G3742" s="88">
        <v>46262.6906018519</v>
      </c>
      <c r="H3742" s="89">
        <v>46262</v>
      </c>
      <c r="I3742" s="71" t="s">
        <v>314</v>
      </c>
      <c r="J3742" s="71">
        <v>0</v>
      </c>
      <c r="K3742" s="71" t="s">
        <v>302</v>
      </c>
      <c r="L3742" s="71">
        <f t="shared" si="522"/>
        <v>8</v>
      </c>
      <c r="M3742" s="71" t="str">
        <f>IFERROR(INDEX(KALENDER!$D$3:$D$132,MATCH(H3742,KALENDER!$A$3:$A$132,0)),"Di luar periode")</f>
        <v>Hari Kerja</v>
      </c>
      <c r="N3742" s="71">
        <f t="shared" si="523"/>
        <v>0</v>
      </c>
      <c r="O3742" s="71">
        <f t="shared" si="524"/>
        <v>1</v>
      </c>
      <c r="P3742" s="71">
        <f t="shared" si="525"/>
        <v>0</v>
      </c>
      <c r="Q3742" s="71">
        <f t="shared" si="526"/>
        <v>0</v>
      </c>
      <c r="R3742" s="71">
        <f t="shared" si="527"/>
        <v>0</v>
      </c>
      <c r="S3742" s="71">
        <f t="shared" si="528"/>
        <v>0</v>
      </c>
      <c r="T3742" s="71">
        <f t="shared" si="529"/>
        <v>0</v>
      </c>
      <c r="U3742" s="71">
        <f>IF(AND(N3742=1,V3742=1),IF(COUNTIFS(AKTIVITAS!$B$2:$B$3052,B3742,AKTIVITAS!$E$2:$E$3052,H3742)&gt;0,1,0),0)</f>
        <v>0</v>
      </c>
      <c r="V3742" s="71">
        <f>IFERROR(IF(AND(H3742&gt;=INDEX(PEMAGANG!$J$3:$J$36,MATCH(B3742,PEMAGANG!$C$3:$C$36,0)),H3742&lt;=INDEX(PEMAGANG!$K$3:$K$36,MATCH(B3742,PEMAGANG!$C$3:$C$36,0))),1,0),0)</f>
        <v>1</v>
      </c>
      <c r="W3742" s="71">
        <f t="shared" si="530"/>
        <v>0</v>
      </c>
    </row>
    <row r="3743" spans="1:23" x14ac:dyDescent="0.2">
      <c r="A3743" s="71" t="s">
        <v>262</v>
      </c>
      <c r="B3743" s="71" t="s">
        <v>263</v>
      </c>
      <c r="C3743" s="71" t="s">
        <v>187</v>
      </c>
      <c r="D3743" s="71" t="s">
        <v>259</v>
      </c>
      <c r="E3743" s="71" t="s">
        <v>55</v>
      </c>
      <c r="F3743" s="71" t="s">
        <v>298</v>
      </c>
      <c r="G3743" s="88">
        <v>46265.299004629604</v>
      </c>
      <c r="H3743" s="89">
        <v>46265</v>
      </c>
      <c r="I3743" s="71" t="s">
        <v>481</v>
      </c>
      <c r="J3743" s="71">
        <v>-50</v>
      </c>
      <c r="K3743" s="71" t="s">
        <v>302</v>
      </c>
      <c r="L3743" s="71">
        <f t="shared" si="522"/>
        <v>8</v>
      </c>
      <c r="M3743" s="71" t="str">
        <f>IFERROR(INDEX(KALENDER!$D$3:$D$132,MATCH(H3743,KALENDER!$A$3:$A$132,0)),"Di luar periode")</f>
        <v>Hari Kerja</v>
      </c>
      <c r="N3743" s="71">
        <f t="shared" si="523"/>
        <v>1</v>
      </c>
      <c r="O3743" s="71">
        <f t="shared" si="524"/>
        <v>1</v>
      </c>
      <c r="P3743" s="71">
        <f t="shared" si="525"/>
        <v>1</v>
      </c>
      <c r="Q3743" s="71">
        <f t="shared" si="526"/>
        <v>0</v>
      </c>
      <c r="R3743" s="71">
        <f t="shared" si="527"/>
        <v>0</v>
      </c>
      <c r="S3743" s="71">
        <f t="shared" si="528"/>
        <v>0</v>
      </c>
      <c r="T3743" s="71">
        <f t="shared" si="529"/>
        <v>0</v>
      </c>
      <c r="U3743" s="71">
        <f>IF(AND(N3743=1,V3743=1),IF(COUNTIFS(AKTIVITAS!$B$2:$B$3052,B3743,AKTIVITAS!$E$2:$E$3052,H3743)&gt;0,1,0),0)</f>
        <v>1</v>
      </c>
      <c r="V3743" s="71">
        <f>IFERROR(IF(AND(H3743&gt;=INDEX(PEMAGANG!$J$3:$J$36,MATCH(B3743,PEMAGANG!$C$3:$C$36,0)),H3743&lt;=INDEX(PEMAGANG!$K$3:$K$36,MATCH(B3743,PEMAGANG!$C$3:$C$36,0))),1,0),0)</f>
        <v>1</v>
      </c>
      <c r="W3743" s="71">
        <f t="shared" si="530"/>
        <v>1</v>
      </c>
    </row>
    <row r="3744" spans="1:23" x14ac:dyDescent="0.2">
      <c r="A3744" s="71" t="s">
        <v>262</v>
      </c>
      <c r="B3744" s="71" t="s">
        <v>263</v>
      </c>
      <c r="C3744" s="71" t="s">
        <v>187</v>
      </c>
      <c r="D3744" s="71" t="s">
        <v>259</v>
      </c>
      <c r="E3744" s="71" t="s">
        <v>55</v>
      </c>
      <c r="F3744" s="71" t="s">
        <v>300</v>
      </c>
      <c r="G3744" s="88">
        <v>46265.693854166697</v>
      </c>
      <c r="H3744" s="89">
        <v>46265</v>
      </c>
      <c r="I3744" s="71" t="s">
        <v>308</v>
      </c>
      <c r="J3744" s="71">
        <v>0</v>
      </c>
      <c r="K3744" s="71" t="s">
        <v>302</v>
      </c>
      <c r="L3744" s="71">
        <f t="shared" si="522"/>
        <v>8</v>
      </c>
      <c r="M3744" s="71" t="str">
        <f>IFERROR(INDEX(KALENDER!$D$3:$D$132,MATCH(H3744,KALENDER!$A$3:$A$132,0)),"Di luar periode")</f>
        <v>Hari Kerja</v>
      </c>
      <c r="N3744" s="71">
        <f t="shared" si="523"/>
        <v>0</v>
      </c>
      <c r="O3744" s="71">
        <f t="shared" si="524"/>
        <v>1</v>
      </c>
      <c r="P3744" s="71">
        <f t="shared" si="525"/>
        <v>0</v>
      </c>
      <c r="Q3744" s="71">
        <f t="shared" si="526"/>
        <v>0</v>
      </c>
      <c r="R3744" s="71">
        <f t="shared" si="527"/>
        <v>0</v>
      </c>
      <c r="S3744" s="71">
        <f t="shared" si="528"/>
        <v>0</v>
      </c>
      <c r="T3744" s="71">
        <f t="shared" si="529"/>
        <v>0</v>
      </c>
      <c r="U3744" s="71">
        <f>IF(AND(N3744=1,V3744=1),IF(COUNTIFS(AKTIVITAS!$B$2:$B$3052,B3744,AKTIVITAS!$E$2:$E$3052,H3744)&gt;0,1,0),0)</f>
        <v>0</v>
      </c>
      <c r="V3744" s="71">
        <f>IFERROR(IF(AND(H3744&gt;=INDEX(PEMAGANG!$J$3:$J$36,MATCH(B3744,PEMAGANG!$C$3:$C$36,0)),H3744&lt;=INDEX(PEMAGANG!$K$3:$K$36,MATCH(B3744,PEMAGANG!$C$3:$C$36,0))),1,0),0)</f>
        <v>1</v>
      </c>
      <c r="W3744" s="71">
        <f t="shared" si="530"/>
        <v>0</v>
      </c>
    </row>
    <row r="3745" spans="1:23" x14ac:dyDescent="0.2">
      <c r="A3745" s="71" t="s">
        <v>262</v>
      </c>
      <c r="B3745" s="71" t="s">
        <v>263</v>
      </c>
      <c r="C3745" s="71" t="s">
        <v>187</v>
      </c>
      <c r="D3745" s="71" t="s">
        <v>259</v>
      </c>
      <c r="E3745" s="71" t="s">
        <v>55</v>
      </c>
      <c r="F3745" s="71" t="s">
        <v>298</v>
      </c>
      <c r="G3745" s="88">
        <v>46266.2997106482</v>
      </c>
      <c r="H3745" s="89">
        <v>46266</v>
      </c>
      <c r="I3745" s="71" t="s">
        <v>402</v>
      </c>
      <c r="J3745" s="71">
        <v>-49</v>
      </c>
      <c r="K3745" s="71" t="s">
        <v>302</v>
      </c>
      <c r="L3745" s="71">
        <f t="shared" si="522"/>
        <v>9</v>
      </c>
      <c r="M3745" s="71" t="str">
        <f>IFERROR(INDEX(KALENDER!$D$3:$D$132,MATCH(H3745,KALENDER!$A$3:$A$132,0)),"Di luar periode")</f>
        <v>Hari Kerja</v>
      </c>
      <c r="N3745" s="71">
        <f t="shared" si="523"/>
        <v>1</v>
      </c>
      <c r="O3745" s="71">
        <f t="shared" si="524"/>
        <v>1</v>
      </c>
      <c r="P3745" s="71">
        <f t="shared" si="525"/>
        <v>1</v>
      </c>
      <c r="Q3745" s="71">
        <f t="shared" si="526"/>
        <v>0</v>
      </c>
      <c r="R3745" s="71">
        <f t="shared" si="527"/>
        <v>0</v>
      </c>
      <c r="S3745" s="71">
        <f t="shared" si="528"/>
        <v>0</v>
      </c>
      <c r="T3745" s="71">
        <f t="shared" si="529"/>
        <v>0</v>
      </c>
      <c r="U3745" s="71">
        <f>IF(AND(N3745=1,V3745=1),IF(COUNTIFS(AKTIVITAS!$B$2:$B$3052,B3745,AKTIVITAS!$E$2:$E$3052,H3745)&gt;0,1,0),0)</f>
        <v>1</v>
      </c>
      <c r="V3745" s="71">
        <f>IFERROR(IF(AND(H3745&gt;=INDEX(PEMAGANG!$J$3:$J$36,MATCH(B3745,PEMAGANG!$C$3:$C$36,0)),H3745&lt;=INDEX(PEMAGANG!$K$3:$K$36,MATCH(B3745,PEMAGANG!$C$3:$C$36,0))),1,0),0)</f>
        <v>1</v>
      </c>
      <c r="W3745" s="71">
        <f t="shared" si="530"/>
        <v>1</v>
      </c>
    </row>
    <row r="3746" spans="1:23" x14ac:dyDescent="0.2">
      <c r="A3746" s="71" t="s">
        <v>262</v>
      </c>
      <c r="B3746" s="71" t="s">
        <v>263</v>
      </c>
      <c r="C3746" s="71" t="s">
        <v>187</v>
      </c>
      <c r="D3746" s="71" t="s">
        <v>259</v>
      </c>
      <c r="E3746" s="71" t="s">
        <v>55</v>
      </c>
      <c r="F3746" s="71" t="s">
        <v>300</v>
      </c>
      <c r="G3746" s="88">
        <v>46266.689837963</v>
      </c>
      <c r="H3746" s="89">
        <v>46266</v>
      </c>
      <c r="I3746" s="71" t="s">
        <v>316</v>
      </c>
      <c r="J3746" s="71">
        <v>0</v>
      </c>
      <c r="K3746" s="71" t="s">
        <v>302</v>
      </c>
      <c r="L3746" s="71">
        <f t="shared" si="522"/>
        <v>9</v>
      </c>
      <c r="M3746" s="71" t="str">
        <f>IFERROR(INDEX(KALENDER!$D$3:$D$132,MATCH(H3746,KALENDER!$A$3:$A$132,0)),"Di luar periode")</f>
        <v>Hari Kerja</v>
      </c>
      <c r="N3746" s="71">
        <f t="shared" si="523"/>
        <v>0</v>
      </c>
      <c r="O3746" s="71">
        <f t="shared" si="524"/>
        <v>1</v>
      </c>
      <c r="P3746" s="71">
        <f t="shared" si="525"/>
        <v>0</v>
      </c>
      <c r="Q3746" s="71">
        <f t="shared" si="526"/>
        <v>0</v>
      </c>
      <c r="R3746" s="71">
        <f t="shared" si="527"/>
        <v>0</v>
      </c>
      <c r="S3746" s="71">
        <f t="shared" si="528"/>
        <v>0</v>
      </c>
      <c r="T3746" s="71">
        <f t="shared" si="529"/>
        <v>0</v>
      </c>
      <c r="U3746" s="71">
        <f>IF(AND(N3746=1,V3746=1),IF(COUNTIFS(AKTIVITAS!$B$2:$B$3052,B3746,AKTIVITAS!$E$2:$E$3052,H3746)&gt;0,1,0),0)</f>
        <v>0</v>
      </c>
      <c r="V3746" s="71">
        <f>IFERROR(IF(AND(H3746&gt;=INDEX(PEMAGANG!$J$3:$J$36,MATCH(B3746,PEMAGANG!$C$3:$C$36,0)),H3746&lt;=INDEX(PEMAGANG!$K$3:$K$36,MATCH(B3746,PEMAGANG!$C$3:$C$36,0))),1,0),0)</f>
        <v>1</v>
      </c>
      <c r="W3746" s="71">
        <f t="shared" si="530"/>
        <v>0</v>
      </c>
    </row>
    <row r="3747" spans="1:23" x14ac:dyDescent="0.2">
      <c r="A3747" s="71" t="s">
        <v>262</v>
      </c>
      <c r="B3747" s="71" t="s">
        <v>263</v>
      </c>
      <c r="C3747" s="71" t="s">
        <v>187</v>
      </c>
      <c r="D3747" s="71" t="s">
        <v>259</v>
      </c>
      <c r="E3747" s="71" t="s">
        <v>55</v>
      </c>
      <c r="F3747" s="71" t="s">
        <v>298</v>
      </c>
      <c r="G3747" s="88">
        <v>46267.303981481498</v>
      </c>
      <c r="H3747" s="89">
        <v>46267</v>
      </c>
      <c r="I3747" s="71" t="s">
        <v>331</v>
      </c>
      <c r="J3747" s="71">
        <v>-43</v>
      </c>
      <c r="K3747" s="71" t="s">
        <v>302</v>
      </c>
      <c r="L3747" s="71">
        <f t="shared" si="522"/>
        <v>9</v>
      </c>
      <c r="M3747" s="71" t="str">
        <f>IFERROR(INDEX(KALENDER!$D$3:$D$132,MATCH(H3747,KALENDER!$A$3:$A$132,0)),"Di luar periode")</f>
        <v>Hari Kerja</v>
      </c>
      <c r="N3747" s="71">
        <f t="shared" si="523"/>
        <v>1</v>
      </c>
      <c r="O3747" s="71">
        <f t="shared" si="524"/>
        <v>1</v>
      </c>
      <c r="P3747" s="71">
        <f t="shared" si="525"/>
        <v>1</v>
      </c>
      <c r="Q3747" s="71">
        <f t="shared" si="526"/>
        <v>0</v>
      </c>
      <c r="R3747" s="71">
        <f t="shared" si="527"/>
        <v>0</v>
      </c>
      <c r="S3747" s="71">
        <f t="shared" si="528"/>
        <v>0</v>
      </c>
      <c r="T3747" s="71">
        <f t="shared" si="529"/>
        <v>0</v>
      </c>
      <c r="U3747" s="71">
        <f>IF(AND(N3747=1,V3747=1),IF(COUNTIFS(AKTIVITAS!$B$2:$B$3052,B3747,AKTIVITAS!$E$2:$E$3052,H3747)&gt;0,1,0),0)</f>
        <v>1</v>
      </c>
      <c r="V3747" s="71">
        <f>IFERROR(IF(AND(H3747&gt;=INDEX(PEMAGANG!$J$3:$J$36,MATCH(B3747,PEMAGANG!$C$3:$C$36,0)),H3747&lt;=INDEX(PEMAGANG!$K$3:$K$36,MATCH(B3747,PEMAGANG!$C$3:$C$36,0))),1,0),0)</f>
        <v>1</v>
      </c>
      <c r="W3747" s="71">
        <f t="shared" si="530"/>
        <v>1</v>
      </c>
    </row>
    <row r="3748" spans="1:23" x14ac:dyDescent="0.2">
      <c r="A3748" s="71" t="s">
        <v>262</v>
      </c>
      <c r="B3748" s="71" t="s">
        <v>263</v>
      </c>
      <c r="C3748" s="71" t="s">
        <v>187</v>
      </c>
      <c r="D3748" s="71" t="s">
        <v>259</v>
      </c>
      <c r="E3748" s="71" t="s">
        <v>55</v>
      </c>
      <c r="F3748" s="71" t="s">
        <v>300</v>
      </c>
      <c r="G3748" s="88">
        <v>46267.6886689815</v>
      </c>
      <c r="H3748" s="89">
        <v>46267</v>
      </c>
      <c r="I3748" s="71" t="s">
        <v>336</v>
      </c>
      <c r="J3748" s="71">
        <v>0</v>
      </c>
      <c r="K3748" s="71" t="s">
        <v>302</v>
      </c>
      <c r="L3748" s="71">
        <f t="shared" si="522"/>
        <v>9</v>
      </c>
      <c r="M3748" s="71" t="str">
        <f>IFERROR(INDEX(KALENDER!$D$3:$D$132,MATCH(H3748,KALENDER!$A$3:$A$132,0)),"Di luar periode")</f>
        <v>Hari Kerja</v>
      </c>
      <c r="N3748" s="71">
        <f t="shared" si="523"/>
        <v>0</v>
      </c>
      <c r="O3748" s="71">
        <f t="shared" si="524"/>
        <v>1</v>
      </c>
      <c r="P3748" s="71">
        <f t="shared" si="525"/>
        <v>0</v>
      </c>
      <c r="Q3748" s="71">
        <f t="shared" si="526"/>
        <v>0</v>
      </c>
      <c r="R3748" s="71">
        <f t="shared" si="527"/>
        <v>0</v>
      </c>
      <c r="S3748" s="71">
        <f t="shared" si="528"/>
        <v>0</v>
      </c>
      <c r="T3748" s="71">
        <f t="shared" si="529"/>
        <v>0</v>
      </c>
      <c r="U3748" s="71">
        <f>IF(AND(N3748=1,V3748=1),IF(COUNTIFS(AKTIVITAS!$B$2:$B$3052,B3748,AKTIVITAS!$E$2:$E$3052,H3748)&gt;0,1,0),0)</f>
        <v>0</v>
      </c>
      <c r="V3748" s="71">
        <f>IFERROR(IF(AND(H3748&gt;=INDEX(PEMAGANG!$J$3:$J$36,MATCH(B3748,PEMAGANG!$C$3:$C$36,0)),H3748&lt;=INDEX(PEMAGANG!$K$3:$K$36,MATCH(B3748,PEMAGANG!$C$3:$C$36,0))),1,0),0)</f>
        <v>1</v>
      </c>
      <c r="W3748" s="71">
        <f t="shared" si="530"/>
        <v>0</v>
      </c>
    </row>
    <row r="3749" spans="1:23" x14ac:dyDescent="0.2">
      <c r="A3749" s="71" t="s">
        <v>262</v>
      </c>
      <c r="B3749" s="71" t="s">
        <v>263</v>
      </c>
      <c r="C3749" s="71" t="s">
        <v>187</v>
      </c>
      <c r="D3749" s="71" t="s">
        <v>259</v>
      </c>
      <c r="E3749" s="71" t="s">
        <v>55</v>
      </c>
      <c r="F3749" s="71" t="s">
        <v>298</v>
      </c>
      <c r="G3749" s="88">
        <v>46268.4284259259</v>
      </c>
      <c r="H3749" s="89">
        <v>46268</v>
      </c>
      <c r="I3749" s="71" t="s">
        <v>750</v>
      </c>
      <c r="J3749" s="71">
        <v>136</v>
      </c>
      <c r="K3749" s="71" t="s">
        <v>293</v>
      </c>
      <c r="L3749" s="71">
        <f t="shared" si="522"/>
        <v>9</v>
      </c>
      <c r="M3749" s="71" t="str">
        <f>IFERROR(INDEX(KALENDER!$D$3:$D$132,MATCH(H3749,KALENDER!$A$3:$A$132,0)),"Di luar periode")</f>
        <v>Hari Kerja</v>
      </c>
      <c r="N3749" s="71">
        <f t="shared" si="523"/>
        <v>1</v>
      </c>
      <c r="O3749" s="71">
        <f t="shared" si="524"/>
        <v>1</v>
      </c>
      <c r="P3749" s="71">
        <f t="shared" si="525"/>
        <v>1</v>
      </c>
      <c r="Q3749" s="71">
        <f t="shared" si="526"/>
        <v>0</v>
      </c>
      <c r="R3749" s="71">
        <f t="shared" si="527"/>
        <v>1</v>
      </c>
      <c r="S3749" s="71">
        <f t="shared" si="528"/>
        <v>136</v>
      </c>
      <c r="T3749" s="71">
        <f t="shared" si="529"/>
        <v>0</v>
      </c>
      <c r="U3749" s="71">
        <f>IF(AND(N3749=1,V3749=1),IF(COUNTIFS(AKTIVITAS!$B$2:$B$3052,B3749,AKTIVITAS!$E$2:$E$3052,H3749)&gt;0,1,0),0)</f>
        <v>1</v>
      </c>
      <c r="V3749" s="71">
        <f>IFERROR(IF(AND(H3749&gt;=INDEX(PEMAGANG!$J$3:$J$36,MATCH(B3749,PEMAGANG!$C$3:$C$36,0)),H3749&lt;=INDEX(PEMAGANG!$K$3:$K$36,MATCH(B3749,PEMAGANG!$C$3:$C$36,0))),1,0),0)</f>
        <v>1</v>
      </c>
      <c r="W3749" s="71">
        <f t="shared" si="530"/>
        <v>1</v>
      </c>
    </row>
    <row r="3750" spans="1:23" x14ac:dyDescent="0.2">
      <c r="A3750" s="71" t="s">
        <v>262</v>
      </c>
      <c r="B3750" s="71" t="s">
        <v>263</v>
      </c>
      <c r="C3750" s="71" t="s">
        <v>187</v>
      </c>
      <c r="D3750" s="71" t="s">
        <v>259</v>
      </c>
      <c r="E3750" s="71" t="s">
        <v>55</v>
      </c>
      <c r="F3750" s="71" t="s">
        <v>300</v>
      </c>
      <c r="G3750" s="88">
        <v>46268.690798611096</v>
      </c>
      <c r="H3750" s="89">
        <v>46268</v>
      </c>
      <c r="I3750" s="71" t="s">
        <v>314</v>
      </c>
      <c r="J3750" s="71">
        <v>0</v>
      </c>
      <c r="K3750" s="71" t="s">
        <v>302</v>
      </c>
      <c r="L3750" s="71">
        <f t="shared" si="522"/>
        <v>9</v>
      </c>
      <c r="M3750" s="71" t="str">
        <f>IFERROR(INDEX(KALENDER!$D$3:$D$132,MATCH(H3750,KALENDER!$A$3:$A$132,0)),"Di luar periode")</f>
        <v>Hari Kerja</v>
      </c>
      <c r="N3750" s="71">
        <f t="shared" si="523"/>
        <v>0</v>
      </c>
      <c r="O3750" s="71">
        <f t="shared" si="524"/>
        <v>1</v>
      </c>
      <c r="P3750" s="71">
        <f t="shared" si="525"/>
        <v>0</v>
      </c>
      <c r="Q3750" s="71">
        <f t="shared" si="526"/>
        <v>0</v>
      </c>
      <c r="R3750" s="71">
        <f t="shared" si="527"/>
        <v>0</v>
      </c>
      <c r="S3750" s="71">
        <f t="shared" si="528"/>
        <v>0</v>
      </c>
      <c r="T3750" s="71">
        <f t="shared" si="529"/>
        <v>0</v>
      </c>
      <c r="U3750" s="71">
        <f>IF(AND(N3750=1,V3750=1),IF(COUNTIFS(AKTIVITAS!$B$2:$B$3052,B3750,AKTIVITAS!$E$2:$E$3052,H3750)&gt;0,1,0),0)</f>
        <v>0</v>
      </c>
      <c r="V3750" s="71">
        <f>IFERROR(IF(AND(H3750&gt;=INDEX(PEMAGANG!$J$3:$J$36,MATCH(B3750,PEMAGANG!$C$3:$C$36,0)),H3750&lt;=INDEX(PEMAGANG!$K$3:$K$36,MATCH(B3750,PEMAGANG!$C$3:$C$36,0))),1,0),0)</f>
        <v>1</v>
      </c>
      <c r="W3750" s="71">
        <f t="shared" si="530"/>
        <v>0</v>
      </c>
    </row>
    <row r="3751" spans="1:23" x14ac:dyDescent="0.2">
      <c r="A3751" s="71" t="s">
        <v>262</v>
      </c>
      <c r="B3751" s="71" t="s">
        <v>263</v>
      </c>
      <c r="C3751" s="71" t="s">
        <v>187</v>
      </c>
      <c r="D3751" s="71" t="s">
        <v>259</v>
      </c>
      <c r="E3751" s="71" t="s">
        <v>55</v>
      </c>
      <c r="F3751" s="71" t="s">
        <v>300</v>
      </c>
      <c r="G3751" s="88">
        <v>46269.688726851899</v>
      </c>
      <c r="H3751" s="89">
        <v>46269</v>
      </c>
      <c r="I3751" s="71" t="s">
        <v>336</v>
      </c>
      <c r="J3751" s="71">
        <v>0</v>
      </c>
      <c r="K3751" s="71" t="s">
        <v>302</v>
      </c>
      <c r="L3751" s="71">
        <f t="shared" si="522"/>
        <v>9</v>
      </c>
      <c r="M3751" s="71" t="str">
        <f>IFERROR(INDEX(KALENDER!$D$3:$D$132,MATCH(H3751,KALENDER!$A$3:$A$132,0)),"Di luar periode")</f>
        <v>Hari Kerja</v>
      </c>
      <c r="N3751" s="71">
        <f t="shared" si="523"/>
        <v>1</v>
      </c>
      <c r="O3751" s="71">
        <f t="shared" si="524"/>
        <v>0</v>
      </c>
      <c r="P3751" s="71">
        <f t="shared" si="525"/>
        <v>1</v>
      </c>
      <c r="Q3751" s="71">
        <f t="shared" si="526"/>
        <v>0</v>
      </c>
      <c r="R3751" s="71">
        <f t="shared" si="527"/>
        <v>0</v>
      </c>
      <c r="S3751" s="71">
        <f t="shared" si="528"/>
        <v>0</v>
      </c>
      <c r="T3751" s="71">
        <f t="shared" si="529"/>
        <v>0</v>
      </c>
      <c r="U3751" s="71">
        <f>IF(AND(N3751=1,V3751=1),IF(COUNTIFS(AKTIVITAS!$B$2:$B$3052,B3751,AKTIVITAS!$E$2:$E$3052,H3751)&gt;0,1,0),0)</f>
        <v>1</v>
      </c>
      <c r="V3751" s="71">
        <f>IFERROR(IF(AND(H3751&gt;=INDEX(PEMAGANG!$J$3:$J$36,MATCH(B3751,PEMAGANG!$C$3:$C$36,0)),H3751&lt;=INDEX(PEMAGANG!$K$3:$K$36,MATCH(B3751,PEMAGANG!$C$3:$C$36,0))),1,0),0)</f>
        <v>1</v>
      </c>
      <c r="W3751" s="71">
        <f t="shared" si="530"/>
        <v>1</v>
      </c>
    </row>
    <row r="3752" spans="1:23" x14ac:dyDescent="0.2">
      <c r="A3752" s="71" t="s">
        <v>262</v>
      </c>
      <c r="B3752" s="71" t="s">
        <v>263</v>
      </c>
      <c r="C3752" s="71" t="s">
        <v>187</v>
      </c>
      <c r="D3752" s="71" t="s">
        <v>259</v>
      </c>
      <c r="E3752" s="71" t="s">
        <v>55</v>
      </c>
      <c r="F3752" s="71" t="s">
        <v>298</v>
      </c>
      <c r="G3752" s="88">
        <v>46272.294247685197</v>
      </c>
      <c r="H3752" s="89">
        <v>46272</v>
      </c>
      <c r="I3752" s="71" t="s">
        <v>483</v>
      </c>
      <c r="J3752" s="71">
        <v>-57</v>
      </c>
      <c r="K3752" s="71" t="s">
        <v>302</v>
      </c>
      <c r="L3752" s="71">
        <f t="shared" si="522"/>
        <v>9</v>
      </c>
      <c r="M3752" s="71" t="str">
        <f>IFERROR(INDEX(KALENDER!$D$3:$D$132,MATCH(H3752,KALENDER!$A$3:$A$132,0)),"Di luar periode")</f>
        <v>Hari Kerja</v>
      </c>
      <c r="N3752" s="71">
        <f t="shared" si="523"/>
        <v>1</v>
      </c>
      <c r="O3752" s="71">
        <f t="shared" si="524"/>
        <v>1</v>
      </c>
      <c r="P3752" s="71">
        <f t="shared" si="525"/>
        <v>1</v>
      </c>
      <c r="Q3752" s="71">
        <f t="shared" si="526"/>
        <v>0</v>
      </c>
      <c r="R3752" s="71">
        <f t="shared" si="527"/>
        <v>0</v>
      </c>
      <c r="S3752" s="71">
        <f t="shared" si="528"/>
        <v>0</v>
      </c>
      <c r="T3752" s="71">
        <f t="shared" si="529"/>
        <v>0</v>
      </c>
      <c r="U3752" s="71">
        <f>IF(AND(N3752=1,V3752=1),IF(COUNTIFS(AKTIVITAS!$B$2:$B$3052,B3752,AKTIVITAS!$E$2:$E$3052,H3752)&gt;0,1,0),0)</f>
        <v>1</v>
      </c>
      <c r="V3752" s="71">
        <f>IFERROR(IF(AND(H3752&gt;=INDEX(PEMAGANG!$J$3:$J$36,MATCH(B3752,PEMAGANG!$C$3:$C$36,0)),H3752&lt;=INDEX(PEMAGANG!$K$3:$K$36,MATCH(B3752,PEMAGANG!$C$3:$C$36,0))),1,0),0)</f>
        <v>1</v>
      </c>
      <c r="W3752" s="71">
        <f t="shared" si="530"/>
        <v>1</v>
      </c>
    </row>
    <row r="3753" spans="1:23" x14ac:dyDescent="0.2">
      <c r="A3753" s="71" t="s">
        <v>262</v>
      </c>
      <c r="B3753" s="71" t="s">
        <v>263</v>
      </c>
      <c r="C3753" s="71" t="s">
        <v>187</v>
      </c>
      <c r="D3753" s="71" t="s">
        <v>259</v>
      </c>
      <c r="E3753" s="71" t="s">
        <v>55</v>
      </c>
      <c r="F3753" s="71" t="s">
        <v>300</v>
      </c>
      <c r="G3753" s="88">
        <v>46272.690150463</v>
      </c>
      <c r="H3753" s="89">
        <v>46272</v>
      </c>
      <c r="I3753" s="71" t="s">
        <v>316</v>
      </c>
      <c r="J3753" s="71">
        <v>0</v>
      </c>
      <c r="K3753" s="71" t="s">
        <v>302</v>
      </c>
      <c r="L3753" s="71">
        <f t="shared" si="522"/>
        <v>9</v>
      </c>
      <c r="M3753" s="71" t="str">
        <f>IFERROR(INDEX(KALENDER!$D$3:$D$132,MATCH(H3753,KALENDER!$A$3:$A$132,0)),"Di luar periode")</f>
        <v>Hari Kerja</v>
      </c>
      <c r="N3753" s="71">
        <f t="shared" si="523"/>
        <v>0</v>
      </c>
      <c r="O3753" s="71">
        <f t="shared" si="524"/>
        <v>1</v>
      </c>
      <c r="P3753" s="71">
        <f t="shared" si="525"/>
        <v>0</v>
      </c>
      <c r="Q3753" s="71">
        <f t="shared" si="526"/>
        <v>0</v>
      </c>
      <c r="R3753" s="71">
        <f t="shared" si="527"/>
        <v>0</v>
      </c>
      <c r="S3753" s="71">
        <f t="shared" si="528"/>
        <v>0</v>
      </c>
      <c r="T3753" s="71">
        <f t="shared" si="529"/>
        <v>0</v>
      </c>
      <c r="U3753" s="71">
        <f>IF(AND(N3753=1,V3753=1),IF(COUNTIFS(AKTIVITAS!$B$2:$B$3052,B3753,AKTIVITAS!$E$2:$E$3052,H3753)&gt;0,1,0),0)</f>
        <v>0</v>
      </c>
      <c r="V3753" s="71">
        <f>IFERROR(IF(AND(H3753&gt;=INDEX(PEMAGANG!$J$3:$J$36,MATCH(B3753,PEMAGANG!$C$3:$C$36,0)),H3753&lt;=INDEX(PEMAGANG!$K$3:$K$36,MATCH(B3753,PEMAGANG!$C$3:$C$36,0))),1,0),0)</f>
        <v>1</v>
      </c>
      <c r="W3753" s="71">
        <f t="shared" si="530"/>
        <v>0</v>
      </c>
    </row>
    <row r="3754" spans="1:23" x14ac:dyDescent="0.2">
      <c r="A3754" s="71" t="s">
        <v>262</v>
      </c>
      <c r="B3754" s="71" t="s">
        <v>263</v>
      </c>
      <c r="C3754" s="71" t="s">
        <v>187</v>
      </c>
      <c r="D3754" s="71" t="s">
        <v>259</v>
      </c>
      <c r="E3754" s="71" t="s">
        <v>55</v>
      </c>
      <c r="F3754" s="71" t="s">
        <v>298</v>
      </c>
      <c r="G3754" s="88">
        <v>46273.309525463003</v>
      </c>
      <c r="H3754" s="89">
        <v>46273</v>
      </c>
      <c r="I3754" s="71" t="s">
        <v>307</v>
      </c>
      <c r="J3754" s="71">
        <v>-35</v>
      </c>
      <c r="K3754" s="71" t="s">
        <v>302</v>
      </c>
      <c r="L3754" s="71">
        <f t="shared" si="522"/>
        <v>9</v>
      </c>
      <c r="M3754" s="71" t="str">
        <f>IFERROR(INDEX(KALENDER!$D$3:$D$132,MATCH(H3754,KALENDER!$A$3:$A$132,0)),"Di luar periode")</f>
        <v>Hari Kerja</v>
      </c>
      <c r="N3754" s="71">
        <f t="shared" si="523"/>
        <v>1</v>
      </c>
      <c r="O3754" s="71">
        <f t="shared" si="524"/>
        <v>1</v>
      </c>
      <c r="P3754" s="71">
        <f t="shared" si="525"/>
        <v>1</v>
      </c>
      <c r="Q3754" s="71">
        <f t="shared" si="526"/>
        <v>0</v>
      </c>
      <c r="R3754" s="71">
        <f t="shared" si="527"/>
        <v>0</v>
      </c>
      <c r="S3754" s="71">
        <f t="shared" si="528"/>
        <v>0</v>
      </c>
      <c r="T3754" s="71">
        <f t="shared" si="529"/>
        <v>0</v>
      </c>
      <c r="U3754" s="71">
        <f>IF(AND(N3754=1,V3754=1),IF(COUNTIFS(AKTIVITAS!$B$2:$B$3052,B3754,AKTIVITAS!$E$2:$E$3052,H3754)&gt;0,1,0),0)</f>
        <v>1</v>
      </c>
      <c r="V3754" s="71">
        <f>IFERROR(IF(AND(H3754&gt;=INDEX(PEMAGANG!$J$3:$J$36,MATCH(B3754,PEMAGANG!$C$3:$C$36,0)),H3754&lt;=INDEX(PEMAGANG!$K$3:$K$36,MATCH(B3754,PEMAGANG!$C$3:$C$36,0))),1,0),0)</f>
        <v>1</v>
      </c>
      <c r="W3754" s="71">
        <f t="shared" si="530"/>
        <v>1</v>
      </c>
    </row>
    <row r="3755" spans="1:23" x14ac:dyDescent="0.2">
      <c r="A3755" s="71" t="s">
        <v>262</v>
      </c>
      <c r="B3755" s="71" t="s">
        <v>263</v>
      </c>
      <c r="C3755" s="71" t="s">
        <v>187</v>
      </c>
      <c r="D3755" s="71" t="s">
        <v>259</v>
      </c>
      <c r="E3755" s="71" t="s">
        <v>55</v>
      </c>
      <c r="F3755" s="71" t="s">
        <v>300</v>
      </c>
      <c r="G3755" s="88">
        <v>46273.688275462999</v>
      </c>
      <c r="H3755" s="89">
        <v>46273</v>
      </c>
      <c r="I3755" s="71" t="s">
        <v>336</v>
      </c>
      <c r="J3755" s="71">
        <v>0</v>
      </c>
      <c r="K3755" s="71" t="s">
        <v>302</v>
      </c>
      <c r="L3755" s="71">
        <f t="shared" si="522"/>
        <v>9</v>
      </c>
      <c r="M3755" s="71" t="str">
        <f>IFERROR(INDEX(KALENDER!$D$3:$D$132,MATCH(H3755,KALENDER!$A$3:$A$132,0)),"Di luar periode")</f>
        <v>Hari Kerja</v>
      </c>
      <c r="N3755" s="71">
        <f t="shared" si="523"/>
        <v>0</v>
      </c>
      <c r="O3755" s="71">
        <f t="shared" si="524"/>
        <v>1</v>
      </c>
      <c r="P3755" s="71">
        <f t="shared" si="525"/>
        <v>0</v>
      </c>
      <c r="Q3755" s="71">
        <f t="shared" si="526"/>
        <v>0</v>
      </c>
      <c r="R3755" s="71">
        <f t="shared" si="527"/>
        <v>0</v>
      </c>
      <c r="S3755" s="71">
        <f t="shared" si="528"/>
        <v>0</v>
      </c>
      <c r="T3755" s="71">
        <f t="shared" si="529"/>
        <v>0</v>
      </c>
      <c r="U3755" s="71">
        <f>IF(AND(N3755=1,V3755=1),IF(COUNTIFS(AKTIVITAS!$B$2:$B$3052,B3755,AKTIVITAS!$E$2:$E$3052,H3755)&gt;0,1,0),0)</f>
        <v>0</v>
      </c>
      <c r="V3755" s="71">
        <f>IFERROR(IF(AND(H3755&gt;=INDEX(PEMAGANG!$J$3:$J$36,MATCH(B3755,PEMAGANG!$C$3:$C$36,0)),H3755&lt;=INDEX(PEMAGANG!$K$3:$K$36,MATCH(B3755,PEMAGANG!$C$3:$C$36,0))),1,0),0)</f>
        <v>1</v>
      </c>
      <c r="W3755" s="71">
        <f t="shared" si="530"/>
        <v>0</v>
      </c>
    </row>
    <row r="3756" spans="1:23" x14ac:dyDescent="0.2">
      <c r="A3756" s="71" t="s">
        <v>262</v>
      </c>
      <c r="B3756" s="71" t="s">
        <v>263</v>
      </c>
      <c r="C3756" s="71" t="s">
        <v>187</v>
      </c>
      <c r="D3756" s="71" t="s">
        <v>259</v>
      </c>
      <c r="E3756" s="71" t="s">
        <v>55</v>
      </c>
      <c r="F3756" s="71" t="s">
        <v>298</v>
      </c>
      <c r="G3756" s="88">
        <v>46274.2944444444</v>
      </c>
      <c r="H3756" s="89">
        <v>46274</v>
      </c>
      <c r="I3756" s="71" t="s">
        <v>411</v>
      </c>
      <c r="J3756" s="71">
        <v>-56</v>
      </c>
      <c r="K3756" s="71" t="s">
        <v>302</v>
      </c>
      <c r="L3756" s="71">
        <f t="shared" si="522"/>
        <v>9</v>
      </c>
      <c r="M3756" s="71" t="str">
        <f>IFERROR(INDEX(KALENDER!$D$3:$D$132,MATCH(H3756,KALENDER!$A$3:$A$132,0)),"Di luar periode")</f>
        <v>Hari Kerja</v>
      </c>
      <c r="N3756" s="71">
        <f t="shared" si="523"/>
        <v>1</v>
      </c>
      <c r="O3756" s="71">
        <f t="shared" si="524"/>
        <v>1</v>
      </c>
      <c r="P3756" s="71">
        <f t="shared" si="525"/>
        <v>1</v>
      </c>
      <c r="Q3756" s="71">
        <f t="shared" si="526"/>
        <v>0</v>
      </c>
      <c r="R3756" s="71">
        <f t="shared" si="527"/>
        <v>0</v>
      </c>
      <c r="S3756" s="71">
        <f t="shared" si="528"/>
        <v>0</v>
      </c>
      <c r="T3756" s="71">
        <f t="shared" si="529"/>
        <v>0</v>
      </c>
      <c r="U3756" s="71">
        <f>IF(AND(N3756=1,V3756=1),IF(COUNTIFS(AKTIVITAS!$B$2:$B$3052,B3756,AKTIVITAS!$E$2:$E$3052,H3756)&gt;0,1,0),0)</f>
        <v>1</v>
      </c>
      <c r="V3756" s="71">
        <f>IFERROR(IF(AND(H3756&gt;=INDEX(PEMAGANG!$J$3:$J$36,MATCH(B3756,PEMAGANG!$C$3:$C$36,0)),H3756&lt;=INDEX(PEMAGANG!$K$3:$K$36,MATCH(B3756,PEMAGANG!$C$3:$C$36,0))),1,0),0)</f>
        <v>1</v>
      </c>
      <c r="W3756" s="71">
        <f t="shared" si="530"/>
        <v>1</v>
      </c>
    </row>
    <row r="3757" spans="1:23" x14ac:dyDescent="0.2">
      <c r="A3757" s="71" t="s">
        <v>262</v>
      </c>
      <c r="B3757" s="71" t="s">
        <v>263</v>
      </c>
      <c r="C3757" s="71" t="s">
        <v>187</v>
      </c>
      <c r="D3757" s="71" t="s">
        <v>259</v>
      </c>
      <c r="E3757" s="71" t="s">
        <v>55</v>
      </c>
      <c r="F3757" s="71" t="s">
        <v>300</v>
      </c>
      <c r="G3757" s="88">
        <v>46274.6886226852</v>
      </c>
      <c r="H3757" s="89">
        <v>46274</v>
      </c>
      <c r="I3757" s="71" t="s">
        <v>336</v>
      </c>
      <c r="J3757" s="71">
        <v>0</v>
      </c>
      <c r="K3757" s="71" t="s">
        <v>302</v>
      </c>
      <c r="L3757" s="71">
        <f t="shared" si="522"/>
        <v>9</v>
      </c>
      <c r="M3757" s="71" t="str">
        <f>IFERROR(INDEX(KALENDER!$D$3:$D$132,MATCH(H3757,KALENDER!$A$3:$A$132,0)),"Di luar periode")</f>
        <v>Hari Kerja</v>
      </c>
      <c r="N3757" s="71">
        <f t="shared" si="523"/>
        <v>0</v>
      </c>
      <c r="O3757" s="71">
        <f t="shared" si="524"/>
        <v>1</v>
      </c>
      <c r="P3757" s="71">
        <f t="shared" si="525"/>
        <v>0</v>
      </c>
      <c r="Q3757" s="71">
        <f t="shared" si="526"/>
        <v>0</v>
      </c>
      <c r="R3757" s="71">
        <f t="shared" si="527"/>
        <v>0</v>
      </c>
      <c r="S3757" s="71">
        <f t="shared" si="528"/>
        <v>0</v>
      </c>
      <c r="T3757" s="71">
        <f t="shared" si="529"/>
        <v>0</v>
      </c>
      <c r="U3757" s="71">
        <f>IF(AND(N3757=1,V3757=1),IF(COUNTIFS(AKTIVITAS!$B$2:$B$3052,B3757,AKTIVITAS!$E$2:$E$3052,H3757)&gt;0,1,0),0)</f>
        <v>0</v>
      </c>
      <c r="V3757" s="71">
        <f>IFERROR(IF(AND(H3757&gt;=INDEX(PEMAGANG!$J$3:$J$36,MATCH(B3757,PEMAGANG!$C$3:$C$36,0)),H3757&lt;=INDEX(PEMAGANG!$K$3:$K$36,MATCH(B3757,PEMAGANG!$C$3:$C$36,0))),1,0),0)</f>
        <v>1</v>
      </c>
      <c r="W3757" s="71">
        <f t="shared" si="530"/>
        <v>0</v>
      </c>
    </row>
    <row r="3758" spans="1:23" x14ac:dyDescent="0.2">
      <c r="A3758" s="71" t="s">
        <v>262</v>
      </c>
      <c r="B3758" s="71" t="s">
        <v>263</v>
      </c>
      <c r="C3758" s="71" t="s">
        <v>187</v>
      </c>
      <c r="D3758" s="71" t="s">
        <v>259</v>
      </c>
      <c r="E3758" s="71" t="s">
        <v>55</v>
      </c>
      <c r="F3758" s="71" t="s">
        <v>298</v>
      </c>
      <c r="G3758" s="88">
        <v>46275.2955671296</v>
      </c>
      <c r="H3758" s="89">
        <v>46275</v>
      </c>
      <c r="I3758" s="71" t="s">
        <v>355</v>
      </c>
      <c r="J3758" s="71">
        <v>-25</v>
      </c>
      <c r="K3758" s="71" t="s">
        <v>302</v>
      </c>
      <c r="L3758" s="71">
        <f t="shared" si="522"/>
        <v>9</v>
      </c>
      <c r="M3758" s="71" t="str">
        <f>IFERROR(INDEX(KALENDER!$D$3:$D$132,MATCH(H3758,KALENDER!$A$3:$A$132,0)),"Di luar periode")</f>
        <v>Hari Kerja</v>
      </c>
      <c r="N3758" s="71">
        <f t="shared" si="523"/>
        <v>1</v>
      </c>
      <c r="O3758" s="71">
        <f t="shared" si="524"/>
        <v>1</v>
      </c>
      <c r="P3758" s="71">
        <f t="shared" si="525"/>
        <v>1</v>
      </c>
      <c r="Q3758" s="71">
        <f t="shared" si="526"/>
        <v>0</v>
      </c>
      <c r="R3758" s="71">
        <f t="shared" si="527"/>
        <v>0</v>
      </c>
      <c r="S3758" s="71">
        <f t="shared" si="528"/>
        <v>0</v>
      </c>
      <c r="T3758" s="71">
        <f t="shared" si="529"/>
        <v>0</v>
      </c>
      <c r="U3758" s="71">
        <f>IF(AND(N3758=1,V3758=1),IF(COUNTIFS(AKTIVITAS!$B$2:$B$3052,B3758,AKTIVITAS!$E$2:$E$3052,H3758)&gt;0,1,0),0)</f>
        <v>1</v>
      </c>
      <c r="V3758" s="71">
        <f>IFERROR(IF(AND(H3758&gt;=INDEX(PEMAGANG!$J$3:$J$36,MATCH(B3758,PEMAGANG!$C$3:$C$36,0)),H3758&lt;=INDEX(PEMAGANG!$K$3:$K$36,MATCH(B3758,PEMAGANG!$C$3:$C$36,0))),1,0),0)</f>
        <v>1</v>
      </c>
      <c r="W3758" s="71">
        <f t="shared" si="530"/>
        <v>1</v>
      </c>
    </row>
    <row r="3759" spans="1:23" x14ac:dyDescent="0.2">
      <c r="A3759" s="71" t="s">
        <v>262</v>
      </c>
      <c r="B3759" s="71" t="s">
        <v>263</v>
      </c>
      <c r="C3759" s="71" t="s">
        <v>187</v>
      </c>
      <c r="D3759" s="71" t="s">
        <v>259</v>
      </c>
      <c r="E3759" s="71" t="s">
        <v>55</v>
      </c>
      <c r="F3759" s="71" t="s">
        <v>298</v>
      </c>
      <c r="G3759" s="88">
        <v>46275.295682870397</v>
      </c>
      <c r="H3759" s="89">
        <v>46275</v>
      </c>
      <c r="I3759" s="71" t="s">
        <v>355</v>
      </c>
      <c r="J3759" s="71">
        <v>-55</v>
      </c>
      <c r="K3759" s="71" t="s">
        <v>302</v>
      </c>
      <c r="L3759" s="71">
        <f t="shared" si="522"/>
        <v>9</v>
      </c>
      <c r="M3759" s="71" t="str">
        <f>IFERROR(INDEX(KALENDER!$D$3:$D$132,MATCH(H3759,KALENDER!$A$3:$A$132,0)),"Di luar periode")</f>
        <v>Hari Kerja</v>
      </c>
      <c r="N3759" s="71">
        <f t="shared" si="523"/>
        <v>0</v>
      </c>
      <c r="O3759" s="71">
        <f t="shared" si="524"/>
        <v>2</v>
      </c>
      <c r="P3759" s="71">
        <f t="shared" si="525"/>
        <v>0</v>
      </c>
      <c r="Q3759" s="71">
        <f t="shared" si="526"/>
        <v>0</v>
      </c>
      <c r="R3759" s="71">
        <f t="shared" si="527"/>
        <v>0</v>
      </c>
      <c r="S3759" s="71">
        <f t="shared" si="528"/>
        <v>0</v>
      </c>
      <c r="T3759" s="71">
        <f t="shared" si="529"/>
        <v>0</v>
      </c>
      <c r="U3759" s="71">
        <f>IF(AND(N3759=1,V3759=1),IF(COUNTIFS(AKTIVITAS!$B$2:$B$3052,B3759,AKTIVITAS!$E$2:$E$3052,H3759)&gt;0,1,0),0)</f>
        <v>0</v>
      </c>
      <c r="V3759" s="71">
        <f>IFERROR(IF(AND(H3759&gt;=INDEX(PEMAGANG!$J$3:$J$36,MATCH(B3759,PEMAGANG!$C$3:$C$36,0)),H3759&lt;=INDEX(PEMAGANG!$K$3:$K$36,MATCH(B3759,PEMAGANG!$C$3:$C$36,0))),1,0),0)</f>
        <v>1</v>
      </c>
      <c r="W3759" s="71">
        <f t="shared" si="530"/>
        <v>0</v>
      </c>
    </row>
    <row r="3760" spans="1:23" x14ac:dyDescent="0.2">
      <c r="A3760" s="71" t="s">
        <v>262</v>
      </c>
      <c r="B3760" s="71" t="s">
        <v>263</v>
      </c>
      <c r="C3760" s="71" t="s">
        <v>187</v>
      </c>
      <c r="D3760" s="71" t="s">
        <v>259</v>
      </c>
      <c r="E3760" s="71" t="s">
        <v>55</v>
      </c>
      <c r="F3760" s="71" t="s">
        <v>298</v>
      </c>
      <c r="G3760" s="88">
        <v>46275.295682870397</v>
      </c>
      <c r="H3760" s="89">
        <v>46275</v>
      </c>
      <c r="I3760" s="71" t="s">
        <v>355</v>
      </c>
      <c r="J3760" s="71">
        <v>-25</v>
      </c>
      <c r="K3760" s="71" t="s">
        <v>302</v>
      </c>
      <c r="L3760" s="71">
        <f t="shared" si="522"/>
        <v>9</v>
      </c>
      <c r="M3760" s="71" t="str">
        <f>IFERROR(INDEX(KALENDER!$D$3:$D$132,MATCH(H3760,KALENDER!$A$3:$A$132,0)),"Di luar periode")</f>
        <v>Hari Kerja</v>
      </c>
      <c r="N3760" s="71">
        <f t="shared" si="523"/>
        <v>0</v>
      </c>
      <c r="O3760" s="71">
        <f t="shared" si="524"/>
        <v>3</v>
      </c>
      <c r="P3760" s="71">
        <f t="shared" si="525"/>
        <v>0</v>
      </c>
      <c r="Q3760" s="71">
        <f t="shared" si="526"/>
        <v>0</v>
      </c>
      <c r="R3760" s="71">
        <f t="shared" si="527"/>
        <v>0</v>
      </c>
      <c r="S3760" s="71">
        <f t="shared" si="528"/>
        <v>0</v>
      </c>
      <c r="T3760" s="71">
        <f t="shared" si="529"/>
        <v>0</v>
      </c>
      <c r="U3760" s="71">
        <f>IF(AND(N3760=1,V3760=1),IF(COUNTIFS(AKTIVITAS!$B$2:$B$3052,B3760,AKTIVITAS!$E$2:$E$3052,H3760)&gt;0,1,0),0)</f>
        <v>0</v>
      </c>
      <c r="V3760" s="71">
        <f>IFERROR(IF(AND(H3760&gt;=INDEX(PEMAGANG!$J$3:$J$36,MATCH(B3760,PEMAGANG!$C$3:$C$36,0)),H3760&lt;=INDEX(PEMAGANG!$K$3:$K$36,MATCH(B3760,PEMAGANG!$C$3:$C$36,0))),1,0),0)</f>
        <v>1</v>
      </c>
      <c r="W3760" s="71">
        <f t="shared" si="530"/>
        <v>0</v>
      </c>
    </row>
    <row r="3761" spans="1:23" x14ac:dyDescent="0.2">
      <c r="A3761" s="71" t="s">
        <v>262</v>
      </c>
      <c r="B3761" s="71" t="s">
        <v>263</v>
      </c>
      <c r="C3761" s="71" t="s">
        <v>187</v>
      </c>
      <c r="D3761" s="71" t="s">
        <v>259</v>
      </c>
      <c r="E3761" s="71" t="s">
        <v>55</v>
      </c>
      <c r="F3761" s="71" t="s">
        <v>300</v>
      </c>
      <c r="G3761" s="88">
        <v>46275.6889814815</v>
      </c>
      <c r="H3761" s="89">
        <v>46275</v>
      </c>
      <c r="I3761" s="71" t="s">
        <v>306</v>
      </c>
      <c r="J3761" s="71">
        <v>0</v>
      </c>
      <c r="K3761" s="71" t="s">
        <v>302</v>
      </c>
      <c r="L3761" s="71">
        <f t="shared" si="522"/>
        <v>9</v>
      </c>
      <c r="M3761" s="71" t="str">
        <f>IFERROR(INDEX(KALENDER!$D$3:$D$132,MATCH(H3761,KALENDER!$A$3:$A$132,0)),"Di luar periode")</f>
        <v>Hari Kerja</v>
      </c>
      <c r="N3761" s="71">
        <f t="shared" si="523"/>
        <v>0</v>
      </c>
      <c r="O3761" s="71">
        <f t="shared" si="524"/>
        <v>3</v>
      </c>
      <c r="P3761" s="71">
        <f t="shared" si="525"/>
        <v>0</v>
      </c>
      <c r="Q3761" s="71">
        <f t="shared" si="526"/>
        <v>0</v>
      </c>
      <c r="R3761" s="71">
        <f t="shared" si="527"/>
        <v>0</v>
      </c>
      <c r="S3761" s="71">
        <f t="shared" si="528"/>
        <v>0</v>
      </c>
      <c r="T3761" s="71">
        <f t="shared" si="529"/>
        <v>0</v>
      </c>
      <c r="U3761" s="71">
        <f>IF(AND(N3761=1,V3761=1),IF(COUNTIFS(AKTIVITAS!$B$2:$B$3052,B3761,AKTIVITAS!$E$2:$E$3052,H3761)&gt;0,1,0),0)</f>
        <v>0</v>
      </c>
      <c r="V3761" s="71">
        <f>IFERROR(IF(AND(H3761&gt;=INDEX(PEMAGANG!$J$3:$J$36,MATCH(B3761,PEMAGANG!$C$3:$C$36,0)),H3761&lt;=INDEX(PEMAGANG!$K$3:$K$36,MATCH(B3761,PEMAGANG!$C$3:$C$36,0))),1,0),0)</f>
        <v>1</v>
      </c>
      <c r="W3761" s="71">
        <f t="shared" si="530"/>
        <v>0</v>
      </c>
    </row>
    <row r="3762" spans="1:23" x14ac:dyDescent="0.2">
      <c r="A3762" s="71" t="s">
        <v>262</v>
      </c>
      <c r="B3762" s="71" t="s">
        <v>263</v>
      </c>
      <c r="C3762" s="71" t="s">
        <v>187</v>
      </c>
      <c r="D3762" s="71" t="s">
        <v>259</v>
      </c>
      <c r="E3762" s="71" t="s">
        <v>55</v>
      </c>
      <c r="F3762" s="71" t="s">
        <v>298</v>
      </c>
      <c r="G3762" s="88">
        <v>46276.313391203701</v>
      </c>
      <c r="H3762" s="89">
        <v>46276</v>
      </c>
      <c r="I3762" s="71" t="s">
        <v>392</v>
      </c>
      <c r="J3762" s="71">
        <v>0.999999999999996</v>
      </c>
      <c r="K3762" s="71" t="s">
        <v>293</v>
      </c>
      <c r="L3762" s="71">
        <f t="shared" si="522"/>
        <v>9</v>
      </c>
      <c r="M3762" s="71" t="str">
        <f>IFERROR(INDEX(KALENDER!$D$3:$D$132,MATCH(H3762,KALENDER!$A$3:$A$132,0)),"Di luar periode")</f>
        <v>Hari Kerja</v>
      </c>
      <c r="N3762" s="71">
        <f t="shared" si="523"/>
        <v>1</v>
      </c>
      <c r="O3762" s="71">
        <f t="shared" si="524"/>
        <v>1</v>
      </c>
      <c r="P3762" s="71">
        <f t="shared" si="525"/>
        <v>1</v>
      </c>
      <c r="Q3762" s="71">
        <f t="shared" si="526"/>
        <v>0</v>
      </c>
      <c r="R3762" s="71">
        <f t="shared" si="527"/>
        <v>1</v>
      </c>
      <c r="S3762" s="71">
        <f t="shared" si="528"/>
        <v>0.999999999999996</v>
      </c>
      <c r="T3762" s="71">
        <f t="shared" si="529"/>
        <v>1</v>
      </c>
      <c r="U3762" s="71">
        <f>IF(AND(N3762=1,V3762=1),IF(COUNTIFS(AKTIVITAS!$B$2:$B$3052,B3762,AKTIVITAS!$E$2:$E$3052,H3762)&gt;0,1,0),0)</f>
        <v>1</v>
      </c>
      <c r="V3762" s="71">
        <f>IFERROR(IF(AND(H3762&gt;=INDEX(PEMAGANG!$J$3:$J$36,MATCH(B3762,PEMAGANG!$C$3:$C$36,0)),H3762&lt;=INDEX(PEMAGANG!$K$3:$K$36,MATCH(B3762,PEMAGANG!$C$3:$C$36,0))),1,0),0)</f>
        <v>1</v>
      </c>
      <c r="W3762" s="71">
        <f t="shared" si="530"/>
        <v>1</v>
      </c>
    </row>
    <row r="3763" spans="1:23" x14ac:dyDescent="0.2">
      <c r="A3763" s="71" t="s">
        <v>262</v>
      </c>
      <c r="B3763" s="71" t="s">
        <v>263</v>
      </c>
      <c r="C3763" s="71" t="s">
        <v>187</v>
      </c>
      <c r="D3763" s="71" t="s">
        <v>259</v>
      </c>
      <c r="E3763" s="71" t="s">
        <v>55</v>
      </c>
      <c r="F3763" s="71" t="s">
        <v>298</v>
      </c>
      <c r="G3763" s="88">
        <v>46276.313414351898</v>
      </c>
      <c r="H3763" s="89">
        <v>46276</v>
      </c>
      <c r="I3763" s="71" t="s">
        <v>392</v>
      </c>
      <c r="J3763" s="71">
        <v>0.999999999999996</v>
      </c>
      <c r="K3763" s="71" t="s">
        <v>293</v>
      </c>
      <c r="L3763" s="71">
        <f t="shared" si="522"/>
        <v>9</v>
      </c>
      <c r="M3763" s="71" t="str">
        <f>IFERROR(INDEX(KALENDER!$D$3:$D$132,MATCH(H3763,KALENDER!$A$3:$A$132,0)),"Di luar periode")</f>
        <v>Hari Kerja</v>
      </c>
      <c r="N3763" s="71">
        <f t="shared" si="523"/>
        <v>0</v>
      </c>
      <c r="O3763" s="71">
        <f t="shared" si="524"/>
        <v>2</v>
      </c>
      <c r="P3763" s="71">
        <f t="shared" si="525"/>
        <v>0</v>
      </c>
      <c r="Q3763" s="71">
        <f t="shared" si="526"/>
        <v>0</v>
      </c>
      <c r="R3763" s="71">
        <f t="shared" si="527"/>
        <v>0</v>
      </c>
      <c r="S3763" s="71">
        <f t="shared" si="528"/>
        <v>0</v>
      </c>
      <c r="T3763" s="71">
        <f t="shared" si="529"/>
        <v>0</v>
      </c>
      <c r="U3763" s="71">
        <f>IF(AND(N3763=1,V3763=1),IF(COUNTIFS(AKTIVITAS!$B$2:$B$3052,B3763,AKTIVITAS!$E$2:$E$3052,H3763)&gt;0,1,0),0)</f>
        <v>0</v>
      </c>
      <c r="V3763" s="71">
        <f>IFERROR(IF(AND(H3763&gt;=INDEX(PEMAGANG!$J$3:$J$36,MATCH(B3763,PEMAGANG!$C$3:$C$36,0)),H3763&lt;=INDEX(PEMAGANG!$K$3:$K$36,MATCH(B3763,PEMAGANG!$C$3:$C$36,0))),1,0),0)</f>
        <v>1</v>
      </c>
      <c r="W3763" s="71">
        <f t="shared" si="530"/>
        <v>0</v>
      </c>
    </row>
    <row r="3764" spans="1:23" x14ac:dyDescent="0.2">
      <c r="A3764" s="71" t="s">
        <v>262</v>
      </c>
      <c r="B3764" s="71" t="s">
        <v>263</v>
      </c>
      <c r="C3764" s="71" t="s">
        <v>187</v>
      </c>
      <c r="D3764" s="71" t="s">
        <v>259</v>
      </c>
      <c r="E3764" s="71" t="s">
        <v>55</v>
      </c>
      <c r="F3764" s="71" t="s">
        <v>298</v>
      </c>
      <c r="G3764" s="88">
        <v>46276.314699074101</v>
      </c>
      <c r="H3764" s="89">
        <v>46276</v>
      </c>
      <c r="I3764" s="71" t="s">
        <v>383</v>
      </c>
      <c r="J3764" s="71">
        <v>2.9999999999999898</v>
      </c>
      <c r="K3764" s="71" t="s">
        <v>293</v>
      </c>
      <c r="L3764" s="71">
        <f t="shared" si="522"/>
        <v>9</v>
      </c>
      <c r="M3764" s="71" t="str">
        <f>IFERROR(INDEX(KALENDER!$D$3:$D$132,MATCH(H3764,KALENDER!$A$3:$A$132,0)),"Di luar periode")</f>
        <v>Hari Kerja</v>
      </c>
      <c r="N3764" s="71">
        <f t="shared" si="523"/>
        <v>0</v>
      </c>
      <c r="O3764" s="71">
        <f t="shared" si="524"/>
        <v>3</v>
      </c>
      <c r="P3764" s="71">
        <f t="shared" si="525"/>
        <v>0</v>
      </c>
      <c r="Q3764" s="71">
        <f t="shared" si="526"/>
        <v>0</v>
      </c>
      <c r="R3764" s="71">
        <f t="shared" si="527"/>
        <v>0</v>
      </c>
      <c r="S3764" s="71">
        <f t="shared" si="528"/>
        <v>0</v>
      </c>
      <c r="T3764" s="71">
        <f t="shared" si="529"/>
        <v>0</v>
      </c>
      <c r="U3764" s="71">
        <f>IF(AND(N3764=1,V3764=1),IF(COUNTIFS(AKTIVITAS!$B$2:$B$3052,B3764,AKTIVITAS!$E$2:$E$3052,H3764)&gt;0,1,0),0)</f>
        <v>0</v>
      </c>
      <c r="V3764" s="71">
        <f>IFERROR(IF(AND(H3764&gt;=INDEX(PEMAGANG!$J$3:$J$36,MATCH(B3764,PEMAGANG!$C$3:$C$36,0)),H3764&lt;=INDEX(PEMAGANG!$K$3:$K$36,MATCH(B3764,PEMAGANG!$C$3:$C$36,0))),1,0),0)</f>
        <v>1</v>
      </c>
      <c r="W3764" s="71">
        <f t="shared" si="530"/>
        <v>0</v>
      </c>
    </row>
    <row r="3765" spans="1:23" x14ac:dyDescent="0.2">
      <c r="A3765" s="71" t="s">
        <v>262</v>
      </c>
      <c r="B3765" s="71" t="s">
        <v>263</v>
      </c>
      <c r="C3765" s="71" t="s">
        <v>187</v>
      </c>
      <c r="D3765" s="71" t="s">
        <v>259</v>
      </c>
      <c r="E3765" s="71" t="s">
        <v>55</v>
      </c>
      <c r="F3765" s="71" t="s">
        <v>298</v>
      </c>
      <c r="G3765" s="88">
        <v>46279.313252314802</v>
      </c>
      <c r="H3765" s="89">
        <v>46279</v>
      </c>
      <c r="I3765" s="71" t="s">
        <v>392</v>
      </c>
      <c r="J3765" s="71">
        <v>0.999999999999996</v>
      </c>
      <c r="K3765" s="71" t="s">
        <v>293</v>
      </c>
      <c r="L3765" s="71">
        <f t="shared" si="522"/>
        <v>9</v>
      </c>
      <c r="M3765" s="71" t="str">
        <f>IFERROR(INDEX(KALENDER!$D$3:$D$132,MATCH(H3765,KALENDER!$A$3:$A$132,0)),"Di luar periode")</f>
        <v>Hari Kerja</v>
      </c>
      <c r="N3765" s="71">
        <f t="shared" si="523"/>
        <v>1</v>
      </c>
      <c r="O3765" s="71">
        <f t="shared" si="524"/>
        <v>1</v>
      </c>
      <c r="P3765" s="71">
        <f t="shared" si="525"/>
        <v>1</v>
      </c>
      <c r="Q3765" s="71">
        <f t="shared" si="526"/>
        <v>0</v>
      </c>
      <c r="R3765" s="71">
        <f t="shared" si="527"/>
        <v>1</v>
      </c>
      <c r="S3765" s="71">
        <f t="shared" si="528"/>
        <v>0.999999999999996</v>
      </c>
      <c r="T3765" s="71">
        <f t="shared" si="529"/>
        <v>0</v>
      </c>
      <c r="U3765" s="71">
        <f>IF(AND(N3765=1,V3765=1),IF(COUNTIFS(AKTIVITAS!$B$2:$B$3052,B3765,AKTIVITAS!$E$2:$E$3052,H3765)&gt;0,1,0),0)</f>
        <v>1</v>
      </c>
      <c r="V3765" s="71">
        <f>IFERROR(IF(AND(H3765&gt;=INDEX(PEMAGANG!$J$3:$J$36,MATCH(B3765,PEMAGANG!$C$3:$C$36,0)),H3765&lt;=INDEX(PEMAGANG!$K$3:$K$36,MATCH(B3765,PEMAGANG!$C$3:$C$36,0))),1,0),0)</f>
        <v>1</v>
      </c>
      <c r="W3765" s="71">
        <f t="shared" si="530"/>
        <v>1</v>
      </c>
    </row>
    <row r="3766" spans="1:23" x14ac:dyDescent="0.2">
      <c r="A3766" s="71" t="s">
        <v>262</v>
      </c>
      <c r="B3766" s="71" t="s">
        <v>263</v>
      </c>
      <c r="C3766" s="71" t="s">
        <v>187</v>
      </c>
      <c r="D3766" s="71" t="s">
        <v>259</v>
      </c>
      <c r="E3766" s="71" t="s">
        <v>55</v>
      </c>
      <c r="F3766" s="71" t="s">
        <v>298</v>
      </c>
      <c r="G3766" s="88">
        <v>46279.3133564815</v>
      </c>
      <c r="H3766" s="89">
        <v>46279</v>
      </c>
      <c r="I3766" s="71" t="s">
        <v>392</v>
      </c>
      <c r="J3766" s="71">
        <v>0.999999999999996</v>
      </c>
      <c r="K3766" s="71" t="s">
        <v>293</v>
      </c>
      <c r="L3766" s="71">
        <f t="shared" si="522"/>
        <v>9</v>
      </c>
      <c r="M3766" s="71" t="str">
        <f>IFERROR(INDEX(KALENDER!$D$3:$D$132,MATCH(H3766,KALENDER!$A$3:$A$132,0)),"Di luar periode")</f>
        <v>Hari Kerja</v>
      </c>
      <c r="N3766" s="71">
        <f t="shared" si="523"/>
        <v>0</v>
      </c>
      <c r="O3766" s="71">
        <f t="shared" si="524"/>
        <v>2</v>
      </c>
      <c r="P3766" s="71">
        <f t="shared" si="525"/>
        <v>0</v>
      </c>
      <c r="Q3766" s="71">
        <f t="shared" si="526"/>
        <v>0</v>
      </c>
      <c r="R3766" s="71">
        <f t="shared" si="527"/>
        <v>0</v>
      </c>
      <c r="S3766" s="71">
        <f t="shared" si="528"/>
        <v>0</v>
      </c>
      <c r="T3766" s="71">
        <f t="shared" si="529"/>
        <v>0</v>
      </c>
      <c r="U3766" s="71">
        <f>IF(AND(N3766=1,V3766=1),IF(COUNTIFS(AKTIVITAS!$B$2:$B$3052,B3766,AKTIVITAS!$E$2:$E$3052,H3766)&gt;0,1,0),0)</f>
        <v>0</v>
      </c>
      <c r="V3766" s="71">
        <f>IFERROR(IF(AND(H3766&gt;=INDEX(PEMAGANG!$J$3:$J$36,MATCH(B3766,PEMAGANG!$C$3:$C$36,0)),H3766&lt;=INDEX(PEMAGANG!$K$3:$K$36,MATCH(B3766,PEMAGANG!$C$3:$C$36,0))),1,0),0)</f>
        <v>1</v>
      </c>
      <c r="W3766" s="71">
        <f t="shared" si="530"/>
        <v>0</v>
      </c>
    </row>
    <row r="3767" spans="1:23" x14ac:dyDescent="0.2">
      <c r="A3767" s="71" t="s">
        <v>262</v>
      </c>
      <c r="B3767" s="71" t="s">
        <v>263</v>
      </c>
      <c r="C3767" s="71" t="s">
        <v>187</v>
      </c>
      <c r="D3767" s="71" t="s">
        <v>259</v>
      </c>
      <c r="E3767" s="71" t="s">
        <v>55</v>
      </c>
      <c r="F3767" s="71" t="s">
        <v>300</v>
      </c>
      <c r="G3767" s="88">
        <v>46279.694027777798</v>
      </c>
      <c r="H3767" s="89">
        <v>46279</v>
      </c>
      <c r="I3767" s="71" t="s">
        <v>308</v>
      </c>
      <c r="J3767" s="71">
        <v>0</v>
      </c>
      <c r="K3767" s="71" t="s">
        <v>302</v>
      </c>
      <c r="L3767" s="71">
        <f t="shared" si="522"/>
        <v>9</v>
      </c>
      <c r="M3767" s="71" t="str">
        <f>IFERROR(INDEX(KALENDER!$D$3:$D$132,MATCH(H3767,KALENDER!$A$3:$A$132,0)),"Di luar periode")</f>
        <v>Hari Kerja</v>
      </c>
      <c r="N3767" s="71">
        <f t="shared" si="523"/>
        <v>0</v>
      </c>
      <c r="O3767" s="71">
        <f t="shared" si="524"/>
        <v>2</v>
      </c>
      <c r="P3767" s="71">
        <f t="shared" si="525"/>
        <v>0</v>
      </c>
      <c r="Q3767" s="71">
        <f t="shared" si="526"/>
        <v>0</v>
      </c>
      <c r="R3767" s="71">
        <f t="shared" si="527"/>
        <v>0</v>
      </c>
      <c r="S3767" s="71">
        <f t="shared" si="528"/>
        <v>0</v>
      </c>
      <c r="T3767" s="71">
        <f t="shared" si="529"/>
        <v>0</v>
      </c>
      <c r="U3767" s="71">
        <f>IF(AND(N3767=1,V3767=1),IF(COUNTIFS(AKTIVITAS!$B$2:$B$3052,B3767,AKTIVITAS!$E$2:$E$3052,H3767)&gt;0,1,0),0)</f>
        <v>0</v>
      </c>
      <c r="V3767" s="71">
        <f>IFERROR(IF(AND(H3767&gt;=INDEX(PEMAGANG!$J$3:$J$36,MATCH(B3767,PEMAGANG!$C$3:$C$36,0)),H3767&lt;=INDEX(PEMAGANG!$K$3:$K$36,MATCH(B3767,PEMAGANG!$C$3:$C$36,0))),1,0),0)</f>
        <v>1</v>
      </c>
      <c r="W3767" s="71">
        <f t="shared" si="530"/>
        <v>0</v>
      </c>
    </row>
    <row r="3768" spans="1:23" x14ac:dyDescent="0.2">
      <c r="A3768" s="71" t="s">
        <v>262</v>
      </c>
      <c r="B3768" s="71" t="s">
        <v>263</v>
      </c>
      <c r="C3768" s="71" t="s">
        <v>187</v>
      </c>
      <c r="D3768" s="71" t="s">
        <v>259</v>
      </c>
      <c r="E3768" s="71" t="s">
        <v>55</v>
      </c>
      <c r="F3768" s="71" t="s">
        <v>298</v>
      </c>
      <c r="G3768" s="88">
        <v>46280.306539351899</v>
      </c>
      <c r="H3768" s="89">
        <v>46280</v>
      </c>
      <c r="I3768" s="71" t="s">
        <v>305</v>
      </c>
      <c r="J3768" s="71">
        <v>-9.0000000000000497</v>
      </c>
      <c r="K3768" s="71" t="s">
        <v>302</v>
      </c>
      <c r="L3768" s="71">
        <f t="shared" si="522"/>
        <v>9</v>
      </c>
      <c r="M3768" s="71" t="str">
        <f>IFERROR(INDEX(KALENDER!$D$3:$D$132,MATCH(H3768,KALENDER!$A$3:$A$132,0)),"Di luar periode")</f>
        <v>Hari Kerja</v>
      </c>
      <c r="N3768" s="71">
        <f t="shared" si="523"/>
        <v>1</v>
      </c>
      <c r="O3768" s="71">
        <f t="shared" si="524"/>
        <v>1</v>
      </c>
      <c r="P3768" s="71">
        <f t="shared" si="525"/>
        <v>0</v>
      </c>
      <c r="Q3768" s="71">
        <f t="shared" si="526"/>
        <v>1</v>
      </c>
      <c r="R3768" s="71">
        <f t="shared" si="527"/>
        <v>0</v>
      </c>
      <c r="S3768" s="71">
        <f t="shared" si="528"/>
        <v>0</v>
      </c>
      <c r="T3768" s="71">
        <f t="shared" si="529"/>
        <v>0</v>
      </c>
      <c r="U3768" s="71">
        <f>IF(AND(N3768=1,V3768=1),IF(COUNTIFS(AKTIVITAS!$B$2:$B$3052,B3768,AKTIVITAS!$E$2:$E$3052,H3768)&gt;0,1,0),0)</f>
        <v>0</v>
      </c>
      <c r="V3768" s="71">
        <f>IFERROR(IF(AND(H3768&gt;=INDEX(PEMAGANG!$J$3:$J$36,MATCH(B3768,PEMAGANG!$C$3:$C$36,0)),H3768&lt;=INDEX(PEMAGANG!$K$3:$K$36,MATCH(B3768,PEMAGANG!$C$3:$C$36,0))),1,0),0)</f>
        <v>0</v>
      </c>
      <c r="W3768" s="71">
        <f t="shared" si="530"/>
        <v>0</v>
      </c>
    </row>
    <row r="3769" spans="1:23" x14ac:dyDescent="0.2">
      <c r="A3769" s="71" t="s">
        <v>262</v>
      </c>
      <c r="B3769" s="71" t="s">
        <v>263</v>
      </c>
      <c r="C3769" s="71" t="s">
        <v>187</v>
      </c>
      <c r="D3769" s="71" t="s">
        <v>259</v>
      </c>
      <c r="E3769" s="71" t="s">
        <v>55</v>
      </c>
      <c r="F3769" s="71" t="s">
        <v>300</v>
      </c>
      <c r="G3769" s="88">
        <v>46280.696747685201</v>
      </c>
      <c r="H3769" s="89">
        <v>46280</v>
      </c>
      <c r="I3769" s="71" t="s">
        <v>347</v>
      </c>
      <c r="J3769" s="71">
        <v>0</v>
      </c>
      <c r="K3769" s="71" t="s">
        <v>302</v>
      </c>
      <c r="L3769" s="71">
        <f t="shared" si="522"/>
        <v>9</v>
      </c>
      <c r="M3769" s="71" t="str">
        <f>IFERROR(INDEX(KALENDER!$D$3:$D$132,MATCH(H3769,KALENDER!$A$3:$A$132,0)),"Di luar periode")</f>
        <v>Hari Kerja</v>
      </c>
      <c r="N3769" s="71">
        <f t="shared" si="523"/>
        <v>0</v>
      </c>
      <c r="O3769" s="71">
        <f t="shared" si="524"/>
        <v>1</v>
      </c>
      <c r="P3769" s="71">
        <f t="shared" si="525"/>
        <v>0</v>
      </c>
      <c r="Q3769" s="71">
        <f t="shared" si="526"/>
        <v>0</v>
      </c>
      <c r="R3769" s="71">
        <f t="shared" si="527"/>
        <v>0</v>
      </c>
      <c r="S3769" s="71">
        <f t="shared" si="528"/>
        <v>0</v>
      </c>
      <c r="T3769" s="71">
        <f t="shared" si="529"/>
        <v>0</v>
      </c>
      <c r="U3769" s="71">
        <f>IF(AND(N3769=1,V3769=1),IF(COUNTIFS(AKTIVITAS!$B$2:$B$3052,B3769,AKTIVITAS!$E$2:$E$3052,H3769)&gt;0,1,0),0)</f>
        <v>0</v>
      </c>
      <c r="V3769" s="71">
        <f>IFERROR(IF(AND(H3769&gt;=INDEX(PEMAGANG!$J$3:$J$36,MATCH(B3769,PEMAGANG!$C$3:$C$36,0)),H3769&lt;=INDEX(PEMAGANG!$K$3:$K$36,MATCH(B3769,PEMAGANG!$C$3:$C$36,0))),1,0),0)</f>
        <v>0</v>
      </c>
      <c r="W3769" s="71">
        <f t="shared" si="530"/>
        <v>0</v>
      </c>
    </row>
    <row r="3770" spans="1:23" x14ac:dyDescent="0.2">
      <c r="A3770" s="71" t="s">
        <v>198</v>
      </c>
      <c r="B3770" s="71" t="s">
        <v>199</v>
      </c>
      <c r="C3770" s="71" t="s">
        <v>187</v>
      </c>
      <c r="D3770" s="71" t="s">
        <v>185</v>
      </c>
      <c r="E3770" s="71" t="s">
        <v>47</v>
      </c>
      <c r="F3770" s="71" t="s">
        <v>298</v>
      </c>
      <c r="G3770" s="88">
        <v>46175.310844907399</v>
      </c>
      <c r="H3770" s="89">
        <v>46175</v>
      </c>
      <c r="I3770" s="71" t="s">
        <v>309</v>
      </c>
      <c r="J3770" s="71">
        <v>-2.9999999999999898</v>
      </c>
      <c r="K3770" s="71" t="s">
        <v>302</v>
      </c>
      <c r="L3770" s="71">
        <f t="shared" si="522"/>
        <v>6</v>
      </c>
      <c r="M3770" s="71" t="str">
        <f>IFERROR(INDEX(KALENDER!$D$3:$D$132,MATCH(H3770,KALENDER!$A$3:$A$132,0)),"Di luar periode")</f>
        <v>Hari Kerja</v>
      </c>
      <c r="N3770" s="71">
        <f t="shared" si="523"/>
        <v>1</v>
      </c>
      <c r="O3770" s="71">
        <f t="shared" si="524"/>
        <v>1</v>
      </c>
      <c r="P3770" s="71">
        <f t="shared" si="525"/>
        <v>1</v>
      </c>
      <c r="Q3770" s="71">
        <f t="shared" si="526"/>
        <v>0</v>
      </c>
      <c r="R3770" s="71">
        <f t="shared" si="527"/>
        <v>0</v>
      </c>
      <c r="S3770" s="71">
        <f t="shared" si="528"/>
        <v>0</v>
      </c>
      <c r="T3770" s="71">
        <f t="shared" si="529"/>
        <v>0</v>
      </c>
      <c r="U3770" s="71">
        <f>IF(AND(N3770=1,V3770=1),IF(COUNTIFS(AKTIVITAS!$B$2:$B$3052,B3770,AKTIVITAS!$E$2:$E$3052,H3770)&gt;0,1,0),0)</f>
        <v>0</v>
      </c>
      <c r="V3770" s="71">
        <f>IFERROR(IF(AND(H3770&gt;=INDEX(PEMAGANG!$J$3:$J$36,MATCH(B3770,PEMAGANG!$C$3:$C$36,0)),H3770&lt;=INDEX(PEMAGANG!$K$3:$K$36,MATCH(B3770,PEMAGANG!$C$3:$C$36,0))),1,0),0)</f>
        <v>1</v>
      </c>
      <c r="W3770" s="71">
        <f t="shared" si="530"/>
        <v>1</v>
      </c>
    </row>
    <row r="3771" spans="1:23" x14ac:dyDescent="0.2">
      <c r="A3771" s="71" t="s">
        <v>198</v>
      </c>
      <c r="B3771" s="71" t="s">
        <v>199</v>
      </c>
      <c r="C3771" s="71" t="s">
        <v>187</v>
      </c>
      <c r="D3771" s="71" t="s">
        <v>185</v>
      </c>
      <c r="E3771" s="71" t="s">
        <v>47</v>
      </c>
      <c r="F3771" s="71" t="s">
        <v>300</v>
      </c>
      <c r="G3771" s="88">
        <v>46175.692997685197</v>
      </c>
      <c r="H3771" s="89">
        <v>46175</v>
      </c>
      <c r="I3771" s="71" t="s">
        <v>328</v>
      </c>
      <c r="J3771" s="71">
        <v>0</v>
      </c>
      <c r="K3771" s="71" t="s">
        <v>302</v>
      </c>
      <c r="L3771" s="71">
        <f t="shared" si="522"/>
        <v>6</v>
      </c>
      <c r="M3771" s="71" t="str">
        <f>IFERROR(INDEX(KALENDER!$D$3:$D$132,MATCH(H3771,KALENDER!$A$3:$A$132,0)),"Di luar periode")</f>
        <v>Hari Kerja</v>
      </c>
      <c r="N3771" s="71">
        <f t="shared" si="523"/>
        <v>0</v>
      </c>
      <c r="O3771" s="71">
        <f t="shared" si="524"/>
        <v>1</v>
      </c>
      <c r="P3771" s="71">
        <f t="shared" si="525"/>
        <v>0</v>
      </c>
      <c r="Q3771" s="71">
        <f t="shared" si="526"/>
        <v>0</v>
      </c>
      <c r="R3771" s="71">
        <f t="shared" si="527"/>
        <v>0</v>
      </c>
      <c r="S3771" s="71">
        <f t="shared" si="528"/>
        <v>0</v>
      </c>
      <c r="T3771" s="71">
        <f t="shared" si="529"/>
        <v>0</v>
      </c>
      <c r="U3771" s="71">
        <f>IF(AND(N3771=1,V3771=1),IF(COUNTIFS(AKTIVITAS!$B$2:$B$3052,B3771,AKTIVITAS!$E$2:$E$3052,H3771)&gt;0,1,0),0)</f>
        <v>0</v>
      </c>
      <c r="V3771" s="71">
        <f>IFERROR(IF(AND(H3771&gt;=INDEX(PEMAGANG!$J$3:$J$36,MATCH(B3771,PEMAGANG!$C$3:$C$36,0)),H3771&lt;=INDEX(PEMAGANG!$K$3:$K$36,MATCH(B3771,PEMAGANG!$C$3:$C$36,0))),1,0),0)</f>
        <v>1</v>
      </c>
      <c r="W3771" s="71">
        <f t="shared" si="530"/>
        <v>0</v>
      </c>
    </row>
    <row r="3772" spans="1:23" x14ac:dyDescent="0.2">
      <c r="A3772" s="71" t="s">
        <v>198</v>
      </c>
      <c r="B3772" s="71" t="s">
        <v>199</v>
      </c>
      <c r="C3772" s="71" t="s">
        <v>187</v>
      </c>
      <c r="D3772" s="71" t="s">
        <v>185</v>
      </c>
      <c r="E3772" s="71" t="s">
        <v>47</v>
      </c>
      <c r="F3772" s="71" t="s">
        <v>298</v>
      </c>
      <c r="G3772" s="88">
        <v>46176.305462962999</v>
      </c>
      <c r="H3772" s="89">
        <v>46176</v>
      </c>
      <c r="I3772" s="71" t="s">
        <v>321</v>
      </c>
      <c r="J3772" s="71">
        <v>-11</v>
      </c>
      <c r="K3772" s="71" t="s">
        <v>302</v>
      </c>
      <c r="L3772" s="71">
        <f t="shared" si="522"/>
        <v>6</v>
      </c>
      <c r="M3772" s="71" t="str">
        <f>IFERROR(INDEX(KALENDER!$D$3:$D$132,MATCH(H3772,KALENDER!$A$3:$A$132,0)),"Di luar periode")</f>
        <v>WFH</v>
      </c>
      <c r="N3772" s="71">
        <f t="shared" si="523"/>
        <v>1</v>
      </c>
      <c r="O3772" s="71">
        <f t="shared" si="524"/>
        <v>1</v>
      </c>
      <c r="P3772" s="71">
        <f t="shared" si="525"/>
        <v>0</v>
      </c>
      <c r="Q3772" s="71">
        <f t="shared" si="526"/>
        <v>1</v>
      </c>
      <c r="R3772" s="71">
        <f t="shared" si="527"/>
        <v>0</v>
      </c>
      <c r="S3772" s="71">
        <f t="shared" si="528"/>
        <v>0</v>
      </c>
      <c r="T3772" s="71">
        <f t="shared" si="529"/>
        <v>0</v>
      </c>
      <c r="U3772" s="71">
        <f>IF(AND(N3772=1,V3772=1),IF(COUNTIFS(AKTIVITAS!$B$2:$B$3052,B3772,AKTIVITAS!$E$2:$E$3052,H3772)&gt;0,1,0),0)</f>
        <v>0</v>
      </c>
      <c r="V3772" s="71">
        <f>IFERROR(IF(AND(H3772&gt;=INDEX(PEMAGANG!$J$3:$J$36,MATCH(B3772,PEMAGANG!$C$3:$C$36,0)),H3772&lt;=INDEX(PEMAGANG!$K$3:$K$36,MATCH(B3772,PEMAGANG!$C$3:$C$36,0))),1,0),0)</f>
        <v>1</v>
      </c>
      <c r="W3772" s="71">
        <f t="shared" si="530"/>
        <v>1</v>
      </c>
    </row>
    <row r="3773" spans="1:23" x14ac:dyDescent="0.2">
      <c r="A3773" s="71" t="s">
        <v>198</v>
      </c>
      <c r="B3773" s="71" t="s">
        <v>199</v>
      </c>
      <c r="C3773" s="71" t="s">
        <v>187</v>
      </c>
      <c r="D3773" s="71" t="s">
        <v>185</v>
      </c>
      <c r="E3773" s="71" t="s">
        <v>47</v>
      </c>
      <c r="F3773" s="71" t="s">
        <v>300</v>
      </c>
      <c r="G3773" s="88">
        <v>46176.709571759297</v>
      </c>
      <c r="H3773" s="89">
        <v>46176</v>
      </c>
      <c r="I3773" s="71" t="s">
        <v>333</v>
      </c>
      <c r="J3773" s="71">
        <v>0</v>
      </c>
      <c r="K3773" s="71" t="s">
        <v>302</v>
      </c>
      <c r="L3773" s="71">
        <f t="shared" si="522"/>
        <v>6</v>
      </c>
      <c r="M3773" s="71" t="str">
        <f>IFERROR(INDEX(KALENDER!$D$3:$D$132,MATCH(H3773,KALENDER!$A$3:$A$132,0)),"Di luar periode")</f>
        <v>WFH</v>
      </c>
      <c r="N3773" s="71">
        <f t="shared" si="523"/>
        <v>0</v>
      </c>
      <c r="O3773" s="71">
        <f t="shared" si="524"/>
        <v>1</v>
      </c>
      <c r="P3773" s="71">
        <f t="shared" si="525"/>
        <v>0</v>
      </c>
      <c r="Q3773" s="71">
        <f t="shared" si="526"/>
        <v>0</v>
      </c>
      <c r="R3773" s="71">
        <f t="shared" si="527"/>
        <v>0</v>
      </c>
      <c r="S3773" s="71">
        <f t="shared" si="528"/>
        <v>0</v>
      </c>
      <c r="T3773" s="71">
        <f t="shared" si="529"/>
        <v>0</v>
      </c>
      <c r="U3773" s="71">
        <f>IF(AND(N3773=1,V3773=1),IF(COUNTIFS(AKTIVITAS!$B$2:$B$3052,B3773,AKTIVITAS!$E$2:$E$3052,H3773)&gt;0,1,0),0)</f>
        <v>0</v>
      </c>
      <c r="V3773" s="71">
        <f>IFERROR(IF(AND(H3773&gt;=INDEX(PEMAGANG!$J$3:$J$36,MATCH(B3773,PEMAGANG!$C$3:$C$36,0)),H3773&lt;=INDEX(PEMAGANG!$K$3:$K$36,MATCH(B3773,PEMAGANG!$C$3:$C$36,0))),1,0),0)</f>
        <v>1</v>
      </c>
      <c r="W3773" s="71">
        <f t="shared" si="530"/>
        <v>0</v>
      </c>
    </row>
    <row r="3774" spans="1:23" x14ac:dyDescent="0.2">
      <c r="A3774" s="71" t="s">
        <v>198</v>
      </c>
      <c r="B3774" s="71" t="s">
        <v>199</v>
      </c>
      <c r="C3774" s="71" t="s">
        <v>187</v>
      </c>
      <c r="D3774" s="71" t="s">
        <v>185</v>
      </c>
      <c r="E3774" s="71" t="s">
        <v>47</v>
      </c>
      <c r="F3774" s="71" t="s">
        <v>298</v>
      </c>
      <c r="G3774" s="88">
        <v>46177.312118055597</v>
      </c>
      <c r="H3774" s="89">
        <v>46177</v>
      </c>
      <c r="I3774" s="71" t="s">
        <v>365</v>
      </c>
      <c r="J3774" s="71">
        <v>-0.999999999999996</v>
      </c>
      <c r="K3774" s="71" t="s">
        <v>302</v>
      </c>
      <c r="L3774" s="71">
        <f t="shared" si="522"/>
        <v>6</v>
      </c>
      <c r="M3774" s="71" t="str">
        <f>IFERROR(INDEX(KALENDER!$D$3:$D$132,MATCH(H3774,KALENDER!$A$3:$A$132,0)),"Di luar periode")</f>
        <v>Hari Kerja</v>
      </c>
      <c r="N3774" s="71">
        <f t="shared" si="523"/>
        <v>1</v>
      </c>
      <c r="O3774" s="71">
        <f t="shared" si="524"/>
        <v>1</v>
      </c>
      <c r="P3774" s="71">
        <f t="shared" si="525"/>
        <v>1</v>
      </c>
      <c r="Q3774" s="71">
        <f t="shared" si="526"/>
        <v>0</v>
      </c>
      <c r="R3774" s="71">
        <f t="shared" si="527"/>
        <v>0</v>
      </c>
      <c r="S3774" s="71">
        <f t="shared" si="528"/>
        <v>0</v>
      </c>
      <c r="T3774" s="71">
        <f t="shared" si="529"/>
        <v>0</v>
      </c>
      <c r="U3774" s="71">
        <f>IF(AND(N3774=1,V3774=1),IF(COUNTIFS(AKTIVITAS!$B$2:$B$3052,B3774,AKTIVITAS!$E$2:$E$3052,H3774)&gt;0,1,0),0)</f>
        <v>0</v>
      </c>
      <c r="V3774" s="71">
        <f>IFERROR(IF(AND(H3774&gt;=INDEX(PEMAGANG!$J$3:$J$36,MATCH(B3774,PEMAGANG!$C$3:$C$36,0)),H3774&lt;=INDEX(PEMAGANG!$K$3:$K$36,MATCH(B3774,PEMAGANG!$C$3:$C$36,0))),1,0),0)</f>
        <v>1</v>
      </c>
      <c r="W3774" s="71">
        <f t="shared" si="530"/>
        <v>1</v>
      </c>
    </row>
    <row r="3775" spans="1:23" x14ac:dyDescent="0.2">
      <c r="A3775" s="71" t="s">
        <v>198</v>
      </c>
      <c r="B3775" s="71" t="s">
        <v>199</v>
      </c>
      <c r="C3775" s="71" t="s">
        <v>187</v>
      </c>
      <c r="D3775" s="71" t="s">
        <v>185</v>
      </c>
      <c r="E3775" s="71" t="s">
        <v>47</v>
      </c>
      <c r="F3775" s="71" t="s">
        <v>300</v>
      </c>
      <c r="G3775" s="88">
        <v>46177.695011574098</v>
      </c>
      <c r="H3775" s="89">
        <v>46177</v>
      </c>
      <c r="I3775" s="71" t="s">
        <v>343</v>
      </c>
      <c r="J3775" s="71">
        <v>0</v>
      </c>
      <c r="K3775" s="71" t="s">
        <v>302</v>
      </c>
      <c r="L3775" s="71">
        <f t="shared" si="522"/>
        <v>6</v>
      </c>
      <c r="M3775" s="71" t="str">
        <f>IFERROR(INDEX(KALENDER!$D$3:$D$132,MATCH(H3775,KALENDER!$A$3:$A$132,0)),"Di luar periode")</f>
        <v>Hari Kerja</v>
      </c>
      <c r="N3775" s="71">
        <f t="shared" si="523"/>
        <v>0</v>
      </c>
      <c r="O3775" s="71">
        <f t="shared" si="524"/>
        <v>1</v>
      </c>
      <c r="P3775" s="71">
        <f t="shared" si="525"/>
        <v>0</v>
      </c>
      <c r="Q3775" s="71">
        <f t="shared" si="526"/>
        <v>0</v>
      </c>
      <c r="R3775" s="71">
        <f t="shared" si="527"/>
        <v>0</v>
      </c>
      <c r="S3775" s="71">
        <f t="shared" si="528"/>
        <v>0</v>
      </c>
      <c r="T3775" s="71">
        <f t="shared" si="529"/>
        <v>0</v>
      </c>
      <c r="U3775" s="71">
        <f>IF(AND(N3775=1,V3775=1),IF(COUNTIFS(AKTIVITAS!$B$2:$B$3052,B3775,AKTIVITAS!$E$2:$E$3052,H3775)&gt;0,1,0),0)</f>
        <v>0</v>
      </c>
      <c r="V3775" s="71">
        <f>IFERROR(IF(AND(H3775&gt;=INDEX(PEMAGANG!$J$3:$J$36,MATCH(B3775,PEMAGANG!$C$3:$C$36,0)),H3775&lt;=INDEX(PEMAGANG!$K$3:$K$36,MATCH(B3775,PEMAGANG!$C$3:$C$36,0))),1,0),0)</f>
        <v>1</v>
      </c>
      <c r="W3775" s="71">
        <f t="shared" si="530"/>
        <v>0</v>
      </c>
    </row>
    <row r="3776" spans="1:23" x14ac:dyDescent="0.2">
      <c r="A3776" s="71" t="s">
        <v>198</v>
      </c>
      <c r="B3776" s="71" t="s">
        <v>199</v>
      </c>
      <c r="C3776" s="71" t="s">
        <v>187</v>
      </c>
      <c r="D3776" s="71" t="s">
        <v>185</v>
      </c>
      <c r="E3776" s="71" t="s">
        <v>47</v>
      </c>
      <c r="F3776" s="71" t="s">
        <v>298</v>
      </c>
      <c r="G3776" s="88">
        <v>46178.310162037</v>
      </c>
      <c r="H3776" s="89">
        <v>46178</v>
      </c>
      <c r="I3776" s="71" t="s">
        <v>315</v>
      </c>
      <c r="J3776" s="71">
        <v>-3.9999999999999898</v>
      </c>
      <c r="K3776" s="71" t="s">
        <v>302</v>
      </c>
      <c r="L3776" s="71">
        <f t="shared" si="522"/>
        <v>6</v>
      </c>
      <c r="M3776" s="71" t="str">
        <f>IFERROR(INDEX(KALENDER!$D$3:$D$132,MATCH(H3776,KALENDER!$A$3:$A$132,0)),"Di luar periode")</f>
        <v>Hari Kerja</v>
      </c>
      <c r="N3776" s="71">
        <f t="shared" si="523"/>
        <v>1</v>
      </c>
      <c r="O3776" s="71">
        <f t="shared" si="524"/>
        <v>1</v>
      </c>
      <c r="P3776" s="71">
        <f t="shared" si="525"/>
        <v>1</v>
      </c>
      <c r="Q3776" s="71">
        <f t="shared" si="526"/>
        <v>0</v>
      </c>
      <c r="R3776" s="71">
        <f t="shared" si="527"/>
        <v>0</v>
      </c>
      <c r="S3776" s="71">
        <f t="shared" si="528"/>
        <v>0</v>
      </c>
      <c r="T3776" s="71">
        <f t="shared" si="529"/>
        <v>0</v>
      </c>
      <c r="U3776" s="71">
        <f>IF(AND(N3776=1,V3776=1),IF(COUNTIFS(AKTIVITAS!$B$2:$B$3052,B3776,AKTIVITAS!$E$2:$E$3052,H3776)&gt;0,1,0),0)</f>
        <v>1</v>
      </c>
      <c r="V3776" s="71">
        <f>IFERROR(IF(AND(H3776&gt;=INDEX(PEMAGANG!$J$3:$J$36,MATCH(B3776,PEMAGANG!$C$3:$C$36,0)),H3776&lt;=INDEX(PEMAGANG!$K$3:$K$36,MATCH(B3776,PEMAGANG!$C$3:$C$36,0))),1,0),0)</f>
        <v>1</v>
      </c>
      <c r="W3776" s="71">
        <f t="shared" si="530"/>
        <v>1</v>
      </c>
    </row>
    <row r="3777" spans="1:23" x14ac:dyDescent="0.2">
      <c r="A3777" s="71" t="s">
        <v>198</v>
      </c>
      <c r="B3777" s="71" t="s">
        <v>199</v>
      </c>
      <c r="C3777" s="71" t="s">
        <v>187</v>
      </c>
      <c r="D3777" s="71" t="s">
        <v>185</v>
      </c>
      <c r="E3777" s="71" t="s">
        <v>47</v>
      </c>
      <c r="F3777" s="71" t="s">
        <v>300</v>
      </c>
      <c r="G3777" s="88">
        <v>46178.693148148202</v>
      </c>
      <c r="H3777" s="89">
        <v>46178</v>
      </c>
      <c r="I3777" s="71" t="s">
        <v>317</v>
      </c>
      <c r="J3777" s="71">
        <v>0</v>
      </c>
      <c r="K3777" s="71" t="s">
        <v>302</v>
      </c>
      <c r="L3777" s="71">
        <f t="shared" si="522"/>
        <v>6</v>
      </c>
      <c r="M3777" s="71" t="str">
        <f>IFERROR(INDEX(KALENDER!$D$3:$D$132,MATCH(H3777,KALENDER!$A$3:$A$132,0)),"Di luar periode")</f>
        <v>Hari Kerja</v>
      </c>
      <c r="N3777" s="71">
        <f t="shared" si="523"/>
        <v>0</v>
      </c>
      <c r="O3777" s="71">
        <f t="shared" si="524"/>
        <v>1</v>
      </c>
      <c r="P3777" s="71">
        <f t="shared" si="525"/>
        <v>0</v>
      </c>
      <c r="Q3777" s="71">
        <f t="shared" si="526"/>
        <v>0</v>
      </c>
      <c r="R3777" s="71">
        <f t="shared" si="527"/>
        <v>0</v>
      </c>
      <c r="S3777" s="71">
        <f t="shared" si="528"/>
        <v>0</v>
      </c>
      <c r="T3777" s="71">
        <f t="shared" si="529"/>
        <v>0</v>
      </c>
      <c r="U3777" s="71">
        <f>IF(AND(N3777=1,V3777=1),IF(COUNTIFS(AKTIVITAS!$B$2:$B$3052,B3777,AKTIVITAS!$E$2:$E$3052,H3777)&gt;0,1,0),0)</f>
        <v>0</v>
      </c>
      <c r="V3777" s="71">
        <f>IFERROR(IF(AND(H3777&gt;=INDEX(PEMAGANG!$J$3:$J$36,MATCH(B3777,PEMAGANG!$C$3:$C$36,0)),H3777&lt;=INDEX(PEMAGANG!$K$3:$K$36,MATCH(B3777,PEMAGANG!$C$3:$C$36,0))),1,0),0)</f>
        <v>1</v>
      </c>
      <c r="W3777" s="71">
        <f t="shared" si="530"/>
        <v>0</v>
      </c>
    </row>
    <row r="3778" spans="1:23" x14ac:dyDescent="0.2">
      <c r="A3778" s="71" t="s">
        <v>198</v>
      </c>
      <c r="B3778" s="71" t="s">
        <v>199</v>
      </c>
      <c r="C3778" s="71" t="s">
        <v>187</v>
      </c>
      <c r="D3778" s="71" t="s">
        <v>185</v>
      </c>
      <c r="E3778" s="71" t="s">
        <v>47</v>
      </c>
      <c r="F3778" s="71" t="s">
        <v>298</v>
      </c>
      <c r="G3778" s="88">
        <v>46181.311307870397</v>
      </c>
      <c r="H3778" s="89">
        <v>46181</v>
      </c>
      <c r="I3778" s="71" t="s">
        <v>377</v>
      </c>
      <c r="J3778" s="71">
        <v>-1.99999999999999</v>
      </c>
      <c r="K3778" s="71" t="s">
        <v>302</v>
      </c>
      <c r="L3778" s="71">
        <f t="shared" ref="L3778:L3841" si="531">MONTH(H3778)</f>
        <v>6</v>
      </c>
      <c r="M3778" s="71" t="str">
        <f>IFERROR(INDEX(KALENDER!$D$3:$D$132,MATCH(H3778,KALENDER!$A$3:$A$132,0)),"Di luar periode")</f>
        <v>Hari Kerja</v>
      </c>
      <c r="N3778" s="71">
        <f t="shared" ref="N3778:N3841" si="532">IF(AND(B3778=B3777,H3778=H3777),0,1)</f>
        <v>1</v>
      </c>
      <c r="O3778" s="71">
        <f t="shared" ref="O3778:O3841" si="533">IF(N3778=1,0,O3777)+IF(F3778="MASUK",1,0)</f>
        <v>1</v>
      </c>
      <c r="P3778" s="71">
        <f t="shared" ref="P3778:P3841" si="534">IF(AND(N3778=1,M3778="Hari Kerja",V3778=1),1,0)</f>
        <v>1</v>
      </c>
      <c r="Q3778" s="71">
        <f t="shared" ref="Q3778:Q3841" si="535">IF(AND(N3778=1,OR(M3778&lt;&gt;"Hari Kerja",V3778=0)),1,0)</f>
        <v>0</v>
      </c>
      <c r="R3778" s="71">
        <f t="shared" ref="R3778:R3841" si="536">IF(AND(F3778="MASUK",O3778=1,N(J3778)&gt;0,V3778=1),1,0)</f>
        <v>0</v>
      </c>
      <c r="S3778" s="71">
        <f t="shared" ref="S3778:S3841" si="537">R3778*N(J3778)</f>
        <v>0</v>
      </c>
      <c r="T3778" s="71">
        <f t="shared" ref="T3778:T3841" si="538">IF(AND(N3778=1,V3778=1),IF(AND(COUNTIFS($B$2:$B$4094,B3778,$H$2:$H$4094,H3778,$F$2:$F$4094,"MASUK")&gt;0,COUNTIFS($B$2:$B$4094,B3778,$H$2:$H$4094,H3778,$F$2:$F$4094,"PULANG")=0),1,0),0)</f>
        <v>0</v>
      </c>
      <c r="U3778" s="71">
        <f>IF(AND(N3778=1,V3778=1),IF(COUNTIFS(AKTIVITAS!$B$2:$B$3052,B3778,AKTIVITAS!$E$2:$E$3052,H3778)&gt;0,1,0),0)</f>
        <v>1</v>
      </c>
      <c r="V3778" s="71">
        <f>IFERROR(IF(AND(H3778&gt;=INDEX(PEMAGANG!$J$3:$J$36,MATCH(B3778,PEMAGANG!$C$3:$C$36,0)),H3778&lt;=INDEX(PEMAGANG!$K$3:$K$36,MATCH(B3778,PEMAGANG!$C$3:$C$36,0))),1,0),0)</f>
        <v>1</v>
      </c>
      <c r="W3778" s="71">
        <f t="shared" ref="W3778:W3841" si="539">N3778*V3778</f>
        <v>1</v>
      </c>
    </row>
    <row r="3779" spans="1:23" x14ac:dyDescent="0.2">
      <c r="A3779" s="71" t="s">
        <v>198</v>
      </c>
      <c r="B3779" s="71" t="s">
        <v>199</v>
      </c>
      <c r="C3779" s="71" t="s">
        <v>187</v>
      </c>
      <c r="D3779" s="71" t="s">
        <v>185</v>
      </c>
      <c r="E3779" s="71" t="s">
        <v>47</v>
      </c>
      <c r="F3779" s="71" t="s">
        <v>300</v>
      </c>
      <c r="G3779" s="88">
        <v>46181.695243055598</v>
      </c>
      <c r="H3779" s="89">
        <v>46181</v>
      </c>
      <c r="I3779" s="71" t="s">
        <v>319</v>
      </c>
      <c r="J3779" s="71">
        <v>0</v>
      </c>
      <c r="K3779" s="71" t="s">
        <v>302</v>
      </c>
      <c r="L3779" s="71">
        <f t="shared" si="531"/>
        <v>6</v>
      </c>
      <c r="M3779" s="71" t="str">
        <f>IFERROR(INDEX(KALENDER!$D$3:$D$132,MATCH(H3779,KALENDER!$A$3:$A$132,0)),"Di luar periode")</f>
        <v>Hari Kerja</v>
      </c>
      <c r="N3779" s="71">
        <f t="shared" si="532"/>
        <v>0</v>
      </c>
      <c r="O3779" s="71">
        <f t="shared" si="533"/>
        <v>1</v>
      </c>
      <c r="P3779" s="71">
        <f t="shared" si="534"/>
        <v>0</v>
      </c>
      <c r="Q3779" s="71">
        <f t="shared" si="535"/>
        <v>0</v>
      </c>
      <c r="R3779" s="71">
        <f t="shared" si="536"/>
        <v>0</v>
      </c>
      <c r="S3779" s="71">
        <f t="shared" si="537"/>
        <v>0</v>
      </c>
      <c r="T3779" s="71">
        <f t="shared" si="538"/>
        <v>0</v>
      </c>
      <c r="U3779" s="71">
        <f>IF(AND(N3779=1,V3779=1),IF(COUNTIFS(AKTIVITAS!$B$2:$B$3052,B3779,AKTIVITAS!$E$2:$E$3052,H3779)&gt;0,1,0),0)</f>
        <v>0</v>
      </c>
      <c r="V3779" s="71">
        <f>IFERROR(IF(AND(H3779&gt;=INDEX(PEMAGANG!$J$3:$J$36,MATCH(B3779,PEMAGANG!$C$3:$C$36,0)),H3779&lt;=INDEX(PEMAGANG!$K$3:$K$36,MATCH(B3779,PEMAGANG!$C$3:$C$36,0))),1,0),0)</f>
        <v>1</v>
      </c>
      <c r="W3779" s="71">
        <f t="shared" si="539"/>
        <v>0</v>
      </c>
    </row>
    <row r="3780" spans="1:23" x14ac:dyDescent="0.2">
      <c r="A3780" s="71" t="s">
        <v>198</v>
      </c>
      <c r="B3780" s="71" t="s">
        <v>199</v>
      </c>
      <c r="C3780" s="71" t="s">
        <v>187</v>
      </c>
      <c r="D3780" s="71" t="s">
        <v>185</v>
      </c>
      <c r="E3780" s="71" t="s">
        <v>47</v>
      </c>
      <c r="F3780" s="71" t="s">
        <v>298</v>
      </c>
      <c r="G3780" s="88">
        <v>46182.310277777797</v>
      </c>
      <c r="H3780" s="89">
        <v>46182</v>
      </c>
      <c r="I3780" s="71" t="s">
        <v>315</v>
      </c>
      <c r="J3780" s="71">
        <v>-3.9999999999999898</v>
      </c>
      <c r="K3780" s="71" t="s">
        <v>302</v>
      </c>
      <c r="L3780" s="71">
        <f t="shared" si="531"/>
        <v>6</v>
      </c>
      <c r="M3780" s="71" t="str">
        <f>IFERROR(INDEX(KALENDER!$D$3:$D$132,MATCH(H3780,KALENDER!$A$3:$A$132,0)),"Di luar periode")</f>
        <v>Hari Kerja</v>
      </c>
      <c r="N3780" s="71">
        <f t="shared" si="532"/>
        <v>1</v>
      </c>
      <c r="O3780" s="71">
        <f t="shared" si="533"/>
        <v>1</v>
      </c>
      <c r="P3780" s="71">
        <f t="shared" si="534"/>
        <v>1</v>
      </c>
      <c r="Q3780" s="71">
        <f t="shared" si="535"/>
        <v>0</v>
      </c>
      <c r="R3780" s="71">
        <f t="shared" si="536"/>
        <v>0</v>
      </c>
      <c r="S3780" s="71">
        <f t="shared" si="537"/>
        <v>0</v>
      </c>
      <c r="T3780" s="71">
        <f t="shared" si="538"/>
        <v>0</v>
      </c>
      <c r="U3780" s="71">
        <f>IF(AND(N3780=1,V3780=1),IF(COUNTIFS(AKTIVITAS!$B$2:$B$3052,B3780,AKTIVITAS!$E$2:$E$3052,H3780)&gt;0,1,0),0)</f>
        <v>1</v>
      </c>
      <c r="V3780" s="71">
        <f>IFERROR(IF(AND(H3780&gt;=INDEX(PEMAGANG!$J$3:$J$36,MATCH(B3780,PEMAGANG!$C$3:$C$36,0)),H3780&lt;=INDEX(PEMAGANG!$K$3:$K$36,MATCH(B3780,PEMAGANG!$C$3:$C$36,0))),1,0),0)</f>
        <v>1</v>
      </c>
      <c r="W3780" s="71">
        <f t="shared" si="539"/>
        <v>1</v>
      </c>
    </row>
    <row r="3781" spans="1:23" x14ac:dyDescent="0.2">
      <c r="A3781" s="71" t="s">
        <v>198</v>
      </c>
      <c r="B3781" s="71" t="s">
        <v>199</v>
      </c>
      <c r="C3781" s="71" t="s">
        <v>187</v>
      </c>
      <c r="D3781" s="71" t="s">
        <v>185</v>
      </c>
      <c r="E3781" s="71" t="s">
        <v>47</v>
      </c>
      <c r="F3781" s="71" t="s">
        <v>300</v>
      </c>
      <c r="G3781" s="88">
        <v>46182.689016203702</v>
      </c>
      <c r="H3781" s="89">
        <v>46182</v>
      </c>
      <c r="I3781" s="71" t="s">
        <v>306</v>
      </c>
      <c r="J3781" s="71">
        <v>0</v>
      </c>
      <c r="K3781" s="71" t="s">
        <v>302</v>
      </c>
      <c r="L3781" s="71">
        <f t="shared" si="531"/>
        <v>6</v>
      </c>
      <c r="M3781" s="71" t="str">
        <f>IFERROR(INDEX(KALENDER!$D$3:$D$132,MATCH(H3781,KALENDER!$A$3:$A$132,0)),"Di luar periode")</f>
        <v>Hari Kerja</v>
      </c>
      <c r="N3781" s="71">
        <f t="shared" si="532"/>
        <v>0</v>
      </c>
      <c r="O3781" s="71">
        <f t="shared" si="533"/>
        <v>1</v>
      </c>
      <c r="P3781" s="71">
        <f t="shared" si="534"/>
        <v>0</v>
      </c>
      <c r="Q3781" s="71">
        <f t="shared" si="535"/>
        <v>0</v>
      </c>
      <c r="R3781" s="71">
        <f t="shared" si="536"/>
        <v>0</v>
      </c>
      <c r="S3781" s="71">
        <f t="shared" si="537"/>
        <v>0</v>
      </c>
      <c r="T3781" s="71">
        <f t="shared" si="538"/>
        <v>0</v>
      </c>
      <c r="U3781" s="71">
        <f>IF(AND(N3781=1,V3781=1),IF(COUNTIFS(AKTIVITAS!$B$2:$B$3052,B3781,AKTIVITAS!$E$2:$E$3052,H3781)&gt;0,1,0),0)</f>
        <v>0</v>
      </c>
      <c r="V3781" s="71">
        <f>IFERROR(IF(AND(H3781&gt;=INDEX(PEMAGANG!$J$3:$J$36,MATCH(B3781,PEMAGANG!$C$3:$C$36,0)),H3781&lt;=INDEX(PEMAGANG!$K$3:$K$36,MATCH(B3781,PEMAGANG!$C$3:$C$36,0))),1,0),0)</f>
        <v>1</v>
      </c>
      <c r="W3781" s="71">
        <f t="shared" si="539"/>
        <v>0</v>
      </c>
    </row>
    <row r="3782" spans="1:23" x14ac:dyDescent="0.2">
      <c r="A3782" s="71" t="s">
        <v>198</v>
      </c>
      <c r="B3782" s="71" t="s">
        <v>199</v>
      </c>
      <c r="C3782" s="71" t="s">
        <v>187</v>
      </c>
      <c r="D3782" s="71" t="s">
        <v>185</v>
      </c>
      <c r="E3782" s="71" t="s">
        <v>47</v>
      </c>
      <c r="F3782" s="71" t="s">
        <v>298</v>
      </c>
      <c r="G3782" s="88">
        <v>46183.304791666698</v>
      </c>
      <c r="H3782" s="89">
        <v>46183</v>
      </c>
      <c r="I3782" s="71" t="s">
        <v>326</v>
      </c>
      <c r="J3782" s="71">
        <v>-12</v>
      </c>
      <c r="K3782" s="71" t="s">
        <v>302</v>
      </c>
      <c r="L3782" s="71">
        <f t="shared" si="531"/>
        <v>6</v>
      </c>
      <c r="M3782" s="71" t="str">
        <f>IFERROR(INDEX(KALENDER!$D$3:$D$132,MATCH(H3782,KALENDER!$A$3:$A$132,0)),"Di luar periode")</f>
        <v>WFH</v>
      </c>
      <c r="N3782" s="71">
        <f t="shared" si="532"/>
        <v>1</v>
      </c>
      <c r="O3782" s="71">
        <f t="shared" si="533"/>
        <v>1</v>
      </c>
      <c r="P3782" s="71">
        <f t="shared" si="534"/>
        <v>0</v>
      </c>
      <c r="Q3782" s="71">
        <f t="shared" si="535"/>
        <v>1</v>
      </c>
      <c r="R3782" s="71">
        <f t="shared" si="536"/>
        <v>0</v>
      </c>
      <c r="S3782" s="71">
        <f t="shared" si="537"/>
        <v>0</v>
      </c>
      <c r="T3782" s="71">
        <f t="shared" si="538"/>
        <v>0</v>
      </c>
      <c r="U3782" s="71">
        <f>IF(AND(N3782=1,V3782=1),IF(COUNTIFS(AKTIVITAS!$B$2:$B$3052,B3782,AKTIVITAS!$E$2:$E$3052,H3782)&gt;0,1,0),0)</f>
        <v>1</v>
      </c>
      <c r="V3782" s="71">
        <f>IFERROR(IF(AND(H3782&gt;=INDEX(PEMAGANG!$J$3:$J$36,MATCH(B3782,PEMAGANG!$C$3:$C$36,0)),H3782&lt;=INDEX(PEMAGANG!$K$3:$K$36,MATCH(B3782,PEMAGANG!$C$3:$C$36,0))),1,0),0)</f>
        <v>1</v>
      </c>
      <c r="W3782" s="71">
        <f t="shared" si="539"/>
        <v>1</v>
      </c>
    </row>
    <row r="3783" spans="1:23" x14ac:dyDescent="0.2">
      <c r="A3783" s="71" t="s">
        <v>198</v>
      </c>
      <c r="B3783" s="71" t="s">
        <v>199</v>
      </c>
      <c r="C3783" s="71" t="s">
        <v>187</v>
      </c>
      <c r="D3783" s="71" t="s">
        <v>185</v>
      </c>
      <c r="E3783" s="71" t="s">
        <v>47</v>
      </c>
      <c r="F3783" s="71" t="s">
        <v>300</v>
      </c>
      <c r="G3783" s="88">
        <v>46183.703645833302</v>
      </c>
      <c r="H3783" s="89">
        <v>46183</v>
      </c>
      <c r="I3783" s="71" t="s">
        <v>403</v>
      </c>
      <c r="J3783" s="71">
        <v>0</v>
      </c>
      <c r="K3783" s="71" t="s">
        <v>302</v>
      </c>
      <c r="L3783" s="71">
        <f t="shared" si="531"/>
        <v>6</v>
      </c>
      <c r="M3783" s="71" t="str">
        <f>IFERROR(INDEX(KALENDER!$D$3:$D$132,MATCH(H3783,KALENDER!$A$3:$A$132,0)),"Di luar periode")</f>
        <v>WFH</v>
      </c>
      <c r="N3783" s="71">
        <f t="shared" si="532"/>
        <v>0</v>
      </c>
      <c r="O3783" s="71">
        <f t="shared" si="533"/>
        <v>1</v>
      </c>
      <c r="P3783" s="71">
        <f t="shared" si="534"/>
        <v>0</v>
      </c>
      <c r="Q3783" s="71">
        <f t="shared" si="535"/>
        <v>0</v>
      </c>
      <c r="R3783" s="71">
        <f t="shared" si="536"/>
        <v>0</v>
      </c>
      <c r="S3783" s="71">
        <f t="shared" si="537"/>
        <v>0</v>
      </c>
      <c r="T3783" s="71">
        <f t="shared" si="538"/>
        <v>0</v>
      </c>
      <c r="U3783" s="71">
        <f>IF(AND(N3783=1,V3783=1),IF(COUNTIFS(AKTIVITAS!$B$2:$B$3052,B3783,AKTIVITAS!$E$2:$E$3052,H3783)&gt;0,1,0),0)</f>
        <v>0</v>
      </c>
      <c r="V3783" s="71">
        <f>IFERROR(IF(AND(H3783&gt;=INDEX(PEMAGANG!$J$3:$J$36,MATCH(B3783,PEMAGANG!$C$3:$C$36,0)),H3783&lt;=INDEX(PEMAGANG!$K$3:$K$36,MATCH(B3783,PEMAGANG!$C$3:$C$36,0))),1,0),0)</f>
        <v>1</v>
      </c>
      <c r="W3783" s="71">
        <f t="shared" si="539"/>
        <v>0</v>
      </c>
    </row>
    <row r="3784" spans="1:23" x14ac:dyDescent="0.2">
      <c r="A3784" s="71" t="s">
        <v>198</v>
      </c>
      <c r="B3784" s="71" t="s">
        <v>199</v>
      </c>
      <c r="C3784" s="71" t="s">
        <v>187</v>
      </c>
      <c r="D3784" s="71" t="s">
        <v>185</v>
      </c>
      <c r="E3784" s="71" t="s">
        <v>47</v>
      </c>
      <c r="F3784" s="71" t="s">
        <v>298</v>
      </c>
      <c r="G3784" s="88">
        <v>46184.314803240697</v>
      </c>
      <c r="H3784" s="89">
        <v>46184</v>
      </c>
      <c r="I3784" s="71" t="s">
        <v>383</v>
      </c>
      <c r="J3784" s="71">
        <v>2.9999999999999898</v>
      </c>
      <c r="K3784" s="71" t="s">
        <v>293</v>
      </c>
      <c r="L3784" s="71">
        <f t="shared" si="531"/>
        <v>6</v>
      </c>
      <c r="M3784" s="71" t="str">
        <f>IFERROR(INDEX(KALENDER!$D$3:$D$132,MATCH(H3784,KALENDER!$A$3:$A$132,0)),"Di luar periode")</f>
        <v>Hari Kerja</v>
      </c>
      <c r="N3784" s="71">
        <f t="shared" si="532"/>
        <v>1</v>
      </c>
      <c r="O3784" s="71">
        <f t="shared" si="533"/>
        <v>1</v>
      </c>
      <c r="P3784" s="71">
        <f t="shared" si="534"/>
        <v>1</v>
      </c>
      <c r="Q3784" s="71">
        <f t="shared" si="535"/>
        <v>0</v>
      </c>
      <c r="R3784" s="71">
        <f t="shared" si="536"/>
        <v>1</v>
      </c>
      <c r="S3784" s="71">
        <f t="shared" si="537"/>
        <v>2.9999999999999898</v>
      </c>
      <c r="T3784" s="71">
        <f t="shared" si="538"/>
        <v>0</v>
      </c>
      <c r="U3784" s="71">
        <f>IF(AND(N3784=1,V3784=1),IF(COUNTIFS(AKTIVITAS!$B$2:$B$3052,B3784,AKTIVITAS!$E$2:$E$3052,H3784)&gt;0,1,0),0)</f>
        <v>1</v>
      </c>
      <c r="V3784" s="71">
        <f>IFERROR(IF(AND(H3784&gt;=INDEX(PEMAGANG!$J$3:$J$36,MATCH(B3784,PEMAGANG!$C$3:$C$36,0)),H3784&lt;=INDEX(PEMAGANG!$K$3:$K$36,MATCH(B3784,PEMAGANG!$C$3:$C$36,0))),1,0),0)</f>
        <v>1</v>
      </c>
      <c r="W3784" s="71">
        <f t="shared" si="539"/>
        <v>1</v>
      </c>
    </row>
    <row r="3785" spans="1:23" x14ac:dyDescent="0.2">
      <c r="A3785" s="71" t="s">
        <v>198</v>
      </c>
      <c r="B3785" s="71" t="s">
        <v>199</v>
      </c>
      <c r="C3785" s="71" t="s">
        <v>187</v>
      </c>
      <c r="D3785" s="71" t="s">
        <v>185</v>
      </c>
      <c r="E3785" s="71" t="s">
        <v>47</v>
      </c>
      <c r="F3785" s="71" t="s">
        <v>300</v>
      </c>
      <c r="G3785" s="88">
        <v>46184.693043981497</v>
      </c>
      <c r="H3785" s="89">
        <v>46184</v>
      </c>
      <c r="I3785" s="71" t="s">
        <v>328</v>
      </c>
      <c r="J3785" s="71">
        <v>0</v>
      </c>
      <c r="K3785" s="71" t="s">
        <v>302</v>
      </c>
      <c r="L3785" s="71">
        <f t="shared" si="531"/>
        <v>6</v>
      </c>
      <c r="M3785" s="71" t="str">
        <f>IFERROR(INDEX(KALENDER!$D$3:$D$132,MATCH(H3785,KALENDER!$A$3:$A$132,0)),"Di luar periode")</f>
        <v>Hari Kerja</v>
      </c>
      <c r="N3785" s="71">
        <f t="shared" si="532"/>
        <v>0</v>
      </c>
      <c r="O3785" s="71">
        <f t="shared" si="533"/>
        <v>1</v>
      </c>
      <c r="P3785" s="71">
        <f t="shared" si="534"/>
        <v>0</v>
      </c>
      <c r="Q3785" s="71">
        <f t="shared" si="535"/>
        <v>0</v>
      </c>
      <c r="R3785" s="71">
        <f t="shared" si="536"/>
        <v>0</v>
      </c>
      <c r="S3785" s="71">
        <f t="shared" si="537"/>
        <v>0</v>
      </c>
      <c r="T3785" s="71">
        <f t="shared" si="538"/>
        <v>0</v>
      </c>
      <c r="U3785" s="71">
        <f>IF(AND(N3785=1,V3785=1),IF(COUNTIFS(AKTIVITAS!$B$2:$B$3052,B3785,AKTIVITAS!$E$2:$E$3052,H3785)&gt;0,1,0),0)</f>
        <v>0</v>
      </c>
      <c r="V3785" s="71">
        <f>IFERROR(IF(AND(H3785&gt;=INDEX(PEMAGANG!$J$3:$J$36,MATCH(B3785,PEMAGANG!$C$3:$C$36,0)),H3785&lt;=INDEX(PEMAGANG!$K$3:$K$36,MATCH(B3785,PEMAGANG!$C$3:$C$36,0))),1,0),0)</f>
        <v>1</v>
      </c>
      <c r="W3785" s="71">
        <f t="shared" si="539"/>
        <v>0</v>
      </c>
    </row>
    <row r="3786" spans="1:23" x14ac:dyDescent="0.2">
      <c r="A3786" s="71" t="s">
        <v>198</v>
      </c>
      <c r="B3786" s="71" t="s">
        <v>199</v>
      </c>
      <c r="C3786" s="71" t="s">
        <v>187</v>
      </c>
      <c r="D3786" s="71" t="s">
        <v>185</v>
      </c>
      <c r="E3786" s="71" t="s">
        <v>47</v>
      </c>
      <c r="F3786" s="71" t="s">
        <v>298</v>
      </c>
      <c r="G3786" s="88">
        <v>46185.3102083333</v>
      </c>
      <c r="H3786" s="89">
        <v>46185</v>
      </c>
      <c r="I3786" s="71" t="s">
        <v>315</v>
      </c>
      <c r="J3786" s="71">
        <v>-3.9999999999999898</v>
      </c>
      <c r="K3786" s="71" t="s">
        <v>302</v>
      </c>
      <c r="L3786" s="71">
        <f t="shared" si="531"/>
        <v>6</v>
      </c>
      <c r="M3786" s="71" t="str">
        <f>IFERROR(INDEX(KALENDER!$D$3:$D$132,MATCH(H3786,KALENDER!$A$3:$A$132,0)),"Di luar periode")</f>
        <v>Hari Kerja</v>
      </c>
      <c r="N3786" s="71">
        <f t="shared" si="532"/>
        <v>1</v>
      </c>
      <c r="O3786" s="71">
        <f t="shared" si="533"/>
        <v>1</v>
      </c>
      <c r="P3786" s="71">
        <f t="shared" si="534"/>
        <v>1</v>
      </c>
      <c r="Q3786" s="71">
        <f t="shared" si="535"/>
        <v>0</v>
      </c>
      <c r="R3786" s="71">
        <f t="shared" si="536"/>
        <v>0</v>
      </c>
      <c r="S3786" s="71">
        <f t="shared" si="537"/>
        <v>0</v>
      </c>
      <c r="T3786" s="71">
        <f t="shared" si="538"/>
        <v>0</v>
      </c>
      <c r="U3786" s="71">
        <f>IF(AND(N3786=1,V3786=1),IF(COUNTIFS(AKTIVITAS!$B$2:$B$3052,B3786,AKTIVITAS!$E$2:$E$3052,H3786)&gt;0,1,0),0)</f>
        <v>1</v>
      </c>
      <c r="V3786" s="71">
        <f>IFERROR(IF(AND(H3786&gt;=INDEX(PEMAGANG!$J$3:$J$36,MATCH(B3786,PEMAGANG!$C$3:$C$36,0)),H3786&lt;=INDEX(PEMAGANG!$K$3:$K$36,MATCH(B3786,PEMAGANG!$C$3:$C$36,0))),1,0),0)</f>
        <v>1</v>
      </c>
      <c r="W3786" s="71">
        <f t="shared" si="539"/>
        <v>1</v>
      </c>
    </row>
    <row r="3787" spans="1:23" x14ac:dyDescent="0.2">
      <c r="A3787" s="71" t="s">
        <v>198</v>
      </c>
      <c r="B3787" s="71" t="s">
        <v>199</v>
      </c>
      <c r="C3787" s="71" t="s">
        <v>187</v>
      </c>
      <c r="D3787" s="71" t="s">
        <v>185</v>
      </c>
      <c r="E3787" s="71" t="s">
        <v>47</v>
      </c>
      <c r="F3787" s="71" t="s">
        <v>300</v>
      </c>
      <c r="G3787" s="88">
        <v>46185.688854166699</v>
      </c>
      <c r="H3787" s="89">
        <v>46185</v>
      </c>
      <c r="I3787" s="71" t="s">
        <v>336</v>
      </c>
      <c r="J3787" s="71">
        <v>0</v>
      </c>
      <c r="K3787" s="71" t="s">
        <v>302</v>
      </c>
      <c r="L3787" s="71">
        <f t="shared" si="531"/>
        <v>6</v>
      </c>
      <c r="M3787" s="71" t="str">
        <f>IFERROR(INDEX(KALENDER!$D$3:$D$132,MATCH(H3787,KALENDER!$A$3:$A$132,0)),"Di luar periode")</f>
        <v>Hari Kerja</v>
      </c>
      <c r="N3787" s="71">
        <f t="shared" si="532"/>
        <v>0</v>
      </c>
      <c r="O3787" s="71">
        <f t="shared" si="533"/>
        <v>1</v>
      </c>
      <c r="P3787" s="71">
        <f t="shared" si="534"/>
        <v>0</v>
      </c>
      <c r="Q3787" s="71">
        <f t="shared" si="535"/>
        <v>0</v>
      </c>
      <c r="R3787" s="71">
        <f t="shared" si="536"/>
        <v>0</v>
      </c>
      <c r="S3787" s="71">
        <f t="shared" si="537"/>
        <v>0</v>
      </c>
      <c r="T3787" s="71">
        <f t="shared" si="538"/>
        <v>0</v>
      </c>
      <c r="U3787" s="71">
        <f>IF(AND(N3787=1,V3787=1),IF(COUNTIFS(AKTIVITAS!$B$2:$B$3052,B3787,AKTIVITAS!$E$2:$E$3052,H3787)&gt;0,1,0),0)</f>
        <v>0</v>
      </c>
      <c r="V3787" s="71">
        <f>IFERROR(IF(AND(H3787&gt;=INDEX(PEMAGANG!$J$3:$J$36,MATCH(B3787,PEMAGANG!$C$3:$C$36,0)),H3787&lt;=INDEX(PEMAGANG!$K$3:$K$36,MATCH(B3787,PEMAGANG!$C$3:$C$36,0))),1,0),0)</f>
        <v>1</v>
      </c>
      <c r="W3787" s="71">
        <f t="shared" si="539"/>
        <v>0</v>
      </c>
    </row>
    <row r="3788" spans="1:23" x14ac:dyDescent="0.2">
      <c r="A3788" s="71" t="s">
        <v>198</v>
      </c>
      <c r="B3788" s="71" t="s">
        <v>199</v>
      </c>
      <c r="C3788" s="71" t="s">
        <v>187</v>
      </c>
      <c r="D3788" s="71" t="s">
        <v>185</v>
      </c>
      <c r="E3788" s="71" t="s">
        <v>47</v>
      </c>
      <c r="F3788" s="71" t="s">
        <v>298</v>
      </c>
      <c r="G3788" s="88">
        <v>46188.308333333298</v>
      </c>
      <c r="H3788" s="89">
        <v>46188</v>
      </c>
      <c r="I3788" s="71" t="s">
        <v>303</v>
      </c>
      <c r="J3788" s="71">
        <v>-5.9999999999999796</v>
      </c>
      <c r="K3788" s="71" t="s">
        <v>302</v>
      </c>
      <c r="L3788" s="71">
        <f t="shared" si="531"/>
        <v>6</v>
      </c>
      <c r="M3788" s="71" t="str">
        <f>IFERROR(INDEX(KALENDER!$D$3:$D$132,MATCH(H3788,KALENDER!$A$3:$A$132,0)),"Di luar periode")</f>
        <v>Hari Kerja</v>
      </c>
      <c r="N3788" s="71">
        <f t="shared" si="532"/>
        <v>1</v>
      </c>
      <c r="O3788" s="71">
        <f t="shared" si="533"/>
        <v>1</v>
      </c>
      <c r="P3788" s="71">
        <f t="shared" si="534"/>
        <v>1</v>
      </c>
      <c r="Q3788" s="71">
        <f t="shared" si="535"/>
        <v>0</v>
      </c>
      <c r="R3788" s="71">
        <f t="shared" si="536"/>
        <v>0</v>
      </c>
      <c r="S3788" s="71">
        <f t="shared" si="537"/>
        <v>0</v>
      </c>
      <c r="T3788" s="71">
        <f t="shared" si="538"/>
        <v>0</v>
      </c>
      <c r="U3788" s="71">
        <f>IF(AND(N3788=1,V3788=1),IF(COUNTIFS(AKTIVITAS!$B$2:$B$3052,B3788,AKTIVITAS!$E$2:$E$3052,H3788)&gt;0,1,0),0)</f>
        <v>1</v>
      </c>
      <c r="V3788" s="71">
        <f>IFERROR(IF(AND(H3788&gt;=INDEX(PEMAGANG!$J$3:$J$36,MATCH(B3788,PEMAGANG!$C$3:$C$36,0)),H3788&lt;=INDEX(PEMAGANG!$K$3:$K$36,MATCH(B3788,PEMAGANG!$C$3:$C$36,0))),1,0),0)</f>
        <v>1</v>
      </c>
      <c r="W3788" s="71">
        <f t="shared" si="539"/>
        <v>1</v>
      </c>
    </row>
    <row r="3789" spans="1:23" x14ac:dyDescent="0.2">
      <c r="A3789" s="71" t="s">
        <v>198</v>
      </c>
      <c r="B3789" s="71" t="s">
        <v>199</v>
      </c>
      <c r="C3789" s="71" t="s">
        <v>187</v>
      </c>
      <c r="D3789" s="71" t="s">
        <v>185</v>
      </c>
      <c r="E3789" s="71" t="s">
        <v>47</v>
      </c>
      <c r="F3789" s="71" t="s">
        <v>300</v>
      </c>
      <c r="G3789" s="88">
        <v>46188.855925925898</v>
      </c>
      <c r="H3789" s="89">
        <v>46188</v>
      </c>
      <c r="I3789" s="71" t="s">
        <v>729</v>
      </c>
      <c r="J3789" s="71">
        <v>0</v>
      </c>
      <c r="K3789" s="71" t="s">
        <v>302</v>
      </c>
      <c r="L3789" s="71">
        <f t="shared" si="531"/>
        <v>6</v>
      </c>
      <c r="M3789" s="71" t="str">
        <f>IFERROR(INDEX(KALENDER!$D$3:$D$132,MATCH(H3789,KALENDER!$A$3:$A$132,0)),"Di luar periode")</f>
        <v>Hari Kerja</v>
      </c>
      <c r="N3789" s="71">
        <f t="shared" si="532"/>
        <v>0</v>
      </c>
      <c r="O3789" s="71">
        <f t="shared" si="533"/>
        <v>1</v>
      </c>
      <c r="P3789" s="71">
        <f t="shared" si="534"/>
        <v>0</v>
      </c>
      <c r="Q3789" s="71">
        <f t="shared" si="535"/>
        <v>0</v>
      </c>
      <c r="R3789" s="71">
        <f t="shared" si="536"/>
        <v>0</v>
      </c>
      <c r="S3789" s="71">
        <f t="shared" si="537"/>
        <v>0</v>
      </c>
      <c r="T3789" s="71">
        <f t="shared" si="538"/>
        <v>0</v>
      </c>
      <c r="U3789" s="71">
        <f>IF(AND(N3789=1,V3789=1),IF(COUNTIFS(AKTIVITAS!$B$2:$B$3052,B3789,AKTIVITAS!$E$2:$E$3052,H3789)&gt;0,1,0),0)</f>
        <v>0</v>
      </c>
      <c r="V3789" s="71">
        <f>IFERROR(IF(AND(H3789&gt;=INDEX(PEMAGANG!$J$3:$J$36,MATCH(B3789,PEMAGANG!$C$3:$C$36,0)),H3789&lt;=INDEX(PEMAGANG!$K$3:$K$36,MATCH(B3789,PEMAGANG!$C$3:$C$36,0))),1,0),0)</f>
        <v>1</v>
      </c>
      <c r="W3789" s="71">
        <f t="shared" si="539"/>
        <v>0</v>
      </c>
    </row>
    <row r="3790" spans="1:23" x14ac:dyDescent="0.2">
      <c r="A3790" s="71" t="s">
        <v>198</v>
      </c>
      <c r="B3790" s="71" t="s">
        <v>199</v>
      </c>
      <c r="C3790" s="71" t="s">
        <v>187</v>
      </c>
      <c r="D3790" s="71" t="s">
        <v>185</v>
      </c>
      <c r="E3790" s="71" t="s">
        <v>47</v>
      </c>
      <c r="F3790" s="71" t="s">
        <v>298</v>
      </c>
      <c r="G3790" s="88">
        <v>46190.301793981504</v>
      </c>
      <c r="H3790" s="89">
        <v>46190</v>
      </c>
      <c r="I3790" s="71" t="s">
        <v>416</v>
      </c>
      <c r="J3790" s="71">
        <v>-16</v>
      </c>
      <c r="K3790" s="71" t="s">
        <v>302</v>
      </c>
      <c r="L3790" s="71">
        <f t="shared" si="531"/>
        <v>6</v>
      </c>
      <c r="M3790" s="71" t="str">
        <f>IFERROR(INDEX(KALENDER!$D$3:$D$132,MATCH(H3790,KALENDER!$A$3:$A$132,0)),"Di luar periode")</f>
        <v>WFH</v>
      </c>
      <c r="N3790" s="71">
        <f t="shared" si="532"/>
        <v>1</v>
      </c>
      <c r="O3790" s="71">
        <f t="shared" si="533"/>
        <v>1</v>
      </c>
      <c r="P3790" s="71">
        <f t="shared" si="534"/>
        <v>0</v>
      </c>
      <c r="Q3790" s="71">
        <f t="shared" si="535"/>
        <v>1</v>
      </c>
      <c r="R3790" s="71">
        <f t="shared" si="536"/>
        <v>0</v>
      </c>
      <c r="S3790" s="71">
        <f t="shared" si="537"/>
        <v>0</v>
      </c>
      <c r="T3790" s="71">
        <f t="shared" si="538"/>
        <v>1</v>
      </c>
      <c r="U3790" s="71">
        <f>IF(AND(N3790=1,V3790=1),IF(COUNTIFS(AKTIVITAS!$B$2:$B$3052,B3790,AKTIVITAS!$E$2:$E$3052,H3790)&gt;0,1,0),0)</f>
        <v>1</v>
      </c>
      <c r="V3790" s="71">
        <f>IFERROR(IF(AND(H3790&gt;=INDEX(PEMAGANG!$J$3:$J$36,MATCH(B3790,PEMAGANG!$C$3:$C$36,0)),H3790&lt;=INDEX(PEMAGANG!$K$3:$K$36,MATCH(B3790,PEMAGANG!$C$3:$C$36,0))),1,0),0)</f>
        <v>1</v>
      </c>
      <c r="W3790" s="71">
        <f t="shared" si="539"/>
        <v>1</v>
      </c>
    </row>
    <row r="3791" spans="1:23" x14ac:dyDescent="0.2">
      <c r="A3791" s="71" t="s">
        <v>198</v>
      </c>
      <c r="B3791" s="71" t="s">
        <v>199</v>
      </c>
      <c r="C3791" s="71" t="s">
        <v>187</v>
      </c>
      <c r="D3791" s="71" t="s">
        <v>185</v>
      </c>
      <c r="E3791" s="71" t="s">
        <v>47</v>
      </c>
      <c r="F3791" s="71" t="s">
        <v>298</v>
      </c>
      <c r="G3791" s="88">
        <v>46191.308090277802</v>
      </c>
      <c r="H3791" s="89">
        <v>46191</v>
      </c>
      <c r="I3791" s="71" t="s">
        <v>311</v>
      </c>
      <c r="J3791" s="71">
        <v>-6.9999999999999796</v>
      </c>
      <c r="K3791" s="71" t="s">
        <v>302</v>
      </c>
      <c r="L3791" s="71">
        <f t="shared" si="531"/>
        <v>6</v>
      </c>
      <c r="M3791" s="71" t="str">
        <f>IFERROR(INDEX(KALENDER!$D$3:$D$132,MATCH(H3791,KALENDER!$A$3:$A$132,0)),"Di luar periode")</f>
        <v>Hari Kerja</v>
      </c>
      <c r="N3791" s="71">
        <f t="shared" si="532"/>
        <v>1</v>
      </c>
      <c r="O3791" s="71">
        <f t="shared" si="533"/>
        <v>1</v>
      </c>
      <c r="P3791" s="71">
        <f t="shared" si="534"/>
        <v>1</v>
      </c>
      <c r="Q3791" s="71">
        <f t="shared" si="535"/>
        <v>0</v>
      </c>
      <c r="R3791" s="71">
        <f t="shared" si="536"/>
        <v>0</v>
      </c>
      <c r="S3791" s="71">
        <f t="shared" si="537"/>
        <v>0</v>
      </c>
      <c r="T3791" s="71">
        <f t="shared" si="538"/>
        <v>0</v>
      </c>
      <c r="U3791" s="71">
        <f>IF(AND(N3791=1,V3791=1),IF(COUNTIFS(AKTIVITAS!$B$2:$B$3052,B3791,AKTIVITAS!$E$2:$E$3052,H3791)&gt;0,1,0),0)</f>
        <v>1</v>
      </c>
      <c r="V3791" s="71">
        <f>IFERROR(IF(AND(H3791&gt;=INDEX(PEMAGANG!$J$3:$J$36,MATCH(B3791,PEMAGANG!$C$3:$C$36,0)),H3791&lt;=INDEX(PEMAGANG!$K$3:$K$36,MATCH(B3791,PEMAGANG!$C$3:$C$36,0))),1,0),0)</f>
        <v>1</v>
      </c>
      <c r="W3791" s="71">
        <f t="shared" si="539"/>
        <v>1</v>
      </c>
    </row>
    <row r="3792" spans="1:23" x14ac:dyDescent="0.2">
      <c r="A3792" s="71" t="s">
        <v>198</v>
      </c>
      <c r="B3792" s="71" t="s">
        <v>199</v>
      </c>
      <c r="C3792" s="71" t="s">
        <v>187</v>
      </c>
      <c r="D3792" s="71" t="s">
        <v>185</v>
      </c>
      <c r="E3792" s="71" t="s">
        <v>47</v>
      </c>
      <c r="F3792" s="71" t="s">
        <v>300</v>
      </c>
      <c r="G3792" s="88">
        <v>46191.695682870399</v>
      </c>
      <c r="H3792" s="89">
        <v>46191</v>
      </c>
      <c r="I3792" s="71" t="s">
        <v>319</v>
      </c>
      <c r="J3792" s="71">
        <v>0</v>
      </c>
      <c r="K3792" s="71" t="s">
        <v>302</v>
      </c>
      <c r="L3792" s="71">
        <f t="shared" si="531"/>
        <v>6</v>
      </c>
      <c r="M3792" s="71" t="str">
        <f>IFERROR(INDEX(KALENDER!$D$3:$D$132,MATCH(H3792,KALENDER!$A$3:$A$132,0)),"Di luar periode")</f>
        <v>Hari Kerja</v>
      </c>
      <c r="N3792" s="71">
        <f t="shared" si="532"/>
        <v>0</v>
      </c>
      <c r="O3792" s="71">
        <f t="shared" si="533"/>
        <v>1</v>
      </c>
      <c r="P3792" s="71">
        <f t="shared" si="534"/>
        <v>0</v>
      </c>
      <c r="Q3792" s="71">
        <f t="shared" si="535"/>
        <v>0</v>
      </c>
      <c r="R3792" s="71">
        <f t="shared" si="536"/>
        <v>0</v>
      </c>
      <c r="S3792" s="71">
        <f t="shared" si="537"/>
        <v>0</v>
      </c>
      <c r="T3792" s="71">
        <f t="shared" si="538"/>
        <v>0</v>
      </c>
      <c r="U3792" s="71">
        <f>IF(AND(N3792=1,V3792=1),IF(COUNTIFS(AKTIVITAS!$B$2:$B$3052,B3792,AKTIVITAS!$E$2:$E$3052,H3792)&gt;0,1,0),0)</f>
        <v>0</v>
      </c>
      <c r="V3792" s="71">
        <f>IFERROR(IF(AND(H3792&gt;=INDEX(PEMAGANG!$J$3:$J$36,MATCH(B3792,PEMAGANG!$C$3:$C$36,0)),H3792&lt;=INDEX(PEMAGANG!$K$3:$K$36,MATCH(B3792,PEMAGANG!$C$3:$C$36,0))),1,0),0)</f>
        <v>1</v>
      </c>
      <c r="W3792" s="71">
        <f t="shared" si="539"/>
        <v>0</v>
      </c>
    </row>
    <row r="3793" spans="1:23" x14ac:dyDescent="0.2">
      <c r="A3793" s="71" t="s">
        <v>198</v>
      </c>
      <c r="B3793" s="71" t="s">
        <v>199</v>
      </c>
      <c r="C3793" s="71" t="s">
        <v>187</v>
      </c>
      <c r="D3793" s="71" t="s">
        <v>185</v>
      </c>
      <c r="E3793" s="71" t="s">
        <v>47</v>
      </c>
      <c r="F3793" s="71" t="s">
        <v>298</v>
      </c>
      <c r="G3793" s="88">
        <v>46192.3108796296</v>
      </c>
      <c r="H3793" s="89">
        <v>46192</v>
      </c>
      <c r="I3793" s="71" t="s">
        <v>309</v>
      </c>
      <c r="J3793" s="71">
        <v>-2.9999999999999898</v>
      </c>
      <c r="K3793" s="71" t="s">
        <v>302</v>
      </c>
      <c r="L3793" s="71">
        <f t="shared" si="531"/>
        <v>6</v>
      </c>
      <c r="M3793" s="71" t="str">
        <f>IFERROR(INDEX(KALENDER!$D$3:$D$132,MATCH(H3793,KALENDER!$A$3:$A$132,0)),"Di luar periode")</f>
        <v>Hari Kerja</v>
      </c>
      <c r="N3793" s="71">
        <f t="shared" si="532"/>
        <v>1</v>
      </c>
      <c r="O3793" s="71">
        <f t="shared" si="533"/>
        <v>1</v>
      </c>
      <c r="P3793" s="71">
        <f t="shared" si="534"/>
        <v>1</v>
      </c>
      <c r="Q3793" s="71">
        <f t="shared" si="535"/>
        <v>0</v>
      </c>
      <c r="R3793" s="71">
        <f t="shared" si="536"/>
        <v>0</v>
      </c>
      <c r="S3793" s="71">
        <f t="shared" si="537"/>
        <v>0</v>
      </c>
      <c r="T3793" s="71">
        <f t="shared" si="538"/>
        <v>0</v>
      </c>
      <c r="U3793" s="71">
        <f>IF(AND(N3793=1,V3793=1),IF(COUNTIFS(AKTIVITAS!$B$2:$B$3052,B3793,AKTIVITAS!$E$2:$E$3052,H3793)&gt;0,1,0),0)</f>
        <v>1</v>
      </c>
      <c r="V3793" s="71">
        <f>IFERROR(IF(AND(H3793&gt;=INDEX(PEMAGANG!$J$3:$J$36,MATCH(B3793,PEMAGANG!$C$3:$C$36,0)),H3793&lt;=INDEX(PEMAGANG!$K$3:$K$36,MATCH(B3793,PEMAGANG!$C$3:$C$36,0))),1,0),0)</f>
        <v>1</v>
      </c>
      <c r="W3793" s="71">
        <f t="shared" si="539"/>
        <v>1</v>
      </c>
    </row>
    <row r="3794" spans="1:23" x14ac:dyDescent="0.2">
      <c r="A3794" s="71" t="s">
        <v>198</v>
      </c>
      <c r="B3794" s="71" t="s">
        <v>199</v>
      </c>
      <c r="C3794" s="71" t="s">
        <v>187</v>
      </c>
      <c r="D3794" s="71" t="s">
        <v>185</v>
      </c>
      <c r="E3794" s="71" t="s">
        <v>47</v>
      </c>
      <c r="F3794" s="71" t="s">
        <v>300</v>
      </c>
      <c r="G3794" s="88">
        <v>46192.6902893519</v>
      </c>
      <c r="H3794" s="89">
        <v>46192</v>
      </c>
      <c r="I3794" s="71" t="s">
        <v>314</v>
      </c>
      <c r="J3794" s="71">
        <v>0</v>
      </c>
      <c r="K3794" s="71" t="s">
        <v>302</v>
      </c>
      <c r="L3794" s="71">
        <f t="shared" si="531"/>
        <v>6</v>
      </c>
      <c r="M3794" s="71" t="str">
        <f>IFERROR(INDEX(KALENDER!$D$3:$D$132,MATCH(H3794,KALENDER!$A$3:$A$132,0)),"Di luar periode")</f>
        <v>Hari Kerja</v>
      </c>
      <c r="N3794" s="71">
        <f t="shared" si="532"/>
        <v>0</v>
      </c>
      <c r="O3794" s="71">
        <f t="shared" si="533"/>
        <v>1</v>
      </c>
      <c r="P3794" s="71">
        <f t="shared" si="534"/>
        <v>0</v>
      </c>
      <c r="Q3794" s="71">
        <f t="shared" si="535"/>
        <v>0</v>
      </c>
      <c r="R3794" s="71">
        <f t="shared" si="536"/>
        <v>0</v>
      </c>
      <c r="S3794" s="71">
        <f t="shared" si="537"/>
        <v>0</v>
      </c>
      <c r="T3794" s="71">
        <f t="shared" si="538"/>
        <v>0</v>
      </c>
      <c r="U3794" s="71">
        <f>IF(AND(N3794=1,V3794=1),IF(COUNTIFS(AKTIVITAS!$B$2:$B$3052,B3794,AKTIVITAS!$E$2:$E$3052,H3794)&gt;0,1,0),0)</f>
        <v>0</v>
      </c>
      <c r="V3794" s="71">
        <f>IFERROR(IF(AND(H3794&gt;=INDEX(PEMAGANG!$J$3:$J$36,MATCH(B3794,PEMAGANG!$C$3:$C$36,0)),H3794&lt;=INDEX(PEMAGANG!$K$3:$K$36,MATCH(B3794,PEMAGANG!$C$3:$C$36,0))),1,0),0)</f>
        <v>1</v>
      </c>
      <c r="W3794" s="71">
        <f t="shared" si="539"/>
        <v>0</v>
      </c>
    </row>
    <row r="3795" spans="1:23" x14ac:dyDescent="0.2">
      <c r="A3795" s="71" t="s">
        <v>198</v>
      </c>
      <c r="B3795" s="71" t="s">
        <v>199</v>
      </c>
      <c r="C3795" s="71" t="s">
        <v>187</v>
      </c>
      <c r="D3795" s="71" t="s">
        <v>185</v>
      </c>
      <c r="E3795" s="71" t="s">
        <v>47</v>
      </c>
      <c r="F3795" s="71" t="s">
        <v>298</v>
      </c>
      <c r="G3795" s="88">
        <v>46195.310138888897</v>
      </c>
      <c r="H3795" s="89">
        <v>46195</v>
      </c>
      <c r="I3795" s="71" t="s">
        <v>315</v>
      </c>
      <c r="J3795" s="71">
        <v>-3.9999999999999898</v>
      </c>
      <c r="K3795" s="71" t="s">
        <v>302</v>
      </c>
      <c r="L3795" s="71">
        <f t="shared" si="531"/>
        <v>6</v>
      </c>
      <c r="M3795" s="71" t="str">
        <f>IFERROR(INDEX(KALENDER!$D$3:$D$132,MATCH(H3795,KALENDER!$A$3:$A$132,0)),"Di luar periode")</f>
        <v>Hari Kerja</v>
      </c>
      <c r="N3795" s="71">
        <f t="shared" si="532"/>
        <v>1</v>
      </c>
      <c r="O3795" s="71">
        <f t="shared" si="533"/>
        <v>1</v>
      </c>
      <c r="P3795" s="71">
        <f t="shared" si="534"/>
        <v>1</v>
      </c>
      <c r="Q3795" s="71">
        <f t="shared" si="535"/>
        <v>0</v>
      </c>
      <c r="R3795" s="71">
        <f t="shared" si="536"/>
        <v>0</v>
      </c>
      <c r="S3795" s="71">
        <f t="shared" si="537"/>
        <v>0</v>
      </c>
      <c r="T3795" s="71">
        <f t="shared" si="538"/>
        <v>0</v>
      </c>
      <c r="U3795" s="71">
        <f>IF(AND(N3795=1,V3795=1),IF(COUNTIFS(AKTIVITAS!$B$2:$B$3052,B3795,AKTIVITAS!$E$2:$E$3052,H3795)&gt;0,1,0),0)</f>
        <v>1</v>
      </c>
      <c r="V3795" s="71">
        <f>IFERROR(IF(AND(H3795&gt;=INDEX(PEMAGANG!$J$3:$J$36,MATCH(B3795,PEMAGANG!$C$3:$C$36,0)),H3795&lt;=INDEX(PEMAGANG!$K$3:$K$36,MATCH(B3795,PEMAGANG!$C$3:$C$36,0))),1,0),0)</f>
        <v>1</v>
      </c>
      <c r="W3795" s="71">
        <f t="shared" si="539"/>
        <v>1</v>
      </c>
    </row>
    <row r="3796" spans="1:23" x14ac:dyDescent="0.2">
      <c r="A3796" s="71" t="s">
        <v>198</v>
      </c>
      <c r="B3796" s="71" t="s">
        <v>199</v>
      </c>
      <c r="C3796" s="71" t="s">
        <v>187</v>
      </c>
      <c r="D3796" s="71" t="s">
        <v>185</v>
      </c>
      <c r="E3796" s="71" t="s">
        <v>47</v>
      </c>
      <c r="F3796" s="71" t="s">
        <v>300</v>
      </c>
      <c r="G3796" s="88">
        <v>46195.692222222198</v>
      </c>
      <c r="H3796" s="89">
        <v>46195</v>
      </c>
      <c r="I3796" s="71" t="s">
        <v>344</v>
      </c>
      <c r="J3796" s="71">
        <v>0</v>
      </c>
      <c r="K3796" s="71" t="s">
        <v>302</v>
      </c>
      <c r="L3796" s="71">
        <f t="shared" si="531"/>
        <v>6</v>
      </c>
      <c r="M3796" s="71" t="str">
        <f>IFERROR(INDEX(KALENDER!$D$3:$D$132,MATCH(H3796,KALENDER!$A$3:$A$132,0)),"Di luar periode")</f>
        <v>Hari Kerja</v>
      </c>
      <c r="N3796" s="71">
        <f t="shared" si="532"/>
        <v>0</v>
      </c>
      <c r="O3796" s="71">
        <f t="shared" si="533"/>
        <v>1</v>
      </c>
      <c r="P3796" s="71">
        <f t="shared" si="534"/>
        <v>0</v>
      </c>
      <c r="Q3796" s="71">
        <f t="shared" si="535"/>
        <v>0</v>
      </c>
      <c r="R3796" s="71">
        <f t="shared" si="536"/>
        <v>0</v>
      </c>
      <c r="S3796" s="71">
        <f t="shared" si="537"/>
        <v>0</v>
      </c>
      <c r="T3796" s="71">
        <f t="shared" si="538"/>
        <v>0</v>
      </c>
      <c r="U3796" s="71">
        <f>IF(AND(N3796=1,V3796=1),IF(COUNTIFS(AKTIVITAS!$B$2:$B$3052,B3796,AKTIVITAS!$E$2:$E$3052,H3796)&gt;0,1,0),0)</f>
        <v>0</v>
      </c>
      <c r="V3796" s="71">
        <f>IFERROR(IF(AND(H3796&gt;=INDEX(PEMAGANG!$J$3:$J$36,MATCH(B3796,PEMAGANG!$C$3:$C$36,0)),H3796&lt;=INDEX(PEMAGANG!$K$3:$K$36,MATCH(B3796,PEMAGANG!$C$3:$C$36,0))),1,0),0)</f>
        <v>1</v>
      </c>
      <c r="W3796" s="71">
        <f t="shared" si="539"/>
        <v>0</v>
      </c>
    </row>
    <row r="3797" spans="1:23" x14ac:dyDescent="0.2">
      <c r="A3797" s="71" t="s">
        <v>198</v>
      </c>
      <c r="B3797" s="71" t="s">
        <v>199</v>
      </c>
      <c r="C3797" s="71" t="s">
        <v>187</v>
      </c>
      <c r="D3797" s="71" t="s">
        <v>185</v>
      </c>
      <c r="E3797" s="71" t="s">
        <v>47</v>
      </c>
      <c r="F3797" s="71" t="s">
        <v>298</v>
      </c>
      <c r="G3797" s="88">
        <v>46196.308993055602</v>
      </c>
      <c r="H3797" s="89">
        <v>46196</v>
      </c>
      <c r="I3797" s="71" t="s">
        <v>303</v>
      </c>
      <c r="J3797" s="71">
        <v>-5.9999999999999796</v>
      </c>
      <c r="K3797" s="71" t="s">
        <v>302</v>
      </c>
      <c r="L3797" s="71">
        <f t="shared" si="531"/>
        <v>6</v>
      </c>
      <c r="M3797" s="71" t="str">
        <f>IFERROR(INDEX(KALENDER!$D$3:$D$132,MATCH(H3797,KALENDER!$A$3:$A$132,0)),"Di luar periode")</f>
        <v>Hari Kerja</v>
      </c>
      <c r="N3797" s="71">
        <f t="shared" si="532"/>
        <v>1</v>
      </c>
      <c r="O3797" s="71">
        <f t="shared" si="533"/>
        <v>1</v>
      </c>
      <c r="P3797" s="71">
        <f t="shared" si="534"/>
        <v>1</v>
      </c>
      <c r="Q3797" s="71">
        <f t="shared" si="535"/>
        <v>0</v>
      </c>
      <c r="R3797" s="71">
        <f t="shared" si="536"/>
        <v>0</v>
      </c>
      <c r="S3797" s="71">
        <f t="shared" si="537"/>
        <v>0</v>
      </c>
      <c r="T3797" s="71">
        <f t="shared" si="538"/>
        <v>0</v>
      </c>
      <c r="U3797" s="71">
        <f>IF(AND(N3797=1,V3797=1),IF(COUNTIFS(AKTIVITAS!$B$2:$B$3052,B3797,AKTIVITAS!$E$2:$E$3052,H3797)&gt;0,1,0),0)</f>
        <v>1</v>
      </c>
      <c r="V3797" s="71">
        <f>IFERROR(IF(AND(H3797&gt;=INDEX(PEMAGANG!$J$3:$J$36,MATCH(B3797,PEMAGANG!$C$3:$C$36,0)),H3797&lt;=INDEX(PEMAGANG!$K$3:$K$36,MATCH(B3797,PEMAGANG!$C$3:$C$36,0))),1,0),0)</f>
        <v>1</v>
      </c>
      <c r="W3797" s="71">
        <f t="shared" si="539"/>
        <v>1</v>
      </c>
    </row>
    <row r="3798" spans="1:23" x14ac:dyDescent="0.2">
      <c r="A3798" s="71" t="s">
        <v>198</v>
      </c>
      <c r="B3798" s="71" t="s">
        <v>199</v>
      </c>
      <c r="C3798" s="71" t="s">
        <v>187</v>
      </c>
      <c r="D3798" s="71" t="s">
        <v>185</v>
      </c>
      <c r="E3798" s="71" t="s">
        <v>47</v>
      </c>
      <c r="F3798" s="71" t="s">
        <v>300</v>
      </c>
      <c r="G3798" s="88">
        <v>46196.698935185203</v>
      </c>
      <c r="H3798" s="89">
        <v>46196</v>
      </c>
      <c r="I3798" s="71" t="s">
        <v>488</v>
      </c>
      <c r="J3798" s="71">
        <v>0</v>
      </c>
      <c r="K3798" s="71" t="s">
        <v>302</v>
      </c>
      <c r="L3798" s="71">
        <f t="shared" si="531"/>
        <v>6</v>
      </c>
      <c r="M3798" s="71" t="str">
        <f>IFERROR(INDEX(KALENDER!$D$3:$D$132,MATCH(H3798,KALENDER!$A$3:$A$132,0)),"Di luar periode")</f>
        <v>Hari Kerja</v>
      </c>
      <c r="N3798" s="71">
        <f t="shared" si="532"/>
        <v>0</v>
      </c>
      <c r="O3798" s="71">
        <f t="shared" si="533"/>
        <v>1</v>
      </c>
      <c r="P3798" s="71">
        <f t="shared" si="534"/>
        <v>0</v>
      </c>
      <c r="Q3798" s="71">
        <f t="shared" si="535"/>
        <v>0</v>
      </c>
      <c r="R3798" s="71">
        <f t="shared" si="536"/>
        <v>0</v>
      </c>
      <c r="S3798" s="71">
        <f t="shared" si="537"/>
        <v>0</v>
      </c>
      <c r="T3798" s="71">
        <f t="shared" si="538"/>
        <v>0</v>
      </c>
      <c r="U3798" s="71">
        <f>IF(AND(N3798=1,V3798=1),IF(COUNTIFS(AKTIVITAS!$B$2:$B$3052,B3798,AKTIVITAS!$E$2:$E$3052,H3798)&gt;0,1,0),0)</f>
        <v>0</v>
      </c>
      <c r="V3798" s="71">
        <f>IFERROR(IF(AND(H3798&gt;=INDEX(PEMAGANG!$J$3:$J$36,MATCH(B3798,PEMAGANG!$C$3:$C$36,0)),H3798&lt;=INDEX(PEMAGANG!$K$3:$K$36,MATCH(B3798,PEMAGANG!$C$3:$C$36,0))),1,0),0)</f>
        <v>1</v>
      </c>
      <c r="W3798" s="71">
        <f t="shared" si="539"/>
        <v>0</v>
      </c>
    </row>
    <row r="3799" spans="1:23" x14ac:dyDescent="0.2">
      <c r="A3799" s="71" t="s">
        <v>198</v>
      </c>
      <c r="B3799" s="71" t="s">
        <v>199</v>
      </c>
      <c r="C3799" s="71" t="s">
        <v>187</v>
      </c>
      <c r="D3799" s="71" t="s">
        <v>185</v>
      </c>
      <c r="E3799" s="71" t="s">
        <v>47</v>
      </c>
      <c r="F3799" s="71" t="s">
        <v>298</v>
      </c>
      <c r="G3799" s="88">
        <v>46197.306585648199</v>
      </c>
      <c r="H3799" s="89">
        <v>46197</v>
      </c>
      <c r="I3799" s="71" t="s">
        <v>305</v>
      </c>
      <c r="J3799" s="71">
        <v>-9.0000000000000497</v>
      </c>
      <c r="K3799" s="71" t="s">
        <v>302</v>
      </c>
      <c r="L3799" s="71">
        <f t="shared" si="531"/>
        <v>6</v>
      </c>
      <c r="M3799" s="71" t="str">
        <f>IFERROR(INDEX(KALENDER!$D$3:$D$132,MATCH(H3799,KALENDER!$A$3:$A$132,0)),"Di luar periode")</f>
        <v>WFH</v>
      </c>
      <c r="N3799" s="71">
        <f t="shared" si="532"/>
        <v>1</v>
      </c>
      <c r="O3799" s="71">
        <f t="shared" si="533"/>
        <v>1</v>
      </c>
      <c r="P3799" s="71">
        <f t="shared" si="534"/>
        <v>0</v>
      </c>
      <c r="Q3799" s="71">
        <f t="shared" si="535"/>
        <v>1</v>
      </c>
      <c r="R3799" s="71">
        <f t="shared" si="536"/>
        <v>0</v>
      </c>
      <c r="S3799" s="71">
        <f t="shared" si="537"/>
        <v>0</v>
      </c>
      <c r="T3799" s="71">
        <f t="shared" si="538"/>
        <v>0</v>
      </c>
      <c r="U3799" s="71">
        <f>IF(AND(N3799=1,V3799=1),IF(COUNTIFS(AKTIVITAS!$B$2:$B$3052,B3799,AKTIVITAS!$E$2:$E$3052,H3799)&gt;0,1,0),0)</f>
        <v>1</v>
      </c>
      <c r="V3799" s="71">
        <f>IFERROR(IF(AND(H3799&gt;=INDEX(PEMAGANG!$J$3:$J$36,MATCH(B3799,PEMAGANG!$C$3:$C$36,0)),H3799&lt;=INDEX(PEMAGANG!$K$3:$K$36,MATCH(B3799,PEMAGANG!$C$3:$C$36,0))),1,0),0)</f>
        <v>1</v>
      </c>
      <c r="W3799" s="71">
        <f t="shared" si="539"/>
        <v>1</v>
      </c>
    </row>
    <row r="3800" spans="1:23" x14ac:dyDescent="0.2">
      <c r="A3800" s="71" t="s">
        <v>198</v>
      </c>
      <c r="B3800" s="71" t="s">
        <v>199</v>
      </c>
      <c r="C3800" s="71" t="s">
        <v>187</v>
      </c>
      <c r="D3800" s="71" t="s">
        <v>185</v>
      </c>
      <c r="E3800" s="71" t="s">
        <v>47</v>
      </c>
      <c r="F3800" s="71" t="s">
        <v>300</v>
      </c>
      <c r="G3800" s="88">
        <v>46197.956828703696</v>
      </c>
      <c r="H3800" s="89">
        <v>46197</v>
      </c>
      <c r="I3800" s="71" t="s">
        <v>618</v>
      </c>
      <c r="J3800" s="71">
        <v>0</v>
      </c>
      <c r="K3800" s="71" t="s">
        <v>302</v>
      </c>
      <c r="L3800" s="71">
        <f t="shared" si="531"/>
        <v>6</v>
      </c>
      <c r="M3800" s="71" t="str">
        <f>IFERROR(INDEX(KALENDER!$D$3:$D$132,MATCH(H3800,KALENDER!$A$3:$A$132,0)),"Di luar periode")</f>
        <v>WFH</v>
      </c>
      <c r="N3800" s="71">
        <f t="shared" si="532"/>
        <v>0</v>
      </c>
      <c r="O3800" s="71">
        <f t="shared" si="533"/>
        <v>1</v>
      </c>
      <c r="P3800" s="71">
        <f t="shared" si="534"/>
        <v>0</v>
      </c>
      <c r="Q3800" s="71">
        <f t="shared" si="535"/>
        <v>0</v>
      </c>
      <c r="R3800" s="71">
        <f t="shared" si="536"/>
        <v>0</v>
      </c>
      <c r="S3800" s="71">
        <f t="shared" si="537"/>
        <v>0</v>
      </c>
      <c r="T3800" s="71">
        <f t="shared" si="538"/>
        <v>0</v>
      </c>
      <c r="U3800" s="71">
        <f>IF(AND(N3800=1,V3800=1),IF(COUNTIFS(AKTIVITAS!$B$2:$B$3052,B3800,AKTIVITAS!$E$2:$E$3052,H3800)&gt;0,1,0),0)</f>
        <v>0</v>
      </c>
      <c r="V3800" s="71">
        <f>IFERROR(IF(AND(H3800&gt;=INDEX(PEMAGANG!$J$3:$J$36,MATCH(B3800,PEMAGANG!$C$3:$C$36,0)),H3800&lt;=INDEX(PEMAGANG!$K$3:$K$36,MATCH(B3800,PEMAGANG!$C$3:$C$36,0))),1,0),0)</f>
        <v>1</v>
      </c>
      <c r="W3800" s="71">
        <f t="shared" si="539"/>
        <v>0</v>
      </c>
    </row>
    <row r="3801" spans="1:23" x14ac:dyDescent="0.2">
      <c r="A3801" s="71" t="s">
        <v>198</v>
      </c>
      <c r="B3801" s="71" t="s">
        <v>199</v>
      </c>
      <c r="C3801" s="71" t="s">
        <v>187</v>
      </c>
      <c r="D3801" s="71" t="s">
        <v>185</v>
      </c>
      <c r="E3801" s="71" t="s">
        <v>47</v>
      </c>
      <c r="F3801" s="71" t="s">
        <v>298</v>
      </c>
      <c r="G3801" s="88">
        <v>46198.310555555603</v>
      </c>
      <c r="H3801" s="89">
        <v>46198</v>
      </c>
      <c r="I3801" s="71" t="s">
        <v>309</v>
      </c>
      <c r="J3801" s="71">
        <v>-2.9999999999999898</v>
      </c>
      <c r="K3801" s="71" t="s">
        <v>302</v>
      </c>
      <c r="L3801" s="71">
        <f t="shared" si="531"/>
        <v>6</v>
      </c>
      <c r="M3801" s="71" t="str">
        <f>IFERROR(INDEX(KALENDER!$D$3:$D$132,MATCH(H3801,KALENDER!$A$3:$A$132,0)),"Di luar periode")</f>
        <v>Hari Kerja</v>
      </c>
      <c r="N3801" s="71">
        <f t="shared" si="532"/>
        <v>1</v>
      </c>
      <c r="O3801" s="71">
        <f t="shared" si="533"/>
        <v>1</v>
      </c>
      <c r="P3801" s="71">
        <f t="shared" si="534"/>
        <v>1</v>
      </c>
      <c r="Q3801" s="71">
        <f t="shared" si="535"/>
        <v>0</v>
      </c>
      <c r="R3801" s="71">
        <f t="shared" si="536"/>
        <v>0</v>
      </c>
      <c r="S3801" s="71">
        <f t="shared" si="537"/>
        <v>0</v>
      </c>
      <c r="T3801" s="71">
        <f t="shared" si="538"/>
        <v>0</v>
      </c>
      <c r="U3801" s="71">
        <f>IF(AND(N3801=1,V3801=1),IF(COUNTIFS(AKTIVITAS!$B$2:$B$3052,B3801,AKTIVITAS!$E$2:$E$3052,H3801)&gt;0,1,0),0)</f>
        <v>1</v>
      </c>
      <c r="V3801" s="71">
        <f>IFERROR(IF(AND(H3801&gt;=INDEX(PEMAGANG!$J$3:$J$36,MATCH(B3801,PEMAGANG!$C$3:$C$36,0)),H3801&lt;=INDEX(PEMAGANG!$K$3:$K$36,MATCH(B3801,PEMAGANG!$C$3:$C$36,0))),1,0),0)</f>
        <v>1</v>
      </c>
      <c r="W3801" s="71">
        <f t="shared" si="539"/>
        <v>1</v>
      </c>
    </row>
    <row r="3802" spans="1:23" x14ac:dyDescent="0.2">
      <c r="A3802" s="71" t="s">
        <v>198</v>
      </c>
      <c r="B3802" s="71" t="s">
        <v>199</v>
      </c>
      <c r="C3802" s="71" t="s">
        <v>187</v>
      </c>
      <c r="D3802" s="71" t="s">
        <v>185</v>
      </c>
      <c r="E3802" s="71" t="s">
        <v>47</v>
      </c>
      <c r="F3802" s="71" t="s">
        <v>300</v>
      </c>
      <c r="G3802" s="88">
        <v>46198.843981481499</v>
      </c>
      <c r="H3802" s="89">
        <v>46198</v>
      </c>
      <c r="I3802" s="71" t="s">
        <v>751</v>
      </c>
      <c r="J3802" s="71">
        <v>0</v>
      </c>
      <c r="K3802" s="71" t="s">
        <v>302</v>
      </c>
      <c r="L3802" s="71">
        <f t="shared" si="531"/>
        <v>6</v>
      </c>
      <c r="M3802" s="71" t="str">
        <f>IFERROR(INDEX(KALENDER!$D$3:$D$132,MATCH(H3802,KALENDER!$A$3:$A$132,0)),"Di luar periode")</f>
        <v>Hari Kerja</v>
      </c>
      <c r="N3802" s="71">
        <f t="shared" si="532"/>
        <v>0</v>
      </c>
      <c r="O3802" s="71">
        <f t="shared" si="533"/>
        <v>1</v>
      </c>
      <c r="P3802" s="71">
        <f t="shared" si="534"/>
        <v>0</v>
      </c>
      <c r="Q3802" s="71">
        <f t="shared" si="535"/>
        <v>0</v>
      </c>
      <c r="R3802" s="71">
        <f t="shared" si="536"/>
        <v>0</v>
      </c>
      <c r="S3802" s="71">
        <f t="shared" si="537"/>
        <v>0</v>
      </c>
      <c r="T3802" s="71">
        <f t="shared" si="538"/>
        <v>0</v>
      </c>
      <c r="U3802" s="71">
        <f>IF(AND(N3802=1,V3802=1),IF(COUNTIFS(AKTIVITAS!$B$2:$B$3052,B3802,AKTIVITAS!$E$2:$E$3052,H3802)&gt;0,1,0),0)</f>
        <v>0</v>
      </c>
      <c r="V3802" s="71">
        <f>IFERROR(IF(AND(H3802&gt;=INDEX(PEMAGANG!$J$3:$J$36,MATCH(B3802,PEMAGANG!$C$3:$C$36,0)),H3802&lt;=INDEX(PEMAGANG!$K$3:$K$36,MATCH(B3802,PEMAGANG!$C$3:$C$36,0))),1,0),0)</f>
        <v>1</v>
      </c>
      <c r="W3802" s="71">
        <f t="shared" si="539"/>
        <v>0</v>
      </c>
    </row>
    <row r="3803" spans="1:23" x14ac:dyDescent="0.2">
      <c r="A3803" s="71" t="s">
        <v>198</v>
      </c>
      <c r="B3803" s="71" t="s">
        <v>199</v>
      </c>
      <c r="C3803" s="71" t="s">
        <v>187</v>
      </c>
      <c r="D3803" s="71" t="s">
        <v>185</v>
      </c>
      <c r="E3803" s="71" t="s">
        <v>47</v>
      </c>
      <c r="F3803" s="71" t="s">
        <v>298</v>
      </c>
      <c r="G3803" s="88">
        <v>46199.3191898148</v>
      </c>
      <c r="H3803" s="89">
        <v>46199</v>
      </c>
      <c r="I3803" s="71" t="s">
        <v>515</v>
      </c>
      <c r="J3803" s="71">
        <v>9.0000000000000497</v>
      </c>
      <c r="K3803" s="71" t="s">
        <v>293</v>
      </c>
      <c r="L3803" s="71">
        <f t="shared" si="531"/>
        <v>6</v>
      </c>
      <c r="M3803" s="71" t="str">
        <f>IFERROR(INDEX(KALENDER!$D$3:$D$132,MATCH(H3803,KALENDER!$A$3:$A$132,0)),"Di luar periode")</f>
        <v>Hari Kerja</v>
      </c>
      <c r="N3803" s="71">
        <f t="shared" si="532"/>
        <v>1</v>
      </c>
      <c r="O3803" s="71">
        <f t="shared" si="533"/>
        <v>1</v>
      </c>
      <c r="P3803" s="71">
        <f t="shared" si="534"/>
        <v>1</v>
      </c>
      <c r="Q3803" s="71">
        <f t="shared" si="535"/>
        <v>0</v>
      </c>
      <c r="R3803" s="71">
        <f t="shared" si="536"/>
        <v>1</v>
      </c>
      <c r="S3803" s="71">
        <f t="shared" si="537"/>
        <v>9.0000000000000497</v>
      </c>
      <c r="T3803" s="71">
        <f t="shared" si="538"/>
        <v>0</v>
      </c>
      <c r="U3803" s="71">
        <f>IF(AND(N3803=1,V3803=1),IF(COUNTIFS(AKTIVITAS!$B$2:$B$3052,B3803,AKTIVITAS!$E$2:$E$3052,H3803)&gt;0,1,0),0)</f>
        <v>1</v>
      </c>
      <c r="V3803" s="71">
        <f>IFERROR(IF(AND(H3803&gt;=INDEX(PEMAGANG!$J$3:$J$36,MATCH(B3803,PEMAGANG!$C$3:$C$36,0)),H3803&lt;=INDEX(PEMAGANG!$K$3:$K$36,MATCH(B3803,PEMAGANG!$C$3:$C$36,0))),1,0),0)</f>
        <v>1</v>
      </c>
      <c r="W3803" s="71">
        <f t="shared" si="539"/>
        <v>1</v>
      </c>
    </row>
    <row r="3804" spans="1:23" x14ac:dyDescent="0.2">
      <c r="A3804" s="71" t="s">
        <v>198</v>
      </c>
      <c r="B3804" s="71" t="s">
        <v>199</v>
      </c>
      <c r="C3804" s="71" t="s">
        <v>187</v>
      </c>
      <c r="D3804" s="71" t="s">
        <v>185</v>
      </c>
      <c r="E3804" s="71" t="s">
        <v>47</v>
      </c>
      <c r="F3804" s="71" t="s">
        <v>300</v>
      </c>
      <c r="G3804" s="88">
        <v>46199.701539351903</v>
      </c>
      <c r="H3804" s="89">
        <v>46199</v>
      </c>
      <c r="I3804" s="71" t="s">
        <v>334</v>
      </c>
      <c r="J3804" s="71">
        <v>0</v>
      </c>
      <c r="K3804" s="71" t="s">
        <v>302</v>
      </c>
      <c r="L3804" s="71">
        <f t="shared" si="531"/>
        <v>6</v>
      </c>
      <c r="M3804" s="71" t="str">
        <f>IFERROR(INDEX(KALENDER!$D$3:$D$132,MATCH(H3804,KALENDER!$A$3:$A$132,0)),"Di luar periode")</f>
        <v>Hari Kerja</v>
      </c>
      <c r="N3804" s="71">
        <f t="shared" si="532"/>
        <v>0</v>
      </c>
      <c r="O3804" s="71">
        <f t="shared" si="533"/>
        <v>1</v>
      </c>
      <c r="P3804" s="71">
        <f t="shared" si="534"/>
        <v>0</v>
      </c>
      <c r="Q3804" s="71">
        <f t="shared" si="535"/>
        <v>0</v>
      </c>
      <c r="R3804" s="71">
        <f t="shared" si="536"/>
        <v>0</v>
      </c>
      <c r="S3804" s="71">
        <f t="shared" si="537"/>
        <v>0</v>
      </c>
      <c r="T3804" s="71">
        <f t="shared" si="538"/>
        <v>0</v>
      </c>
      <c r="U3804" s="71">
        <f>IF(AND(N3804=1,V3804=1),IF(COUNTIFS(AKTIVITAS!$B$2:$B$3052,B3804,AKTIVITAS!$E$2:$E$3052,H3804)&gt;0,1,0),0)</f>
        <v>0</v>
      </c>
      <c r="V3804" s="71">
        <f>IFERROR(IF(AND(H3804&gt;=INDEX(PEMAGANG!$J$3:$J$36,MATCH(B3804,PEMAGANG!$C$3:$C$36,0)),H3804&lt;=INDEX(PEMAGANG!$K$3:$K$36,MATCH(B3804,PEMAGANG!$C$3:$C$36,0))),1,0),0)</f>
        <v>1</v>
      </c>
      <c r="W3804" s="71">
        <f t="shared" si="539"/>
        <v>0</v>
      </c>
    </row>
    <row r="3805" spans="1:23" x14ac:dyDescent="0.2">
      <c r="A3805" s="71" t="s">
        <v>198</v>
      </c>
      <c r="B3805" s="71" t="s">
        <v>199</v>
      </c>
      <c r="C3805" s="71" t="s">
        <v>187</v>
      </c>
      <c r="D3805" s="71" t="s">
        <v>185</v>
      </c>
      <c r="E3805" s="71" t="s">
        <v>47</v>
      </c>
      <c r="F3805" s="71" t="s">
        <v>298</v>
      </c>
      <c r="G3805" s="88">
        <v>46202.311296296299</v>
      </c>
      <c r="H3805" s="89">
        <v>46202</v>
      </c>
      <c r="I3805" s="71" t="s">
        <v>377</v>
      </c>
      <c r="J3805" s="71">
        <v>-1.99999999999999</v>
      </c>
      <c r="K3805" s="71" t="s">
        <v>302</v>
      </c>
      <c r="L3805" s="71">
        <f t="shared" si="531"/>
        <v>6</v>
      </c>
      <c r="M3805" s="71" t="str">
        <f>IFERROR(INDEX(KALENDER!$D$3:$D$132,MATCH(H3805,KALENDER!$A$3:$A$132,0)),"Di luar periode")</f>
        <v>Hari Kerja</v>
      </c>
      <c r="N3805" s="71">
        <f t="shared" si="532"/>
        <v>1</v>
      </c>
      <c r="O3805" s="71">
        <f t="shared" si="533"/>
        <v>1</v>
      </c>
      <c r="P3805" s="71">
        <f t="shared" si="534"/>
        <v>1</v>
      </c>
      <c r="Q3805" s="71">
        <f t="shared" si="535"/>
        <v>0</v>
      </c>
      <c r="R3805" s="71">
        <f t="shared" si="536"/>
        <v>0</v>
      </c>
      <c r="S3805" s="71">
        <f t="shared" si="537"/>
        <v>0</v>
      </c>
      <c r="T3805" s="71">
        <f t="shared" si="538"/>
        <v>0</v>
      </c>
      <c r="U3805" s="71">
        <f>IF(AND(N3805=1,V3805=1),IF(COUNTIFS(AKTIVITAS!$B$2:$B$3052,B3805,AKTIVITAS!$E$2:$E$3052,H3805)&gt;0,1,0),0)</f>
        <v>1</v>
      </c>
      <c r="V3805" s="71">
        <f>IFERROR(IF(AND(H3805&gt;=INDEX(PEMAGANG!$J$3:$J$36,MATCH(B3805,PEMAGANG!$C$3:$C$36,0)),H3805&lt;=INDEX(PEMAGANG!$K$3:$K$36,MATCH(B3805,PEMAGANG!$C$3:$C$36,0))),1,0),0)</f>
        <v>1</v>
      </c>
      <c r="W3805" s="71">
        <f t="shared" si="539"/>
        <v>1</v>
      </c>
    </row>
    <row r="3806" spans="1:23" x14ac:dyDescent="0.2">
      <c r="A3806" s="71" t="s">
        <v>198</v>
      </c>
      <c r="B3806" s="71" t="s">
        <v>199</v>
      </c>
      <c r="C3806" s="71" t="s">
        <v>187</v>
      </c>
      <c r="D3806" s="71" t="s">
        <v>185</v>
      </c>
      <c r="E3806" s="71" t="s">
        <v>47</v>
      </c>
      <c r="F3806" s="71" t="s">
        <v>300</v>
      </c>
      <c r="G3806" s="88">
        <v>46202.6897916667</v>
      </c>
      <c r="H3806" s="89">
        <v>46202</v>
      </c>
      <c r="I3806" s="71" t="s">
        <v>316</v>
      </c>
      <c r="J3806" s="71">
        <v>0</v>
      </c>
      <c r="K3806" s="71" t="s">
        <v>302</v>
      </c>
      <c r="L3806" s="71">
        <f t="shared" si="531"/>
        <v>6</v>
      </c>
      <c r="M3806" s="71" t="str">
        <f>IFERROR(INDEX(KALENDER!$D$3:$D$132,MATCH(H3806,KALENDER!$A$3:$A$132,0)),"Di luar periode")</f>
        <v>Hari Kerja</v>
      </c>
      <c r="N3806" s="71">
        <f t="shared" si="532"/>
        <v>0</v>
      </c>
      <c r="O3806" s="71">
        <f t="shared" si="533"/>
        <v>1</v>
      </c>
      <c r="P3806" s="71">
        <f t="shared" si="534"/>
        <v>0</v>
      </c>
      <c r="Q3806" s="71">
        <f t="shared" si="535"/>
        <v>0</v>
      </c>
      <c r="R3806" s="71">
        <f t="shared" si="536"/>
        <v>0</v>
      </c>
      <c r="S3806" s="71">
        <f t="shared" si="537"/>
        <v>0</v>
      </c>
      <c r="T3806" s="71">
        <f t="shared" si="538"/>
        <v>0</v>
      </c>
      <c r="U3806" s="71">
        <f>IF(AND(N3806=1,V3806=1),IF(COUNTIFS(AKTIVITAS!$B$2:$B$3052,B3806,AKTIVITAS!$E$2:$E$3052,H3806)&gt;0,1,0),0)</f>
        <v>0</v>
      </c>
      <c r="V3806" s="71">
        <f>IFERROR(IF(AND(H3806&gt;=INDEX(PEMAGANG!$J$3:$J$36,MATCH(B3806,PEMAGANG!$C$3:$C$36,0)),H3806&lt;=INDEX(PEMAGANG!$K$3:$K$36,MATCH(B3806,PEMAGANG!$C$3:$C$36,0))),1,0),0)</f>
        <v>1</v>
      </c>
      <c r="W3806" s="71">
        <f t="shared" si="539"/>
        <v>0</v>
      </c>
    </row>
    <row r="3807" spans="1:23" x14ac:dyDescent="0.2">
      <c r="A3807" s="71" t="s">
        <v>198</v>
      </c>
      <c r="B3807" s="71" t="s">
        <v>199</v>
      </c>
      <c r="C3807" s="71" t="s">
        <v>187</v>
      </c>
      <c r="D3807" s="71" t="s">
        <v>185</v>
      </c>
      <c r="E3807" s="71" t="s">
        <v>47</v>
      </c>
      <c r="F3807" s="71" t="s">
        <v>298</v>
      </c>
      <c r="G3807" s="88">
        <v>46203.311724537001</v>
      </c>
      <c r="H3807" s="89">
        <v>46203</v>
      </c>
      <c r="I3807" s="71" t="s">
        <v>377</v>
      </c>
      <c r="J3807" s="71">
        <v>-1.99999999999999</v>
      </c>
      <c r="K3807" s="71" t="s">
        <v>302</v>
      </c>
      <c r="L3807" s="71">
        <f t="shared" si="531"/>
        <v>6</v>
      </c>
      <c r="M3807" s="71" t="str">
        <f>IFERROR(INDEX(KALENDER!$D$3:$D$132,MATCH(H3807,KALENDER!$A$3:$A$132,0)),"Di luar periode")</f>
        <v>Hari Kerja</v>
      </c>
      <c r="N3807" s="71">
        <f t="shared" si="532"/>
        <v>1</v>
      </c>
      <c r="O3807" s="71">
        <f t="shared" si="533"/>
        <v>1</v>
      </c>
      <c r="P3807" s="71">
        <f t="shared" si="534"/>
        <v>1</v>
      </c>
      <c r="Q3807" s="71">
        <f t="shared" si="535"/>
        <v>0</v>
      </c>
      <c r="R3807" s="71">
        <f t="shared" si="536"/>
        <v>0</v>
      </c>
      <c r="S3807" s="71">
        <f t="shared" si="537"/>
        <v>0</v>
      </c>
      <c r="T3807" s="71">
        <f t="shared" si="538"/>
        <v>1</v>
      </c>
      <c r="U3807" s="71">
        <f>IF(AND(N3807=1,V3807=1),IF(COUNTIFS(AKTIVITAS!$B$2:$B$3052,B3807,AKTIVITAS!$E$2:$E$3052,H3807)&gt;0,1,0),0)</f>
        <v>0</v>
      </c>
      <c r="V3807" s="71">
        <f>IFERROR(IF(AND(H3807&gt;=INDEX(PEMAGANG!$J$3:$J$36,MATCH(B3807,PEMAGANG!$C$3:$C$36,0)),H3807&lt;=INDEX(PEMAGANG!$K$3:$K$36,MATCH(B3807,PEMAGANG!$C$3:$C$36,0))),1,0),0)</f>
        <v>1</v>
      </c>
      <c r="W3807" s="71">
        <f t="shared" si="539"/>
        <v>1</v>
      </c>
    </row>
    <row r="3808" spans="1:23" x14ac:dyDescent="0.2">
      <c r="A3808" s="71" t="s">
        <v>198</v>
      </c>
      <c r="B3808" s="71" t="s">
        <v>199</v>
      </c>
      <c r="C3808" s="71" t="s">
        <v>187</v>
      </c>
      <c r="D3808" s="71" t="s">
        <v>185</v>
      </c>
      <c r="E3808" s="71" t="s">
        <v>47</v>
      </c>
      <c r="F3808" s="71" t="s">
        <v>298</v>
      </c>
      <c r="G3808" s="88">
        <v>46204.303101851903</v>
      </c>
      <c r="H3808" s="89">
        <v>46204</v>
      </c>
      <c r="I3808" s="71" t="s">
        <v>327</v>
      </c>
      <c r="J3808" s="71">
        <v>-14</v>
      </c>
      <c r="K3808" s="71" t="s">
        <v>302</v>
      </c>
      <c r="L3808" s="71">
        <f t="shared" si="531"/>
        <v>7</v>
      </c>
      <c r="M3808" s="71" t="str">
        <f>IFERROR(INDEX(KALENDER!$D$3:$D$132,MATCH(H3808,KALENDER!$A$3:$A$132,0)),"Di luar periode")</f>
        <v>WFH</v>
      </c>
      <c r="N3808" s="71">
        <f t="shared" si="532"/>
        <v>1</v>
      </c>
      <c r="O3808" s="71">
        <f t="shared" si="533"/>
        <v>1</v>
      </c>
      <c r="P3808" s="71">
        <f t="shared" si="534"/>
        <v>0</v>
      </c>
      <c r="Q3808" s="71">
        <f t="shared" si="535"/>
        <v>1</v>
      </c>
      <c r="R3808" s="71">
        <f t="shared" si="536"/>
        <v>0</v>
      </c>
      <c r="S3808" s="71">
        <f t="shared" si="537"/>
        <v>0</v>
      </c>
      <c r="T3808" s="71">
        <f t="shared" si="538"/>
        <v>0</v>
      </c>
      <c r="U3808" s="71">
        <f>IF(AND(N3808=1,V3808=1),IF(COUNTIFS(AKTIVITAS!$B$2:$B$3052,B3808,AKTIVITAS!$E$2:$E$3052,H3808)&gt;0,1,0),0)</f>
        <v>1</v>
      </c>
      <c r="V3808" s="71">
        <f>IFERROR(IF(AND(H3808&gt;=INDEX(PEMAGANG!$J$3:$J$36,MATCH(B3808,PEMAGANG!$C$3:$C$36,0)),H3808&lt;=INDEX(PEMAGANG!$K$3:$K$36,MATCH(B3808,PEMAGANG!$C$3:$C$36,0))),1,0),0)</f>
        <v>1</v>
      </c>
      <c r="W3808" s="71">
        <f t="shared" si="539"/>
        <v>1</v>
      </c>
    </row>
    <row r="3809" spans="1:23" x14ac:dyDescent="0.2">
      <c r="A3809" s="71" t="s">
        <v>198</v>
      </c>
      <c r="B3809" s="71" t="s">
        <v>199</v>
      </c>
      <c r="C3809" s="71" t="s">
        <v>187</v>
      </c>
      <c r="D3809" s="71" t="s">
        <v>185</v>
      </c>
      <c r="E3809" s="71" t="s">
        <v>47</v>
      </c>
      <c r="F3809" s="71" t="s">
        <v>300</v>
      </c>
      <c r="G3809" s="88">
        <v>46204.6952199074</v>
      </c>
      <c r="H3809" s="89">
        <v>46204</v>
      </c>
      <c r="I3809" s="71" t="s">
        <v>319</v>
      </c>
      <c r="J3809" s="71">
        <v>0</v>
      </c>
      <c r="K3809" s="71" t="s">
        <v>302</v>
      </c>
      <c r="L3809" s="71">
        <f t="shared" si="531"/>
        <v>7</v>
      </c>
      <c r="M3809" s="71" t="str">
        <f>IFERROR(INDEX(KALENDER!$D$3:$D$132,MATCH(H3809,KALENDER!$A$3:$A$132,0)),"Di luar periode")</f>
        <v>WFH</v>
      </c>
      <c r="N3809" s="71">
        <f t="shared" si="532"/>
        <v>0</v>
      </c>
      <c r="O3809" s="71">
        <f t="shared" si="533"/>
        <v>1</v>
      </c>
      <c r="P3809" s="71">
        <f t="shared" si="534"/>
        <v>0</v>
      </c>
      <c r="Q3809" s="71">
        <f t="shared" si="535"/>
        <v>0</v>
      </c>
      <c r="R3809" s="71">
        <f t="shared" si="536"/>
        <v>0</v>
      </c>
      <c r="S3809" s="71">
        <f t="shared" si="537"/>
        <v>0</v>
      </c>
      <c r="T3809" s="71">
        <f t="shared" si="538"/>
        <v>0</v>
      </c>
      <c r="U3809" s="71">
        <f>IF(AND(N3809=1,V3809=1),IF(COUNTIFS(AKTIVITAS!$B$2:$B$3052,B3809,AKTIVITAS!$E$2:$E$3052,H3809)&gt;0,1,0),0)</f>
        <v>0</v>
      </c>
      <c r="V3809" s="71">
        <f>IFERROR(IF(AND(H3809&gt;=INDEX(PEMAGANG!$J$3:$J$36,MATCH(B3809,PEMAGANG!$C$3:$C$36,0)),H3809&lt;=INDEX(PEMAGANG!$K$3:$K$36,MATCH(B3809,PEMAGANG!$C$3:$C$36,0))),1,0),0)</f>
        <v>1</v>
      </c>
      <c r="W3809" s="71">
        <f t="shared" si="539"/>
        <v>0</v>
      </c>
    </row>
    <row r="3810" spans="1:23" x14ac:dyDescent="0.2">
      <c r="A3810" s="71" t="s">
        <v>198</v>
      </c>
      <c r="B3810" s="71" t="s">
        <v>199</v>
      </c>
      <c r="C3810" s="71" t="s">
        <v>187</v>
      </c>
      <c r="D3810" s="71" t="s">
        <v>185</v>
      </c>
      <c r="E3810" s="71" t="s">
        <v>47</v>
      </c>
      <c r="F3810" s="71" t="s">
        <v>298</v>
      </c>
      <c r="G3810" s="88">
        <v>46205.310324074097</v>
      </c>
      <c r="H3810" s="89">
        <v>46205</v>
      </c>
      <c r="I3810" s="71" t="s">
        <v>315</v>
      </c>
      <c r="J3810" s="71">
        <v>-3.9999999999999898</v>
      </c>
      <c r="K3810" s="71" t="s">
        <v>302</v>
      </c>
      <c r="L3810" s="71">
        <f t="shared" si="531"/>
        <v>7</v>
      </c>
      <c r="M3810" s="71" t="str">
        <f>IFERROR(INDEX(KALENDER!$D$3:$D$132,MATCH(H3810,KALENDER!$A$3:$A$132,0)),"Di luar periode")</f>
        <v>Hari Kerja</v>
      </c>
      <c r="N3810" s="71">
        <f t="shared" si="532"/>
        <v>1</v>
      </c>
      <c r="O3810" s="71">
        <f t="shared" si="533"/>
        <v>1</v>
      </c>
      <c r="P3810" s="71">
        <f t="shared" si="534"/>
        <v>1</v>
      </c>
      <c r="Q3810" s="71">
        <f t="shared" si="535"/>
        <v>0</v>
      </c>
      <c r="R3810" s="71">
        <f t="shared" si="536"/>
        <v>0</v>
      </c>
      <c r="S3810" s="71">
        <f t="shared" si="537"/>
        <v>0</v>
      </c>
      <c r="T3810" s="71">
        <f t="shared" si="538"/>
        <v>0</v>
      </c>
      <c r="U3810" s="71">
        <f>IF(AND(N3810=1,V3810=1),IF(COUNTIFS(AKTIVITAS!$B$2:$B$3052,B3810,AKTIVITAS!$E$2:$E$3052,H3810)&gt;0,1,0),0)</f>
        <v>1</v>
      </c>
      <c r="V3810" s="71">
        <f>IFERROR(IF(AND(H3810&gt;=INDEX(PEMAGANG!$J$3:$J$36,MATCH(B3810,PEMAGANG!$C$3:$C$36,0)),H3810&lt;=INDEX(PEMAGANG!$K$3:$K$36,MATCH(B3810,PEMAGANG!$C$3:$C$36,0))),1,0),0)</f>
        <v>1</v>
      </c>
      <c r="W3810" s="71">
        <f t="shared" si="539"/>
        <v>1</v>
      </c>
    </row>
    <row r="3811" spans="1:23" x14ac:dyDescent="0.2">
      <c r="A3811" s="71" t="s">
        <v>198</v>
      </c>
      <c r="B3811" s="71" t="s">
        <v>199</v>
      </c>
      <c r="C3811" s="71" t="s">
        <v>187</v>
      </c>
      <c r="D3811" s="71" t="s">
        <v>185</v>
      </c>
      <c r="E3811" s="71" t="s">
        <v>47</v>
      </c>
      <c r="F3811" s="71" t="s">
        <v>300</v>
      </c>
      <c r="G3811" s="88">
        <v>46205.6901967593</v>
      </c>
      <c r="H3811" s="89">
        <v>46205</v>
      </c>
      <c r="I3811" s="71" t="s">
        <v>316</v>
      </c>
      <c r="J3811" s="71">
        <v>0</v>
      </c>
      <c r="K3811" s="71" t="s">
        <v>302</v>
      </c>
      <c r="L3811" s="71">
        <f t="shared" si="531"/>
        <v>7</v>
      </c>
      <c r="M3811" s="71" t="str">
        <f>IFERROR(INDEX(KALENDER!$D$3:$D$132,MATCH(H3811,KALENDER!$A$3:$A$132,0)),"Di luar periode")</f>
        <v>Hari Kerja</v>
      </c>
      <c r="N3811" s="71">
        <f t="shared" si="532"/>
        <v>0</v>
      </c>
      <c r="O3811" s="71">
        <f t="shared" si="533"/>
        <v>1</v>
      </c>
      <c r="P3811" s="71">
        <f t="shared" si="534"/>
        <v>0</v>
      </c>
      <c r="Q3811" s="71">
        <f t="shared" si="535"/>
        <v>0</v>
      </c>
      <c r="R3811" s="71">
        <f t="shared" si="536"/>
        <v>0</v>
      </c>
      <c r="S3811" s="71">
        <f t="shared" si="537"/>
        <v>0</v>
      </c>
      <c r="T3811" s="71">
        <f t="shared" si="538"/>
        <v>0</v>
      </c>
      <c r="U3811" s="71">
        <f>IF(AND(N3811=1,V3811=1),IF(COUNTIFS(AKTIVITAS!$B$2:$B$3052,B3811,AKTIVITAS!$E$2:$E$3052,H3811)&gt;0,1,0),0)</f>
        <v>0</v>
      </c>
      <c r="V3811" s="71">
        <f>IFERROR(IF(AND(H3811&gt;=INDEX(PEMAGANG!$J$3:$J$36,MATCH(B3811,PEMAGANG!$C$3:$C$36,0)),H3811&lt;=INDEX(PEMAGANG!$K$3:$K$36,MATCH(B3811,PEMAGANG!$C$3:$C$36,0))),1,0),0)</f>
        <v>1</v>
      </c>
      <c r="W3811" s="71">
        <f t="shared" si="539"/>
        <v>0</v>
      </c>
    </row>
    <row r="3812" spans="1:23" x14ac:dyDescent="0.2">
      <c r="A3812" s="71" t="s">
        <v>198</v>
      </c>
      <c r="B3812" s="71" t="s">
        <v>199</v>
      </c>
      <c r="C3812" s="71" t="s">
        <v>187</v>
      </c>
      <c r="D3812" s="71" t="s">
        <v>185</v>
      </c>
      <c r="E3812" s="71" t="s">
        <v>47</v>
      </c>
      <c r="F3812" s="71" t="s">
        <v>298</v>
      </c>
      <c r="G3812" s="88">
        <v>46206.308437500003</v>
      </c>
      <c r="H3812" s="89">
        <v>46206</v>
      </c>
      <c r="I3812" s="71" t="s">
        <v>303</v>
      </c>
      <c r="J3812" s="71">
        <v>-5.9999999999999796</v>
      </c>
      <c r="K3812" s="71" t="s">
        <v>302</v>
      </c>
      <c r="L3812" s="71">
        <f t="shared" si="531"/>
        <v>7</v>
      </c>
      <c r="M3812" s="71" t="str">
        <f>IFERROR(INDEX(KALENDER!$D$3:$D$132,MATCH(H3812,KALENDER!$A$3:$A$132,0)),"Di luar periode")</f>
        <v>Hari Kerja</v>
      </c>
      <c r="N3812" s="71">
        <f t="shared" si="532"/>
        <v>1</v>
      </c>
      <c r="O3812" s="71">
        <f t="shared" si="533"/>
        <v>1</v>
      </c>
      <c r="P3812" s="71">
        <f t="shared" si="534"/>
        <v>1</v>
      </c>
      <c r="Q3812" s="71">
        <f t="shared" si="535"/>
        <v>0</v>
      </c>
      <c r="R3812" s="71">
        <f t="shared" si="536"/>
        <v>0</v>
      </c>
      <c r="S3812" s="71">
        <f t="shared" si="537"/>
        <v>0</v>
      </c>
      <c r="T3812" s="71">
        <f t="shared" si="538"/>
        <v>0</v>
      </c>
      <c r="U3812" s="71">
        <f>IF(AND(N3812=1,V3812=1),IF(COUNTIFS(AKTIVITAS!$B$2:$B$3052,B3812,AKTIVITAS!$E$2:$E$3052,H3812)&gt;0,1,0),0)</f>
        <v>1</v>
      </c>
      <c r="V3812" s="71">
        <f>IFERROR(IF(AND(H3812&gt;=INDEX(PEMAGANG!$J$3:$J$36,MATCH(B3812,PEMAGANG!$C$3:$C$36,0)),H3812&lt;=INDEX(PEMAGANG!$K$3:$K$36,MATCH(B3812,PEMAGANG!$C$3:$C$36,0))),1,0),0)</f>
        <v>1</v>
      </c>
      <c r="W3812" s="71">
        <f t="shared" si="539"/>
        <v>1</v>
      </c>
    </row>
    <row r="3813" spans="1:23" x14ac:dyDescent="0.2">
      <c r="A3813" s="71" t="s">
        <v>198</v>
      </c>
      <c r="B3813" s="71" t="s">
        <v>199</v>
      </c>
      <c r="C3813" s="71" t="s">
        <v>187</v>
      </c>
      <c r="D3813" s="71" t="s">
        <v>185</v>
      </c>
      <c r="E3813" s="71" t="s">
        <v>47</v>
      </c>
      <c r="F3813" s="71" t="s">
        <v>300</v>
      </c>
      <c r="G3813" s="88">
        <v>46206.698888888903</v>
      </c>
      <c r="H3813" s="89">
        <v>46206</v>
      </c>
      <c r="I3813" s="71" t="s">
        <v>488</v>
      </c>
      <c r="J3813" s="71">
        <v>0</v>
      </c>
      <c r="K3813" s="71" t="s">
        <v>302</v>
      </c>
      <c r="L3813" s="71">
        <f t="shared" si="531"/>
        <v>7</v>
      </c>
      <c r="M3813" s="71" t="str">
        <f>IFERROR(INDEX(KALENDER!$D$3:$D$132,MATCH(H3813,KALENDER!$A$3:$A$132,0)),"Di luar periode")</f>
        <v>Hari Kerja</v>
      </c>
      <c r="N3813" s="71">
        <f t="shared" si="532"/>
        <v>0</v>
      </c>
      <c r="O3813" s="71">
        <f t="shared" si="533"/>
        <v>1</v>
      </c>
      <c r="P3813" s="71">
        <f t="shared" si="534"/>
        <v>0</v>
      </c>
      <c r="Q3813" s="71">
        <f t="shared" si="535"/>
        <v>0</v>
      </c>
      <c r="R3813" s="71">
        <f t="shared" si="536"/>
        <v>0</v>
      </c>
      <c r="S3813" s="71">
        <f t="shared" si="537"/>
        <v>0</v>
      </c>
      <c r="T3813" s="71">
        <f t="shared" si="538"/>
        <v>0</v>
      </c>
      <c r="U3813" s="71">
        <f>IF(AND(N3813=1,V3813=1),IF(COUNTIFS(AKTIVITAS!$B$2:$B$3052,B3813,AKTIVITAS!$E$2:$E$3052,H3813)&gt;0,1,0),0)</f>
        <v>0</v>
      </c>
      <c r="V3813" s="71">
        <f>IFERROR(IF(AND(H3813&gt;=INDEX(PEMAGANG!$J$3:$J$36,MATCH(B3813,PEMAGANG!$C$3:$C$36,0)),H3813&lt;=INDEX(PEMAGANG!$K$3:$K$36,MATCH(B3813,PEMAGANG!$C$3:$C$36,0))),1,0),0)</f>
        <v>1</v>
      </c>
      <c r="W3813" s="71">
        <f t="shared" si="539"/>
        <v>0</v>
      </c>
    </row>
    <row r="3814" spans="1:23" x14ac:dyDescent="0.2">
      <c r="A3814" s="71" t="s">
        <v>198</v>
      </c>
      <c r="B3814" s="71" t="s">
        <v>199</v>
      </c>
      <c r="C3814" s="71" t="s">
        <v>187</v>
      </c>
      <c r="D3814" s="71" t="s">
        <v>185</v>
      </c>
      <c r="E3814" s="71" t="s">
        <v>47</v>
      </c>
      <c r="F3814" s="71" t="s">
        <v>298</v>
      </c>
      <c r="G3814" s="88">
        <v>46209.305844907401</v>
      </c>
      <c r="H3814" s="89">
        <v>46209</v>
      </c>
      <c r="I3814" s="71" t="s">
        <v>329</v>
      </c>
      <c r="J3814" s="71">
        <v>-10</v>
      </c>
      <c r="K3814" s="71" t="s">
        <v>302</v>
      </c>
      <c r="L3814" s="71">
        <f t="shared" si="531"/>
        <v>7</v>
      </c>
      <c r="M3814" s="71" t="str">
        <f>IFERROR(INDEX(KALENDER!$D$3:$D$132,MATCH(H3814,KALENDER!$A$3:$A$132,0)),"Di luar periode")</f>
        <v>Hari Kerja</v>
      </c>
      <c r="N3814" s="71">
        <f t="shared" si="532"/>
        <v>1</v>
      </c>
      <c r="O3814" s="71">
        <f t="shared" si="533"/>
        <v>1</v>
      </c>
      <c r="P3814" s="71">
        <f t="shared" si="534"/>
        <v>1</v>
      </c>
      <c r="Q3814" s="71">
        <f t="shared" si="535"/>
        <v>0</v>
      </c>
      <c r="R3814" s="71">
        <f t="shared" si="536"/>
        <v>0</v>
      </c>
      <c r="S3814" s="71">
        <f t="shared" si="537"/>
        <v>0</v>
      </c>
      <c r="T3814" s="71">
        <f t="shared" si="538"/>
        <v>0</v>
      </c>
      <c r="U3814" s="71">
        <f>IF(AND(N3814=1,V3814=1),IF(COUNTIFS(AKTIVITAS!$B$2:$B$3052,B3814,AKTIVITAS!$E$2:$E$3052,H3814)&gt;0,1,0),0)</f>
        <v>1</v>
      </c>
      <c r="V3814" s="71">
        <f>IFERROR(IF(AND(H3814&gt;=INDEX(PEMAGANG!$J$3:$J$36,MATCH(B3814,PEMAGANG!$C$3:$C$36,0)),H3814&lt;=INDEX(PEMAGANG!$K$3:$K$36,MATCH(B3814,PEMAGANG!$C$3:$C$36,0))),1,0),0)</f>
        <v>1</v>
      </c>
      <c r="W3814" s="71">
        <f t="shared" si="539"/>
        <v>1</v>
      </c>
    </row>
    <row r="3815" spans="1:23" x14ac:dyDescent="0.2">
      <c r="A3815" s="71" t="s">
        <v>198</v>
      </c>
      <c r="B3815" s="71" t="s">
        <v>199</v>
      </c>
      <c r="C3815" s="71" t="s">
        <v>187</v>
      </c>
      <c r="D3815" s="71" t="s">
        <v>185</v>
      </c>
      <c r="E3815" s="71" t="s">
        <v>47</v>
      </c>
      <c r="F3815" s="71" t="s">
        <v>300</v>
      </c>
      <c r="G3815" s="88">
        <v>46209.692268518498</v>
      </c>
      <c r="H3815" s="89">
        <v>46209</v>
      </c>
      <c r="I3815" s="71" t="s">
        <v>344</v>
      </c>
      <c r="J3815" s="71">
        <v>0</v>
      </c>
      <c r="K3815" s="71" t="s">
        <v>302</v>
      </c>
      <c r="L3815" s="71">
        <f t="shared" si="531"/>
        <v>7</v>
      </c>
      <c r="M3815" s="71" t="str">
        <f>IFERROR(INDEX(KALENDER!$D$3:$D$132,MATCH(H3815,KALENDER!$A$3:$A$132,0)),"Di luar periode")</f>
        <v>Hari Kerja</v>
      </c>
      <c r="N3815" s="71">
        <f t="shared" si="532"/>
        <v>0</v>
      </c>
      <c r="O3815" s="71">
        <f t="shared" si="533"/>
        <v>1</v>
      </c>
      <c r="P3815" s="71">
        <f t="shared" si="534"/>
        <v>0</v>
      </c>
      <c r="Q3815" s="71">
        <f t="shared" si="535"/>
        <v>0</v>
      </c>
      <c r="R3815" s="71">
        <f t="shared" si="536"/>
        <v>0</v>
      </c>
      <c r="S3815" s="71">
        <f t="shared" si="537"/>
        <v>0</v>
      </c>
      <c r="T3815" s="71">
        <f t="shared" si="538"/>
        <v>0</v>
      </c>
      <c r="U3815" s="71">
        <f>IF(AND(N3815=1,V3815=1),IF(COUNTIFS(AKTIVITAS!$B$2:$B$3052,B3815,AKTIVITAS!$E$2:$E$3052,H3815)&gt;0,1,0),0)</f>
        <v>0</v>
      </c>
      <c r="V3815" s="71">
        <f>IFERROR(IF(AND(H3815&gt;=INDEX(PEMAGANG!$J$3:$J$36,MATCH(B3815,PEMAGANG!$C$3:$C$36,0)),H3815&lt;=INDEX(PEMAGANG!$K$3:$K$36,MATCH(B3815,PEMAGANG!$C$3:$C$36,0))),1,0),0)</f>
        <v>1</v>
      </c>
      <c r="W3815" s="71">
        <f t="shared" si="539"/>
        <v>0</v>
      </c>
    </row>
    <row r="3816" spans="1:23" x14ac:dyDescent="0.2">
      <c r="A3816" s="71" t="s">
        <v>198</v>
      </c>
      <c r="B3816" s="71" t="s">
        <v>199</v>
      </c>
      <c r="C3816" s="71" t="s">
        <v>187</v>
      </c>
      <c r="D3816" s="71" t="s">
        <v>185</v>
      </c>
      <c r="E3816" s="71" t="s">
        <v>47</v>
      </c>
      <c r="F3816" s="71" t="s">
        <v>298</v>
      </c>
      <c r="G3816" s="88">
        <v>46210.308298611097</v>
      </c>
      <c r="H3816" s="89">
        <v>46210</v>
      </c>
      <c r="I3816" s="71" t="s">
        <v>311</v>
      </c>
      <c r="J3816" s="71">
        <v>-6.9999999999999796</v>
      </c>
      <c r="K3816" s="71" t="s">
        <v>302</v>
      </c>
      <c r="L3816" s="71">
        <f t="shared" si="531"/>
        <v>7</v>
      </c>
      <c r="M3816" s="71" t="str">
        <f>IFERROR(INDEX(KALENDER!$D$3:$D$132,MATCH(H3816,KALENDER!$A$3:$A$132,0)),"Di luar periode")</f>
        <v>Hari Kerja</v>
      </c>
      <c r="N3816" s="71">
        <f t="shared" si="532"/>
        <v>1</v>
      </c>
      <c r="O3816" s="71">
        <f t="shared" si="533"/>
        <v>1</v>
      </c>
      <c r="P3816" s="71">
        <f t="shared" si="534"/>
        <v>1</v>
      </c>
      <c r="Q3816" s="71">
        <f t="shared" si="535"/>
        <v>0</v>
      </c>
      <c r="R3816" s="71">
        <f t="shared" si="536"/>
        <v>0</v>
      </c>
      <c r="S3816" s="71">
        <f t="shared" si="537"/>
        <v>0</v>
      </c>
      <c r="T3816" s="71">
        <f t="shared" si="538"/>
        <v>0</v>
      </c>
      <c r="U3816" s="71">
        <f>IF(AND(N3816=1,V3816=1),IF(COUNTIFS(AKTIVITAS!$B$2:$B$3052,B3816,AKTIVITAS!$E$2:$E$3052,H3816)&gt;0,1,0),0)</f>
        <v>1</v>
      </c>
      <c r="V3816" s="71">
        <f>IFERROR(IF(AND(H3816&gt;=INDEX(PEMAGANG!$J$3:$J$36,MATCH(B3816,PEMAGANG!$C$3:$C$36,0)),H3816&lt;=INDEX(PEMAGANG!$K$3:$K$36,MATCH(B3816,PEMAGANG!$C$3:$C$36,0))),1,0),0)</f>
        <v>1</v>
      </c>
      <c r="W3816" s="71">
        <f t="shared" si="539"/>
        <v>1</v>
      </c>
    </row>
    <row r="3817" spans="1:23" x14ac:dyDescent="0.2">
      <c r="A3817" s="71" t="s">
        <v>198</v>
      </c>
      <c r="B3817" s="71" t="s">
        <v>199</v>
      </c>
      <c r="C3817" s="71" t="s">
        <v>187</v>
      </c>
      <c r="D3817" s="71" t="s">
        <v>185</v>
      </c>
      <c r="E3817" s="71" t="s">
        <v>47</v>
      </c>
      <c r="F3817" s="71" t="s">
        <v>300</v>
      </c>
      <c r="G3817" s="88">
        <v>46210.708321759303</v>
      </c>
      <c r="H3817" s="89">
        <v>46210</v>
      </c>
      <c r="I3817" s="71" t="s">
        <v>364</v>
      </c>
      <c r="J3817" s="71">
        <v>0</v>
      </c>
      <c r="K3817" s="71" t="s">
        <v>302</v>
      </c>
      <c r="L3817" s="71">
        <f t="shared" si="531"/>
        <v>7</v>
      </c>
      <c r="M3817" s="71" t="str">
        <f>IFERROR(INDEX(KALENDER!$D$3:$D$132,MATCH(H3817,KALENDER!$A$3:$A$132,0)),"Di luar periode")</f>
        <v>Hari Kerja</v>
      </c>
      <c r="N3817" s="71">
        <f t="shared" si="532"/>
        <v>0</v>
      </c>
      <c r="O3817" s="71">
        <f t="shared" si="533"/>
        <v>1</v>
      </c>
      <c r="P3817" s="71">
        <f t="shared" si="534"/>
        <v>0</v>
      </c>
      <c r="Q3817" s="71">
        <f t="shared" si="535"/>
        <v>0</v>
      </c>
      <c r="R3817" s="71">
        <f t="shared" si="536"/>
        <v>0</v>
      </c>
      <c r="S3817" s="71">
        <f t="shared" si="537"/>
        <v>0</v>
      </c>
      <c r="T3817" s="71">
        <f t="shared" si="538"/>
        <v>0</v>
      </c>
      <c r="U3817" s="71">
        <f>IF(AND(N3817=1,V3817=1),IF(COUNTIFS(AKTIVITAS!$B$2:$B$3052,B3817,AKTIVITAS!$E$2:$E$3052,H3817)&gt;0,1,0),0)</f>
        <v>0</v>
      </c>
      <c r="V3817" s="71">
        <f>IFERROR(IF(AND(H3817&gt;=INDEX(PEMAGANG!$J$3:$J$36,MATCH(B3817,PEMAGANG!$C$3:$C$36,0)),H3817&lt;=INDEX(PEMAGANG!$K$3:$K$36,MATCH(B3817,PEMAGANG!$C$3:$C$36,0))),1,0),0)</f>
        <v>1</v>
      </c>
      <c r="W3817" s="71">
        <f t="shared" si="539"/>
        <v>0</v>
      </c>
    </row>
    <row r="3818" spans="1:23" x14ac:dyDescent="0.2">
      <c r="A3818" s="71" t="s">
        <v>198</v>
      </c>
      <c r="B3818" s="71" t="s">
        <v>199</v>
      </c>
      <c r="C3818" s="71" t="s">
        <v>187</v>
      </c>
      <c r="D3818" s="71" t="s">
        <v>185</v>
      </c>
      <c r="E3818" s="71" t="s">
        <v>47</v>
      </c>
      <c r="F3818" s="71" t="s">
        <v>298</v>
      </c>
      <c r="G3818" s="88">
        <v>46211.353645833296</v>
      </c>
      <c r="H3818" s="89">
        <v>46211</v>
      </c>
      <c r="I3818" s="71" t="s">
        <v>752</v>
      </c>
      <c r="J3818" s="71">
        <v>59</v>
      </c>
      <c r="K3818" s="71" t="s">
        <v>293</v>
      </c>
      <c r="L3818" s="71">
        <f t="shared" si="531"/>
        <v>7</v>
      </c>
      <c r="M3818" s="71" t="str">
        <f>IFERROR(INDEX(KALENDER!$D$3:$D$132,MATCH(H3818,KALENDER!$A$3:$A$132,0)),"Di luar periode")</f>
        <v>WFH</v>
      </c>
      <c r="N3818" s="71">
        <f t="shared" si="532"/>
        <v>1</v>
      </c>
      <c r="O3818" s="71">
        <f t="shared" si="533"/>
        <v>1</v>
      </c>
      <c r="P3818" s="71">
        <f t="shared" si="534"/>
        <v>0</v>
      </c>
      <c r="Q3818" s="71">
        <f t="shared" si="535"/>
        <v>1</v>
      </c>
      <c r="R3818" s="71">
        <f t="shared" si="536"/>
        <v>1</v>
      </c>
      <c r="S3818" s="71">
        <f t="shared" si="537"/>
        <v>59</v>
      </c>
      <c r="T3818" s="71">
        <f t="shared" si="538"/>
        <v>0</v>
      </c>
      <c r="U3818" s="71">
        <f>IF(AND(N3818=1,V3818=1),IF(COUNTIFS(AKTIVITAS!$B$2:$B$3052,B3818,AKTIVITAS!$E$2:$E$3052,H3818)&gt;0,1,0),0)</f>
        <v>1</v>
      </c>
      <c r="V3818" s="71">
        <f>IFERROR(IF(AND(H3818&gt;=INDEX(PEMAGANG!$J$3:$J$36,MATCH(B3818,PEMAGANG!$C$3:$C$36,0)),H3818&lt;=INDEX(PEMAGANG!$K$3:$K$36,MATCH(B3818,PEMAGANG!$C$3:$C$36,0))),1,0),0)</f>
        <v>1</v>
      </c>
      <c r="W3818" s="71">
        <f t="shared" si="539"/>
        <v>1</v>
      </c>
    </row>
    <row r="3819" spans="1:23" x14ac:dyDescent="0.2">
      <c r="A3819" s="71" t="s">
        <v>198</v>
      </c>
      <c r="B3819" s="71" t="s">
        <v>199</v>
      </c>
      <c r="C3819" s="71" t="s">
        <v>187</v>
      </c>
      <c r="D3819" s="71" t="s">
        <v>185</v>
      </c>
      <c r="E3819" s="71" t="s">
        <v>47</v>
      </c>
      <c r="F3819" s="71" t="s">
        <v>300</v>
      </c>
      <c r="G3819" s="88">
        <v>46211.689907407403</v>
      </c>
      <c r="H3819" s="89">
        <v>46211</v>
      </c>
      <c r="I3819" s="71" t="s">
        <v>316</v>
      </c>
      <c r="J3819" s="71">
        <v>0</v>
      </c>
      <c r="K3819" s="71" t="s">
        <v>302</v>
      </c>
      <c r="L3819" s="71">
        <f t="shared" si="531"/>
        <v>7</v>
      </c>
      <c r="M3819" s="71" t="str">
        <f>IFERROR(INDEX(KALENDER!$D$3:$D$132,MATCH(H3819,KALENDER!$A$3:$A$132,0)),"Di luar periode")</f>
        <v>WFH</v>
      </c>
      <c r="N3819" s="71">
        <f t="shared" si="532"/>
        <v>0</v>
      </c>
      <c r="O3819" s="71">
        <f t="shared" si="533"/>
        <v>1</v>
      </c>
      <c r="P3819" s="71">
        <f t="shared" si="534"/>
        <v>0</v>
      </c>
      <c r="Q3819" s="71">
        <f t="shared" si="535"/>
        <v>0</v>
      </c>
      <c r="R3819" s="71">
        <f t="shared" si="536"/>
        <v>0</v>
      </c>
      <c r="S3819" s="71">
        <f t="shared" si="537"/>
        <v>0</v>
      </c>
      <c r="T3819" s="71">
        <f t="shared" si="538"/>
        <v>0</v>
      </c>
      <c r="U3819" s="71">
        <f>IF(AND(N3819=1,V3819=1),IF(COUNTIFS(AKTIVITAS!$B$2:$B$3052,B3819,AKTIVITAS!$E$2:$E$3052,H3819)&gt;0,1,0),0)</f>
        <v>0</v>
      </c>
      <c r="V3819" s="71">
        <f>IFERROR(IF(AND(H3819&gt;=INDEX(PEMAGANG!$J$3:$J$36,MATCH(B3819,PEMAGANG!$C$3:$C$36,0)),H3819&lt;=INDEX(PEMAGANG!$K$3:$K$36,MATCH(B3819,PEMAGANG!$C$3:$C$36,0))),1,0),0)</f>
        <v>1</v>
      </c>
      <c r="W3819" s="71">
        <f t="shared" si="539"/>
        <v>0</v>
      </c>
    </row>
    <row r="3820" spans="1:23" x14ac:dyDescent="0.2">
      <c r="A3820" s="71" t="s">
        <v>198</v>
      </c>
      <c r="B3820" s="71" t="s">
        <v>199</v>
      </c>
      <c r="C3820" s="71" t="s">
        <v>187</v>
      </c>
      <c r="D3820" s="71" t="s">
        <v>185</v>
      </c>
      <c r="E3820" s="71" t="s">
        <v>47</v>
      </c>
      <c r="F3820" s="71" t="s">
        <v>298</v>
      </c>
      <c r="G3820" s="88">
        <v>46212.301608796297</v>
      </c>
      <c r="H3820" s="89">
        <v>46212</v>
      </c>
      <c r="I3820" s="71" t="s">
        <v>416</v>
      </c>
      <c r="J3820" s="71">
        <v>-16</v>
      </c>
      <c r="K3820" s="71" t="s">
        <v>302</v>
      </c>
      <c r="L3820" s="71">
        <f t="shared" si="531"/>
        <v>7</v>
      </c>
      <c r="M3820" s="71" t="str">
        <f>IFERROR(INDEX(KALENDER!$D$3:$D$132,MATCH(H3820,KALENDER!$A$3:$A$132,0)),"Di luar periode")</f>
        <v>Hari Kerja</v>
      </c>
      <c r="N3820" s="71">
        <f t="shared" si="532"/>
        <v>1</v>
      </c>
      <c r="O3820" s="71">
        <f t="shared" si="533"/>
        <v>1</v>
      </c>
      <c r="P3820" s="71">
        <f t="shared" si="534"/>
        <v>1</v>
      </c>
      <c r="Q3820" s="71">
        <f t="shared" si="535"/>
        <v>0</v>
      </c>
      <c r="R3820" s="71">
        <f t="shared" si="536"/>
        <v>0</v>
      </c>
      <c r="S3820" s="71">
        <f t="shared" si="537"/>
        <v>0</v>
      </c>
      <c r="T3820" s="71">
        <f t="shared" si="538"/>
        <v>0</v>
      </c>
      <c r="U3820" s="71">
        <f>IF(AND(N3820=1,V3820=1),IF(COUNTIFS(AKTIVITAS!$B$2:$B$3052,B3820,AKTIVITAS!$E$2:$E$3052,H3820)&gt;0,1,0),0)</f>
        <v>1</v>
      </c>
      <c r="V3820" s="71">
        <f>IFERROR(IF(AND(H3820&gt;=INDEX(PEMAGANG!$J$3:$J$36,MATCH(B3820,PEMAGANG!$C$3:$C$36,0)),H3820&lt;=INDEX(PEMAGANG!$K$3:$K$36,MATCH(B3820,PEMAGANG!$C$3:$C$36,0))),1,0),0)</f>
        <v>1</v>
      </c>
      <c r="W3820" s="71">
        <f t="shared" si="539"/>
        <v>1</v>
      </c>
    </row>
    <row r="3821" spans="1:23" x14ac:dyDescent="0.2">
      <c r="A3821" s="71" t="s">
        <v>198</v>
      </c>
      <c r="B3821" s="71" t="s">
        <v>199</v>
      </c>
      <c r="C3821" s="71" t="s">
        <v>187</v>
      </c>
      <c r="D3821" s="71" t="s">
        <v>185</v>
      </c>
      <c r="E3821" s="71" t="s">
        <v>47</v>
      </c>
      <c r="F3821" s="71" t="s">
        <v>300</v>
      </c>
      <c r="G3821" s="88">
        <v>46212.693136574097</v>
      </c>
      <c r="H3821" s="89">
        <v>46212</v>
      </c>
      <c r="I3821" s="71" t="s">
        <v>317</v>
      </c>
      <c r="J3821" s="71">
        <v>0</v>
      </c>
      <c r="K3821" s="71" t="s">
        <v>302</v>
      </c>
      <c r="L3821" s="71">
        <f t="shared" si="531"/>
        <v>7</v>
      </c>
      <c r="M3821" s="71" t="str">
        <f>IFERROR(INDEX(KALENDER!$D$3:$D$132,MATCH(H3821,KALENDER!$A$3:$A$132,0)),"Di luar periode")</f>
        <v>Hari Kerja</v>
      </c>
      <c r="N3821" s="71">
        <f t="shared" si="532"/>
        <v>0</v>
      </c>
      <c r="O3821" s="71">
        <f t="shared" si="533"/>
        <v>1</v>
      </c>
      <c r="P3821" s="71">
        <f t="shared" si="534"/>
        <v>0</v>
      </c>
      <c r="Q3821" s="71">
        <f t="shared" si="535"/>
        <v>0</v>
      </c>
      <c r="R3821" s="71">
        <f t="shared" si="536"/>
        <v>0</v>
      </c>
      <c r="S3821" s="71">
        <f t="shared" si="537"/>
        <v>0</v>
      </c>
      <c r="T3821" s="71">
        <f t="shared" si="538"/>
        <v>0</v>
      </c>
      <c r="U3821" s="71">
        <f>IF(AND(N3821=1,V3821=1),IF(COUNTIFS(AKTIVITAS!$B$2:$B$3052,B3821,AKTIVITAS!$E$2:$E$3052,H3821)&gt;0,1,0),0)</f>
        <v>0</v>
      </c>
      <c r="V3821" s="71">
        <f>IFERROR(IF(AND(H3821&gt;=INDEX(PEMAGANG!$J$3:$J$36,MATCH(B3821,PEMAGANG!$C$3:$C$36,0)),H3821&lt;=INDEX(PEMAGANG!$K$3:$K$36,MATCH(B3821,PEMAGANG!$C$3:$C$36,0))),1,0),0)</f>
        <v>1</v>
      </c>
      <c r="W3821" s="71">
        <f t="shared" si="539"/>
        <v>0</v>
      </c>
    </row>
    <row r="3822" spans="1:23" x14ac:dyDescent="0.2">
      <c r="A3822" s="71" t="s">
        <v>198</v>
      </c>
      <c r="B3822" s="71" t="s">
        <v>199</v>
      </c>
      <c r="C3822" s="71" t="s">
        <v>187</v>
      </c>
      <c r="D3822" s="71" t="s">
        <v>185</v>
      </c>
      <c r="E3822" s="71" t="s">
        <v>47</v>
      </c>
      <c r="F3822" s="71" t="s">
        <v>298</v>
      </c>
      <c r="G3822" s="88">
        <v>46213.303599537001</v>
      </c>
      <c r="H3822" s="89">
        <v>46213</v>
      </c>
      <c r="I3822" s="71" t="s">
        <v>331</v>
      </c>
      <c r="J3822" s="71">
        <v>-13</v>
      </c>
      <c r="K3822" s="71" t="s">
        <v>302</v>
      </c>
      <c r="L3822" s="71">
        <f t="shared" si="531"/>
        <v>7</v>
      </c>
      <c r="M3822" s="71" t="str">
        <f>IFERROR(INDEX(KALENDER!$D$3:$D$132,MATCH(H3822,KALENDER!$A$3:$A$132,0)),"Di luar periode")</f>
        <v>Hari Kerja</v>
      </c>
      <c r="N3822" s="71">
        <f t="shared" si="532"/>
        <v>1</v>
      </c>
      <c r="O3822" s="71">
        <f t="shared" si="533"/>
        <v>1</v>
      </c>
      <c r="P3822" s="71">
        <f t="shared" si="534"/>
        <v>1</v>
      </c>
      <c r="Q3822" s="71">
        <f t="shared" si="535"/>
        <v>0</v>
      </c>
      <c r="R3822" s="71">
        <f t="shared" si="536"/>
        <v>0</v>
      </c>
      <c r="S3822" s="71">
        <f t="shared" si="537"/>
        <v>0</v>
      </c>
      <c r="T3822" s="71">
        <f t="shared" si="538"/>
        <v>0</v>
      </c>
      <c r="U3822" s="71">
        <f>IF(AND(N3822=1,V3822=1),IF(COUNTIFS(AKTIVITAS!$B$2:$B$3052,B3822,AKTIVITAS!$E$2:$E$3052,H3822)&gt;0,1,0),0)</f>
        <v>1</v>
      </c>
      <c r="V3822" s="71">
        <f>IFERROR(IF(AND(H3822&gt;=INDEX(PEMAGANG!$J$3:$J$36,MATCH(B3822,PEMAGANG!$C$3:$C$36,0)),H3822&lt;=INDEX(PEMAGANG!$K$3:$K$36,MATCH(B3822,PEMAGANG!$C$3:$C$36,0))),1,0),0)</f>
        <v>1</v>
      </c>
      <c r="W3822" s="71">
        <f t="shared" si="539"/>
        <v>1</v>
      </c>
    </row>
    <row r="3823" spans="1:23" x14ac:dyDescent="0.2">
      <c r="A3823" s="71" t="s">
        <v>198</v>
      </c>
      <c r="B3823" s="71" t="s">
        <v>199</v>
      </c>
      <c r="C3823" s="71" t="s">
        <v>187</v>
      </c>
      <c r="D3823" s="71" t="s">
        <v>185</v>
      </c>
      <c r="E3823" s="71" t="s">
        <v>47</v>
      </c>
      <c r="F3823" s="71" t="s">
        <v>300</v>
      </c>
      <c r="G3823" s="88">
        <v>46213.6940046296</v>
      </c>
      <c r="H3823" s="89">
        <v>46213</v>
      </c>
      <c r="I3823" s="71" t="s">
        <v>308</v>
      </c>
      <c r="J3823" s="71">
        <v>0</v>
      </c>
      <c r="K3823" s="71" t="s">
        <v>302</v>
      </c>
      <c r="L3823" s="71">
        <f t="shared" si="531"/>
        <v>7</v>
      </c>
      <c r="M3823" s="71" t="str">
        <f>IFERROR(INDEX(KALENDER!$D$3:$D$132,MATCH(H3823,KALENDER!$A$3:$A$132,0)),"Di luar periode")</f>
        <v>Hari Kerja</v>
      </c>
      <c r="N3823" s="71">
        <f t="shared" si="532"/>
        <v>0</v>
      </c>
      <c r="O3823" s="71">
        <f t="shared" si="533"/>
        <v>1</v>
      </c>
      <c r="P3823" s="71">
        <f t="shared" si="534"/>
        <v>0</v>
      </c>
      <c r="Q3823" s="71">
        <f t="shared" si="535"/>
        <v>0</v>
      </c>
      <c r="R3823" s="71">
        <f t="shared" si="536"/>
        <v>0</v>
      </c>
      <c r="S3823" s="71">
        <f t="shared" si="537"/>
        <v>0</v>
      </c>
      <c r="T3823" s="71">
        <f t="shared" si="538"/>
        <v>0</v>
      </c>
      <c r="U3823" s="71">
        <f>IF(AND(N3823=1,V3823=1),IF(COUNTIFS(AKTIVITAS!$B$2:$B$3052,B3823,AKTIVITAS!$E$2:$E$3052,H3823)&gt;0,1,0),0)</f>
        <v>0</v>
      </c>
      <c r="V3823" s="71">
        <f>IFERROR(IF(AND(H3823&gt;=INDEX(PEMAGANG!$J$3:$J$36,MATCH(B3823,PEMAGANG!$C$3:$C$36,0)),H3823&lt;=INDEX(PEMAGANG!$K$3:$K$36,MATCH(B3823,PEMAGANG!$C$3:$C$36,0))),1,0),0)</f>
        <v>1</v>
      </c>
      <c r="W3823" s="71">
        <f t="shared" si="539"/>
        <v>0</v>
      </c>
    </row>
    <row r="3824" spans="1:23" x14ac:dyDescent="0.2">
      <c r="A3824" s="71" t="s">
        <v>198</v>
      </c>
      <c r="B3824" s="71" t="s">
        <v>199</v>
      </c>
      <c r="C3824" s="71" t="s">
        <v>187</v>
      </c>
      <c r="D3824" s="71" t="s">
        <v>185</v>
      </c>
      <c r="E3824" s="71" t="s">
        <v>47</v>
      </c>
      <c r="F3824" s="71" t="s">
        <v>298</v>
      </c>
      <c r="G3824" s="88">
        <v>46219.314108796301</v>
      </c>
      <c r="H3824" s="89">
        <v>46219</v>
      </c>
      <c r="I3824" s="71" t="s">
        <v>338</v>
      </c>
      <c r="J3824" s="71">
        <v>1.99999999999999</v>
      </c>
      <c r="K3824" s="71" t="s">
        <v>293</v>
      </c>
      <c r="L3824" s="71">
        <f t="shared" si="531"/>
        <v>7</v>
      </c>
      <c r="M3824" s="71" t="str">
        <f>IFERROR(INDEX(KALENDER!$D$3:$D$132,MATCH(H3824,KALENDER!$A$3:$A$132,0)),"Di luar periode")</f>
        <v>Hari Kerja</v>
      </c>
      <c r="N3824" s="71">
        <f t="shared" si="532"/>
        <v>1</v>
      </c>
      <c r="O3824" s="71">
        <f t="shared" si="533"/>
        <v>1</v>
      </c>
      <c r="P3824" s="71">
        <f t="shared" si="534"/>
        <v>1</v>
      </c>
      <c r="Q3824" s="71">
        <f t="shared" si="535"/>
        <v>0</v>
      </c>
      <c r="R3824" s="71">
        <f t="shared" si="536"/>
        <v>1</v>
      </c>
      <c r="S3824" s="71">
        <f t="shared" si="537"/>
        <v>1.99999999999999</v>
      </c>
      <c r="T3824" s="71">
        <f t="shared" si="538"/>
        <v>0</v>
      </c>
      <c r="U3824" s="71">
        <f>IF(AND(N3824=1,V3824=1),IF(COUNTIFS(AKTIVITAS!$B$2:$B$3052,B3824,AKTIVITAS!$E$2:$E$3052,H3824)&gt;0,1,0),0)</f>
        <v>1</v>
      </c>
      <c r="V3824" s="71">
        <f>IFERROR(IF(AND(H3824&gt;=INDEX(PEMAGANG!$J$3:$J$36,MATCH(B3824,PEMAGANG!$C$3:$C$36,0)),H3824&lt;=INDEX(PEMAGANG!$K$3:$K$36,MATCH(B3824,PEMAGANG!$C$3:$C$36,0))),1,0),0)</f>
        <v>1</v>
      </c>
      <c r="W3824" s="71">
        <f t="shared" si="539"/>
        <v>1</v>
      </c>
    </row>
    <row r="3825" spans="1:23" x14ac:dyDescent="0.2">
      <c r="A3825" s="71" t="s">
        <v>198</v>
      </c>
      <c r="B3825" s="71" t="s">
        <v>199</v>
      </c>
      <c r="C3825" s="71" t="s">
        <v>187</v>
      </c>
      <c r="D3825" s="71" t="s">
        <v>185</v>
      </c>
      <c r="E3825" s="71" t="s">
        <v>47</v>
      </c>
      <c r="F3825" s="71" t="s">
        <v>300</v>
      </c>
      <c r="G3825" s="88">
        <v>46219.690787036998</v>
      </c>
      <c r="H3825" s="89">
        <v>46219</v>
      </c>
      <c r="I3825" s="71" t="s">
        <v>314</v>
      </c>
      <c r="J3825" s="71">
        <v>0</v>
      </c>
      <c r="K3825" s="71" t="s">
        <v>302</v>
      </c>
      <c r="L3825" s="71">
        <f t="shared" si="531"/>
        <v>7</v>
      </c>
      <c r="M3825" s="71" t="str">
        <f>IFERROR(INDEX(KALENDER!$D$3:$D$132,MATCH(H3825,KALENDER!$A$3:$A$132,0)),"Di luar periode")</f>
        <v>Hari Kerja</v>
      </c>
      <c r="N3825" s="71">
        <f t="shared" si="532"/>
        <v>0</v>
      </c>
      <c r="O3825" s="71">
        <f t="shared" si="533"/>
        <v>1</v>
      </c>
      <c r="P3825" s="71">
        <f t="shared" si="534"/>
        <v>0</v>
      </c>
      <c r="Q3825" s="71">
        <f t="shared" si="535"/>
        <v>0</v>
      </c>
      <c r="R3825" s="71">
        <f t="shared" si="536"/>
        <v>0</v>
      </c>
      <c r="S3825" s="71">
        <f t="shared" si="537"/>
        <v>0</v>
      </c>
      <c r="T3825" s="71">
        <f t="shared" si="538"/>
        <v>0</v>
      </c>
      <c r="U3825" s="71">
        <f>IF(AND(N3825=1,V3825=1),IF(COUNTIFS(AKTIVITAS!$B$2:$B$3052,B3825,AKTIVITAS!$E$2:$E$3052,H3825)&gt;0,1,0),0)</f>
        <v>0</v>
      </c>
      <c r="V3825" s="71">
        <f>IFERROR(IF(AND(H3825&gt;=INDEX(PEMAGANG!$J$3:$J$36,MATCH(B3825,PEMAGANG!$C$3:$C$36,0)),H3825&lt;=INDEX(PEMAGANG!$K$3:$K$36,MATCH(B3825,PEMAGANG!$C$3:$C$36,0))),1,0),0)</f>
        <v>1</v>
      </c>
      <c r="W3825" s="71">
        <f t="shared" si="539"/>
        <v>0</v>
      </c>
    </row>
    <row r="3826" spans="1:23" x14ac:dyDescent="0.2">
      <c r="A3826" s="71" t="s">
        <v>198</v>
      </c>
      <c r="B3826" s="71" t="s">
        <v>199</v>
      </c>
      <c r="C3826" s="71" t="s">
        <v>187</v>
      </c>
      <c r="D3826" s="71" t="s">
        <v>185</v>
      </c>
      <c r="E3826" s="71" t="s">
        <v>47</v>
      </c>
      <c r="F3826" s="71" t="s">
        <v>298</v>
      </c>
      <c r="G3826" s="88">
        <v>46220.308877314797</v>
      </c>
      <c r="H3826" s="89">
        <v>46220</v>
      </c>
      <c r="I3826" s="71" t="s">
        <v>303</v>
      </c>
      <c r="J3826" s="71">
        <v>-5.9999999999999796</v>
      </c>
      <c r="K3826" s="71" t="s">
        <v>302</v>
      </c>
      <c r="L3826" s="71">
        <f t="shared" si="531"/>
        <v>7</v>
      </c>
      <c r="M3826" s="71" t="str">
        <f>IFERROR(INDEX(KALENDER!$D$3:$D$132,MATCH(H3826,KALENDER!$A$3:$A$132,0)),"Di luar periode")</f>
        <v>Hari Kerja</v>
      </c>
      <c r="N3826" s="71">
        <f t="shared" si="532"/>
        <v>1</v>
      </c>
      <c r="O3826" s="71">
        <f t="shared" si="533"/>
        <v>1</v>
      </c>
      <c r="P3826" s="71">
        <f t="shared" si="534"/>
        <v>1</v>
      </c>
      <c r="Q3826" s="71">
        <f t="shared" si="535"/>
        <v>0</v>
      </c>
      <c r="R3826" s="71">
        <f t="shared" si="536"/>
        <v>0</v>
      </c>
      <c r="S3826" s="71">
        <f t="shared" si="537"/>
        <v>0</v>
      </c>
      <c r="T3826" s="71">
        <f t="shared" si="538"/>
        <v>0</v>
      </c>
      <c r="U3826" s="71">
        <f>IF(AND(N3826=1,V3826=1),IF(COUNTIFS(AKTIVITAS!$B$2:$B$3052,B3826,AKTIVITAS!$E$2:$E$3052,H3826)&gt;0,1,0),0)</f>
        <v>1</v>
      </c>
      <c r="V3826" s="71">
        <f>IFERROR(IF(AND(H3826&gt;=INDEX(PEMAGANG!$J$3:$J$36,MATCH(B3826,PEMAGANG!$C$3:$C$36,0)),H3826&lt;=INDEX(PEMAGANG!$K$3:$K$36,MATCH(B3826,PEMAGANG!$C$3:$C$36,0))),1,0),0)</f>
        <v>1</v>
      </c>
      <c r="W3826" s="71">
        <f t="shared" si="539"/>
        <v>1</v>
      </c>
    </row>
    <row r="3827" spans="1:23" x14ac:dyDescent="0.2">
      <c r="A3827" s="71" t="s">
        <v>198</v>
      </c>
      <c r="B3827" s="71" t="s">
        <v>199</v>
      </c>
      <c r="C3827" s="71" t="s">
        <v>187</v>
      </c>
      <c r="D3827" s="71" t="s">
        <v>185</v>
      </c>
      <c r="E3827" s="71" t="s">
        <v>47</v>
      </c>
      <c r="F3827" s="71" t="s">
        <v>300</v>
      </c>
      <c r="G3827" s="88">
        <v>46220.6903356482</v>
      </c>
      <c r="H3827" s="89">
        <v>46220</v>
      </c>
      <c r="I3827" s="71" t="s">
        <v>314</v>
      </c>
      <c r="J3827" s="71">
        <v>0</v>
      </c>
      <c r="K3827" s="71" t="s">
        <v>302</v>
      </c>
      <c r="L3827" s="71">
        <f t="shared" si="531"/>
        <v>7</v>
      </c>
      <c r="M3827" s="71" t="str">
        <f>IFERROR(INDEX(KALENDER!$D$3:$D$132,MATCH(H3827,KALENDER!$A$3:$A$132,0)),"Di luar periode")</f>
        <v>Hari Kerja</v>
      </c>
      <c r="N3827" s="71">
        <f t="shared" si="532"/>
        <v>0</v>
      </c>
      <c r="O3827" s="71">
        <f t="shared" si="533"/>
        <v>1</v>
      </c>
      <c r="P3827" s="71">
        <f t="shared" si="534"/>
        <v>0</v>
      </c>
      <c r="Q3827" s="71">
        <f t="shared" si="535"/>
        <v>0</v>
      </c>
      <c r="R3827" s="71">
        <f t="shared" si="536"/>
        <v>0</v>
      </c>
      <c r="S3827" s="71">
        <f t="shared" si="537"/>
        <v>0</v>
      </c>
      <c r="T3827" s="71">
        <f t="shared" si="538"/>
        <v>0</v>
      </c>
      <c r="U3827" s="71">
        <f>IF(AND(N3827=1,V3827=1),IF(COUNTIFS(AKTIVITAS!$B$2:$B$3052,B3827,AKTIVITAS!$E$2:$E$3052,H3827)&gt;0,1,0),0)</f>
        <v>0</v>
      </c>
      <c r="V3827" s="71">
        <f>IFERROR(IF(AND(H3827&gt;=INDEX(PEMAGANG!$J$3:$J$36,MATCH(B3827,PEMAGANG!$C$3:$C$36,0)),H3827&lt;=INDEX(PEMAGANG!$K$3:$K$36,MATCH(B3827,PEMAGANG!$C$3:$C$36,0))),1,0),0)</f>
        <v>1</v>
      </c>
      <c r="W3827" s="71">
        <f t="shared" si="539"/>
        <v>0</v>
      </c>
    </row>
    <row r="3828" spans="1:23" x14ac:dyDescent="0.2">
      <c r="A3828" s="71" t="s">
        <v>198</v>
      </c>
      <c r="B3828" s="71" t="s">
        <v>199</v>
      </c>
      <c r="C3828" s="71" t="s">
        <v>187</v>
      </c>
      <c r="D3828" s="71" t="s">
        <v>185</v>
      </c>
      <c r="E3828" s="71" t="s">
        <v>47</v>
      </c>
      <c r="F3828" s="71" t="s">
        <v>298</v>
      </c>
      <c r="G3828" s="88">
        <v>46223.307187500002</v>
      </c>
      <c r="H3828" s="89">
        <v>46223</v>
      </c>
      <c r="I3828" s="71" t="s">
        <v>313</v>
      </c>
      <c r="J3828" s="71">
        <v>-8.0000000000000497</v>
      </c>
      <c r="K3828" s="71" t="s">
        <v>302</v>
      </c>
      <c r="L3828" s="71">
        <f t="shared" si="531"/>
        <v>7</v>
      </c>
      <c r="M3828" s="71" t="str">
        <f>IFERROR(INDEX(KALENDER!$D$3:$D$132,MATCH(H3828,KALENDER!$A$3:$A$132,0)),"Di luar periode")</f>
        <v>Hari Kerja</v>
      </c>
      <c r="N3828" s="71">
        <f t="shared" si="532"/>
        <v>1</v>
      </c>
      <c r="O3828" s="71">
        <f t="shared" si="533"/>
        <v>1</v>
      </c>
      <c r="P3828" s="71">
        <f t="shared" si="534"/>
        <v>1</v>
      </c>
      <c r="Q3828" s="71">
        <f t="shared" si="535"/>
        <v>0</v>
      </c>
      <c r="R3828" s="71">
        <f t="shared" si="536"/>
        <v>0</v>
      </c>
      <c r="S3828" s="71">
        <f t="shared" si="537"/>
        <v>0</v>
      </c>
      <c r="T3828" s="71">
        <f t="shared" si="538"/>
        <v>0</v>
      </c>
      <c r="U3828" s="71">
        <f>IF(AND(N3828=1,V3828=1),IF(COUNTIFS(AKTIVITAS!$B$2:$B$3052,B3828,AKTIVITAS!$E$2:$E$3052,H3828)&gt;0,1,0),0)</f>
        <v>1</v>
      </c>
      <c r="V3828" s="71">
        <f>IFERROR(IF(AND(H3828&gt;=INDEX(PEMAGANG!$J$3:$J$36,MATCH(B3828,PEMAGANG!$C$3:$C$36,0)),H3828&lt;=INDEX(PEMAGANG!$K$3:$K$36,MATCH(B3828,PEMAGANG!$C$3:$C$36,0))),1,0),0)</f>
        <v>1</v>
      </c>
      <c r="W3828" s="71">
        <f t="shared" si="539"/>
        <v>1</v>
      </c>
    </row>
    <row r="3829" spans="1:23" x14ac:dyDescent="0.2">
      <c r="A3829" s="71" t="s">
        <v>198</v>
      </c>
      <c r="B3829" s="71" t="s">
        <v>199</v>
      </c>
      <c r="C3829" s="71" t="s">
        <v>187</v>
      </c>
      <c r="D3829" s="71" t="s">
        <v>185</v>
      </c>
      <c r="E3829" s="71" t="s">
        <v>47</v>
      </c>
      <c r="F3829" s="71" t="s">
        <v>300</v>
      </c>
      <c r="G3829" s="88">
        <v>46223.695370370398</v>
      </c>
      <c r="H3829" s="89">
        <v>46223</v>
      </c>
      <c r="I3829" s="71" t="s">
        <v>319</v>
      </c>
      <c r="J3829" s="71">
        <v>0</v>
      </c>
      <c r="K3829" s="71" t="s">
        <v>302</v>
      </c>
      <c r="L3829" s="71">
        <f t="shared" si="531"/>
        <v>7</v>
      </c>
      <c r="M3829" s="71" t="str">
        <f>IFERROR(INDEX(KALENDER!$D$3:$D$132,MATCH(H3829,KALENDER!$A$3:$A$132,0)),"Di luar periode")</f>
        <v>Hari Kerja</v>
      </c>
      <c r="N3829" s="71">
        <f t="shared" si="532"/>
        <v>0</v>
      </c>
      <c r="O3829" s="71">
        <f t="shared" si="533"/>
        <v>1</v>
      </c>
      <c r="P3829" s="71">
        <f t="shared" si="534"/>
        <v>0</v>
      </c>
      <c r="Q3829" s="71">
        <f t="shared" si="535"/>
        <v>0</v>
      </c>
      <c r="R3829" s="71">
        <f t="shared" si="536"/>
        <v>0</v>
      </c>
      <c r="S3829" s="71">
        <f t="shared" si="537"/>
        <v>0</v>
      </c>
      <c r="T3829" s="71">
        <f t="shared" si="538"/>
        <v>0</v>
      </c>
      <c r="U3829" s="71">
        <f>IF(AND(N3829=1,V3829=1),IF(COUNTIFS(AKTIVITAS!$B$2:$B$3052,B3829,AKTIVITAS!$E$2:$E$3052,H3829)&gt;0,1,0),0)</f>
        <v>0</v>
      </c>
      <c r="V3829" s="71">
        <f>IFERROR(IF(AND(H3829&gt;=INDEX(PEMAGANG!$J$3:$J$36,MATCH(B3829,PEMAGANG!$C$3:$C$36,0)),H3829&lt;=INDEX(PEMAGANG!$K$3:$K$36,MATCH(B3829,PEMAGANG!$C$3:$C$36,0))),1,0),0)</f>
        <v>1</v>
      </c>
      <c r="W3829" s="71">
        <f t="shared" si="539"/>
        <v>0</v>
      </c>
    </row>
    <row r="3830" spans="1:23" x14ac:dyDescent="0.2">
      <c r="A3830" s="71" t="s">
        <v>198</v>
      </c>
      <c r="B3830" s="71" t="s">
        <v>199</v>
      </c>
      <c r="C3830" s="71" t="s">
        <v>187</v>
      </c>
      <c r="D3830" s="71" t="s">
        <v>185</v>
      </c>
      <c r="E3830" s="71" t="s">
        <v>47</v>
      </c>
      <c r="F3830" s="71" t="s">
        <v>298</v>
      </c>
      <c r="G3830" s="88">
        <v>46224.310439814799</v>
      </c>
      <c r="H3830" s="89">
        <v>46224</v>
      </c>
      <c r="I3830" s="71" t="s">
        <v>309</v>
      </c>
      <c r="J3830" s="71">
        <v>-2.9999999999999898</v>
      </c>
      <c r="K3830" s="71" t="s">
        <v>302</v>
      </c>
      <c r="L3830" s="71">
        <f t="shared" si="531"/>
        <v>7</v>
      </c>
      <c r="M3830" s="71" t="str">
        <f>IFERROR(INDEX(KALENDER!$D$3:$D$132,MATCH(H3830,KALENDER!$A$3:$A$132,0)),"Di luar periode")</f>
        <v>Hari Kerja</v>
      </c>
      <c r="N3830" s="71">
        <f t="shared" si="532"/>
        <v>1</v>
      </c>
      <c r="O3830" s="71">
        <f t="shared" si="533"/>
        <v>1</v>
      </c>
      <c r="P3830" s="71">
        <f t="shared" si="534"/>
        <v>1</v>
      </c>
      <c r="Q3830" s="71">
        <f t="shared" si="535"/>
        <v>0</v>
      </c>
      <c r="R3830" s="71">
        <f t="shared" si="536"/>
        <v>0</v>
      </c>
      <c r="S3830" s="71">
        <f t="shared" si="537"/>
        <v>0</v>
      </c>
      <c r="T3830" s="71">
        <f t="shared" si="538"/>
        <v>0</v>
      </c>
      <c r="U3830" s="71">
        <f>IF(AND(N3830=1,V3830=1),IF(COUNTIFS(AKTIVITAS!$B$2:$B$3052,B3830,AKTIVITAS!$E$2:$E$3052,H3830)&gt;0,1,0),0)</f>
        <v>1</v>
      </c>
      <c r="V3830" s="71">
        <f>IFERROR(IF(AND(H3830&gt;=INDEX(PEMAGANG!$J$3:$J$36,MATCH(B3830,PEMAGANG!$C$3:$C$36,0)),H3830&lt;=INDEX(PEMAGANG!$K$3:$K$36,MATCH(B3830,PEMAGANG!$C$3:$C$36,0))),1,0),0)</f>
        <v>1</v>
      </c>
      <c r="W3830" s="71">
        <f t="shared" si="539"/>
        <v>1</v>
      </c>
    </row>
    <row r="3831" spans="1:23" x14ac:dyDescent="0.2">
      <c r="A3831" s="71" t="s">
        <v>198</v>
      </c>
      <c r="B3831" s="71" t="s">
        <v>199</v>
      </c>
      <c r="C3831" s="71" t="s">
        <v>187</v>
      </c>
      <c r="D3831" s="71" t="s">
        <v>185</v>
      </c>
      <c r="E3831" s="71" t="s">
        <v>47</v>
      </c>
      <c r="F3831" s="71" t="s">
        <v>300</v>
      </c>
      <c r="G3831" s="88">
        <v>46224.693576388898</v>
      </c>
      <c r="H3831" s="89">
        <v>46224</v>
      </c>
      <c r="I3831" s="71" t="s">
        <v>317</v>
      </c>
      <c r="J3831" s="71">
        <v>0</v>
      </c>
      <c r="K3831" s="71" t="s">
        <v>302</v>
      </c>
      <c r="L3831" s="71">
        <f t="shared" si="531"/>
        <v>7</v>
      </c>
      <c r="M3831" s="71" t="str">
        <f>IFERROR(INDEX(KALENDER!$D$3:$D$132,MATCH(H3831,KALENDER!$A$3:$A$132,0)),"Di luar periode")</f>
        <v>Hari Kerja</v>
      </c>
      <c r="N3831" s="71">
        <f t="shared" si="532"/>
        <v>0</v>
      </c>
      <c r="O3831" s="71">
        <f t="shared" si="533"/>
        <v>1</v>
      </c>
      <c r="P3831" s="71">
        <f t="shared" si="534"/>
        <v>0</v>
      </c>
      <c r="Q3831" s="71">
        <f t="shared" si="535"/>
        <v>0</v>
      </c>
      <c r="R3831" s="71">
        <f t="shared" si="536"/>
        <v>0</v>
      </c>
      <c r="S3831" s="71">
        <f t="shared" si="537"/>
        <v>0</v>
      </c>
      <c r="T3831" s="71">
        <f t="shared" si="538"/>
        <v>0</v>
      </c>
      <c r="U3831" s="71">
        <f>IF(AND(N3831=1,V3831=1),IF(COUNTIFS(AKTIVITAS!$B$2:$B$3052,B3831,AKTIVITAS!$E$2:$E$3052,H3831)&gt;0,1,0),0)</f>
        <v>0</v>
      </c>
      <c r="V3831" s="71">
        <f>IFERROR(IF(AND(H3831&gt;=INDEX(PEMAGANG!$J$3:$J$36,MATCH(B3831,PEMAGANG!$C$3:$C$36,0)),H3831&lt;=INDEX(PEMAGANG!$K$3:$K$36,MATCH(B3831,PEMAGANG!$C$3:$C$36,0))),1,0),0)</f>
        <v>1</v>
      </c>
      <c r="W3831" s="71">
        <f t="shared" si="539"/>
        <v>0</v>
      </c>
    </row>
    <row r="3832" spans="1:23" x14ac:dyDescent="0.2">
      <c r="A3832" s="71" t="s">
        <v>198</v>
      </c>
      <c r="B3832" s="71" t="s">
        <v>199</v>
      </c>
      <c r="C3832" s="71" t="s">
        <v>187</v>
      </c>
      <c r="D3832" s="71" t="s">
        <v>185</v>
      </c>
      <c r="E3832" s="71" t="s">
        <v>47</v>
      </c>
      <c r="F3832" s="71" t="s">
        <v>298</v>
      </c>
      <c r="G3832" s="88">
        <v>46226.312303240702</v>
      </c>
      <c r="H3832" s="89">
        <v>46226</v>
      </c>
      <c r="I3832" s="71" t="s">
        <v>365</v>
      </c>
      <c r="J3832" s="71">
        <v>-0.999999999999996</v>
      </c>
      <c r="K3832" s="71" t="s">
        <v>302</v>
      </c>
      <c r="L3832" s="71">
        <f t="shared" si="531"/>
        <v>7</v>
      </c>
      <c r="M3832" s="71" t="str">
        <f>IFERROR(INDEX(KALENDER!$D$3:$D$132,MATCH(H3832,KALENDER!$A$3:$A$132,0)),"Di luar periode")</f>
        <v>Hari Kerja</v>
      </c>
      <c r="N3832" s="71">
        <f t="shared" si="532"/>
        <v>1</v>
      </c>
      <c r="O3832" s="71">
        <f t="shared" si="533"/>
        <v>1</v>
      </c>
      <c r="P3832" s="71">
        <f t="shared" si="534"/>
        <v>1</v>
      </c>
      <c r="Q3832" s="71">
        <f t="shared" si="535"/>
        <v>0</v>
      </c>
      <c r="R3832" s="71">
        <f t="shared" si="536"/>
        <v>0</v>
      </c>
      <c r="S3832" s="71">
        <f t="shared" si="537"/>
        <v>0</v>
      </c>
      <c r="T3832" s="71">
        <f t="shared" si="538"/>
        <v>0</v>
      </c>
      <c r="U3832" s="71">
        <f>IF(AND(N3832=1,V3832=1),IF(COUNTIFS(AKTIVITAS!$B$2:$B$3052,B3832,AKTIVITAS!$E$2:$E$3052,H3832)&gt;0,1,0),0)</f>
        <v>1</v>
      </c>
      <c r="V3832" s="71">
        <f>IFERROR(IF(AND(H3832&gt;=INDEX(PEMAGANG!$J$3:$J$36,MATCH(B3832,PEMAGANG!$C$3:$C$36,0)),H3832&lt;=INDEX(PEMAGANG!$K$3:$K$36,MATCH(B3832,PEMAGANG!$C$3:$C$36,0))),1,0),0)</f>
        <v>1</v>
      </c>
      <c r="W3832" s="71">
        <f t="shared" si="539"/>
        <v>1</v>
      </c>
    </row>
    <row r="3833" spans="1:23" x14ac:dyDescent="0.2">
      <c r="A3833" s="71" t="s">
        <v>198</v>
      </c>
      <c r="B3833" s="71" t="s">
        <v>199</v>
      </c>
      <c r="C3833" s="71" t="s">
        <v>187</v>
      </c>
      <c r="D3833" s="71" t="s">
        <v>185</v>
      </c>
      <c r="E3833" s="71" t="s">
        <v>47</v>
      </c>
      <c r="F3833" s="71" t="s">
        <v>300</v>
      </c>
      <c r="G3833" s="88">
        <v>46226.693749999999</v>
      </c>
      <c r="H3833" s="89">
        <v>46226</v>
      </c>
      <c r="I3833" s="71" t="s">
        <v>308</v>
      </c>
      <c r="J3833" s="71">
        <v>0</v>
      </c>
      <c r="K3833" s="71" t="s">
        <v>302</v>
      </c>
      <c r="L3833" s="71">
        <f t="shared" si="531"/>
        <v>7</v>
      </c>
      <c r="M3833" s="71" t="str">
        <f>IFERROR(INDEX(KALENDER!$D$3:$D$132,MATCH(H3833,KALENDER!$A$3:$A$132,0)),"Di luar periode")</f>
        <v>Hari Kerja</v>
      </c>
      <c r="N3833" s="71">
        <f t="shared" si="532"/>
        <v>0</v>
      </c>
      <c r="O3833" s="71">
        <f t="shared" si="533"/>
        <v>1</v>
      </c>
      <c r="P3833" s="71">
        <f t="shared" si="534"/>
        <v>0</v>
      </c>
      <c r="Q3833" s="71">
        <f t="shared" si="535"/>
        <v>0</v>
      </c>
      <c r="R3833" s="71">
        <f t="shared" si="536"/>
        <v>0</v>
      </c>
      <c r="S3833" s="71">
        <f t="shared" si="537"/>
        <v>0</v>
      </c>
      <c r="T3833" s="71">
        <f t="shared" si="538"/>
        <v>0</v>
      </c>
      <c r="U3833" s="71">
        <f>IF(AND(N3833=1,V3833=1),IF(COUNTIFS(AKTIVITAS!$B$2:$B$3052,B3833,AKTIVITAS!$E$2:$E$3052,H3833)&gt;0,1,0),0)</f>
        <v>0</v>
      </c>
      <c r="V3833" s="71">
        <f>IFERROR(IF(AND(H3833&gt;=INDEX(PEMAGANG!$J$3:$J$36,MATCH(B3833,PEMAGANG!$C$3:$C$36,0)),H3833&lt;=INDEX(PEMAGANG!$K$3:$K$36,MATCH(B3833,PEMAGANG!$C$3:$C$36,0))),1,0),0)</f>
        <v>1</v>
      </c>
      <c r="W3833" s="71">
        <f t="shared" si="539"/>
        <v>0</v>
      </c>
    </row>
    <row r="3834" spans="1:23" x14ac:dyDescent="0.2">
      <c r="A3834" s="71" t="s">
        <v>198</v>
      </c>
      <c r="B3834" s="71" t="s">
        <v>199</v>
      </c>
      <c r="C3834" s="71" t="s">
        <v>187</v>
      </c>
      <c r="D3834" s="71" t="s">
        <v>185</v>
      </c>
      <c r="E3834" s="71" t="s">
        <v>47</v>
      </c>
      <c r="F3834" s="71" t="s">
        <v>298</v>
      </c>
      <c r="G3834" s="88">
        <v>46227.298472222203</v>
      </c>
      <c r="H3834" s="89">
        <v>46227</v>
      </c>
      <c r="I3834" s="71" t="s">
        <v>479</v>
      </c>
      <c r="J3834" s="71">
        <v>-21</v>
      </c>
      <c r="K3834" s="71" t="s">
        <v>302</v>
      </c>
      <c r="L3834" s="71">
        <f t="shared" si="531"/>
        <v>7</v>
      </c>
      <c r="M3834" s="71" t="str">
        <f>IFERROR(INDEX(KALENDER!$D$3:$D$132,MATCH(H3834,KALENDER!$A$3:$A$132,0)),"Di luar periode")</f>
        <v>Hari Kerja</v>
      </c>
      <c r="N3834" s="71">
        <f t="shared" si="532"/>
        <v>1</v>
      </c>
      <c r="O3834" s="71">
        <f t="shared" si="533"/>
        <v>1</v>
      </c>
      <c r="P3834" s="71">
        <f t="shared" si="534"/>
        <v>1</v>
      </c>
      <c r="Q3834" s="71">
        <f t="shared" si="535"/>
        <v>0</v>
      </c>
      <c r="R3834" s="71">
        <f t="shared" si="536"/>
        <v>0</v>
      </c>
      <c r="S3834" s="71">
        <f t="shared" si="537"/>
        <v>0</v>
      </c>
      <c r="T3834" s="71">
        <f t="shared" si="538"/>
        <v>0</v>
      </c>
      <c r="U3834" s="71">
        <f>IF(AND(N3834=1,V3834=1),IF(COUNTIFS(AKTIVITAS!$B$2:$B$3052,B3834,AKTIVITAS!$E$2:$E$3052,H3834)&gt;0,1,0),0)</f>
        <v>1</v>
      </c>
      <c r="V3834" s="71">
        <f>IFERROR(IF(AND(H3834&gt;=INDEX(PEMAGANG!$J$3:$J$36,MATCH(B3834,PEMAGANG!$C$3:$C$36,0)),H3834&lt;=INDEX(PEMAGANG!$K$3:$K$36,MATCH(B3834,PEMAGANG!$C$3:$C$36,0))),1,0),0)</f>
        <v>1</v>
      </c>
      <c r="W3834" s="71">
        <f t="shared" si="539"/>
        <v>1</v>
      </c>
    </row>
    <row r="3835" spans="1:23" x14ac:dyDescent="0.2">
      <c r="A3835" s="71" t="s">
        <v>198</v>
      </c>
      <c r="B3835" s="71" t="s">
        <v>199</v>
      </c>
      <c r="C3835" s="71" t="s">
        <v>187</v>
      </c>
      <c r="D3835" s="71" t="s">
        <v>185</v>
      </c>
      <c r="E3835" s="71" t="s">
        <v>47</v>
      </c>
      <c r="F3835" s="71" t="s">
        <v>300</v>
      </c>
      <c r="G3835" s="88">
        <v>46227.6900231482</v>
      </c>
      <c r="H3835" s="89">
        <v>46227</v>
      </c>
      <c r="I3835" s="71" t="s">
        <v>316</v>
      </c>
      <c r="J3835" s="71">
        <v>0</v>
      </c>
      <c r="K3835" s="71" t="s">
        <v>302</v>
      </c>
      <c r="L3835" s="71">
        <f t="shared" si="531"/>
        <v>7</v>
      </c>
      <c r="M3835" s="71" t="str">
        <f>IFERROR(INDEX(KALENDER!$D$3:$D$132,MATCH(H3835,KALENDER!$A$3:$A$132,0)),"Di luar periode")</f>
        <v>Hari Kerja</v>
      </c>
      <c r="N3835" s="71">
        <f t="shared" si="532"/>
        <v>0</v>
      </c>
      <c r="O3835" s="71">
        <f t="shared" si="533"/>
        <v>1</v>
      </c>
      <c r="P3835" s="71">
        <f t="shared" si="534"/>
        <v>0</v>
      </c>
      <c r="Q3835" s="71">
        <f t="shared" si="535"/>
        <v>0</v>
      </c>
      <c r="R3835" s="71">
        <f t="shared" si="536"/>
        <v>0</v>
      </c>
      <c r="S3835" s="71">
        <f t="shared" si="537"/>
        <v>0</v>
      </c>
      <c r="T3835" s="71">
        <f t="shared" si="538"/>
        <v>0</v>
      </c>
      <c r="U3835" s="71">
        <f>IF(AND(N3835=1,V3835=1),IF(COUNTIFS(AKTIVITAS!$B$2:$B$3052,B3835,AKTIVITAS!$E$2:$E$3052,H3835)&gt;0,1,0),0)</f>
        <v>0</v>
      </c>
      <c r="V3835" s="71">
        <f>IFERROR(IF(AND(H3835&gt;=INDEX(PEMAGANG!$J$3:$J$36,MATCH(B3835,PEMAGANG!$C$3:$C$36,0)),H3835&lt;=INDEX(PEMAGANG!$K$3:$K$36,MATCH(B3835,PEMAGANG!$C$3:$C$36,0))),1,0),0)</f>
        <v>1</v>
      </c>
      <c r="W3835" s="71">
        <f t="shared" si="539"/>
        <v>0</v>
      </c>
    </row>
    <row r="3836" spans="1:23" x14ac:dyDescent="0.2">
      <c r="A3836" s="71" t="s">
        <v>198</v>
      </c>
      <c r="B3836" s="71" t="s">
        <v>199</v>
      </c>
      <c r="C3836" s="71" t="s">
        <v>187</v>
      </c>
      <c r="D3836" s="71" t="s">
        <v>185</v>
      </c>
      <c r="E3836" s="71" t="s">
        <v>47</v>
      </c>
      <c r="F3836" s="71" t="s">
        <v>298</v>
      </c>
      <c r="G3836" s="88">
        <v>46230.313113425902</v>
      </c>
      <c r="H3836" s="89">
        <v>46230</v>
      </c>
      <c r="I3836" s="71" t="s">
        <v>335</v>
      </c>
      <c r="J3836" s="71">
        <v>0</v>
      </c>
      <c r="K3836" s="71" t="s">
        <v>302</v>
      </c>
      <c r="L3836" s="71">
        <f t="shared" si="531"/>
        <v>7</v>
      </c>
      <c r="M3836" s="71" t="str">
        <f>IFERROR(INDEX(KALENDER!$D$3:$D$132,MATCH(H3836,KALENDER!$A$3:$A$132,0)),"Di luar periode")</f>
        <v>Hari Kerja</v>
      </c>
      <c r="N3836" s="71">
        <f t="shared" si="532"/>
        <v>1</v>
      </c>
      <c r="O3836" s="71">
        <f t="shared" si="533"/>
        <v>1</v>
      </c>
      <c r="P3836" s="71">
        <f t="shared" si="534"/>
        <v>1</v>
      </c>
      <c r="Q3836" s="71">
        <f t="shared" si="535"/>
        <v>0</v>
      </c>
      <c r="R3836" s="71">
        <f t="shared" si="536"/>
        <v>0</v>
      </c>
      <c r="S3836" s="71">
        <f t="shared" si="537"/>
        <v>0</v>
      </c>
      <c r="T3836" s="71">
        <f t="shared" si="538"/>
        <v>0</v>
      </c>
      <c r="U3836" s="71">
        <f>IF(AND(N3836=1,V3836=1),IF(COUNTIFS(AKTIVITAS!$B$2:$B$3052,B3836,AKTIVITAS!$E$2:$E$3052,H3836)&gt;0,1,0),0)</f>
        <v>1</v>
      </c>
      <c r="V3836" s="71">
        <f>IFERROR(IF(AND(H3836&gt;=INDEX(PEMAGANG!$J$3:$J$36,MATCH(B3836,PEMAGANG!$C$3:$C$36,0)),H3836&lt;=INDEX(PEMAGANG!$K$3:$K$36,MATCH(B3836,PEMAGANG!$C$3:$C$36,0))),1,0),0)</f>
        <v>1</v>
      </c>
      <c r="W3836" s="71">
        <f t="shared" si="539"/>
        <v>1</v>
      </c>
    </row>
    <row r="3837" spans="1:23" x14ac:dyDescent="0.2">
      <c r="A3837" s="71" t="s">
        <v>198</v>
      </c>
      <c r="B3837" s="71" t="s">
        <v>199</v>
      </c>
      <c r="C3837" s="71" t="s">
        <v>187</v>
      </c>
      <c r="D3837" s="71" t="s">
        <v>185</v>
      </c>
      <c r="E3837" s="71" t="s">
        <v>47</v>
      </c>
      <c r="F3837" s="71" t="s">
        <v>300</v>
      </c>
      <c r="G3837" s="88">
        <v>46230.692777777796</v>
      </c>
      <c r="H3837" s="89">
        <v>46230</v>
      </c>
      <c r="I3837" s="71" t="s">
        <v>328</v>
      </c>
      <c r="J3837" s="71">
        <v>0</v>
      </c>
      <c r="K3837" s="71" t="s">
        <v>302</v>
      </c>
      <c r="L3837" s="71">
        <f t="shared" si="531"/>
        <v>7</v>
      </c>
      <c r="M3837" s="71" t="str">
        <f>IFERROR(INDEX(KALENDER!$D$3:$D$132,MATCH(H3837,KALENDER!$A$3:$A$132,0)),"Di luar periode")</f>
        <v>Hari Kerja</v>
      </c>
      <c r="N3837" s="71">
        <f t="shared" si="532"/>
        <v>0</v>
      </c>
      <c r="O3837" s="71">
        <f t="shared" si="533"/>
        <v>1</v>
      </c>
      <c r="P3837" s="71">
        <f t="shared" si="534"/>
        <v>0</v>
      </c>
      <c r="Q3837" s="71">
        <f t="shared" si="535"/>
        <v>0</v>
      </c>
      <c r="R3837" s="71">
        <f t="shared" si="536"/>
        <v>0</v>
      </c>
      <c r="S3837" s="71">
        <f t="shared" si="537"/>
        <v>0</v>
      </c>
      <c r="T3837" s="71">
        <f t="shared" si="538"/>
        <v>0</v>
      </c>
      <c r="U3837" s="71">
        <f>IF(AND(N3837=1,V3837=1),IF(COUNTIFS(AKTIVITAS!$B$2:$B$3052,B3837,AKTIVITAS!$E$2:$E$3052,H3837)&gt;0,1,0),0)</f>
        <v>0</v>
      </c>
      <c r="V3837" s="71">
        <f>IFERROR(IF(AND(H3837&gt;=INDEX(PEMAGANG!$J$3:$J$36,MATCH(B3837,PEMAGANG!$C$3:$C$36,0)),H3837&lt;=INDEX(PEMAGANG!$K$3:$K$36,MATCH(B3837,PEMAGANG!$C$3:$C$36,0))),1,0),0)</f>
        <v>1</v>
      </c>
      <c r="W3837" s="71">
        <f t="shared" si="539"/>
        <v>0</v>
      </c>
    </row>
    <row r="3838" spans="1:23" x14ac:dyDescent="0.2">
      <c r="A3838" s="71" t="s">
        <v>198</v>
      </c>
      <c r="B3838" s="71" t="s">
        <v>199</v>
      </c>
      <c r="C3838" s="71" t="s">
        <v>187</v>
      </c>
      <c r="D3838" s="71" t="s">
        <v>185</v>
      </c>
      <c r="E3838" s="71" t="s">
        <v>47</v>
      </c>
      <c r="F3838" s="71" t="s">
        <v>298</v>
      </c>
      <c r="G3838" s="88">
        <v>46231.3101157407</v>
      </c>
      <c r="H3838" s="89">
        <v>46231</v>
      </c>
      <c r="I3838" s="71" t="s">
        <v>315</v>
      </c>
      <c r="J3838" s="71">
        <v>-3.9999999999999898</v>
      </c>
      <c r="K3838" s="71" t="s">
        <v>302</v>
      </c>
      <c r="L3838" s="71">
        <f t="shared" si="531"/>
        <v>7</v>
      </c>
      <c r="M3838" s="71" t="str">
        <f>IFERROR(INDEX(KALENDER!$D$3:$D$132,MATCH(H3838,KALENDER!$A$3:$A$132,0)),"Di luar periode")</f>
        <v>Hari Kerja</v>
      </c>
      <c r="N3838" s="71">
        <f t="shared" si="532"/>
        <v>1</v>
      </c>
      <c r="O3838" s="71">
        <f t="shared" si="533"/>
        <v>1</v>
      </c>
      <c r="P3838" s="71">
        <f t="shared" si="534"/>
        <v>1</v>
      </c>
      <c r="Q3838" s="71">
        <f t="shared" si="535"/>
        <v>0</v>
      </c>
      <c r="R3838" s="71">
        <f t="shared" si="536"/>
        <v>0</v>
      </c>
      <c r="S3838" s="71">
        <f t="shared" si="537"/>
        <v>0</v>
      </c>
      <c r="T3838" s="71">
        <f t="shared" si="538"/>
        <v>0</v>
      </c>
      <c r="U3838" s="71">
        <f>IF(AND(N3838=1,V3838=1),IF(COUNTIFS(AKTIVITAS!$B$2:$B$3052,B3838,AKTIVITAS!$E$2:$E$3052,H3838)&gt;0,1,0),0)</f>
        <v>1</v>
      </c>
      <c r="V3838" s="71">
        <f>IFERROR(IF(AND(H3838&gt;=INDEX(PEMAGANG!$J$3:$J$36,MATCH(B3838,PEMAGANG!$C$3:$C$36,0)),H3838&lt;=INDEX(PEMAGANG!$K$3:$K$36,MATCH(B3838,PEMAGANG!$C$3:$C$36,0))),1,0),0)</f>
        <v>1</v>
      </c>
      <c r="W3838" s="71">
        <f t="shared" si="539"/>
        <v>1</v>
      </c>
    </row>
    <row r="3839" spans="1:23" x14ac:dyDescent="0.2">
      <c r="A3839" s="71" t="s">
        <v>198</v>
      </c>
      <c r="B3839" s="71" t="s">
        <v>199</v>
      </c>
      <c r="C3839" s="71" t="s">
        <v>187</v>
      </c>
      <c r="D3839" s="71" t="s">
        <v>185</v>
      </c>
      <c r="E3839" s="71" t="s">
        <v>47</v>
      </c>
      <c r="F3839" s="71" t="s">
        <v>300</v>
      </c>
      <c r="G3839" s="88">
        <v>46231.690509259301</v>
      </c>
      <c r="H3839" s="89">
        <v>46231</v>
      </c>
      <c r="I3839" s="71" t="s">
        <v>314</v>
      </c>
      <c r="J3839" s="71">
        <v>0</v>
      </c>
      <c r="K3839" s="71" t="s">
        <v>302</v>
      </c>
      <c r="L3839" s="71">
        <f t="shared" si="531"/>
        <v>7</v>
      </c>
      <c r="M3839" s="71" t="str">
        <f>IFERROR(INDEX(KALENDER!$D$3:$D$132,MATCH(H3839,KALENDER!$A$3:$A$132,0)),"Di luar periode")</f>
        <v>Hari Kerja</v>
      </c>
      <c r="N3839" s="71">
        <f t="shared" si="532"/>
        <v>0</v>
      </c>
      <c r="O3839" s="71">
        <f t="shared" si="533"/>
        <v>1</v>
      </c>
      <c r="P3839" s="71">
        <f t="shared" si="534"/>
        <v>0</v>
      </c>
      <c r="Q3839" s="71">
        <f t="shared" si="535"/>
        <v>0</v>
      </c>
      <c r="R3839" s="71">
        <f t="shared" si="536"/>
        <v>0</v>
      </c>
      <c r="S3839" s="71">
        <f t="shared" si="537"/>
        <v>0</v>
      </c>
      <c r="T3839" s="71">
        <f t="shared" si="538"/>
        <v>0</v>
      </c>
      <c r="U3839" s="71">
        <f>IF(AND(N3839=1,V3839=1),IF(COUNTIFS(AKTIVITAS!$B$2:$B$3052,B3839,AKTIVITAS!$E$2:$E$3052,H3839)&gt;0,1,0),0)</f>
        <v>0</v>
      </c>
      <c r="V3839" s="71">
        <f>IFERROR(IF(AND(H3839&gt;=INDEX(PEMAGANG!$J$3:$J$36,MATCH(B3839,PEMAGANG!$C$3:$C$36,0)),H3839&lt;=INDEX(PEMAGANG!$K$3:$K$36,MATCH(B3839,PEMAGANG!$C$3:$C$36,0))),1,0),0)</f>
        <v>1</v>
      </c>
      <c r="W3839" s="71">
        <f t="shared" si="539"/>
        <v>0</v>
      </c>
    </row>
    <row r="3840" spans="1:23" x14ac:dyDescent="0.2">
      <c r="A3840" s="71" t="s">
        <v>198</v>
      </c>
      <c r="B3840" s="71" t="s">
        <v>199</v>
      </c>
      <c r="C3840" s="71" t="s">
        <v>187</v>
      </c>
      <c r="D3840" s="71" t="s">
        <v>185</v>
      </c>
      <c r="E3840" s="71" t="s">
        <v>47</v>
      </c>
      <c r="F3840" s="71" t="s">
        <v>298</v>
      </c>
      <c r="G3840" s="88">
        <v>46233.3122337963</v>
      </c>
      <c r="H3840" s="89">
        <v>46233</v>
      </c>
      <c r="I3840" s="71" t="s">
        <v>365</v>
      </c>
      <c r="J3840" s="71">
        <v>-0.999999999999996</v>
      </c>
      <c r="K3840" s="71" t="s">
        <v>302</v>
      </c>
      <c r="L3840" s="71">
        <f t="shared" si="531"/>
        <v>7</v>
      </c>
      <c r="M3840" s="71" t="str">
        <f>IFERROR(INDEX(KALENDER!$D$3:$D$132,MATCH(H3840,KALENDER!$A$3:$A$132,0)),"Di luar periode")</f>
        <v>Hari Kerja</v>
      </c>
      <c r="N3840" s="71">
        <f t="shared" si="532"/>
        <v>1</v>
      </c>
      <c r="O3840" s="71">
        <f t="shared" si="533"/>
        <v>1</v>
      </c>
      <c r="P3840" s="71">
        <f t="shared" si="534"/>
        <v>1</v>
      </c>
      <c r="Q3840" s="71">
        <f t="shared" si="535"/>
        <v>0</v>
      </c>
      <c r="R3840" s="71">
        <f t="shared" si="536"/>
        <v>0</v>
      </c>
      <c r="S3840" s="71">
        <f t="shared" si="537"/>
        <v>0</v>
      </c>
      <c r="T3840" s="71">
        <f t="shared" si="538"/>
        <v>0</v>
      </c>
      <c r="U3840" s="71">
        <f>IF(AND(N3840=1,V3840=1),IF(COUNTIFS(AKTIVITAS!$B$2:$B$3052,B3840,AKTIVITAS!$E$2:$E$3052,H3840)&gt;0,1,0),0)</f>
        <v>1</v>
      </c>
      <c r="V3840" s="71">
        <f>IFERROR(IF(AND(H3840&gt;=INDEX(PEMAGANG!$J$3:$J$36,MATCH(B3840,PEMAGANG!$C$3:$C$36,0)),H3840&lt;=INDEX(PEMAGANG!$K$3:$K$36,MATCH(B3840,PEMAGANG!$C$3:$C$36,0))),1,0),0)</f>
        <v>1</v>
      </c>
      <c r="W3840" s="71">
        <f t="shared" si="539"/>
        <v>1</v>
      </c>
    </row>
    <row r="3841" spans="1:23" x14ac:dyDescent="0.2">
      <c r="A3841" s="71" t="s">
        <v>198</v>
      </c>
      <c r="B3841" s="71" t="s">
        <v>199</v>
      </c>
      <c r="C3841" s="71" t="s">
        <v>187</v>
      </c>
      <c r="D3841" s="71" t="s">
        <v>185</v>
      </c>
      <c r="E3841" s="71" t="s">
        <v>47</v>
      </c>
      <c r="F3841" s="71" t="s">
        <v>300</v>
      </c>
      <c r="G3841" s="88">
        <v>46233.706006944398</v>
      </c>
      <c r="H3841" s="89">
        <v>46233</v>
      </c>
      <c r="I3841" s="71" t="s">
        <v>474</v>
      </c>
      <c r="J3841" s="71">
        <v>0</v>
      </c>
      <c r="K3841" s="71" t="s">
        <v>302</v>
      </c>
      <c r="L3841" s="71">
        <f t="shared" si="531"/>
        <v>7</v>
      </c>
      <c r="M3841" s="71" t="str">
        <f>IFERROR(INDEX(KALENDER!$D$3:$D$132,MATCH(H3841,KALENDER!$A$3:$A$132,0)),"Di luar periode")</f>
        <v>Hari Kerja</v>
      </c>
      <c r="N3841" s="71">
        <f t="shared" si="532"/>
        <v>0</v>
      </c>
      <c r="O3841" s="71">
        <f t="shared" si="533"/>
        <v>1</v>
      </c>
      <c r="P3841" s="71">
        <f t="shared" si="534"/>
        <v>0</v>
      </c>
      <c r="Q3841" s="71">
        <f t="shared" si="535"/>
        <v>0</v>
      </c>
      <c r="R3841" s="71">
        <f t="shared" si="536"/>
        <v>0</v>
      </c>
      <c r="S3841" s="71">
        <f t="shared" si="537"/>
        <v>0</v>
      </c>
      <c r="T3841" s="71">
        <f t="shared" si="538"/>
        <v>0</v>
      </c>
      <c r="U3841" s="71">
        <f>IF(AND(N3841=1,V3841=1),IF(COUNTIFS(AKTIVITAS!$B$2:$B$3052,B3841,AKTIVITAS!$E$2:$E$3052,H3841)&gt;0,1,0),0)</f>
        <v>0</v>
      </c>
      <c r="V3841" s="71">
        <f>IFERROR(IF(AND(H3841&gt;=INDEX(PEMAGANG!$J$3:$J$36,MATCH(B3841,PEMAGANG!$C$3:$C$36,0)),H3841&lt;=INDEX(PEMAGANG!$K$3:$K$36,MATCH(B3841,PEMAGANG!$C$3:$C$36,0))),1,0),0)</f>
        <v>1</v>
      </c>
      <c r="W3841" s="71">
        <f t="shared" si="539"/>
        <v>0</v>
      </c>
    </row>
    <row r="3842" spans="1:23" x14ac:dyDescent="0.2">
      <c r="A3842" s="71" t="s">
        <v>198</v>
      </c>
      <c r="B3842" s="71" t="s">
        <v>199</v>
      </c>
      <c r="C3842" s="71" t="s">
        <v>187</v>
      </c>
      <c r="D3842" s="71" t="s">
        <v>185</v>
      </c>
      <c r="E3842" s="71" t="s">
        <v>47</v>
      </c>
      <c r="F3842" s="71" t="s">
        <v>298</v>
      </c>
      <c r="G3842" s="88">
        <v>46234.309201388904</v>
      </c>
      <c r="H3842" s="89">
        <v>46234</v>
      </c>
      <c r="I3842" s="71" t="s">
        <v>307</v>
      </c>
      <c r="J3842" s="71">
        <v>-4.9999999999999796</v>
      </c>
      <c r="K3842" s="71" t="s">
        <v>302</v>
      </c>
      <c r="L3842" s="71">
        <f t="shared" ref="L3842:L3905" si="540">MONTH(H3842)</f>
        <v>7</v>
      </c>
      <c r="M3842" s="71" t="str">
        <f>IFERROR(INDEX(KALENDER!$D$3:$D$132,MATCH(H3842,KALENDER!$A$3:$A$132,0)),"Di luar periode")</f>
        <v>Hari Kerja</v>
      </c>
      <c r="N3842" s="71">
        <f t="shared" ref="N3842:N3905" si="541">IF(AND(B3842=B3841,H3842=H3841),0,1)</f>
        <v>1</v>
      </c>
      <c r="O3842" s="71">
        <f t="shared" ref="O3842:O3905" si="542">IF(N3842=1,0,O3841)+IF(F3842="MASUK",1,0)</f>
        <v>1</v>
      </c>
      <c r="P3842" s="71">
        <f t="shared" ref="P3842:P3905" si="543">IF(AND(N3842=1,M3842="Hari Kerja",V3842=1),1,0)</f>
        <v>1</v>
      </c>
      <c r="Q3842" s="71">
        <f t="shared" ref="Q3842:Q3905" si="544">IF(AND(N3842=1,OR(M3842&lt;&gt;"Hari Kerja",V3842=0)),1,0)</f>
        <v>0</v>
      </c>
      <c r="R3842" s="71">
        <f t="shared" ref="R3842:R3905" si="545">IF(AND(F3842="MASUK",O3842=1,N(J3842)&gt;0,V3842=1),1,0)</f>
        <v>0</v>
      </c>
      <c r="S3842" s="71">
        <f t="shared" ref="S3842:S3905" si="546">R3842*N(J3842)</f>
        <v>0</v>
      </c>
      <c r="T3842" s="71">
        <f t="shared" ref="T3842:T3905" si="547">IF(AND(N3842=1,V3842=1),IF(AND(COUNTIFS($B$2:$B$4094,B3842,$H$2:$H$4094,H3842,$F$2:$F$4094,"MASUK")&gt;0,COUNTIFS($B$2:$B$4094,B3842,$H$2:$H$4094,H3842,$F$2:$F$4094,"PULANG")=0),1,0),0)</f>
        <v>0</v>
      </c>
      <c r="U3842" s="71">
        <f>IF(AND(N3842=1,V3842=1),IF(COUNTIFS(AKTIVITAS!$B$2:$B$3052,B3842,AKTIVITAS!$E$2:$E$3052,H3842)&gt;0,1,0),0)</f>
        <v>1</v>
      </c>
      <c r="V3842" s="71">
        <f>IFERROR(IF(AND(H3842&gt;=INDEX(PEMAGANG!$J$3:$J$36,MATCH(B3842,PEMAGANG!$C$3:$C$36,0)),H3842&lt;=INDEX(PEMAGANG!$K$3:$K$36,MATCH(B3842,PEMAGANG!$C$3:$C$36,0))),1,0),0)</f>
        <v>1</v>
      </c>
      <c r="W3842" s="71">
        <f t="shared" ref="W3842:W3905" si="548">N3842*V3842</f>
        <v>1</v>
      </c>
    </row>
    <row r="3843" spans="1:23" x14ac:dyDescent="0.2">
      <c r="A3843" s="71" t="s">
        <v>198</v>
      </c>
      <c r="B3843" s="71" t="s">
        <v>199</v>
      </c>
      <c r="C3843" s="71" t="s">
        <v>187</v>
      </c>
      <c r="D3843" s="71" t="s">
        <v>185</v>
      </c>
      <c r="E3843" s="71" t="s">
        <v>47</v>
      </c>
      <c r="F3843" s="71" t="s">
        <v>300</v>
      </c>
      <c r="G3843" s="88">
        <v>46234.694374999999</v>
      </c>
      <c r="H3843" s="89">
        <v>46234</v>
      </c>
      <c r="I3843" s="71" t="s">
        <v>308</v>
      </c>
      <c r="J3843" s="71">
        <v>0</v>
      </c>
      <c r="K3843" s="71" t="s">
        <v>302</v>
      </c>
      <c r="L3843" s="71">
        <f t="shared" si="540"/>
        <v>7</v>
      </c>
      <c r="M3843" s="71" t="str">
        <f>IFERROR(INDEX(KALENDER!$D$3:$D$132,MATCH(H3843,KALENDER!$A$3:$A$132,0)),"Di luar periode")</f>
        <v>Hari Kerja</v>
      </c>
      <c r="N3843" s="71">
        <f t="shared" si="541"/>
        <v>0</v>
      </c>
      <c r="O3843" s="71">
        <f t="shared" si="542"/>
        <v>1</v>
      </c>
      <c r="P3843" s="71">
        <f t="shared" si="543"/>
        <v>0</v>
      </c>
      <c r="Q3843" s="71">
        <f t="shared" si="544"/>
        <v>0</v>
      </c>
      <c r="R3843" s="71">
        <f t="shared" si="545"/>
        <v>0</v>
      </c>
      <c r="S3843" s="71">
        <f t="shared" si="546"/>
        <v>0</v>
      </c>
      <c r="T3843" s="71">
        <f t="shared" si="547"/>
        <v>0</v>
      </c>
      <c r="U3843" s="71">
        <f>IF(AND(N3843=1,V3843=1),IF(COUNTIFS(AKTIVITAS!$B$2:$B$3052,B3843,AKTIVITAS!$E$2:$E$3052,H3843)&gt;0,1,0),0)</f>
        <v>0</v>
      </c>
      <c r="V3843" s="71">
        <f>IFERROR(IF(AND(H3843&gt;=INDEX(PEMAGANG!$J$3:$J$36,MATCH(B3843,PEMAGANG!$C$3:$C$36,0)),H3843&lt;=INDEX(PEMAGANG!$K$3:$K$36,MATCH(B3843,PEMAGANG!$C$3:$C$36,0))),1,0),0)</f>
        <v>1</v>
      </c>
      <c r="W3843" s="71">
        <f t="shared" si="548"/>
        <v>0</v>
      </c>
    </row>
    <row r="3844" spans="1:23" x14ac:dyDescent="0.2">
      <c r="A3844" s="71" t="s">
        <v>198</v>
      </c>
      <c r="B3844" s="71" t="s">
        <v>199</v>
      </c>
      <c r="C3844" s="71" t="s">
        <v>187</v>
      </c>
      <c r="D3844" s="71" t="s">
        <v>185</v>
      </c>
      <c r="E3844" s="71" t="s">
        <v>47</v>
      </c>
      <c r="F3844" s="71" t="s">
        <v>298</v>
      </c>
      <c r="G3844" s="88">
        <v>46237.310937499999</v>
      </c>
      <c r="H3844" s="89">
        <v>46237</v>
      </c>
      <c r="I3844" s="71" t="s">
        <v>309</v>
      </c>
      <c r="J3844" s="71">
        <v>-2.9999999999999898</v>
      </c>
      <c r="K3844" s="71" t="s">
        <v>302</v>
      </c>
      <c r="L3844" s="71">
        <f t="shared" si="540"/>
        <v>8</v>
      </c>
      <c r="M3844" s="71" t="str">
        <f>IFERROR(INDEX(KALENDER!$D$3:$D$132,MATCH(H3844,KALENDER!$A$3:$A$132,0)),"Di luar periode")</f>
        <v>Hari Kerja</v>
      </c>
      <c r="N3844" s="71">
        <f t="shared" si="541"/>
        <v>1</v>
      </c>
      <c r="O3844" s="71">
        <f t="shared" si="542"/>
        <v>1</v>
      </c>
      <c r="P3844" s="71">
        <f t="shared" si="543"/>
        <v>1</v>
      </c>
      <c r="Q3844" s="71">
        <f t="shared" si="544"/>
        <v>0</v>
      </c>
      <c r="R3844" s="71">
        <f t="shared" si="545"/>
        <v>0</v>
      </c>
      <c r="S3844" s="71">
        <f t="shared" si="546"/>
        <v>0</v>
      </c>
      <c r="T3844" s="71">
        <f t="shared" si="547"/>
        <v>0</v>
      </c>
      <c r="U3844" s="71">
        <f>IF(AND(N3844=1,V3844=1),IF(COUNTIFS(AKTIVITAS!$B$2:$B$3052,B3844,AKTIVITAS!$E$2:$E$3052,H3844)&gt;0,1,0),0)</f>
        <v>1</v>
      </c>
      <c r="V3844" s="71">
        <f>IFERROR(IF(AND(H3844&gt;=INDEX(PEMAGANG!$J$3:$J$36,MATCH(B3844,PEMAGANG!$C$3:$C$36,0)),H3844&lt;=INDEX(PEMAGANG!$K$3:$K$36,MATCH(B3844,PEMAGANG!$C$3:$C$36,0))),1,0),0)</f>
        <v>1</v>
      </c>
      <c r="W3844" s="71">
        <f t="shared" si="548"/>
        <v>1</v>
      </c>
    </row>
    <row r="3845" spans="1:23" x14ac:dyDescent="0.2">
      <c r="A3845" s="71" t="s">
        <v>198</v>
      </c>
      <c r="B3845" s="71" t="s">
        <v>199</v>
      </c>
      <c r="C3845" s="71" t="s">
        <v>187</v>
      </c>
      <c r="D3845" s="71" t="s">
        <v>185</v>
      </c>
      <c r="E3845" s="71" t="s">
        <v>47</v>
      </c>
      <c r="F3845" s="71" t="s">
        <v>300</v>
      </c>
      <c r="G3845" s="88">
        <v>46237.6977430556</v>
      </c>
      <c r="H3845" s="89">
        <v>46237</v>
      </c>
      <c r="I3845" s="71" t="s">
        <v>312</v>
      </c>
      <c r="J3845" s="71">
        <v>0</v>
      </c>
      <c r="K3845" s="71" t="s">
        <v>302</v>
      </c>
      <c r="L3845" s="71">
        <f t="shared" si="540"/>
        <v>8</v>
      </c>
      <c r="M3845" s="71" t="str">
        <f>IFERROR(INDEX(KALENDER!$D$3:$D$132,MATCH(H3845,KALENDER!$A$3:$A$132,0)),"Di luar periode")</f>
        <v>Hari Kerja</v>
      </c>
      <c r="N3845" s="71">
        <f t="shared" si="541"/>
        <v>0</v>
      </c>
      <c r="O3845" s="71">
        <f t="shared" si="542"/>
        <v>1</v>
      </c>
      <c r="P3845" s="71">
        <f t="shared" si="543"/>
        <v>0</v>
      </c>
      <c r="Q3845" s="71">
        <f t="shared" si="544"/>
        <v>0</v>
      </c>
      <c r="R3845" s="71">
        <f t="shared" si="545"/>
        <v>0</v>
      </c>
      <c r="S3845" s="71">
        <f t="shared" si="546"/>
        <v>0</v>
      </c>
      <c r="T3845" s="71">
        <f t="shared" si="547"/>
        <v>0</v>
      </c>
      <c r="U3845" s="71">
        <f>IF(AND(N3845=1,V3845=1),IF(COUNTIFS(AKTIVITAS!$B$2:$B$3052,B3845,AKTIVITAS!$E$2:$E$3052,H3845)&gt;0,1,0),0)</f>
        <v>0</v>
      </c>
      <c r="V3845" s="71">
        <f>IFERROR(IF(AND(H3845&gt;=INDEX(PEMAGANG!$J$3:$J$36,MATCH(B3845,PEMAGANG!$C$3:$C$36,0)),H3845&lt;=INDEX(PEMAGANG!$K$3:$K$36,MATCH(B3845,PEMAGANG!$C$3:$C$36,0))),1,0),0)</f>
        <v>1</v>
      </c>
      <c r="W3845" s="71">
        <f t="shared" si="548"/>
        <v>0</v>
      </c>
    </row>
    <row r="3846" spans="1:23" x14ac:dyDescent="0.2">
      <c r="A3846" s="71" t="s">
        <v>198</v>
      </c>
      <c r="B3846" s="71" t="s">
        <v>199</v>
      </c>
      <c r="C3846" s="71" t="s">
        <v>187</v>
      </c>
      <c r="D3846" s="71" t="s">
        <v>185</v>
      </c>
      <c r="E3846" s="71" t="s">
        <v>47</v>
      </c>
      <c r="F3846" s="71" t="s">
        <v>298</v>
      </c>
      <c r="G3846" s="88">
        <v>46238.310127314799</v>
      </c>
      <c r="H3846" s="89">
        <v>46238</v>
      </c>
      <c r="I3846" s="71" t="s">
        <v>315</v>
      </c>
      <c r="J3846" s="71">
        <v>-3.9999999999999898</v>
      </c>
      <c r="K3846" s="71" t="s">
        <v>302</v>
      </c>
      <c r="L3846" s="71">
        <f t="shared" si="540"/>
        <v>8</v>
      </c>
      <c r="M3846" s="71" t="str">
        <f>IFERROR(INDEX(KALENDER!$D$3:$D$132,MATCH(H3846,KALENDER!$A$3:$A$132,0)),"Di luar periode")</f>
        <v>Hari Kerja</v>
      </c>
      <c r="N3846" s="71">
        <f t="shared" si="541"/>
        <v>1</v>
      </c>
      <c r="O3846" s="71">
        <f t="shared" si="542"/>
        <v>1</v>
      </c>
      <c r="P3846" s="71">
        <f t="shared" si="543"/>
        <v>1</v>
      </c>
      <c r="Q3846" s="71">
        <f t="shared" si="544"/>
        <v>0</v>
      </c>
      <c r="R3846" s="71">
        <f t="shared" si="545"/>
        <v>0</v>
      </c>
      <c r="S3846" s="71">
        <f t="shared" si="546"/>
        <v>0</v>
      </c>
      <c r="T3846" s="71">
        <f t="shared" si="547"/>
        <v>0</v>
      </c>
      <c r="U3846" s="71">
        <f>IF(AND(N3846=1,V3846=1),IF(COUNTIFS(AKTIVITAS!$B$2:$B$3052,B3846,AKTIVITAS!$E$2:$E$3052,H3846)&gt;0,1,0),0)</f>
        <v>1</v>
      </c>
      <c r="V3846" s="71">
        <f>IFERROR(IF(AND(H3846&gt;=INDEX(PEMAGANG!$J$3:$J$36,MATCH(B3846,PEMAGANG!$C$3:$C$36,0)),H3846&lt;=INDEX(PEMAGANG!$K$3:$K$36,MATCH(B3846,PEMAGANG!$C$3:$C$36,0))),1,0),0)</f>
        <v>1</v>
      </c>
      <c r="W3846" s="71">
        <f t="shared" si="548"/>
        <v>1</v>
      </c>
    </row>
    <row r="3847" spans="1:23" x14ac:dyDescent="0.2">
      <c r="A3847" s="71" t="s">
        <v>198</v>
      </c>
      <c r="B3847" s="71" t="s">
        <v>199</v>
      </c>
      <c r="C3847" s="71" t="s">
        <v>187</v>
      </c>
      <c r="D3847" s="71" t="s">
        <v>185</v>
      </c>
      <c r="E3847" s="71" t="s">
        <v>47</v>
      </c>
      <c r="F3847" s="71" t="s">
        <v>300</v>
      </c>
      <c r="G3847" s="88">
        <v>46238.6976041667</v>
      </c>
      <c r="H3847" s="89">
        <v>46238</v>
      </c>
      <c r="I3847" s="71" t="s">
        <v>312</v>
      </c>
      <c r="J3847" s="71">
        <v>0</v>
      </c>
      <c r="K3847" s="71" t="s">
        <v>302</v>
      </c>
      <c r="L3847" s="71">
        <f t="shared" si="540"/>
        <v>8</v>
      </c>
      <c r="M3847" s="71" t="str">
        <f>IFERROR(INDEX(KALENDER!$D$3:$D$132,MATCH(H3847,KALENDER!$A$3:$A$132,0)),"Di luar periode")</f>
        <v>Hari Kerja</v>
      </c>
      <c r="N3847" s="71">
        <f t="shared" si="541"/>
        <v>0</v>
      </c>
      <c r="O3847" s="71">
        <f t="shared" si="542"/>
        <v>1</v>
      </c>
      <c r="P3847" s="71">
        <f t="shared" si="543"/>
        <v>0</v>
      </c>
      <c r="Q3847" s="71">
        <f t="shared" si="544"/>
        <v>0</v>
      </c>
      <c r="R3847" s="71">
        <f t="shared" si="545"/>
        <v>0</v>
      </c>
      <c r="S3847" s="71">
        <f t="shared" si="546"/>
        <v>0</v>
      </c>
      <c r="T3847" s="71">
        <f t="shared" si="547"/>
        <v>0</v>
      </c>
      <c r="U3847" s="71">
        <f>IF(AND(N3847=1,V3847=1),IF(COUNTIFS(AKTIVITAS!$B$2:$B$3052,B3847,AKTIVITAS!$E$2:$E$3052,H3847)&gt;0,1,0),0)</f>
        <v>0</v>
      </c>
      <c r="V3847" s="71">
        <f>IFERROR(IF(AND(H3847&gt;=INDEX(PEMAGANG!$J$3:$J$36,MATCH(B3847,PEMAGANG!$C$3:$C$36,0)),H3847&lt;=INDEX(PEMAGANG!$K$3:$K$36,MATCH(B3847,PEMAGANG!$C$3:$C$36,0))),1,0),0)</f>
        <v>1</v>
      </c>
      <c r="W3847" s="71">
        <f t="shared" si="548"/>
        <v>0</v>
      </c>
    </row>
    <row r="3848" spans="1:23" x14ac:dyDescent="0.2">
      <c r="A3848" s="71" t="s">
        <v>198</v>
      </c>
      <c r="B3848" s="71" t="s">
        <v>199</v>
      </c>
      <c r="C3848" s="71" t="s">
        <v>187</v>
      </c>
      <c r="D3848" s="71" t="s">
        <v>185</v>
      </c>
      <c r="E3848" s="71" t="s">
        <v>47</v>
      </c>
      <c r="F3848" s="71" t="s">
        <v>298</v>
      </c>
      <c r="G3848" s="88">
        <v>46239.310949074097</v>
      </c>
      <c r="H3848" s="89">
        <v>46239</v>
      </c>
      <c r="I3848" s="71" t="s">
        <v>309</v>
      </c>
      <c r="J3848" s="71">
        <v>-2.9999999999999898</v>
      </c>
      <c r="K3848" s="71" t="s">
        <v>302</v>
      </c>
      <c r="L3848" s="71">
        <f t="shared" si="540"/>
        <v>8</v>
      </c>
      <c r="M3848" s="71" t="str">
        <f>IFERROR(INDEX(KALENDER!$D$3:$D$132,MATCH(H3848,KALENDER!$A$3:$A$132,0)),"Di luar periode")</f>
        <v>Hari Kerja</v>
      </c>
      <c r="N3848" s="71">
        <f t="shared" si="541"/>
        <v>1</v>
      </c>
      <c r="O3848" s="71">
        <f t="shared" si="542"/>
        <v>1</v>
      </c>
      <c r="P3848" s="71">
        <f t="shared" si="543"/>
        <v>1</v>
      </c>
      <c r="Q3848" s="71">
        <f t="shared" si="544"/>
        <v>0</v>
      </c>
      <c r="R3848" s="71">
        <f t="shared" si="545"/>
        <v>0</v>
      </c>
      <c r="S3848" s="71">
        <f t="shared" si="546"/>
        <v>0</v>
      </c>
      <c r="T3848" s="71">
        <f t="shared" si="547"/>
        <v>0</v>
      </c>
      <c r="U3848" s="71">
        <f>IF(AND(N3848=1,V3848=1),IF(COUNTIFS(AKTIVITAS!$B$2:$B$3052,B3848,AKTIVITAS!$E$2:$E$3052,H3848)&gt;0,1,0),0)</f>
        <v>1</v>
      </c>
      <c r="V3848" s="71">
        <f>IFERROR(IF(AND(H3848&gt;=INDEX(PEMAGANG!$J$3:$J$36,MATCH(B3848,PEMAGANG!$C$3:$C$36,0)),H3848&lt;=INDEX(PEMAGANG!$K$3:$K$36,MATCH(B3848,PEMAGANG!$C$3:$C$36,0))),1,0),0)</f>
        <v>1</v>
      </c>
      <c r="W3848" s="71">
        <f t="shared" si="548"/>
        <v>1</v>
      </c>
    </row>
    <row r="3849" spans="1:23" x14ac:dyDescent="0.2">
      <c r="A3849" s="71" t="s">
        <v>198</v>
      </c>
      <c r="B3849" s="71" t="s">
        <v>199</v>
      </c>
      <c r="C3849" s="71" t="s">
        <v>187</v>
      </c>
      <c r="D3849" s="71" t="s">
        <v>185</v>
      </c>
      <c r="E3849" s="71" t="s">
        <v>47</v>
      </c>
      <c r="F3849" s="71" t="s">
        <v>300</v>
      </c>
      <c r="G3849" s="88">
        <v>46239.694537037001</v>
      </c>
      <c r="H3849" s="89">
        <v>46239</v>
      </c>
      <c r="I3849" s="71" t="s">
        <v>343</v>
      </c>
      <c r="J3849" s="71">
        <v>0</v>
      </c>
      <c r="K3849" s="71" t="s">
        <v>302</v>
      </c>
      <c r="L3849" s="71">
        <f t="shared" si="540"/>
        <v>8</v>
      </c>
      <c r="M3849" s="71" t="str">
        <f>IFERROR(INDEX(KALENDER!$D$3:$D$132,MATCH(H3849,KALENDER!$A$3:$A$132,0)),"Di luar periode")</f>
        <v>Hari Kerja</v>
      </c>
      <c r="N3849" s="71">
        <f t="shared" si="541"/>
        <v>0</v>
      </c>
      <c r="O3849" s="71">
        <f t="shared" si="542"/>
        <v>1</v>
      </c>
      <c r="P3849" s="71">
        <f t="shared" si="543"/>
        <v>0</v>
      </c>
      <c r="Q3849" s="71">
        <f t="shared" si="544"/>
        <v>0</v>
      </c>
      <c r="R3849" s="71">
        <f t="shared" si="545"/>
        <v>0</v>
      </c>
      <c r="S3849" s="71">
        <f t="shared" si="546"/>
        <v>0</v>
      </c>
      <c r="T3849" s="71">
        <f t="shared" si="547"/>
        <v>0</v>
      </c>
      <c r="U3849" s="71">
        <f>IF(AND(N3849=1,V3849=1),IF(COUNTIFS(AKTIVITAS!$B$2:$B$3052,B3849,AKTIVITAS!$E$2:$E$3052,H3849)&gt;0,1,0),0)</f>
        <v>0</v>
      </c>
      <c r="V3849" s="71">
        <f>IFERROR(IF(AND(H3849&gt;=INDEX(PEMAGANG!$J$3:$J$36,MATCH(B3849,PEMAGANG!$C$3:$C$36,0)),H3849&lt;=INDEX(PEMAGANG!$K$3:$K$36,MATCH(B3849,PEMAGANG!$C$3:$C$36,0))),1,0),0)</f>
        <v>1</v>
      </c>
      <c r="W3849" s="71">
        <f t="shared" si="548"/>
        <v>0</v>
      </c>
    </row>
    <row r="3850" spans="1:23" x14ac:dyDescent="0.2">
      <c r="A3850" s="71" t="s">
        <v>198</v>
      </c>
      <c r="B3850" s="71" t="s">
        <v>199</v>
      </c>
      <c r="C3850" s="71" t="s">
        <v>187</v>
      </c>
      <c r="D3850" s="71" t="s">
        <v>185</v>
      </c>
      <c r="E3850" s="71" t="s">
        <v>47</v>
      </c>
      <c r="F3850" s="71" t="s">
        <v>298</v>
      </c>
      <c r="G3850" s="88">
        <v>46240.311550925901</v>
      </c>
      <c r="H3850" s="89">
        <v>46240</v>
      </c>
      <c r="I3850" s="71" t="s">
        <v>377</v>
      </c>
      <c r="J3850" s="71">
        <v>-1.99999999999999</v>
      </c>
      <c r="K3850" s="71" t="s">
        <v>302</v>
      </c>
      <c r="L3850" s="71">
        <f t="shared" si="540"/>
        <v>8</v>
      </c>
      <c r="M3850" s="71" t="str">
        <f>IFERROR(INDEX(KALENDER!$D$3:$D$132,MATCH(H3850,KALENDER!$A$3:$A$132,0)),"Di luar periode")</f>
        <v>Hari Kerja</v>
      </c>
      <c r="N3850" s="71">
        <f t="shared" si="541"/>
        <v>1</v>
      </c>
      <c r="O3850" s="71">
        <f t="shared" si="542"/>
        <v>1</v>
      </c>
      <c r="P3850" s="71">
        <f t="shared" si="543"/>
        <v>1</v>
      </c>
      <c r="Q3850" s="71">
        <f t="shared" si="544"/>
        <v>0</v>
      </c>
      <c r="R3850" s="71">
        <f t="shared" si="545"/>
        <v>0</v>
      </c>
      <c r="S3850" s="71">
        <f t="shared" si="546"/>
        <v>0</v>
      </c>
      <c r="T3850" s="71">
        <f t="shared" si="547"/>
        <v>0</v>
      </c>
      <c r="U3850" s="71">
        <f>IF(AND(N3850=1,V3850=1),IF(COUNTIFS(AKTIVITAS!$B$2:$B$3052,B3850,AKTIVITAS!$E$2:$E$3052,H3850)&gt;0,1,0),0)</f>
        <v>1</v>
      </c>
      <c r="V3850" s="71">
        <f>IFERROR(IF(AND(H3850&gt;=INDEX(PEMAGANG!$J$3:$J$36,MATCH(B3850,PEMAGANG!$C$3:$C$36,0)),H3850&lt;=INDEX(PEMAGANG!$K$3:$K$36,MATCH(B3850,PEMAGANG!$C$3:$C$36,0))),1,0),0)</f>
        <v>1</v>
      </c>
      <c r="W3850" s="71">
        <f t="shared" si="548"/>
        <v>1</v>
      </c>
    </row>
    <row r="3851" spans="1:23" x14ac:dyDescent="0.2">
      <c r="A3851" s="71" t="s">
        <v>198</v>
      </c>
      <c r="B3851" s="71" t="s">
        <v>199</v>
      </c>
      <c r="C3851" s="71" t="s">
        <v>187</v>
      </c>
      <c r="D3851" s="71" t="s">
        <v>185</v>
      </c>
      <c r="E3851" s="71" t="s">
        <v>47</v>
      </c>
      <c r="F3851" s="71" t="s">
        <v>300</v>
      </c>
      <c r="G3851" s="88">
        <v>46240.688900462999</v>
      </c>
      <c r="H3851" s="89">
        <v>46240</v>
      </c>
      <c r="I3851" s="71" t="s">
        <v>306</v>
      </c>
      <c r="J3851" s="71">
        <v>0</v>
      </c>
      <c r="K3851" s="71" t="s">
        <v>302</v>
      </c>
      <c r="L3851" s="71">
        <f t="shared" si="540"/>
        <v>8</v>
      </c>
      <c r="M3851" s="71" t="str">
        <f>IFERROR(INDEX(KALENDER!$D$3:$D$132,MATCH(H3851,KALENDER!$A$3:$A$132,0)),"Di luar periode")</f>
        <v>Hari Kerja</v>
      </c>
      <c r="N3851" s="71">
        <f t="shared" si="541"/>
        <v>0</v>
      </c>
      <c r="O3851" s="71">
        <f t="shared" si="542"/>
        <v>1</v>
      </c>
      <c r="P3851" s="71">
        <f t="shared" si="543"/>
        <v>0</v>
      </c>
      <c r="Q3851" s="71">
        <f t="shared" si="544"/>
        <v>0</v>
      </c>
      <c r="R3851" s="71">
        <f t="shared" si="545"/>
        <v>0</v>
      </c>
      <c r="S3851" s="71">
        <f t="shared" si="546"/>
        <v>0</v>
      </c>
      <c r="T3851" s="71">
        <f t="shared" si="547"/>
        <v>0</v>
      </c>
      <c r="U3851" s="71">
        <f>IF(AND(N3851=1,V3851=1),IF(COUNTIFS(AKTIVITAS!$B$2:$B$3052,B3851,AKTIVITAS!$E$2:$E$3052,H3851)&gt;0,1,0),0)</f>
        <v>0</v>
      </c>
      <c r="V3851" s="71">
        <f>IFERROR(IF(AND(H3851&gt;=INDEX(PEMAGANG!$J$3:$J$36,MATCH(B3851,PEMAGANG!$C$3:$C$36,0)),H3851&lt;=INDEX(PEMAGANG!$K$3:$K$36,MATCH(B3851,PEMAGANG!$C$3:$C$36,0))),1,0),0)</f>
        <v>1</v>
      </c>
      <c r="W3851" s="71">
        <f t="shared" si="548"/>
        <v>0</v>
      </c>
    </row>
    <row r="3852" spans="1:23" x14ac:dyDescent="0.2">
      <c r="A3852" s="71" t="s">
        <v>198</v>
      </c>
      <c r="B3852" s="71" t="s">
        <v>199</v>
      </c>
      <c r="C3852" s="71" t="s">
        <v>187</v>
      </c>
      <c r="D3852" s="71" t="s">
        <v>185</v>
      </c>
      <c r="E3852" s="71" t="s">
        <v>47</v>
      </c>
      <c r="F3852" s="71" t="s">
        <v>298</v>
      </c>
      <c r="G3852" s="88">
        <v>46241.309583333299</v>
      </c>
      <c r="H3852" s="89">
        <v>46241</v>
      </c>
      <c r="I3852" s="71" t="s">
        <v>307</v>
      </c>
      <c r="J3852" s="71">
        <v>-4.9999999999999796</v>
      </c>
      <c r="K3852" s="71" t="s">
        <v>302</v>
      </c>
      <c r="L3852" s="71">
        <f t="shared" si="540"/>
        <v>8</v>
      </c>
      <c r="M3852" s="71" t="str">
        <f>IFERROR(INDEX(KALENDER!$D$3:$D$132,MATCH(H3852,KALENDER!$A$3:$A$132,0)),"Di luar periode")</f>
        <v>Hari Kerja</v>
      </c>
      <c r="N3852" s="71">
        <f t="shared" si="541"/>
        <v>1</v>
      </c>
      <c r="O3852" s="71">
        <f t="shared" si="542"/>
        <v>1</v>
      </c>
      <c r="P3852" s="71">
        <f t="shared" si="543"/>
        <v>1</v>
      </c>
      <c r="Q3852" s="71">
        <f t="shared" si="544"/>
        <v>0</v>
      </c>
      <c r="R3852" s="71">
        <f t="shared" si="545"/>
        <v>0</v>
      </c>
      <c r="S3852" s="71">
        <f t="shared" si="546"/>
        <v>0</v>
      </c>
      <c r="T3852" s="71">
        <f t="shared" si="547"/>
        <v>0</v>
      </c>
      <c r="U3852" s="71">
        <f>IF(AND(N3852=1,V3852=1),IF(COUNTIFS(AKTIVITAS!$B$2:$B$3052,B3852,AKTIVITAS!$E$2:$E$3052,H3852)&gt;0,1,0),0)</f>
        <v>1</v>
      </c>
      <c r="V3852" s="71">
        <f>IFERROR(IF(AND(H3852&gt;=INDEX(PEMAGANG!$J$3:$J$36,MATCH(B3852,PEMAGANG!$C$3:$C$36,0)),H3852&lt;=INDEX(PEMAGANG!$K$3:$K$36,MATCH(B3852,PEMAGANG!$C$3:$C$36,0))),1,0),0)</f>
        <v>1</v>
      </c>
      <c r="W3852" s="71">
        <f t="shared" si="548"/>
        <v>1</v>
      </c>
    </row>
    <row r="3853" spans="1:23" x14ac:dyDescent="0.2">
      <c r="A3853" s="71" t="s">
        <v>198</v>
      </c>
      <c r="B3853" s="71" t="s">
        <v>199</v>
      </c>
      <c r="C3853" s="71" t="s">
        <v>187</v>
      </c>
      <c r="D3853" s="71" t="s">
        <v>185</v>
      </c>
      <c r="E3853" s="71" t="s">
        <v>47</v>
      </c>
      <c r="F3853" s="71" t="s">
        <v>300</v>
      </c>
      <c r="G3853" s="88">
        <v>46241.691747685203</v>
      </c>
      <c r="H3853" s="89">
        <v>46241</v>
      </c>
      <c r="I3853" s="71" t="s">
        <v>344</v>
      </c>
      <c r="J3853" s="71">
        <v>0</v>
      </c>
      <c r="K3853" s="71" t="s">
        <v>302</v>
      </c>
      <c r="L3853" s="71">
        <f t="shared" si="540"/>
        <v>8</v>
      </c>
      <c r="M3853" s="71" t="str">
        <f>IFERROR(INDEX(KALENDER!$D$3:$D$132,MATCH(H3853,KALENDER!$A$3:$A$132,0)),"Di luar periode")</f>
        <v>Hari Kerja</v>
      </c>
      <c r="N3853" s="71">
        <f t="shared" si="541"/>
        <v>0</v>
      </c>
      <c r="O3853" s="71">
        <f t="shared" si="542"/>
        <v>1</v>
      </c>
      <c r="P3853" s="71">
        <f t="shared" si="543"/>
        <v>0</v>
      </c>
      <c r="Q3853" s="71">
        <f t="shared" si="544"/>
        <v>0</v>
      </c>
      <c r="R3853" s="71">
        <f t="shared" si="545"/>
        <v>0</v>
      </c>
      <c r="S3853" s="71">
        <f t="shared" si="546"/>
        <v>0</v>
      </c>
      <c r="T3853" s="71">
        <f t="shared" si="547"/>
        <v>0</v>
      </c>
      <c r="U3853" s="71">
        <f>IF(AND(N3853=1,V3853=1),IF(COUNTIFS(AKTIVITAS!$B$2:$B$3052,B3853,AKTIVITAS!$E$2:$E$3052,H3853)&gt;0,1,0),0)</f>
        <v>0</v>
      </c>
      <c r="V3853" s="71">
        <f>IFERROR(IF(AND(H3853&gt;=INDEX(PEMAGANG!$J$3:$J$36,MATCH(B3853,PEMAGANG!$C$3:$C$36,0)),H3853&lt;=INDEX(PEMAGANG!$K$3:$K$36,MATCH(B3853,PEMAGANG!$C$3:$C$36,0))),1,0),0)</f>
        <v>1</v>
      </c>
      <c r="W3853" s="71">
        <f t="shared" si="548"/>
        <v>0</v>
      </c>
    </row>
    <row r="3854" spans="1:23" x14ac:dyDescent="0.2">
      <c r="A3854" s="71" t="s">
        <v>198</v>
      </c>
      <c r="B3854" s="71" t="s">
        <v>199</v>
      </c>
      <c r="C3854" s="71" t="s">
        <v>187</v>
      </c>
      <c r="D3854" s="71" t="s">
        <v>185</v>
      </c>
      <c r="E3854" s="71" t="s">
        <v>47</v>
      </c>
      <c r="F3854" s="71" t="s">
        <v>298</v>
      </c>
      <c r="G3854" s="88">
        <v>46244.313819444498</v>
      </c>
      <c r="H3854" s="89">
        <v>46244</v>
      </c>
      <c r="I3854" s="71" t="s">
        <v>392</v>
      </c>
      <c r="J3854" s="71">
        <v>0.999999999999996</v>
      </c>
      <c r="K3854" s="71" t="s">
        <v>293</v>
      </c>
      <c r="L3854" s="71">
        <f t="shared" si="540"/>
        <v>8</v>
      </c>
      <c r="M3854" s="71" t="str">
        <f>IFERROR(INDEX(KALENDER!$D$3:$D$132,MATCH(H3854,KALENDER!$A$3:$A$132,0)),"Di luar periode")</f>
        <v>Hari Kerja</v>
      </c>
      <c r="N3854" s="71">
        <f t="shared" si="541"/>
        <v>1</v>
      </c>
      <c r="O3854" s="71">
        <f t="shared" si="542"/>
        <v>1</v>
      </c>
      <c r="P3854" s="71">
        <f t="shared" si="543"/>
        <v>1</v>
      </c>
      <c r="Q3854" s="71">
        <f t="shared" si="544"/>
        <v>0</v>
      </c>
      <c r="R3854" s="71">
        <f t="shared" si="545"/>
        <v>1</v>
      </c>
      <c r="S3854" s="71">
        <f t="shared" si="546"/>
        <v>0.999999999999996</v>
      </c>
      <c r="T3854" s="71">
        <f t="shared" si="547"/>
        <v>0</v>
      </c>
      <c r="U3854" s="71">
        <f>IF(AND(N3854=1,V3854=1),IF(COUNTIFS(AKTIVITAS!$B$2:$B$3052,B3854,AKTIVITAS!$E$2:$E$3052,H3854)&gt;0,1,0),0)</f>
        <v>1</v>
      </c>
      <c r="V3854" s="71">
        <f>IFERROR(IF(AND(H3854&gt;=INDEX(PEMAGANG!$J$3:$J$36,MATCH(B3854,PEMAGANG!$C$3:$C$36,0)),H3854&lt;=INDEX(PEMAGANG!$K$3:$K$36,MATCH(B3854,PEMAGANG!$C$3:$C$36,0))),1,0),0)</f>
        <v>1</v>
      </c>
      <c r="W3854" s="71">
        <f t="shared" si="548"/>
        <v>1</v>
      </c>
    </row>
    <row r="3855" spans="1:23" x14ac:dyDescent="0.2">
      <c r="A3855" s="71" t="s">
        <v>198</v>
      </c>
      <c r="B3855" s="71" t="s">
        <v>199</v>
      </c>
      <c r="C3855" s="71" t="s">
        <v>187</v>
      </c>
      <c r="D3855" s="71" t="s">
        <v>185</v>
      </c>
      <c r="E3855" s="71" t="s">
        <v>47</v>
      </c>
      <c r="F3855" s="71" t="s">
        <v>300</v>
      </c>
      <c r="G3855" s="88">
        <v>46244.694803240702</v>
      </c>
      <c r="H3855" s="89">
        <v>46244</v>
      </c>
      <c r="I3855" s="71" t="s">
        <v>343</v>
      </c>
      <c r="J3855" s="71">
        <v>0</v>
      </c>
      <c r="K3855" s="71" t="s">
        <v>302</v>
      </c>
      <c r="L3855" s="71">
        <f t="shared" si="540"/>
        <v>8</v>
      </c>
      <c r="M3855" s="71" t="str">
        <f>IFERROR(INDEX(KALENDER!$D$3:$D$132,MATCH(H3855,KALENDER!$A$3:$A$132,0)),"Di luar periode")</f>
        <v>Hari Kerja</v>
      </c>
      <c r="N3855" s="71">
        <f t="shared" si="541"/>
        <v>0</v>
      </c>
      <c r="O3855" s="71">
        <f t="shared" si="542"/>
        <v>1</v>
      </c>
      <c r="P3855" s="71">
        <f t="shared" si="543"/>
        <v>0</v>
      </c>
      <c r="Q3855" s="71">
        <f t="shared" si="544"/>
        <v>0</v>
      </c>
      <c r="R3855" s="71">
        <f t="shared" si="545"/>
        <v>0</v>
      </c>
      <c r="S3855" s="71">
        <f t="shared" si="546"/>
        <v>0</v>
      </c>
      <c r="T3855" s="71">
        <f t="shared" si="547"/>
        <v>0</v>
      </c>
      <c r="U3855" s="71">
        <f>IF(AND(N3855=1,V3855=1),IF(COUNTIFS(AKTIVITAS!$B$2:$B$3052,B3855,AKTIVITAS!$E$2:$E$3052,H3855)&gt;0,1,0),0)</f>
        <v>0</v>
      </c>
      <c r="V3855" s="71">
        <f>IFERROR(IF(AND(H3855&gt;=INDEX(PEMAGANG!$J$3:$J$36,MATCH(B3855,PEMAGANG!$C$3:$C$36,0)),H3855&lt;=INDEX(PEMAGANG!$K$3:$K$36,MATCH(B3855,PEMAGANG!$C$3:$C$36,0))),1,0),0)</f>
        <v>1</v>
      </c>
      <c r="W3855" s="71">
        <f t="shared" si="548"/>
        <v>0</v>
      </c>
    </row>
    <row r="3856" spans="1:23" x14ac:dyDescent="0.2">
      <c r="A3856" s="71" t="s">
        <v>198</v>
      </c>
      <c r="B3856" s="71" t="s">
        <v>199</v>
      </c>
      <c r="C3856" s="71" t="s">
        <v>187</v>
      </c>
      <c r="D3856" s="71" t="s">
        <v>185</v>
      </c>
      <c r="E3856" s="71" t="s">
        <v>47</v>
      </c>
      <c r="F3856" s="71" t="s">
        <v>298</v>
      </c>
      <c r="G3856" s="88">
        <v>46245.3120023148</v>
      </c>
      <c r="H3856" s="89">
        <v>46245</v>
      </c>
      <c r="I3856" s="71" t="s">
        <v>365</v>
      </c>
      <c r="J3856" s="71">
        <v>-0.999999999999996</v>
      </c>
      <c r="K3856" s="71" t="s">
        <v>302</v>
      </c>
      <c r="L3856" s="71">
        <f t="shared" si="540"/>
        <v>8</v>
      </c>
      <c r="M3856" s="71" t="str">
        <f>IFERROR(INDEX(KALENDER!$D$3:$D$132,MATCH(H3856,KALENDER!$A$3:$A$132,0)),"Di luar periode")</f>
        <v>Hari Kerja</v>
      </c>
      <c r="N3856" s="71">
        <f t="shared" si="541"/>
        <v>1</v>
      </c>
      <c r="O3856" s="71">
        <f t="shared" si="542"/>
        <v>1</v>
      </c>
      <c r="P3856" s="71">
        <f t="shared" si="543"/>
        <v>1</v>
      </c>
      <c r="Q3856" s="71">
        <f t="shared" si="544"/>
        <v>0</v>
      </c>
      <c r="R3856" s="71">
        <f t="shared" si="545"/>
        <v>0</v>
      </c>
      <c r="S3856" s="71">
        <f t="shared" si="546"/>
        <v>0</v>
      </c>
      <c r="T3856" s="71">
        <f t="shared" si="547"/>
        <v>0</v>
      </c>
      <c r="U3856" s="71">
        <f>IF(AND(N3856=1,V3856=1),IF(COUNTIFS(AKTIVITAS!$B$2:$B$3052,B3856,AKTIVITAS!$E$2:$E$3052,H3856)&gt;0,1,0),0)</f>
        <v>1</v>
      </c>
      <c r="V3856" s="71">
        <f>IFERROR(IF(AND(H3856&gt;=INDEX(PEMAGANG!$J$3:$J$36,MATCH(B3856,PEMAGANG!$C$3:$C$36,0)),H3856&lt;=INDEX(PEMAGANG!$K$3:$K$36,MATCH(B3856,PEMAGANG!$C$3:$C$36,0))),1,0),0)</f>
        <v>1</v>
      </c>
      <c r="W3856" s="71">
        <f t="shared" si="548"/>
        <v>1</v>
      </c>
    </row>
    <row r="3857" spans="1:23" x14ac:dyDescent="0.2">
      <c r="A3857" s="71" t="s">
        <v>198</v>
      </c>
      <c r="B3857" s="71" t="s">
        <v>199</v>
      </c>
      <c r="C3857" s="71" t="s">
        <v>187</v>
      </c>
      <c r="D3857" s="71" t="s">
        <v>185</v>
      </c>
      <c r="E3857" s="71" t="s">
        <v>47</v>
      </c>
      <c r="F3857" s="71" t="s">
        <v>300</v>
      </c>
      <c r="G3857" s="88">
        <v>46245.699305555601</v>
      </c>
      <c r="H3857" s="89">
        <v>46245</v>
      </c>
      <c r="I3857" s="71" t="s">
        <v>337</v>
      </c>
      <c r="J3857" s="71">
        <v>0</v>
      </c>
      <c r="K3857" s="71" t="s">
        <v>302</v>
      </c>
      <c r="L3857" s="71">
        <f t="shared" si="540"/>
        <v>8</v>
      </c>
      <c r="M3857" s="71" t="str">
        <f>IFERROR(INDEX(KALENDER!$D$3:$D$132,MATCH(H3857,KALENDER!$A$3:$A$132,0)),"Di luar periode")</f>
        <v>Hari Kerja</v>
      </c>
      <c r="N3857" s="71">
        <f t="shared" si="541"/>
        <v>0</v>
      </c>
      <c r="O3857" s="71">
        <f t="shared" si="542"/>
        <v>1</v>
      </c>
      <c r="P3857" s="71">
        <f t="shared" si="543"/>
        <v>0</v>
      </c>
      <c r="Q3857" s="71">
        <f t="shared" si="544"/>
        <v>0</v>
      </c>
      <c r="R3857" s="71">
        <f t="shared" si="545"/>
        <v>0</v>
      </c>
      <c r="S3857" s="71">
        <f t="shared" si="546"/>
        <v>0</v>
      </c>
      <c r="T3857" s="71">
        <f t="shared" si="547"/>
        <v>0</v>
      </c>
      <c r="U3857" s="71">
        <f>IF(AND(N3857=1,V3857=1),IF(COUNTIFS(AKTIVITAS!$B$2:$B$3052,B3857,AKTIVITAS!$E$2:$E$3052,H3857)&gt;0,1,0),0)</f>
        <v>0</v>
      </c>
      <c r="V3857" s="71">
        <f>IFERROR(IF(AND(H3857&gt;=INDEX(PEMAGANG!$J$3:$J$36,MATCH(B3857,PEMAGANG!$C$3:$C$36,0)),H3857&lt;=INDEX(PEMAGANG!$K$3:$K$36,MATCH(B3857,PEMAGANG!$C$3:$C$36,0))),1,0),0)</f>
        <v>1</v>
      </c>
      <c r="W3857" s="71">
        <f t="shared" si="548"/>
        <v>0</v>
      </c>
    </row>
    <row r="3858" spans="1:23" x14ac:dyDescent="0.2">
      <c r="A3858" s="71" t="s">
        <v>198</v>
      </c>
      <c r="B3858" s="71" t="s">
        <v>199</v>
      </c>
      <c r="C3858" s="71" t="s">
        <v>187</v>
      </c>
      <c r="D3858" s="71" t="s">
        <v>185</v>
      </c>
      <c r="E3858" s="71" t="s">
        <v>47</v>
      </c>
      <c r="F3858" s="71" t="s">
        <v>298</v>
      </c>
      <c r="G3858" s="88">
        <v>46247.309675925899</v>
      </c>
      <c r="H3858" s="89">
        <v>46247</v>
      </c>
      <c r="I3858" s="71" t="s">
        <v>307</v>
      </c>
      <c r="J3858" s="71">
        <v>-4.9999999999999796</v>
      </c>
      <c r="K3858" s="71" t="s">
        <v>302</v>
      </c>
      <c r="L3858" s="71">
        <f t="shared" si="540"/>
        <v>8</v>
      </c>
      <c r="M3858" s="71" t="str">
        <f>IFERROR(INDEX(KALENDER!$D$3:$D$132,MATCH(H3858,KALENDER!$A$3:$A$132,0)),"Di luar periode")</f>
        <v>Hari Kerja</v>
      </c>
      <c r="N3858" s="71">
        <f t="shared" si="541"/>
        <v>1</v>
      </c>
      <c r="O3858" s="71">
        <f t="shared" si="542"/>
        <v>1</v>
      </c>
      <c r="P3858" s="71">
        <f t="shared" si="543"/>
        <v>1</v>
      </c>
      <c r="Q3858" s="71">
        <f t="shared" si="544"/>
        <v>0</v>
      </c>
      <c r="R3858" s="71">
        <f t="shared" si="545"/>
        <v>0</v>
      </c>
      <c r="S3858" s="71">
        <f t="shared" si="546"/>
        <v>0</v>
      </c>
      <c r="T3858" s="71">
        <f t="shared" si="547"/>
        <v>0</v>
      </c>
      <c r="U3858" s="71">
        <f>IF(AND(N3858=1,V3858=1),IF(COUNTIFS(AKTIVITAS!$B$2:$B$3052,B3858,AKTIVITAS!$E$2:$E$3052,H3858)&gt;0,1,0),0)</f>
        <v>1</v>
      </c>
      <c r="V3858" s="71">
        <f>IFERROR(IF(AND(H3858&gt;=INDEX(PEMAGANG!$J$3:$J$36,MATCH(B3858,PEMAGANG!$C$3:$C$36,0)),H3858&lt;=INDEX(PEMAGANG!$K$3:$K$36,MATCH(B3858,PEMAGANG!$C$3:$C$36,0))),1,0),0)</f>
        <v>1</v>
      </c>
      <c r="W3858" s="71">
        <f t="shared" si="548"/>
        <v>1</v>
      </c>
    </row>
    <row r="3859" spans="1:23" x14ac:dyDescent="0.2">
      <c r="A3859" s="71" t="s">
        <v>198</v>
      </c>
      <c r="B3859" s="71" t="s">
        <v>199</v>
      </c>
      <c r="C3859" s="71" t="s">
        <v>187</v>
      </c>
      <c r="D3859" s="71" t="s">
        <v>185</v>
      </c>
      <c r="E3859" s="71" t="s">
        <v>47</v>
      </c>
      <c r="F3859" s="71" t="s">
        <v>300</v>
      </c>
      <c r="G3859" s="88">
        <v>46247.695439814801</v>
      </c>
      <c r="H3859" s="89">
        <v>46247</v>
      </c>
      <c r="I3859" s="71" t="s">
        <v>319</v>
      </c>
      <c r="J3859" s="71">
        <v>0</v>
      </c>
      <c r="K3859" s="71" t="s">
        <v>302</v>
      </c>
      <c r="L3859" s="71">
        <f t="shared" si="540"/>
        <v>8</v>
      </c>
      <c r="M3859" s="71" t="str">
        <f>IFERROR(INDEX(KALENDER!$D$3:$D$132,MATCH(H3859,KALENDER!$A$3:$A$132,0)),"Di luar periode")</f>
        <v>Hari Kerja</v>
      </c>
      <c r="N3859" s="71">
        <f t="shared" si="541"/>
        <v>0</v>
      </c>
      <c r="O3859" s="71">
        <f t="shared" si="542"/>
        <v>1</v>
      </c>
      <c r="P3859" s="71">
        <f t="shared" si="543"/>
        <v>0</v>
      </c>
      <c r="Q3859" s="71">
        <f t="shared" si="544"/>
        <v>0</v>
      </c>
      <c r="R3859" s="71">
        <f t="shared" si="545"/>
        <v>0</v>
      </c>
      <c r="S3859" s="71">
        <f t="shared" si="546"/>
        <v>0</v>
      </c>
      <c r="T3859" s="71">
        <f t="shared" si="547"/>
        <v>0</v>
      </c>
      <c r="U3859" s="71">
        <f>IF(AND(N3859=1,V3859=1),IF(COUNTIFS(AKTIVITAS!$B$2:$B$3052,B3859,AKTIVITAS!$E$2:$E$3052,H3859)&gt;0,1,0),0)</f>
        <v>0</v>
      </c>
      <c r="V3859" s="71">
        <f>IFERROR(IF(AND(H3859&gt;=INDEX(PEMAGANG!$J$3:$J$36,MATCH(B3859,PEMAGANG!$C$3:$C$36,0)),H3859&lt;=INDEX(PEMAGANG!$K$3:$K$36,MATCH(B3859,PEMAGANG!$C$3:$C$36,0))),1,0),0)</f>
        <v>1</v>
      </c>
      <c r="W3859" s="71">
        <f t="shared" si="548"/>
        <v>0</v>
      </c>
    </row>
    <row r="3860" spans="1:23" x14ac:dyDescent="0.2">
      <c r="A3860" s="71" t="s">
        <v>198</v>
      </c>
      <c r="B3860" s="71" t="s">
        <v>199</v>
      </c>
      <c r="C3860" s="71" t="s">
        <v>187</v>
      </c>
      <c r="D3860" s="71" t="s">
        <v>185</v>
      </c>
      <c r="E3860" s="71" t="s">
        <v>47</v>
      </c>
      <c r="F3860" s="71" t="s">
        <v>298</v>
      </c>
      <c r="G3860" s="88">
        <v>46248.308541666702</v>
      </c>
      <c r="H3860" s="89">
        <v>46248</v>
      </c>
      <c r="I3860" s="71" t="s">
        <v>303</v>
      </c>
      <c r="J3860" s="71">
        <v>-5.9999999999999796</v>
      </c>
      <c r="K3860" s="71" t="s">
        <v>302</v>
      </c>
      <c r="L3860" s="71">
        <f t="shared" si="540"/>
        <v>8</v>
      </c>
      <c r="M3860" s="71" t="str">
        <f>IFERROR(INDEX(KALENDER!$D$3:$D$132,MATCH(H3860,KALENDER!$A$3:$A$132,0)),"Di luar periode")</f>
        <v>Hari Kerja</v>
      </c>
      <c r="N3860" s="71">
        <f t="shared" si="541"/>
        <v>1</v>
      </c>
      <c r="O3860" s="71">
        <f t="shared" si="542"/>
        <v>1</v>
      </c>
      <c r="P3860" s="71">
        <f t="shared" si="543"/>
        <v>1</v>
      </c>
      <c r="Q3860" s="71">
        <f t="shared" si="544"/>
        <v>0</v>
      </c>
      <c r="R3860" s="71">
        <f t="shared" si="545"/>
        <v>0</v>
      </c>
      <c r="S3860" s="71">
        <f t="shared" si="546"/>
        <v>0</v>
      </c>
      <c r="T3860" s="71">
        <f t="shared" si="547"/>
        <v>0</v>
      </c>
      <c r="U3860" s="71">
        <f>IF(AND(N3860=1,V3860=1),IF(COUNTIFS(AKTIVITAS!$B$2:$B$3052,B3860,AKTIVITAS!$E$2:$E$3052,H3860)&gt;0,1,0),0)</f>
        <v>1</v>
      </c>
      <c r="V3860" s="71">
        <f>IFERROR(IF(AND(H3860&gt;=INDEX(PEMAGANG!$J$3:$J$36,MATCH(B3860,PEMAGANG!$C$3:$C$36,0)),H3860&lt;=INDEX(PEMAGANG!$K$3:$K$36,MATCH(B3860,PEMAGANG!$C$3:$C$36,0))),1,0),0)</f>
        <v>1</v>
      </c>
      <c r="W3860" s="71">
        <f t="shared" si="548"/>
        <v>1</v>
      </c>
    </row>
    <row r="3861" spans="1:23" x14ac:dyDescent="0.2">
      <c r="A3861" s="71" t="s">
        <v>198</v>
      </c>
      <c r="B3861" s="71" t="s">
        <v>199</v>
      </c>
      <c r="C3861" s="71" t="s">
        <v>187</v>
      </c>
      <c r="D3861" s="71" t="s">
        <v>185</v>
      </c>
      <c r="E3861" s="71" t="s">
        <v>47</v>
      </c>
      <c r="F3861" s="71" t="s">
        <v>300</v>
      </c>
      <c r="G3861" s="88">
        <v>46248.692939814799</v>
      </c>
      <c r="H3861" s="89">
        <v>46248</v>
      </c>
      <c r="I3861" s="71" t="s">
        <v>328</v>
      </c>
      <c r="J3861" s="71">
        <v>0</v>
      </c>
      <c r="K3861" s="71" t="s">
        <v>302</v>
      </c>
      <c r="L3861" s="71">
        <f t="shared" si="540"/>
        <v>8</v>
      </c>
      <c r="M3861" s="71" t="str">
        <f>IFERROR(INDEX(KALENDER!$D$3:$D$132,MATCH(H3861,KALENDER!$A$3:$A$132,0)),"Di luar periode")</f>
        <v>Hari Kerja</v>
      </c>
      <c r="N3861" s="71">
        <f t="shared" si="541"/>
        <v>0</v>
      </c>
      <c r="O3861" s="71">
        <f t="shared" si="542"/>
        <v>1</v>
      </c>
      <c r="P3861" s="71">
        <f t="shared" si="543"/>
        <v>0</v>
      </c>
      <c r="Q3861" s="71">
        <f t="shared" si="544"/>
        <v>0</v>
      </c>
      <c r="R3861" s="71">
        <f t="shared" si="545"/>
        <v>0</v>
      </c>
      <c r="S3861" s="71">
        <f t="shared" si="546"/>
        <v>0</v>
      </c>
      <c r="T3861" s="71">
        <f t="shared" si="547"/>
        <v>0</v>
      </c>
      <c r="U3861" s="71">
        <f>IF(AND(N3861=1,V3861=1),IF(COUNTIFS(AKTIVITAS!$B$2:$B$3052,B3861,AKTIVITAS!$E$2:$E$3052,H3861)&gt;0,1,0),0)</f>
        <v>0</v>
      </c>
      <c r="V3861" s="71">
        <f>IFERROR(IF(AND(H3861&gt;=INDEX(PEMAGANG!$J$3:$J$36,MATCH(B3861,PEMAGANG!$C$3:$C$36,0)),H3861&lt;=INDEX(PEMAGANG!$K$3:$K$36,MATCH(B3861,PEMAGANG!$C$3:$C$36,0))),1,0),0)</f>
        <v>1</v>
      </c>
      <c r="W3861" s="71">
        <f t="shared" si="548"/>
        <v>0</v>
      </c>
    </row>
    <row r="3862" spans="1:23" x14ac:dyDescent="0.2">
      <c r="A3862" s="71" t="s">
        <v>198</v>
      </c>
      <c r="B3862" s="71" t="s">
        <v>199</v>
      </c>
      <c r="C3862" s="71" t="s">
        <v>187</v>
      </c>
      <c r="D3862" s="71" t="s">
        <v>185</v>
      </c>
      <c r="E3862" s="71" t="s">
        <v>47</v>
      </c>
      <c r="F3862" s="71" t="s">
        <v>298</v>
      </c>
      <c r="G3862" s="88">
        <v>46252.308715277803</v>
      </c>
      <c r="H3862" s="89">
        <v>46252</v>
      </c>
      <c r="I3862" s="71" t="s">
        <v>303</v>
      </c>
      <c r="J3862" s="71">
        <v>-5.9999999999999796</v>
      </c>
      <c r="K3862" s="71" t="s">
        <v>302</v>
      </c>
      <c r="L3862" s="71">
        <f t="shared" si="540"/>
        <v>8</v>
      </c>
      <c r="M3862" s="71" t="str">
        <f>IFERROR(INDEX(KALENDER!$D$3:$D$132,MATCH(H3862,KALENDER!$A$3:$A$132,0)),"Di luar periode")</f>
        <v>Hari Kerja</v>
      </c>
      <c r="N3862" s="71">
        <f t="shared" si="541"/>
        <v>1</v>
      </c>
      <c r="O3862" s="71">
        <f t="shared" si="542"/>
        <v>1</v>
      </c>
      <c r="P3862" s="71">
        <f t="shared" si="543"/>
        <v>1</v>
      </c>
      <c r="Q3862" s="71">
        <f t="shared" si="544"/>
        <v>0</v>
      </c>
      <c r="R3862" s="71">
        <f t="shared" si="545"/>
        <v>0</v>
      </c>
      <c r="S3862" s="71">
        <f t="shared" si="546"/>
        <v>0</v>
      </c>
      <c r="T3862" s="71">
        <f t="shared" si="547"/>
        <v>0</v>
      </c>
      <c r="U3862" s="71">
        <f>IF(AND(N3862=1,V3862=1),IF(COUNTIFS(AKTIVITAS!$B$2:$B$3052,B3862,AKTIVITAS!$E$2:$E$3052,H3862)&gt;0,1,0),0)</f>
        <v>0</v>
      </c>
      <c r="V3862" s="71">
        <f>IFERROR(IF(AND(H3862&gt;=INDEX(PEMAGANG!$J$3:$J$36,MATCH(B3862,PEMAGANG!$C$3:$C$36,0)),H3862&lt;=INDEX(PEMAGANG!$K$3:$K$36,MATCH(B3862,PEMAGANG!$C$3:$C$36,0))),1,0),0)</f>
        <v>1</v>
      </c>
      <c r="W3862" s="71">
        <f t="shared" si="548"/>
        <v>1</v>
      </c>
    </row>
    <row r="3863" spans="1:23" x14ac:dyDescent="0.2">
      <c r="A3863" s="71" t="s">
        <v>198</v>
      </c>
      <c r="B3863" s="71" t="s">
        <v>199</v>
      </c>
      <c r="C3863" s="71" t="s">
        <v>187</v>
      </c>
      <c r="D3863" s="71" t="s">
        <v>185</v>
      </c>
      <c r="E3863" s="71" t="s">
        <v>47</v>
      </c>
      <c r="F3863" s="71" t="s">
        <v>300</v>
      </c>
      <c r="G3863" s="88">
        <v>46252.689907407403</v>
      </c>
      <c r="H3863" s="89">
        <v>46252</v>
      </c>
      <c r="I3863" s="71" t="s">
        <v>316</v>
      </c>
      <c r="J3863" s="71">
        <v>0</v>
      </c>
      <c r="K3863" s="71" t="s">
        <v>302</v>
      </c>
      <c r="L3863" s="71">
        <f t="shared" si="540"/>
        <v>8</v>
      </c>
      <c r="M3863" s="71" t="str">
        <f>IFERROR(INDEX(KALENDER!$D$3:$D$132,MATCH(H3863,KALENDER!$A$3:$A$132,0)),"Di luar periode")</f>
        <v>Hari Kerja</v>
      </c>
      <c r="N3863" s="71">
        <f t="shared" si="541"/>
        <v>0</v>
      </c>
      <c r="O3863" s="71">
        <f t="shared" si="542"/>
        <v>1</v>
      </c>
      <c r="P3863" s="71">
        <f t="shared" si="543"/>
        <v>0</v>
      </c>
      <c r="Q3863" s="71">
        <f t="shared" si="544"/>
        <v>0</v>
      </c>
      <c r="R3863" s="71">
        <f t="shared" si="545"/>
        <v>0</v>
      </c>
      <c r="S3863" s="71">
        <f t="shared" si="546"/>
        <v>0</v>
      </c>
      <c r="T3863" s="71">
        <f t="shared" si="547"/>
        <v>0</v>
      </c>
      <c r="U3863" s="71">
        <f>IF(AND(N3863=1,V3863=1),IF(COUNTIFS(AKTIVITAS!$B$2:$B$3052,B3863,AKTIVITAS!$E$2:$E$3052,H3863)&gt;0,1,0),0)</f>
        <v>0</v>
      </c>
      <c r="V3863" s="71">
        <f>IFERROR(IF(AND(H3863&gt;=INDEX(PEMAGANG!$J$3:$J$36,MATCH(B3863,PEMAGANG!$C$3:$C$36,0)),H3863&lt;=INDEX(PEMAGANG!$K$3:$K$36,MATCH(B3863,PEMAGANG!$C$3:$C$36,0))),1,0),0)</f>
        <v>1</v>
      </c>
      <c r="W3863" s="71">
        <f t="shared" si="548"/>
        <v>0</v>
      </c>
    </row>
    <row r="3864" spans="1:23" x14ac:dyDescent="0.2">
      <c r="A3864" s="71" t="s">
        <v>198</v>
      </c>
      <c r="B3864" s="71" t="s">
        <v>199</v>
      </c>
      <c r="C3864" s="71" t="s">
        <v>187</v>
      </c>
      <c r="D3864" s="71" t="s">
        <v>185</v>
      </c>
      <c r="E3864" s="71" t="s">
        <v>47</v>
      </c>
      <c r="F3864" s="71" t="s">
        <v>298</v>
      </c>
      <c r="G3864" s="88">
        <v>46253.309560185196</v>
      </c>
      <c r="H3864" s="89">
        <v>46253</v>
      </c>
      <c r="I3864" s="71" t="s">
        <v>307</v>
      </c>
      <c r="J3864" s="71">
        <v>-4.9999999999999796</v>
      </c>
      <c r="K3864" s="71" t="s">
        <v>302</v>
      </c>
      <c r="L3864" s="71">
        <f t="shared" si="540"/>
        <v>8</v>
      </c>
      <c r="M3864" s="71" t="str">
        <f>IFERROR(INDEX(KALENDER!$D$3:$D$132,MATCH(H3864,KALENDER!$A$3:$A$132,0)),"Di luar periode")</f>
        <v>Hari Kerja</v>
      </c>
      <c r="N3864" s="71">
        <f t="shared" si="541"/>
        <v>1</v>
      </c>
      <c r="O3864" s="71">
        <f t="shared" si="542"/>
        <v>1</v>
      </c>
      <c r="P3864" s="71">
        <f t="shared" si="543"/>
        <v>1</v>
      </c>
      <c r="Q3864" s="71">
        <f t="shared" si="544"/>
        <v>0</v>
      </c>
      <c r="R3864" s="71">
        <f t="shared" si="545"/>
        <v>0</v>
      </c>
      <c r="S3864" s="71">
        <f t="shared" si="546"/>
        <v>0</v>
      </c>
      <c r="T3864" s="71">
        <f t="shared" si="547"/>
        <v>1</v>
      </c>
      <c r="U3864" s="71">
        <f>IF(AND(N3864=1,V3864=1),IF(COUNTIFS(AKTIVITAS!$B$2:$B$3052,B3864,AKTIVITAS!$E$2:$E$3052,H3864)&gt;0,1,0),0)</f>
        <v>1</v>
      </c>
      <c r="V3864" s="71">
        <f>IFERROR(IF(AND(H3864&gt;=INDEX(PEMAGANG!$J$3:$J$36,MATCH(B3864,PEMAGANG!$C$3:$C$36,0)),H3864&lt;=INDEX(PEMAGANG!$K$3:$K$36,MATCH(B3864,PEMAGANG!$C$3:$C$36,0))),1,0),0)</f>
        <v>1</v>
      </c>
      <c r="W3864" s="71">
        <f t="shared" si="548"/>
        <v>1</v>
      </c>
    </row>
    <row r="3865" spans="1:23" x14ac:dyDescent="0.2">
      <c r="A3865" s="71" t="s">
        <v>198</v>
      </c>
      <c r="B3865" s="71" t="s">
        <v>199</v>
      </c>
      <c r="C3865" s="71" t="s">
        <v>187</v>
      </c>
      <c r="D3865" s="71" t="s">
        <v>185</v>
      </c>
      <c r="E3865" s="71" t="s">
        <v>47</v>
      </c>
      <c r="F3865" s="71" t="s">
        <v>298</v>
      </c>
      <c r="G3865" s="88">
        <v>46254.310648148101</v>
      </c>
      <c r="H3865" s="89">
        <v>46254</v>
      </c>
      <c r="I3865" s="71" t="s">
        <v>309</v>
      </c>
      <c r="J3865" s="71">
        <v>-2.9999999999999898</v>
      </c>
      <c r="K3865" s="71" t="s">
        <v>302</v>
      </c>
      <c r="L3865" s="71">
        <f t="shared" si="540"/>
        <v>8</v>
      </c>
      <c r="M3865" s="71" t="str">
        <f>IFERROR(INDEX(KALENDER!$D$3:$D$132,MATCH(H3865,KALENDER!$A$3:$A$132,0)),"Di luar periode")</f>
        <v>Hari Kerja</v>
      </c>
      <c r="N3865" s="71">
        <f t="shared" si="541"/>
        <v>1</v>
      </c>
      <c r="O3865" s="71">
        <f t="shared" si="542"/>
        <v>1</v>
      </c>
      <c r="P3865" s="71">
        <f t="shared" si="543"/>
        <v>1</v>
      </c>
      <c r="Q3865" s="71">
        <f t="shared" si="544"/>
        <v>0</v>
      </c>
      <c r="R3865" s="71">
        <f t="shared" si="545"/>
        <v>0</v>
      </c>
      <c r="S3865" s="71">
        <f t="shared" si="546"/>
        <v>0</v>
      </c>
      <c r="T3865" s="71">
        <f t="shared" si="547"/>
        <v>0</v>
      </c>
      <c r="U3865" s="71">
        <f>IF(AND(N3865=1,V3865=1),IF(COUNTIFS(AKTIVITAS!$B$2:$B$3052,B3865,AKTIVITAS!$E$2:$E$3052,H3865)&gt;0,1,0),0)</f>
        <v>1</v>
      </c>
      <c r="V3865" s="71">
        <f>IFERROR(IF(AND(H3865&gt;=INDEX(PEMAGANG!$J$3:$J$36,MATCH(B3865,PEMAGANG!$C$3:$C$36,0)),H3865&lt;=INDEX(PEMAGANG!$K$3:$K$36,MATCH(B3865,PEMAGANG!$C$3:$C$36,0))),1,0),0)</f>
        <v>1</v>
      </c>
      <c r="W3865" s="71">
        <f t="shared" si="548"/>
        <v>1</v>
      </c>
    </row>
    <row r="3866" spans="1:23" x14ac:dyDescent="0.2">
      <c r="A3866" s="71" t="s">
        <v>198</v>
      </c>
      <c r="B3866" s="71" t="s">
        <v>199</v>
      </c>
      <c r="C3866" s="71" t="s">
        <v>187</v>
      </c>
      <c r="D3866" s="71" t="s">
        <v>185</v>
      </c>
      <c r="E3866" s="71" t="s">
        <v>47</v>
      </c>
      <c r="F3866" s="71" t="s">
        <v>300</v>
      </c>
      <c r="G3866" s="88">
        <v>46254.691273148201</v>
      </c>
      <c r="H3866" s="89">
        <v>46254</v>
      </c>
      <c r="I3866" s="71" t="s">
        <v>310</v>
      </c>
      <c r="J3866" s="71">
        <v>0</v>
      </c>
      <c r="K3866" s="71" t="s">
        <v>302</v>
      </c>
      <c r="L3866" s="71">
        <f t="shared" si="540"/>
        <v>8</v>
      </c>
      <c r="M3866" s="71" t="str">
        <f>IFERROR(INDEX(KALENDER!$D$3:$D$132,MATCH(H3866,KALENDER!$A$3:$A$132,0)),"Di luar periode")</f>
        <v>Hari Kerja</v>
      </c>
      <c r="N3866" s="71">
        <f t="shared" si="541"/>
        <v>0</v>
      </c>
      <c r="O3866" s="71">
        <f t="shared" si="542"/>
        <v>1</v>
      </c>
      <c r="P3866" s="71">
        <f t="shared" si="543"/>
        <v>0</v>
      </c>
      <c r="Q3866" s="71">
        <f t="shared" si="544"/>
        <v>0</v>
      </c>
      <c r="R3866" s="71">
        <f t="shared" si="545"/>
        <v>0</v>
      </c>
      <c r="S3866" s="71">
        <f t="shared" si="546"/>
        <v>0</v>
      </c>
      <c r="T3866" s="71">
        <f t="shared" si="547"/>
        <v>0</v>
      </c>
      <c r="U3866" s="71">
        <f>IF(AND(N3866=1,V3866=1),IF(COUNTIFS(AKTIVITAS!$B$2:$B$3052,B3866,AKTIVITAS!$E$2:$E$3052,H3866)&gt;0,1,0),0)</f>
        <v>0</v>
      </c>
      <c r="V3866" s="71">
        <f>IFERROR(IF(AND(H3866&gt;=INDEX(PEMAGANG!$J$3:$J$36,MATCH(B3866,PEMAGANG!$C$3:$C$36,0)),H3866&lt;=INDEX(PEMAGANG!$K$3:$K$36,MATCH(B3866,PEMAGANG!$C$3:$C$36,0))),1,0),0)</f>
        <v>1</v>
      </c>
      <c r="W3866" s="71">
        <f t="shared" si="548"/>
        <v>0</v>
      </c>
    </row>
    <row r="3867" spans="1:23" x14ac:dyDescent="0.2">
      <c r="A3867" s="71" t="s">
        <v>198</v>
      </c>
      <c r="B3867" s="71" t="s">
        <v>199</v>
      </c>
      <c r="C3867" s="71" t="s">
        <v>187</v>
      </c>
      <c r="D3867" s="71" t="s">
        <v>185</v>
      </c>
      <c r="E3867" s="71" t="s">
        <v>47</v>
      </c>
      <c r="F3867" s="71" t="s">
        <v>298</v>
      </c>
      <c r="G3867" s="88">
        <v>46255.309479166703</v>
      </c>
      <c r="H3867" s="89">
        <v>46255</v>
      </c>
      <c r="I3867" s="71" t="s">
        <v>307</v>
      </c>
      <c r="J3867" s="71">
        <v>-35</v>
      </c>
      <c r="K3867" s="71" t="s">
        <v>302</v>
      </c>
      <c r="L3867" s="71">
        <f t="shared" si="540"/>
        <v>8</v>
      </c>
      <c r="M3867" s="71" t="str">
        <f>IFERROR(INDEX(KALENDER!$D$3:$D$132,MATCH(H3867,KALENDER!$A$3:$A$132,0)),"Di luar periode")</f>
        <v>Hari Kerja</v>
      </c>
      <c r="N3867" s="71">
        <f t="shared" si="541"/>
        <v>1</v>
      </c>
      <c r="O3867" s="71">
        <f t="shared" si="542"/>
        <v>1</v>
      </c>
      <c r="P3867" s="71">
        <f t="shared" si="543"/>
        <v>1</v>
      </c>
      <c r="Q3867" s="71">
        <f t="shared" si="544"/>
        <v>0</v>
      </c>
      <c r="R3867" s="71">
        <f t="shared" si="545"/>
        <v>0</v>
      </c>
      <c r="S3867" s="71">
        <f t="shared" si="546"/>
        <v>0</v>
      </c>
      <c r="T3867" s="71">
        <f t="shared" si="547"/>
        <v>0</v>
      </c>
      <c r="U3867" s="71">
        <f>IF(AND(N3867=1,V3867=1),IF(COUNTIFS(AKTIVITAS!$B$2:$B$3052,B3867,AKTIVITAS!$E$2:$E$3052,H3867)&gt;0,1,0),0)</f>
        <v>1</v>
      </c>
      <c r="V3867" s="71">
        <f>IFERROR(IF(AND(H3867&gt;=INDEX(PEMAGANG!$J$3:$J$36,MATCH(B3867,PEMAGANG!$C$3:$C$36,0)),H3867&lt;=INDEX(PEMAGANG!$K$3:$K$36,MATCH(B3867,PEMAGANG!$C$3:$C$36,0))),1,0),0)</f>
        <v>1</v>
      </c>
      <c r="W3867" s="71">
        <f t="shared" si="548"/>
        <v>1</v>
      </c>
    </row>
    <row r="3868" spans="1:23" x14ac:dyDescent="0.2">
      <c r="A3868" s="71" t="s">
        <v>198</v>
      </c>
      <c r="B3868" s="71" t="s">
        <v>199</v>
      </c>
      <c r="C3868" s="71" t="s">
        <v>187</v>
      </c>
      <c r="D3868" s="71" t="s">
        <v>185</v>
      </c>
      <c r="E3868" s="71" t="s">
        <v>47</v>
      </c>
      <c r="F3868" s="71" t="s">
        <v>300</v>
      </c>
      <c r="G3868" s="88">
        <v>46255.693078703698</v>
      </c>
      <c r="H3868" s="89">
        <v>46255</v>
      </c>
      <c r="I3868" s="71" t="s">
        <v>317</v>
      </c>
      <c r="J3868" s="71">
        <v>0</v>
      </c>
      <c r="K3868" s="71" t="s">
        <v>302</v>
      </c>
      <c r="L3868" s="71">
        <f t="shared" si="540"/>
        <v>8</v>
      </c>
      <c r="M3868" s="71" t="str">
        <f>IFERROR(INDEX(KALENDER!$D$3:$D$132,MATCH(H3868,KALENDER!$A$3:$A$132,0)),"Di luar periode")</f>
        <v>Hari Kerja</v>
      </c>
      <c r="N3868" s="71">
        <f t="shared" si="541"/>
        <v>0</v>
      </c>
      <c r="O3868" s="71">
        <f t="shared" si="542"/>
        <v>1</v>
      </c>
      <c r="P3868" s="71">
        <f t="shared" si="543"/>
        <v>0</v>
      </c>
      <c r="Q3868" s="71">
        <f t="shared" si="544"/>
        <v>0</v>
      </c>
      <c r="R3868" s="71">
        <f t="shared" si="545"/>
        <v>0</v>
      </c>
      <c r="S3868" s="71">
        <f t="shared" si="546"/>
        <v>0</v>
      </c>
      <c r="T3868" s="71">
        <f t="shared" si="547"/>
        <v>0</v>
      </c>
      <c r="U3868" s="71">
        <f>IF(AND(N3868=1,V3868=1),IF(COUNTIFS(AKTIVITAS!$B$2:$B$3052,B3868,AKTIVITAS!$E$2:$E$3052,H3868)&gt;0,1,0),0)</f>
        <v>0</v>
      </c>
      <c r="V3868" s="71">
        <f>IFERROR(IF(AND(H3868&gt;=INDEX(PEMAGANG!$J$3:$J$36,MATCH(B3868,PEMAGANG!$C$3:$C$36,0)),H3868&lt;=INDEX(PEMAGANG!$K$3:$K$36,MATCH(B3868,PEMAGANG!$C$3:$C$36,0))),1,0),0)</f>
        <v>1</v>
      </c>
      <c r="W3868" s="71">
        <f t="shared" si="548"/>
        <v>0</v>
      </c>
    </row>
    <row r="3869" spans="1:23" x14ac:dyDescent="0.2">
      <c r="A3869" s="71" t="s">
        <v>198</v>
      </c>
      <c r="B3869" s="71" t="s">
        <v>199</v>
      </c>
      <c r="C3869" s="71" t="s">
        <v>187</v>
      </c>
      <c r="D3869" s="71" t="s">
        <v>185</v>
      </c>
      <c r="E3869" s="71" t="s">
        <v>47</v>
      </c>
      <c r="F3869" s="71" t="s">
        <v>298</v>
      </c>
      <c r="G3869" s="88">
        <v>46258.309027777803</v>
      </c>
      <c r="H3869" s="89">
        <v>46258</v>
      </c>
      <c r="I3869" s="71" t="s">
        <v>307</v>
      </c>
      <c r="J3869" s="71">
        <v>-35</v>
      </c>
      <c r="K3869" s="71" t="s">
        <v>302</v>
      </c>
      <c r="L3869" s="71">
        <f t="shared" si="540"/>
        <v>8</v>
      </c>
      <c r="M3869" s="71" t="str">
        <f>IFERROR(INDEX(KALENDER!$D$3:$D$132,MATCH(H3869,KALENDER!$A$3:$A$132,0)),"Di luar periode")</f>
        <v>Hari Kerja</v>
      </c>
      <c r="N3869" s="71">
        <f t="shared" si="541"/>
        <v>1</v>
      </c>
      <c r="O3869" s="71">
        <f t="shared" si="542"/>
        <v>1</v>
      </c>
      <c r="P3869" s="71">
        <f t="shared" si="543"/>
        <v>1</v>
      </c>
      <c r="Q3869" s="71">
        <f t="shared" si="544"/>
        <v>0</v>
      </c>
      <c r="R3869" s="71">
        <f t="shared" si="545"/>
        <v>0</v>
      </c>
      <c r="S3869" s="71">
        <f t="shared" si="546"/>
        <v>0</v>
      </c>
      <c r="T3869" s="71">
        <f t="shared" si="547"/>
        <v>0</v>
      </c>
      <c r="U3869" s="71">
        <f>IF(AND(N3869=1,V3869=1),IF(COUNTIFS(AKTIVITAS!$B$2:$B$3052,B3869,AKTIVITAS!$E$2:$E$3052,H3869)&gt;0,1,0),0)</f>
        <v>1</v>
      </c>
      <c r="V3869" s="71">
        <f>IFERROR(IF(AND(H3869&gt;=INDEX(PEMAGANG!$J$3:$J$36,MATCH(B3869,PEMAGANG!$C$3:$C$36,0)),H3869&lt;=INDEX(PEMAGANG!$K$3:$K$36,MATCH(B3869,PEMAGANG!$C$3:$C$36,0))),1,0),0)</f>
        <v>1</v>
      </c>
      <c r="W3869" s="71">
        <f t="shared" si="548"/>
        <v>1</v>
      </c>
    </row>
    <row r="3870" spans="1:23" x14ac:dyDescent="0.2">
      <c r="A3870" s="71" t="s">
        <v>198</v>
      </c>
      <c r="B3870" s="71" t="s">
        <v>199</v>
      </c>
      <c r="C3870" s="71" t="s">
        <v>187</v>
      </c>
      <c r="D3870" s="71" t="s">
        <v>185</v>
      </c>
      <c r="E3870" s="71" t="s">
        <v>47</v>
      </c>
      <c r="F3870" s="71" t="s">
        <v>300</v>
      </c>
      <c r="G3870" s="88">
        <v>46258.698391203703</v>
      </c>
      <c r="H3870" s="89">
        <v>46258</v>
      </c>
      <c r="I3870" s="71" t="s">
        <v>318</v>
      </c>
      <c r="J3870" s="71">
        <v>0</v>
      </c>
      <c r="K3870" s="71" t="s">
        <v>302</v>
      </c>
      <c r="L3870" s="71">
        <f t="shared" si="540"/>
        <v>8</v>
      </c>
      <c r="M3870" s="71" t="str">
        <f>IFERROR(INDEX(KALENDER!$D$3:$D$132,MATCH(H3870,KALENDER!$A$3:$A$132,0)),"Di luar periode")</f>
        <v>Hari Kerja</v>
      </c>
      <c r="N3870" s="71">
        <f t="shared" si="541"/>
        <v>0</v>
      </c>
      <c r="O3870" s="71">
        <f t="shared" si="542"/>
        <v>1</v>
      </c>
      <c r="P3870" s="71">
        <f t="shared" si="543"/>
        <v>0</v>
      </c>
      <c r="Q3870" s="71">
        <f t="shared" si="544"/>
        <v>0</v>
      </c>
      <c r="R3870" s="71">
        <f t="shared" si="545"/>
        <v>0</v>
      </c>
      <c r="S3870" s="71">
        <f t="shared" si="546"/>
        <v>0</v>
      </c>
      <c r="T3870" s="71">
        <f t="shared" si="547"/>
        <v>0</v>
      </c>
      <c r="U3870" s="71">
        <f>IF(AND(N3870=1,V3870=1),IF(COUNTIFS(AKTIVITAS!$B$2:$B$3052,B3870,AKTIVITAS!$E$2:$E$3052,H3870)&gt;0,1,0),0)</f>
        <v>0</v>
      </c>
      <c r="V3870" s="71">
        <f>IFERROR(IF(AND(H3870&gt;=INDEX(PEMAGANG!$J$3:$J$36,MATCH(B3870,PEMAGANG!$C$3:$C$36,0)),H3870&lt;=INDEX(PEMAGANG!$K$3:$K$36,MATCH(B3870,PEMAGANG!$C$3:$C$36,0))),1,0),0)</f>
        <v>1</v>
      </c>
      <c r="W3870" s="71">
        <f t="shared" si="548"/>
        <v>0</v>
      </c>
    </row>
    <row r="3871" spans="1:23" x14ac:dyDescent="0.2">
      <c r="A3871" s="71" t="s">
        <v>198</v>
      </c>
      <c r="B3871" s="71" t="s">
        <v>199</v>
      </c>
      <c r="C3871" s="71" t="s">
        <v>187</v>
      </c>
      <c r="D3871" s="71" t="s">
        <v>185</v>
      </c>
      <c r="E3871" s="71" t="s">
        <v>47</v>
      </c>
      <c r="F3871" s="71" t="s">
        <v>298</v>
      </c>
      <c r="G3871" s="88">
        <v>46260.309108796297</v>
      </c>
      <c r="H3871" s="89">
        <v>46260</v>
      </c>
      <c r="I3871" s="71" t="s">
        <v>307</v>
      </c>
      <c r="J3871" s="71">
        <v>-35</v>
      </c>
      <c r="K3871" s="71" t="s">
        <v>302</v>
      </c>
      <c r="L3871" s="71">
        <f t="shared" si="540"/>
        <v>8</v>
      </c>
      <c r="M3871" s="71" t="str">
        <f>IFERROR(INDEX(KALENDER!$D$3:$D$132,MATCH(H3871,KALENDER!$A$3:$A$132,0)),"Di luar periode")</f>
        <v>Hari Kerja</v>
      </c>
      <c r="N3871" s="71">
        <f t="shared" si="541"/>
        <v>1</v>
      </c>
      <c r="O3871" s="71">
        <f t="shared" si="542"/>
        <v>1</v>
      </c>
      <c r="P3871" s="71">
        <f t="shared" si="543"/>
        <v>1</v>
      </c>
      <c r="Q3871" s="71">
        <f t="shared" si="544"/>
        <v>0</v>
      </c>
      <c r="R3871" s="71">
        <f t="shared" si="545"/>
        <v>0</v>
      </c>
      <c r="S3871" s="71">
        <f t="shared" si="546"/>
        <v>0</v>
      </c>
      <c r="T3871" s="71">
        <f t="shared" si="547"/>
        <v>1</v>
      </c>
      <c r="U3871" s="71">
        <f>IF(AND(N3871=1,V3871=1),IF(COUNTIFS(AKTIVITAS!$B$2:$B$3052,B3871,AKTIVITAS!$E$2:$E$3052,H3871)&gt;0,1,0),0)</f>
        <v>1</v>
      </c>
      <c r="V3871" s="71">
        <f>IFERROR(IF(AND(H3871&gt;=INDEX(PEMAGANG!$J$3:$J$36,MATCH(B3871,PEMAGANG!$C$3:$C$36,0)),H3871&lt;=INDEX(PEMAGANG!$K$3:$K$36,MATCH(B3871,PEMAGANG!$C$3:$C$36,0))),1,0),0)</f>
        <v>1</v>
      </c>
      <c r="W3871" s="71">
        <f t="shared" si="548"/>
        <v>1</v>
      </c>
    </row>
    <row r="3872" spans="1:23" x14ac:dyDescent="0.2">
      <c r="A3872" s="71" t="s">
        <v>198</v>
      </c>
      <c r="B3872" s="71" t="s">
        <v>199</v>
      </c>
      <c r="C3872" s="71" t="s">
        <v>187</v>
      </c>
      <c r="D3872" s="71" t="s">
        <v>185</v>
      </c>
      <c r="E3872" s="71" t="s">
        <v>47</v>
      </c>
      <c r="F3872" s="71" t="s">
        <v>298</v>
      </c>
      <c r="G3872" s="88">
        <v>46261.308576388903</v>
      </c>
      <c r="H3872" s="89">
        <v>46261</v>
      </c>
      <c r="I3872" s="71" t="s">
        <v>303</v>
      </c>
      <c r="J3872" s="71">
        <v>-36</v>
      </c>
      <c r="K3872" s="71" t="s">
        <v>302</v>
      </c>
      <c r="L3872" s="71">
        <f t="shared" si="540"/>
        <v>8</v>
      </c>
      <c r="M3872" s="71" t="str">
        <f>IFERROR(INDEX(KALENDER!$D$3:$D$132,MATCH(H3872,KALENDER!$A$3:$A$132,0)),"Di luar periode")</f>
        <v>Hari Kerja</v>
      </c>
      <c r="N3872" s="71">
        <f t="shared" si="541"/>
        <v>1</v>
      </c>
      <c r="O3872" s="71">
        <f t="shared" si="542"/>
        <v>1</v>
      </c>
      <c r="P3872" s="71">
        <f t="shared" si="543"/>
        <v>1</v>
      </c>
      <c r="Q3872" s="71">
        <f t="shared" si="544"/>
        <v>0</v>
      </c>
      <c r="R3872" s="71">
        <f t="shared" si="545"/>
        <v>0</v>
      </c>
      <c r="S3872" s="71">
        <f t="shared" si="546"/>
        <v>0</v>
      </c>
      <c r="T3872" s="71">
        <f t="shared" si="547"/>
        <v>0</v>
      </c>
      <c r="U3872" s="71">
        <f>IF(AND(N3872=1,V3872=1),IF(COUNTIFS(AKTIVITAS!$B$2:$B$3052,B3872,AKTIVITAS!$E$2:$E$3052,H3872)&gt;0,1,0),0)</f>
        <v>1</v>
      </c>
      <c r="V3872" s="71">
        <f>IFERROR(IF(AND(H3872&gt;=INDEX(PEMAGANG!$J$3:$J$36,MATCH(B3872,PEMAGANG!$C$3:$C$36,0)),H3872&lt;=INDEX(PEMAGANG!$K$3:$K$36,MATCH(B3872,PEMAGANG!$C$3:$C$36,0))),1,0),0)</f>
        <v>1</v>
      </c>
      <c r="W3872" s="71">
        <f t="shared" si="548"/>
        <v>1</v>
      </c>
    </row>
    <row r="3873" spans="1:23" x14ac:dyDescent="0.2">
      <c r="A3873" s="71" t="s">
        <v>198</v>
      </c>
      <c r="B3873" s="71" t="s">
        <v>199</v>
      </c>
      <c r="C3873" s="71" t="s">
        <v>187</v>
      </c>
      <c r="D3873" s="71" t="s">
        <v>185</v>
      </c>
      <c r="E3873" s="71" t="s">
        <v>47</v>
      </c>
      <c r="F3873" s="71" t="s">
        <v>300</v>
      </c>
      <c r="G3873" s="88">
        <v>46261.691689814797</v>
      </c>
      <c r="H3873" s="89">
        <v>46261</v>
      </c>
      <c r="I3873" s="71" t="s">
        <v>344</v>
      </c>
      <c r="J3873" s="71">
        <v>0</v>
      </c>
      <c r="K3873" s="71" t="s">
        <v>302</v>
      </c>
      <c r="L3873" s="71">
        <f t="shared" si="540"/>
        <v>8</v>
      </c>
      <c r="M3873" s="71" t="str">
        <f>IFERROR(INDEX(KALENDER!$D$3:$D$132,MATCH(H3873,KALENDER!$A$3:$A$132,0)),"Di luar periode")</f>
        <v>Hari Kerja</v>
      </c>
      <c r="N3873" s="71">
        <f t="shared" si="541"/>
        <v>0</v>
      </c>
      <c r="O3873" s="71">
        <f t="shared" si="542"/>
        <v>1</v>
      </c>
      <c r="P3873" s="71">
        <f t="shared" si="543"/>
        <v>0</v>
      </c>
      <c r="Q3873" s="71">
        <f t="shared" si="544"/>
        <v>0</v>
      </c>
      <c r="R3873" s="71">
        <f t="shared" si="545"/>
        <v>0</v>
      </c>
      <c r="S3873" s="71">
        <f t="shared" si="546"/>
        <v>0</v>
      </c>
      <c r="T3873" s="71">
        <f t="shared" si="547"/>
        <v>0</v>
      </c>
      <c r="U3873" s="71">
        <f>IF(AND(N3873=1,V3873=1),IF(COUNTIFS(AKTIVITAS!$B$2:$B$3052,B3873,AKTIVITAS!$E$2:$E$3052,H3873)&gt;0,1,0),0)</f>
        <v>0</v>
      </c>
      <c r="V3873" s="71">
        <f>IFERROR(IF(AND(H3873&gt;=INDEX(PEMAGANG!$J$3:$J$36,MATCH(B3873,PEMAGANG!$C$3:$C$36,0)),H3873&lt;=INDEX(PEMAGANG!$K$3:$K$36,MATCH(B3873,PEMAGANG!$C$3:$C$36,0))),1,0),0)</f>
        <v>1</v>
      </c>
      <c r="W3873" s="71">
        <f t="shared" si="548"/>
        <v>0</v>
      </c>
    </row>
    <row r="3874" spans="1:23" x14ac:dyDescent="0.2">
      <c r="A3874" s="71" t="s">
        <v>198</v>
      </c>
      <c r="B3874" s="71" t="s">
        <v>199</v>
      </c>
      <c r="C3874" s="71" t="s">
        <v>187</v>
      </c>
      <c r="D3874" s="71" t="s">
        <v>185</v>
      </c>
      <c r="E3874" s="71" t="s">
        <v>47</v>
      </c>
      <c r="F3874" s="71" t="s">
        <v>298</v>
      </c>
      <c r="G3874" s="88">
        <v>46262.309282407397</v>
      </c>
      <c r="H3874" s="89">
        <v>46262</v>
      </c>
      <c r="I3874" s="71" t="s">
        <v>307</v>
      </c>
      <c r="J3874" s="71">
        <v>-35</v>
      </c>
      <c r="K3874" s="71" t="s">
        <v>302</v>
      </c>
      <c r="L3874" s="71">
        <f t="shared" si="540"/>
        <v>8</v>
      </c>
      <c r="M3874" s="71" t="str">
        <f>IFERROR(INDEX(KALENDER!$D$3:$D$132,MATCH(H3874,KALENDER!$A$3:$A$132,0)),"Di luar periode")</f>
        <v>Hari Kerja</v>
      </c>
      <c r="N3874" s="71">
        <f t="shared" si="541"/>
        <v>1</v>
      </c>
      <c r="O3874" s="71">
        <f t="shared" si="542"/>
        <v>1</v>
      </c>
      <c r="P3874" s="71">
        <f t="shared" si="543"/>
        <v>1</v>
      </c>
      <c r="Q3874" s="71">
        <f t="shared" si="544"/>
        <v>0</v>
      </c>
      <c r="R3874" s="71">
        <f t="shared" si="545"/>
        <v>0</v>
      </c>
      <c r="S3874" s="71">
        <f t="shared" si="546"/>
        <v>0</v>
      </c>
      <c r="T3874" s="71">
        <f t="shared" si="547"/>
        <v>0</v>
      </c>
      <c r="U3874" s="71">
        <f>IF(AND(N3874=1,V3874=1),IF(COUNTIFS(AKTIVITAS!$B$2:$B$3052,B3874,AKTIVITAS!$E$2:$E$3052,H3874)&gt;0,1,0),0)</f>
        <v>1</v>
      </c>
      <c r="V3874" s="71">
        <f>IFERROR(IF(AND(H3874&gt;=INDEX(PEMAGANG!$J$3:$J$36,MATCH(B3874,PEMAGANG!$C$3:$C$36,0)),H3874&lt;=INDEX(PEMAGANG!$K$3:$K$36,MATCH(B3874,PEMAGANG!$C$3:$C$36,0))),1,0),0)</f>
        <v>1</v>
      </c>
      <c r="W3874" s="71">
        <f t="shared" si="548"/>
        <v>1</v>
      </c>
    </row>
    <row r="3875" spans="1:23" x14ac:dyDescent="0.2">
      <c r="A3875" s="71" t="s">
        <v>198</v>
      </c>
      <c r="B3875" s="71" t="s">
        <v>199</v>
      </c>
      <c r="C3875" s="71" t="s">
        <v>187</v>
      </c>
      <c r="D3875" s="71" t="s">
        <v>185</v>
      </c>
      <c r="E3875" s="71" t="s">
        <v>47</v>
      </c>
      <c r="F3875" s="71" t="s">
        <v>300</v>
      </c>
      <c r="G3875" s="88">
        <v>46262.726805555598</v>
      </c>
      <c r="H3875" s="89">
        <v>46262</v>
      </c>
      <c r="I3875" s="71" t="s">
        <v>564</v>
      </c>
      <c r="J3875" s="71">
        <v>0</v>
      </c>
      <c r="K3875" s="71" t="s">
        <v>302</v>
      </c>
      <c r="L3875" s="71">
        <f t="shared" si="540"/>
        <v>8</v>
      </c>
      <c r="M3875" s="71" t="str">
        <f>IFERROR(INDEX(KALENDER!$D$3:$D$132,MATCH(H3875,KALENDER!$A$3:$A$132,0)),"Di luar periode")</f>
        <v>Hari Kerja</v>
      </c>
      <c r="N3875" s="71">
        <f t="shared" si="541"/>
        <v>0</v>
      </c>
      <c r="O3875" s="71">
        <f t="shared" si="542"/>
        <v>1</v>
      </c>
      <c r="P3875" s="71">
        <f t="shared" si="543"/>
        <v>0</v>
      </c>
      <c r="Q3875" s="71">
        <f t="shared" si="544"/>
        <v>0</v>
      </c>
      <c r="R3875" s="71">
        <f t="shared" si="545"/>
        <v>0</v>
      </c>
      <c r="S3875" s="71">
        <f t="shared" si="546"/>
        <v>0</v>
      </c>
      <c r="T3875" s="71">
        <f t="shared" si="547"/>
        <v>0</v>
      </c>
      <c r="U3875" s="71">
        <f>IF(AND(N3875=1,V3875=1),IF(COUNTIFS(AKTIVITAS!$B$2:$B$3052,B3875,AKTIVITAS!$E$2:$E$3052,H3875)&gt;0,1,0),0)</f>
        <v>0</v>
      </c>
      <c r="V3875" s="71">
        <f>IFERROR(IF(AND(H3875&gt;=INDEX(PEMAGANG!$J$3:$J$36,MATCH(B3875,PEMAGANG!$C$3:$C$36,0)),H3875&lt;=INDEX(PEMAGANG!$K$3:$K$36,MATCH(B3875,PEMAGANG!$C$3:$C$36,0))),1,0),0)</f>
        <v>1</v>
      </c>
      <c r="W3875" s="71">
        <f t="shared" si="548"/>
        <v>0</v>
      </c>
    </row>
    <row r="3876" spans="1:23" x14ac:dyDescent="0.2">
      <c r="A3876" s="71" t="s">
        <v>198</v>
      </c>
      <c r="B3876" s="71" t="s">
        <v>199</v>
      </c>
      <c r="C3876" s="71" t="s">
        <v>187</v>
      </c>
      <c r="D3876" s="71" t="s">
        <v>185</v>
      </c>
      <c r="E3876" s="71" t="s">
        <v>47</v>
      </c>
      <c r="F3876" s="71" t="s">
        <v>298</v>
      </c>
      <c r="G3876" s="88">
        <v>46265.308935185203</v>
      </c>
      <c r="H3876" s="89">
        <v>46265</v>
      </c>
      <c r="I3876" s="71" t="s">
        <v>303</v>
      </c>
      <c r="J3876" s="71">
        <v>-36</v>
      </c>
      <c r="K3876" s="71" t="s">
        <v>302</v>
      </c>
      <c r="L3876" s="71">
        <f t="shared" si="540"/>
        <v>8</v>
      </c>
      <c r="M3876" s="71" t="str">
        <f>IFERROR(INDEX(KALENDER!$D$3:$D$132,MATCH(H3876,KALENDER!$A$3:$A$132,0)),"Di luar periode")</f>
        <v>Hari Kerja</v>
      </c>
      <c r="N3876" s="71">
        <f t="shared" si="541"/>
        <v>1</v>
      </c>
      <c r="O3876" s="71">
        <f t="shared" si="542"/>
        <v>1</v>
      </c>
      <c r="P3876" s="71">
        <f t="shared" si="543"/>
        <v>1</v>
      </c>
      <c r="Q3876" s="71">
        <f t="shared" si="544"/>
        <v>0</v>
      </c>
      <c r="R3876" s="71">
        <f t="shared" si="545"/>
        <v>0</v>
      </c>
      <c r="S3876" s="71">
        <f t="shared" si="546"/>
        <v>0</v>
      </c>
      <c r="T3876" s="71">
        <f t="shared" si="547"/>
        <v>0</v>
      </c>
      <c r="U3876" s="71">
        <f>IF(AND(N3876=1,V3876=1),IF(COUNTIFS(AKTIVITAS!$B$2:$B$3052,B3876,AKTIVITAS!$E$2:$E$3052,H3876)&gt;0,1,0),0)</f>
        <v>1</v>
      </c>
      <c r="V3876" s="71">
        <f>IFERROR(IF(AND(H3876&gt;=INDEX(PEMAGANG!$J$3:$J$36,MATCH(B3876,PEMAGANG!$C$3:$C$36,0)),H3876&lt;=INDEX(PEMAGANG!$K$3:$K$36,MATCH(B3876,PEMAGANG!$C$3:$C$36,0))),1,0),0)</f>
        <v>1</v>
      </c>
      <c r="W3876" s="71">
        <f t="shared" si="548"/>
        <v>1</v>
      </c>
    </row>
    <row r="3877" spans="1:23" x14ac:dyDescent="0.2">
      <c r="A3877" s="71" t="s">
        <v>198</v>
      </c>
      <c r="B3877" s="71" t="s">
        <v>199</v>
      </c>
      <c r="C3877" s="71" t="s">
        <v>187</v>
      </c>
      <c r="D3877" s="71" t="s">
        <v>185</v>
      </c>
      <c r="E3877" s="71" t="s">
        <v>47</v>
      </c>
      <c r="F3877" s="71" t="s">
        <v>300</v>
      </c>
      <c r="G3877" s="88">
        <v>46265.726840277799</v>
      </c>
      <c r="H3877" s="89">
        <v>46265</v>
      </c>
      <c r="I3877" s="71" t="s">
        <v>564</v>
      </c>
      <c r="J3877" s="71">
        <v>0</v>
      </c>
      <c r="K3877" s="71" t="s">
        <v>302</v>
      </c>
      <c r="L3877" s="71">
        <f t="shared" si="540"/>
        <v>8</v>
      </c>
      <c r="M3877" s="71" t="str">
        <f>IFERROR(INDEX(KALENDER!$D$3:$D$132,MATCH(H3877,KALENDER!$A$3:$A$132,0)),"Di luar periode")</f>
        <v>Hari Kerja</v>
      </c>
      <c r="N3877" s="71">
        <f t="shared" si="541"/>
        <v>0</v>
      </c>
      <c r="O3877" s="71">
        <f t="shared" si="542"/>
        <v>1</v>
      </c>
      <c r="P3877" s="71">
        <f t="shared" si="543"/>
        <v>0</v>
      </c>
      <c r="Q3877" s="71">
        <f t="shared" si="544"/>
        <v>0</v>
      </c>
      <c r="R3877" s="71">
        <f t="shared" si="545"/>
        <v>0</v>
      </c>
      <c r="S3877" s="71">
        <f t="shared" si="546"/>
        <v>0</v>
      </c>
      <c r="T3877" s="71">
        <f t="shared" si="547"/>
        <v>0</v>
      </c>
      <c r="U3877" s="71">
        <f>IF(AND(N3877=1,V3877=1),IF(COUNTIFS(AKTIVITAS!$B$2:$B$3052,B3877,AKTIVITAS!$E$2:$E$3052,H3877)&gt;0,1,0),0)</f>
        <v>0</v>
      </c>
      <c r="V3877" s="71">
        <f>IFERROR(IF(AND(H3877&gt;=INDEX(PEMAGANG!$J$3:$J$36,MATCH(B3877,PEMAGANG!$C$3:$C$36,0)),H3877&lt;=INDEX(PEMAGANG!$K$3:$K$36,MATCH(B3877,PEMAGANG!$C$3:$C$36,0))),1,0),0)</f>
        <v>1</v>
      </c>
      <c r="W3877" s="71">
        <f t="shared" si="548"/>
        <v>0</v>
      </c>
    </row>
    <row r="3878" spans="1:23" x14ac:dyDescent="0.2">
      <c r="A3878" s="71" t="s">
        <v>198</v>
      </c>
      <c r="B3878" s="71" t="s">
        <v>199</v>
      </c>
      <c r="C3878" s="71" t="s">
        <v>187</v>
      </c>
      <c r="D3878" s="71" t="s">
        <v>185</v>
      </c>
      <c r="E3878" s="71" t="s">
        <v>47</v>
      </c>
      <c r="F3878" s="71" t="s">
        <v>298</v>
      </c>
      <c r="G3878" s="88">
        <v>46266.309780092597</v>
      </c>
      <c r="H3878" s="89">
        <v>46266</v>
      </c>
      <c r="I3878" s="71" t="s">
        <v>315</v>
      </c>
      <c r="J3878" s="71">
        <v>-34</v>
      </c>
      <c r="K3878" s="71" t="s">
        <v>302</v>
      </c>
      <c r="L3878" s="71">
        <f t="shared" si="540"/>
        <v>9</v>
      </c>
      <c r="M3878" s="71" t="str">
        <f>IFERROR(INDEX(KALENDER!$D$3:$D$132,MATCH(H3878,KALENDER!$A$3:$A$132,0)),"Di luar periode")</f>
        <v>Hari Kerja</v>
      </c>
      <c r="N3878" s="71">
        <f t="shared" si="541"/>
        <v>1</v>
      </c>
      <c r="O3878" s="71">
        <f t="shared" si="542"/>
        <v>1</v>
      </c>
      <c r="P3878" s="71">
        <f t="shared" si="543"/>
        <v>1</v>
      </c>
      <c r="Q3878" s="71">
        <f t="shared" si="544"/>
        <v>0</v>
      </c>
      <c r="R3878" s="71">
        <f t="shared" si="545"/>
        <v>0</v>
      </c>
      <c r="S3878" s="71">
        <f t="shared" si="546"/>
        <v>0</v>
      </c>
      <c r="T3878" s="71">
        <f t="shared" si="547"/>
        <v>0</v>
      </c>
      <c r="U3878" s="71">
        <f>IF(AND(N3878=1,V3878=1),IF(COUNTIFS(AKTIVITAS!$B$2:$B$3052,B3878,AKTIVITAS!$E$2:$E$3052,H3878)&gt;0,1,0),0)</f>
        <v>1</v>
      </c>
      <c r="V3878" s="71">
        <f>IFERROR(IF(AND(H3878&gt;=INDEX(PEMAGANG!$J$3:$J$36,MATCH(B3878,PEMAGANG!$C$3:$C$36,0)),H3878&lt;=INDEX(PEMAGANG!$K$3:$K$36,MATCH(B3878,PEMAGANG!$C$3:$C$36,0))),1,0),0)</f>
        <v>1</v>
      </c>
      <c r="W3878" s="71">
        <f t="shared" si="548"/>
        <v>1</v>
      </c>
    </row>
    <row r="3879" spans="1:23" x14ac:dyDescent="0.2">
      <c r="A3879" s="71" t="s">
        <v>198</v>
      </c>
      <c r="B3879" s="71" t="s">
        <v>199</v>
      </c>
      <c r="C3879" s="71" t="s">
        <v>187</v>
      </c>
      <c r="D3879" s="71" t="s">
        <v>185</v>
      </c>
      <c r="E3879" s="71" t="s">
        <v>47</v>
      </c>
      <c r="F3879" s="71" t="s">
        <v>300</v>
      </c>
      <c r="G3879" s="88">
        <v>46266.698576388902</v>
      </c>
      <c r="H3879" s="89">
        <v>46266</v>
      </c>
      <c r="I3879" s="71" t="s">
        <v>318</v>
      </c>
      <c r="J3879" s="71">
        <v>0</v>
      </c>
      <c r="K3879" s="71" t="s">
        <v>302</v>
      </c>
      <c r="L3879" s="71">
        <f t="shared" si="540"/>
        <v>9</v>
      </c>
      <c r="M3879" s="71" t="str">
        <f>IFERROR(INDEX(KALENDER!$D$3:$D$132,MATCH(H3879,KALENDER!$A$3:$A$132,0)),"Di luar periode")</f>
        <v>Hari Kerja</v>
      </c>
      <c r="N3879" s="71">
        <f t="shared" si="541"/>
        <v>0</v>
      </c>
      <c r="O3879" s="71">
        <f t="shared" si="542"/>
        <v>1</v>
      </c>
      <c r="P3879" s="71">
        <f t="shared" si="543"/>
        <v>0</v>
      </c>
      <c r="Q3879" s="71">
        <f t="shared" si="544"/>
        <v>0</v>
      </c>
      <c r="R3879" s="71">
        <f t="shared" si="545"/>
        <v>0</v>
      </c>
      <c r="S3879" s="71">
        <f t="shared" si="546"/>
        <v>0</v>
      </c>
      <c r="T3879" s="71">
        <f t="shared" si="547"/>
        <v>0</v>
      </c>
      <c r="U3879" s="71">
        <f>IF(AND(N3879=1,V3879=1),IF(COUNTIFS(AKTIVITAS!$B$2:$B$3052,B3879,AKTIVITAS!$E$2:$E$3052,H3879)&gt;0,1,0),0)</f>
        <v>0</v>
      </c>
      <c r="V3879" s="71">
        <f>IFERROR(IF(AND(H3879&gt;=INDEX(PEMAGANG!$J$3:$J$36,MATCH(B3879,PEMAGANG!$C$3:$C$36,0)),H3879&lt;=INDEX(PEMAGANG!$K$3:$K$36,MATCH(B3879,PEMAGANG!$C$3:$C$36,0))),1,0),0)</f>
        <v>1</v>
      </c>
      <c r="W3879" s="71">
        <f t="shared" si="548"/>
        <v>0</v>
      </c>
    </row>
    <row r="3880" spans="1:23" x14ac:dyDescent="0.2">
      <c r="A3880" s="71" t="s">
        <v>198</v>
      </c>
      <c r="B3880" s="71" t="s">
        <v>199</v>
      </c>
      <c r="C3880" s="71" t="s">
        <v>187</v>
      </c>
      <c r="D3880" s="71" t="s">
        <v>185</v>
      </c>
      <c r="E3880" s="71" t="s">
        <v>47</v>
      </c>
      <c r="F3880" s="71" t="s">
        <v>298</v>
      </c>
      <c r="G3880" s="88">
        <v>46267.307488425897</v>
      </c>
      <c r="H3880" s="89">
        <v>46267</v>
      </c>
      <c r="I3880" s="71" t="s">
        <v>313</v>
      </c>
      <c r="J3880" s="71">
        <v>-38</v>
      </c>
      <c r="K3880" s="71" t="s">
        <v>302</v>
      </c>
      <c r="L3880" s="71">
        <f t="shared" si="540"/>
        <v>9</v>
      </c>
      <c r="M3880" s="71" t="str">
        <f>IFERROR(INDEX(KALENDER!$D$3:$D$132,MATCH(H3880,KALENDER!$A$3:$A$132,0)),"Di luar periode")</f>
        <v>Hari Kerja</v>
      </c>
      <c r="N3880" s="71">
        <f t="shared" si="541"/>
        <v>1</v>
      </c>
      <c r="O3880" s="71">
        <f t="shared" si="542"/>
        <v>1</v>
      </c>
      <c r="P3880" s="71">
        <f t="shared" si="543"/>
        <v>1</v>
      </c>
      <c r="Q3880" s="71">
        <f t="shared" si="544"/>
        <v>0</v>
      </c>
      <c r="R3880" s="71">
        <f t="shared" si="545"/>
        <v>0</v>
      </c>
      <c r="S3880" s="71">
        <f t="shared" si="546"/>
        <v>0</v>
      </c>
      <c r="T3880" s="71">
        <f t="shared" si="547"/>
        <v>0</v>
      </c>
      <c r="U3880" s="71">
        <f>IF(AND(N3880=1,V3880=1),IF(COUNTIFS(AKTIVITAS!$B$2:$B$3052,B3880,AKTIVITAS!$E$2:$E$3052,H3880)&gt;0,1,0),0)</f>
        <v>1</v>
      </c>
      <c r="V3880" s="71">
        <f>IFERROR(IF(AND(H3880&gt;=INDEX(PEMAGANG!$J$3:$J$36,MATCH(B3880,PEMAGANG!$C$3:$C$36,0)),H3880&lt;=INDEX(PEMAGANG!$K$3:$K$36,MATCH(B3880,PEMAGANG!$C$3:$C$36,0))),1,0),0)</f>
        <v>1</v>
      </c>
      <c r="W3880" s="71">
        <f t="shared" si="548"/>
        <v>1</v>
      </c>
    </row>
    <row r="3881" spans="1:23" x14ac:dyDescent="0.2">
      <c r="A3881" s="71" t="s">
        <v>198</v>
      </c>
      <c r="B3881" s="71" t="s">
        <v>199</v>
      </c>
      <c r="C3881" s="71" t="s">
        <v>187</v>
      </c>
      <c r="D3881" s="71" t="s">
        <v>185</v>
      </c>
      <c r="E3881" s="71" t="s">
        <v>47</v>
      </c>
      <c r="F3881" s="71" t="s">
        <v>300</v>
      </c>
      <c r="G3881" s="88">
        <v>46267.697187500002</v>
      </c>
      <c r="H3881" s="89">
        <v>46267</v>
      </c>
      <c r="I3881" s="71" t="s">
        <v>347</v>
      </c>
      <c r="J3881" s="71">
        <v>0</v>
      </c>
      <c r="K3881" s="71" t="s">
        <v>302</v>
      </c>
      <c r="L3881" s="71">
        <f t="shared" si="540"/>
        <v>9</v>
      </c>
      <c r="M3881" s="71" t="str">
        <f>IFERROR(INDEX(KALENDER!$D$3:$D$132,MATCH(H3881,KALENDER!$A$3:$A$132,0)),"Di luar periode")</f>
        <v>Hari Kerja</v>
      </c>
      <c r="N3881" s="71">
        <f t="shared" si="541"/>
        <v>0</v>
      </c>
      <c r="O3881" s="71">
        <f t="shared" si="542"/>
        <v>1</v>
      </c>
      <c r="P3881" s="71">
        <f t="shared" si="543"/>
        <v>0</v>
      </c>
      <c r="Q3881" s="71">
        <f t="shared" si="544"/>
        <v>0</v>
      </c>
      <c r="R3881" s="71">
        <f t="shared" si="545"/>
        <v>0</v>
      </c>
      <c r="S3881" s="71">
        <f t="shared" si="546"/>
        <v>0</v>
      </c>
      <c r="T3881" s="71">
        <f t="shared" si="547"/>
        <v>0</v>
      </c>
      <c r="U3881" s="71">
        <f>IF(AND(N3881=1,V3881=1),IF(COUNTIFS(AKTIVITAS!$B$2:$B$3052,B3881,AKTIVITAS!$E$2:$E$3052,H3881)&gt;0,1,0),0)</f>
        <v>0</v>
      </c>
      <c r="V3881" s="71">
        <f>IFERROR(IF(AND(H3881&gt;=INDEX(PEMAGANG!$J$3:$J$36,MATCH(B3881,PEMAGANG!$C$3:$C$36,0)),H3881&lt;=INDEX(PEMAGANG!$K$3:$K$36,MATCH(B3881,PEMAGANG!$C$3:$C$36,0))),1,0),0)</f>
        <v>1</v>
      </c>
      <c r="W3881" s="71">
        <f t="shared" si="548"/>
        <v>0</v>
      </c>
    </row>
    <row r="3882" spans="1:23" x14ac:dyDescent="0.2">
      <c r="A3882" s="71" t="s">
        <v>198</v>
      </c>
      <c r="B3882" s="71" t="s">
        <v>199</v>
      </c>
      <c r="C3882" s="71" t="s">
        <v>187</v>
      </c>
      <c r="D3882" s="71" t="s">
        <v>185</v>
      </c>
      <c r="E3882" s="71" t="s">
        <v>47</v>
      </c>
      <c r="F3882" s="71" t="s">
        <v>298</v>
      </c>
      <c r="G3882" s="88">
        <v>46268.309143518498</v>
      </c>
      <c r="H3882" s="89">
        <v>46268</v>
      </c>
      <c r="I3882" s="71" t="s">
        <v>307</v>
      </c>
      <c r="J3882" s="71">
        <v>-35</v>
      </c>
      <c r="K3882" s="71" t="s">
        <v>302</v>
      </c>
      <c r="L3882" s="71">
        <f t="shared" si="540"/>
        <v>9</v>
      </c>
      <c r="M3882" s="71" t="str">
        <f>IFERROR(INDEX(KALENDER!$D$3:$D$132,MATCH(H3882,KALENDER!$A$3:$A$132,0)),"Di luar periode")</f>
        <v>Hari Kerja</v>
      </c>
      <c r="N3882" s="71">
        <f t="shared" si="541"/>
        <v>1</v>
      </c>
      <c r="O3882" s="71">
        <f t="shared" si="542"/>
        <v>1</v>
      </c>
      <c r="P3882" s="71">
        <f t="shared" si="543"/>
        <v>1</v>
      </c>
      <c r="Q3882" s="71">
        <f t="shared" si="544"/>
        <v>0</v>
      </c>
      <c r="R3882" s="71">
        <f t="shared" si="545"/>
        <v>0</v>
      </c>
      <c r="S3882" s="71">
        <f t="shared" si="546"/>
        <v>0</v>
      </c>
      <c r="T3882" s="71">
        <f t="shared" si="547"/>
        <v>0</v>
      </c>
      <c r="U3882" s="71">
        <f>IF(AND(N3882=1,V3882=1),IF(COUNTIFS(AKTIVITAS!$B$2:$B$3052,B3882,AKTIVITAS!$E$2:$E$3052,H3882)&gt;0,1,0),0)</f>
        <v>1</v>
      </c>
      <c r="V3882" s="71">
        <f>IFERROR(IF(AND(H3882&gt;=INDEX(PEMAGANG!$J$3:$J$36,MATCH(B3882,PEMAGANG!$C$3:$C$36,0)),H3882&lt;=INDEX(PEMAGANG!$K$3:$K$36,MATCH(B3882,PEMAGANG!$C$3:$C$36,0))),1,0),0)</f>
        <v>1</v>
      </c>
      <c r="W3882" s="71">
        <f t="shared" si="548"/>
        <v>1</v>
      </c>
    </row>
    <row r="3883" spans="1:23" x14ac:dyDescent="0.2">
      <c r="A3883" s="71" t="s">
        <v>198</v>
      </c>
      <c r="B3883" s="71" t="s">
        <v>199</v>
      </c>
      <c r="C3883" s="71" t="s">
        <v>187</v>
      </c>
      <c r="D3883" s="71" t="s">
        <v>185</v>
      </c>
      <c r="E3883" s="71" t="s">
        <v>47</v>
      </c>
      <c r="F3883" s="71" t="s">
        <v>300</v>
      </c>
      <c r="G3883" s="88">
        <v>46268.742037037002</v>
      </c>
      <c r="H3883" s="89">
        <v>46268</v>
      </c>
      <c r="I3883" s="71" t="s">
        <v>379</v>
      </c>
      <c r="J3883" s="71">
        <v>0</v>
      </c>
      <c r="K3883" s="71" t="s">
        <v>302</v>
      </c>
      <c r="L3883" s="71">
        <f t="shared" si="540"/>
        <v>9</v>
      </c>
      <c r="M3883" s="71" t="str">
        <f>IFERROR(INDEX(KALENDER!$D$3:$D$132,MATCH(H3883,KALENDER!$A$3:$A$132,0)),"Di luar periode")</f>
        <v>Hari Kerja</v>
      </c>
      <c r="N3883" s="71">
        <f t="shared" si="541"/>
        <v>0</v>
      </c>
      <c r="O3883" s="71">
        <f t="shared" si="542"/>
        <v>1</v>
      </c>
      <c r="P3883" s="71">
        <f t="shared" si="543"/>
        <v>0</v>
      </c>
      <c r="Q3883" s="71">
        <f t="shared" si="544"/>
        <v>0</v>
      </c>
      <c r="R3883" s="71">
        <f t="shared" si="545"/>
        <v>0</v>
      </c>
      <c r="S3883" s="71">
        <f t="shared" si="546"/>
        <v>0</v>
      </c>
      <c r="T3883" s="71">
        <f t="shared" si="547"/>
        <v>0</v>
      </c>
      <c r="U3883" s="71">
        <f>IF(AND(N3883=1,V3883=1),IF(COUNTIFS(AKTIVITAS!$B$2:$B$3052,B3883,AKTIVITAS!$E$2:$E$3052,H3883)&gt;0,1,0),0)</f>
        <v>0</v>
      </c>
      <c r="V3883" s="71">
        <f>IFERROR(IF(AND(H3883&gt;=INDEX(PEMAGANG!$J$3:$J$36,MATCH(B3883,PEMAGANG!$C$3:$C$36,0)),H3883&lt;=INDEX(PEMAGANG!$K$3:$K$36,MATCH(B3883,PEMAGANG!$C$3:$C$36,0))),1,0),0)</f>
        <v>1</v>
      </c>
      <c r="W3883" s="71">
        <f t="shared" si="548"/>
        <v>0</v>
      </c>
    </row>
    <row r="3884" spans="1:23" x14ac:dyDescent="0.2">
      <c r="A3884" s="71" t="s">
        <v>198</v>
      </c>
      <c r="B3884" s="71" t="s">
        <v>199</v>
      </c>
      <c r="C3884" s="71" t="s">
        <v>187</v>
      </c>
      <c r="D3884" s="71" t="s">
        <v>185</v>
      </c>
      <c r="E3884" s="71" t="s">
        <v>47</v>
      </c>
      <c r="F3884" s="71" t="s">
        <v>298</v>
      </c>
      <c r="G3884" s="88">
        <v>46269.324849536999</v>
      </c>
      <c r="H3884" s="89">
        <v>46269</v>
      </c>
      <c r="I3884" s="71" t="s">
        <v>695</v>
      </c>
      <c r="J3884" s="71">
        <v>-13</v>
      </c>
      <c r="K3884" s="71" t="s">
        <v>302</v>
      </c>
      <c r="L3884" s="71">
        <f t="shared" si="540"/>
        <v>9</v>
      </c>
      <c r="M3884" s="71" t="str">
        <f>IFERROR(INDEX(KALENDER!$D$3:$D$132,MATCH(H3884,KALENDER!$A$3:$A$132,0)),"Di luar periode")</f>
        <v>Hari Kerja</v>
      </c>
      <c r="N3884" s="71">
        <f t="shared" si="541"/>
        <v>1</v>
      </c>
      <c r="O3884" s="71">
        <f t="shared" si="542"/>
        <v>1</v>
      </c>
      <c r="P3884" s="71">
        <f t="shared" si="543"/>
        <v>1</v>
      </c>
      <c r="Q3884" s="71">
        <f t="shared" si="544"/>
        <v>0</v>
      </c>
      <c r="R3884" s="71">
        <f t="shared" si="545"/>
        <v>0</v>
      </c>
      <c r="S3884" s="71">
        <f t="shared" si="546"/>
        <v>0</v>
      </c>
      <c r="T3884" s="71">
        <f t="shared" si="547"/>
        <v>0</v>
      </c>
      <c r="U3884" s="71">
        <f>IF(AND(N3884=1,V3884=1),IF(COUNTIFS(AKTIVITAS!$B$2:$B$3052,B3884,AKTIVITAS!$E$2:$E$3052,H3884)&gt;0,1,0),0)</f>
        <v>1</v>
      </c>
      <c r="V3884" s="71">
        <f>IFERROR(IF(AND(H3884&gt;=INDEX(PEMAGANG!$J$3:$J$36,MATCH(B3884,PEMAGANG!$C$3:$C$36,0)),H3884&lt;=INDEX(PEMAGANG!$K$3:$K$36,MATCH(B3884,PEMAGANG!$C$3:$C$36,0))),1,0),0)</f>
        <v>1</v>
      </c>
      <c r="W3884" s="71">
        <f t="shared" si="548"/>
        <v>1</v>
      </c>
    </row>
    <row r="3885" spans="1:23" x14ac:dyDescent="0.2">
      <c r="A3885" s="71" t="s">
        <v>198</v>
      </c>
      <c r="B3885" s="71" t="s">
        <v>199</v>
      </c>
      <c r="C3885" s="71" t="s">
        <v>187</v>
      </c>
      <c r="D3885" s="71" t="s">
        <v>185</v>
      </c>
      <c r="E3885" s="71" t="s">
        <v>47</v>
      </c>
      <c r="F3885" s="71" t="s">
        <v>300</v>
      </c>
      <c r="G3885" s="88">
        <v>46269.695335648197</v>
      </c>
      <c r="H3885" s="89">
        <v>46269</v>
      </c>
      <c r="I3885" s="71" t="s">
        <v>319</v>
      </c>
      <c r="J3885" s="71">
        <v>0</v>
      </c>
      <c r="K3885" s="71" t="s">
        <v>302</v>
      </c>
      <c r="L3885" s="71">
        <f t="shared" si="540"/>
        <v>9</v>
      </c>
      <c r="M3885" s="71" t="str">
        <f>IFERROR(INDEX(KALENDER!$D$3:$D$132,MATCH(H3885,KALENDER!$A$3:$A$132,0)),"Di luar periode")</f>
        <v>Hari Kerja</v>
      </c>
      <c r="N3885" s="71">
        <f t="shared" si="541"/>
        <v>0</v>
      </c>
      <c r="O3885" s="71">
        <f t="shared" si="542"/>
        <v>1</v>
      </c>
      <c r="P3885" s="71">
        <f t="shared" si="543"/>
        <v>0</v>
      </c>
      <c r="Q3885" s="71">
        <f t="shared" si="544"/>
        <v>0</v>
      </c>
      <c r="R3885" s="71">
        <f t="shared" si="545"/>
        <v>0</v>
      </c>
      <c r="S3885" s="71">
        <f t="shared" si="546"/>
        <v>0</v>
      </c>
      <c r="T3885" s="71">
        <f t="shared" si="547"/>
        <v>0</v>
      </c>
      <c r="U3885" s="71">
        <f>IF(AND(N3885=1,V3885=1),IF(COUNTIFS(AKTIVITAS!$B$2:$B$3052,B3885,AKTIVITAS!$E$2:$E$3052,H3885)&gt;0,1,0),0)</f>
        <v>0</v>
      </c>
      <c r="V3885" s="71">
        <f>IFERROR(IF(AND(H3885&gt;=INDEX(PEMAGANG!$J$3:$J$36,MATCH(B3885,PEMAGANG!$C$3:$C$36,0)),H3885&lt;=INDEX(PEMAGANG!$K$3:$K$36,MATCH(B3885,PEMAGANG!$C$3:$C$36,0))),1,0),0)</f>
        <v>1</v>
      </c>
      <c r="W3885" s="71">
        <f t="shared" si="548"/>
        <v>0</v>
      </c>
    </row>
    <row r="3886" spans="1:23" x14ac:dyDescent="0.2">
      <c r="A3886" s="71" t="s">
        <v>198</v>
      </c>
      <c r="B3886" s="71" t="s">
        <v>199</v>
      </c>
      <c r="C3886" s="71" t="s">
        <v>187</v>
      </c>
      <c r="D3886" s="71" t="s">
        <v>185</v>
      </c>
      <c r="E3886" s="71" t="s">
        <v>47</v>
      </c>
      <c r="F3886" s="71" t="s">
        <v>298</v>
      </c>
      <c r="G3886" s="88">
        <v>46272.307881944398</v>
      </c>
      <c r="H3886" s="89">
        <v>46272</v>
      </c>
      <c r="I3886" s="71" t="s">
        <v>311</v>
      </c>
      <c r="J3886" s="71">
        <v>-37</v>
      </c>
      <c r="K3886" s="71" t="s">
        <v>302</v>
      </c>
      <c r="L3886" s="71">
        <f t="shared" si="540"/>
        <v>9</v>
      </c>
      <c r="M3886" s="71" t="str">
        <f>IFERROR(INDEX(KALENDER!$D$3:$D$132,MATCH(H3886,KALENDER!$A$3:$A$132,0)),"Di luar periode")</f>
        <v>Hari Kerja</v>
      </c>
      <c r="N3886" s="71">
        <f t="shared" si="541"/>
        <v>1</v>
      </c>
      <c r="O3886" s="71">
        <f t="shared" si="542"/>
        <v>1</v>
      </c>
      <c r="P3886" s="71">
        <f t="shared" si="543"/>
        <v>1</v>
      </c>
      <c r="Q3886" s="71">
        <f t="shared" si="544"/>
        <v>0</v>
      </c>
      <c r="R3886" s="71">
        <f t="shared" si="545"/>
        <v>0</v>
      </c>
      <c r="S3886" s="71">
        <f t="shared" si="546"/>
        <v>0</v>
      </c>
      <c r="T3886" s="71">
        <f t="shared" si="547"/>
        <v>0</v>
      </c>
      <c r="U3886" s="71">
        <f>IF(AND(N3886=1,V3886=1),IF(COUNTIFS(AKTIVITAS!$B$2:$B$3052,B3886,AKTIVITAS!$E$2:$E$3052,H3886)&gt;0,1,0),0)</f>
        <v>1</v>
      </c>
      <c r="V3886" s="71">
        <f>IFERROR(IF(AND(H3886&gt;=INDEX(PEMAGANG!$J$3:$J$36,MATCH(B3886,PEMAGANG!$C$3:$C$36,0)),H3886&lt;=INDEX(PEMAGANG!$K$3:$K$36,MATCH(B3886,PEMAGANG!$C$3:$C$36,0))),1,0),0)</f>
        <v>1</v>
      </c>
      <c r="W3886" s="71">
        <f t="shared" si="548"/>
        <v>1</v>
      </c>
    </row>
    <row r="3887" spans="1:23" x14ac:dyDescent="0.2">
      <c r="A3887" s="71" t="s">
        <v>198</v>
      </c>
      <c r="B3887" s="71" t="s">
        <v>199</v>
      </c>
      <c r="C3887" s="71" t="s">
        <v>187</v>
      </c>
      <c r="D3887" s="71" t="s">
        <v>185</v>
      </c>
      <c r="E3887" s="71" t="s">
        <v>47</v>
      </c>
      <c r="F3887" s="71" t="s">
        <v>300</v>
      </c>
      <c r="G3887" s="88">
        <v>46272.694849537002</v>
      </c>
      <c r="H3887" s="89">
        <v>46272</v>
      </c>
      <c r="I3887" s="71" t="s">
        <v>343</v>
      </c>
      <c r="J3887" s="71">
        <v>0</v>
      </c>
      <c r="K3887" s="71" t="s">
        <v>302</v>
      </c>
      <c r="L3887" s="71">
        <f t="shared" si="540"/>
        <v>9</v>
      </c>
      <c r="M3887" s="71" t="str">
        <f>IFERROR(INDEX(KALENDER!$D$3:$D$132,MATCH(H3887,KALENDER!$A$3:$A$132,0)),"Di luar periode")</f>
        <v>Hari Kerja</v>
      </c>
      <c r="N3887" s="71">
        <f t="shared" si="541"/>
        <v>0</v>
      </c>
      <c r="O3887" s="71">
        <f t="shared" si="542"/>
        <v>1</v>
      </c>
      <c r="P3887" s="71">
        <f t="shared" si="543"/>
        <v>0</v>
      </c>
      <c r="Q3887" s="71">
        <f t="shared" si="544"/>
        <v>0</v>
      </c>
      <c r="R3887" s="71">
        <f t="shared" si="545"/>
        <v>0</v>
      </c>
      <c r="S3887" s="71">
        <f t="shared" si="546"/>
        <v>0</v>
      </c>
      <c r="T3887" s="71">
        <f t="shared" si="547"/>
        <v>0</v>
      </c>
      <c r="U3887" s="71">
        <f>IF(AND(N3887=1,V3887=1),IF(COUNTIFS(AKTIVITAS!$B$2:$B$3052,B3887,AKTIVITAS!$E$2:$E$3052,H3887)&gt;0,1,0),0)</f>
        <v>0</v>
      </c>
      <c r="V3887" s="71">
        <f>IFERROR(IF(AND(H3887&gt;=INDEX(PEMAGANG!$J$3:$J$36,MATCH(B3887,PEMAGANG!$C$3:$C$36,0)),H3887&lt;=INDEX(PEMAGANG!$K$3:$K$36,MATCH(B3887,PEMAGANG!$C$3:$C$36,0))),1,0),0)</f>
        <v>1</v>
      </c>
      <c r="W3887" s="71">
        <f t="shared" si="548"/>
        <v>0</v>
      </c>
    </row>
    <row r="3888" spans="1:23" x14ac:dyDescent="0.2">
      <c r="A3888" s="71" t="s">
        <v>198</v>
      </c>
      <c r="B3888" s="71" t="s">
        <v>199</v>
      </c>
      <c r="C3888" s="71" t="s">
        <v>187</v>
      </c>
      <c r="D3888" s="71" t="s">
        <v>185</v>
      </c>
      <c r="E3888" s="71" t="s">
        <v>47</v>
      </c>
      <c r="F3888" s="71" t="s">
        <v>298</v>
      </c>
      <c r="G3888" s="88">
        <v>46273.308923611097</v>
      </c>
      <c r="H3888" s="89">
        <v>46273</v>
      </c>
      <c r="I3888" s="71" t="s">
        <v>303</v>
      </c>
      <c r="J3888" s="71">
        <v>-36</v>
      </c>
      <c r="K3888" s="71" t="s">
        <v>302</v>
      </c>
      <c r="L3888" s="71">
        <f t="shared" si="540"/>
        <v>9</v>
      </c>
      <c r="M3888" s="71" t="str">
        <f>IFERROR(INDEX(KALENDER!$D$3:$D$132,MATCH(H3888,KALENDER!$A$3:$A$132,0)),"Di luar periode")</f>
        <v>Hari Kerja</v>
      </c>
      <c r="N3888" s="71">
        <f t="shared" si="541"/>
        <v>1</v>
      </c>
      <c r="O3888" s="71">
        <f t="shared" si="542"/>
        <v>1</v>
      </c>
      <c r="P3888" s="71">
        <f t="shared" si="543"/>
        <v>1</v>
      </c>
      <c r="Q3888" s="71">
        <f t="shared" si="544"/>
        <v>0</v>
      </c>
      <c r="R3888" s="71">
        <f t="shared" si="545"/>
        <v>0</v>
      </c>
      <c r="S3888" s="71">
        <f t="shared" si="546"/>
        <v>0</v>
      </c>
      <c r="T3888" s="71">
        <f t="shared" si="547"/>
        <v>0</v>
      </c>
      <c r="U3888" s="71">
        <f>IF(AND(N3888=1,V3888=1),IF(COUNTIFS(AKTIVITAS!$B$2:$B$3052,B3888,AKTIVITAS!$E$2:$E$3052,H3888)&gt;0,1,0),0)</f>
        <v>1</v>
      </c>
      <c r="V3888" s="71">
        <f>IFERROR(IF(AND(H3888&gt;=INDEX(PEMAGANG!$J$3:$J$36,MATCH(B3888,PEMAGANG!$C$3:$C$36,0)),H3888&lt;=INDEX(PEMAGANG!$K$3:$K$36,MATCH(B3888,PEMAGANG!$C$3:$C$36,0))),1,0),0)</f>
        <v>1</v>
      </c>
      <c r="W3888" s="71">
        <f t="shared" si="548"/>
        <v>1</v>
      </c>
    </row>
    <row r="3889" spans="1:23" x14ac:dyDescent="0.2">
      <c r="A3889" s="71" t="s">
        <v>198</v>
      </c>
      <c r="B3889" s="71" t="s">
        <v>199</v>
      </c>
      <c r="C3889" s="71" t="s">
        <v>187</v>
      </c>
      <c r="D3889" s="71" t="s">
        <v>185</v>
      </c>
      <c r="E3889" s="71" t="s">
        <v>47</v>
      </c>
      <c r="F3889" s="71" t="s">
        <v>300</v>
      </c>
      <c r="G3889" s="88">
        <v>46273.707037036998</v>
      </c>
      <c r="H3889" s="89">
        <v>46273</v>
      </c>
      <c r="I3889" s="71" t="s">
        <v>579</v>
      </c>
      <c r="J3889" s="71">
        <v>0</v>
      </c>
      <c r="K3889" s="71" t="s">
        <v>302</v>
      </c>
      <c r="L3889" s="71">
        <f t="shared" si="540"/>
        <v>9</v>
      </c>
      <c r="M3889" s="71" t="str">
        <f>IFERROR(INDEX(KALENDER!$D$3:$D$132,MATCH(H3889,KALENDER!$A$3:$A$132,0)),"Di luar periode")</f>
        <v>Hari Kerja</v>
      </c>
      <c r="N3889" s="71">
        <f t="shared" si="541"/>
        <v>0</v>
      </c>
      <c r="O3889" s="71">
        <f t="shared" si="542"/>
        <v>1</v>
      </c>
      <c r="P3889" s="71">
        <f t="shared" si="543"/>
        <v>0</v>
      </c>
      <c r="Q3889" s="71">
        <f t="shared" si="544"/>
        <v>0</v>
      </c>
      <c r="R3889" s="71">
        <f t="shared" si="545"/>
        <v>0</v>
      </c>
      <c r="S3889" s="71">
        <f t="shared" si="546"/>
        <v>0</v>
      </c>
      <c r="T3889" s="71">
        <f t="shared" si="547"/>
        <v>0</v>
      </c>
      <c r="U3889" s="71">
        <f>IF(AND(N3889=1,V3889=1),IF(COUNTIFS(AKTIVITAS!$B$2:$B$3052,B3889,AKTIVITAS!$E$2:$E$3052,H3889)&gt;0,1,0),0)</f>
        <v>0</v>
      </c>
      <c r="V3889" s="71">
        <f>IFERROR(IF(AND(H3889&gt;=INDEX(PEMAGANG!$J$3:$J$36,MATCH(B3889,PEMAGANG!$C$3:$C$36,0)),H3889&lt;=INDEX(PEMAGANG!$K$3:$K$36,MATCH(B3889,PEMAGANG!$C$3:$C$36,0))),1,0),0)</f>
        <v>1</v>
      </c>
      <c r="W3889" s="71">
        <f t="shared" si="548"/>
        <v>0</v>
      </c>
    </row>
    <row r="3890" spans="1:23" x14ac:dyDescent="0.2">
      <c r="A3890" s="71" t="s">
        <v>198</v>
      </c>
      <c r="B3890" s="71" t="s">
        <v>199</v>
      </c>
      <c r="C3890" s="71" t="s">
        <v>187</v>
      </c>
      <c r="D3890" s="71" t="s">
        <v>185</v>
      </c>
      <c r="E3890" s="71" t="s">
        <v>47</v>
      </c>
      <c r="F3890" s="71" t="s">
        <v>298</v>
      </c>
      <c r="G3890" s="88">
        <v>46274.3069328704</v>
      </c>
      <c r="H3890" s="89">
        <v>46274</v>
      </c>
      <c r="I3890" s="71" t="s">
        <v>305</v>
      </c>
      <c r="J3890" s="71">
        <v>-39</v>
      </c>
      <c r="K3890" s="71" t="s">
        <v>302</v>
      </c>
      <c r="L3890" s="71">
        <f t="shared" si="540"/>
        <v>9</v>
      </c>
      <c r="M3890" s="71" t="str">
        <f>IFERROR(INDEX(KALENDER!$D$3:$D$132,MATCH(H3890,KALENDER!$A$3:$A$132,0)),"Di luar periode")</f>
        <v>Hari Kerja</v>
      </c>
      <c r="N3890" s="71">
        <f t="shared" si="541"/>
        <v>1</v>
      </c>
      <c r="O3890" s="71">
        <f t="shared" si="542"/>
        <v>1</v>
      </c>
      <c r="P3890" s="71">
        <f t="shared" si="543"/>
        <v>1</v>
      </c>
      <c r="Q3890" s="71">
        <f t="shared" si="544"/>
        <v>0</v>
      </c>
      <c r="R3890" s="71">
        <f t="shared" si="545"/>
        <v>0</v>
      </c>
      <c r="S3890" s="71">
        <f t="shared" si="546"/>
        <v>0</v>
      </c>
      <c r="T3890" s="71">
        <f t="shared" si="547"/>
        <v>0</v>
      </c>
      <c r="U3890" s="71">
        <f>IF(AND(N3890=1,V3890=1),IF(COUNTIFS(AKTIVITAS!$B$2:$B$3052,B3890,AKTIVITAS!$E$2:$E$3052,H3890)&gt;0,1,0),0)</f>
        <v>1</v>
      </c>
      <c r="V3890" s="71">
        <f>IFERROR(IF(AND(H3890&gt;=INDEX(PEMAGANG!$J$3:$J$36,MATCH(B3890,PEMAGANG!$C$3:$C$36,0)),H3890&lt;=INDEX(PEMAGANG!$K$3:$K$36,MATCH(B3890,PEMAGANG!$C$3:$C$36,0))),1,0),0)</f>
        <v>1</v>
      </c>
      <c r="W3890" s="71">
        <f t="shared" si="548"/>
        <v>1</v>
      </c>
    </row>
    <row r="3891" spans="1:23" x14ac:dyDescent="0.2">
      <c r="A3891" s="71" t="s">
        <v>198</v>
      </c>
      <c r="B3891" s="71" t="s">
        <v>199</v>
      </c>
      <c r="C3891" s="71" t="s">
        <v>187</v>
      </c>
      <c r="D3891" s="71" t="s">
        <v>185</v>
      </c>
      <c r="E3891" s="71" t="s">
        <v>47</v>
      </c>
      <c r="F3891" s="71" t="s">
        <v>300</v>
      </c>
      <c r="G3891" s="88">
        <v>46274.689837963</v>
      </c>
      <c r="H3891" s="89">
        <v>46274</v>
      </c>
      <c r="I3891" s="71" t="s">
        <v>316</v>
      </c>
      <c r="J3891" s="71">
        <v>0</v>
      </c>
      <c r="K3891" s="71" t="s">
        <v>302</v>
      </c>
      <c r="L3891" s="71">
        <f t="shared" si="540"/>
        <v>9</v>
      </c>
      <c r="M3891" s="71" t="str">
        <f>IFERROR(INDEX(KALENDER!$D$3:$D$132,MATCH(H3891,KALENDER!$A$3:$A$132,0)),"Di luar periode")</f>
        <v>Hari Kerja</v>
      </c>
      <c r="N3891" s="71">
        <f t="shared" si="541"/>
        <v>0</v>
      </c>
      <c r="O3891" s="71">
        <f t="shared" si="542"/>
        <v>1</v>
      </c>
      <c r="P3891" s="71">
        <f t="shared" si="543"/>
        <v>0</v>
      </c>
      <c r="Q3891" s="71">
        <f t="shared" si="544"/>
        <v>0</v>
      </c>
      <c r="R3891" s="71">
        <f t="shared" si="545"/>
        <v>0</v>
      </c>
      <c r="S3891" s="71">
        <f t="shared" si="546"/>
        <v>0</v>
      </c>
      <c r="T3891" s="71">
        <f t="shared" si="547"/>
        <v>0</v>
      </c>
      <c r="U3891" s="71">
        <f>IF(AND(N3891=1,V3891=1),IF(COUNTIFS(AKTIVITAS!$B$2:$B$3052,B3891,AKTIVITAS!$E$2:$E$3052,H3891)&gt;0,1,0),0)</f>
        <v>0</v>
      </c>
      <c r="V3891" s="71">
        <f>IFERROR(IF(AND(H3891&gt;=INDEX(PEMAGANG!$J$3:$J$36,MATCH(B3891,PEMAGANG!$C$3:$C$36,0)),H3891&lt;=INDEX(PEMAGANG!$K$3:$K$36,MATCH(B3891,PEMAGANG!$C$3:$C$36,0))),1,0),0)</f>
        <v>1</v>
      </c>
      <c r="W3891" s="71">
        <f t="shared" si="548"/>
        <v>0</v>
      </c>
    </row>
    <row r="3892" spans="1:23" x14ac:dyDescent="0.2">
      <c r="A3892" s="71" t="s">
        <v>198</v>
      </c>
      <c r="B3892" s="71" t="s">
        <v>199</v>
      </c>
      <c r="C3892" s="71" t="s">
        <v>187</v>
      </c>
      <c r="D3892" s="71" t="s">
        <v>185</v>
      </c>
      <c r="E3892" s="71" t="s">
        <v>47</v>
      </c>
      <c r="F3892" s="71" t="s">
        <v>298</v>
      </c>
      <c r="G3892" s="88">
        <v>46275.308854166702</v>
      </c>
      <c r="H3892" s="89">
        <v>46275</v>
      </c>
      <c r="I3892" s="71" t="s">
        <v>303</v>
      </c>
      <c r="J3892" s="71">
        <v>-36</v>
      </c>
      <c r="K3892" s="71" t="s">
        <v>302</v>
      </c>
      <c r="L3892" s="71">
        <f t="shared" si="540"/>
        <v>9</v>
      </c>
      <c r="M3892" s="71" t="str">
        <f>IFERROR(INDEX(KALENDER!$D$3:$D$132,MATCH(H3892,KALENDER!$A$3:$A$132,0)),"Di luar periode")</f>
        <v>Hari Kerja</v>
      </c>
      <c r="N3892" s="71">
        <f t="shared" si="541"/>
        <v>1</v>
      </c>
      <c r="O3892" s="71">
        <f t="shared" si="542"/>
        <v>1</v>
      </c>
      <c r="P3892" s="71">
        <f t="shared" si="543"/>
        <v>1</v>
      </c>
      <c r="Q3892" s="71">
        <f t="shared" si="544"/>
        <v>0</v>
      </c>
      <c r="R3892" s="71">
        <f t="shared" si="545"/>
        <v>0</v>
      </c>
      <c r="S3892" s="71">
        <f t="shared" si="546"/>
        <v>0</v>
      </c>
      <c r="T3892" s="71">
        <f t="shared" si="547"/>
        <v>0</v>
      </c>
      <c r="U3892" s="71">
        <f>IF(AND(N3892=1,V3892=1),IF(COUNTIFS(AKTIVITAS!$B$2:$B$3052,B3892,AKTIVITAS!$E$2:$E$3052,H3892)&gt;0,1,0),0)</f>
        <v>1</v>
      </c>
      <c r="V3892" s="71">
        <f>IFERROR(IF(AND(H3892&gt;=INDEX(PEMAGANG!$J$3:$J$36,MATCH(B3892,PEMAGANG!$C$3:$C$36,0)),H3892&lt;=INDEX(PEMAGANG!$K$3:$K$36,MATCH(B3892,PEMAGANG!$C$3:$C$36,0))),1,0),0)</f>
        <v>1</v>
      </c>
      <c r="W3892" s="71">
        <f t="shared" si="548"/>
        <v>1</v>
      </c>
    </row>
    <row r="3893" spans="1:23" x14ac:dyDescent="0.2">
      <c r="A3893" s="71" t="s">
        <v>198</v>
      </c>
      <c r="B3893" s="71" t="s">
        <v>199</v>
      </c>
      <c r="C3893" s="71" t="s">
        <v>187</v>
      </c>
      <c r="D3893" s="71" t="s">
        <v>185</v>
      </c>
      <c r="E3893" s="71" t="s">
        <v>47</v>
      </c>
      <c r="F3893" s="71" t="s">
        <v>298</v>
      </c>
      <c r="G3893" s="88">
        <v>46275.308854166702</v>
      </c>
      <c r="H3893" s="89">
        <v>46275</v>
      </c>
      <c r="I3893" s="71" t="s">
        <v>303</v>
      </c>
      <c r="J3893" s="71">
        <v>-5.9999999999999796</v>
      </c>
      <c r="K3893" s="71" t="s">
        <v>302</v>
      </c>
      <c r="L3893" s="71">
        <f t="shared" si="540"/>
        <v>9</v>
      </c>
      <c r="M3893" s="71" t="str">
        <f>IFERROR(INDEX(KALENDER!$D$3:$D$132,MATCH(H3893,KALENDER!$A$3:$A$132,0)),"Di luar periode")</f>
        <v>Hari Kerja</v>
      </c>
      <c r="N3893" s="71">
        <f t="shared" si="541"/>
        <v>0</v>
      </c>
      <c r="O3893" s="71">
        <f t="shared" si="542"/>
        <v>2</v>
      </c>
      <c r="P3893" s="71">
        <f t="shared" si="543"/>
        <v>0</v>
      </c>
      <c r="Q3893" s="71">
        <f t="shared" si="544"/>
        <v>0</v>
      </c>
      <c r="R3893" s="71">
        <f t="shared" si="545"/>
        <v>0</v>
      </c>
      <c r="S3893" s="71">
        <f t="shared" si="546"/>
        <v>0</v>
      </c>
      <c r="T3893" s="71">
        <f t="shared" si="547"/>
        <v>0</v>
      </c>
      <c r="U3893" s="71">
        <f>IF(AND(N3893=1,V3893=1),IF(COUNTIFS(AKTIVITAS!$B$2:$B$3052,B3893,AKTIVITAS!$E$2:$E$3052,H3893)&gt;0,1,0),0)</f>
        <v>0</v>
      </c>
      <c r="V3893" s="71">
        <f>IFERROR(IF(AND(H3893&gt;=INDEX(PEMAGANG!$J$3:$J$36,MATCH(B3893,PEMAGANG!$C$3:$C$36,0)),H3893&lt;=INDEX(PEMAGANG!$K$3:$K$36,MATCH(B3893,PEMAGANG!$C$3:$C$36,0))),1,0),0)</f>
        <v>1</v>
      </c>
      <c r="W3893" s="71">
        <f t="shared" si="548"/>
        <v>0</v>
      </c>
    </row>
    <row r="3894" spans="1:23" x14ac:dyDescent="0.2">
      <c r="A3894" s="71" t="s">
        <v>198</v>
      </c>
      <c r="B3894" s="71" t="s">
        <v>199</v>
      </c>
      <c r="C3894" s="71" t="s">
        <v>187</v>
      </c>
      <c r="D3894" s="71" t="s">
        <v>185</v>
      </c>
      <c r="E3894" s="71" t="s">
        <v>47</v>
      </c>
      <c r="F3894" s="71" t="s">
        <v>300</v>
      </c>
      <c r="G3894" s="88">
        <v>46275.690462963001</v>
      </c>
      <c r="H3894" s="89">
        <v>46275</v>
      </c>
      <c r="I3894" s="71" t="s">
        <v>314</v>
      </c>
      <c r="J3894" s="71">
        <v>0</v>
      </c>
      <c r="K3894" s="71" t="s">
        <v>302</v>
      </c>
      <c r="L3894" s="71">
        <f t="shared" si="540"/>
        <v>9</v>
      </c>
      <c r="M3894" s="71" t="str">
        <f>IFERROR(INDEX(KALENDER!$D$3:$D$132,MATCH(H3894,KALENDER!$A$3:$A$132,0)),"Di luar periode")</f>
        <v>Hari Kerja</v>
      </c>
      <c r="N3894" s="71">
        <f t="shared" si="541"/>
        <v>0</v>
      </c>
      <c r="O3894" s="71">
        <f t="shared" si="542"/>
        <v>2</v>
      </c>
      <c r="P3894" s="71">
        <f t="shared" si="543"/>
        <v>0</v>
      </c>
      <c r="Q3894" s="71">
        <f t="shared" si="544"/>
        <v>0</v>
      </c>
      <c r="R3894" s="71">
        <f t="shared" si="545"/>
        <v>0</v>
      </c>
      <c r="S3894" s="71">
        <f t="shared" si="546"/>
        <v>0</v>
      </c>
      <c r="T3894" s="71">
        <f t="shared" si="547"/>
        <v>0</v>
      </c>
      <c r="U3894" s="71">
        <f>IF(AND(N3894=1,V3894=1),IF(COUNTIFS(AKTIVITAS!$B$2:$B$3052,B3894,AKTIVITAS!$E$2:$E$3052,H3894)&gt;0,1,0),0)</f>
        <v>0</v>
      </c>
      <c r="V3894" s="71">
        <f>IFERROR(IF(AND(H3894&gt;=INDEX(PEMAGANG!$J$3:$J$36,MATCH(B3894,PEMAGANG!$C$3:$C$36,0)),H3894&lt;=INDEX(PEMAGANG!$K$3:$K$36,MATCH(B3894,PEMAGANG!$C$3:$C$36,0))),1,0),0)</f>
        <v>1</v>
      </c>
      <c r="W3894" s="71">
        <f t="shared" si="548"/>
        <v>0</v>
      </c>
    </row>
    <row r="3895" spans="1:23" x14ac:dyDescent="0.2">
      <c r="A3895" s="71" t="s">
        <v>198</v>
      </c>
      <c r="B3895" s="71" t="s">
        <v>199</v>
      </c>
      <c r="C3895" s="71" t="s">
        <v>187</v>
      </c>
      <c r="D3895" s="71" t="s">
        <v>185</v>
      </c>
      <c r="E3895" s="71" t="s">
        <v>47</v>
      </c>
      <c r="F3895" s="71" t="s">
        <v>298</v>
      </c>
      <c r="G3895" s="88">
        <v>46276.309247685203</v>
      </c>
      <c r="H3895" s="89">
        <v>46276</v>
      </c>
      <c r="I3895" s="71" t="s">
        <v>307</v>
      </c>
      <c r="J3895" s="71">
        <v>-4.9999999999999796</v>
      </c>
      <c r="K3895" s="71" t="s">
        <v>302</v>
      </c>
      <c r="L3895" s="71">
        <f t="shared" si="540"/>
        <v>9</v>
      </c>
      <c r="M3895" s="71" t="str">
        <f>IFERROR(INDEX(KALENDER!$D$3:$D$132,MATCH(H3895,KALENDER!$A$3:$A$132,0)),"Di luar periode")</f>
        <v>Hari Kerja</v>
      </c>
      <c r="N3895" s="71">
        <f t="shared" si="541"/>
        <v>1</v>
      </c>
      <c r="O3895" s="71">
        <f t="shared" si="542"/>
        <v>1</v>
      </c>
      <c r="P3895" s="71">
        <f t="shared" si="543"/>
        <v>1</v>
      </c>
      <c r="Q3895" s="71">
        <f t="shared" si="544"/>
        <v>0</v>
      </c>
      <c r="R3895" s="71">
        <f t="shared" si="545"/>
        <v>0</v>
      </c>
      <c r="S3895" s="71">
        <f t="shared" si="546"/>
        <v>0</v>
      </c>
      <c r="T3895" s="71">
        <f t="shared" si="547"/>
        <v>1</v>
      </c>
      <c r="U3895" s="71">
        <f>IF(AND(N3895=1,V3895=1),IF(COUNTIFS(AKTIVITAS!$B$2:$B$3052,B3895,AKTIVITAS!$E$2:$E$3052,H3895)&gt;0,1,0),0)</f>
        <v>1</v>
      </c>
      <c r="V3895" s="71">
        <f>IFERROR(IF(AND(H3895&gt;=INDEX(PEMAGANG!$J$3:$J$36,MATCH(B3895,PEMAGANG!$C$3:$C$36,0)),H3895&lt;=INDEX(PEMAGANG!$K$3:$K$36,MATCH(B3895,PEMAGANG!$C$3:$C$36,0))),1,0),0)</f>
        <v>1</v>
      </c>
      <c r="W3895" s="71">
        <f t="shared" si="548"/>
        <v>1</v>
      </c>
    </row>
    <row r="3896" spans="1:23" x14ac:dyDescent="0.2">
      <c r="A3896" s="71" t="s">
        <v>198</v>
      </c>
      <c r="B3896" s="71" t="s">
        <v>199</v>
      </c>
      <c r="C3896" s="71" t="s">
        <v>187</v>
      </c>
      <c r="D3896" s="71" t="s">
        <v>185</v>
      </c>
      <c r="E3896" s="71" t="s">
        <v>47</v>
      </c>
      <c r="F3896" s="71" t="s">
        <v>298</v>
      </c>
      <c r="G3896" s="88">
        <v>46279.308460648201</v>
      </c>
      <c r="H3896" s="89">
        <v>46279</v>
      </c>
      <c r="I3896" s="71" t="s">
        <v>303</v>
      </c>
      <c r="J3896" s="71">
        <v>-5.9999999999999796</v>
      </c>
      <c r="K3896" s="71" t="s">
        <v>302</v>
      </c>
      <c r="L3896" s="71">
        <f t="shared" si="540"/>
        <v>9</v>
      </c>
      <c r="M3896" s="71" t="str">
        <f>IFERROR(INDEX(KALENDER!$D$3:$D$132,MATCH(H3896,KALENDER!$A$3:$A$132,0)),"Di luar periode")</f>
        <v>Hari Kerja</v>
      </c>
      <c r="N3896" s="71">
        <f t="shared" si="541"/>
        <v>1</v>
      </c>
      <c r="O3896" s="71">
        <f t="shared" si="542"/>
        <v>1</v>
      </c>
      <c r="P3896" s="71">
        <f t="shared" si="543"/>
        <v>1</v>
      </c>
      <c r="Q3896" s="71">
        <f t="shared" si="544"/>
        <v>0</v>
      </c>
      <c r="R3896" s="71">
        <f t="shared" si="545"/>
        <v>0</v>
      </c>
      <c r="S3896" s="71">
        <f t="shared" si="546"/>
        <v>0</v>
      </c>
      <c r="T3896" s="71">
        <f t="shared" si="547"/>
        <v>0</v>
      </c>
      <c r="U3896" s="71">
        <f>IF(AND(N3896=1,V3896=1),IF(COUNTIFS(AKTIVITAS!$B$2:$B$3052,B3896,AKTIVITAS!$E$2:$E$3052,H3896)&gt;0,1,0),0)</f>
        <v>1</v>
      </c>
      <c r="V3896" s="71">
        <f>IFERROR(IF(AND(H3896&gt;=INDEX(PEMAGANG!$J$3:$J$36,MATCH(B3896,PEMAGANG!$C$3:$C$36,0)),H3896&lt;=INDEX(PEMAGANG!$K$3:$K$36,MATCH(B3896,PEMAGANG!$C$3:$C$36,0))),1,0),0)</f>
        <v>1</v>
      </c>
      <c r="W3896" s="71">
        <f t="shared" si="548"/>
        <v>1</v>
      </c>
    </row>
    <row r="3897" spans="1:23" x14ac:dyDescent="0.2">
      <c r="A3897" s="71" t="s">
        <v>198</v>
      </c>
      <c r="B3897" s="71" t="s">
        <v>199</v>
      </c>
      <c r="C3897" s="71" t="s">
        <v>187</v>
      </c>
      <c r="D3897" s="71" t="s">
        <v>185</v>
      </c>
      <c r="E3897" s="71" t="s">
        <v>47</v>
      </c>
      <c r="F3897" s="71" t="s">
        <v>300</v>
      </c>
      <c r="G3897" s="88">
        <v>46279.690162036997</v>
      </c>
      <c r="H3897" s="89">
        <v>46279</v>
      </c>
      <c r="I3897" s="71" t="s">
        <v>316</v>
      </c>
      <c r="J3897" s="71">
        <v>0</v>
      </c>
      <c r="K3897" s="71" t="s">
        <v>302</v>
      </c>
      <c r="L3897" s="71">
        <f t="shared" si="540"/>
        <v>9</v>
      </c>
      <c r="M3897" s="71" t="str">
        <f>IFERROR(INDEX(KALENDER!$D$3:$D$132,MATCH(H3897,KALENDER!$A$3:$A$132,0)),"Di luar periode")</f>
        <v>Hari Kerja</v>
      </c>
      <c r="N3897" s="71">
        <f t="shared" si="541"/>
        <v>0</v>
      </c>
      <c r="O3897" s="71">
        <f t="shared" si="542"/>
        <v>1</v>
      </c>
      <c r="P3897" s="71">
        <f t="shared" si="543"/>
        <v>0</v>
      </c>
      <c r="Q3897" s="71">
        <f t="shared" si="544"/>
        <v>0</v>
      </c>
      <c r="R3897" s="71">
        <f t="shared" si="545"/>
        <v>0</v>
      </c>
      <c r="S3897" s="71">
        <f t="shared" si="546"/>
        <v>0</v>
      </c>
      <c r="T3897" s="71">
        <f t="shared" si="547"/>
        <v>0</v>
      </c>
      <c r="U3897" s="71">
        <f>IF(AND(N3897=1,V3897=1),IF(COUNTIFS(AKTIVITAS!$B$2:$B$3052,B3897,AKTIVITAS!$E$2:$E$3052,H3897)&gt;0,1,0),0)</f>
        <v>0</v>
      </c>
      <c r="V3897" s="71">
        <f>IFERROR(IF(AND(H3897&gt;=INDEX(PEMAGANG!$J$3:$J$36,MATCH(B3897,PEMAGANG!$C$3:$C$36,0)),H3897&lt;=INDEX(PEMAGANG!$K$3:$K$36,MATCH(B3897,PEMAGANG!$C$3:$C$36,0))),1,0),0)</f>
        <v>1</v>
      </c>
      <c r="W3897" s="71">
        <f t="shared" si="548"/>
        <v>0</v>
      </c>
    </row>
    <row r="3898" spans="1:23" x14ac:dyDescent="0.2">
      <c r="A3898" s="71" t="s">
        <v>198</v>
      </c>
      <c r="B3898" s="71" t="s">
        <v>199</v>
      </c>
      <c r="C3898" s="71" t="s">
        <v>187</v>
      </c>
      <c r="D3898" s="71" t="s">
        <v>185</v>
      </c>
      <c r="E3898" s="71" t="s">
        <v>47</v>
      </c>
      <c r="F3898" s="71" t="s">
        <v>298</v>
      </c>
      <c r="G3898" s="88">
        <v>46280.310509259303</v>
      </c>
      <c r="H3898" s="89">
        <v>46280</v>
      </c>
      <c r="I3898" s="71" t="s">
        <v>309</v>
      </c>
      <c r="J3898" s="71">
        <v>-2.9999999999999898</v>
      </c>
      <c r="K3898" s="71" t="s">
        <v>302</v>
      </c>
      <c r="L3898" s="71">
        <f t="shared" si="540"/>
        <v>9</v>
      </c>
      <c r="M3898" s="71" t="str">
        <f>IFERROR(INDEX(KALENDER!$D$3:$D$132,MATCH(H3898,KALENDER!$A$3:$A$132,0)),"Di luar periode")</f>
        <v>Hari Kerja</v>
      </c>
      <c r="N3898" s="71">
        <f t="shared" si="541"/>
        <v>1</v>
      </c>
      <c r="O3898" s="71">
        <f t="shared" si="542"/>
        <v>1</v>
      </c>
      <c r="P3898" s="71">
        <f t="shared" si="543"/>
        <v>1</v>
      </c>
      <c r="Q3898" s="71">
        <f t="shared" si="544"/>
        <v>0</v>
      </c>
      <c r="R3898" s="71">
        <f t="shared" si="545"/>
        <v>0</v>
      </c>
      <c r="S3898" s="71">
        <f t="shared" si="546"/>
        <v>0</v>
      </c>
      <c r="T3898" s="71">
        <f t="shared" si="547"/>
        <v>0</v>
      </c>
      <c r="U3898" s="71">
        <f>IF(AND(N3898=1,V3898=1),IF(COUNTIFS(AKTIVITAS!$B$2:$B$3052,B3898,AKTIVITAS!$E$2:$E$3052,H3898)&gt;0,1,0),0)</f>
        <v>1</v>
      </c>
      <c r="V3898" s="71">
        <f>IFERROR(IF(AND(H3898&gt;=INDEX(PEMAGANG!$J$3:$J$36,MATCH(B3898,PEMAGANG!$C$3:$C$36,0)),H3898&lt;=INDEX(PEMAGANG!$K$3:$K$36,MATCH(B3898,PEMAGANG!$C$3:$C$36,0))),1,0),0)</f>
        <v>1</v>
      </c>
      <c r="W3898" s="71">
        <f t="shared" si="548"/>
        <v>1</v>
      </c>
    </row>
    <row r="3899" spans="1:23" x14ac:dyDescent="0.2">
      <c r="A3899" s="71" t="s">
        <v>198</v>
      </c>
      <c r="B3899" s="71" t="s">
        <v>199</v>
      </c>
      <c r="C3899" s="71" t="s">
        <v>187</v>
      </c>
      <c r="D3899" s="71" t="s">
        <v>185</v>
      </c>
      <c r="E3899" s="71" t="s">
        <v>47</v>
      </c>
      <c r="F3899" s="71" t="s">
        <v>300</v>
      </c>
      <c r="G3899" s="88">
        <v>46280.696145833303</v>
      </c>
      <c r="H3899" s="89">
        <v>46280</v>
      </c>
      <c r="I3899" s="71" t="s">
        <v>320</v>
      </c>
      <c r="J3899" s="71">
        <v>0</v>
      </c>
      <c r="K3899" s="71" t="s">
        <v>302</v>
      </c>
      <c r="L3899" s="71">
        <f t="shared" si="540"/>
        <v>9</v>
      </c>
      <c r="M3899" s="71" t="str">
        <f>IFERROR(INDEX(KALENDER!$D$3:$D$132,MATCH(H3899,KALENDER!$A$3:$A$132,0)),"Di luar periode")</f>
        <v>Hari Kerja</v>
      </c>
      <c r="N3899" s="71">
        <f t="shared" si="541"/>
        <v>0</v>
      </c>
      <c r="O3899" s="71">
        <f t="shared" si="542"/>
        <v>1</v>
      </c>
      <c r="P3899" s="71">
        <f t="shared" si="543"/>
        <v>0</v>
      </c>
      <c r="Q3899" s="71">
        <f t="shared" si="544"/>
        <v>0</v>
      </c>
      <c r="R3899" s="71">
        <f t="shared" si="545"/>
        <v>0</v>
      </c>
      <c r="S3899" s="71">
        <f t="shared" si="546"/>
        <v>0</v>
      </c>
      <c r="T3899" s="71">
        <f t="shared" si="547"/>
        <v>0</v>
      </c>
      <c r="U3899" s="71">
        <f>IF(AND(N3899=1,V3899=1),IF(COUNTIFS(AKTIVITAS!$B$2:$B$3052,B3899,AKTIVITAS!$E$2:$E$3052,H3899)&gt;0,1,0),0)</f>
        <v>0</v>
      </c>
      <c r="V3899" s="71">
        <f>IFERROR(IF(AND(H3899&gt;=INDEX(PEMAGANG!$J$3:$J$36,MATCH(B3899,PEMAGANG!$C$3:$C$36,0)),H3899&lt;=INDEX(PEMAGANG!$K$3:$K$36,MATCH(B3899,PEMAGANG!$C$3:$C$36,0))),1,0),0)</f>
        <v>1</v>
      </c>
      <c r="W3899" s="71">
        <f t="shared" si="548"/>
        <v>0</v>
      </c>
    </row>
    <row r="3900" spans="1:23" x14ac:dyDescent="0.2">
      <c r="A3900" s="71" t="s">
        <v>198</v>
      </c>
      <c r="B3900" s="71" t="s">
        <v>199</v>
      </c>
      <c r="C3900" s="71" t="s">
        <v>187</v>
      </c>
      <c r="D3900" s="71" t="s">
        <v>185</v>
      </c>
      <c r="E3900" s="71" t="s">
        <v>47</v>
      </c>
      <c r="F3900" s="71" t="s">
        <v>298</v>
      </c>
      <c r="G3900" s="88">
        <v>46281.308622685203</v>
      </c>
      <c r="H3900" s="89">
        <v>46281</v>
      </c>
      <c r="I3900" s="71" t="s">
        <v>303</v>
      </c>
      <c r="J3900" s="71">
        <v>-5.9999999999999796</v>
      </c>
      <c r="K3900" s="71" t="s">
        <v>302</v>
      </c>
      <c r="L3900" s="71">
        <f t="shared" si="540"/>
        <v>9</v>
      </c>
      <c r="M3900" s="71" t="str">
        <f>IFERROR(INDEX(KALENDER!$D$3:$D$132,MATCH(H3900,KALENDER!$A$3:$A$132,0)),"Di luar periode")</f>
        <v>Hari Kerja</v>
      </c>
      <c r="N3900" s="71">
        <f t="shared" si="541"/>
        <v>1</v>
      </c>
      <c r="O3900" s="71">
        <f t="shared" si="542"/>
        <v>1</v>
      </c>
      <c r="P3900" s="71">
        <f t="shared" si="543"/>
        <v>1</v>
      </c>
      <c r="Q3900" s="71">
        <f t="shared" si="544"/>
        <v>0</v>
      </c>
      <c r="R3900" s="71">
        <f t="shared" si="545"/>
        <v>0</v>
      </c>
      <c r="S3900" s="71">
        <f t="shared" si="546"/>
        <v>0</v>
      </c>
      <c r="T3900" s="71">
        <f t="shared" si="547"/>
        <v>0</v>
      </c>
      <c r="U3900" s="71">
        <f>IF(AND(N3900=1,V3900=1),IF(COUNTIFS(AKTIVITAS!$B$2:$B$3052,B3900,AKTIVITAS!$E$2:$E$3052,H3900)&gt;0,1,0),0)</f>
        <v>1</v>
      </c>
      <c r="V3900" s="71">
        <f>IFERROR(IF(AND(H3900&gt;=INDEX(PEMAGANG!$J$3:$J$36,MATCH(B3900,PEMAGANG!$C$3:$C$36,0)),H3900&lt;=INDEX(PEMAGANG!$K$3:$K$36,MATCH(B3900,PEMAGANG!$C$3:$C$36,0))),1,0),0)</f>
        <v>1</v>
      </c>
      <c r="W3900" s="71">
        <f t="shared" si="548"/>
        <v>1</v>
      </c>
    </row>
    <row r="3901" spans="1:23" x14ac:dyDescent="0.2">
      <c r="A3901" s="71" t="s">
        <v>198</v>
      </c>
      <c r="B3901" s="71" t="s">
        <v>199</v>
      </c>
      <c r="C3901" s="71" t="s">
        <v>187</v>
      </c>
      <c r="D3901" s="71" t="s">
        <v>185</v>
      </c>
      <c r="E3901" s="71" t="s">
        <v>47</v>
      </c>
      <c r="F3901" s="71" t="s">
        <v>300</v>
      </c>
      <c r="G3901" s="88">
        <v>46281.698171296302</v>
      </c>
      <c r="H3901" s="89">
        <v>46281</v>
      </c>
      <c r="I3901" s="71" t="s">
        <v>318</v>
      </c>
      <c r="J3901" s="71">
        <v>0</v>
      </c>
      <c r="K3901" s="71" t="s">
        <v>302</v>
      </c>
      <c r="L3901" s="71">
        <f t="shared" si="540"/>
        <v>9</v>
      </c>
      <c r="M3901" s="71" t="str">
        <f>IFERROR(INDEX(KALENDER!$D$3:$D$132,MATCH(H3901,KALENDER!$A$3:$A$132,0)),"Di luar periode")</f>
        <v>Hari Kerja</v>
      </c>
      <c r="N3901" s="71">
        <f t="shared" si="541"/>
        <v>0</v>
      </c>
      <c r="O3901" s="71">
        <f t="shared" si="542"/>
        <v>1</v>
      </c>
      <c r="P3901" s="71">
        <f t="shared" si="543"/>
        <v>0</v>
      </c>
      <c r="Q3901" s="71">
        <f t="shared" si="544"/>
        <v>0</v>
      </c>
      <c r="R3901" s="71">
        <f t="shared" si="545"/>
        <v>0</v>
      </c>
      <c r="S3901" s="71">
        <f t="shared" si="546"/>
        <v>0</v>
      </c>
      <c r="T3901" s="71">
        <f t="shared" si="547"/>
        <v>0</v>
      </c>
      <c r="U3901" s="71">
        <f>IF(AND(N3901=1,V3901=1),IF(COUNTIFS(AKTIVITAS!$B$2:$B$3052,B3901,AKTIVITAS!$E$2:$E$3052,H3901)&gt;0,1,0),0)</f>
        <v>0</v>
      </c>
      <c r="V3901" s="71">
        <f>IFERROR(IF(AND(H3901&gt;=INDEX(PEMAGANG!$J$3:$J$36,MATCH(B3901,PEMAGANG!$C$3:$C$36,0)),H3901&lt;=INDEX(PEMAGANG!$K$3:$K$36,MATCH(B3901,PEMAGANG!$C$3:$C$36,0))),1,0),0)</f>
        <v>1</v>
      </c>
      <c r="W3901" s="71">
        <f t="shared" si="548"/>
        <v>0</v>
      </c>
    </row>
    <row r="3902" spans="1:23" x14ac:dyDescent="0.2">
      <c r="A3902" s="71" t="s">
        <v>198</v>
      </c>
      <c r="B3902" s="71" t="s">
        <v>199</v>
      </c>
      <c r="C3902" s="71" t="s">
        <v>187</v>
      </c>
      <c r="D3902" s="71" t="s">
        <v>185</v>
      </c>
      <c r="E3902" s="71" t="s">
        <v>47</v>
      </c>
      <c r="F3902" s="71" t="s">
        <v>298</v>
      </c>
      <c r="G3902" s="88">
        <v>46282.308958333299</v>
      </c>
      <c r="H3902" s="89">
        <v>46282</v>
      </c>
      <c r="I3902" s="71" t="s">
        <v>303</v>
      </c>
      <c r="J3902" s="71">
        <v>-5.9999999999999796</v>
      </c>
      <c r="K3902" s="71" t="s">
        <v>302</v>
      </c>
      <c r="L3902" s="71">
        <f t="shared" si="540"/>
        <v>9</v>
      </c>
      <c r="M3902" s="71" t="str">
        <f>IFERROR(INDEX(KALENDER!$D$3:$D$132,MATCH(H3902,KALENDER!$A$3:$A$132,0)),"Di luar periode")</f>
        <v>Hari Kerja</v>
      </c>
      <c r="N3902" s="71">
        <f t="shared" si="541"/>
        <v>1</v>
      </c>
      <c r="O3902" s="71">
        <f t="shared" si="542"/>
        <v>1</v>
      </c>
      <c r="P3902" s="71">
        <f t="shared" si="543"/>
        <v>1</v>
      </c>
      <c r="Q3902" s="71">
        <f t="shared" si="544"/>
        <v>0</v>
      </c>
      <c r="R3902" s="71">
        <f t="shared" si="545"/>
        <v>0</v>
      </c>
      <c r="S3902" s="71">
        <f t="shared" si="546"/>
        <v>0</v>
      </c>
      <c r="T3902" s="71">
        <f t="shared" si="547"/>
        <v>0</v>
      </c>
      <c r="U3902" s="71">
        <f>IF(AND(N3902=1,V3902=1),IF(COUNTIFS(AKTIVITAS!$B$2:$B$3052,B3902,AKTIVITAS!$E$2:$E$3052,H3902)&gt;0,1,0),0)</f>
        <v>1</v>
      </c>
      <c r="V3902" s="71">
        <f>IFERROR(IF(AND(H3902&gt;=INDEX(PEMAGANG!$J$3:$J$36,MATCH(B3902,PEMAGANG!$C$3:$C$36,0)),H3902&lt;=INDEX(PEMAGANG!$K$3:$K$36,MATCH(B3902,PEMAGANG!$C$3:$C$36,0))),1,0),0)</f>
        <v>1</v>
      </c>
      <c r="W3902" s="71">
        <f t="shared" si="548"/>
        <v>1</v>
      </c>
    </row>
    <row r="3903" spans="1:23" x14ac:dyDescent="0.2">
      <c r="A3903" s="71" t="s">
        <v>198</v>
      </c>
      <c r="B3903" s="71" t="s">
        <v>199</v>
      </c>
      <c r="C3903" s="71" t="s">
        <v>187</v>
      </c>
      <c r="D3903" s="71" t="s">
        <v>185</v>
      </c>
      <c r="E3903" s="71" t="s">
        <v>47</v>
      </c>
      <c r="F3903" s="71" t="s">
        <v>300</v>
      </c>
      <c r="G3903" s="88">
        <v>46282.6897916667</v>
      </c>
      <c r="H3903" s="89">
        <v>46282</v>
      </c>
      <c r="I3903" s="71" t="s">
        <v>316</v>
      </c>
      <c r="J3903" s="71">
        <v>0</v>
      </c>
      <c r="K3903" s="71" t="s">
        <v>302</v>
      </c>
      <c r="L3903" s="71">
        <f t="shared" si="540"/>
        <v>9</v>
      </c>
      <c r="M3903" s="71" t="str">
        <f>IFERROR(INDEX(KALENDER!$D$3:$D$132,MATCH(H3903,KALENDER!$A$3:$A$132,0)),"Di luar periode")</f>
        <v>Hari Kerja</v>
      </c>
      <c r="N3903" s="71">
        <f t="shared" si="541"/>
        <v>0</v>
      </c>
      <c r="O3903" s="71">
        <f t="shared" si="542"/>
        <v>1</v>
      </c>
      <c r="P3903" s="71">
        <f t="shared" si="543"/>
        <v>0</v>
      </c>
      <c r="Q3903" s="71">
        <f t="shared" si="544"/>
        <v>0</v>
      </c>
      <c r="R3903" s="71">
        <f t="shared" si="545"/>
        <v>0</v>
      </c>
      <c r="S3903" s="71">
        <f t="shared" si="546"/>
        <v>0</v>
      </c>
      <c r="T3903" s="71">
        <f t="shared" si="547"/>
        <v>0</v>
      </c>
      <c r="U3903" s="71">
        <f>IF(AND(N3903=1,V3903=1),IF(COUNTIFS(AKTIVITAS!$B$2:$B$3052,B3903,AKTIVITAS!$E$2:$E$3052,H3903)&gt;0,1,0),0)</f>
        <v>0</v>
      </c>
      <c r="V3903" s="71">
        <f>IFERROR(IF(AND(H3903&gt;=INDEX(PEMAGANG!$J$3:$J$36,MATCH(B3903,PEMAGANG!$C$3:$C$36,0)),H3903&lt;=INDEX(PEMAGANG!$K$3:$K$36,MATCH(B3903,PEMAGANG!$C$3:$C$36,0))),1,0),0)</f>
        <v>1</v>
      </c>
      <c r="W3903" s="71">
        <f t="shared" si="548"/>
        <v>0</v>
      </c>
    </row>
    <row r="3904" spans="1:23" x14ac:dyDescent="0.2">
      <c r="A3904" s="71" t="s">
        <v>198</v>
      </c>
      <c r="B3904" s="71" t="s">
        <v>199</v>
      </c>
      <c r="C3904" s="71" t="s">
        <v>187</v>
      </c>
      <c r="D3904" s="71" t="s">
        <v>185</v>
      </c>
      <c r="E3904" s="71" t="s">
        <v>47</v>
      </c>
      <c r="F3904" s="71" t="s">
        <v>298</v>
      </c>
      <c r="G3904" s="88">
        <v>46283.309166666702</v>
      </c>
      <c r="H3904" s="89">
        <v>46283</v>
      </c>
      <c r="I3904" s="71" t="s">
        <v>307</v>
      </c>
      <c r="J3904" s="71">
        <v>-4.9999999999999796</v>
      </c>
      <c r="K3904" s="71" t="s">
        <v>302</v>
      </c>
      <c r="L3904" s="71">
        <f t="shared" si="540"/>
        <v>9</v>
      </c>
      <c r="M3904" s="71" t="str">
        <f>IFERROR(INDEX(KALENDER!$D$3:$D$132,MATCH(H3904,KALENDER!$A$3:$A$132,0)),"Di luar periode")</f>
        <v>Hari Kerja</v>
      </c>
      <c r="N3904" s="71">
        <f t="shared" si="541"/>
        <v>1</v>
      </c>
      <c r="O3904" s="71">
        <f t="shared" si="542"/>
        <v>1</v>
      </c>
      <c r="P3904" s="71">
        <f t="shared" si="543"/>
        <v>1</v>
      </c>
      <c r="Q3904" s="71">
        <f t="shared" si="544"/>
        <v>0</v>
      </c>
      <c r="R3904" s="71">
        <f t="shared" si="545"/>
        <v>0</v>
      </c>
      <c r="S3904" s="71">
        <f t="shared" si="546"/>
        <v>0</v>
      </c>
      <c r="T3904" s="71">
        <f t="shared" si="547"/>
        <v>0</v>
      </c>
      <c r="U3904" s="71">
        <f>IF(AND(N3904=1,V3904=1),IF(COUNTIFS(AKTIVITAS!$B$2:$B$3052,B3904,AKTIVITAS!$E$2:$E$3052,H3904)&gt;0,1,0),0)</f>
        <v>1</v>
      </c>
      <c r="V3904" s="71">
        <f>IFERROR(IF(AND(H3904&gt;=INDEX(PEMAGANG!$J$3:$J$36,MATCH(B3904,PEMAGANG!$C$3:$C$36,0)),H3904&lt;=INDEX(PEMAGANG!$K$3:$K$36,MATCH(B3904,PEMAGANG!$C$3:$C$36,0))),1,0),0)</f>
        <v>1</v>
      </c>
      <c r="W3904" s="71">
        <f t="shared" si="548"/>
        <v>1</v>
      </c>
    </row>
    <row r="3905" spans="1:23" x14ac:dyDescent="0.2">
      <c r="A3905" s="71" t="s">
        <v>198</v>
      </c>
      <c r="B3905" s="71" t="s">
        <v>199</v>
      </c>
      <c r="C3905" s="71" t="s">
        <v>187</v>
      </c>
      <c r="D3905" s="71" t="s">
        <v>185</v>
      </c>
      <c r="E3905" s="71" t="s">
        <v>47</v>
      </c>
      <c r="F3905" s="71" t="s">
        <v>300</v>
      </c>
      <c r="G3905" s="88">
        <v>46283.721550925897</v>
      </c>
      <c r="H3905" s="89">
        <v>46283</v>
      </c>
      <c r="I3905" s="71" t="s">
        <v>382</v>
      </c>
      <c r="J3905" s="71">
        <v>0</v>
      </c>
      <c r="K3905" s="71" t="s">
        <v>302</v>
      </c>
      <c r="L3905" s="71">
        <f t="shared" si="540"/>
        <v>9</v>
      </c>
      <c r="M3905" s="71" t="str">
        <f>IFERROR(INDEX(KALENDER!$D$3:$D$132,MATCH(H3905,KALENDER!$A$3:$A$132,0)),"Di luar periode")</f>
        <v>Hari Kerja</v>
      </c>
      <c r="N3905" s="71">
        <f t="shared" si="541"/>
        <v>0</v>
      </c>
      <c r="O3905" s="71">
        <f t="shared" si="542"/>
        <v>1</v>
      </c>
      <c r="P3905" s="71">
        <f t="shared" si="543"/>
        <v>0</v>
      </c>
      <c r="Q3905" s="71">
        <f t="shared" si="544"/>
        <v>0</v>
      </c>
      <c r="R3905" s="71">
        <f t="shared" si="545"/>
        <v>0</v>
      </c>
      <c r="S3905" s="71">
        <f t="shared" si="546"/>
        <v>0</v>
      </c>
      <c r="T3905" s="71">
        <f t="shared" si="547"/>
        <v>0</v>
      </c>
      <c r="U3905" s="71">
        <f>IF(AND(N3905=1,V3905=1),IF(COUNTIFS(AKTIVITAS!$B$2:$B$3052,B3905,AKTIVITAS!$E$2:$E$3052,H3905)&gt;0,1,0),0)</f>
        <v>0</v>
      </c>
      <c r="V3905" s="71">
        <f>IFERROR(IF(AND(H3905&gt;=INDEX(PEMAGANG!$J$3:$J$36,MATCH(B3905,PEMAGANG!$C$3:$C$36,0)),H3905&lt;=INDEX(PEMAGANG!$K$3:$K$36,MATCH(B3905,PEMAGANG!$C$3:$C$36,0))),1,0),0)</f>
        <v>1</v>
      </c>
      <c r="W3905" s="71">
        <f t="shared" si="548"/>
        <v>0</v>
      </c>
    </row>
    <row r="3906" spans="1:23" x14ac:dyDescent="0.2">
      <c r="A3906" s="71" t="s">
        <v>198</v>
      </c>
      <c r="B3906" s="71" t="s">
        <v>199</v>
      </c>
      <c r="C3906" s="71" t="s">
        <v>187</v>
      </c>
      <c r="D3906" s="71" t="s">
        <v>185</v>
      </c>
      <c r="E3906" s="71" t="s">
        <v>47</v>
      </c>
      <c r="F3906" s="71" t="s">
        <v>300</v>
      </c>
      <c r="G3906" s="88">
        <v>46283.722511574102</v>
      </c>
      <c r="H3906" s="89">
        <v>46283</v>
      </c>
      <c r="I3906" s="71" t="s">
        <v>407</v>
      </c>
      <c r="J3906" s="71">
        <v>0</v>
      </c>
      <c r="K3906" s="71" t="s">
        <v>302</v>
      </c>
      <c r="L3906" s="71">
        <f t="shared" ref="L3906:L3969" si="549">MONTH(H3906)</f>
        <v>9</v>
      </c>
      <c r="M3906" s="71" t="str">
        <f>IFERROR(INDEX(KALENDER!$D$3:$D$132,MATCH(H3906,KALENDER!$A$3:$A$132,0)),"Di luar periode")</f>
        <v>Hari Kerja</v>
      </c>
      <c r="N3906" s="71">
        <f t="shared" ref="N3906:N3969" si="550">IF(AND(B3906=B3905,H3906=H3905),0,1)</f>
        <v>0</v>
      </c>
      <c r="O3906" s="71">
        <f t="shared" ref="O3906:O3969" si="551">IF(N3906=1,0,O3905)+IF(F3906="MASUK",1,0)</f>
        <v>1</v>
      </c>
      <c r="P3906" s="71">
        <f t="shared" ref="P3906:P3969" si="552">IF(AND(N3906=1,M3906="Hari Kerja",V3906=1),1,0)</f>
        <v>0</v>
      </c>
      <c r="Q3906" s="71">
        <f t="shared" ref="Q3906:Q3969" si="553">IF(AND(N3906=1,OR(M3906&lt;&gt;"Hari Kerja",V3906=0)),1,0)</f>
        <v>0</v>
      </c>
      <c r="R3906" s="71">
        <f t="shared" ref="R3906:R3969" si="554">IF(AND(F3906="MASUK",O3906=1,N(J3906)&gt;0,V3906=1),1,0)</f>
        <v>0</v>
      </c>
      <c r="S3906" s="71">
        <f t="shared" ref="S3906:S3969" si="555">R3906*N(J3906)</f>
        <v>0</v>
      </c>
      <c r="T3906" s="71">
        <f t="shared" ref="T3906:T3969" si="556">IF(AND(N3906=1,V3906=1),IF(AND(COUNTIFS($B$2:$B$4094,B3906,$H$2:$H$4094,H3906,$F$2:$F$4094,"MASUK")&gt;0,COUNTIFS($B$2:$B$4094,B3906,$H$2:$H$4094,H3906,$F$2:$F$4094,"PULANG")=0),1,0),0)</f>
        <v>0</v>
      </c>
      <c r="U3906" s="71">
        <f>IF(AND(N3906=1,V3906=1),IF(COUNTIFS(AKTIVITAS!$B$2:$B$3052,B3906,AKTIVITAS!$E$2:$E$3052,H3906)&gt;0,1,0),0)</f>
        <v>0</v>
      </c>
      <c r="V3906" s="71">
        <f>IFERROR(IF(AND(H3906&gt;=INDEX(PEMAGANG!$J$3:$J$36,MATCH(B3906,PEMAGANG!$C$3:$C$36,0)),H3906&lt;=INDEX(PEMAGANG!$K$3:$K$36,MATCH(B3906,PEMAGANG!$C$3:$C$36,0))),1,0),0)</f>
        <v>1</v>
      </c>
      <c r="W3906" s="71">
        <f t="shared" ref="W3906:W3969" si="557">N3906*V3906</f>
        <v>0</v>
      </c>
    </row>
    <row r="3907" spans="1:23" x14ac:dyDescent="0.2">
      <c r="A3907" s="71" t="s">
        <v>198</v>
      </c>
      <c r="B3907" s="71" t="s">
        <v>199</v>
      </c>
      <c r="C3907" s="71" t="s">
        <v>187</v>
      </c>
      <c r="D3907" s="71" t="s">
        <v>185</v>
      </c>
      <c r="E3907" s="71" t="s">
        <v>47</v>
      </c>
      <c r="F3907" s="71" t="s">
        <v>298</v>
      </c>
      <c r="G3907" s="88">
        <v>46286.310023148202</v>
      </c>
      <c r="H3907" s="89">
        <v>46286</v>
      </c>
      <c r="I3907" s="71" t="s">
        <v>315</v>
      </c>
      <c r="J3907" s="71">
        <v>-3.9999999999999898</v>
      </c>
      <c r="K3907" s="71" t="s">
        <v>302</v>
      </c>
      <c r="L3907" s="71">
        <f t="shared" si="549"/>
        <v>9</v>
      </c>
      <c r="M3907" s="71" t="str">
        <f>IFERROR(INDEX(KALENDER!$D$3:$D$132,MATCH(H3907,KALENDER!$A$3:$A$132,0)),"Di luar periode")</f>
        <v>Hari Kerja</v>
      </c>
      <c r="N3907" s="71">
        <f t="shared" si="550"/>
        <v>1</v>
      </c>
      <c r="O3907" s="71">
        <f t="shared" si="551"/>
        <v>1</v>
      </c>
      <c r="P3907" s="71">
        <f t="shared" si="552"/>
        <v>1</v>
      </c>
      <c r="Q3907" s="71">
        <f t="shared" si="553"/>
        <v>0</v>
      </c>
      <c r="R3907" s="71">
        <f t="shared" si="554"/>
        <v>0</v>
      </c>
      <c r="S3907" s="71">
        <f t="shared" si="555"/>
        <v>0</v>
      </c>
      <c r="T3907" s="71">
        <f t="shared" si="556"/>
        <v>0</v>
      </c>
      <c r="U3907" s="71">
        <f>IF(AND(N3907=1,V3907=1),IF(COUNTIFS(AKTIVITAS!$B$2:$B$3052,B3907,AKTIVITAS!$E$2:$E$3052,H3907)&gt;0,1,0),0)</f>
        <v>1</v>
      </c>
      <c r="V3907" s="71">
        <f>IFERROR(IF(AND(H3907&gt;=INDEX(PEMAGANG!$J$3:$J$36,MATCH(B3907,PEMAGANG!$C$3:$C$36,0)),H3907&lt;=INDEX(PEMAGANG!$K$3:$K$36,MATCH(B3907,PEMAGANG!$C$3:$C$36,0))),1,0),0)</f>
        <v>1</v>
      </c>
      <c r="W3907" s="71">
        <f t="shared" si="557"/>
        <v>1</v>
      </c>
    </row>
    <row r="3908" spans="1:23" x14ac:dyDescent="0.2">
      <c r="A3908" s="71" t="s">
        <v>198</v>
      </c>
      <c r="B3908" s="71" t="s">
        <v>199</v>
      </c>
      <c r="C3908" s="71" t="s">
        <v>187</v>
      </c>
      <c r="D3908" s="71" t="s">
        <v>185</v>
      </c>
      <c r="E3908" s="71" t="s">
        <v>47</v>
      </c>
      <c r="F3908" s="71" t="s">
        <v>300</v>
      </c>
      <c r="G3908" s="88">
        <v>46286.690613425897</v>
      </c>
      <c r="H3908" s="89">
        <v>46286</v>
      </c>
      <c r="I3908" s="71" t="s">
        <v>314</v>
      </c>
      <c r="J3908" s="71">
        <v>0</v>
      </c>
      <c r="K3908" s="71" t="s">
        <v>302</v>
      </c>
      <c r="L3908" s="71">
        <f t="shared" si="549"/>
        <v>9</v>
      </c>
      <c r="M3908" s="71" t="str">
        <f>IFERROR(INDEX(KALENDER!$D$3:$D$132,MATCH(H3908,KALENDER!$A$3:$A$132,0)),"Di luar periode")</f>
        <v>Hari Kerja</v>
      </c>
      <c r="N3908" s="71">
        <f t="shared" si="550"/>
        <v>0</v>
      </c>
      <c r="O3908" s="71">
        <f t="shared" si="551"/>
        <v>1</v>
      </c>
      <c r="P3908" s="71">
        <f t="shared" si="552"/>
        <v>0</v>
      </c>
      <c r="Q3908" s="71">
        <f t="shared" si="553"/>
        <v>0</v>
      </c>
      <c r="R3908" s="71">
        <f t="shared" si="554"/>
        <v>0</v>
      </c>
      <c r="S3908" s="71">
        <f t="shared" si="555"/>
        <v>0</v>
      </c>
      <c r="T3908" s="71">
        <f t="shared" si="556"/>
        <v>0</v>
      </c>
      <c r="U3908" s="71">
        <f>IF(AND(N3908=1,V3908=1),IF(COUNTIFS(AKTIVITAS!$B$2:$B$3052,B3908,AKTIVITAS!$E$2:$E$3052,H3908)&gt;0,1,0),0)</f>
        <v>0</v>
      </c>
      <c r="V3908" s="71">
        <f>IFERROR(IF(AND(H3908&gt;=INDEX(PEMAGANG!$J$3:$J$36,MATCH(B3908,PEMAGANG!$C$3:$C$36,0)),H3908&lt;=INDEX(PEMAGANG!$K$3:$K$36,MATCH(B3908,PEMAGANG!$C$3:$C$36,0))),1,0),0)</f>
        <v>1</v>
      </c>
      <c r="W3908" s="71">
        <f t="shared" si="557"/>
        <v>0</v>
      </c>
    </row>
    <row r="3909" spans="1:23" x14ac:dyDescent="0.2">
      <c r="A3909" s="71" t="s">
        <v>198</v>
      </c>
      <c r="B3909" s="71" t="s">
        <v>199</v>
      </c>
      <c r="C3909" s="71" t="s">
        <v>187</v>
      </c>
      <c r="D3909" s="71" t="s">
        <v>185</v>
      </c>
      <c r="E3909" s="71" t="s">
        <v>47</v>
      </c>
      <c r="F3909" s="71" t="s">
        <v>298</v>
      </c>
      <c r="G3909" s="88">
        <v>46287.308599536998</v>
      </c>
      <c r="H3909" s="89">
        <v>46287</v>
      </c>
      <c r="I3909" s="71" t="s">
        <v>303</v>
      </c>
      <c r="J3909" s="71">
        <v>-5.9999999999999796</v>
      </c>
      <c r="K3909" s="71" t="s">
        <v>302</v>
      </c>
      <c r="L3909" s="71">
        <f t="shared" si="549"/>
        <v>9</v>
      </c>
      <c r="M3909" s="71" t="str">
        <f>IFERROR(INDEX(KALENDER!$D$3:$D$132,MATCH(H3909,KALENDER!$A$3:$A$132,0)),"Di luar periode")</f>
        <v>Hari Kerja</v>
      </c>
      <c r="N3909" s="71">
        <f t="shared" si="550"/>
        <v>1</v>
      </c>
      <c r="O3909" s="71">
        <f t="shared" si="551"/>
        <v>1</v>
      </c>
      <c r="P3909" s="71">
        <f t="shared" si="552"/>
        <v>1</v>
      </c>
      <c r="Q3909" s="71">
        <f t="shared" si="553"/>
        <v>0</v>
      </c>
      <c r="R3909" s="71">
        <f t="shared" si="554"/>
        <v>0</v>
      </c>
      <c r="S3909" s="71">
        <f t="shared" si="555"/>
        <v>0</v>
      </c>
      <c r="T3909" s="71">
        <f t="shared" si="556"/>
        <v>0</v>
      </c>
      <c r="U3909" s="71">
        <f>IF(AND(N3909=1,V3909=1),IF(COUNTIFS(AKTIVITAS!$B$2:$B$3052,B3909,AKTIVITAS!$E$2:$E$3052,H3909)&gt;0,1,0),0)</f>
        <v>1</v>
      </c>
      <c r="V3909" s="71">
        <f>IFERROR(IF(AND(H3909&gt;=INDEX(PEMAGANG!$J$3:$J$36,MATCH(B3909,PEMAGANG!$C$3:$C$36,0)),H3909&lt;=INDEX(PEMAGANG!$K$3:$K$36,MATCH(B3909,PEMAGANG!$C$3:$C$36,0))),1,0),0)</f>
        <v>1</v>
      </c>
      <c r="W3909" s="71">
        <f t="shared" si="557"/>
        <v>1</v>
      </c>
    </row>
    <row r="3910" spans="1:23" x14ac:dyDescent="0.2">
      <c r="A3910" s="71" t="s">
        <v>198</v>
      </c>
      <c r="B3910" s="71" t="s">
        <v>199</v>
      </c>
      <c r="C3910" s="71" t="s">
        <v>187</v>
      </c>
      <c r="D3910" s="71" t="s">
        <v>185</v>
      </c>
      <c r="E3910" s="71" t="s">
        <v>47</v>
      </c>
      <c r="F3910" s="71" t="s">
        <v>300</v>
      </c>
      <c r="G3910" s="88">
        <v>46287.694826388899</v>
      </c>
      <c r="H3910" s="89">
        <v>46287</v>
      </c>
      <c r="I3910" s="71" t="s">
        <v>343</v>
      </c>
      <c r="J3910" s="71">
        <v>0</v>
      </c>
      <c r="K3910" s="71" t="s">
        <v>302</v>
      </c>
      <c r="L3910" s="71">
        <f t="shared" si="549"/>
        <v>9</v>
      </c>
      <c r="M3910" s="71" t="str">
        <f>IFERROR(INDEX(KALENDER!$D$3:$D$132,MATCH(H3910,KALENDER!$A$3:$A$132,0)),"Di luar periode")</f>
        <v>Hari Kerja</v>
      </c>
      <c r="N3910" s="71">
        <f t="shared" si="550"/>
        <v>0</v>
      </c>
      <c r="O3910" s="71">
        <f t="shared" si="551"/>
        <v>1</v>
      </c>
      <c r="P3910" s="71">
        <f t="shared" si="552"/>
        <v>0</v>
      </c>
      <c r="Q3910" s="71">
        <f t="shared" si="553"/>
        <v>0</v>
      </c>
      <c r="R3910" s="71">
        <f t="shared" si="554"/>
        <v>0</v>
      </c>
      <c r="S3910" s="71">
        <f t="shared" si="555"/>
        <v>0</v>
      </c>
      <c r="T3910" s="71">
        <f t="shared" si="556"/>
        <v>0</v>
      </c>
      <c r="U3910" s="71">
        <f>IF(AND(N3910=1,V3910=1),IF(COUNTIFS(AKTIVITAS!$B$2:$B$3052,B3910,AKTIVITAS!$E$2:$E$3052,H3910)&gt;0,1,0),0)</f>
        <v>0</v>
      </c>
      <c r="V3910" s="71">
        <f>IFERROR(IF(AND(H3910&gt;=INDEX(PEMAGANG!$J$3:$J$36,MATCH(B3910,PEMAGANG!$C$3:$C$36,0)),H3910&lt;=INDEX(PEMAGANG!$K$3:$K$36,MATCH(B3910,PEMAGANG!$C$3:$C$36,0))),1,0),0)</f>
        <v>1</v>
      </c>
      <c r="W3910" s="71">
        <f t="shared" si="557"/>
        <v>0</v>
      </c>
    </row>
    <row r="3911" spans="1:23" x14ac:dyDescent="0.2">
      <c r="A3911" s="71" t="s">
        <v>198</v>
      </c>
      <c r="B3911" s="71" t="s">
        <v>199</v>
      </c>
      <c r="C3911" s="71" t="s">
        <v>187</v>
      </c>
      <c r="D3911" s="71" t="s">
        <v>185</v>
      </c>
      <c r="E3911" s="71" t="s">
        <v>47</v>
      </c>
      <c r="F3911" s="71" t="s">
        <v>298</v>
      </c>
      <c r="G3911" s="88">
        <v>46288.309282407397</v>
      </c>
      <c r="H3911" s="89">
        <v>46288</v>
      </c>
      <c r="I3911" s="71" t="s">
        <v>307</v>
      </c>
      <c r="J3911" s="71">
        <v>-4.9999999999999796</v>
      </c>
      <c r="K3911" s="71" t="s">
        <v>302</v>
      </c>
      <c r="L3911" s="71">
        <f t="shared" si="549"/>
        <v>9</v>
      </c>
      <c r="M3911" s="71" t="str">
        <f>IFERROR(INDEX(KALENDER!$D$3:$D$132,MATCH(H3911,KALENDER!$A$3:$A$132,0)),"Di luar periode")</f>
        <v>Hari Kerja</v>
      </c>
      <c r="N3911" s="71">
        <f t="shared" si="550"/>
        <v>1</v>
      </c>
      <c r="O3911" s="71">
        <f t="shared" si="551"/>
        <v>1</v>
      </c>
      <c r="P3911" s="71">
        <f t="shared" si="552"/>
        <v>1</v>
      </c>
      <c r="Q3911" s="71">
        <f t="shared" si="553"/>
        <v>0</v>
      </c>
      <c r="R3911" s="71">
        <f t="shared" si="554"/>
        <v>0</v>
      </c>
      <c r="S3911" s="71">
        <f t="shared" si="555"/>
        <v>0</v>
      </c>
      <c r="T3911" s="71">
        <f t="shared" si="556"/>
        <v>0</v>
      </c>
      <c r="U3911" s="71">
        <f>IF(AND(N3911=1,V3911=1),IF(COUNTIFS(AKTIVITAS!$B$2:$B$3052,B3911,AKTIVITAS!$E$2:$E$3052,H3911)&gt;0,1,0),0)</f>
        <v>1</v>
      </c>
      <c r="V3911" s="71">
        <f>IFERROR(IF(AND(H3911&gt;=INDEX(PEMAGANG!$J$3:$J$36,MATCH(B3911,PEMAGANG!$C$3:$C$36,0)),H3911&lt;=INDEX(PEMAGANG!$K$3:$K$36,MATCH(B3911,PEMAGANG!$C$3:$C$36,0))),1,0),0)</f>
        <v>1</v>
      </c>
      <c r="W3911" s="71">
        <f t="shared" si="557"/>
        <v>1</v>
      </c>
    </row>
    <row r="3912" spans="1:23" x14ac:dyDescent="0.2">
      <c r="A3912" s="71" t="s">
        <v>198</v>
      </c>
      <c r="B3912" s="71" t="s">
        <v>199</v>
      </c>
      <c r="C3912" s="71" t="s">
        <v>187</v>
      </c>
      <c r="D3912" s="71" t="s">
        <v>185</v>
      </c>
      <c r="E3912" s="71" t="s">
        <v>47</v>
      </c>
      <c r="F3912" s="71" t="s">
        <v>300</v>
      </c>
      <c r="G3912" s="88">
        <v>46288.6897453704</v>
      </c>
      <c r="H3912" s="89">
        <v>46288</v>
      </c>
      <c r="I3912" s="71" t="s">
        <v>316</v>
      </c>
      <c r="J3912" s="71">
        <v>0</v>
      </c>
      <c r="K3912" s="71" t="s">
        <v>302</v>
      </c>
      <c r="L3912" s="71">
        <f t="shared" si="549"/>
        <v>9</v>
      </c>
      <c r="M3912" s="71" t="str">
        <f>IFERROR(INDEX(KALENDER!$D$3:$D$132,MATCH(H3912,KALENDER!$A$3:$A$132,0)),"Di luar periode")</f>
        <v>Hari Kerja</v>
      </c>
      <c r="N3912" s="71">
        <f t="shared" si="550"/>
        <v>0</v>
      </c>
      <c r="O3912" s="71">
        <f t="shared" si="551"/>
        <v>1</v>
      </c>
      <c r="P3912" s="71">
        <f t="shared" si="552"/>
        <v>0</v>
      </c>
      <c r="Q3912" s="71">
        <f t="shared" si="553"/>
        <v>0</v>
      </c>
      <c r="R3912" s="71">
        <f t="shared" si="554"/>
        <v>0</v>
      </c>
      <c r="S3912" s="71">
        <f t="shared" si="555"/>
        <v>0</v>
      </c>
      <c r="T3912" s="71">
        <f t="shared" si="556"/>
        <v>0</v>
      </c>
      <c r="U3912" s="71">
        <f>IF(AND(N3912=1,V3912=1),IF(COUNTIFS(AKTIVITAS!$B$2:$B$3052,B3912,AKTIVITAS!$E$2:$E$3052,H3912)&gt;0,1,0),0)</f>
        <v>0</v>
      </c>
      <c r="V3912" s="71">
        <f>IFERROR(IF(AND(H3912&gt;=INDEX(PEMAGANG!$J$3:$J$36,MATCH(B3912,PEMAGANG!$C$3:$C$36,0)),H3912&lt;=INDEX(PEMAGANG!$K$3:$K$36,MATCH(B3912,PEMAGANG!$C$3:$C$36,0))),1,0),0)</f>
        <v>1</v>
      </c>
      <c r="W3912" s="71">
        <f t="shared" si="557"/>
        <v>0</v>
      </c>
    </row>
    <row r="3913" spans="1:23" x14ac:dyDescent="0.2">
      <c r="A3913" s="71" t="s">
        <v>198</v>
      </c>
      <c r="B3913" s="71" t="s">
        <v>199</v>
      </c>
      <c r="C3913" s="71" t="s">
        <v>187</v>
      </c>
      <c r="D3913" s="71" t="s">
        <v>185</v>
      </c>
      <c r="E3913" s="71" t="s">
        <v>47</v>
      </c>
      <c r="F3913" s="71" t="s">
        <v>298</v>
      </c>
      <c r="G3913" s="88">
        <v>46289.3124537037</v>
      </c>
      <c r="H3913" s="89">
        <v>46289</v>
      </c>
      <c r="I3913" s="71" t="s">
        <v>365</v>
      </c>
      <c r="J3913" s="71">
        <v>-0.999999999999996</v>
      </c>
      <c r="K3913" s="71" t="s">
        <v>302</v>
      </c>
      <c r="L3913" s="71">
        <f t="shared" si="549"/>
        <v>9</v>
      </c>
      <c r="M3913" s="71" t="str">
        <f>IFERROR(INDEX(KALENDER!$D$3:$D$132,MATCH(H3913,KALENDER!$A$3:$A$132,0)),"Di luar periode")</f>
        <v>Hari Kerja</v>
      </c>
      <c r="N3913" s="71">
        <f t="shared" si="550"/>
        <v>1</v>
      </c>
      <c r="O3913" s="71">
        <f t="shared" si="551"/>
        <v>1</v>
      </c>
      <c r="P3913" s="71">
        <f t="shared" si="552"/>
        <v>1</v>
      </c>
      <c r="Q3913" s="71">
        <f t="shared" si="553"/>
        <v>0</v>
      </c>
      <c r="R3913" s="71">
        <f t="shared" si="554"/>
        <v>0</v>
      </c>
      <c r="S3913" s="71">
        <f t="shared" si="555"/>
        <v>0</v>
      </c>
      <c r="T3913" s="71">
        <f t="shared" si="556"/>
        <v>0</v>
      </c>
      <c r="U3913" s="71">
        <f>IF(AND(N3913=1,V3913=1),IF(COUNTIFS(AKTIVITAS!$B$2:$B$3052,B3913,AKTIVITAS!$E$2:$E$3052,H3913)&gt;0,1,0),0)</f>
        <v>1</v>
      </c>
      <c r="V3913" s="71">
        <f>IFERROR(IF(AND(H3913&gt;=INDEX(PEMAGANG!$J$3:$J$36,MATCH(B3913,PEMAGANG!$C$3:$C$36,0)),H3913&lt;=INDEX(PEMAGANG!$K$3:$K$36,MATCH(B3913,PEMAGANG!$C$3:$C$36,0))),1,0),0)</f>
        <v>1</v>
      </c>
      <c r="W3913" s="71">
        <f t="shared" si="557"/>
        <v>1</v>
      </c>
    </row>
    <row r="3914" spans="1:23" x14ac:dyDescent="0.2">
      <c r="A3914" s="71" t="s">
        <v>198</v>
      </c>
      <c r="B3914" s="71" t="s">
        <v>199</v>
      </c>
      <c r="C3914" s="71" t="s">
        <v>187</v>
      </c>
      <c r="D3914" s="71" t="s">
        <v>185</v>
      </c>
      <c r="E3914" s="71" t="s">
        <v>47</v>
      </c>
      <c r="F3914" s="71" t="s">
        <v>300</v>
      </c>
      <c r="G3914" s="88">
        <v>46289.690891203703</v>
      </c>
      <c r="H3914" s="89">
        <v>46289</v>
      </c>
      <c r="I3914" s="71" t="s">
        <v>314</v>
      </c>
      <c r="J3914" s="71">
        <v>0</v>
      </c>
      <c r="K3914" s="71" t="s">
        <v>302</v>
      </c>
      <c r="L3914" s="71">
        <f t="shared" si="549"/>
        <v>9</v>
      </c>
      <c r="M3914" s="71" t="str">
        <f>IFERROR(INDEX(KALENDER!$D$3:$D$132,MATCH(H3914,KALENDER!$A$3:$A$132,0)),"Di luar periode")</f>
        <v>Hari Kerja</v>
      </c>
      <c r="N3914" s="71">
        <f t="shared" si="550"/>
        <v>0</v>
      </c>
      <c r="O3914" s="71">
        <f t="shared" si="551"/>
        <v>1</v>
      </c>
      <c r="P3914" s="71">
        <f t="shared" si="552"/>
        <v>0</v>
      </c>
      <c r="Q3914" s="71">
        <f t="shared" si="553"/>
        <v>0</v>
      </c>
      <c r="R3914" s="71">
        <f t="shared" si="554"/>
        <v>0</v>
      </c>
      <c r="S3914" s="71">
        <f t="shared" si="555"/>
        <v>0</v>
      </c>
      <c r="T3914" s="71">
        <f t="shared" si="556"/>
        <v>0</v>
      </c>
      <c r="U3914" s="71">
        <f>IF(AND(N3914=1,V3914=1),IF(COUNTIFS(AKTIVITAS!$B$2:$B$3052,B3914,AKTIVITAS!$E$2:$E$3052,H3914)&gt;0,1,0),0)</f>
        <v>0</v>
      </c>
      <c r="V3914" s="71">
        <f>IFERROR(IF(AND(H3914&gt;=INDEX(PEMAGANG!$J$3:$J$36,MATCH(B3914,PEMAGANG!$C$3:$C$36,0)),H3914&lt;=INDEX(PEMAGANG!$K$3:$K$36,MATCH(B3914,PEMAGANG!$C$3:$C$36,0))),1,0),0)</f>
        <v>1</v>
      </c>
      <c r="W3914" s="71">
        <f t="shared" si="557"/>
        <v>0</v>
      </c>
    </row>
    <row r="3915" spans="1:23" x14ac:dyDescent="0.2">
      <c r="A3915" s="71" t="s">
        <v>198</v>
      </c>
      <c r="B3915" s="71" t="s">
        <v>199</v>
      </c>
      <c r="C3915" s="71" t="s">
        <v>187</v>
      </c>
      <c r="D3915" s="71" t="s">
        <v>185</v>
      </c>
      <c r="E3915" s="71" t="s">
        <v>47</v>
      </c>
      <c r="F3915" s="71" t="s">
        <v>300</v>
      </c>
      <c r="G3915" s="88">
        <v>46289.690937500003</v>
      </c>
      <c r="H3915" s="89">
        <v>46289</v>
      </c>
      <c r="I3915" s="71" t="s">
        <v>314</v>
      </c>
      <c r="J3915" s="71">
        <v>0</v>
      </c>
      <c r="K3915" s="71" t="s">
        <v>302</v>
      </c>
      <c r="L3915" s="71">
        <f t="shared" si="549"/>
        <v>9</v>
      </c>
      <c r="M3915" s="71" t="str">
        <f>IFERROR(INDEX(KALENDER!$D$3:$D$132,MATCH(H3915,KALENDER!$A$3:$A$132,0)),"Di luar periode")</f>
        <v>Hari Kerja</v>
      </c>
      <c r="N3915" s="71">
        <f t="shared" si="550"/>
        <v>0</v>
      </c>
      <c r="O3915" s="71">
        <f t="shared" si="551"/>
        <v>1</v>
      </c>
      <c r="P3915" s="71">
        <f t="shared" si="552"/>
        <v>0</v>
      </c>
      <c r="Q3915" s="71">
        <f t="shared" si="553"/>
        <v>0</v>
      </c>
      <c r="R3915" s="71">
        <f t="shared" si="554"/>
        <v>0</v>
      </c>
      <c r="S3915" s="71">
        <f t="shared" si="555"/>
        <v>0</v>
      </c>
      <c r="T3915" s="71">
        <f t="shared" si="556"/>
        <v>0</v>
      </c>
      <c r="U3915" s="71">
        <f>IF(AND(N3915=1,V3915=1),IF(COUNTIFS(AKTIVITAS!$B$2:$B$3052,B3915,AKTIVITAS!$E$2:$E$3052,H3915)&gt;0,1,0),0)</f>
        <v>0</v>
      </c>
      <c r="V3915" s="71">
        <f>IFERROR(IF(AND(H3915&gt;=INDEX(PEMAGANG!$J$3:$J$36,MATCH(B3915,PEMAGANG!$C$3:$C$36,0)),H3915&lt;=INDEX(PEMAGANG!$K$3:$K$36,MATCH(B3915,PEMAGANG!$C$3:$C$36,0))),1,0),0)</f>
        <v>1</v>
      </c>
      <c r="W3915" s="71">
        <f t="shared" si="557"/>
        <v>0</v>
      </c>
    </row>
    <row r="3916" spans="1:23" x14ac:dyDescent="0.2">
      <c r="A3916" s="71" t="s">
        <v>198</v>
      </c>
      <c r="B3916" s="71" t="s">
        <v>199</v>
      </c>
      <c r="C3916" s="71" t="s">
        <v>187</v>
      </c>
      <c r="D3916" s="71" t="s">
        <v>185</v>
      </c>
      <c r="E3916" s="71" t="s">
        <v>47</v>
      </c>
      <c r="F3916" s="71" t="s">
        <v>298</v>
      </c>
      <c r="G3916" s="88">
        <v>46290.310497685197</v>
      </c>
      <c r="H3916" s="89">
        <v>46290</v>
      </c>
      <c r="I3916" s="71" t="s">
        <v>309</v>
      </c>
      <c r="J3916" s="71">
        <v>-2.9999999999999898</v>
      </c>
      <c r="K3916" s="71" t="s">
        <v>302</v>
      </c>
      <c r="L3916" s="71">
        <f t="shared" si="549"/>
        <v>9</v>
      </c>
      <c r="M3916" s="71" t="str">
        <f>IFERROR(INDEX(KALENDER!$D$3:$D$132,MATCH(H3916,KALENDER!$A$3:$A$132,0)),"Di luar periode")</f>
        <v>Hari Kerja</v>
      </c>
      <c r="N3916" s="71">
        <f t="shared" si="550"/>
        <v>1</v>
      </c>
      <c r="O3916" s="71">
        <f t="shared" si="551"/>
        <v>1</v>
      </c>
      <c r="P3916" s="71">
        <f t="shared" si="552"/>
        <v>1</v>
      </c>
      <c r="Q3916" s="71">
        <f t="shared" si="553"/>
        <v>0</v>
      </c>
      <c r="R3916" s="71">
        <f t="shared" si="554"/>
        <v>0</v>
      </c>
      <c r="S3916" s="71">
        <f t="shared" si="555"/>
        <v>0</v>
      </c>
      <c r="T3916" s="71">
        <f t="shared" si="556"/>
        <v>0</v>
      </c>
      <c r="U3916" s="71">
        <f>IF(AND(N3916=1,V3916=1),IF(COUNTIFS(AKTIVITAS!$B$2:$B$3052,B3916,AKTIVITAS!$E$2:$E$3052,H3916)&gt;0,1,0),0)</f>
        <v>1</v>
      </c>
      <c r="V3916" s="71">
        <f>IFERROR(IF(AND(H3916&gt;=INDEX(PEMAGANG!$J$3:$J$36,MATCH(B3916,PEMAGANG!$C$3:$C$36,0)),H3916&lt;=INDEX(PEMAGANG!$K$3:$K$36,MATCH(B3916,PEMAGANG!$C$3:$C$36,0))),1,0),0)</f>
        <v>1</v>
      </c>
      <c r="W3916" s="71">
        <f t="shared" si="557"/>
        <v>1</v>
      </c>
    </row>
    <row r="3917" spans="1:23" x14ac:dyDescent="0.2">
      <c r="A3917" s="71" t="s">
        <v>198</v>
      </c>
      <c r="B3917" s="71" t="s">
        <v>199</v>
      </c>
      <c r="C3917" s="71" t="s">
        <v>187</v>
      </c>
      <c r="D3917" s="71" t="s">
        <v>185</v>
      </c>
      <c r="E3917" s="71" t="s">
        <v>47</v>
      </c>
      <c r="F3917" s="71" t="s">
        <v>300</v>
      </c>
      <c r="G3917" s="88">
        <v>46290.7059606482</v>
      </c>
      <c r="H3917" s="89">
        <v>46290</v>
      </c>
      <c r="I3917" s="71" t="s">
        <v>474</v>
      </c>
      <c r="J3917" s="71">
        <v>0</v>
      </c>
      <c r="K3917" s="71" t="s">
        <v>302</v>
      </c>
      <c r="L3917" s="71">
        <f t="shared" si="549"/>
        <v>9</v>
      </c>
      <c r="M3917" s="71" t="str">
        <f>IFERROR(INDEX(KALENDER!$D$3:$D$132,MATCH(H3917,KALENDER!$A$3:$A$132,0)),"Di luar periode")</f>
        <v>Hari Kerja</v>
      </c>
      <c r="N3917" s="71">
        <f t="shared" si="550"/>
        <v>0</v>
      </c>
      <c r="O3917" s="71">
        <f t="shared" si="551"/>
        <v>1</v>
      </c>
      <c r="P3917" s="71">
        <f t="shared" si="552"/>
        <v>0</v>
      </c>
      <c r="Q3917" s="71">
        <f t="shared" si="553"/>
        <v>0</v>
      </c>
      <c r="R3917" s="71">
        <f t="shared" si="554"/>
        <v>0</v>
      </c>
      <c r="S3917" s="71">
        <f t="shared" si="555"/>
        <v>0</v>
      </c>
      <c r="T3917" s="71">
        <f t="shared" si="556"/>
        <v>0</v>
      </c>
      <c r="U3917" s="71">
        <f>IF(AND(N3917=1,V3917=1),IF(COUNTIFS(AKTIVITAS!$B$2:$B$3052,B3917,AKTIVITAS!$E$2:$E$3052,H3917)&gt;0,1,0),0)</f>
        <v>0</v>
      </c>
      <c r="V3917" s="71">
        <f>IFERROR(IF(AND(H3917&gt;=INDEX(PEMAGANG!$J$3:$J$36,MATCH(B3917,PEMAGANG!$C$3:$C$36,0)),H3917&lt;=INDEX(PEMAGANG!$K$3:$K$36,MATCH(B3917,PEMAGANG!$C$3:$C$36,0))),1,0),0)</f>
        <v>1</v>
      </c>
      <c r="W3917" s="71">
        <f t="shared" si="557"/>
        <v>0</v>
      </c>
    </row>
    <row r="3918" spans="1:23" x14ac:dyDescent="0.2">
      <c r="A3918" s="71" t="s">
        <v>198</v>
      </c>
      <c r="B3918" s="71" t="s">
        <v>199</v>
      </c>
      <c r="C3918" s="71" t="s">
        <v>187</v>
      </c>
      <c r="D3918" s="71" t="s">
        <v>185</v>
      </c>
      <c r="E3918" s="71" t="s">
        <v>47</v>
      </c>
      <c r="F3918" s="71" t="s">
        <v>298</v>
      </c>
      <c r="G3918" s="88">
        <v>46293.3072106482</v>
      </c>
      <c r="H3918" s="89">
        <v>46293</v>
      </c>
      <c r="I3918" s="71" t="s">
        <v>313</v>
      </c>
      <c r="J3918" s="71">
        <v>-8.0000000000000497</v>
      </c>
      <c r="K3918" s="71" t="s">
        <v>302</v>
      </c>
      <c r="L3918" s="71">
        <f t="shared" si="549"/>
        <v>9</v>
      </c>
      <c r="M3918" s="71" t="str">
        <f>IFERROR(INDEX(KALENDER!$D$3:$D$132,MATCH(H3918,KALENDER!$A$3:$A$132,0)),"Di luar periode")</f>
        <v>Hari Kerja</v>
      </c>
      <c r="N3918" s="71">
        <f t="shared" si="550"/>
        <v>1</v>
      </c>
      <c r="O3918" s="71">
        <f t="shared" si="551"/>
        <v>1</v>
      </c>
      <c r="P3918" s="71">
        <f t="shared" si="552"/>
        <v>1</v>
      </c>
      <c r="Q3918" s="71">
        <f t="shared" si="553"/>
        <v>0</v>
      </c>
      <c r="R3918" s="71">
        <f t="shared" si="554"/>
        <v>0</v>
      </c>
      <c r="S3918" s="71">
        <f t="shared" si="555"/>
        <v>0</v>
      </c>
      <c r="T3918" s="71">
        <f t="shared" si="556"/>
        <v>0</v>
      </c>
      <c r="U3918" s="71">
        <f>IF(AND(N3918=1,V3918=1),IF(COUNTIFS(AKTIVITAS!$B$2:$B$3052,B3918,AKTIVITAS!$E$2:$E$3052,H3918)&gt;0,1,0),0)</f>
        <v>1</v>
      </c>
      <c r="V3918" s="71">
        <f>IFERROR(IF(AND(H3918&gt;=INDEX(PEMAGANG!$J$3:$J$36,MATCH(B3918,PEMAGANG!$C$3:$C$36,0)),H3918&lt;=INDEX(PEMAGANG!$K$3:$K$36,MATCH(B3918,PEMAGANG!$C$3:$C$36,0))),1,0),0)</f>
        <v>1</v>
      </c>
      <c r="W3918" s="71">
        <f t="shared" si="557"/>
        <v>1</v>
      </c>
    </row>
    <row r="3919" spans="1:23" x14ac:dyDescent="0.2">
      <c r="A3919" s="71" t="s">
        <v>198</v>
      </c>
      <c r="B3919" s="71" t="s">
        <v>199</v>
      </c>
      <c r="C3919" s="71" t="s">
        <v>187</v>
      </c>
      <c r="D3919" s="71" t="s">
        <v>185</v>
      </c>
      <c r="E3919" s="71" t="s">
        <v>47</v>
      </c>
      <c r="F3919" s="71" t="s">
        <v>300</v>
      </c>
      <c r="G3919" s="88">
        <v>46293.7025810185</v>
      </c>
      <c r="H3919" s="89">
        <v>46293</v>
      </c>
      <c r="I3919" s="71" t="s">
        <v>323</v>
      </c>
      <c r="J3919" s="71">
        <v>0</v>
      </c>
      <c r="K3919" s="71" t="s">
        <v>302</v>
      </c>
      <c r="L3919" s="71">
        <f t="shared" si="549"/>
        <v>9</v>
      </c>
      <c r="M3919" s="71" t="str">
        <f>IFERROR(INDEX(KALENDER!$D$3:$D$132,MATCH(H3919,KALENDER!$A$3:$A$132,0)),"Di luar periode")</f>
        <v>Hari Kerja</v>
      </c>
      <c r="N3919" s="71">
        <f t="shared" si="550"/>
        <v>0</v>
      </c>
      <c r="O3919" s="71">
        <f t="shared" si="551"/>
        <v>1</v>
      </c>
      <c r="P3919" s="71">
        <f t="shared" si="552"/>
        <v>0</v>
      </c>
      <c r="Q3919" s="71">
        <f t="shared" si="553"/>
        <v>0</v>
      </c>
      <c r="R3919" s="71">
        <f t="shared" si="554"/>
        <v>0</v>
      </c>
      <c r="S3919" s="71">
        <f t="shared" si="555"/>
        <v>0</v>
      </c>
      <c r="T3919" s="71">
        <f t="shared" si="556"/>
        <v>0</v>
      </c>
      <c r="U3919" s="71">
        <f>IF(AND(N3919=1,V3919=1),IF(COUNTIFS(AKTIVITAS!$B$2:$B$3052,B3919,AKTIVITAS!$E$2:$E$3052,H3919)&gt;0,1,0),0)</f>
        <v>0</v>
      </c>
      <c r="V3919" s="71">
        <f>IFERROR(IF(AND(H3919&gt;=INDEX(PEMAGANG!$J$3:$J$36,MATCH(B3919,PEMAGANG!$C$3:$C$36,0)),H3919&lt;=INDEX(PEMAGANG!$K$3:$K$36,MATCH(B3919,PEMAGANG!$C$3:$C$36,0))),1,0),0)</f>
        <v>1</v>
      </c>
      <c r="W3919" s="71">
        <f t="shared" si="557"/>
        <v>0</v>
      </c>
    </row>
    <row r="3920" spans="1:23" x14ac:dyDescent="0.2">
      <c r="A3920" s="71" t="s">
        <v>198</v>
      </c>
      <c r="B3920" s="71" t="s">
        <v>199</v>
      </c>
      <c r="C3920" s="71" t="s">
        <v>187</v>
      </c>
      <c r="D3920" s="71" t="s">
        <v>185</v>
      </c>
      <c r="E3920" s="71" t="s">
        <v>47</v>
      </c>
      <c r="F3920" s="71" t="s">
        <v>298</v>
      </c>
      <c r="G3920" s="88">
        <v>46294.306655092601</v>
      </c>
      <c r="H3920" s="89">
        <v>46294</v>
      </c>
      <c r="I3920" s="71" t="s">
        <v>305</v>
      </c>
      <c r="J3920" s="71">
        <v>-9.0000000000000497</v>
      </c>
      <c r="K3920" s="71" t="s">
        <v>302</v>
      </c>
      <c r="L3920" s="71">
        <f t="shared" si="549"/>
        <v>9</v>
      </c>
      <c r="M3920" s="71" t="str">
        <f>IFERROR(INDEX(KALENDER!$D$3:$D$132,MATCH(H3920,KALENDER!$A$3:$A$132,0)),"Di luar periode")</f>
        <v>Hari Kerja</v>
      </c>
      <c r="N3920" s="71">
        <f t="shared" si="550"/>
        <v>1</v>
      </c>
      <c r="O3920" s="71">
        <f t="shared" si="551"/>
        <v>1</v>
      </c>
      <c r="P3920" s="71">
        <f t="shared" si="552"/>
        <v>1</v>
      </c>
      <c r="Q3920" s="71">
        <f t="shared" si="553"/>
        <v>0</v>
      </c>
      <c r="R3920" s="71">
        <f t="shared" si="554"/>
        <v>0</v>
      </c>
      <c r="S3920" s="71">
        <f t="shared" si="555"/>
        <v>0</v>
      </c>
      <c r="T3920" s="71">
        <f t="shared" si="556"/>
        <v>0</v>
      </c>
      <c r="U3920" s="71">
        <f>IF(AND(N3920=1,V3920=1),IF(COUNTIFS(AKTIVITAS!$B$2:$B$3052,B3920,AKTIVITAS!$E$2:$E$3052,H3920)&gt;0,1,0),0)</f>
        <v>1</v>
      </c>
      <c r="V3920" s="71">
        <f>IFERROR(IF(AND(H3920&gt;=INDEX(PEMAGANG!$J$3:$J$36,MATCH(B3920,PEMAGANG!$C$3:$C$36,0)),H3920&lt;=INDEX(PEMAGANG!$K$3:$K$36,MATCH(B3920,PEMAGANG!$C$3:$C$36,0))),1,0),0)</f>
        <v>1</v>
      </c>
      <c r="W3920" s="71">
        <f t="shared" si="557"/>
        <v>1</v>
      </c>
    </row>
    <row r="3921" spans="1:23" x14ac:dyDescent="0.2">
      <c r="A3921" s="71" t="s">
        <v>198</v>
      </c>
      <c r="B3921" s="71" t="s">
        <v>199</v>
      </c>
      <c r="C3921" s="71" t="s">
        <v>187</v>
      </c>
      <c r="D3921" s="71" t="s">
        <v>185</v>
      </c>
      <c r="E3921" s="71" t="s">
        <v>47</v>
      </c>
      <c r="F3921" s="71" t="s">
        <v>300</v>
      </c>
      <c r="G3921" s="88">
        <v>46294.689652777801</v>
      </c>
      <c r="H3921" s="89">
        <v>46294</v>
      </c>
      <c r="I3921" s="71" t="s">
        <v>316</v>
      </c>
      <c r="J3921" s="71">
        <v>0</v>
      </c>
      <c r="K3921" s="71" t="s">
        <v>302</v>
      </c>
      <c r="L3921" s="71">
        <f t="shared" si="549"/>
        <v>9</v>
      </c>
      <c r="M3921" s="71" t="str">
        <f>IFERROR(INDEX(KALENDER!$D$3:$D$132,MATCH(H3921,KALENDER!$A$3:$A$132,0)),"Di luar periode")</f>
        <v>Hari Kerja</v>
      </c>
      <c r="N3921" s="71">
        <f t="shared" si="550"/>
        <v>0</v>
      </c>
      <c r="O3921" s="71">
        <f t="shared" si="551"/>
        <v>1</v>
      </c>
      <c r="P3921" s="71">
        <f t="shared" si="552"/>
        <v>0</v>
      </c>
      <c r="Q3921" s="71">
        <f t="shared" si="553"/>
        <v>0</v>
      </c>
      <c r="R3921" s="71">
        <f t="shared" si="554"/>
        <v>0</v>
      </c>
      <c r="S3921" s="71">
        <f t="shared" si="555"/>
        <v>0</v>
      </c>
      <c r="T3921" s="71">
        <f t="shared" si="556"/>
        <v>0</v>
      </c>
      <c r="U3921" s="71">
        <f>IF(AND(N3921=1,V3921=1),IF(COUNTIFS(AKTIVITAS!$B$2:$B$3052,B3921,AKTIVITAS!$E$2:$E$3052,H3921)&gt;0,1,0),0)</f>
        <v>0</v>
      </c>
      <c r="V3921" s="71">
        <f>IFERROR(IF(AND(H3921&gt;=INDEX(PEMAGANG!$J$3:$J$36,MATCH(B3921,PEMAGANG!$C$3:$C$36,0)),H3921&lt;=INDEX(PEMAGANG!$K$3:$K$36,MATCH(B3921,PEMAGANG!$C$3:$C$36,0))),1,0),0)</f>
        <v>1</v>
      </c>
      <c r="W3921" s="71">
        <f t="shared" si="557"/>
        <v>0</v>
      </c>
    </row>
    <row r="3922" spans="1:23" x14ac:dyDescent="0.2">
      <c r="A3922" s="71" t="s">
        <v>198</v>
      </c>
      <c r="B3922" s="71" t="s">
        <v>199</v>
      </c>
      <c r="C3922" s="71" t="s">
        <v>187</v>
      </c>
      <c r="D3922" s="71" t="s">
        <v>185</v>
      </c>
      <c r="E3922" s="71" t="s">
        <v>47</v>
      </c>
      <c r="F3922" s="71" t="s">
        <v>298</v>
      </c>
      <c r="G3922" s="88">
        <v>46295.307187500002</v>
      </c>
      <c r="H3922" s="89">
        <v>46295</v>
      </c>
      <c r="I3922" s="71" t="s">
        <v>313</v>
      </c>
      <c r="J3922" s="71">
        <v>-8.0000000000000497</v>
      </c>
      <c r="K3922" s="71" t="s">
        <v>302</v>
      </c>
      <c r="L3922" s="71">
        <f t="shared" si="549"/>
        <v>9</v>
      </c>
      <c r="M3922" s="71" t="str">
        <f>IFERROR(INDEX(KALENDER!$D$3:$D$132,MATCH(H3922,KALENDER!$A$3:$A$132,0)),"Di luar periode")</f>
        <v>Hari Kerja</v>
      </c>
      <c r="N3922" s="71">
        <f t="shared" si="550"/>
        <v>1</v>
      </c>
      <c r="O3922" s="71">
        <f t="shared" si="551"/>
        <v>1</v>
      </c>
      <c r="P3922" s="71">
        <f t="shared" si="552"/>
        <v>1</v>
      </c>
      <c r="Q3922" s="71">
        <f t="shared" si="553"/>
        <v>0</v>
      </c>
      <c r="R3922" s="71">
        <f t="shared" si="554"/>
        <v>0</v>
      </c>
      <c r="S3922" s="71">
        <f t="shared" si="555"/>
        <v>0</v>
      </c>
      <c r="T3922" s="71">
        <f t="shared" si="556"/>
        <v>0</v>
      </c>
      <c r="U3922" s="71">
        <f>IF(AND(N3922=1,V3922=1),IF(COUNTIFS(AKTIVITAS!$B$2:$B$3052,B3922,AKTIVITAS!$E$2:$E$3052,H3922)&gt;0,1,0),0)</f>
        <v>1</v>
      </c>
      <c r="V3922" s="71">
        <f>IFERROR(IF(AND(H3922&gt;=INDEX(PEMAGANG!$J$3:$J$36,MATCH(B3922,PEMAGANG!$C$3:$C$36,0)),H3922&lt;=INDEX(PEMAGANG!$K$3:$K$36,MATCH(B3922,PEMAGANG!$C$3:$C$36,0))),1,0),0)</f>
        <v>1</v>
      </c>
      <c r="W3922" s="71">
        <f t="shared" si="557"/>
        <v>1</v>
      </c>
    </row>
    <row r="3923" spans="1:23" x14ac:dyDescent="0.2">
      <c r="A3923" s="71" t="s">
        <v>198</v>
      </c>
      <c r="B3923" s="71" t="s">
        <v>199</v>
      </c>
      <c r="C3923" s="71" t="s">
        <v>187</v>
      </c>
      <c r="D3923" s="71" t="s">
        <v>185</v>
      </c>
      <c r="E3923" s="71" t="s">
        <v>47</v>
      </c>
      <c r="F3923" s="71" t="s">
        <v>300</v>
      </c>
      <c r="G3923" s="88">
        <v>46295.689201388901</v>
      </c>
      <c r="H3923" s="89">
        <v>46295</v>
      </c>
      <c r="I3923" s="71" t="s">
        <v>306</v>
      </c>
      <c r="J3923" s="71">
        <v>0</v>
      </c>
      <c r="K3923" s="71" t="s">
        <v>302</v>
      </c>
      <c r="L3923" s="71">
        <f t="shared" si="549"/>
        <v>9</v>
      </c>
      <c r="M3923" s="71" t="str">
        <f>IFERROR(INDEX(KALENDER!$D$3:$D$132,MATCH(H3923,KALENDER!$A$3:$A$132,0)),"Di luar periode")</f>
        <v>Hari Kerja</v>
      </c>
      <c r="N3923" s="71">
        <f t="shared" si="550"/>
        <v>0</v>
      </c>
      <c r="O3923" s="71">
        <f t="shared" si="551"/>
        <v>1</v>
      </c>
      <c r="P3923" s="71">
        <f t="shared" si="552"/>
        <v>0</v>
      </c>
      <c r="Q3923" s="71">
        <f t="shared" si="553"/>
        <v>0</v>
      </c>
      <c r="R3923" s="71">
        <f t="shared" si="554"/>
        <v>0</v>
      </c>
      <c r="S3923" s="71">
        <f t="shared" si="555"/>
        <v>0</v>
      </c>
      <c r="T3923" s="71">
        <f t="shared" si="556"/>
        <v>0</v>
      </c>
      <c r="U3923" s="71">
        <f>IF(AND(N3923=1,V3923=1),IF(COUNTIFS(AKTIVITAS!$B$2:$B$3052,B3923,AKTIVITAS!$E$2:$E$3052,H3923)&gt;0,1,0),0)</f>
        <v>0</v>
      </c>
      <c r="V3923" s="71">
        <f>IFERROR(IF(AND(H3923&gt;=INDEX(PEMAGANG!$J$3:$J$36,MATCH(B3923,PEMAGANG!$C$3:$C$36,0)),H3923&lt;=INDEX(PEMAGANG!$K$3:$K$36,MATCH(B3923,PEMAGANG!$C$3:$C$36,0))),1,0),0)</f>
        <v>1</v>
      </c>
      <c r="W3923" s="71">
        <f t="shared" si="557"/>
        <v>0</v>
      </c>
    </row>
    <row r="3924" spans="1:23" x14ac:dyDescent="0.2">
      <c r="A3924" s="71" t="s">
        <v>200</v>
      </c>
      <c r="B3924" s="71" t="s">
        <v>201</v>
      </c>
      <c r="C3924" s="71" t="s">
        <v>187</v>
      </c>
      <c r="D3924" s="71" t="s">
        <v>185</v>
      </c>
      <c r="E3924" s="71" t="s">
        <v>47</v>
      </c>
      <c r="F3924" s="71" t="s">
        <v>300</v>
      </c>
      <c r="G3924" s="88">
        <v>46175.7015509259</v>
      </c>
      <c r="H3924" s="89">
        <v>46175</v>
      </c>
      <c r="I3924" s="71" t="s">
        <v>334</v>
      </c>
      <c r="J3924" s="71">
        <v>0</v>
      </c>
      <c r="K3924" s="71" t="s">
        <v>302</v>
      </c>
      <c r="L3924" s="71">
        <f t="shared" si="549"/>
        <v>6</v>
      </c>
      <c r="M3924" s="71" t="str">
        <f>IFERROR(INDEX(KALENDER!$D$3:$D$132,MATCH(H3924,KALENDER!$A$3:$A$132,0)),"Di luar periode")</f>
        <v>Hari Kerja</v>
      </c>
      <c r="N3924" s="71">
        <f t="shared" si="550"/>
        <v>1</v>
      </c>
      <c r="O3924" s="71">
        <f t="shared" si="551"/>
        <v>0</v>
      </c>
      <c r="P3924" s="71">
        <f t="shared" si="552"/>
        <v>1</v>
      </c>
      <c r="Q3924" s="71">
        <f t="shared" si="553"/>
        <v>0</v>
      </c>
      <c r="R3924" s="71">
        <f t="shared" si="554"/>
        <v>0</v>
      </c>
      <c r="S3924" s="71">
        <f t="shared" si="555"/>
        <v>0</v>
      </c>
      <c r="T3924" s="71">
        <f t="shared" si="556"/>
        <v>0</v>
      </c>
      <c r="U3924" s="71">
        <f>IF(AND(N3924=1,V3924=1),IF(COUNTIFS(AKTIVITAS!$B$2:$B$3052,B3924,AKTIVITAS!$E$2:$E$3052,H3924)&gt;0,1,0),0)</f>
        <v>0</v>
      </c>
      <c r="V3924" s="71">
        <f>IFERROR(IF(AND(H3924&gt;=INDEX(PEMAGANG!$J$3:$J$36,MATCH(B3924,PEMAGANG!$C$3:$C$36,0)),H3924&lt;=INDEX(PEMAGANG!$K$3:$K$36,MATCH(B3924,PEMAGANG!$C$3:$C$36,0))),1,0),0)</f>
        <v>1</v>
      </c>
      <c r="W3924" s="71">
        <f t="shared" si="557"/>
        <v>1</v>
      </c>
    </row>
    <row r="3925" spans="1:23" x14ac:dyDescent="0.2">
      <c r="A3925" s="71" t="s">
        <v>200</v>
      </c>
      <c r="B3925" s="71" t="s">
        <v>201</v>
      </c>
      <c r="C3925" s="71" t="s">
        <v>187</v>
      </c>
      <c r="D3925" s="71" t="s">
        <v>185</v>
      </c>
      <c r="E3925" s="71" t="s">
        <v>47</v>
      </c>
      <c r="F3925" s="71" t="s">
        <v>298</v>
      </c>
      <c r="G3925" s="88">
        <v>46177.287372685198</v>
      </c>
      <c r="H3925" s="89">
        <v>46177</v>
      </c>
      <c r="I3925" s="71" t="s">
        <v>512</v>
      </c>
      <c r="J3925" s="71">
        <v>-37</v>
      </c>
      <c r="K3925" s="71" t="s">
        <v>302</v>
      </c>
      <c r="L3925" s="71">
        <f t="shared" si="549"/>
        <v>6</v>
      </c>
      <c r="M3925" s="71" t="str">
        <f>IFERROR(INDEX(KALENDER!$D$3:$D$132,MATCH(H3925,KALENDER!$A$3:$A$132,0)),"Di luar periode")</f>
        <v>Hari Kerja</v>
      </c>
      <c r="N3925" s="71">
        <f t="shared" si="550"/>
        <v>1</v>
      </c>
      <c r="O3925" s="71">
        <f t="shared" si="551"/>
        <v>1</v>
      </c>
      <c r="P3925" s="71">
        <f t="shared" si="552"/>
        <v>1</v>
      </c>
      <c r="Q3925" s="71">
        <f t="shared" si="553"/>
        <v>0</v>
      </c>
      <c r="R3925" s="71">
        <f t="shared" si="554"/>
        <v>0</v>
      </c>
      <c r="S3925" s="71">
        <f t="shared" si="555"/>
        <v>0</v>
      </c>
      <c r="T3925" s="71">
        <f t="shared" si="556"/>
        <v>0</v>
      </c>
      <c r="U3925" s="71">
        <f>IF(AND(N3925=1,V3925=1),IF(COUNTIFS(AKTIVITAS!$B$2:$B$3052,B3925,AKTIVITAS!$E$2:$E$3052,H3925)&gt;0,1,0),0)</f>
        <v>0</v>
      </c>
      <c r="V3925" s="71">
        <f>IFERROR(IF(AND(H3925&gt;=INDEX(PEMAGANG!$J$3:$J$36,MATCH(B3925,PEMAGANG!$C$3:$C$36,0)),H3925&lt;=INDEX(PEMAGANG!$K$3:$K$36,MATCH(B3925,PEMAGANG!$C$3:$C$36,0))),1,0),0)</f>
        <v>1</v>
      </c>
      <c r="W3925" s="71">
        <f t="shared" si="557"/>
        <v>1</v>
      </c>
    </row>
    <row r="3926" spans="1:23" x14ac:dyDescent="0.2">
      <c r="A3926" s="71" t="s">
        <v>200</v>
      </c>
      <c r="B3926" s="71" t="s">
        <v>201</v>
      </c>
      <c r="C3926" s="71" t="s">
        <v>187</v>
      </c>
      <c r="D3926" s="71" t="s">
        <v>185</v>
      </c>
      <c r="E3926" s="71" t="s">
        <v>47</v>
      </c>
      <c r="F3926" s="71" t="s">
        <v>300</v>
      </c>
      <c r="G3926" s="88">
        <v>46177.753321759301</v>
      </c>
      <c r="H3926" s="89">
        <v>46177</v>
      </c>
      <c r="I3926" s="71" t="s">
        <v>468</v>
      </c>
      <c r="J3926" s="71">
        <v>0</v>
      </c>
      <c r="K3926" s="71" t="s">
        <v>302</v>
      </c>
      <c r="L3926" s="71">
        <f t="shared" si="549"/>
        <v>6</v>
      </c>
      <c r="M3926" s="71" t="str">
        <f>IFERROR(INDEX(KALENDER!$D$3:$D$132,MATCH(H3926,KALENDER!$A$3:$A$132,0)),"Di luar periode")</f>
        <v>Hari Kerja</v>
      </c>
      <c r="N3926" s="71">
        <f t="shared" si="550"/>
        <v>0</v>
      </c>
      <c r="O3926" s="71">
        <f t="shared" si="551"/>
        <v>1</v>
      </c>
      <c r="P3926" s="71">
        <f t="shared" si="552"/>
        <v>0</v>
      </c>
      <c r="Q3926" s="71">
        <f t="shared" si="553"/>
        <v>0</v>
      </c>
      <c r="R3926" s="71">
        <f t="shared" si="554"/>
        <v>0</v>
      </c>
      <c r="S3926" s="71">
        <f t="shared" si="555"/>
        <v>0</v>
      </c>
      <c r="T3926" s="71">
        <f t="shared" si="556"/>
        <v>0</v>
      </c>
      <c r="U3926" s="71">
        <f>IF(AND(N3926=1,V3926=1),IF(COUNTIFS(AKTIVITAS!$B$2:$B$3052,B3926,AKTIVITAS!$E$2:$E$3052,H3926)&gt;0,1,0),0)</f>
        <v>0</v>
      </c>
      <c r="V3926" s="71">
        <f>IFERROR(IF(AND(H3926&gt;=INDEX(PEMAGANG!$J$3:$J$36,MATCH(B3926,PEMAGANG!$C$3:$C$36,0)),H3926&lt;=INDEX(PEMAGANG!$K$3:$K$36,MATCH(B3926,PEMAGANG!$C$3:$C$36,0))),1,0),0)</f>
        <v>1</v>
      </c>
      <c r="W3926" s="71">
        <f t="shared" si="557"/>
        <v>0</v>
      </c>
    </row>
    <row r="3927" spans="1:23" x14ac:dyDescent="0.2">
      <c r="A3927" s="71" t="s">
        <v>200</v>
      </c>
      <c r="B3927" s="71" t="s">
        <v>201</v>
      </c>
      <c r="C3927" s="71" t="s">
        <v>187</v>
      </c>
      <c r="D3927" s="71" t="s">
        <v>185</v>
      </c>
      <c r="E3927" s="71" t="s">
        <v>47</v>
      </c>
      <c r="F3927" s="71" t="s">
        <v>298</v>
      </c>
      <c r="G3927" s="88">
        <v>46178.2949421296</v>
      </c>
      <c r="H3927" s="89">
        <v>46178</v>
      </c>
      <c r="I3927" s="71" t="s">
        <v>411</v>
      </c>
      <c r="J3927" s="71">
        <v>-26</v>
      </c>
      <c r="K3927" s="71" t="s">
        <v>302</v>
      </c>
      <c r="L3927" s="71">
        <f t="shared" si="549"/>
        <v>6</v>
      </c>
      <c r="M3927" s="71" t="str">
        <f>IFERROR(INDEX(KALENDER!$D$3:$D$132,MATCH(H3927,KALENDER!$A$3:$A$132,0)),"Di luar periode")</f>
        <v>Hari Kerja</v>
      </c>
      <c r="N3927" s="71">
        <f t="shared" si="550"/>
        <v>1</v>
      </c>
      <c r="O3927" s="71">
        <f t="shared" si="551"/>
        <v>1</v>
      </c>
      <c r="P3927" s="71">
        <f t="shared" si="552"/>
        <v>1</v>
      </c>
      <c r="Q3927" s="71">
        <f t="shared" si="553"/>
        <v>0</v>
      </c>
      <c r="R3927" s="71">
        <f t="shared" si="554"/>
        <v>0</v>
      </c>
      <c r="S3927" s="71">
        <f t="shared" si="555"/>
        <v>0</v>
      </c>
      <c r="T3927" s="71">
        <f t="shared" si="556"/>
        <v>0</v>
      </c>
      <c r="U3927" s="71">
        <f>IF(AND(N3927=1,V3927=1),IF(COUNTIFS(AKTIVITAS!$B$2:$B$3052,B3927,AKTIVITAS!$E$2:$E$3052,H3927)&gt;0,1,0),0)</f>
        <v>1</v>
      </c>
      <c r="V3927" s="71">
        <f>IFERROR(IF(AND(H3927&gt;=INDEX(PEMAGANG!$J$3:$J$36,MATCH(B3927,PEMAGANG!$C$3:$C$36,0)),H3927&lt;=INDEX(PEMAGANG!$K$3:$K$36,MATCH(B3927,PEMAGANG!$C$3:$C$36,0))),1,0),0)</f>
        <v>1</v>
      </c>
      <c r="W3927" s="71">
        <f t="shared" si="557"/>
        <v>1</v>
      </c>
    </row>
    <row r="3928" spans="1:23" x14ac:dyDescent="0.2">
      <c r="A3928" s="71" t="s">
        <v>200</v>
      </c>
      <c r="B3928" s="71" t="s">
        <v>201</v>
      </c>
      <c r="C3928" s="71" t="s">
        <v>187</v>
      </c>
      <c r="D3928" s="71" t="s">
        <v>185</v>
      </c>
      <c r="E3928" s="71" t="s">
        <v>47</v>
      </c>
      <c r="F3928" s="71" t="s">
        <v>300</v>
      </c>
      <c r="G3928" s="88">
        <v>46178.773125</v>
      </c>
      <c r="H3928" s="89">
        <v>46178</v>
      </c>
      <c r="I3928" s="71" t="s">
        <v>356</v>
      </c>
      <c r="J3928" s="71">
        <v>0</v>
      </c>
      <c r="K3928" s="71" t="s">
        <v>302</v>
      </c>
      <c r="L3928" s="71">
        <f t="shared" si="549"/>
        <v>6</v>
      </c>
      <c r="M3928" s="71" t="str">
        <f>IFERROR(INDEX(KALENDER!$D$3:$D$132,MATCH(H3928,KALENDER!$A$3:$A$132,0)),"Di luar periode")</f>
        <v>Hari Kerja</v>
      </c>
      <c r="N3928" s="71">
        <f t="shared" si="550"/>
        <v>0</v>
      </c>
      <c r="O3928" s="71">
        <f t="shared" si="551"/>
        <v>1</v>
      </c>
      <c r="P3928" s="71">
        <f t="shared" si="552"/>
        <v>0</v>
      </c>
      <c r="Q3928" s="71">
        <f t="shared" si="553"/>
        <v>0</v>
      </c>
      <c r="R3928" s="71">
        <f t="shared" si="554"/>
        <v>0</v>
      </c>
      <c r="S3928" s="71">
        <f t="shared" si="555"/>
        <v>0</v>
      </c>
      <c r="T3928" s="71">
        <f t="shared" si="556"/>
        <v>0</v>
      </c>
      <c r="U3928" s="71">
        <f>IF(AND(N3928=1,V3928=1),IF(COUNTIFS(AKTIVITAS!$B$2:$B$3052,B3928,AKTIVITAS!$E$2:$E$3052,H3928)&gt;0,1,0),0)</f>
        <v>0</v>
      </c>
      <c r="V3928" s="71">
        <f>IFERROR(IF(AND(H3928&gt;=INDEX(PEMAGANG!$J$3:$J$36,MATCH(B3928,PEMAGANG!$C$3:$C$36,0)),H3928&lt;=INDEX(PEMAGANG!$K$3:$K$36,MATCH(B3928,PEMAGANG!$C$3:$C$36,0))),1,0),0)</f>
        <v>1</v>
      </c>
      <c r="W3928" s="71">
        <f t="shared" si="557"/>
        <v>0</v>
      </c>
    </row>
    <row r="3929" spans="1:23" x14ac:dyDescent="0.2">
      <c r="A3929" s="71" t="s">
        <v>200</v>
      </c>
      <c r="B3929" s="71" t="s">
        <v>201</v>
      </c>
      <c r="C3929" s="71" t="s">
        <v>187</v>
      </c>
      <c r="D3929" s="71" t="s">
        <v>185</v>
      </c>
      <c r="E3929" s="71" t="s">
        <v>47</v>
      </c>
      <c r="F3929" s="71" t="s">
        <v>298</v>
      </c>
      <c r="G3929" s="88">
        <v>46181.304629629602</v>
      </c>
      <c r="H3929" s="89">
        <v>46181</v>
      </c>
      <c r="I3929" s="71" t="s">
        <v>326</v>
      </c>
      <c r="J3929" s="71">
        <v>-12</v>
      </c>
      <c r="K3929" s="71" t="s">
        <v>302</v>
      </c>
      <c r="L3929" s="71">
        <f t="shared" si="549"/>
        <v>6</v>
      </c>
      <c r="M3929" s="71" t="str">
        <f>IFERROR(INDEX(KALENDER!$D$3:$D$132,MATCH(H3929,KALENDER!$A$3:$A$132,0)),"Di luar periode")</f>
        <v>Hari Kerja</v>
      </c>
      <c r="N3929" s="71">
        <f t="shared" si="550"/>
        <v>1</v>
      </c>
      <c r="O3929" s="71">
        <f t="shared" si="551"/>
        <v>1</v>
      </c>
      <c r="P3929" s="71">
        <f t="shared" si="552"/>
        <v>1</v>
      </c>
      <c r="Q3929" s="71">
        <f t="shared" si="553"/>
        <v>0</v>
      </c>
      <c r="R3929" s="71">
        <f t="shared" si="554"/>
        <v>0</v>
      </c>
      <c r="S3929" s="71">
        <f t="shared" si="555"/>
        <v>0</v>
      </c>
      <c r="T3929" s="71">
        <f t="shared" si="556"/>
        <v>1</v>
      </c>
      <c r="U3929" s="71">
        <f>IF(AND(N3929=1,V3929=1),IF(COUNTIFS(AKTIVITAS!$B$2:$B$3052,B3929,AKTIVITAS!$E$2:$E$3052,H3929)&gt;0,1,0),0)</f>
        <v>0</v>
      </c>
      <c r="V3929" s="71">
        <f>IFERROR(IF(AND(H3929&gt;=INDEX(PEMAGANG!$J$3:$J$36,MATCH(B3929,PEMAGANG!$C$3:$C$36,0)),H3929&lt;=INDEX(PEMAGANG!$K$3:$K$36,MATCH(B3929,PEMAGANG!$C$3:$C$36,0))),1,0),0)</f>
        <v>1</v>
      </c>
      <c r="W3929" s="71">
        <f t="shared" si="557"/>
        <v>1</v>
      </c>
    </row>
    <row r="3930" spans="1:23" x14ac:dyDescent="0.2">
      <c r="A3930" s="71" t="s">
        <v>200</v>
      </c>
      <c r="B3930" s="71" t="s">
        <v>201</v>
      </c>
      <c r="C3930" s="71" t="s">
        <v>187</v>
      </c>
      <c r="D3930" s="71" t="s">
        <v>185</v>
      </c>
      <c r="E3930" s="71" t="s">
        <v>47</v>
      </c>
      <c r="F3930" s="71" t="s">
        <v>298</v>
      </c>
      <c r="G3930" s="88">
        <v>46182.305925925903</v>
      </c>
      <c r="H3930" s="89">
        <v>46182</v>
      </c>
      <c r="I3930" s="71" t="s">
        <v>329</v>
      </c>
      <c r="J3930" s="71">
        <v>-10</v>
      </c>
      <c r="K3930" s="71" t="s">
        <v>302</v>
      </c>
      <c r="L3930" s="71">
        <f t="shared" si="549"/>
        <v>6</v>
      </c>
      <c r="M3930" s="71" t="str">
        <f>IFERROR(INDEX(KALENDER!$D$3:$D$132,MATCH(H3930,KALENDER!$A$3:$A$132,0)),"Di luar periode")</f>
        <v>Hari Kerja</v>
      </c>
      <c r="N3930" s="71">
        <f t="shared" si="550"/>
        <v>1</v>
      </c>
      <c r="O3930" s="71">
        <f t="shared" si="551"/>
        <v>1</v>
      </c>
      <c r="P3930" s="71">
        <f t="shared" si="552"/>
        <v>1</v>
      </c>
      <c r="Q3930" s="71">
        <f t="shared" si="553"/>
        <v>0</v>
      </c>
      <c r="R3930" s="71">
        <f t="shared" si="554"/>
        <v>0</v>
      </c>
      <c r="S3930" s="71">
        <f t="shared" si="555"/>
        <v>0</v>
      </c>
      <c r="T3930" s="71">
        <f t="shared" si="556"/>
        <v>0</v>
      </c>
      <c r="U3930" s="71">
        <f>IF(AND(N3930=1,V3930=1),IF(COUNTIFS(AKTIVITAS!$B$2:$B$3052,B3930,AKTIVITAS!$E$2:$E$3052,H3930)&gt;0,1,0),0)</f>
        <v>1</v>
      </c>
      <c r="V3930" s="71">
        <f>IFERROR(IF(AND(H3930&gt;=INDEX(PEMAGANG!$J$3:$J$36,MATCH(B3930,PEMAGANG!$C$3:$C$36,0)),H3930&lt;=INDEX(PEMAGANG!$K$3:$K$36,MATCH(B3930,PEMAGANG!$C$3:$C$36,0))),1,0),0)</f>
        <v>1</v>
      </c>
      <c r="W3930" s="71">
        <f t="shared" si="557"/>
        <v>1</v>
      </c>
    </row>
    <row r="3931" spans="1:23" x14ac:dyDescent="0.2">
      <c r="A3931" s="71" t="s">
        <v>200</v>
      </c>
      <c r="B3931" s="71" t="s">
        <v>201</v>
      </c>
      <c r="C3931" s="71" t="s">
        <v>187</v>
      </c>
      <c r="D3931" s="71" t="s">
        <v>185</v>
      </c>
      <c r="E3931" s="71" t="s">
        <v>47</v>
      </c>
      <c r="F3931" s="71" t="s">
        <v>300</v>
      </c>
      <c r="G3931" s="88">
        <v>46182.776631944398</v>
      </c>
      <c r="H3931" s="89">
        <v>46182</v>
      </c>
      <c r="I3931" s="71" t="s">
        <v>697</v>
      </c>
      <c r="J3931" s="71">
        <v>0</v>
      </c>
      <c r="K3931" s="71" t="s">
        <v>302</v>
      </c>
      <c r="L3931" s="71">
        <f t="shared" si="549"/>
        <v>6</v>
      </c>
      <c r="M3931" s="71" t="str">
        <f>IFERROR(INDEX(KALENDER!$D$3:$D$132,MATCH(H3931,KALENDER!$A$3:$A$132,0)),"Di luar periode")</f>
        <v>Hari Kerja</v>
      </c>
      <c r="N3931" s="71">
        <f t="shared" si="550"/>
        <v>0</v>
      </c>
      <c r="O3931" s="71">
        <f t="shared" si="551"/>
        <v>1</v>
      </c>
      <c r="P3931" s="71">
        <f t="shared" si="552"/>
        <v>0</v>
      </c>
      <c r="Q3931" s="71">
        <f t="shared" si="553"/>
        <v>0</v>
      </c>
      <c r="R3931" s="71">
        <f t="shared" si="554"/>
        <v>0</v>
      </c>
      <c r="S3931" s="71">
        <f t="shared" si="555"/>
        <v>0</v>
      </c>
      <c r="T3931" s="71">
        <f t="shared" si="556"/>
        <v>0</v>
      </c>
      <c r="U3931" s="71">
        <f>IF(AND(N3931=1,V3931=1),IF(COUNTIFS(AKTIVITAS!$B$2:$B$3052,B3931,AKTIVITAS!$E$2:$E$3052,H3931)&gt;0,1,0),0)</f>
        <v>0</v>
      </c>
      <c r="V3931" s="71">
        <f>IFERROR(IF(AND(H3931&gt;=INDEX(PEMAGANG!$J$3:$J$36,MATCH(B3931,PEMAGANG!$C$3:$C$36,0)),H3931&lt;=INDEX(PEMAGANG!$K$3:$K$36,MATCH(B3931,PEMAGANG!$C$3:$C$36,0))),1,0),0)</f>
        <v>1</v>
      </c>
      <c r="W3931" s="71">
        <f t="shared" si="557"/>
        <v>0</v>
      </c>
    </row>
    <row r="3932" spans="1:23" x14ac:dyDescent="0.2">
      <c r="A3932" s="71" t="s">
        <v>200</v>
      </c>
      <c r="B3932" s="71" t="s">
        <v>201</v>
      </c>
      <c r="C3932" s="71" t="s">
        <v>187</v>
      </c>
      <c r="D3932" s="71" t="s">
        <v>185</v>
      </c>
      <c r="E3932" s="71" t="s">
        <v>47</v>
      </c>
      <c r="F3932" s="71" t="s">
        <v>298</v>
      </c>
      <c r="G3932" s="88">
        <v>46184.309386574103</v>
      </c>
      <c r="H3932" s="89">
        <v>46184</v>
      </c>
      <c r="I3932" s="71" t="s">
        <v>307</v>
      </c>
      <c r="J3932" s="71">
        <v>-4.9999999999999796</v>
      </c>
      <c r="K3932" s="71" t="s">
        <v>302</v>
      </c>
      <c r="L3932" s="71">
        <f t="shared" si="549"/>
        <v>6</v>
      </c>
      <c r="M3932" s="71" t="str">
        <f>IFERROR(INDEX(KALENDER!$D$3:$D$132,MATCH(H3932,KALENDER!$A$3:$A$132,0)),"Di luar periode")</f>
        <v>Hari Kerja</v>
      </c>
      <c r="N3932" s="71">
        <f t="shared" si="550"/>
        <v>1</v>
      </c>
      <c r="O3932" s="71">
        <f t="shared" si="551"/>
        <v>1</v>
      </c>
      <c r="P3932" s="71">
        <f t="shared" si="552"/>
        <v>1</v>
      </c>
      <c r="Q3932" s="71">
        <f t="shared" si="553"/>
        <v>0</v>
      </c>
      <c r="R3932" s="71">
        <f t="shared" si="554"/>
        <v>0</v>
      </c>
      <c r="S3932" s="71">
        <f t="shared" si="555"/>
        <v>0</v>
      </c>
      <c r="T3932" s="71">
        <f t="shared" si="556"/>
        <v>0</v>
      </c>
      <c r="U3932" s="71">
        <f>IF(AND(N3932=1,V3932=1),IF(COUNTIFS(AKTIVITAS!$B$2:$B$3052,B3932,AKTIVITAS!$E$2:$E$3052,H3932)&gt;0,1,0),0)</f>
        <v>1</v>
      </c>
      <c r="V3932" s="71">
        <f>IFERROR(IF(AND(H3932&gt;=INDEX(PEMAGANG!$J$3:$J$36,MATCH(B3932,PEMAGANG!$C$3:$C$36,0)),H3932&lt;=INDEX(PEMAGANG!$K$3:$K$36,MATCH(B3932,PEMAGANG!$C$3:$C$36,0))),1,0),0)</f>
        <v>1</v>
      </c>
      <c r="W3932" s="71">
        <f t="shared" si="557"/>
        <v>1</v>
      </c>
    </row>
    <row r="3933" spans="1:23" x14ac:dyDescent="0.2">
      <c r="A3933" s="71" t="s">
        <v>200</v>
      </c>
      <c r="B3933" s="71" t="s">
        <v>201</v>
      </c>
      <c r="C3933" s="71" t="s">
        <v>187</v>
      </c>
      <c r="D3933" s="71" t="s">
        <v>185</v>
      </c>
      <c r="E3933" s="71" t="s">
        <v>47</v>
      </c>
      <c r="F3933" s="71" t="s">
        <v>300</v>
      </c>
      <c r="G3933" s="88">
        <v>46184.766782407401</v>
      </c>
      <c r="H3933" s="89">
        <v>46184</v>
      </c>
      <c r="I3933" s="71" t="s">
        <v>359</v>
      </c>
      <c r="J3933" s="71">
        <v>0</v>
      </c>
      <c r="K3933" s="71" t="s">
        <v>302</v>
      </c>
      <c r="L3933" s="71">
        <f t="shared" si="549"/>
        <v>6</v>
      </c>
      <c r="M3933" s="71" t="str">
        <f>IFERROR(INDEX(KALENDER!$D$3:$D$132,MATCH(H3933,KALENDER!$A$3:$A$132,0)),"Di luar periode")</f>
        <v>Hari Kerja</v>
      </c>
      <c r="N3933" s="71">
        <f t="shared" si="550"/>
        <v>0</v>
      </c>
      <c r="O3933" s="71">
        <f t="shared" si="551"/>
        <v>1</v>
      </c>
      <c r="P3933" s="71">
        <f t="shared" si="552"/>
        <v>0</v>
      </c>
      <c r="Q3933" s="71">
        <f t="shared" si="553"/>
        <v>0</v>
      </c>
      <c r="R3933" s="71">
        <f t="shared" si="554"/>
        <v>0</v>
      </c>
      <c r="S3933" s="71">
        <f t="shared" si="555"/>
        <v>0</v>
      </c>
      <c r="T3933" s="71">
        <f t="shared" si="556"/>
        <v>0</v>
      </c>
      <c r="U3933" s="71">
        <f>IF(AND(N3933=1,V3933=1),IF(COUNTIFS(AKTIVITAS!$B$2:$B$3052,B3933,AKTIVITAS!$E$2:$E$3052,H3933)&gt;0,1,0),0)</f>
        <v>0</v>
      </c>
      <c r="V3933" s="71">
        <f>IFERROR(IF(AND(H3933&gt;=INDEX(PEMAGANG!$J$3:$J$36,MATCH(B3933,PEMAGANG!$C$3:$C$36,0)),H3933&lt;=INDEX(PEMAGANG!$K$3:$K$36,MATCH(B3933,PEMAGANG!$C$3:$C$36,0))),1,0),0)</f>
        <v>1</v>
      </c>
      <c r="W3933" s="71">
        <f t="shared" si="557"/>
        <v>0</v>
      </c>
    </row>
    <row r="3934" spans="1:23" x14ac:dyDescent="0.2">
      <c r="A3934" s="71" t="s">
        <v>200</v>
      </c>
      <c r="B3934" s="71" t="s">
        <v>201</v>
      </c>
      <c r="C3934" s="71" t="s">
        <v>187</v>
      </c>
      <c r="D3934" s="71" t="s">
        <v>185</v>
      </c>
      <c r="E3934" s="71" t="s">
        <v>47</v>
      </c>
      <c r="F3934" s="71" t="s">
        <v>298</v>
      </c>
      <c r="G3934" s="88">
        <v>46185.754189814797</v>
      </c>
      <c r="H3934" s="89">
        <v>46185</v>
      </c>
      <c r="I3934" s="71" t="s">
        <v>460</v>
      </c>
      <c r="J3934" s="71">
        <v>636</v>
      </c>
      <c r="K3934" s="71" t="s">
        <v>293</v>
      </c>
      <c r="L3934" s="71">
        <f t="shared" si="549"/>
        <v>6</v>
      </c>
      <c r="M3934" s="71" t="str">
        <f>IFERROR(INDEX(KALENDER!$D$3:$D$132,MATCH(H3934,KALENDER!$A$3:$A$132,0)),"Di luar periode")</f>
        <v>Hari Kerja</v>
      </c>
      <c r="N3934" s="71">
        <f t="shared" si="550"/>
        <v>1</v>
      </c>
      <c r="O3934" s="71">
        <f t="shared" si="551"/>
        <v>1</v>
      </c>
      <c r="P3934" s="71">
        <f t="shared" si="552"/>
        <v>1</v>
      </c>
      <c r="Q3934" s="71">
        <f t="shared" si="553"/>
        <v>0</v>
      </c>
      <c r="R3934" s="71">
        <f t="shared" si="554"/>
        <v>1</v>
      </c>
      <c r="S3934" s="71">
        <f t="shared" si="555"/>
        <v>636</v>
      </c>
      <c r="T3934" s="71">
        <f t="shared" si="556"/>
        <v>1</v>
      </c>
      <c r="U3934" s="71">
        <f>IF(AND(N3934=1,V3934=1),IF(COUNTIFS(AKTIVITAS!$B$2:$B$3052,B3934,AKTIVITAS!$E$2:$E$3052,H3934)&gt;0,1,0),0)</f>
        <v>1</v>
      </c>
      <c r="V3934" s="71">
        <f>IFERROR(IF(AND(H3934&gt;=INDEX(PEMAGANG!$J$3:$J$36,MATCH(B3934,PEMAGANG!$C$3:$C$36,0)),H3934&lt;=INDEX(PEMAGANG!$K$3:$K$36,MATCH(B3934,PEMAGANG!$C$3:$C$36,0))),1,0),0)</f>
        <v>1</v>
      </c>
      <c r="W3934" s="71">
        <f t="shared" si="557"/>
        <v>1</v>
      </c>
    </row>
    <row r="3935" spans="1:23" x14ac:dyDescent="0.2">
      <c r="A3935" s="71" t="s">
        <v>200</v>
      </c>
      <c r="B3935" s="71" t="s">
        <v>201</v>
      </c>
      <c r="C3935" s="71" t="s">
        <v>187</v>
      </c>
      <c r="D3935" s="71" t="s">
        <v>185</v>
      </c>
      <c r="E3935" s="71" t="s">
        <v>47</v>
      </c>
      <c r="F3935" s="71" t="s">
        <v>298</v>
      </c>
      <c r="G3935" s="88">
        <v>46188.311134259297</v>
      </c>
      <c r="H3935" s="89">
        <v>46188</v>
      </c>
      <c r="I3935" s="71" t="s">
        <v>377</v>
      </c>
      <c r="J3935" s="71">
        <v>-1.99999999999999</v>
      </c>
      <c r="K3935" s="71" t="s">
        <v>302</v>
      </c>
      <c r="L3935" s="71">
        <f t="shared" si="549"/>
        <v>6</v>
      </c>
      <c r="M3935" s="71" t="str">
        <f>IFERROR(INDEX(KALENDER!$D$3:$D$132,MATCH(H3935,KALENDER!$A$3:$A$132,0)),"Di luar periode")</f>
        <v>Hari Kerja</v>
      </c>
      <c r="N3935" s="71">
        <f t="shared" si="550"/>
        <v>1</v>
      </c>
      <c r="O3935" s="71">
        <f t="shared" si="551"/>
        <v>1</v>
      </c>
      <c r="P3935" s="71">
        <f t="shared" si="552"/>
        <v>1</v>
      </c>
      <c r="Q3935" s="71">
        <f t="shared" si="553"/>
        <v>0</v>
      </c>
      <c r="R3935" s="71">
        <f t="shared" si="554"/>
        <v>0</v>
      </c>
      <c r="S3935" s="71">
        <f t="shared" si="555"/>
        <v>0</v>
      </c>
      <c r="T3935" s="71">
        <f t="shared" si="556"/>
        <v>0</v>
      </c>
      <c r="U3935" s="71">
        <f>IF(AND(N3935=1,V3935=1),IF(COUNTIFS(AKTIVITAS!$B$2:$B$3052,B3935,AKTIVITAS!$E$2:$E$3052,H3935)&gt;0,1,0),0)</f>
        <v>1</v>
      </c>
      <c r="V3935" s="71">
        <f>IFERROR(IF(AND(H3935&gt;=INDEX(PEMAGANG!$J$3:$J$36,MATCH(B3935,PEMAGANG!$C$3:$C$36,0)),H3935&lt;=INDEX(PEMAGANG!$K$3:$K$36,MATCH(B3935,PEMAGANG!$C$3:$C$36,0))),1,0),0)</f>
        <v>1</v>
      </c>
      <c r="W3935" s="71">
        <f t="shared" si="557"/>
        <v>1</v>
      </c>
    </row>
    <row r="3936" spans="1:23" x14ac:dyDescent="0.2">
      <c r="A3936" s="71" t="s">
        <v>200</v>
      </c>
      <c r="B3936" s="71" t="s">
        <v>201</v>
      </c>
      <c r="C3936" s="71" t="s">
        <v>187</v>
      </c>
      <c r="D3936" s="71" t="s">
        <v>185</v>
      </c>
      <c r="E3936" s="71" t="s">
        <v>47</v>
      </c>
      <c r="F3936" s="71" t="s">
        <v>300</v>
      </c>
      <c r="G3936" s="88">
        <v>46188.774409722202</v>
      </c>
      <c r="H3936" s="89">
        <v>46188</v>
      </c>
      <c r="I3936" s="71" t="s">
        <v>429</v>
      </c>
      <c r="J3936" s="71">
        <v>0</v>
      </c>
      <c r="K3936" s="71" t="s">
        <v>302</v>
      </c>
      <c r="L3936" s="71">
        <f t="shared" si="549"/>
        <v>6</v>
      </c>
      <c r="M3936" s="71" t="str">
        <f>IFERROR(INDEX(KALENDER!$D$3:$D$132,MATCH(H3936,KALENDER!$A$3:$A$132,0)),"Di luar periode")</f>
        <v>Hari Kerja</v>
      </c>
      <c r="N3936" s="71">
        <f t="shared" si="550"/>
        <v>0</v>
      </c>
      <c r="O3936" s="71">
        <f t="shared" si="551"/>
        <v>1</v>
      </c>
      <c r="P3936" s="71">
        <f t="shared" si="552"/>
        <v>0</v>
      </c>
      <c r="Q3936" s="71">
        <f t="shared" si="553"/>
        <v>0</v>
      </c>
      <c r="R3936" s="71">
        <f t="shared" si="554"/>
        <v>0</v>
      </c>
      <c r="S3936" s="71">
        <f t="shared" si="555"/>
        <v>0</v>
      </c>
      <c r="T3936" s="71">
        <f t="shared" si="556"/>
        <v>0</v>
      </c>
      <c r="U3936" s="71">
        <f>IF(AND(N3936=1,V3936=1),IF(COUNTIFS(AKTIVITAS!$B$2:$B$3052,B3936,AKTIVITAS!$E$2:$E$3052,H3936)&gt;0,1,0),0)</f>
        <v>0</v>
      </c>
      <c r="V3936" s="71">
        <f>IFERROR(IF(AND(H3936&gt;=INDEX(PEMAGANG!$J$3:$J$36,MATCH(B3936,PEMAGANG!$C$3:$C$36,0)),H3936&lt;=INDEX(PEMAGANG!$K$3:$K$36,MATCH(B3936,PEMAGANG!$C$3:$C$36,0))),1,0),0)</f>
        <v>1</v>
      </c>
      <c r="W3936" s="71">
        <f t="shared" si="557"/>
        <v>0</v>
      </c>
    </row>
    <row r="3937" spans="1:23" x14ac:dyDescent="0.2">
      <c r="A3937" s="71" t="s">
        <v>200</v>
      </c>
      <c r="B3937" s="71" t="s">
        <v>201</v>
      </c>
      <c r="C3937" s="71" t="s">
        <v>187</v>
      </c>
      <c r="D3937" s="71" t="s">
        <v>185</v>
      </c>
      <c r="E3937" s="71" t="s">
        <v>47</v>
      </c>
      <c r="F3937" s="71" t="s">
        <v>298</v>
      </c>
      <c r="G3937" s="88">
        <v>46191.312268518501</v>
      </c>
      <c r="H3937" s="89">
        <v>46191</v>
      </c>
      <c r="I3937" s="71" t="s">
        <v>365</v>
      </c>
      <c r="J3937" s="71">
        <v>-0.999999999999996</v>
      </c>
      <c r="K3937" s="71" t="s">
        <v>302</v>
      </c>
      <c r="L3937" s="71">
        <f t="shared" si="549"/>
        <v>6</v>
      </c>
      <c r="M3937" s="71" t="str">
        <f>IFERROR(INDEX(KALENDER!$D$3:$D$132,MATCH(H3937,KALENDER!$A$3:$A$132,0)),"Di luar periode")</f>
        <v>Hari Kerja</v>
      </c>
      <c r="N3937" s="71">
        <f t="shared" si="550"/>
        <v>1</v>
      </c>
      <c r="O3937" s="71">
        <f t="shared" si="551"/>
        <v>1</v>
      </c>
      <c r="P3937" s="71">
        <f t="shared" si="552"/>
        <v>1</v>
      </c>
      <c r="Q3937" s="71">
        <f t="shared" si="553"/>
        <v>0</v>
      </c>
      <c r="R3937" s="71">
        <f t="shared" si="554"/>
        <v>0</v>
      </c>
      <c r="S3937" s="71">
        <f t="shared" si="555"/>
        <v>0</v>
      </c>
      <c r="T3937" s="71">
        <f t="shared" si="556"/>
        <v>0</v>
      </c>
      <c r="U3937" s="71">
        <f>IF(AND(N3937=1,V3937=1),IF(COUNTIFS(AKTIVITAS!$B$2:$B$3052,B3937,AKTIVITAS!$E$2:$E$3052,H3937)&gt;0,1,0),0)</f>
        <v>1</v>
      </c>
      <c r="V3937" s="71">
        <f>IFERROR(IF(AND(H3937&gt;=INDEX(PEMAGANG!$J$3:$J$36,MATCH(B3937,PEMAGANG!$C$3:$C$36,0)),H3937&lt;=INDEX(PEMAGANG!$K$3:$K$36,MATCH(B3937,PEMAGANG!$C$3:$C$36,0))),1,0),0)</f>
        <v>1</v>
      </c>
      <c r="W3937" s="71">
        <f t="shared" si="557"/>
        <v>1</v>
      </c>
    </row>
    <row r="3938" spans="1:23" x14ac:dyDescent="0.2">
      <c r="A3938" s="71" t="s">
        <v>200</v>
      </c>
      <c r="B3938" s="71" t="s">
        <v>201</v>
      </c>
      <c r="C3938" s="71" t="s">
        <v>187</v>
      </c>
      <c r="D3938" s="71" t="s">
        <v>185</v>
      </c>
      <c r="E3938" s="71" t="s">
        <v>47</v>
      </c>
      <c r="F3938" s="71" t="s">
        <v>300</v>
      </c>
      <c r="G3938" s="88">
        <v>46191.738865740699</v>
      </c>
      <c r="H3938" s="89">
        <v>46191</v>
      </c>
      <c r="I3938" s="71" t="s">
        <v>753</v>
      </c>
      <c r="J3938" s="71">
        <v>0</v>
      </c>
      <c r="K3938" s="71" t="s">
        <v>302</v>
      </c>
      <c r="L3938" s="71">
        <f t="shared" si="549"/>
        <v>6</v>
      </c>
      <c r="M3938" s="71" t="str">
        <f>IFERROR(INDEX(KALENDER!$D$3:$D$132,MATCH(H3938,KALENDER!$A$3:$A$132,0)),"Di luar periode")</f>
        <v>Hari Kerja</v>
      </c>
      <c r="N3938" s="71">
        <f t="shared" si="550"/>
        <v>0</v>
      </c>
      <c r="O3938" s="71">
        <f t="shared" si="551"/>
        <v>1</v>
      </c>
      <c r="P3938" s="71">
        <f t="shared" si="552"/>
        <v>0</v>
      </c>
      <c r="Q3938" s="71">
        <f t="shared" si="553"/>
        <v>0</v>
      </c>
      <c r="R3938" s="71">
        <f t="shared" si="554"/>
        <v>0</v>
      </c>
      <c r="S3938" s="71">
        <f t="shared" si="555"/>
        <v>0</v>
      </c>
      <c r="T3938" s="71">
        <f t="shared" si="556"/>
        <v>0</v>
      </c>
      <c r="U3938" s="71">
        <f>IF(AND(N3938=1,V3938=1),IF(COUNTIFS(AKTIVITAS!$B$2:$B$3052,B3938,AKTIVITAS!$E$2:$E$3052,H3938)&gt;0,1,0),0)</f>
        <v>0</v>
      </c>
      <c r="V3938" s="71">
        <f>IFERROR(IF(AND(H3938&gt;=INDEX(PEMAGANG!$J$3:$J$36,MATCH(B3938,PEMAGANG!$C$3:$C$36,0)),H3938&lt;=INDEX(PEMAGANG!$K$3:$K$36,MATCH(B3938,PEMAGANG!$C$3:$C$36,0))),1,0),0)</f>
        <v>1</v>
      </c>
      <c r="W3938" s="71">
        <f t="shared" si="557"/>
        <v>0</v>
      </c>
    </row>
    <row r="3939" spans="1:23" x14ac:dyDescent="0.2">
      <c r="A3939" s="71" t="s">
        <v>200</v>
      </c>
      <c r="B3939" s="71" t="s">
        <v>201</v>
      </c>
      <c r="C3939" s="71" t="s">
        <v>187</v>
      </c>
      <c r="D3939" s="71" t="s">
        <v>185</v>
      </c>
      <c r="E3939" s="71" t="s">
        <v>47</v>
      </c>
      <c r="F3939" s="71" t="s">
        <v>298</v>
      </c>
      <c r="G3939" s="88">
        <v>46192.3101157407</v>
      </c>
      <c r="H3939" s="89">
        <v>46192</v>
      </c>
      <c r="I3939" s="71" t="s">
        <v>315</v>
      </c>
      <c r="J3939" s="71">
        <v>-3.9999999999999898</v>
      </c>
      <c r="K3939" s="71" t="s">
        <v>302</v>
      </c>
      <c r="L3939" s="71">
        <f t="shared" si="549"/>
        <v>6</v>
      </c>
      <c r="M3939" s="71" t="str">
        <f>IFERROR(INDEX(KALENDER!$D$3:$D$132,MATCH(H3939,KALENDER!$A$3:$A$132,0)),"Di luar periode")</f>
        <v>Hari Kerja</v>
      </c>
      <c r="N3939" s="71">
        <f t="shared" si="550"/>
        <v>1</v>
      </c>
      <c r="O3939" s="71">
        <f t="shared" si="551"/>
        <v>1</v>
      </c>
      <c r="P3939" s="71">
        <f t="shared" si="552"/>
        <v>1</v>
      </c>
      <c r="Q3939" s="71">
        <f t="shared" si="553"/>
        <v>0</v>
      </c>
      <c r="R3939" s="71">
        <f t="shared" si="554"/>
        <v>0</v>
      </c>
      <c r="S3939" s="71">
        <f t="shared" si="555"/>
        <v>0</v>
      </c>
      <c r="T3939" s="71">
        <f t="shared" si="556"/>
        <v>0</v>
      </c>
      <c r="U3939" s="71">
        <f>IF(AND(N3939=1,V3939=1),IF(COUNTIFS(AKTIVITAS!$B$2:$B$3052,B3939,AKTIVITAS!$E$2:$E$3052,H3939)&gt;0,1,0),0)</f>
        <v>1</v>
      </c>
      <c r="V3939" s="71">
        <f>IFERROR(IF(AND(H3939&gt;=INDEX(PEMAGANG!$J$3:$J$36,MATCH(B3939,PEMAGANG!$C$3:$C$36,0)),H3939&lt;=INDEX(PEMAGANG!$K$3:$K$36,MATCH(B3939,PEMAGANG!$C$3:$C$36,0))),1,0),0)</f>
        <v>1</v>
      </c>
      <c r="W3939" s="71">
        <f t="shared" si="557"/>
        <v>1</v>
      </c>
    </row>
    <row r="3940" spans="1:23" x14ac:dyDescent="0.2">
      <c r="A3940" s="71" t="s">
        <v>200</v>
      </c>
      <c r="B3940" s="71" t="s">
        <v>201</v>
      </c>
      <c r="C3940" s="71" t="s">
        <v>187</v>
      </c>
      <c r="D3940" s="71" t="s">
        <v>185</v>
      </c>
      <c r="E3940" s="71" t="s">
        <v>47</v>
      </c>
      <c r="F3940" s="71" t="s">
        <v>300</v>
      </c>
      <c r="G3940" s="88">
        <v>46192.747951388897</v>
      </c>
      <c r="H3940" s="89">
        <v>46192</v>
      </c>
      <c r="I3940" s="71" t="s">
        <v>390</v>
      </c>
      <c r="J3940" s="71">
        <v>0</v>
      </c>
      <c r="K3940" s="71" t="s">
        <v>302</v>
      </c>
      <c r="L3940" s="71">
        <f t="shared" si="549"/>
        <v>6</v>
      </c>
      <c r="M3940" s="71" t="str">
        <f>IFERROR(INDEX(KALENDER!$D$3:$D$132,MATCH(H3940,KALENDER!$A$3:$A$132,0)),"Di luar periode")</f>
        <v>Hari Kerja</v>
      </c>
      <c r="N3940" s="71">
        <f t="shared" si="550"/>
        <v>0</v>
      </c>
      <c r="O3940" s="71">
        <f t="shared" si="551"/>
        <v>1</v>
      </c>
      <c r="P3940" s="71">
        <f t="shared" si="552"/>
        <v>0</v>
      </c>
      <c r="Q3940" s="71">
        <f t="shared" si="553"/>
        <v>0</v>
      </c>
      <c r="R3940" s="71">
        <f t="shared" si="554"/>
        <v>0</v>
      </c>
      <c r="S3940" s="71">
        <f t="shared" si="555"/>
        <v>0</v>
      </c>
      <c r="T3940" s="71">
        <f t="shared" si="556"/>
        <v>0</v>
      </c>
      <c r="U3940" s="71">
        <f>IF(AND(N3940=1,V3940=1),IF(COUNTIFS(AKTIVITAS!$B$2:$B$3052,B3940,AKTIVITAS!$E$2:$E$3052,H3940)&gt;0,1,0),0)</f>
        <v>0</v>
      </c>
      <c r="V3940" s="71">
        <f>IFERROR(IF(AND(H3940&gt;=INDEX(PEMAGANG!$J$3:$J$36,MATCH(B3940,PEMAGANG!$C$3:$C$36,0)),H3940&lt;=INDEX(PEMAGANG!$K$3:$K$36,MATCH(B3940,PEMAGANG!$C$3:$C$36,0))),1,0),0)</f>
        <v>1</v>
      </c>
      <c r="W3940" s="71">
        <f t="shared" si="557"/>
        <v>0</v>
      </c>
    </row>
    <row r="3941" spans="1:23" x14ac:dyDescent="0.2">
      <c r="A3941" s="71" t="s">
        <v>200</v>
      </c>
      <c r="B3941" s="71" t="s">
        <v>201</v>
      </c>
      <c r="C3941" s="71" t="s">
        <v>187</v>
      </c>
      <c r="D3941" s="71" t="s">
        <v>185</v>
      </c>
      <c r="E3941" s="71" t="s">
        <v>47</v>
      </c>
      <c r="F3941" s="71" t="s">
        <v>300</v>
      </c>
      <c r="G3941" s="88">
        <v>46195.721030092602</v>
      </c>
      <c r="H3941" s="89">
        <v>46195</v>
      </c>
      <c r="I3941" s="71" t="s">
        <v>473</v>
      </c>
      <c r="J3941" s="71">
        <v>0</v>
      </c>
      <c r="K3941" s="71" t="s">
        <v>302</v>
      </c>
      <c r="L3941" s="71">
        <f t="shared" si="549"/>
        <v>6</v>
      </c>
      <c r="M3941" s="71" t="str">
        <f>IFERROR(INDEX(KALENDER!$D$3:$D$132,MATCH(H3941,KALENDER!$A$3:$A$132,0)),"Di luar periode")</f>
        <v>Hari Kerja</v>
      </c>
      <c r="N3941" s="71">
        <f t="shared" si="550"/>
        <v>1</v>
      </c>
      <c r="O3941" s="71">
        <f t="shared" si="551"/>
        <v>0</v>
      </c>
      <c r="P3941" s="71">
        <f t="shared" si="552"/>
        <v>1</v>
      </c>
      <c r="Q3941" s="71">
        <f t="shared" si="553"/>
        <v>0</v>
      </c>
      <c r="R3941" s="71">
        <f t="shared" si="554"/>
        <v>0</v>
      </c>
      <c r="S3941" s="71">
        <f t="shared" si="555"/>
        <v>0</v>
      </c>
      <c r="T3941" s="71">
        <f t="shared" si="556"/>
        <v>0</v>
      </c>
      <c r="U3941" s="71">
        <f>IF(AND(N3941=1,V3941=1),IF(COUNTIFS(AKTIVITAS!$B$2:$B$3052,B3941,AKTIVITAS!$E$2:$E$3052,H3941)&gt;0,1,0),0)</f>
        <v>1</v>
      </c>
      <c r="V3941" s="71">
        <f>IFERROR(IF(AND(H3941&gt;=INDEX(PEMAGANG!$J$3:$J$36,MATCH(B3941,PEMAGANG!$C$3:$C$36,0)),H3941&lt;=INDEX(PEMAGANG!$K$3:$K$36,MATCH(B3941,PEMAGANG!$C$3:$C$36,0))),1,0),0)</f>
        <v>1</v>
      </c>
      <c r="W3941" s="71">
        <f t="shared" si="557"/>
        <v>1</v>
      </c>
    </row>
    <row r="3942" spans="1:23" x14ac:dyDescent="0.2">
      <c r="A3942" s="71" t="s">
        <v>200</v>
      </c>
      <c r="B3942" s="71" t="s">
        <v>201</v>
      </c>
      <c r="C3942" s="71" t="s">
        <v>187</v>
      </c>
      <c r="D3942" s="71" t="s">
        <v>185</v>
      </c>
      <c r="E3942" s="71" t="s">
        <v>47</v>
      </c>
      <c r="F3942" s="71" t="s">
        <v>298</v>
      </c>
      <c r="G3942" s="88">
        <v>46196.312465277799</v>
      </c>
      <c r="H3942" s="89">
        <v>46196</v>
      </c>
      <c r="I3942" s="71" t="s">
        <v>365</v>
      </c>
      <c r="J3942" s="71">
        <v>-0.999999999999996</v>
      </c>
      <c r="K3942" s="71" t="s">
        <v>302</v>
      </c>
      <c r="L3942" s="71">
        <f t="shared" si="549"/>
        <v>6</v>
      </c>
      <c r="M3942" s="71" t="str">
        <f>IFERROR(INDEX(KALENDER!$D$3:$D$132,MATCH(H3942,KALENDER!$A$3:$A$132,0)),"Di luar periode")</f>
        <v>Hari Kerja</v>
      </c>
      <c r="N3942" s="71">
        <f t="shared" si="550"/>
        <v>1</v>
      </c>
      <c r="O3942" s="71">
        <f t="shared" si="551"/>
        <v>1</v>
      </c>
      <c r="P3942" s="71">
        <f t="shared" si="552"/>
        <v>1</v>
      </c>
      <c r="Q3942" s="71">
        <f t="shared" si="553"/>
        <v>0</v>
      </c>
      <c r="R3942" s="71">
        <f t="shared" si="554"/>
        <v>0</v>
      </c>
      <c r="S3942" s="71">
        <f t="shared" si="555"/>
        <v>0</v>
      </c>
      <c r="T3942" s="71">
        <f t="shared" si="556"/>
        <v>0</v>
      </c>
      <c r="U3942" s="71">
        <f>IF(AND(N3942=1,V3942=1),IF(COUNTIFS(AKTIVITAS!$B$2:$B$3052,B3942,AKTIVITAS!$E$2:$E$3052,H3942)&gt;0,1,0),0)</f>
        <v>1</v>
      </c>
      <c r="V3942" s="71">
        <f>IFERROR(IF(AND(H3942&gt;=INDEX(PEMAGANG!$J$3:$J$36,MATCH(B3942,PEMAGANG!$C$3:$C$36,0)),H3942&lt;=INDEX(PEMAGANG!$K$3:$K$36,MATCH(B3942,PEMAGANG!$C$3:$C$36,0))),1,0),0)</f>
        <v>1</v>
      </c>
      <c r="W3942" s="71">
        <f t="shared" si="557"/>
        <v>1</v>
      </c>
    </row>
    <row r="3943" spans="1:23" x14ac:dyDescent="0.2">
      <c r="A3943" s="71" t="s">
        <v>200</v>
      </c>
      <c r="B3943" s="71" t="s">
        <v>201</v>
      </c>
      <c r="C3943" s="71" t="s">
        <v>187</v>
      </c>
      <c r="D3943" s="71" t="s">
        <v>185</v>
      </c>
      <c r="E3943" s="71" t="s">
        <v>47</v>
      </c>
      <c r="F3943" s="71" t="s">
        <v>300</v>
      </c>
      <c r="G3943" s="88">
        <v>46196.7444328704</v>
      </c>
      <c r="H3943" s="89">
        <v>46196</v>
      </c>
      <c r="I3943" s="71" t="s">
        <v>754</v>
      </c>
      <c r="J3943" s="71">
        <v>0</v>
      </c>
      <c r="K3943" s="71" t="s">
        <v>302</v>
      </c>
      <c r="L3943" s="71">
        <f t="shared" si="549"/>
        <v>6</v>
      </c>
      <c r="M3943" s="71" t="str">
        <f>IFERROR(INDEX(KALENDER!$D$3:$D$132,MATCH(H3943,KALENDER!$A$3:$A$132,0)),"Di luar periode")</f>
        <v>Hari Kerja</v>
      </c>
      <c r="N3943" s="71">
        <f t="shared" si="550"/>
        <v>0</v>
      </c>
      <c r="O3943" s="71">
        <f t="shared" si="551"/>
        <v>1</v>
      </c>
      <c r="P3943" s="71">
        <f t="shared" si="552"/>
        <v>0</v>
      </c>
      <c r="Q3943" s="71">
        <f t="shared" si="553"/>
        <v>0</v>
      </c>
      <c r="R3943" s="71">
        <f t="shared" si="554"/>
        <v>0</v>
      </c>
      <c r="S3943" s="71">
        <f t="shared" si="555"/>
        <v>0</v>
      </c>
      <c r="T3943" s="71">
        <f t="shared" si="556"/>
        <v>0</v>
      </c>
      <c r="U3943" s="71">
        <f>IF(AND(N3943=1,V3943=1),IF(COUNTIFS(AKTIVITAS!$B$2:$B$3052,B3943,AKTIVITAS!$E$2:$E$3052,H3943)&gt;0,1,0),0)</f>
        <v>0</v>
      </c>
      <c r="V3943" s="71">
        <f>IFERROR(IF(AND(H3943&gt;=INDEX(PEMAGANG!$J$3:$J$36,MATCH(B3943,PEMAGANG!$C$3:$C$36,0)),H3943&lt;=INDEX(PEMAGANG!$K$3:$K$36,MATCH(B3943,PEMAGANG!$C$3:$C$36,0))),1,0),0)</f>
        <v>1</v>
      </c>
      <c r="W3943" s="71">
        <f t="shared" si="557"/>
        <v>0</v>
      </c>
    </row>
    <row r="3944" spans="1:23" x14ac:dyDescent="0.2">
      <c r="A3944" s="71" t="s">
        <v>200</v>
      </c>
      <c r="B3944" s="71" t="s">
        <v>201</v>
      </c>
      <c r="C3944" s="71" t="s">
        <v>187</v>
      </c>
      <c r="D3944" s="71" t="s">
        <v>185</v>
      </c>
      <c r="E3944" s="71" t="s">
        <v>47</v>
      </c>
      <c r="F3944" s="71" t="s">
        <v>298</v>
      </c>
      <c r="G3944" s="88">
        <v>46198.321909722203</v>
      </c>
      <c r="H3944" s="89">
        <v>46198</v>
      </c>
      <c r="I3944" s="71" t="s">
        <v>536</v>
      </c>
      <c r="J3944" s="71">
        <v>13</v>
      </c>
      <c r="K3944" s="71" t="s">
        <v>293</v>
      </c>
      <c r="L3944" s="71">
        <f t="shared" si="549"/>
        <v>6</v>
      </c>
      <c r="M3944" s="71" t="str">
        <f>IFERROR(INDEX(KALENDER!$D$3:$D$132,MATCH(H3944,KALENDER!$A$3:$A$132,0)),"Di luar periode")</f>
        <v>Hari Kerja</v>
      </c>
      <c r="N3944" s="71">
        <f t="shared" si="550"/>
        <v>1</v>
      </c>
      <c r="O3944" s="71">
        <f t="shared" si="551"/>
        <v>1</v>
      </c>
      <c r="P3944" s="71">
        <f t="shared" si="552"/>
        <v>1</v>
      </c>
      <c r="Q3944" s="71">
        <f t="shared" si="553"/>
        <v>0</v>
      </c>
      <c r="R3944" s="71">
        <f t="shared" si="554"/>
        <v>1</v>
      </c>
      <c r="S3944" s="71">
        <f t="shared" si="555"/>
        <v>13</v>
      </c>
      <c r="T3944" s="71">
        <f t="shared" si="556"/>
        <v>0</v>
      </c>
      <c r="U3944" s="71">
        <f>IF(AND(N3944=1,V3944=1),IF(COUNTIFS(AKTIVITAS!$B$2:$B$3052,B3944,AKTIVITAS!$E$2:$E$3052,H3944)&gt;0,1,0),0)</f>
        <v>1</v>
      </c>
      <c r="V3944" s="71">
        <f>IFERROR(IF(AND(H3944&gt;=INDEX(PEMAGANG!$J$3:$J$36,MATCH(B3944,PEMAGANG!$C$3:$C$36,0)),H3944&lt;=INDEX(PEMAGANG!$K$3:$K$36,MATCH(B3944,PEMAGANG!$C$3:$C$36,0))),1,0),0)</f>
        <v>1</v>
      </c>
      <c r="W3944" s="71">
        <f t="shared" si="557"/>
        <v>1</v>
      </c>
    </row>
    <row r="3945" spans="1:23" x14ac:dyDescent="0.2">
      <c r="A3945" s="71" t="s">
        <v>200</v>
      </c>
      <c r="B3945" s="71" t="s">
        <v>201</v>
      </c>
      <c r="C3945" s="71" t="s">
        <v>187</v>
      </c>
      <c r="D3945" s="71" t="s">
        <v>185</v>
      </c>
      <c r="E3945" s="71" t="s">
        <v>47</v>
      </c>
      <c r="F3945" s="71" t="s">
        <v>300</v>
      </c>
      <c r="G3945" s="88">
        <v>46198.693159722199</v>
      </c>
      <c r="H3945" s="89">
        <v>46198</v>
      </c>
      <c r="I3945" s="71" t="s">
        <v>317</v>
      </c>
      <c r="J3945" s="71">
        <v>0</v>
      </c>
      <c r="K3945" s="71" t="s">
        <v>302</v>
      </c>
      <c r="L3945" s="71">
        <f t="shared" si="549"/>
        <v>6</v>
      </c>
      <c r="M3945" s="71" t="str">
        <f>IFERROR(INDEX(KALENDER!$D$3:$D$132,MATCH(H3945,KALENDER!$A$3:$A$132,0)),"Di luar periode")</f>
        <v>Hari Kerja</v>
      </c>
      <c r="N3945" s="71">
        <f t="shared" si="550"/>
        <v>0</v>
      </c>
      <c r="O3945" s="71">
        <f t="shared" si="551"/>
        <v>1</v>
      </c>
      <c r="P3945" s="71">
        <f t="shared" si="552"/>
        <v>0</v>
      </c>
      <c r="Q3945" s="71">
        <f t="shared" si="553"/>
        <v>0</v>
      </c>
      <c r="R3945" s="71">
        <f t="shared" si="554"/>
        <v>0</v>
      </c>
      <c r="S3945" s="71">
        <f t="shared" si="555"/>
        <v>0</v>
      </c>
      <c r="T3945" s="71">
        <f t="shared" si="556"/>
        <v>0</v>
      </c>
      <c r="U3945" s="71">
        <f>IF(AND(N3945=1,V3945=1),IF(COUNTIFS(AKTIVITAS!$B$2:$B$3052,B3945,AKTIVITAS!$E$2:$E$3052,H3945)&gt;0,1,0),0)</f>
        <v>0</v>
      </c>
      <c r="V3945" s="71">
        <f>IFERROR(IF(AND(H3945&gt;=INDEX(PEMAGANG!$J$3:$J$36,MATCH(B3945,PEMAGANG!$C$3:$C$36,0)),H3945&lt;=INDEX(PEMAGANG!$K$3:$K$36,MATCH(B3945,PEMAGANG!$C$3:$C$36,0))),1,0),0)</f>
        <v>1</v>
      </c>
      <c r="W3945" s="71">
        <f t="shared" si="557"/>
        <v>0</v>
      </c>
    </row>
    <row r="3946" spans="1:23" x14ac:dyDescent="0.2">
      <c r="A3946" s="71" t="s">
        <v>200</v>
      </c>
      <c r="B3946" s="71" t="s">
        <v>201</v>
      </c>
      <c r="C3946" s="71" t="s">
        <v>187</v>
      </c>
      <c r="D3946" s="71" t="s">
        <v>185</v>
      </c>
      <c r="E3946" s="71" t="s">
        <v>47</v>
      </c>
      <c r="F3946" s="71" t="s">
        <v>298</v>
      </c>
      <c r="G3946" s="88">
        <v>46199.309872685197</v>
      </c>
      <c r="H3946" s="89">
        <v>46199</v>
      </c>
      <c r="I3946" s="71" t="s">
        <v>315</v>
      </c>
      <c r="J3946" s="71">
        <v>-3.9999999999999898</v>
      </c>
      <c r="K3946" s="71" t="s">
        <v>302</v>
      </c>
      <c r="L3946" s="71">
        <f t="shared" si="549"/>
        <v>6</v>
      </c>
      <c r="M3946" s="71" t="str">
        <f>IFERROR(INDEX(KALENDER!$D$3:$D$132,MATCH(H3946,KALENDER!$A$3:$A$132,0)),"Di luar periode")</f>
        <v>Hari Kerja</v>
      </c>
      <c r="N3946" s="71">
        <f t="shared" si="550"/>
        <v>1</v>
      </c>
      <c r="O3946" s="71">
        <f t="shared" si="551"/>
        <v>1</v>
      </c>
      <c r="P3946" s="71">
        <f t="shared" si="552"/>
        <v>1</v>
      </c>
      <c r="Q3946" s="71">
        <f t="shared" si="553"/>
        <v>0</v>
      </c>
      <c r="R3946" s="71">
        <f t="shared" si="554"/>
        <v>0</v>
      </c>
      <c r="S3946" s="71">
        <f t="shared" si="555"/>
        <v>0</v>
      </c>
      <c r="T3946" s="71">
        <f t="shared" si="556"/>
        <v>0</v>
      </c>
      <c r="U3946" s="71">
        <f>IF(AND(N3946=1,V3946=1),IF(COUNTIFS(AKTIVITAS!$B$2:$B$3052,B3946,AKTIVITAS!$E$2:$E$3052,H3946)&gt;0,1,0),0)</f>
        <v>0</v>
      </c>
      <c r="V3946" s="71">
        <f>IFERROR(IF(AND(H3946&gt;=INDEX(PEMAGANG!$J$3:$J$36,MATCH(B3946,PEMAGANG!$C$3:$C$36,0)),H3946&lt;=INDEX(PEMAGANG!$K$3:$K$36,MATCH(B3946,PEMAGANG!$C$3:$C$36,0))),1,0),0)</f>
        <v>1</v>
      </c>
      <c r="W3946" s="71">
        <f t="shared" si="557"/>
        <v>1</v>
      </c>
    </row>
    <row r="3947" spans="1:23" x14ac:dyDescent="0.2">
      <c r="A3947" s="71" t="s">
        <v>200</v>
      </c>
      <c r="B3947" s="71" t="s">
        <v>201</v>
      </c>
      <c r="C3947" s="71" t="s">
        <v>187</v>
      </c>
      <c r="D3947" s="71" t="s">
        <v>185</v>
      </c>
      <c r="E3947" s="71" t="s">
        <v>47</v>
      </c>
      <c r="F3947" s="71" t="s">
        <v>300</v>
      </c>
      <c r="G3947" s="88">
        <v>46199.747187499997</v>
      </c>
      <c r="H3947" s="89">
        <v>46199</v>
      </c>
      <c r="I3947" s="71" t="s">
        <v>366</v>
      </c>
      <c r="J3947" s="71">
        <v>0</v>
      </c>
      <c r="K3947" s="71" t="s">
        <v>302</v>
      </c>
      <c r="L3947" s="71">
        <f t="shared" si="549"/>
        <v>6</v>
      </c>
      <c r="M3947" s="71" t="str">
        <f>IFERROR(INDEX(KALENDER!$D$3:$D$132,MATCH(H3947,KALENDER!$A$3:$A$132,0)),"Di luar periode")</f>
        <v>Hari Kerja</v>
      </c>
      <c r="N3947" s="71">
        <f t="shared" si="550"/>
        <v>0</v>
      </c>
      <c r="O3947" s="71">
        <f t="shared" si="551"/>
        <v>1</v>
      </c>
      <c r="P3947" s="71">
        <f t="shared" si="552"/>
        <v>0</v>
      </c>
      <c r="Q3947" s="71">
        <f t="shared" si="553"/>
        <v>0</v>
      </c>
      <c r="R3947" s="71">
        <f t="shared" si="554"/>
        <v>0</v>
      </c>
      <c r="S3947" s="71">
        <f t="shared" si="555"/>
        <v>0</v>
      </c>
      <c r="T3947" s="71">
        <f t="shared" si="556"/>
        <v>0</v>
      </c>
      <c r="U3947" s="71">
        <f>IF(AND(N3947=1,V3947=1),IF(COUNTIFS(AKTIVITAS!$B$2:$B$3052,B3947,AKTIVITAS!$E$2:$E$3052,H3947)&gt;0,1,0),0)</f>
        <v>0</v>
      </c>
      <c r="V3947" s="71">
        <f>IFERROR(IF(AND(H3947&gt;=INDEX(PEMAGANG!$J$3:$J$36,MATCH(B3947,PEMAGANG!$C$3:$C$36,0)),H3947&lt;=INDEX(PEMAGANG!$K$3:$K$36,MATCH(B3947,PEMAGANG!$C$3:$C$36,0))),1,0),0)</f>
        <v>1</v>
      </c>
      <c r="W3947" s="71">
        <f t="shared" si="557"/>
        <v>0</v>
      </c>
    </row>
    <row r="3948" spans="1:23" x14ac:dyDescent="0.2">
      <c r="A3948" s="71" t="s">
        <v>200</v>
      </c>
      <c r="B3948" s="71" t="s">
        <v>201</v>
      </c>
      <c r="C3948" s="71" t="s">
        <v>187</v>
      </c>
      <c r="D3948" s="71" t="s">
        <v>185</v>
      </c>
      <c r="E3948" s="71" t="s">
        <v>47</v>
      </c>
      <c r="F3948" s="71" t="s">
        <v>298</v>
      </c>
      <c r="G3948" s="88">
        <v>46202.3102083333</v>
      </c>
      <c r="H3948" s="89">
        <v>46202</v>
      </c>
      <c r="I3948" s="71" t="s">
        <v>315</v>
      </c>
      <c r="J3948" s="71">
        <v>-3.9999999999999898</v>
      </c>
      <c r="K3948" s="71" t="s">
        <v>302</v>
      </c>
      <c r="L3948" s="71">
        <f t="shared" si="549"/>
        <v>6</v>
      </c>
      <c r="M3948" s="71" t="str">
        <f>IFERROR(INDEX(KALENDER!$D$3:$D$132,MATCH(H3948,KALENDER!$A$3:$A$132,0)),"Di luar periode")</f>
        <v>Hari Kerja</v>
      </c>
      <c r="N3948" s="71">
        <f t="shared" si="550"/>
        <v>1</v>
      </c>
      <c r="O3948" s="71">
        <f t="shared" si="551"/>
        <v>1</v>
      </c>
      <c r="P3948" s="71">
        <f t="shared" si="552"/>
        <v>1</v>
      </c>
      <c r="Q3948" s="71">
        <f t="shared" si="553"/>
        <v>0</v>
      </c>
      <c r="R3948" s="71">
        <f t="shared" si="554"/>
        <v>0</v>
      </c>
      <c r="S3948" s="71">
        <f t="shared" si="555"/>
        <v>0</v>
      </c>
      <c r="T3948" s="71">
        <f t="shared" si="556"/>
        <v>0</v>
      </c>
      <c r="U3948" s="71">
        <f>IF(AND(N3948=1,V3948=1),IF(COUNTIFS(AKTIVITAS!$B$2:$B$3052,B3948,AKTIVITAS!$E$2:$E$3052,H3948)&gt;0,1,0),0)</f>
        <v>1</v>
      </c>
      <c r="V3948" s="71">
        <f>IFERROR(IF(AND(H3948&gt;=INDEX(PEMAGANG!$J$3:$J$36,MATCH(B3948,PEMAGANG!$C$3:$C$36,0)),H3948&lt;=INDEX(PEMAGANG!$K$3:$K$36,MATCH(B3948,PEMAGANG!$C$3:$C$36,0))),1,0),0)</f>
        <v>1</v>
      </c>
      <c r="W3948" s="71">
        <f t="shared" si="557"/>
        <v>1</v>
      </c>
    </row>
    <row r="3949" spans="1:23" x14ac:dyDescent="0.2">
      <c r="A3949" s="71" t="s">
        <v>200</v>
      </c>
      <c r="B3949" s="71" t="s">
        <v>201</v>
      </c>
      <c r="C3949" s="71" t="s">
        <v>187</v>
      </c>
      <c r="D3949" s="71" t="s">
        <v>185</v>
      </c>
      <c r="E3949" s="71" t="s">
        <v>47</v>
      </c>
      <c r="F3949" s="71" t="s">
        <v>300</v>
      </c>
      <c r="G3949" s="88">
        <v>46202.717291666697</v>
      </c>
      <c r="H3949" s="89">
        <v>46202</v>
      </c>
      <c r="I3949" s="71" t="s">
        <v>301</v>
      </c>
      <c r="J3949" s="71">
        <v>0</v>
      </c>
      <c r="K3949" s="71" t="s">
        <v>302</v>
      </c>
      <c r="L3949" s="71">
        <f t="shared" si="549"/>
        <v>6</v>
      </c>
      <c r="M3949" s="71" t="str">
        <f>IFERROR(INDEX(KALENDER!$D$3:$D$132,MATCH(H3949,KALENDER!$A$3:$A$132,0)),"Di luar periode")</f>
        <v>Hari Kerja</v>
      </c>
      <c r="N3949" s="71">
        <f t="shared" si="550"/>
        <v>0</v>
      </c>
      <c r="O3949" s="71">
        <f t="shared" si="551"/>
        <v>1</v>
      </c>
      <c r="P3949" s="71">
        <f t="shared" si="552"/>
        <v>0</v>
      </c>
      <c r="Q3949" s="71">
        <f t="shared" si="553"/>
        <v>0</v>
      </c>
      <c r="R3949" s="71">
        <f t="shared" si="554"/>
        <v>0</v>
      </c>
      <c r="S3949" s="71">
        <f t="shared" si="555"/>
        <v>0</v>
      </c>
      <c r="T3949" s="71">
        <f t="shared" si="556"/>
        <v>0</v>
      </c>
      <c r="U3949" s="71">
        <f>IF(AND(N3949=1,V3949=1),IF(COUNTIFS(AKTIVITAS!$B$2:$B$3052,B3949,AKTIVITAS!$E$2:$E$3052,H3949)&gt;0,1,0),0)</f>
        <v>0</v>
      </c>
      <c r="V3949" s="71">
        <f>IFERROR(IF(AND(H3949&gt;=INDEX(PEMAGANG!$J$3:$J$36,MATCH(B3949,PEMAGANG!$C$3:$C$36,0)),H3949&lt;=INDEX(PEMAGANG!$K$3:$K$36,MATCH(B3949,PEMAGANG!$C$3:$C$36,0))),1,0),0)</f>
        <v>1</v>
      </c>
      <c r="W3949" s="71">
        <f t="shared" si="557"/>
        <v>0</v>
      </c>
    </row>
    <row r="3950" spans="1:23" x14ac:dyDescent="0.2">
      <c r="A3950" s="71" t="s">
        <v>200</v>
      </c>
      <c r="B3950" s="71" t="s">
        <v>201</v>
      </c>
      <c r="C3950" s="71" t="s">
        <v>187</v>
      </c>
      <c r="D3950" s="71" t="s">
        <v>185</v>
      </c>
      <c r="E3950" s="71" t="s">
        <v>47</v>
      </c>
      <c r="F3950" s="71" t="s">
        <v>298</v>
      </c>
      <c r="G3950" s="88">
        <v>46203.302071759303</v>
      </c>
      <c r="H3950" s="89">
        <v>46203</v>
      </c>
      <c r="I3950" s="71" t="s">
        <v>416</v>
      </c>
      <c r="J3950" s="71">
        <v>-16</v>
      </c>
      <c r="K3950" s="71" t="s">
        <v>302</v>
      </c>
      <c r="L3950" s="71">
        <f t="shared" si="549"/>
        <v>6</v>
      </c>
      <c r="M3950" s="71" t="str">
        <f>IFERROR(INDEX(KALENDER!$D$3:$D$132,MATCH(H3950,KALENDER!$A$3:$A$132,0)),"Di luar periode")</f>
        <v>Hari Kerja</v>
      </c>
      <c r="N3950" s="71">
        <f t="shared" si="550"/>
        <v>1</v>
      </c>
      <c r="O3950" s="71">
        <f t="shared" si="551"/>
        <v>1</v>
      </c>
      <c r="P3950" s="71">
        <f t="shared" si="552"/>
        <v>1</v>
      </c>
      <c r="Q3950" s="71">
        <f t="shared" si="553"/>
        <v>0</v>
      </c>
      <c r="R3950" s="71">
        <f t="shared" si="554"/>
        <v>0</v>
      </c>
      <c r="S3950" s="71">
        <f t="shared" si="555"/>
        <v>0</v>
      </c>
      <c r="T3950" s="71">
        <f t="shared" si="556"/>
        <v>1</v>
      </c>
      <c r="U3950" s="71">
        <f>IF(AND(N3950=1,V3950=1),IF(COUNTIFS(AKTIVITAS!$B$2:$B$3052,B3950,AKTIVITAS!$E$2:$E$3052,H3950)&gt;0,1,0),0)</f>
        <v>0</v>
      </c>
      <c r="V3950" s="71">
        <f>IFERROR(IF(AND(H3950&gt;=INDEX(PEMAGANG!$J$3:$J$36,MATCH(B3950,PEMAGANG!$C$3:$C$36,0)),H3950&lt;=INDEX(PEMAGANG!$K$3:$K$36,MATCH(B3950,PEMAGANG!$C$3:$C$36,0))),1,0),0)</f>
        <v>1</v>
      </c>
      <c r="W3950" s="71">
        <f t="shared" si="557"/>
        <v>1</v>
      </c>
    </row>
    <row r="3951" spans="1:23" x14ac:dyDescent="0.2">
      <c r="A3951" s="71" t="s">
        <v>200</v>
      </c>
      <c r="B3951" s="71" t="s">
        <v>201</v>
      </c>
      <c r="C3951" s="71" t="s">
        <v>187</v>
      </c>
      <c r="D3951" s="71" t="s">
        <v>185</v>
      </c>
      <c r="E3951" s="71" t="s">
        <v>47</v>
      </c>
      <c r="F3951" s="71" t="s">
        <v>298</v>
      </c>
      <c r="G3951" s="88">
        <v>46204.310057870403</v>
      </c>
      <c r="H3951" s="89">
        <v>46204</v>
      </c>
      <c r="I3951" s="71" t="s">
        <v>315</v>
      </c>
      <c r="J3951" s="71">
        <v>-3.9999999999999898</v>
      </c>
      <c r="K3951" s="71" t="s">
        <v>302</v>
      </c>
      <c r="L3951" s="71">
        <f t="shared" si="549"/>
        <v>7</v>
      </c>
      <c r="M3951" s="71" t="str">
        <f>IFERROR(INDEX(KALENDER!$D$3:$D$132,MATCH(H3951,KALENDER!$A$3:$A$132,0)),"Di luar periode")</f>
        <v>WFH</v>
      </c>
      <c r="N3951" s="71">
        <f t="shared" si="550"/>
        <v>1</v>
      </c>
      <c r="O3951" s="71">
        <f t="shared" si="551"/>
        <v>1</v>
      </c>
      <c r="P3951" s="71">
        <f t="shared" si="552"/>
        <v>0</v>
      </c>
      <c r="Q3951" s="71">
        <f t="shared" si="553"/>
        <v>1</v>
      </c>
      <c r="R3951" s="71">
        <f t="shared" si="554"/>
        <v>0</v>
      </c>
      <c r="S3951" s="71">
        <f t="shared" si="555"/>
        <v>0</v>
      </c>
      <c r="T3951" s="71">
        <f t="shared" si="556"/>
        <v>0</v>
      </c>
      <c r="U3951" s="71">
        <f>IF(AND(N3951=1,V3951=1),IF(COUNTIFS(AKTIVITAS!$B$2:$B$3052,B3951,AKTIVITAS!$E$2:$E$3052,H3951)&gt;0,1,0),0)</f>
        <v>1</v>
      </c>
      <c r="V3951" s="71">
        <f>IFERROR(IF(AND(H3951&gt;=INDEX(PEMAGANG!$J$3:$J$36,MATCH(B3951,PEMAGANG!$C$3:$C$36,0)),H3951&lt;=INDEX(PEMAGANG!$K$3:$K$36,MATCH(B3951,PEMAGANG!$C$3:$C$36,0))),1,0),0)</f>
        <v>1</v>
      </c>
      <c r="W3951" s="71">
        <f t="shared" si="557"/>
        <v>1</v>
      </c>
    </row>
    <row r="3952" spans="1:23" x14ac:dyDescent="0.2">
      <c r="A3952" s="71" t="s">
        <v>200</v>
      </c>
      <c r="B3952" s="71" t="s">
        <v>201</v>
      </c>
      <c r="C3952" s="71" t="s">
        <v>187</v>
      </c>
      <c r="D3952" s="71" t="s">
        <v>185</v>
      </c>
      <c r="E3952" s="71" t="s">
        <v>47</v>
      </c>
      <c r="F3952" s="71" t="s">
        <v>300</v>
      </c>
      <c r="G3952" s="88">
        <v>46204.755312499998</v>
      </c>
      <c r="H3952" s="89">
        <v>46204</v>
      </c>
      <c r="I3952" s="71" t="s">
        <v>599</v>
      </c>
      <c r="J3952" s="71">
        <v>0</v>
      </c>
      <c r="K3952" s="71" t="s">
        <v>302</v>
      </c>
      <c r="L3952" s="71">
        <f t="shared" si="549"/>
        <v>7</v>
      </c>
      <c r="M3952" s="71" t="str">
        <f>IFERROR(INDEX(KALENDER!$D$3:$D$132,MATCH(H3952,KALENDER!$A$3:$A$132,0)),"Di luar periode")</f>
        <v>WFH</v>
      </c>
      <c r="N3952" s="71">
        <f t="shared" si="550"/>
        <v>0</v>
      </c>
      <c r="O3952" s="71">
        <f t="shared" si="551"/>
        <v>1</v>
      </c>
      <c r="P3952" s="71">
        <f t="shared" si="552"/>
        <v>0</v>
      </c>
      <c r="Q3952" s="71">
        <f t="shared" si="553"/>
        <v>0</v>
      </c>
      <c r="R3952" s="71">
        <f t="shared" si="554"/>
        <v>0</v>
      </c>
      <c r="S3952" s="71">
        <f t="shared" si="555"/>
        <v>0</v>
      </c>
      <c r="T3952" s="71">
        <f t="shared" si="556"/>
        <v>0</v>
      </c>
      <c r="U3952" s="71">
        <f>IF(AND(N3952=1,V3952=1),IF(COUNTIFS(AKTIVITAS!$B$2:$B$3052,B3952,AKTIVITAS!$E$2:$E$3052,H3952)&gt;0,1,0),0)</f>
        <v>0</v>
      </c>
      <c r="V3952" s="71">
        <f>IFERROR(IF(AND(H3952&gt;=INDEX(PEMAGANG!$J$3:$J$36,MATCH(B3952,PEMAGANG!$C$3:$C$36,0)),H3952&lt;=INDEX(PEMAGANG!$K$3:$K$36,MATCH(B3952,PEMAGANG!$C$3:$C$36,0))),1,0),0)</f>
        <v>1</v>
      </c>
      <c r="W3952" s="71">
        <f t="shared" si="557"/>
        <v>0</v>
      </c>
    </row>
    <row r="3953" spans="1:23" x14ac:dyDescent="0.2">
      <c r="A3953" s="71" t="s">
        <v>200</v>
      </c>
      <c r="B3953" s="71" t="s">
        <v>201</v>
      </c>
      <c r="C3953" s="71" t="s">
        <v>187</v>
      </c>
      <c r="D3953" s="71" t="s">
        <v>185</v>
      </c>
      <c r="E3953" s="71" t="s">
        <v>47</v>
      </c>
      <c r="F3953" s="71" t="s">
        <v>298</v>
      </c>
      <c r="G3953" s="88">
        <v>46205.334895833301</v>
      </c>
      <c r="H3953" s="89">
        <v>46205</v>
      </c>
      <c r="I3953" s="71" t="s">
        <v>755</v>
      </c>
      <c r="J3953" s="71">
        <v>32</v>
      </c>
      <c r="K3953" s="71" t="s">
        <v>293</v>
      </c>
      <c r="L3953" s="71">
        <f t="shared" si="549"/>
        <v>7</v>
      </c>
      <c r="M3953" s="71" t="str">
        <f>IFERROR(INDEX(KALENDER!$D$3:$D$132,MATCH(H3953,KALENDER!$A$3:$A$132,0)),"Di luar periode")</f>
        <v>Hari Kerja</v>
      </c>
      <c r="N3953" s="71">
        <f t="shared" si="550"/>
        <v>1</v>
      </c>
      <c r="O3953" s="71">
        <f t="shared" si="551"/>
        <v>1</v>
      </c>
      <c r="P3953" s="71">
        <f t="shared" si="552"/>
        <v>1</v>
      </c>
      <c r="Q3953" s="71">
        <f t="shared" si="553"/>
        <v>0</v>
      </c>
      <c r="R3953" s="71">
        <f t="shared" si="554"/>
        <v>1</v>
      </c>
      <c r="S3953" s="71">
        <f t="shared" si="555"/>
        <v>32</v>
      </c>
      <c r="T3953" s="71">
        <f t="shared" si="556"/>
        <v>0</v>
      </c>
      <c r="U3953" s="71">
        <f>IF(AND(N3953=1,V3953=1),IF(COUNTIFS(AKTIVITAS!$B$2:$B$3052,B3953,AKTIVITAS!$E$2:$E$3052,H3953)&gt;0,1,0),0)</f>
        <v>0</v>
      </c>
      <c r="V3953" s="71">
        <f>IFERROR(IF(AND(H3953&gt;=INDEX(PEMAGANG!$J$3:$J$36,MATCH(B3953,PEMAGANG!$C$3:$C$36,0)),H3953&lt;=INDEX(PEMAGANG!$K$3:$K$36,MATCH(B3953,PEMAGANG!$C$3:$C$36,0))),1,0),0)</f>
        <v>1</v>
      </c>
      <c r="W3953" s="71">
        <f t="shared" si="557"/>
        <v>1</v>
      </c>
    </row>
    <row r="3954" spans="1:23" x14ac:dyDescent="0.2">
      <c r="A3954" s="71" t="s">
        <v>200</v>
      </c>
      <c r="B3954" s="71" t="s">
        <v>201</v>
      </c>
      <c r="C3954" s="71" t="s">
        <v>187</v>
      </c>
      <c r="D3954" s="71" t="s">
        <v>185</v>
      </c>
      <c r="E3954" s="71" t="s">
        <v>47</v>
      </c>
      <c r="F3954" s="71" t="s">
        <v>300</v>
      </c>
      <c r="G3954" s="88">
        <v>46205.713148148199</v>
      </c>
      <c r="H3954" s="89">
        <v>46205</v>
      </c>
      <c r="I3954" s="71" t="s">
        <v>371</v>
      </c>
      <c r="J3954" s="71">
        <v>0</v>
      </c>
      <c r="K3954" s="71" t="s">
        <v>302</v>
      </c>
      <c r="L3954" s="71">
        <f t="shared" si="549"/>
        <v>7</v>
      </c>
      <c r="M3954" s="71" t="str">
        <f>IFERROR(INDEX(KALENDER!$D$3:$D$132,MATCH(H3954,KALENDER!$A$3:$A$132,0)),"Di luar periode")</f>
        <v>Hari Kerja</v>
      </c>
      <c r="N3954" s="71">
        <f t="shared" si="550"/>
        <v>0</v>
      </c>
      <c r="O3954" s="71">
        <f t="shared" si="551"/>
        <v>1</v>
      </c>
      <c r="P3954" s="71">
        <f t="shared" si="552"/>
        <v>0</v>
      </c>
      <c r="Q3954" s="71">
        <f t="shared" si="553"/>
        <v>0</v>
      </c>
      <c r="R3954" s="71">
        <f t="shared" si="554"/>
        <v>0</v>
      </c>
      <c r="S3954" s="71">
        <f t="shared" si="555"/>
        <v>0</v>
      </c>
      <c r="T3954" s="71">
        <f t="shared" si="556"/>
        <v>0</v>
      </c>
      <c r="U3954" s="71">
        <f>IF(AND(N3954=1,V3954=1),IF(COUNTIFS(AKTIVITAS!$B$2:$B$3052,B3954,AKTIVITAS!$E$2:$E$3052,H3954)&gt;0,1,0),0)</f>
        <v>0</v>
      </c>
      <c r="V3954" s="71">
        <f>IFERROR(IF(AND(H3954&gt;=INDEX(PEMAGANG!$J$3:$J$36,MATCH(B3954,PEMAGANG!$C$3:$C$36,0)),H3954&lt;=INDEX(PEMAGANG!$K$3:$K$36,MATCH(B3954,PEMAGANG!$C$3:$C$36,0))),1,0),0)</f>
        <v>1</v>
      </c>
      <c r="W3954" s="71">
        <f t="shared" si="557"/>
        <v>0</v>
      </c>
    </row>
    <row r="3955" spans="1:23" x14ac:dyDescent="0.2">
      <c r="A3955" s="71" t="s">
        <v>200</v>
      </c>
      <c r="B3955" s="71" t="s">
        <v>201</v>
      </c>
      <c r="C3955" s="71" t="s">
        <v>187</v>
      </c>
      <c r="D3955" s="71" t="s">
        <v>185</v>
      </c>
      <c r="E3955" s="71" t="s">
        <v>47</v>
      </c>
      <c r="F3955" s="71" t="s">
        <v>298</v>
      </c>
      <c r="G3955" s="88">
        <v>46206.311655092599</v>
      </c>
      <c r="H3955" s="89">
        <v>46206</v>
      </c>
      <c r="I3955" s="71" t="s">
        <v>377</v>
      </c>
      <c r="J3955" s="71">
        <v>-1.99999999999999</v>
      </c>
      <c r="K3955" s="71" t="s">
        <v>302</v>
      </c>
      <c r="L3955" s="71">
        <f t="shared" si="549"/>
        <v>7</v>
      </c>
      <c r="M3955" s="71" t="str">
        <f>IFERROR(INDEX(KALENDER!$D$3:$D$132,MATCH(H3955,KALENDER!$A$3:$A$132,0)),"Di luar periode")</f>
        <v>Hari Kerja</v>
      </c>
      <c r="N3955" s="71">
        <f t="shared" si="550"/>
        <v>1</v>
      </c>
      <c r="O3955" s="71">
        <f t="shared" si="551"/>
        <v>1</v>
      </c>
      <c r="P3955" s="71">
        <f t="shared" si="552"/>
        <v>1</v>
      </c>
      <c r="Q3955" s="71">
        <f t="shared" si="553"/>
        <v>0</v>
      </c>
      <c r="R3955" s="71">
        <f t="shared" si="554"/>
        <v>0</v>
      </c>
      <c r="S3955" s="71">
        <f t="shared" si="555"/>
        <v>0</v>
      </c>
      <c r="T3955" s="71">
        <f t="shared" si="556"/>
        <v>0</v>
      </c>
      <c r="U3955" s="71">
        <f>IF(AND(N3955=1,V3955=1),IF(COUNTIFS(AKTIVITAS!$B$2:$B$3052,B3955,AKTIVITAS!$E$2:$E$3052,H3955)&gt;0,1,0),0)</f>
        <v>1</v>
      </c>
      <c r="V3955" s="71">
        <f>IFERROR(IF(AND(H3955&gt;=INDEX(PEMAGANG!$J$3:$J$36,MATCH(B3955,PEMAGANG!$C$3:$C$36,0)),H3955&lt;=INDEX(PEMAGANG!$K$3:$K$36,MATCH(B3955,PEMAGANG!$C$3:$C$36,0))),1,0),0)</f>
        <v>1</v>
      </c>
      <c r="W3955" s="71">
        <f t="shared" si="557"/>
        <v>1</v>
      </c>
    </row>
    <row r="3956" spans="1:23" x14ac:dyDescent="0.2">
      <c r="A3956" s="71" t="s">
        <v>200</v>
      </c>
      <c r="B3956" s="71" t="s">
        <v>201</v>
      </c>
      <c r="C3956" s="71" t="s">
        <v>187</v>
      </c>
      <c r="D3956" s="71" t="s">
        <v>185</v>
      </c>
      <c r="E3956" s="71" t="s">
        <v>47</v>
      </c>
      <c r="F3956" s="71" t="s">
        <v>300</v>
      </c>
      <c r="G3956" s="88">
        <v>46206.765300925901</v>
      </c>
      <c r="H3956" s="89">
        <v>46206</v>
      </c>
      <c r="I3956" s="71" t="s">
        <v>434</v>
      </c>
      <c r="J3956" s="71">
        <v>0</v>
      </c>
      <c r="K3956" s="71" t="s">
        <v>302</v>
      </c>
      <c r="L3956" s="71">
        <f t="shared" si="549"/>
        <v>7</v>
      </c>
      <c r="M3956" s="71" t="str">
        <f>IFERROR(INDEX(KALENDER!$D$3:$D$132,MATCH(H3956,KALENDER!$A$3:$A$132,0)),"Di luar periode")</f>
        <v>Hari Kerja</v>
      </c>
      <c r="N3956" s="71">
        <f t="shared" si="550"/>
        <v>0</v>
      </c>
      <c r="O3956" s="71">
        <f t="shared" si="551"/>
        <v>1</v>
      </c>
      <c r="P3956" s="71">
        <f t="shared" si="552"/>
        <v>0</v>
      </c>
      <c r="Q3956" s="71">
        <f t="shared" si="553"/>
        <v>0</v>
      </c>
      <c r="R3956" s="71">
        <f t="shared" si="554"/>
        <v>0</v>
      </c>
      <c r="S3956" s="71">
        <f t="shared" si="555"/>
        <v>0</v>
      </c>
      <c r="T3956" s="71">
        <f t="shared" si="556"/>
        <v>0</v>
      </c>
      <c r="U3956" s="71">
        <f>IF(AND(N3956=1,V3956=1),IF(COUNTIFS(AKTIVITAS!$B$2:$B$3052,B3956,AKTIVITAS!$E$2:$E$3052,H3956)&gt;0,1,0),0)</f>
        <v>0</v>
      </c>
      <c r="V3956" s="71">
        <f>IFERROR(IF(AND(H3956&gt;=INDEX(PEMAGANG!$J$3:$J$36,MATCH(B3956,PEMAGANG!$C$3:$C$36,0)),H3956&lt;=INDEX(PEMAGANG!$K$3:$K$36,MATCH(B3956,PEMAGANG!$C$3:$C$36,0))),1,0),0)</f>
        <v>1</v>
      </c>
      <c r="W3956" s="71">
        <f t="shared" si="557"/>
        <v>0</v>
      </c>
    </row>
    <row r="3957" spans="1:23" x14ac:dyDescent="0.2">
      <c r="A3957" s="71" t="s">
        <v>200</v>
      </c>
      <c r="B3957" s="71" t="s">
        <v>201</v>
      </c>
      <c r="C3957" s="71" t="s">
        <v>187</v>
      </c>
      <c r="D3957" s="71" t="s">
        <v>185</v>
      </c>
      <c r="E3957" s="71" t="s">
        <v>47</v>
      </c>
      <c r="F3957" s="71" t="s">
        <v>298</v>
      </c>
      <c r="G3957" s="88">
        <v>46209.316828703697</v>
      </c>
      <c r="H3957" s="89">
        <v>46209</v>
      </c>
      <c r="I3957" s="71" t="s">
        <v>376</v>
      </c>
      <c r="J3957" s="71">
        <v>5.9999999999999796</v>
      </c>
      <c r="K3957" s="71" t="s">
        <v>293</v>
      </c>
      <c r="L3957" s="71">
        <f t="shared" si="549"/>
        <v>7</v>
      </c>
      <c r="M3957" s="71" t="str">
        <f>IFERROR(INDEX(KALENDER!$D$3:$D$132,MATCH(H3957,KALENDER!$A$3:$A$132,0)),"Di luar periode")</f>
        <v>Hari Kerja</v>
      </c>
      <c r="N3957" s="71">
        <f t="shared" si="550"/>
        <v>1</v>
      </c>
      <c r="O3957" s="71">
        <f t="shared" si="551"/>
        <v>1</v>
      </c>
      <c r="P3957" s="71">
        <f t="shared" si="552"/>
        <v>1</v>
      </c>
      <c r="Q3957" s="71">
        <f t="shared" si="553"/>
        <v>0</v>
      </c>
      <c r="R3957" s="71">
        <f t="shared" si="554"/>
        <v>1</v>
      </c>
      <c r="S3957" s="71">
        <f t="shared" si="555"/>
        <v>5.9999999999999796</v>
      </c>
      <c r="T3957" s="71">
        <f t="shared" si="556"/>
        <v>0</v>
      </c>
      <c r="U3957" s="71">
        <f>IF(AND(N3957=1,V3957=1),IF(COUNTIFS(AKTIVITAS!$B$2:$B$3052,B3957,AKTIVITAS!$E$2:$E$3052,H3957)&gt;0,1,0),0)</f>
        <v>0</v>
      </c>
      <c r="V3957" s="71">
        <f>IFERROR(IF(AND(H3957&gt;=INDEX(PEMAGANG!$J$3:$J$36,MATCH(B3957,PEMAGANG!$C$3:$C$36,0)),H3957&lt;=INDEX(PEMAGANG!$K$3:$K$36,MATCH(B3957,PEMAGANG!$C$3:$C$36,0))),1,0),0)</f>
        <v>1</v>
      </c>
      <c r="W3957" s="71">
        <f t="shared" si="557"/>
        <v>1</v>
      </c>
    </row>
    <row r="3958" spans="1:23" x14ac:dyDescent="0.2">
      <c r="A3958" s="71" t="s">
        <v>200</v>
      </c>
      <c r="B3958" s="71" t="s">
        <v>201</v>
      </c>
      <c r="C3958" s="71" t="s">
        <v>187</v>
      </c>
      <c r="D3958" s="71" t="s">
        <v>185</v>
      </c>
      <c r="E3958" s="71" t="s">
        <v>47</v>
      </c>
      <c r="F3958" s="71" t="s">
        <v>300</v>
      </c>
      <c r="G3958" s="88">
        <v>46209.767268518503</v>
      </c>
      <c r="H3958" s="89">
        <v>46209</v>
      </c>
      <c r="I3958" s="71" t="s">
        <v>359</v>
      </c>
      <c r="J3958" s="71">
        <v>0</v>
      </c>
      <c r="K3958" s="71" t="s">
        <v>302</v>
      </c>
      <c r="L3958" s="71">
        <f t="shared" si="549"/>
        <v>7</v>
      </c>
      <c r="M3958" s="71" t="str">
        <f>IFERROR(INDEX(KALENDER!$D$3:$D$132,MATCH(H3958,KALENDER!$A$3:$A$132,0)),"Di luar periode")</f>
        <v>Hari Kerja</v>
      </c>
      <c r="N3958" s="71">
        <f t="shared" si="550"/>
        <v>0</v>
      </c>
      <c r="O3958" s="71">
        <f t="shared" si="551"/>
        <v>1</v>
      </c>
      <c r="P3958" s="71">
        <f t="shared" si="552"/>
        <v>0</v>
      </c>
      <c r="Q3958" s="71">
        <f t="shared" si="553"/>
        <v>0</v>
      </c>
      <c r="R3958" s="71">
        <f t="shared" si="554"/>
        <v>0</v>
      </c>
      <c r="S3958" s="71">
        <f t="shared" si="555"/>
        <v>0</v>
      </c>
      <c r="T3958" s="71">
        <f t="shared" si="556"/>
        <v>0</v>
      </c>
      <c r="U3958" s="71">
        <f>IF(AND(N3958=1,V3958=1),IF(COUNTIFS(AKTIVITAS!$B$2:$B$3052,B3958,AKTIVITAS!$E$2:$E$3052,H3958)&gt;0,1,0),0)</f>
        <v>0</v>
      </c>
      <c r="V3958" s="71">
        <f>IFERROR(IF(AND(H3958&gt;=INDEX(PEMAGANG!$J$3:$J$36,MATCH(B3958,PEMAGANG!$C$3:$C$36,0)),H3958&lt;=INDEX(PEMAGANG!$K$3:$K$36,MATCH(B3958,PEMAGANG!$C$3:$C$36,0))),1,0),0)</f>
        <v>1</v>
      </c>
      <c r="W3958" s="71">
        <f t="shared" si="557"/>
        <v>0</v>
      </c>
    </row>
    <row r="3959" spans="1:23" x14ac:dyDescent="0.2">
      <c r="A3959" s="71" t="s">
        <v>200</v>
      </c>
      <c r="B3959" s="71" t="s">
        <v>201</v>
      </c>
      <c r="C3959" s="71" t="s">
        <v>187</v>
      </c>
      <c r="D3959" s="71" t="s">
        <v>185</v>
      </c>
      <c r="E3959" s="71" t="s">
        <v>47</v>
      </c>
      <c r="F3959" s="71" t="s">
        <v>298</v>
      </c>
      <c r="G3959" s="88">
        <v>46210.314097222203</v>
      </c>
      <c r="H3959" s="89">
        <v>46210</v>
      </c>
      <c r="I3959" s="71" t="s">
        <v>338</v>
      </c>
      <c r="J3959" s="71">
        <v>1.99999999999999</v>
      </c>
      <c r="K3959" s="71" t="s">
        <v>293</v>
      </c>
      <c r="L3959" s="71">
        <f t="shared" si="549"/>
        <v>7</v>
      </c>
      <c r="M3959" s="71" t="str">
        <f>IFERROR(INDEX(KALENDER!$D$3:$D$132,MATCH(H3959,KALENDER!$A$3:$A$132,0)),"Di luar periode")</f>
        <v>Hari Kerja</v>
      </c>
      <c r="N3959" s="71">
        <f t="shared" si="550"/>
        <v>1</v>
      </c>
      <c r="O3959" s="71">
        <f t="shared" si="551"/>
        <v>1</v>
      </c>
      <c r="P3959" s="71">
        <f t="shared" si="552"/>
        <v>1</v>
      </c>
      <c r="Q3959" s="71">
        <f t="shared" si="553"/>
        <v>0</v>
      </c>
      <c r="R3959" s="71">
        <f t="shared" si="554"/>
        <v>1</v>
      </c>
      <c r="S3959" s="71">
        <f t="shared" si="555"/>
        <v>1.99999999999999</v>
      </c>
      <c r="T3959" s="71">
        <f t="shared" si="556"/>
        <v>0</v>
      </c>
      <c r="U3959" s="71">
        <f>IF(AND(N3959=1,V3959=1),IF(COUNTIFS(AKTIVITAS!$B$2:$B$3052,B3959,AKTIVITAS!$E$2:$E$3052,H3959)&gt;0,1,0),0)</f>
        <v>0</v>
      </c>
      <c r="V3959" s="71">
        <f>IFERROR(IF(AND(H3959&gt;=INDEX(PEMAGANG!$J$3:$J$36,MATCH(B3959,PEMAGANG!$C$3:$C$36,0)),H3959&lt;=INDEX(PEMAGANG!$K$3:$K$36,MATCH(B3959,PEMAGANG!$C$3:$C$36,0))),1,0),0)</f>
        <v>1</v>
      </c>
      <c r="W3959" s="71">
        <f t="shared" si="557"/>
        <v>1</v>
      </c>
    </row>
    <row r="3960" spans="1:23" x14ac:dyDescent="0.2">
      <c r="A3960" s="71" t="s">
        <v>200</v>
      </c>
      <c r="B3960" s="71" t="s">
        <v>201</v>
      </c>
      <c r="C3960" s="71" t="s">
        <v>187</v>
      </c>
      <c r="D3960" s="71" t="s">
        <v>185</v>
      </c>
      <c r="E3960" s="71" t="s">
        <v>47</v>
      </c>
      <c r="F3960" s="71" t="s">
        <v>300</v>
      </c>
      <c r="G3960" s="88">
        <v>46210.785405092603</v>
      </c>
      <c r="H3960" s="89">
        <v>46210</v>
      </c>
      <c r="I3960" s="71" t="s">
        <v>374</v>
      </c>
      <c r="J3960" s="71">
        <v>0</v>
      </c>
      <c r="K3960" s="71" t="s">
        <v>302</v>
      </c>
      <c r="L3960" s="71">
        <f t="shared" si="549"/>
        <v>7</v>
      </c>
      <c r="M3960" s="71" t="str">
        <f>IFERROR(INDEX(KALENDER!$D$3:$D$132,MATCH(H3960,KALENDER!$A$3:$A$132,0)),"Di luar periode")</f>
        <v>Hari Kerja</v>
      </c>
      <c r="N3960" s="71">
        <f t="shared" si="550"/>
        <v>0</v>
      </c>
      <c r="O3960" s="71">
        <f t="shared" si="551"/>
        <v>1</v>
      </c>
      <c r="P3960" s="71">
        <f t="shared" si="552"/>
        <v>0</v>
      </c>
      <c r="Q3960" s="71">
        <f t="shared" si="553"/>
        <v>0</v>
      </c>
      <c r="R3960" s="71">
        <f t="shared" si="554"/>
        <v>0</v>
      </c>
      <c r="S3960" s="71">
        <f t="shared" si="555"/>
        <v>0</v>
      </c>
      <c r="T3960" s="71">
        <f t="shared" si="556"/>
        <v>0</v>
      </c>
      <c r="U3960" s="71">
        <f>IF(AND(N3960=1,V3960=1),IF(COUNTIFS(AKTIVITAS!$B$2:$B$3052,B3960,AKTIVITAS!$E$2:$E$3052,H3960)&gt;0,1,0),0)</f>
        <v>0</v>
      </c>
      <c r="V3960" s="71">
        <f>IFERROR(IF(AND(H3960&gt;=INDEX(PEMAGANG!$J$3:$J$36,MATCH(B3960,PEMAGANG!$C$3:$C$36,0)),H3960&lt;=INDEX(PEMAGANG!$K$3:$K$36,MATCH(B3960,PEMAGANG!$C$3:$C$36,0))),1,0),0)</f>
        <v>1</v>
      </c>
      <c r="W3960" s="71">
        <f t="shared" si="557"/>
        <v>0</v>
      </c>
    </row>
    <row r="3961" spans="1:23" x14ac:dyDescent="0.2">
      <c r="A3961" s="71" t="s">
        <v>200</v>
      </c>
      <c r="B3961" s="71" t="s">
        <v>201</v>
      </c>
      <c r="C3961" s="71" t="s">
        <v>187</v>
      </c>
      <c r="D3961" s="71" t="s">
        <v>185</v>
      </c>
      <c r="E3961" s="71" t="s">
        <v>47</v>
      </c>
      <c r="F3961" s="71" t="s">
        <v>298</v>
      </c>
      <c r="G3961" s="88">
        <v>46212.315833333298</v>
      </c>
      <c r="H3961" s="89">
        <v>46212</v>
      </c>
      <c r="I3961" s="71" t="s">
        <v>373</v>
      </c>
      <c r="J3961" s="71">
        <v>3.9999999999999898</v>
      </c>
      <c r="K3961" s="71" t="s">
        <v>293</v>
      </c>
      <c r="L3961" s="71">
        <f t="shared" si="549"/>
        <v>7</v>
      </c>
      <c r="M3961" s="71" t="str">
        <f>IFERROR(INDEX(KALENDER!$D$3:$D$132,MATCH(H3961,KALENDER!$A$3:$A$132,0)),"Di luar periode")</f>
        <v>Hari Kerja</v>
      </c>
      <c r="N3961" s="71">
        <f t="shared" si="550"/>
        <v>1</v>
      </c>
      <c r="O3961" s="71">
        <f t="shared" si="551"/>
        <v>1</v>
      </c>
      <c r="P3961" s="71">
        <f t="shared" si="552"/>
        <v>1</v>
      </c>
      <c r="Q3961" s="71">
        <f t="shared" si="553"/>
        <v>0</v>
      </c>
      <c r="R3961" s="71">
        <f t="shared" si="554"/>
        <v>1</v>
      </c>
      <c r="S3961" s="71">
        <f t="shared" si="555"/>
        <v>3.9999999999999898</v>
      </c>
      <c r="T3961" s="71">
        <f t="shared" si="556"/>
        <v>0</v>
      </c>
      <c r="U3961" s="71">
        <f>IF(AND(N3961=1,V3961=1),IF(COUNTIFS(AKTIVITAS!$B$2:$B$3052,B3961,AKTIVITAS!$E$2:$E$3052,H3961)&gt;0,1,0),0)</f>
        <v>1</v>
      </c>
      <c r="V3961" s="71">
        <f>IFERROR(IF(AND(H3961&gt;=INDEX(PEMAGANG!$J$3:$J$36,MATCH(B3961,PEMAGANG!$C$3:$C$36,0)),H3961&lt;=INDEX(PEMAGANG!$K$3:$K$36,MATCH(B3961,PEMAGANG!$C$3:$C$36,0))),1,0),0)</f>
        <v>1</v>
      </c>
      <c r="W3961" s="71">
        <f t="shared" si="557"/>
        <v>1</v>
      </c>
    </row>
    <row r="3962" spans="1:23" x14ac:dyDescent="0.2">
      <c r="A3962" s="71" t="s">
        <v>200</v>
      </c>
      <c r="B3962" s="71" t="s">
        <v>201</v>
      </c>
      <c r="C3962" s="71" t="s">
        <v>187</v>
      </c>
      <c r="D3962" s="71" t="s">
        <v>185</v>
      </c>
      <c r="E3962" s="71" t="s">
        <v>47</v>
      </c>
      <c r="F3962" s="71" t="s">
        <v>300</v>
      </c>
      <c r="G3962" s="88">
        <v>46212.740775462997</v>
      </c>
      <c r="H3962" s="89">
        <v>46212</v>
      </c>
      <c r="I3962" s="71" t="s">
        <v>523</v>
      </c>
      <c r="J3962" s="71">
        <v>0</v>
      </c>
      <c r="K3962" s="71" t="s">
        <v>302</v>
      </c>
      <c r="L3962" s="71">
        <f t="shared" si="549"/>
        <v>7</v>
      </c>
      <c r="M3962" s="71" t="str">
        <f>IFERROR(INDEX(KALENDER!$D$3:$D$132,MATCH(H3962,KALENDER!$A$3:$A$132,0)),"Di luar periode")</f>
        <v>Hari Kerja</v>
      </c>
      <c r="N3962" s="71">
        <f t="shared" si="550"/>
        <v>0</v>
      </c>
      <c r="O3962" s="71">
        <f t="shared" si="551"/>
        <v>1</v>
      </c>
      <c r="P3962" s="71">
        <f t="shared" si="552"/>
        <v>0</v>
      </c>
      <c r="Q3962" s="71">
        <f t="shared" si="553"/>
        <v>0</v>
      </c>
      <c r="R3962" s="71">
        <f t="shared" si="554"/>
        <v>0</v>
      </c>
      <c r="S3962" s="71">
        <f t="shared" si="555"/>
        <v>0</v>
      </c>
      <c r="T3962" s="71">
        <f t="shared" si="556"/>
        <v>0</v>
      </c>
      <c r="U3962" s="71">
        <f>IF(AND(N3962=1,V3962=1),IF(COUNTIFS(AKTIVITAS!$B$2:$B$3052,B3962,AKTIVITAS!$E$2:$E$3052,H3962)&gt;0,1,0),0)</f>
        <v>0</v>
      </c>
      <c r="V3962" s="71">
        <f>IFERROR(IF(AND(H3962&gt;=INDEX(PEMAGANG!$J$3:$J$36,MATCH(B3962,PEMAGANG!$C$3:$C$36,0)),H3962&lt;=INDEX(PEMAGANG!$K$3:$K$36,MATCH(B3962,PEMAGANG!$C$3:$C$36,0))),1,0),0)</f>
        <v>1</v>
      </c>
      <c r="W3962" s="71">
        <f t="shared" si="557"/>
        <v>0</v>
      </c>
    </row>
    <row r="3963" spans="1:23" x14ac:dyDescent="0.2">
      <c r="A3963" s="71" t="s">
        <v>200</v>
      </c>
      <c r="B3963" s="71" t="s">
        <v>201</v>
      </c>
      <c r="C3963" s="71" t="s">
        <v>187</v>
      </c>
      <c r="D3963" s="71" t="s">
        <v>185</v>
      </c>
      <c r="E3963" s="71" t="s">
        <v>47</v>
      </c>
      <c r="F3963" s="71" t="s">
        <v>298</v>
      </c>
      <c r="G3963" s="88">
        <v>46213.316574074102</v>
      </c>
      <c r="H3963" s="89">
        <v>46213</v>
      </c>
      <c r="I3963" s="71" t="s">
        <v>339</v>
      </c>
      <c r="J3963" s="71">
        <v>4.9999999999999796</v>
      </c>
      <c r="K3963" s="71" t="s">
        <v>293</v>
      </c>
      <c r="L3963" s="71">
        <f t="shared" si="549"/>
        <v>7</v>
      </c>
      <c r="M3963" s="71" t="str">
        <f>IFERROR(INDEX(KALENDER!$D$3:$D$132,MATCH(H3963,KALENDER!$A$3:$A$132,0)),"Di luar periode")</f>
        <v>Hari Kerja</v>
      </c>
      <c r="N3963" s="71">
        <f t="shared" si="550"/>
        <v>1</v>
      </c>
      <c r="O3963" s="71">
        <f t="shared" si="551"/>
        <v>1</v>
      </c>
      <c r="P3963" s="71">
        <f t="shared" si="552"/>
        <v>1</v>
      </c>
      <c r="Q3963" s="71">
        <f t="shared" si="553"/>
        <v>0</v>
      </c>
      <c r="R3963" s="71">
        <f t="shared" si="554"/>
        <v>1</v>
      </c>
      <c r="S3963" s="71">
        <f t="shared" si="555"/>
        <v>4.9999999999999796</v>
      </c>
      <c r="T3963" s="71">
        <f t="shared" si="556"/>
        <v>0</v>
      </c>
      <c r="U3963" s="71">
        <f>IF(AND(N3963=1,V3963=1),IF(COUNTIFS(AKTIVITAS!$B$2:$B$3052,B3963,AKTIVITAS!$E$2:$E$3052,H3963)&gt;0,1,0),0)</f>
        <v>0</v>
      </c>
      <c r="V3963" s="71">
        <f>IFERROR(IF(AND(H3963&gt;=INDEX(PEMAGANG!$J$3:$J$36,MATCH(B3963,PEMAGANG!$C$3:$C$36,0)),H3963&lt;=INDEX(PEMAGANG!$K$3:$K$36,MATCH(B3963,PEMAGANG!$C$3:$C$36,0))),1,0),0)</f>
        <v>1</v>
      </c>
      <c r="W3963" s="71">
        <f t="shared" si="557"/>
        <v>1</v>
      </c>
    </row>
    <row r="3964" spans="1:23" x14ac:dyDescent="0.2">
      <c r="A3964" s="71" t="s">
        <v>200</v>
      </c>
      <c r="B3964" s="71" t="s">
        <v>201</v>
      </c>
      <c r="C3964" s="71" t="s">
        <v>187</v>
      </c>
      <c r="D3964" s="71" t="s">
        <v>185</v>
      </c>
      <c r="E3964" s="71" t="s">
        <v>47</v>
      </c>
      <c r="F3964" s="71" t="s">
        <v>300</v>
      </c>
      <c r="G3964" s="88">
        <v>46213.827523148197</v>
      </c>
      <c r="H3964" s="89">
        <v>46213</v>
      </c>
      <c r="I3964" s="71" t="s">
        <v>455</v>
      </c>
      <c r="J3964" s="71">
        <v>0</v>
      </c>
      <c r="K3964" s="71" t="s">
        <v>302</v>
      </c>
      <c r="L3964" s="71">
        <f t="shared" si="549"/>
        <v>7</v>
      </c>
      <c r="M3964" s="71" t="str">
        <f>IFERROR(INDEX(KALENDER!$D$3:$D$132,MATCH(H3964,KALENDER!$A$3:$A$132,0)),"Di luar periode")</f>
        <v>Hari Kerja</v>
      </c>
      <c r="N3964" s="71">
        <f t="shared" si="550"/>
        <v>0</v>
      </c>
      <c r="O3964" s="71">
        <f t="shared" si="551"/>
        <v>1</v>
      </c>
      <c r="P3964" s="71">
        <f t="shared" si="552"/>
        <v>0</v>
      </c>
      <c r="Q3964" s="71">
        <f t="shared" si="553"/>
        <v>0</v>
      </c>
      <c r="R3964" s="71">
        <f t="shared" si="554"/>
        <v>0</v>
      </c>
      <c r="S3964" s="71">
        <f t="shared" si="555"/>
        <v>0</v>
      </c>
      <c r="T3964" s="71">
        <f t="shared" si="556"/>
        <v>0</v>
      </c>
      <c r="U3964" s="71">
        <f>IF(AND(N3964=1,V3964=1),IF(COUNTIFS(AKTIVITAS!$B$2:$B$3052,B3964,AKTIVITAS!$E$2:$E$3052,H3964)&gt;0,1,0),0)</f>
        <v>0</v>
      </c>
      <c r="V3964" s="71">
        <f>IFERROR(IF(AND(H3964&gt;=INDEX(PEMAGANG!$J$3:$J$36,MATCH(B3964,PEMAGANG!$C$3:$C$36,0)),H3964&lt;=INDEX(PEMAGANG!$K$3:$K$36,MATCH(B3964,PEMAGANG!$C$3:$C$36,0))),1,0),0)</f>
        <v>1</v>
      </c>
      <c r="W3964" s="71">
        <f t="shared" si="557"/>
        <v>0</v>
      </c>
    </row>
    <row r="3965" spans="1:23" x14ac:dyDescent="0.2">
      <c r="A3965" s="71" t="s">
        <v>200</v>
      </c>
      <c r="B3965" s="71" t="s">
        <v>201</v>
      </c>
      <c r="C3965" s="71" t="s">
        <v>187</v>
      </c>
      <c r="D3965" s="71" t="s">
        <v>185</v>
      </c>
      <c r="E3965" s="71" t="s">
        <v>47</v>
      </c>
      <c r="F3965" s="71" t="s">
        <v>298</v>
      </c>
      <c r="G3965" s="88">
        <v>46216.349386574097</v>
      </c>
      <c r="H3965" s="89">
        <v>46216</v>
      </c>
      <c r="I3965" s="71" t="s">
        <v>756</v>
      </c>
      <c r="J3965" s="71">
        <v>53</v>
      </c>
      <c r="K3965" s="71" t="s">
        <v>293</v>
      </c>
      <c r="L3965" s="71">
        <f t="shared" si="549"/>
        <v>7</v>
      </c>
      <c r="M3965" s="71" t="str">
        <f>IFERROR(INDEX(KALENDER!$D$3:$D$132,MATCH(H3965,KALENDER!$A$3:$A$132,0)),"Di luar periode")</f>
        <v>Hari Kerja</v>
      </c>
      <c r="N3965" s="71">
        <f t="shared" si="550"/>
        <v>1</v>
      </c>
      <c r="O3965" s="71">
        <f t="shared" si="551"/>
        <v>1</v>
      </c>
      <c r="P3965" s="71">
        <f t="shared" si="552"/>
        <v>1</v>
      </c>
      <c r="Q3965" s="71">
        <f t="shared" si="553"/>
        <v>0</v>
      </c>
      <c r="R3965" s="71">
        <f t="shared" si="554"/>
        <v>1</v>
      </c>
      <c r="S3965" s="71">
        <f t="shared" si="555"/>
        <v>53</v>
      </c>
      <c r="T3965" s="71">
        <f t="shared" si="556"/>
        <v>0</v>
      </c>
      <c r="U3965" s="71">
        <f>IF(AND(N3965=1,V3965=1),IF(COUNTIFS(AKTIVITAS!$B$2:$B$3052,B3965,AKTIVITAS!$E$2:$E$3052,H3965)&gt;0,1,0),0)</f>
        <v>1</v>
      </c>
      <c r="V3965" s="71">
        <f>IFERROR(IF(AND(H3965&gt;=INDEX(PEMAGANG!$J$3:$J$36,MATCH(B3965,PEMAGANG!$C$3:$C$36,0)),H3965&lt;=INDEX(PEMAGANG!$K$3:$K$36,MATCH(B3965,PEMAGANG!$C$3:$C$36,0))),1,0),0)</f>
        <v>1</v>
      </c>
      <c r="W3965" s="71">
        <f t="shared" si="557"/>
        <v>1</v>
      </c>
    </row>
    <row r="3966" spans="1:23" x14ac:dyDescent="0.2">
      <c r="A3966" s="71" t="s">
        <v>200</v>
      </c>
      <c r="B3966" s="71" t="s">
        <v>201</v>
      </c>
      <c r="C3966" s="71" t="s">
        <v>187</v>
      </c>
      <c r="D3966" s="71" t="s">
        <v>185</v>
      </c>
      <c r="E3966" s="71" t="s">
        <v>47</v>
      </c>
      <c r="F3966" s="71" t="s">
        <v>300</v>
      </c>
      <c r="G3966" s="88">
        <v>46216.715787036999</v>
      </c>
      <c r="H3966" s="89">
        <v>46216</v>
      </c>
      <c r="I3966" s="71" t="s">
        <v>409</v>
      </c>
      <c r="J3966" s="71">
        <v>0</v>
      </c>
      <c r="K3966" s="71" t="s">
        <v>302</v>
      </c>
      <c r="L3966" s="71">
        <f t="shared" si="549"/>
        <v>7</v>
      </c>
      <c r="M3966" s="71" t="str">
        <f>IFERROR(INDEX(KALENDER!$D$3:$D$132,MATCH(H3966,KALENDER!$A$3:$A$132,0)),"Di luar periode")</f>
        <v>Hari Kerja</v>
      </c>
      <c r="N3966" s="71">
        <f t="shared" si="550"/>
        <v>0</v>
      </c>
      <c r="O3966" s="71">
        <f t="shared" si="551"/>
        <v>1</v>
      </c>
      <c r="P3966" s="71">
        <f t="shared" si="552"/>
        <v>0</v>
      </c>
      <c r="Q3966" s="71">
        <f t="shared" si="553"/>
        <v>0</v>
      </c>
      <c r="R3966" s="71">
        <f t="shared" si="554"/>
        <v>0</v>
      </c>
      <c r="S3966" s="71">
        <f t="shared" si="555"/>
        <v>0</v>
      </c>
      <c r="T3966" s="71">
        <f t="shared" si="556"/>
        <v>0</v>
      </c>
      <c r="U3966" s="71">
        <f>IF(AND(N3966=1,V3966=1),IF(COUNTIFS(AKTIVITAS!$B$2:$B$3052,B3966,AKTIVITAS!$E$2:$E$3052,H3966)&gt;0,1,0),0)</f>
        <v>0</v>
      </c>
      <c r="V3966" s="71">
        <f>IFERROR(IF(AND(H3966&gt;=INDEX(PEMAGANG!$J$3:$J$36,MATCH(B3966,PEMAGANG!$C$3:$C$36,0)),H3966&lt;=INDEX(PEMAGANG!$K$3:$K$36,MATCH(B3966,PEMAGANG!$C$3:$C$36,0))),1,0),0)</f>
        <v>1</v>
      </c>
      <c r="W3966" s="71">
        <f t="shared" si="557"/>
        <v>0</v>
      </c>
    </row>
    <row r="3967" spans="1:23" x14ac:dyDescent="0.2">
      <c r="A3967" s="71" t="s">
        <v>200</v>
      </c>
      <c r="B3967" s="71" t="s">
        <v>201</v>
      </c>
      <c r="C3967" s="71" t="s">
        <v>187</v>
      </c>
      <c r="D3967" s="71" t="s">
        <v>185</v>
      </c>
      <c r="E3967" s="71" t="s">
        <v>47</v>
      </c>
      <c r="F3967" s="71" t="s">
        <v>298</v>
      </c>
      <c r="G3967" s="88">
        <v>46217.311006944401</v>
      </c>
      <c r="H3967" s="89">
        <v>46217</v>
      </c>
      <c r="I3967" s="71" t="s">
        <v>309</v>
      </c>
      <c r="J3967" s="71">
        <v>-2.9999999999999898</v>
      </c>
      <c r="K3967" s="71" t="s">
        <v>302</v>
      </c>
      <c r="L3967" s="71">
        <f t="shared" si="549"/>
        <v>7</v>
      </c>
      <c r="M3967" s="71" t="str">
        <f>IFERROR(INDEX(KALENDER!$D$3:$D$132,MATCH(H3967,KALENDER!$A$3:$A$132,0)),"Di luar periode")</f>
        <v>Hari Kerja</v>
      </c>
      <c r="N3967" s="71">
        <f t="shared" si="550"/>
        <v>1</v>
      </c>
      <c r="O3967" s="71">
        <f t="shared" si="551"/>
        <v>1</v>
      </c>
      <c r="P3967" s="71">
        <f t="shared" si="552"/>
        <v>1</v>
      </c>
      <c r="Q3967" s="71">
        <f t="shared" si="553"/>
        <v>0</v>
      </c>
      <c r="R3967" s="71">
        <f t="shared" si="554"/>
        <v>0</v>
      </c>
      <c r="S3967" s="71">
        <f t="shared" si="555"/>
        <v>0</v>
      </c>
      <c r="T3967" s="71">
        <f t="shared" si="556"/>
        <v>0</v>
      </c>
      <c r="U3967" s="71">
        <f>IF(AND(N3967=1,V3967=1),IF(COUNTIFS(AKTIVITAS!$B$2:$B$3052,B3967,AKTIVITAS!$E$2:$E$3052,H3967)&gt;0,1,0),0)</f>
        <v>1</v>
      </c>
      <c r="V3967" s="71">
        <f>IFERROR(IF(AND(H3967&gt;=INDEX(PEMAGANG!$J$3:$J$36,MATCH(B3967,PEMAGANG!$C$3:$C$36,0)),H3967&lt;=INDEX(PEMAGANG!$K$3:$K$36,MATCH(B3967,PEMAGANG!$C$3:$C$36,0))),1,0),0)</f>
        <v>1</v>
      </c>
      <c r="W3967" s="71">
        <f t="shared" si="557"/>
        <v>1</v>
      </c>
    </row>
    <row r="3968" spans="1:23" x14ac:dyDescent="0.2">
      <c r="A3968" s="71" t="s">
        <v>200</v>
      </c>
      <c r="B3968" s="71" t="s">
        <v>201</v>
      </c>
      <c r="C3968" s="71" t="s">
        <v>187</v>
      </c>
      <c r="D3968" s="71" t="s">
        <v>185</v>
      </c>
      <c r="E3968" s="71" t="s">
        <v>47</v>
      </c>
      <c r="F3968" s="71" t="s">
        <v>300</v>
      </c>
      <c r="G3968" s="88">
        <v>46217.713125000002</v>
      </c>
      <c r="H3968" s="89">
        <v>46217</v>
      </c>
      <c r="I3968" s="71" t="s">
        <v>371</v>
      </c>
      <c r="J3968" s="71">
        <v>0</v>
      </c>
      <c r="K3968" s="71" t="s">
        <v>302</v>
      </c>
      <c r="L3968" s="71">
        <f t="shared" si="549"/>
        <v>7</v>
      </c>
      <c r="M3968" s="71" t="str">
        <f>IFERROR(INDEX(KALENDER!$D$3:$D$132,MATCH(H3968,KALENDER!$A$3:$A$132,0)),"Di luar periode")</f>
        <v>Hari Kerja</v>
      </c>
      <c r="N3968" s="71">
        <f t="shared" si="550"/>
        <v>0</v>
      </c>
      <c r="O3968" s="71">
        <f t="shared" si="551"/>
        <v>1</v>
      </c>
      <c r="P3968" s="71">
        <f t="shared" si="552"/>
        <v>0</v>
      </c>
      <c r="Q3968" s="71">
        <f t="shared" si="553"/>
        <v>0</v>
      </c>
      <c r="R3968" s="71">
        <f t="shared" si="554"/>
        <v>0</v>
      </c>
      <c r="S3968" s="71">
        <f t="shared" si="555"/>
        <v>0</v>
      </c>
      <c r="T3968" s="71">
        <f t="shared" si="556"/>
        <v>0</v>
      </c>
      <c r="U3968" s="71">
        <f>IF(AND(N3968=1,V3968=1),IF(COUNTIFS(AKTIVITAS!$B$2:$B$3052,B3968,AKTIVITAS!$E$2:$E$3052,H3968)&gt;0,1,0),0)</f>
        <v>0</v>
      </c>
      <c r="V3968" s="71">
        <f>IFERROR(IF(AND(H3968&gt;=INDEX(PEMAGANG!$J$3:$J$36,MATCH(B3968,PEMAGANG!$C$3:$C$36,0)),H3968&lt;=INDEX(PEMAGANG!$K$3:$K$36,MATCH(B3968,PEMAGANG!$C$3:$C$36,0))),1,0),0)</f>
        <v>1</v>
      </c>
      <c r="W3968" s="71">
        <f t="shared" si="557"/>
        <v>0</v>
      </c>
    </row>
    <row r="3969" spans="1:23" x14ac:dyDescent="0.2">
      <c r="A3969" s="71" t="s">
        <v>200</v>
      </c>
      <c r="B3969" s="71" t="s">
        <v>201</v>
      </c>
      <c r="C3969" s="71" t="s">
        <v>187</v>
      </c>
      <c r="D3969" s="71" t="s">
        <v>185</v>
      </c>
      <c r="E3969" s="71" t="s">
        <v>47</v>
      </c>
      <c r="F3969" s="71" t="s">
        <v>298</v>
      </c>
      <c r="G3969" s="88">
        <v>46219.310960648101</v>
      </c>
      <c r="H3969" s="89">
        <v>46219</v>
      </c>
      <c r="I3969" s="71" t="s">
        <v>309</v>
      </c>
      <c r="J3969" s="71">
        <v>-2.9999999999999898</v>
      </c>
      <c r="K3969" s="71" t="s">
        <v>302</v>
      </c>
      <c r="L3969" s="71">
        <f t="shared" si="549"/>
        <v>7</v>
      </c>
      <c r="M3969" s="71" t="str">
        <f>IFERROR(INDEX(KALENDER!$D$3:$D$132,MATCH(H3969,KALENDER!$A$3:$A$132,0)),"Di luar periode")</f>
        <v>Hari Kerja</v>
      </c>
      <c r="N3969" s="71">
        <f t="shared" si="550"/>
        <v>1</v>
      </c>
      <c r="O3969" s="71">
        <f t="shared" si="551"/>
        <v>1</v>
      </c>
      <c r="P3969" s="71">
        <f t="shared" si="552"/>
        <v>1</v>
      </c>
      <c r="Q3969" s="71">
        <f t="shared" si="553"/>
        <v>0</v>
      </c>
      <c r="R3969" s="71">
        <f t="shared" si="554"/>
        <v>0</v>
      </c>
      <c r="S3969" s="71">
        <f t="shared" si="555"/>
        <v>0</v>
      </c>
      <c r="T3969" s="71">
        <f t="shared" si="556"/>
        <v>0</v>
      </c>
      <c r="U3969" s="71">
        <f>IF(AND(N3969=1,V3969=1),IF(COUNTIFS(AKTIVITAS!$B$2:$B$3052,B3969,AKTIVITAS!$E$2:$E$3052,H3969)&gt;0,1,0),0)</f>
        <v>1</v>
      </c>
      <c r="V3969" s="71">
        <f>IFERROR(IF(AND(H3969&gt;=INDEX(PEMAGANG!$J$3:$J$36,MATCH(B3969,PEMAGANG!$C$3:$C$36,0)),H3969&lt;=INDEX(PEMAGANG!$K$3:$K$36,MATCH(B3969,PEMAGANG!$C$3:$C$36,0))),1,0),0)</f>
        <v>1</v>
      </c>
      <c r="W3969" s="71">
        <f t="shared" si="557"/>
        <v>1</v>
      </c>
    </row>
    <row r="3970" spans="1:23" x14ac:dyDescent="0.2">
      <c r="A3970" s="71" t="s">
        <v>200</v>
      </c>
      <c r="B3970" s="71" t="s">
        <v>201</v>
      </c>
      <c r="C3970" s="71" t="s">
        <v>187</v>
      </c>
      <c r="D3970" s="71" t="s">
        <v>185</v>
      </c>
      <c r="E3970" s="71" t="s">
        <v>47</v>
      </c>
      <c r="F3970" s="71" t="s">
        <v>300</v>
      </c>
      <c r="G3970" s="88">
        <v>46219.689583333296</v>
      </c>
      <c r="H3970" s="89">
        <v>46219</v>
      </c>
      <c r="I3970" s="71" t="s">
        <v>316</v>
      </c>
      <c r="J3970" s="71">
        <v>0</v>
      </c>
      <c r="K3970" s="71" t="s">
        <v>302</v>
      </c>
      <c r="L3970" s="71">
        <f t="shared" ref="L3970:L4033" si="558">MONTH(H3970)</f>
        <v>7</v>
      </c>
      <c r="M3970" s="71" t="str">
        <f>IFERROR(INDEX(KALENDER!$D$3:$D$132,MATCH(H3970,KALENDER!$A$3:$A$132,0)),"Di luar periode")</f>
        <v>Hari Kerja</v>
      </c>
      <c r="N3970" s="71">
        <f t="shared" ref="N3970:N4033" si="559">IF(AND(B3970=B3969,H3970=H3969),0,1)</f>
        <v>0</v>
      </c>
      <c r="O3970" s="71">
        <f t="shared" ref="O3970:O4033" si="560">IF(N3970=1,0,O3969)+IF(F3970="MASUK",1,0)</f>
        <v>1</v>
      </c>
      <c r="P3970" s="71">
        <f t="shared" ref="P3970:P4033" si="561">IF(AND(N3970=1,M3970="Hari Kerja",V3970=1),1,0)</f>
        <v>0</v>
      </c>
      <c r="Q3970" s="71">
        <f t="shared" ref="Q3970:Q4033" si="562">IF(AND(N3970=1,OR(M3970&lt;&gt;"Hari Kerja",V3970=0)),1,0)</f>
        <v>0</v>
      </c>
      <c r="R3970" s="71">
        <f t="shared" ref="R3970:R4033" si="563">IF(AND(F3970="MASUK",O3970=1,N(J3970)&gt;0,V3970=1),1,0)</f>
        <v>0</v>
      </c>
      <c r="S3970" s="71">
        <f t="shared" ref="S3970:S4033" si="564">R3970*N(J3970)</f>
        <v>0</v>
      </c>
      <c r="T3970" s="71">
        <f t="shared" ref="T3970:T4033" si="565">IF(AND(N3970=1,V3970=1),IF(AND(COUNTIFS($B$2:$B$4094,B3970,$H$2:$H$4094,H3970,$F$2:$F$4094,"MASUK")&gt;0,COUNTIFS($B$2:$B$4094,B3970,$H$2:$H$4094,H3970,$F$2:$F$4094,"PULANG")=0),1,0),0)</f>
        <v>0</v>
      </c>
      <c r="U3970" s="71">
        <f>IF(AND(N3970=1,V3970=1),IF(COUNTIFS(AKTIVITAS!$B$2:$B$3052,B3970,AKTIVITAS!$E$2:$E$3052,H3970)&gt;0,1,0),0)</f>
        <v>0</v>
      </c>
      <c r="V3970" s="71">
        <f>IFERROR(IF(AND(H3970&gt;=INDEX(PEMAGANG!$J$3:$J$36,MATCH(B3970,PEMAGANG!$C$3:$C$36,0)),H3970&lt;=INDEX(PEMAGANG!$K$3:$K$36,MATCH(B3970,PEMAGANG!$C$3:$C$36,0))),1,0),0)</f>
        <v>1</v>
      </c>
      <c r="W3970" s="71">
        <f t="shared" ref="W3970:W4033" si="566">N3970*V3970</f>
        <v>0</v>
      </c>
    </row>
    <row r="3971" spans="1:23" x14ac:dyDescent="0.2">
      <c r="A3971" s="71" t="s">
        <v>200</v>
      </c>
      <c r="B3971" s="71" t="s">
        <v>201</v>
      </c>
      <c r="C3971" s="71" t="s">
        <v>187</v>
      </c>
      <c r="D3971" s="71" t="s">
        <v>185</v>
      </c>
      <c r="E3971" s="71" t="s">
        <v>47</v>
      </c>
      <c r="F3971" s="71" t="s">
        <v>298</v>
      </c>
      <c r="G3971" s="88">
        <v>46220.313530092601</v>
      </c>
      <c r="H3971" s="89">
        <v>46220</v>
      </c>
      <c r="I3971" s="71" t="s">
        <v>392</v>
      </c>
      <c r="J3971" s="71">
        <v>0.999999999999996</v>
      </c>
      <c r="K3971" s="71" t="s">
        <v>293</v>
      </c>
      <c r="L3971" s="71">
        <f t="shared" si="558"/>
        <v>7</v>
      </c>
      <c r="M3971" s="71" t="str">
        <f>IFERROR(INDEX(KALENDER!$D$3:$D$132,MATCH(H3971,KALENDER!$A$3:$A$132,0)),"Di luar periode")</f>
        <v>Hari Kerja</v>
      </c>
      <c r="N3971" s="71">
        <f t="shared" si="559"/>
        <v>1</v>
      </c>
      <c r="O3971" s="71">
        <f t="shared" si="560"/>
        <v>1</v>
      </c>
      <c r="P3971" s="71">
        <f t="shared" si="561"/>
        <v>1</v>
      </c>
      <c r="Q3971" s="71">
        <f t="shared" si="562"/>
        <v>0</v>
      </c>
      <c r="R3971" s="71">
        <f t="shared" si="563"/>
        <v>1</v>
      </c>
      <c r="S3971" s="71">
        <f t="shared" si="564"/>
        <v>0.999999999999996</v>
      </c>
      <c r="T3971" s="71">
        <f t="shared" si="565"/>
        <v>0</v>
      </c>
      <c r="U3971" s="71">
        <f>IF(AND(N3971=1,V3971=1),IF(COUNTIFS(AKTIVITAS!$B$2:$B$3052,B3971,AKTIVITAS!$E$2:$E$3052,H3971)&gt;0,1,0),0)</f>
        <v>1</v>
      </c>
      <c r="V3971" s="71">
        <f>IFERROR(IF(AND(H3971&gt;=INDEX(PEMAGANG!$J$3:$J$36,MATCH(B3971,PEMAGANG!$C$3:$C$36,0)),H3971&lt;=INDEX(PEMAGANG!$K$3:$K$36,MATCH(B3971,PEMAGANG!$C$3:$C$36,0))),1,0),0)</f>
        <v>1</v>
      </c>
      <c r="W3971" s="71">
        <f t="shared" si="566"/>
        <v>1</v>
      </c>
    </row>
    <row r="3972" spans="1:23" x14ac:dyDescent="0.2">
      <c r="A3972" s="71" t="s">
        <v>200</v>
      </c>
      <c r="B3972" s="71" t="s">
        <v>201</v>
      </c>
      <c r="C3972" s="71" t="s">
        <v>187</v>
      </c>
      <c r="D3972" s="71" t="s">
        <v>185</v>
      </c>
      <c r="E3972" s="71" t="s">
        <v>47</v>
      </c>
      <c r="F3972" s="71" t="s">
        <v>300</v>
      </c>
      <c r="G3972" s="88">
        <v>46220.768182870401</v>
      </c>
      <c r="H3972" s="89">
        <v>46220</v>
      </c>
      <c r="I3972" s="71" t="s">
        <v>462</v>
      </c>
      <c r="J3972" s="71">
        <v>0</v>
      </c>
      <c r="K3972" s="71" t="s">
        <v>302</v>
      </c>
      <c r="L3972" s="71">
        <f t="shared" si="558"/>
        <v>7</v>
      </c>
      <c r="M3972" s="71" t="str">
        <f>IFERROR(INDEX(KALENDER!$D$3:$D$132,MATCH(H3972,KALENDER!$A$3:$A$132,0)),"Di luar periode")</f>
        <v>Hari Kerja</v>
      </c>
      <c r="N3972" s="71">
        <f t="shared" si="559"/>
        <v>0</v>
      </c>
      <c r="O3972" s="71">
        <f t="shared" si="560"/>
        <v>1</v>
      </c>
      <c r="P3972" s="71">
        <f t="shared" si="561"/>
        <v>0</v>
      </c>
      <c r="Q3972" s="71">
        <f t="shared" si="562"/>
        <v>0</v>
      </c>
      <c r="R3972" s="71">
        <f t="shared" si="563"/>
        <v>0</v>
      </c>
      <c r="S3972" s="71">
        <f t="shared" si="564"/>
        <v>0</v>
      </c>
      <c r="T3972" s="71">
        <f t="shared" si="565"/>
        <v>0</v>
      </c>
      <c r="U3972" s="71">
        <f>IF(AND(N3972=1,V3972=1),IF(COUNTIFS(AKTIVITAS!$B$2:$B$3052,B3972,AKTIVITAS!$E$2:$E$3052,H3972)&gt;0,1,0),0)</f>
        <v>0</v>
      </c>
      <c r="V3972" s="71">
        <f>IFERROR(IF(AND(H3972&gt;=INDEX(PEMAGANG!$J$3:$J$36,MATCH(B3972,PEMAGANG!$C$3:$C$36,0)),H3972&lt;=INDEX(PEMAGANG!$K$3:$K$36,MATCH(B3972,PEMAGANG!$C$3:$C$36,0))),1,0),0)</f>
        <v>1</v>
      </c>
      <c r="W3972" s="71">
        <f t="shared" si="566"/>
        <v>0</v>
      </c>
    </row>
    <row r="3973" spans="1:23" x14ac:dyDescent="0.2">
      <c r="A3973" s="71" t="s">
        <v>200</v>
      </c>
      <c r="B3973" s="71" t="s">
        <v>201</v>
      </c>
      <c r="C3973" s="71" t="s">
        <v>187</v>
      </c>
      <c r="D3973" s="71" t="s">
        <v>185</v>
      </c>
      <c r="E3973" s="71" t="s">
        <v>47</v>
      </c>
      <c r="F3973" s="71" t="s">
        <v>298</v>
      </c>
      <c r="G3973" s="88">
        <v>46223.564201388901</v>
      </c>
      <c r="H3973" s="89">
        <v>46223</v>
      </c>
      <c r="I3973" s="71" t="s">
        <v>757</v>
      </c>
      <c r="J3973" s="71">
        <v>362</v>
      </c>
      <c r="K3973" s="71" t="s">
        <v>293</v>
      </c>
      <c r="L3973" s="71">
        <f t="shared" si="558"/>
        <v>7</v>
      </c>
      <c r="M3973" s="71" t="str">
        <f>IFERROR(INDEX(KALENDER!$D$3:$D$132,MATCH(H3973,KALENDER!$A$3:$A$132,0)),"Di luar periode")</f>
        <v>Hari Kerja</v>
      </c>
      <c r="N3973" s="71">
        <f t="shared" si="559"/>
        <v>1</v>
      </c>
      <c r="O3973" s="71">
        <f t="shared" si="560"/>
        <v>1</v>
      </c>
      <c r="P3973" s="71">
        <f t="shared" si="561"/>
        <v>1</v>
      </c>
      <c r="Q3973" s="71">
        <f t="shared" si="562"/>
        <v>0</v>
      </c>
      <c r="R3973" s="71">
        <f t="shared" si="563"/>
        <v>1</v>
      </c>
      <c r="S3973" s="71">
        <f t="shared" si="564"/>
        <v>362</v>
      </c>
      <c r="T3973" s="71">
        <f t="shared" si="565"/>
        <v>0</v>
      </c>
      <c r="U3973" s="71">
        <f>IF(AND(N3973=1,V3973=1),IF(COUNTIFS(AKTIVITAS!$B$2:$B$3052,B3973,AKTIVITAS!$E$2:$E$3052,H3973)&gt;0,1,0),0)</f>
        <v>1</v>
      </c>
      <c r="V3973" s="71">
        <f>IFERROR(IF(AND(H3973&gt;=INDEX(PEMAGANG!$J$3:$J$36,MATCH(B3973,PEMAGANG!$C$3:$C$36,0)),H3973&lt;=INDEX(PEMAGANG!$K$3:$K$36,MATCH(B3973,PEMAGANG!$C$3:$C$36,0))),1,0),0)</f>
        <v>1</v>
      </c>
      <c r="W3973" s="71">
        <f t="shared" si="566"/>
        <v>1</v>
      </c>
    </row>
    <row r="3974" spans="1:23" x14ac:dyDescent="0.2">
      <c r="A3974" s="71" t="s">
        <v>200</v>
      </c>
      <c r="B3974" s="71" t="s">
        <v>201</v>
      </c>
      <c r="C3974" s="71" t="s">
        <v>187</v>
      </c>
      <c r="D3974" s="71" t="s">
        <v>185</v>
      </c>
      <c r="E3974" s="71" t="s">
        <v>47</v>
      </c>
      <c r="F3974" s="71" t="s">
        <v>300</v>
      </c>
      <c r="G3974" s="88">
        <v>46223.749166666697</v>
      </c>
      <c r="H3974" s="89">
        <v>46223</v>
      </c>
      <c r="I3974" s="71" t="s">
        <v>758</v>
      </c>
      <c r="J3974" s="71">
        <v>0</v>
      </c>
      <c r="K3974" s="71" t="s">
        <v>302</v>
      </c>
      <c r="L3974" s="71">
        <f t="shared" si="558"/>
        <v>7</v>
      </c>
      <c r="M3974" s="71" t="str">
        <f>IFERROR(INDEX(KALENDER!$D$3:$D$132,MATCH(H3974,KALENDER!$A$3:$A$132,0)),"Di luar periode")</f>
        <v>Hari Kerja</v>
      </c>
      <c r="N3974" s="71">
        <f t="shared" si="559"/>
        <v>0</v>
      </c>
      <c r="O3974" s="71">
        <f t="shared" si="560"/>
        <v>1</v>
      </c>
      <c r="P3974" s="71">
        <f t="shared" si="561"/>
        <v>0</v>
      </c>
      <c r="Q3974" s="71">
        <f t="shared" si="562"/>
        <v>0</v>
      </c>
      <c r="R3974" s="71">
        <f t="shared" si="563"/>
        <v>0</v>
      </c>
      <c r="S3974" s="71">
        <f t="shared" si="564"/>
        <v>0</v>
      </c>
      <c r="T3974" s="71">
        <f t="shared" si="565"/>
        <v>0</v>
      </c>
      <c r="U3974" s="71">
        <f>IF(AND(N3974=1,V3974=1),IF(COUNTIFS(AKTIVITAS!$B$2:$B$3052,B3974,AKTIVITAS!$E$2:$E$3052,H3974)&gt;0,1,0),0)</f>
        <v>0</v>
      </c>
      <c r="V3974" s="71">
        <f>IFERROR(IF(AND(H3974&gt;=INDEX(PEMAGANG!$J$3:$J$36,MATCH(B3974,PEMAGANG!$C$3:$C$36,0)),H3974&lt;=INDEX(PEMAGANG!$K$3:$K$36,MATCH(B3974,PEMAGANG!$C$3:$C$36,0))),1,0),0)</f>
        <v>1</v>
      </c>
      <c r="W3974" s="71">
        <f t="shared" si="566"/>
        <v>0</v>
      </c>
    </row>
    <row r="3975" spans="1:23" x14ac:dyDescent="0.2">
      <c r="A3975" s="71" t="s">
        <v>200</v>
      </c>
      <c r="B3975" s="71" t="s">
        <v>201</v>
      </c>
      <c r="C3975" s="71" t="s">
        <v>187</v>
      </c>
      <c r="D3975" s="71" t="s">
        <v>185</v>
      </c>
      <c r="E3975" s="71" t="s">
        <v>47</v>
      </c>
      <c r="F3975" s="71" t="s">
        <v>298</v>
      </c>
      <c r="G3975" s="88">
        <v>46224.316956018498</v>
      </c>
      <c r="H3975" s="89">
        <v>46224</v>
      </c>
      <c r="I3975" s="71" t="s">
        <v>376</v>
      </c>
      <c r="J3975" s="71">
        <v>5.9999999999999796</v>
      </c>
      <c r="K3975" s="71" t="s">
        <v>293</v>
      </c>
      <c r="L3975" s="71">
        <f t="shared" si="558"/>
        <v>7</v>
      </c>
      <c r="M3975" s="71" t="str">
        <f>IFERROR(INDEX(KALENDER!$D$3:$D$132,MATCH(H3975,KALENDER!$A$3:$A$132,0)),"Di luar periode")</f>
        <v>Hari Kerja</v>
      </c>
      <c r="N3975" s="71">
        <f t="shared" si="559"/>
        <v>1</v>
      </c>
      <c r="O3975" s="71">
        <f t="shared" si="560"/>
        <v>1</v>
      </c>
      <c r="P3975" s="71">
        <f t="shared" si="561"/>
        <v>1</v>
      </c>
      <c r="Q3975" s="71">
        <f t="shared" si="562"/>
        <v>0</v>
      </c>
      <c r="R3975" s="71">
        <f t="shared" si="563"/>
        <v>1</v>
      </c>
      <c r="S3975" s="71">
        <f t="shared" si="564"/>
        <v>5.9999999999999796</v>
      </c>
      <c r="T3975" s="71">
        <f t="shared" si="565"/>
        <v>0</v>
      </c>
      <c r="U3975" s="71">
        <f>IF(AND(N3975=1,V3975=1),IF(COUNTIFS(AKTIVITAS!$B$2:$B$3052,B3975,AKTIVITAS!$E$2:$E$3052,H3975)&gt;0,1,0),0)</f>
        <v>1</v>
      </c>
      <c r="V3975" s="71">
        <f>IFERROR(IF(AND(H3975&gt;=INDEX(PEMAGANG!$J$3:$J$36,MATCH(B3975,PEMAGANG!$C$3:$C$36,0)),H3975&lt;=INDEX(PEMAGANG!$K$3:$K$36,MATCH(B3975,PEMAGANG!$C$3:$C$36,0))),1,0),0)</f>
        <v>1</v>
      </c>
      <c r="W3975" s="71">
        <f t="shared" si="566"/>
        <v>1</v>
      </c>
    </row>
    <row r="3976" spans="1:23" x14ac:dyDescent="0.2">
      <c r="A3976" s="71" t="s">
        <v>200</v>
      </c>
      <c r="B3976" s="71" t="s">
        <v>201</v>
      </c>
      <c r="C3976" s="71" t="s">
        <v>187</v>
      </c>
      <c r="D3976" s="71" t="s">
        <v>185</v>
      </c>
      <c r="E3976" s="71" t="s">
        <v>47</v>
      </c>
      <c r="F3976" s="71" t="s">
        <v>300</v>
      </c>
      <c r="G3976" s="88">
        <v>46224.7593402778</v>
      </c>
      <c r="H3976" s="89">
        <v>46224</v>
      </c>
      <c r="I3976" s="71" t="s">
        <v>471</v>
      </c>
      <c r="J3976" s="71">
        <v>0</v>
      </c>
      <c r="K3976" s="71" t="s">
        <v>302</v>
      </c>
      <c r="L3976" s="71">
        <f t="shared" si="558"/>
        <v>7</v>
      </c>
      <c r="M3976" s="71" t="str">
        <f>IFERROR(INDEX(KALENDER!$D$3:$D$132,MATCH(H3976,KALENDER!$A$3:$A$132,0)),"Di luar periode")</f>
        <v>Hari Kerja</v>
      </c>
      <c r="N3976" s="71">
        <f t="shared" si="559"/>
        <v>0</v>
      </c>
      <c r="O3976" s="71">
        <f t="shared" si="560"/>
        <v>1</v>
      </c>
      <c r="P3976" s="71">
        <f t="shared" si="561"/>
        <v>0</v>
      </c>
      <c r="Q3976" s="71">
        <f t="shared" si="562"/>
        <v>0</v>
      </c>
      <c r="R3976" s="71">
        <f t="shared" si="563"/>
        <v>0</v>
      </c>
      <c r="S3976" s="71">
        <f t="shared" si="564"/>
        <v>0</v>
      </c>
      <c r="T3976" s="71">
        <f t="shared" si="565"/>
        <v>0</v>
      </c>
      <c r="U3976" s="71">
        <f>IF(AND(N3976=1,V3976=1),IF(COUNTIFS(AKTIVITAS!$B$2:$B$3052,B3976,AKTIVITAS!$E$2:$E$3052,H3976)&gt;0,1,0),0)</f>
        <v>0</v>
      </c>
      <c r="V3976" s="71">
        <f>IFERROR(IF(AND(H3976&gt;=INDEX(PEMAGANG!$J$3:$J$36,MATCH(B3976,PEMAGANG!$C$3:$C$36,0)),H3976&lt;=INDEX(PEMAGANG!$K$3:$K$36,MATCH(B3976,PEMAGANG!$C$3:$C$36,0))),1,0),0)</f>
        <v>1</v>
      </c>
      <c r="W3976" s="71">
        <f t="shared" si="566"/>
        <v>0</v>
      </c>
    </row>
    <row r="3977" spans="1:23" x14ac:dyDescent="0.2">
      <c r="A3977" s="71" t="s">
        <v>200</v>
      </c>
      <c r="B3977" s="71" t="s">
        <v>201</v>
      </c>
      <c r="C3977" s="71" t="s">
        <v>187</v>
      </c>
      <c r="D3977" s="71" t="s">
        <v>185</v>
      </c>
      <c r="E3977" s="71" t="s">
        <v>47</v>
      </c>
      <c r="F3977" s="71" t="s">
        <v>298</v>
      </c>
      <c r="G3977" s="88">
        <v>46226.322025463</v>
      </c>
      <c r="H3977" s="89">
        <v>46226</v>
      </c>
      <c r="I3977" s="71" t="s">
        <v>536</v>
      </c>
      <c r="J3977" s="71">
        <v>13</v>
      </c>
      <c r="K3977" s="71" t="s">
        <v>293</v>
      </c>
      <c r="L3977" s="71">
        <f t="shared" si="558"/>
        <v>7</v>
      </c>
      <c r="M3977" s="71" t="str">
        <f>IFERROR(INDEX(KALENDER!$D$3:$D$132,MATCH(H3977,KALENDER!$A$3:$A$132,0)),"Di luar periode")</f>
        <v>Hari Kerja</v>
      </c>
      <c r="N3977" s="71">
        <f t="shared" si="559"/>
        <v>1</v>
      </c>
      <c r="O3977" s="71">
        <f t="shared" si="560"/>
        <v>1</v>
      </c>
      <c r="P3977" s="71">
        <f t="shared" si="561"/>
        <v>1</v>
      </c>
      <c r="Q3977" s="71">
        <f t="shared" si="562"/>
        <v>0</v>
      </c>
      <c r="R3977" s="71">
        <f t="shared" si="563"/>
        <v>1</v>
      </c>
      <c r="S3977" s="71">
        <f t="shared" si="564"/>
        <v>13</v>
      </c>
      <c r="T3977" s="71">
        <f t="shared" si="565"/>
        <v>0</v>
      </c>
      <c r="U3977" s="71">
        <f>IF(AND(N3977=1,V3977=1),IF(COUNTIFS(AKTIVITAS!$B$2:$B$3052,B3977,AKTIVITAS!$E$2:$E$3052,H3977)&gt;0,1,0),0)</f>
        <v>1</v>
      </c>
      <c r="V3977" s="71">
        <f>IFERROR(IF(AND(H3977&gt;=INDEX(PEMAGANG!$J$3:$J$36,MATCH(B3977,PEMAGANG!$C$3:$C$36,0)),H3977&lt;=INDEX(PEMAGANG!$K$3:$K$36,MATCH(B3977,PEMAGANG!$C$3:$C$36,0))),1,0),0)</f>
        <v>1</v>
      </c>
      <c r="W3977" s="71">
        <f t="shared" si="566"/>
        <v>1</v>
      </c>
    </row>
    <row r="3978" spans="1:23" x14ac:dyDescent="0.2">
      <c r="A3978" s="71" t="s">
        <v>200</v>
      </c>
      <c r="B3978" s="71" t="s">
        <v>201</v>
      </c>
      <c r="C3978" s="71" t="s">
        <v>187</v>
      </c>
      <c r="D3978" s="71" t="s">
        <v>185</v>
      </c>
      <c r="E3978" s="71" t="s">
        <v>47</v>
      </c>
      <c r="F3978" s="71" t="s">
        <v>300</v>
      </c>
      <c r="G3978" s="88">
        <v>46226.7596990741</v>
      </c>
      <c r="H3978" s="89">
        <v>46226</v>
      </c>
      <c r="I3978" s="71" t="s">
        <v>471</v>
      </c>
      <c r="J3978" s="71">
        <v>0</v>
      </c>
      <c r="K3978" s="71" t="s">
        <v>302</v>
      </c>
      <c r="L3978" s="71">
        <f t="shared" si="558"/>
        <v>7</v>
      </c>
      <c r="M3978" s="71" t="str">
        <f>IFERROR(INDEX(KALENDER!$D$3:$D$132,MATCH(H3978,KALENDER!$A$3:$A$132,0)),"Di luar periode")</f>
        <v>Hari Kerja</v>
      </c>
      <c r="N3978" s="71">
        <f t="shared" si="559"/>
        <v>0</v>
      </c>
      <c r="O3978" s="71">
        <f t="shared" si="560"/>
        <v>1</v>
      </c>
      <c r="P3978" s="71">
        <f t="shared" si="561"/>
        <v>0</v>
      </c>
      <c r="Q3978" s="71">
        <f t="shared" si="562"/>
        <v>0</v>
      </c>
      <c r="R3978" s="71">
        <f t="shared" si="563"/>
        <v>0</v>
      </c>
      <c r="S3978" s="71">
        <f t="shared" si="564"/>
        <v>0</v>
      </c>
      <c r="T3978" s="71">
        <f t="shared" si="565"/>
        <v>0</v>
      </c>
      <c r="U3978" s="71">
        <f>IF(AND(N3978=1,V3978=1),IF(COUNTIFS(AKTIVITAS!$B$2:$B$3052,B3978,AKTIVITAS!$E$2:$E$3052,H3978)&gt;0,1,0),0)</f>
        <v>0</v>
      </c>
      <c r="V3978" s="71">
        <f>IFERROR(IF(AND(H3978&gt;=INDEX(PEMAGANG!$J$3:$J$36,MATCH(B3978,PEMAGANG!$C$3:$C$36,0)),H3978&lt;=INDEX(PEMAGANG!$K$3:$K$36,MATCH(B3978,PEMAGANG!$C$3:$C$36,0))),1,0),0)</f>
        <v>1</v>
      </c>
      <c r="W3978" s="71">
        <f t="shared" si="566"/>
        <v>0</v>
      </c>
    </row>
    <row r="3979" spans="1:23" x14ac:dyDescent="0.2">
      <c r="A3979" s="71" t="s">
        <v>200</v>
      </c>
      <c r="B3979" s="71" t="s">
        <v>201</v>
      </c>
      <c r="C3979" s="71" t="s">
        <v>187</v>
      </c>
      <c r="D3979" s="71" t="s">
        <v>185</v>
      </c>
      <c r="E3979" s="71" t="s">
        <v>47</v>
      </c>
      <c r="F3979" s="71" t="s">
        <v>298</v>
      </c>
      <c r="G3979" s="88">
        <v>46227.312430555598</v>
      </c>
      <c r="H3979" s="89">
        <v>46227</v>
      </c>
      <c r="I3979" s="71" t="s">
        <v>365</v>
      </c>
      <c r="J3979" s="71">
        <v>-0.999999999999996</v>
      </c>
      <c r="K3979" s="71" t="s">
        <v>302</v>
      </c>
      <c r="L3979" s="71">
        <f t="shared" si="558"/>
        <v>7</v>
      </c>
      <c r="M3979" s="71" t="str">
        <f>IFERROR(INDEX(KALENDER!$D$3:$D$132,MATCH(H3979,KALENDER!$A$3:$A$132,0)),"Di luar periode")</f>
        <v>Hari Kerja</v>
      </c>
      <c r="N3979" s="71">
        <f t="shared" si="559"/>
        <v>1</v>
      </c>
      <c r="O3979" s="71">
        <f t="shared" si="560"/>
        <v>1</v>
      </c>
      <c r="P3979" s="71">
        <f t="shared" si="561"/>
        <v>1</v>
      </c>
      <c r="Q3979" s="71">
        <f t="shared" si="562"/>
        <v>0</v>
      </c>
      <c r="R3979" s="71">
        <f t="shared" si="563"/>
        <v>0</v>
      </c>
      <c r="S3979" s="71">
        <f t="shared" si="564"/>
        <v>0</v>
      </c>
      <c r="T3979" s="71">
        <f t="shared" si="565"/>
        <v>0</v>
      </c>
      <c r="U3979" s="71">
        <f>IF(AND(N3979=1,V3979=1),IF(COUNTIFS(AKTIVITAS!$B$2:$B$3052,B3979,AKTIVITAS!$E$2:$E$3052,H3979)&gt;0,1,0),0)</f>
        <v>1</v>
      </c>
      <c r="V3979" s="71">
        <f>IFERROR(IF(AND(H3979&gt;=INDEX(PEMAGANG!$J$3:$J$36,MATCH(B3979,PEMAGANG!$C$3:$C$36,0)),H3979&lt;=INDEX(PEMAGANG!$K$3:$K$36,MATCH(B3979,PEMAGANG!$C$3:$C$36,0))),1,0),0)</f>
        <v>1</v>
      </c>
      <c r="W3979" s="71">
        <f t="shared" si="566"/>
        <v>1</v>
      </c>
    </row>
    <row r="3980" spans="1:23" x14ac:dyDescent="0.2">
      <c r="A3980" s="71" t="s">
        <v>200</v>
      </c>
      <c r="B3980" s="71" t="s">
        <v>201</v>
      </c>
      <c r="C3980" s="71" t="s">
        <v>187</v>
      </c>
      <c r="D3980" s="71" t="s">
        <v>185</v>
      </c>
      <c r="E3980" s="71" t="s">
        <v>47</v>
      </c>
      <c r="F3980" s="71" t="s">
        <v>300</v>
      </c>
      <c r="G3980" s="88">
        <v>46227.6953125</v>
      </c>
      <c r="H3980" s="89">
        <v>46227</v>
      </c>
      <c r="I3980" s="71" t="s">
        <v>319</v>
      </c>
      <c r="J3980" s="71">
        <v>0</v>
      </c>
      <c r="K3980" s="71" t="s">
        <v>302</v>
      </c>
      <c r="L3980" s="71">
        <f t="shared" si="558"/>
        <v>7</v>
      </c>
      <c r="M3980" s="71" t="str">
        <f>IFERROR(INDEX(KALENDER!$D$3:$D$132,MATCH(H3980,KALENDER!$A$3:$A$132,0)),"Di luar periode")</f>
        <v>Hari Kerja</v>
      </c>
      <c r="N3980" s="71">
        <f t="shared" si="559"/>
        <v>0</v>
      </c>
      <c r="O3980" s="71">
        <f t="shared" si="560"/>
        <v>1</v>
      </c>
      <c r="P3980" s="71">
        <f t="shared" si="561"/>
        <v>0</v>
      </c>
      <c r="Q3980" s="71">
        <f t="shared" si="562"/>
        <v>0</v>
      </c>
      <c r="R3980" s="71">
        <f t="shared" si="563"/>
        <v>0</v>
      </c>
      <c r="S3980" s="71">
        <f t="shared" si="564"/>
        <v>0</v>
      </c>
      <c r="T3980" s="71">
        <f t="shared" si="565"/>
        <v>0</v>
      </c>
      <c r="U3980" s="71">
        <f>IF(AND(N3980=1,V3980=1),IF(COUNTIFS(AKTIVITAS!$B$2:$B$3052,B3980,AKTIVITAS!$E$2:$E$3052,H3980)&gt;0,1,0),0)</f>
        <v>0</v>
      </c>
      <c r="V3980" s="71">
        <f>IFERROR(IF(AND(H3980&gt;=INDEX(PEMAGANG!$J$3:$J$36,MATCH(B3980,PEMAGANG!$C$3:$C$36,0)),H3980&lt;=INDEX(PEMAGANG!$K$3:$K$36,MATCH(B3980,PEMAGANG!$C$3:$C$36,0))),1,0),0)</f>
        <v>1</v>
      </c>
      <c r="W3980" s="71">
        <f t="shared" si="566"/>
        <v>0</v>
      </c>
    </row>
    <row r="3981" spans="1:23" x14ac:dyDescent="0.2">
      <c r="A3981" s="71" t="s">
        <v>200</v>
      </c>
      <c r="B3981" s="71" t="s">
        <v>201</v>
      </c>
      <c r="C3981" s="71" t="s">
        <v>187</v>
      </c>
      <c r="D3981" s="71" t="s">
        <v>185</v>
      </c>
      <c r="E3981" s="71" t="s">
        <v>47</v>
      </c>
      <c r="F3981" s="71" t="s">
        <v>298</v>
      </c>
      <c r="G3981" s="88">
        <v>46230.314768518503</v>
      </c>
      <c r="H3981" s="89">
        <v>46230</v>
      </c>
      <c r="I3981" s="71" t="s">
        <v>383</v>
      </c>
      <c r="J3981" s="71">
        <v>2.9999999999999898</v>
      </c>
      <c r="K3981" s="71" t="s">
        <v>293</v>
      </c>
      <c r="L3981" s="71">
        <f t="shared" si="558"/>
        <v>7</v>
      </c>
      <c r="M3981" s="71" t="str">
        <f>IFERROR(INDEX(KALENDER!$D$3:$D$132,MATCH(H3981,KALENDER!$A$3:$A$132,0)),"Di luar periode")</f>
        <v>Hari Kerja</v>
      </c>
      <c r="N3981" s="71">
        <f t="shared" si="559"/>
        <v>1</v>
      </c>
      <c r="O3981" s="71">
        <f t="shared" si="560"/>
        <v>1</v>
      </c>
      <c r="P3981" s="71">
        <f t="shared" si="561"/>
        <v>1</v>
      </c>
      <c r="Q3981" s="71">
        <f t="shared" si="562"/>
        <v>0</v>
      </c>
      <c r="R3981" s="71">
        <f t="shared" si="563"/>
        <v>1</v>
      </c>
      <c r="S3981" s="71">
        <f t="shared" si="564"/>
        <v>2.9999999999999898</v>
      </c>
      <c r="T3981" s="71">
        <f t="shared" si="565"/>
        <v>0</v>
      </c>
      <c r="U3981" s="71">
        <f>IF(AND(N3981=1,V3981=1),IF(COUNTIFS(AKTIVITAS!$B$2:$B$3052,B3981,AKTIVITAS!$E$2:$E$3052,H3981)&gt;0,1,0),0)</f>
        <v>1</v>
      </c>
      <c r="V3981" s="71">
        <f>IFERROR(IF(AND(H3981&gt;=INDEX(PEMAGANG!$J$3:$J$36,MATCH(B3981,PEMAGANG!$C$3:$C$36,0)),H3981&lt;=INDEX(PEMAGANG!$K$3:$K$36,MATCH(B3981,PEMAGANG!$C$3:$C$36,0))),1,0),0)</f>
        <v>1</v>
      </c>
      <c r="W3981" s="71">
        <f t="shared" si="566"/>
        <v>1</v>
      </c>
    </row>
    <row r="3982" spans="1:23" x14ac:dyDescent="0.2">
      <c r="A3982" s="71" t="s">
        <v>200</v>
      </c>
      <c r="B3982" s="71" t="s">
        <v>201</v>
      </c>
      <c r="C3982" s="71" t="s">
        <v>187</v>
      </c>
      <c r="D3982" s="71" t="s">
        <v>185</v>
      </c>
      <c r="E3982" s="71" t="s">
        <v>47</v>
      </c>
      <c r="F3982" s="71" t="s">
        <v>300</v>
      </c>
      <c r="G3982" s="88">
        <v>46230.719270833302</v>
      </c>
      <c r="H3982" s="89">
        <v>46230</v>
      </c>
      <c r="I3982" s="71" t="s">
        <v>399</v>
      </c>
      <c r="J3982" s="71">
        <v>0</v>
      </c>
      <c r="K3982" s="71" t="s">
        <v>302</v>
      </c>
      <c r="L3982" s="71">
        <f t="shared" si="558"/>
        <v>7</v>
      </c>
      <c r="M3982" s="71" t="str">
        <f>IFERROR(INDEX(KALENDER!$D$3:$D$132,MATCH(H3982,KALENDER!$A$3:$A$132,0)),"Di luar periode")</f>
        <v>Hari Kerja</v>
      </c>
      <c r="N3982" s="71">
        <f t="shared" si="559"/>
        <v>0</v>
      </c>
      <c r="O3982" s="71">
        <f t="shared" si="560"/>
        <v>1</v>
      </c>
      <c r="P3982" s="71">
        <f t="shared" si="561"/>
        <v>0</v>
      </c>
      <c r="Q3982" s="71">
        <f t="shared" si="562"/>
        <v>0</v>
      </c>
      <c r="R3982" s="71">
        <f t="shared" si="563"/>
        <v>0</v>
      </c>
      <c r="S3982" s="71">
        <f t="shared" si="564"/>
        <v>0</v>
      </c>
      <c r="T3982" s="71">
        <f t="shared" si="565"/>
        <v>0</v>
      </c>
      <c r="U3982" s="71">
        <f>IF(AND(N3982=1,V3982=1),IF(COUNTIFS(AKTIVITAS!$B$2:$B$3052,B3982,AKTIVITAS!$E$2:$E$3052,H3982)&gt;0,1,0),0)</f>
        <v>0</v>
      </c>
      <c r="V3982" s="71">
        <f>IFERROR(IF(AND(H3982&gt;=INDEX(PEMAGANG!$J$3:$J$36,MATCH(B3982,PEMAGANG!$C$3:$C$36,0)),H3982&lt;=INDEX(PEMAGANG!$K$3:$K$36,MATCH(B3982,PEMAGANG!$C$3:$C$36,0))),1,0),0)</f>
        <v>1</v>
      </c>
      <c r="W3982" s="71">
        <f t="shared" si="566"/>
        <v>0</v>
      </c>
    </row>
    <row r="3983" spans="1:23" x14ac:dyDescent="0.2">
      <c r="A3983" s="71" t="s">
        <v>200</v>
      </c>
      <c r="B3983" s="71" t="s">
        <v>201</v>
      </c>
      <c r="C3983" s="71" t="s">
        <v>187</v>
      </c>
      <c r="D3983" s="71" t="s">
        <v>185</v>
      </c>
      <c r="E3983" s="71" t="s">
        <v>47</v>
      </c>
      <c r="F3983" s="71" t="s">
        <v>298</v>
      </c>
      <c r="G3983" s="88">
        <v>46231.311967592599</v>
      </c>
      <c r="H3983" s="89">
        <v>46231</v>
      </c>
      <c r="I3983" s="71" t="s">
        <v>365</v>
      </c>
      <c r="J3983" s="71">
        <v>-0.999999999999996</v>
      </c>
      <c r="K3983" s="71" t="s">
        <v>302</v>
      </c>
      <c r="L3983" s="71">
        <f t="shared" si="558"/>
        <v>7</v>
      </c>
      <c r="M3983" s="71" t="str">
        <f>IFERROR(INDEX(KALENDER!$D$3:$D$132,MATCH(H3983,KALENDER!$A$3:$A$132,0)),"Di luar periode")</f>
        <v>Hari Kerja</v>
      </c>
      <c r="N3983" s="71">
        <f t="shared" si="559"/>
        <v>1</v>
      </c>
      <c r="O3983" s="71">
        <f t="shared" si="560"/>
        <v>1</v>
      </c>
      <c r="P3983" s="71">
        <f t="shared" si="561"/>
        <v>1</v>
      </c>
      <c r="Q3983" s="71">
        <f t="shared" si="562"/>
        <v>0</v>
      </c>
      <c r="R3983" s="71">
        <f t="shared" si="563"/>
        <v>0</v>
      </c>
      <c r="S3983" s="71">
        <f t="shared" si="564"/>
        <v>0</v>
      </c>
      <c r="T3983" s="71">
        <f t="shared" si="565"/>
        <v>0</v>
      </c>
      <c r="U3983" s="71">
        <f>IF(AND(N3983=1,V3983=1),IF(COUNTIFS(AKTIVITAS!$B$2:$B$3052,B3983,AKTIVITAS!$E$2:$E$3052,H3983)&gt;0,1,0),0)</f>
        <v>1</v>
      </c>
      <c r="V3983" s="71">
        <f>IFERROR(IF(AND(H3983&gt;=INDEX(PEMAGANG!$J$3:$J$36,MATCH(B3983,PEMAGANG!$C$3:$C$36,0)),H3983&lt;=INDEX(PEMAGANG!$K$3:$K$36,MATCH(B3983,PEMAGANG!$C$3:$C$36,0))),1,0),0)</f>
        <v>1</v>
      </c>
      <c r="W3983" s="71">
        <f t="shared" si="566"/>
        <v>1</v>
      </c>
    </row>
    <row r="3984" spans="1:23" x14ac:dyDescent="0.2">
      <c r="A3984" s="71" t="s">
        <v>200</v>
      </c>
      <c r="B3984" s="71" t="s">
        <v>201</v>
      </c>
      <c r="C3984" s="71" t="s">
        <v>187</v>
      </c>
      <c r="D3984" s="71" t="s">
        <v>185</v>
      </c>
      <c r="E3984" s="71" t="s">
        <v>47</v>
      </c>
      <c r="F3984" s="71" t="s">
        <v>300</v>
      </c>
      <c r="G3984" s="88">
        <v>46231.723726851902</v>
      </c>
      <c r="H3984" s="89">
        <v>46231</v>
      </c>
      <c r="I3984" s="71" t="s">
        <v>385</v>
      </c>
      <c r="J3984" s="71">
        <v>0</v>
      </c>
      <c r="K3984" s="71" t="s">
        <v>302</v>
      </c>
      <c r="L3984" s="71">
        <f t="shared" si="558"/>
        <v>7</v>
      </c>
      <c r="M3984" s="71" t="str">
        <f>IFERROR(INDEX(KALENDER!$D$3:$D$132,MATCH(H3984,KALENDER!$A$3:$A$132,0)),"Di luar periode")</f>
        <v>Hari Kerja</v>
      </c>
      <c r="N3984" s="71">
        <f t="shared" si="559"/>
        <v>0</v>
      </c>
      <c r="O3984" s="71">
        <f t="shared" si="560"/>
        <v>1</v>
      </c>
      <c r="P3984" s="71">
        <f t="shared" si="561"/>
        <v>0</v>
      </c>
      <c r="Q3984" s="71">
        <f t="shared" si="562"/>
        <v>0</v>
      </c>
      <c r="R3984" s="71">
        <f t="shared" si="563"/>
        <v>0</v>
      </c>
      <c r="S3984" s="71">
        <f t="shared" si="564"/>
        <v>0</v>
      </c>
      <c r="T3984" s="71">
        <f t="shared" si="565"/>
        <v>0</v>
      </c>
      <c r="U3984" s="71">
        <f>IF(AND(N3984=1,V3984=1),IF(COUNTIFS(AKTIVITAS!$B$2:$B$3052,B3984,AKTIVITAS!$E$2:$E$3052,H3984)&gt;0,1,0),0)</f>
        <v>0</v>
      </c>
      <c r="V3984" s="71">
        <f>IFERROR(IF(AND(H3984&gt;=INDEX(PEMAGANG!$J$3:$J$36,MATCH(B3984,PEMAGANG!$C$3:$C$36,0)),H3984&lt;=INDEX(PEMAGANG!$K$3:$K$36,MATCH(B3984,PEMAGANG!$C$3:$C$36,0))),1,0),0)</f>
        <v>1</v>
      </c>
      <c r="W3984" s="71">
        <f t="shared" si="566"/>
        <v>0</v>
      </c>
    </row>
    <row r="3985" spans="1:23" x14ac:dyDescent="0.2">
      <c r="A3985" s="71" t="s">
        <v>200</v>
      </c>
      <c r="B3985" s="71" t="s">
        <v>201</v>
      </c>
      <c r="C3985" s="71" t="s">
        <v>187</v>
      </c>
      <c r="D3985" s="71" t="s">
        <v>185</v>
      </c>
      <c r="E3985" s="71" t="s">
        <v>47</v>
      </c>
      <c r="F3985" s="71" t="s">
        <v>298</v>
      </c>
      <c r="G3985" s="88">
        <v>46233.317638888897</v>
      </c>
      <c r="H3985" s="89">
        <v>46233</v>
      </c>
      <c r="I3985" s="71" t="s">
        <v>386</v>
      </c>
      <c r="J3985" s="71">
        <v>7.0000000000000604</v>
      </c>
      <c r="K3985" s="71" t="s">
        <v>293</v>
      </c>
      <c r="L3985" s="71">
        <f t="shared" si="558"/>
        <v>7</v>
      </c>
      <c r="M3985" s="71" t="str">
        <f>IFERROR(INDEX(KALENDER!$D$3:$D$132,MATCH(H3985,KALENDER!$A$3:$A$132,0)),"Di luar periode")</f>
        <v>Hari Kerja</v>
      </c>
      <c r="N3985" s="71">
        <f t="shared" si="559"/>
        <v>1</v>
      </c>
      <c r="O3985" s="71">
        <f t="shared" si="560"/>
        <v>1</v>
      </c>
      <c r="P3985" s="71">
        <f t="shared" si="561"/>
        <v>1</v>
      </c>
      <c r="Q3985" s="71">
        <f t="shared" si="562"/>
        <v>0</v>
      </c>
      <c r="R3985" s="71">
        <f t="shared" si="563"/>
        <v>1</v>
      </c>
      <c r="S3985" s="71">
        <f t="shared" si="564"/>
        <v>7.0000000000000604</v>
      </c>
      <c r="T3985" s="71">
        <f t="shared" si="565"/>
        <v>0</v>
      </c>
      <c r="U3985" s="71">
        <f>IF(AND(N3985=1,V3985=1),IF(COUNTIFS(AKTIVITAS!$B$2:$B$3052,B3985,AKTIVITAS!$E$2:$E$3052,H3985)&gt;0,1,0),0)</f>
        <v>1</v>
      </c>
      <c r="V3985" s="71">
        <f>IFERROR(IF(AND(H3985&gt;=INDEX(PEMAGANG!$J$3:$J$36,MATCH(B3985,PEMAGANG!$C$3:$C$36,0)),H3985&lt;=INDEX(PEMAGANG!$K$3:$K$36,MATCH(B3985,PEMAGANG!$C$3:$C$36,0))),1,0),0)</f>
        <v>1</v>
      </c>
      <c r="W3985" s="71">
        <f t="shared" si="566"/>
        <v>1</v>
      </c>
    </row>
    <row r="3986" spans="1:23" x14ac:dyDescent="0.2">
      <c r="A3986" s="71" t="s">
        <v>200</v>
      </c>
      <c r="B3986" s="71" t="s">
        <v>201</v>
      </c>
      <c r="C3986" s="71" t="s">
        <v>187</v>
      </c>
      <c r="D3986" s="71" t="s">
        <v>185</v>
      </c>
      <c r="E3986" s="71" t="s">
        <v>47</v>
      </c>
      <c r="F3986" s="71" t="s">
        <v>300</v>
      </c>
      <c r="G3986" s="88">
        <v>46233.727430555598</v>
      </c>
      <c r="H3986" s="89">
        <v>46233</v>
      </c>
      <c r="I3986" s="71" t="s">
        <v>389</v>
      </c>
      <c r="J3986" s="71">
        <v>0</v>
      </c>
      <c r="K3986" s="71" t="s">
        <v>302</v>
      </c>
      <c r="L3986" s="71">
        <f t="shared" si="558"/>
        <v>7</v>
      </c>
      <c r="M3986" s="71" t="str">
        <f>IFERROR(INDEX(KALENDER!$D$3:$D$132,MATCH(H3986,KALENDER!$A$3:$A$132,0)),"Di luar periode")</f>
        <v>Hari Kerja</v>
      </c>
      <c r="N3986" s="71">
        <f t="shared" si="559"/>
        <v>0</v>
      </c>
      <c r="O3986" s="71">
        <f t="shared" si="560"/>
        <v>1</v>
      </c>
      <c r="P3986" s="71">
        <f t="shared" si="561"/>
        <v>0</v>
      </c>
      <c r="Q3986" s="71">
        <f t="shared" si="562"/>
        <v>0</v>
      </c>
      <c r="R3986" s="71">
        <f t="shared" si="563"/>
        <v>0</v>
      </c>
      <c r="S3986" s="71">
        <f t="shared" si="564"/>
        <v>0</v>
      </c>
      <c r="T3986" s="71">
        <f t="shared" si="565"/>
        <v>0</v>
      </c>
      <c r="U3986" s="71">
        <f>IF(AND(N3986=1,V3986=1),IF(COUNTIFS(AKTIVITAS!$B$2:$B$3052,B3986,AKTIVITAS!$E$2:$E$3052,H3986)&gt;0,1,0),0)</f>
        <v>0</v>
      </c>
      <c r="V3986" s="71">
        <f>IFERROR(IF(AND(H3986&gt;=INDEX(PEMAGANG!$J$3:$J$36,MATCH(B3986,PEMAGANG!$C$3:$C$36,0)),H3986&lt;=INDEX(PEMAGANG!$K$3:$K$36,MATCH(B3986,PEMAGANG!$C$3:$C$36,0))),1,0),0)</f>
        <v>1</v>
      </c>
      <c r="W3986" s="71">
        <f t="shared" si="566"/>
        <v>0</v>
      </c>
    </row>
    <row r="3987" spans="1:23" x14ac:dyDescent="0.2">
      <c r="A3987" s="71" t="s">
        <v>200</v>
      </c>
      <c r="B3987" s="71" t="s">
        <v>201</v>
      </c>
      <c r="C3987" s="71" t="s">
        <v>187</v>
      </c>
      <c r="D3987" s="71" t="s">
        <v>185</v>
      </c>
      <c r="E3987" s="71" t="s">
        <v>47</v>
      </c>
      <c r="F3987" s="71" t="s">
        <v>298</v>
      </c>
      <c r="G3987" s="88">
        <v>46234.316168981502</v>
      </c>
      <c r="H3987" s="89">
        <v>46234</v>
      </c>
      <c r="I3987" s="71" t="s">
        <v>339</v>
      </c>
      <c r="J3987" s="71">
        <v>4.9999999999999796</v>
      </c>
      <c r="K3987" s="71" t="s">
        <v>293</v>
      </c>
      <c r="L3987" s="71">
        <f t="shared" si="558"/>
        <v>7</v>
      </c>
      <c r="M3987" s="71" t="str">
        <f>IFERROR(INDEX(KALENDER!$D$3:$D$132,MATCH(H3987,KALENDER!$A$3:$A$132,0)),"Di luar periode")</f>
        <v>Hari Kerja</v>
      </c>
      <c r="N3987" s="71">
        <f t="shared" si="559"/>
        <v>1</v>
      </c>
      <c r="O3987" s="71">
        <f t="shared" si="560"/>
        <v>1</v>
      </c>
      <c r="P3987" s="71">
        <f t="shared" si="561"/>
        <v>1</v>
      </c>
      <c r="Q3987" s="71">
        <f t="shared" si="562"/>
        <v>0</v>
      </c>
      <c r="R3987" s="71">
        <f t="shared" si="563"/>
        <v>1</v>
      </c>
      <c r="S3987" s="71">
        <f t="shared" si="564"/>
        <v>4.9999999999999796</v>
      </c>
      <c r="T3987" s="71">
        <f t="shared" si="565"/>
        <v>0</v>
      </c>
      <c r="U3987" s="71">
        <f>IF(AND(N3987=1,V3987=1),IF(COUNTIFS(AKTIVITAS!$B$2:$B$3052,B3987,AKTIVITAS!$E$2:$E$3052,H3987)&gt;0,1,0),0)</f>
        <v>1</v>
      </c>
      <c r="V3987" s="71">
        <f>IFERROR(IF(AND(H3987&gt;=INDEX(PEMAGANG!$J$3:$J$36,MATCH(B3987,PEMAGANG!$C$3:$C$36,0)),H3987&lt;=INDEX(PEMAGANG!$K$3:$K$36,MATCH(B3987,PEMAGANG!$C$3:$C$36,0))),1,0),0)</f>
        <v>1</v>
      </c>
      <c r="W3987" s="71">
        <f t="shared" si="566"/>
        <v>1</v>
      </c>
    </row>
    <row r="3988" spans="1:23" x14ac:dyDescent="0.2">
      <c r="A3988" s="71" t="s">
        <v>200</v>
      </c>
      <c r="B3988" s="71" t="s">
        <v>201</v>
      </c>
      <c r="C3988" s="71" t="s">
        <v>187</v>
      </c>
      <c r="D3988" s="71" t="s">
        <v>185</v>
      </c>
      <c r="E3988" s="71" t="s">
        <v>47</v>
      </c>
      <c r="F3988" s="71" t="s">
        <v>300</v>
      </c>
      <c r="G3988" s="88">
        <v>46234.721597222197</v>
      </c>
      <c r="H3988" s="89">
        <v>46234</v>
      </c>
      <c r="I3988" s="71" t="s">
        <v>382</v>
      </c>
      <c r="J3988" s="71">
        <v>0</v>
      </c>
      <c r="K3988" s="71" t="s">
        <v>302</v>
      </c>
      <c r="L3988" s="71">
        <f t="shared" si="558"/>
        <v>7</v>
      </c>
      <c r="M3988" s="71" t="str">
        <f>IFERROR(INDEX(KALENDER!$D$3:$D$132,MATCH(H3988,KALENDER!$A$3:$A$132,0)),"Di luar periode")</f>
        <v>Hari Kerja</v>
      </c>
      <c r="N3988" s="71">
        <f t="shared" si="559"/>
        <v>0</v>
      </c>
      <c r="O3988" s="71">
        <f t="shared" si="560"/>
        <v>1</v>
      </c>
      <c r="P3988" s="71">
        <f t="shared" si="561"/>
        <v>0</v>
      </c>
      <c r="Q3988" s="71">
        <f t="shared" si="562"/>
        <v>0</v>
      </c>
      <c r="R3988" s="71">
        <f t="shared" si="563"/>
        <v>0</v>
      </c>
      <c r="S3988" s="71">
        <f t="shared" si="564"/>
        <v>0</v>
      </c>
      <c r="T3988" s="71">
        <f t="shared" si="565"/>
        <v>0</v>
      </c>
      <c r="U3988" s="71">
        <f>IF(AND(N3988=1,V3988=1),IF(COUNTIFS(AKTIVITAS!$B$2:$B$3052,B3988,AKTIVITAS!$E$2:$E$3052,H3988)&gt;0,1,0),0)</f>
        <v>0</v>
      </c>
      <c r="V3988" s="71">
        <f>IFERROR(IF(AND(H3988&gt;=INDEX(PEMAGANG!$J$3:$J$36,MATCH(B3988,PEMAGANG!$C$3:$C$36,0)),H3988&lt;=INDEX(PEMAGANG!$K$3:$K$36,MATCH(B3988,PEMAGANG!$C$3:$C$36,0))),1,0),0)</f>
        <v>1</v>
      </c>
      <c r="W3988" s="71">
        <f t="shared" si="566"/>
        <v>0</v>
      </c>
    </row>
    <row r="3989" spans="1:23" x14ac:dyDescent="0.2">
      <c r="A3989" s="71" t="s">
        <v>200</v>
      </c>
      <c r="B3989" s="71" t="s">
        <v>201</v>
      </c>
      <c r="C3989" s="71" t="s">
        <v>187</v>
      </c>
      <c r="D3989" s="71" t="s">
        <v>185</v>
      </c>
      <c r="E3989" s="71" t="s">
        <v>47</v>
      </c>
      <c r="F3989" s="71" t="s">
        <v>298</v>
      </c>
      <c r="G3989" s="88">
        <v>46237.3205787037</v>
      </c>
      <c r="H3989" s="89">
        <v>46237</v>
      </c>
      <c r="I3989" s="71" t="s">
        <v>367</v>
      </c>
      <c r="J3989" s="71">
        <v>11</v>
      </c>
      <c r="K3989" s="71" t="s">
        <v>293</v>
      </c>
      <c r="L3989" s="71">
        <f t="shared" si="558"/>
        <v>8</v>
      </c>
      <c r="M3989" s="71" t="str">
        <f>IFERROR(INDEX(KALENDER!$D$3:$D$132,MATCH(H3989,KALENDER!$A$3:$A$132,0)),"Di luar periode")</f>
        <v>Hari Kerja</v>
      </c>
      <c r="N3989" s="71">
        <f t="shared" si="559"/>
        <v>1</v>
      </c>
      <c r="O3989" s="71">
        <f t="shared" si="560"/>
        <v>1</v>
      </c>
      <c r="P3989" s="71">
        <f t="shared" si="561"/>
        <v>1</v>
      </c>
      <c r="Q3989" s="71">
        <f t="shared" si="562"/>
        <v>0</v>
      </c>
      <c r="R3989" s="71">
        <f t="shared" si="563"/>
        <v>1</v>
      </c>
      <c r="S3989" s="71">
        <f t="shared" si="564"/>
        <v>11</v>
      </c>
      <c r="T3989" s="71">
        <f t="shared" si="565"/>
        <v>0</v>
      </c>
      <c r="U3989" s="71">
        <f>IF(AND(N3989=1,V3989=1),IF(COUNTIFS(AKTIVITAS!$B$2:$B$3052,B3989,AKTIVITAS!$E$2:$E$3052,H3989)&gt;0,1,0),0)</f>
        <v>1</v>
      </c>
      <c r="V3989" s="71">
        <f>IFERROR(IF(AND(H3989&gt;=INDEX(PEMAGANG!$J$3:$J$36,MATCH(B3989,PEMAGANG!$C$3:$C$36,0)),H3989&lt;=INDEX(PEMAGANG!$K$3:$K$36,MATCH(B3989,PEMAGANG!$C$3:$C$36,0))),1,0),0)</f>
        <v>1</v>
      </c>
      <c r="W3989" s="71">
        <f t="shared" si="566"/>
        <v>1</v>
      </c>
    </row>
    <row r="3990" spans="1:23" x14ac:dyDescent="0.2">
      <c r="A3990" s="71" t="s">
        <v>200</v>
      </c>
      <c r="B3990" s="71" t="s">
        <v>201</v>
      </c>
      <c r="C3990" s="71" t="s">
        <v>187</v>
      </c>
      <c r="D3990" s="71" t="s">
        <v>185</v>
      </c>
      <c r="E3990" s="71" t="s">
        <v>47</v>
      </c>
      <c r="F3990" s="71" t="s">
        <v>300</v>
      </c>
      <c r="G3990" s="88">
        <v>46237.814710648199</v>
      </c>
      <c r="H3990" s="89">
        <v>46237</v>
      </c>
      <c r="I3990" s="71" t="s">
        <v>610</v>
      </c>
      <c r="J3990" s="71">
        <v>0</v>
      </c>
      <c r="K3990" s="71" t="s">
        <v>302</v>
      </c>
      <c r="L3990" s="71">
        <f t="shared" si="558"/>
        <v>8</v>
      </c>
      <c r="M3990" s="71" t="str">
        <f>IFERROR(INDEX(KALENDER!$D$3:$D$132,MATCH(H3990,KALENDER!$A$3:$A$132,0)),"Di luar periode")</f>
        <v>Hari Kerja</v>
      </c>
      <c r="N3990" s="71">
        <f t="shared" si="559"/>
        <v>0</v>
      </c>
      <c r="O3990" s="71">
        <f t="shared" si="560"/>
        <v>1</v>
      </c>
      <c r="P3990" s="71">
        <f t="shared" si="561"/>
        <v>0</v>
      </c>
      <c r="Q3990" s="71">
        <f t="shared" si="562"/>
        <v>0</v>
      </c>
      <c r="R3990" s="71">
        <f t="shared" si="563"/>
        <v>0</v>
      </c>
      <c r="S3990" s="71">
        <f t="shared" si="564"/>
        <v>0</v>
      </c>
      <c r="T3990" s="71">
        <f t="shared" si="565"/>
        <v>0</v>
      </c>
      <c r="U3990" s="71">
        <f>IF(AND(N3990=1,V3990=1),IF(COUNTIFS(AKTIVITAS!$B$2:$B$3052,B3990,AKTIVITAS!$E$2:$E$3052,H3990)&gt;0,1,0),0)</f>
        <v>0</v>
      </c>
      <c r="V3990" s="71">
        <f>IFERROR(IF(AND(H3990&gt;=INDEX(PEMAGANG!$J$3:$J$36,MATCH(B3990,PEMAGANG!$C$3:$C$36,0)),H3990&lt;=INDEX(PEMAGANG!$K$3:$K$36,MATCH(B3990,PEMAGANG!$C$3:$C$36,0))),1,0),0)</f>
        <v>1</v>
      </c>
      <c r="W3990" s="71">
        <f t="shared" si="566"/>
        <v>0</v>
      </c>
    </row>
    <row r="3991" spans="1:23" x14ac:dyDescent="0.2">
      <c r="A3991" s="71" t="s">
        <v>200</v>
      </c>
      <c r="B3991" s="71" t="s">
        <v>201</v>
      </c>
      <c r="C3991" s="71" t="s">
        <v>187</v>
      </c>
      <c r="D3991" s="71" t="s">
        <v>185</v>
      </c>
      <c r="E3991" s="71" t="s">
        <v>47</v>
      </c>
      <c r="F3991" s="71" t="s">
        <v>298</v>
      </c>
      <c r="G3991" s="88">
        <v>46238.308784722198</v>
      </c>
      <c r="H3991" s="89">
        <v>46238</v>
      </c>
      <c r="I3991" s="71" t="s">
        <v>303</v>
      </c>
      <c r="J3991" s="71">
        <v>-5.9999999999999796</v>
      </c>
      <c r="K3991" s="71" t="s">
        <v>302</v>
      </c>
      <c r="L3991" s="71">
        <f t="shared" si="558"/>
        <v>8</v>
      </c>
      <c r="M3991" s="71" t="str">
        <f>IFERROR(INDEX(KALENDER!$D$3:$D$132,MATCH(H3991,KALENDER!$A$3:$A$132,0)),"Di luar periode")</f>
        <v>Hari Kerja</v>
      </c>
      <c r="N3991" s="71">
        <f t="shared" si="559"/>
        <v>1</v>
      </c>
      <c r="O3991" s="71">
        <f t="shared" si="560"/>
        <v>1</v>
      </c>
      <c r="P3991" s="71">
        <f t="shared" si="561"/>
        <v>1</v>
      </c>
      <c r="Q3991" s="71">
        <f t="shared" si="562"/>
        <v>0</v>
      </c>
      <c r="R3991" s="71">
        <f t="shared" si="563"/>
        <v>0</v>
      </c>
      <c r="S3991" s="71">
        <f t="shared" si="564"/>
        <v>0</v>
      </c>
      <c r="T3991" s="71">
        <f t="shared" si="565"/>
        <v>0</v>
      </c>
      <c r="U3991" s="71">
        <f>IF(AND(N3991=1,V3991=1),IF(COUNTIFS(AKTIVITAS!$B$2:$B$3052,B3991,AKTIVITAS!$E$2:$E$3052,H3991)&gt;0,1,0),0)</f>
        <v>1</v>
      </c>
      <c r="V3991" s="71">
        <f>IFERROR(IF(AND(H3991&gt;=INDEX(PEMAGANG!$J$3:$J$36,MATCH(B3991,PEMAGANG!$C$3:$C$36,0)),H3991&lt;=INDEX(PEMAGANG!$K$3:$K$36,MATCH(B3991,PEMAGANG!$C$3:$C$36,0))),1,0),0)</f>
        <v>1</v>
      </c>
      <c r="W3991" s="71">
        <f t="shared" si="566"/>
        <v>1</v>
      </c>
    </row>
    <row r="3992" spans="1:23" x14ac:dyDescent="0.2">
      <c r="A3992" s="71" t="s">
        <v>200</v>
      </c>
      <c r="B3992" s="71" t="s">
        <v>201</v>
      </c>
      <c r="C3992" s="71" t="s">
        <v>187</v>
      </c>
      <c r="D3992" s="71" t="s">
        <v>185</v>
      </c>
      <c r="E3992" s="71" t="s">
        <v>47</v>
      </c>
      <c r="F3992" s="71" t="s">
        <v>300</v>
      </c>
      <c r="G3992" s="88">
        <v>46238.779606481497</v>
      </c>
      <c r="H3992" s="89">
        <v>46238</v>
      </c>
      <c r="I3992" s="71" t="s">
        <v>351</v>
      </c>
      <c r="J3992" s="71">
        <v>0</v>
      </c>
      <c r="K3992" s="71" t="s">
        <v>302</v>
      </c>
      <c r="L3992" s="71">
        <f t="shared" si="558"/>
        <v>8</v>
      </c>
      <c r="M3992" s="71" t="str">
        <f>IFERROR(INDEX(KALENDER!$D$3:$D$132,MATCH(H3992,KALENDER!$A$3:$A$132,0)),"Di luar periode")</f>
        <v>Hari Kerja</v>
      </c>
      <c r="N3992" s="71">
        <f t="shared" si="559"/>
        <v>0</v>
      </c>
      <c r="O3992" s="71">
        <f t="shared" si="560"/>
        <v>1</v>
      </c>
      <c r="P3992" s="71">
        <f t="shared" si="561"/>
        <v>0</v>
      </c>
      <c r="Q3992" s="71">
        <f t="shared" si="562"/>
        <v>0</v>
      </c>
      <c r="R3992" s="71">
        <f t="shared" si="563"/>
        <v>0</v>
      </c>
      <c r="S3992" s="71">
        <f t="shared" si="564"/>
        <v>0</v>
      </c>
      <c r="T3992" s="71">
        <f t="shared" si="565"/>
        <v>0</v>
      </c>
      <c r="U3992" s="71">
        <f>IF(AND(N3992=1,V3992=1),IF(COUNTIFS(AKTIVITAS!$B$2:$B$3052,B3992,AKTIVITAS!$E$2:$E$3052,H3992)&gt;0,1,0),0)</f>
        <v>0</v>
      </c>
      <c r="V3992" s="71">
        <f>IFERROR(IF(AND(H3992&gt;=INDEX(PEMAGANG!$J$3:$J$36,MATCH(B3992,PEMAGANG!$C$3:$C$36,0)),H3992&lt;=INDEX(PEMAGANG!$K$3:$K$36,MATCH(B3992,PEMAGANG!$C$3:$C$36,0))),1,0),0)</f>
        <v>1</v>
      </c>
      <c r="W3992" s="71">
        <f t="shared" si="566"/>
        <v>0</v>
      </c>
    </row>
    <row r="3993" spans="1:23" x14ac:dyDescent="0.2">
      <c r="A3993" s="71" t="s">
        <v>200</v>
      </c>
      <c r="B3993" s="71" t="s">
        <v>201</v>
      </c>
      <c r="C3993" s="71" t="s">
        <v>187</v>
      </c>
      <c r="D3993" s="71" t="s">
        <v>185</v>
      </c>
      <c r="E3993" s="71" t="s">
        <v>47</v>
      </c>
      <c r="F3993" s="71" t="s">
        <v>300</v>
      </c>
      <c r="G3993" s="88">
        <v>46239.739953703698</v>
      </c>
      <c r="H3993" s="89">
        <v>46239</v>
      </c>
      <c r="I3993" s="71" t="s">
        <v>375</v>
      </c>
      <c r="J3993" s="71">
        <v>0</v>
      </c>
      <c r="K3993" s="71" t="s">
        <v>302</v>
      </c>
      <c r="L3993" s="71">
        <f t="shared" si="558"/>
        <v>8</v>
      </c>
      <c r="M3993" s="71" t="str">
        <f>IFERROR(INDEX(KALENDER!$D$3:$D$132,MATCH(H3993,KALENDER!$A$3:$A$132,0)),"Di luar periode")</f>
        <v>Hari Kerja</v>
      </c>
      <c r="N3993" s="71">
        <f t="shared" si="559"/>
        <v>1</v>
      </c>
      <c r="O3993" s="71">
        <f t="shared" si="560"/>
        <v>0</v>
      </c>
      <c r="P3993" s="71">
        <f t="shared" si="561"/>
        <v>1</v>
      </c>
      <c r="Q3993" s="71">
        <f t="shared" si="562"/>
        <v>0</v>
      </c>
      <c r="R3993" s="71">
        <f t="shared" si="563"/>
        <v>0</v>
      </c>
      <c r="S3993" s="71">
        <f t="shared" si="564"/>
        <v>0</v>
      </c>
      <c r="T3993" s="71">
        <f t="shared" si="565"/>
        <v>0</v>
      </c>
      <c r="U3993" s="71">
        <f>IF(AND(N3993=1,V3993=1),IF(COUNTIFS(AKTIVITAS!$B$2:$B$3052,B3993,AKTIVITAS!$E$2:$E$3052,H3993)&gt;0,1,0),0)</f>
        <v>1</v>
      </c>
      <c r="V3993" s="71">
        <f>IFERROR(IF(AND(H3993&gt;=INDEX(PEMAGANG!$J$3:$J$36,MATCH(B3993,PEMAGANG!$C$3:$C$36,0)),H3993&lt;=INDEX(PEMAGANG!$K$3:$K$36,MATCH(B3993,PEMAGANG!$C$3:$C$36,0))),1,0),0)</f>
        <v>1</v>
      </c>
      <c r="W3993" s="71">
        <f t="shared" si="566"/>
        <v>1</v>
      </c>
    </row>
    <row r="3994" spans="1:23" x14ac:dyDescent="0.2">
      <c r="A3994" s="71" t="s">
        <v>200</v>
      </c>
      <c r="B3994" s="71" t="s">
        <v>201</v>
      </c>
      <c r="C3994" s="71" t="s">
        <v>187</v>
      </c>
      <c r="D3994" s="71" t="s">
        <v>185</v>
      </c>
      <c r="E3994" s="71" t="s">
        <v>47</v>
      </c>
      <c r="F3994" s="71" t="s">
        <v>298</v>
      </c>
      <c r="G3994" s="88">
        <v>46240.315613425897</v>
      </c>
      <c r="H3994" s="89">
        <v>46240</v>
      </c>
      <c r="I3994" s="71" t="s">
        <v>373</v>
      </c>
      <c r="J3994" s="71">
        <v>3.9999999999999898</v>
      </c>
      <c r="K3994" s="71" t="s">
        <v>293</v>
      </c>
      <c r="L3994" s="71">
        <f t="shared" si="558"/>
        <v>8</v>
      </c>
      <c r="M3994" s="71" t="str">
        <f>IFERROR(INDEX(KALENDER!$D$3:$D$132,MATCH(H3994,KALENDER!$A$3:$A$132,0)),"Di luar periode")</f>
        <v>Hari Kerja</v>
      </c>
      <c r="N3994" s="71">
        <f t="shared" si="559"/>
        <v>1</v>
      </c>
      <c r="O3994" s="71">
        <f t="shared" si="560"/>
        <v>1</v>
      </c>
      <c r="P3994" s="71">
        <f t="shared" si="561"/>
        <v>1</v>
      </c>
      <c r="Q3994" s="71">
        <f t="shared" si="562"/>
        <v>0</v>
      </c>
      <c r="R3994" s="71">
        <f t="shared" si="563"/>
        <v>1</v>
      </c>
      <c r="S3994" s="71">
        <f t="shared" si="564"/>
        <v>3.9999999999999898</v>
      </c>
      <c r="T3994" s="71">
        <f t="shared" si="565"/>
        <v>0</v>
      </c>
      <c r="U3994" s="71">
        <f>IF(AND(N3994=1,V3994=1),IF(COUNTIFS(AKTIVITAS!$B$2:$B$3052,B3994,AKTIVITAS!$E$2:$E$3052,H3994)&gt;0,1,0),0)</f>
        <v>1</v>
      </c>
      <c r="V3994" s="71">
        <f>IFERROR(IF(AND(H3994&gt;=INDEX(PEMAGANG!$J$3:$J$36,MATCH(B3994,PEMAGANG!$C$3:$C$36,0)),H3994&lt;=INDEX(PEMAGANG!$K$3:$K$36,MATCH(B3994,PEMAGANG!$C$3:$C$36,0))),1,0),0)</f>
        <v>1</v>
      </c>
      <c r="W3994" s="71">
        <f t="shared" si="566"/>
        <v>1</v>
      </c>
    </row>
    <row r="3995" spans="1:23" x14ac:dyDescent="0.2">
      <c r="A3995" s="71" t="s">
        <v>200</v>
      </c>
      <c r="B3995" s="71" t="s">
        <v>201</v>
      </c>
      <c r="C3995" s="71" t="s">
        <v>187</v>
      </c>
      <c r="D3995" s="71" t="s">
        <v>185</v>
      </c>
      <c r="E3995" s="71" t="s">
        <v>47</v>
      </c>
      <c r="F3995" s="71" t="s">
        <v>300</v>
      </c>
      <c r="G3995" s="88">
        <v>46240.739884259303</v>
      </c>
      <c r="H3995" s="89">
        <v>46240</v>
      </c>
      <c r="I3995" s="71" t="s">
        <v>375</v>
      </c>
      <c r="J3995" s="71">
        <v>0</v>
      </c>
      <c r="K3995" s="71" t="s">
        <v>302</v>
      </c>
      <c r="L3995" s="71">
        <f t="shared" si="558"/>
        <v>8</v>
      </c>
      <c r="M3995" s="71" t="str">
        <f>IFERROR(INDEX(KALENDER!$D$3:$D$132,MATCH(H3995,KALENDER!$A$3:$A$132,0)),"Di luar periode")</f>
        <v>Hari Kerja</v>
      </c>
      <c r="N3995" s="71">
        <f t="shared" si="559"/>
        <v>0</v>
      </c>
      <c r="O3995" s="71">
        <f t="shared" si="560"/>
        <v>1</v>
      </c>
      <c r="P3995" s="71">
        <f t="shared" si="561"/>
        <v>0</v>
      </c>
      <c r="Q3995" s="71">
        <f t="shared" si="562"/>
        <v>0</v>
      </c>
      <c r="R3995" s="71">
        <f t="shared" si="563"/>
        <v>0</v>
      </c>
      <c r="S3995" s="71">
        <f t="shared" si="564"/>
        <v>0</v>
      </c>
      <c r="T3995" s="71">
        <f t="shared" si="565"/>
        <v>0</v>
      </c>
      <c r="U3995" s="71">
        <f>IF(AND(N3995=1,V3995=1),IF(COUNTIFS(AKTIVITAS!$B$2:$B$3052,B3995,AKTIVITAS!$E$2:$E$3052,H3995)&gt;0,1,0),0)</f>
        <v>0</v>
      </c>
      <c r="V3995" s="71">
        <f>IFERROR(IF(AND(H3995&gt;=INDEX(PEMAGANG!$J$3:$J$36,MATCH(B3995,PEMAGANG!$C$3:$C$36,0)),H3995&lt;=INDEX(PEMAGANG!$K$3:$K$36,MATCH(B3995,PEMAGANG!$C$3:$C$36,0))),1,0),0)</f>
        <v>1</v>
      </c>
      <c r="W3995" s="71">
        <f t="shared" si="566"/>
        <v>0</v>
      </c>
    </row>
    <row r="3996" spans="1:23" x14ac:dyDescent="0.2">
      <c r="A3996" s="71" t="s">
        <v>200</v>
      </c>
      <c r="B3996" s="71" t="s">
        <v>201</v>
      </c>
      <c r="C3996" s="71" t="s">
        <v>187</v>
      </c>
      <c r="D3996" s="71" t="s">
        <v>185</v>
      </c>
      <c r="E3996" s="71" t="s">
        <v>47</v>
      </c>
      <c r="F3996" s="71" t="s">
        <v>298</v>
      </c>
      <c r="G3996" s="88">
        <v>46241.316689814797</v>
      </c>
      <c r="H3996" s="89">
        <v>46241</v>
      </c>
      <c r="I3996" s="71" t="s">
        <v>376</v>
      </c>
      <c r="J3996" s="71">
        <v>5.9999999999999796</v>
      </c>
      <c r="K3996" s="71" t="s">
        <v>293</v>
      </c>
      <c r="L3996" s="71">
        <f t="shared" si="558"/>
        <v>8</v>
      </c>
      <c r="M3996" s="71" t="str">
        <f>IFERROR(INDEX(KALENDER!$D$3:$D$132,MATCH(H3996,KALENDER!$A$3:$A$132,0)),"Di luar periode")</f>
        <v>Hari Kerja</v>
      </c>
      <c r="N3996" s="71">
        <f t="shared" si="559"/>
        <v>1</v>
      </c>
      <c r="O3996" s="71">
        <f t="shared" si="560"/>
        <v>1</v>
      </c>
      <c r="P3996" s="71">
        <f t="shared" si="561"/>
        <v>1</v>
      </c>
      <c r="Q3996" s="71">
        <f t="shared" si="562"/>
        <v>0</v>
      </c>
      <c r="R3996" s="71">
        <f t="shared" si="563"/>
        <v>1</v>
      </c>
      <c r="S3996" s="71">
        <f t="shared" si="564"/>
        <v>5.9999999999999796</v>
      </c>
      <c r="T3996" s="71">
        <f t="shared" si="565"/>
        <v>0</v>
      </c>
      <c r="U3996" s="71">
        <f>IF(AND(N3996=1,V3996=1),IF(COUNTIFS(AKTIVITAS!$B$2:$B$3052,B3996,AKTIVITAS!$E$2:$E$3052,H3996)&gt;0,1,0),0)</f>
        <v>1</v>
      </c>
      <c r="V3996" s="71">
        <f>IFERROR(IF(AND(H3996&gt;=INDEX(PEMAGANG!$J$3:$J$36,MATCH(B3996,PEMAGANG!$C$3:$C$36,0)),H3996&lt;=INDEX(PEMAGANG!$K$3:$K$36,MATCH(B3996,PEMAGANG!$C$3:$C$36,0))),1,0),0)</f>
        <v>1</v>
      </c>
      <c r="W3996" s="71">
        <f t="shared" si="566"/>
        <v>1</v>
      </c>
    </row>
    <row r="3997" spans="1:23" x14ac:dyDescent="0.2">
      <c r="A3997" s="71" t="s">
        <v>200</v>
      </c>
      <c r="B3997" s="71" t="s">
        <v>201</v>
      </c>
      <c r="C3997" s="71" t="s">
        <v>187</v>
      </c>
      <c r="D3997" s="71" t="s">
        <v>185</v>
      </c>
      <c r="E3997" s="71" t="s">
        <v>47</v>
      </c>
      <c r="F3997" s="71" t="s">
        <v>300</v>
      </c>
      <c r="G3997" s="88">
        <v>46241.748263888898</v>
      </c>
      <c r="H3997" s="89">
        <v>46241</v>
      </c>
      <c r="I3997" s="71" t="s">
        <v>390</v>
      </c>
      <c r="J3997" s="71">
        <v>0</v>
      </c>
      <c r="K3997" s="71" t="s">
        <v>302</v>
      </c>
      <c r="L3997" s="71">
        <f t="shared" si="558"/>
        <v>8</v>
      </c>
      <c r="M3997" s="71" t="str">
        <f>IFERROR(INDEX(KALENDER!$D$3:$D$132,MATCH(H3997,KALENDER!$A$3:$A$132,0)),"Di luar periode")</f>
        <v>Hari Kerja</v>
      </c>
      <c r="N3997" s="71">
        <f t="shared" si="559"/>
        <v>0</v>
      </c>
      <c r="O3997" s="71">
        <f t="shared" si="560"/>
        <v>1</v>
      </c>
      <c r="P3997" s="71">
        <f t="shared" si="561"/>
        <v>0</v>
      </c>
      <c r="Q3997" s="71">
        <f t="shared" si="562"/>
        <v>0</v>
      </c>
      <c r="R3997" s="71">
        <f t="shared" si="563"/>
        <v>0</v>
      </c>
      <c r="S3997" s="71">
        <f t="shared" si="564"/>
        <v>0</v>
      </c>
      <c r="T3997" s="71">
        <f t="shared" si="565"/>
        <v>0</v>
      </c>
      <c r="U3997" s="71">
        <f>IF(AND(N3997=1,V3997=1),IF(COUNTIFS(AKTIVITAS!$B$2:$B$3052,B3997,AKTIVITAS!$E$2:$E$3052,H3997)&gt;0,1,0),0)</f>
        <v>0</v>
      </c>
      <c r="V3997" s="71">
        <f>IFERROR(IF(AND(H3997&gt;=INDEX(PEMAGANG!$J$3:$J$36,MATCH(B3997,PEMAGANG!$C$3:$C$36,0)),H3997&lt;=INDEX(PEMAGANG!$K$3:$K$36,MATCH(B3997,PEMAGANG!$C$3:$C$36,0))),1,0),0)</f>
        <v>1</v>
      </c>
      <c r="W3997" s="71">
        <f t="shared" si="566"/>
        <v>0</v>
      </c>
    </row>
    <row r="3998" spans="1:23" x14ac:dyDescent="0.2">
      <c r="A3998" s="71" t="s">
        <v>200</v>
      </c>
      <c r="B3998" s="71" t="s">
        <v>201</v>
      </c>
      <c r="C3998" s="71" t="s">
        <v>187</v>
      </c>
      <c r="D3998" s="71" t="s">
        <v>185</v>
      </c>
      <c r="E3998" s="71" t="s">
        <v>47</v>
      </c>
      <c r="F3998" s="71" t="s">
        <v>298</v>
      </c>
      <c r="G3998" s="88">
        <v>46244.307083333297</v>
      </c>
      <c r="H3998" s="89">
        <v>46244</v>
      </c>
      <c r="I3998" s="71" t="s">
        <v>313</v>
      </c>
      <c r="J3998" s="71">
        <v>-8.0000000000000497</v>
      </c>
      <c r="K3998" s="71" t="s">
        <v>302</v>
      </c>
      <c r="L3998" s="71">
        <f t="shared" si="558"/>
        <v>8</v>
      </c>
      <c r="M3998" s="71" t="str">
        <f>IFERROR(INDEX(KALENDER!$D$3:$D$132,MATCH(H3998,KALENDER!$A$3:$A$132,0)),"Di luar periode")</f>
        <v>Hari Kerja</v>
      </c>
      <c r="N3998" s="71">
        <f t="shared" si="559"/>
        <v>1</v>
      </c>
      <c r="O3998" s="71">
        <f t="shared" si="560"/>
        <v>1</v>
      </c>
      <c r="P3998" s="71">
        <f t="shared" si="561"/>
        <v>1</v>
      </c>
      <c r="Q3998" s="71">
        <f t="shared" si="562"/>
        <v>0</v>
      </c>
      <c r="R3998" s="71">
        <f t="shared" si="563"/>
        <v>0</v>
      </c>
      <c r="S3998" s="71">
        <f t="shared" si="564"/>
        <v>0</v>
      </c>
      <c r="T3998" s="71">
        <f t="shared" si="565"/>
        <v>0</v>
      </c>
      <c r="U3998" s="71">
        <f>IF(AND(N3998=1,V3998=1),IF(COUNTIFS(AKTIVITAS!$B$2:$B$3052,B3998,AKTIVITAS!$E$2:$E$3052,H3998)&gt;0,1,0),0)</f>
        <v>1</v>
      </c>
      <c r="V3998" s="71">
        <f>IFERROR(IF(AND(H3998&gt;=INDEX(PEMAGANG!$J$3:$J$36,MATCH(B3998,PEMAGANG!$C$3:$C$36,0)),H3998&lt;=INDEX(PEMAGANG!$K$3:$K$36,MATCH(B3998,PEMAGANG!$C$3:$C$36,0))),1,0),0)</f>
        <v>1</v>
      </c>
      <c r="W3998" s="71">
        <f t="shared" si="566"/>
        <v>1</v>
      </c>
    </row>
    <row r="3999" spans="1:23" x14ac:dyDescent="0.2">
      <c r="A3999" s="71" t="s">
        <v>200</v>
      </c>
      <c r="B3999" s="71" t="s">
        <v>201</v>
      </c>
      <c r="C3999" s="71" t="s">
        <v>187</v>
      </c>
      <c r="D3999" s="71" t="s">
        <v>185</v>
      </c>
      <c r="E3999" s="71" t="s">
        <v>47</v>
      </c>
      <c r="F3999" s="71" t="s">
        <v>300</v>
      </c>
      <c r="G3999" s="88">
        <v>46244.7271064815</v>
      </c>
      <c r="H3999" s="89">
        <v>46244</v>
      </c>
      <c r="I3999" s="71" t="s">
        <v>389</v>
      </c>
      <c r="J3999" s="71">
        <v>0</v>
      </c>
      <c r="K3999" s="71" t="s">
        <v>302</v>
      </c>
      <c r="L3999" s="71">
        <f t="shared" si="558"/>
        <v>8</v>
      </c>
      <c r="M3999" s="71" t="str">
        <f>IFERROR(INDEX(KALENDER!$D$3:$D$132,MATCH(H3999,KALENDER!$A$3:$A$132,0)),"Di luar periode")</f>
        <v>Hari Kerja</v>
      </c>
      <c r="N3999" s="71">
        <f t="shared" si="559"/>
        <v>0</v>
      </c>
      <c r="O3999" s="71">
        <f t="shared" si="560"/>
        <v>1</v>
      </c>
      <c r="P3999" s="71">
        <f t="shared" si="561"/>
        <v>0</v>
      </c>
      <c r="Q3999" s="71">
        <f t="shared" si="562"/>
        <v>0</v>
      </c>
      <c r="R3999" s="71">
        <f t="shared" si="563"/>
        <v>0</v>
      </c>
      <c r="S3999" s="71">
        <f t="shared" si="564"/>
        <v>0</v>
      </c>
      <c r="T3999" s="71">
        <f t="shared" si="565"/>
        <v>0</v>
      </c>
      <c r="U3999" s="71">
        <f>IF(AND(N3999=1,V3999=1),IF(COUNTIFS(AKTIVITAS!$B$2:$B$3052,B3999,AKTIVITAS!$E$2:$E$3052,H3999)&gt;0,1,0),0)</f>
        <v>0</v>
      </c>
      <c r="V3999" s="71">
        <f>IFERROR(IF(AND(H3999&gt;=INDEX(PEMAGANG!$J$3:$J$36,MATCH(B3999,PEMAGANG!$C$3:$C$36,0)),H3999&lt;=INDEX(PEMAGANG!$K$3:$K$36,MATCH(B3999,PEMAGANG!$C$3:$C$36,0))),1,0),0)</f>
        <v>1</v>
      </c>
      <c r="W3999" s="71">
        <f t="shared" si="566"/>
        <v>0</v>
      </c>
    </row>
    <row r="4000" spans="1:23" x14ac:dyDescent="0.2">
      <c r="A4000" s="71" t="s">
        <v>200</v>
      </c>
      <c r="B4000" s="71" t="s">
        <v>201</v>
      </c>
      <c r="C4000" s="71" t="s">
        <v>187</v>
      </c>
      <c r="D4000" s="71" t="s">
        <v>185</v>
      </c>
      <c r="E4000" s="71" t="s">
        <v>47</v>
      </c>
      <c r="F4000" s="71" t="s">
        <v>300</v>
      </c>
      <c r="G4000" s="88">
        <v>46245.307881944398</v>
      </c>
      <c r="H4000" s="89">
        <v>46245</v>
      </c>
      <c r="I4000" s="71" t="s">
        <v>311</v>
      </c>
      <c r="J4000" s="71">
        <v>0</v>
      </c>
      <c r="K4000" s="71" t="s">
        <v>302</v>
      </c>
      <c r="L4000" s="71">
        <f t="shared" si="558"/>
        <v>8</v>
      </c>
      <c r="M4000" s="71" t="str">
        <f>IFERROR(INDEX(KALENDER!$D$3:$D$132,MATCH(H4000,KALENDER!$A$3:$A$132,0)),"Di luar periode")</f>
        <v>Hari Kerja</v>
      </c>
      <c r="N4000" s="71">
        <f t="shared" si="559"/>
        <v>1</v>
      </c>
      <c r="O4000" s="71">
        <f t="shared" si="560"/>
        <v>0</v>
      </c>
      <c r="P4000" s="71">
        <f t="shared" si="561"/>
        <v>1</v>
      </c>
      <c r="Q4000" s="71">
        <f t="shared" si="562"/>
        <v>0</v>
      </c>
      <c r="R4000" s="71">
        <f t="shared" si="563"/>
        <v>0</v>
      </c>
      <c r="S4000" s="71">
        <f t="shared" si="564"/>
        <v>0</v>
      </c>
      <c r="T4000" s="71">
        <f t="shared" si="565"/>
        <v>0</v>
      </c>
      <c r="U4000" s="71">
        <f>IF(AND(N4000=1,V4000=1),IF(COUNTIFS(AKTIVITAS!$B$2:$B$3052,B4000,AKTIVITAS!$E$2:$E$3052,H4000)&gt;0,1,0),0)</f>
        <v>1</v>
      </c>
      <c r="V4000" s="71">
        <f>IFERROR(IF(AND(H4000&gt;=INDEX(PEMAGANG!$J$3:$J$36,MATCH(B4000,PEMAGANG!$C$3:$C$36,0)),H4000&lt;=INDEX(PEMAGANG!$K$3:$K$36,MATCH(B4000,PEMAGANG!$C$3:$C$36,0))),1,0),0)</f>
        <v>1</v>
      </c>
      <c r="W4000" s="71">
        <f t="shared" si="566"/>
        <v>1</v>
      </c>
    </row>
    <row r="4001" spans="1:23" x14ac:dyDescent="0.2">
      <c r="A4001" s="71" t="s">
        <v>200</v>
      </c>
      <c r="B4001" s="71" t="s">
        <v>201</v>
      </c>
      <c r="C4001" s="71" t="s">
        <v>187</v>
      </c>
      <c r="D4001" s="71" t="s">
        <v>185</v>
      </c>
      <c r="E4001" s="71" t="s">
        <v>47</v>
      </c>
      <c r="F4001" s="71" t="s">
        <v>298</v>
      </c>
      <c r="G4001" s="88">
        <v>46246.316180555601</v>
      </c>
      <c r="H4001" s="89">
        <v>46246</v>
      </c>
      <c r="I4001" s="71" t="s">
        <v>339</v>
      </c>
      <c r="J4001" s="71">
        <v>4.9999999999999796</v>
      </c>
      <c r="K4001" s="71" t="s">
        <v>293</v>
      </c>
      <c r="L4001" s="71">
        <f t="shared" si="558"/>
        <v>8</v>
      </c>
      <c r="M4001" s="71" t="str">
        <f>IFERROR(INDEX(KALENDER!$D$3:$D$132,MATCH(H4001,KALENDER!$A$3:$A$132,0)),"Di luar periode")</f>
        <v>Hari Kerja</v>
      </c>
      <c r="N4001" s="71">
        <f t="shared" si="559"/>
        <v>1</v>
      </c>
      <c r="O4001" s="71">
        <f t="shared" si="560"/>
        <v>1</v>
      </c>
      <c r="P4001" s="71">
        <f t="shared" si="561"/>
        <v>1</v>
      </c>
      <c r="Q4001" s="71">
        <f t="shared" si="562"/>
        <v>0</v>
      </c>
      <c r="R4001" s="71">
        <f t="shared" si="563"/>
        <v>1</v>
      </c>
      <c r="S4001" s="71">
        <f t="shared" si="564"/>
        <v>4.9999999999999796</v>
      </c>
      <c r="T4001" s="71">
        <f t="shared" si="565"/>
        <v>0</v>
      </c>
      <c r="U4001" s="71">
        <f>IF(AND(N4001=1,V4001=1),IF(COUNTIFS(AKTIVITAS!$B$2:$B$3052,B4001,AKTIVITAS!$E$2:$E$3052,H4001)&gt;0,1,0),0)</f>
        <v>1</v>
      </c>
      <c r="V4001" s="71">
        <f>IFERROR(IF(AND(H4001&gt;=INDEX(PEMAGANG!$J$3:$J$36,MATCH(B4001,PEMAGANG!$C$3:$C$36,0)),H4001&lt;=INDEX(PEMAGANG!$K$3:$K$36,MATCH(B4001,PEMAGANG!$C$3:$C$36,0))),1,0),0)</f>
        <v>1</v>
      </c>
      <c r="W4001" s="71">
        <f t="shared" si="566"/>
        <v>1</v>
      </c>
    </row>
    <row r="4002" spans="1:23" x14ac:dyDescent="0.2">
      <c r="A4002" s="71" t="s">
        <v>200</v>
      </c>
      <c r="B4002" s="71" t="s">
        <v>201</v>
      </c>
      <c r="C4002" s="71" t="s">
        <v>187</v>
      </c>
      <c r="D4002" s="71" t="s">
        <v>185</v>
      </c>
      <c r="E4002" s="71" t="s">
        <v>47</v>
      </c>
      <c r="F4002" s="71" t="s">
        <v>300</v>
      </c>
      <c r="G4002" s="88">
        <v>46246.750659722202</v>
      </c>
      <c r="H4002" s="89">
        <v>46246</v>
      </c>
      <c r="I4002" s="71" t="s">
        <v>759</v>
      </c>
      <c r="J4002" s="71">
        <v>0</v>
      </c>
      <c r="K4002" s="71" t="s">
        <v>302</v>
      </c>
      <c r="L4002" s="71">
        <f t="shared" si="558"/>
        <v>8</v>
      </c>
      <c r="M4002" s="71" t="str">
        <f>IFERROR(INDEX(KALENDER!$D$3:$D$132,MATCH(H4002,KALENDER!$A$3:$A$132,0)),"Di luar periode")</f>
        <v>Hari Kerja</v>
      </c>
      <c r="N4002" s="71">
        <f t="shared" si="559"/>
        <v>0</v>
      </c>
      <c r="O4002" s="71">
        <f t="shared" si="560"/>
        <v>1</v>
      </c>
      <c r="P4002" s="71">
        <f t="shared" si="561"/>
        <v>0</v>
      </c>
      <c r="Q4002" s="71">
        <f t="shared" si="562"/>
        <v>0</v>
      </c>
      <c r="R4002" s="71">
        <f t="shared" si="563"/>
        <v>0</v>
      </c>
      <c r="S4002" s="71">
        <f t="shared" si="564"/>
        <v>0</v>
      </c>
      <c r="T4002" s="71">
        <f t="shared" si="565"/>
        <v>0</v>
      </c>
      <c r="U4002" s="71">
        <f>IF(AND(N4002=1,V4002=1),IF(COUNTIFS(AKTIVITAS!$B$2:$B$3052,B4002,AKTIVITAS!$E$2:$E$3052,H4002)&gt;0,1,0),0)</f>
        <v>0</v>
      </c>
      <c r="V4002" s="71">
        <f>IFERROR(IF(AND(H4002&gt;=INDEX(PEMAGANG!$J$3:$J$36,MATCH(B4002,PEMAGANG!$C$3:$C$36,0)),H4002&lt;=INDEX(PEMAGANG!$K$3:$K$36,MATCH(B4002,PEMAGANG!$C$3:$C$36,0))),1,0),0)</f>
        <v>1</v>
      </c>
      <c r="W4002" s="71">
        <f t="shared" si="566"/>
        <v>0</v>
      </c>
    </row>
    <row r="4003" spans="1:23" x14ac:dyDescent="0.2">
      <c r="A4003" s="71" t="s">
        <v>200</v>
      </c>
      <c r="B4003" s="71" t="s">
        <v>201</v>
      </c>
      <c r="C4003" s="71" t="s">
        <v>187</v>
      </c>
      <c r="D4003" s="71" t="s">
        <v>185</v>
      </c>
      <c r="E4003" s="71" t="s">
        <v>47</v>
      </c>
      <c r="F4003" s="71" t="s">
        <v>298</v>
      </c>
      <c r="G4003" s="88">
        <v>46247.314363425903</v>
      </c>
      <c r="H4003" s="89">
        <v>46247</v>
      </c>
      <c r="I4003" s="71" t="s">
        <v>338</v>
      </c>
      <c r="J4003" s="71">
        <v>1.99999999999999</v>
      </c>
      <c r="K4003" s="71" t="s">
        <v>293</v>
      </c>
      <c r="L4003" s="71">
        <f t="shared" si="558"/>
        <v>8</v>
      </c>
      <c r="M4003" s="71" t="str">
        <f>IFERROR(INDEX(KALENDER!$D$3:$D$132,MATCH(H4003,KALENDER!$A$3:$A$132,0)),"Di luar periode")</f>
        <v>Hari Kerja</v>
      </c>
      <c r="N4003" s="71">
        <f t="shared" si="559"/>
        <v>1</v>
      </c>
      <c r="O4003" s="71">
        <f t="shared" si="560"/>
        <v>1</v>
      </c>
      <c r="P4003" s="71">
        <f t="shared" si="561"/>
        <v>1</v>
      </c>
      <c r="Q4003" s="71">
        <f t="shared" si="562"/>
        <v>0</v>
      </c>
      <c r="R4003" s="71">
        <f t="shared" si="563"/>
        <v>1</v>
      </c>
      <c r="S4003" s="71">
        <f t="shared" si="564"/>
        <v>1.99999999999999</v>
      </c>
      <c r="T4003" s="71">
        <f t="shared" si="565"/>
        <v>0</v>
      </c>
      <c r="U4003" s="71">
        <f>IF(AND(N4003=1,V4003=1),IF(COUNTIFS(AKTIVITAS!$B$2:$B$3052,B4003,AKTIVITAS!$E$2:$E$3052,H4003)&gt;0,1,0),0)</f>
        <v>0</v>
      </c>
      <c r="V4003" s="71">
        <f>IFERROR(IF(AND(H4003&gt;=INDEX(PEMAGANG!$J$3:$J$36,MATCH(B4003,PEMAGANG!$C$3:$C$36,0)),H4003&lt;=INDEX(PEMAGANG!$K$3:$K$36,MATCH(B4003,PEMAGANG!$C$3:$C$36,0))),1,0),0)</f>
        <v>1</v>
      </c>
      <c r="W4003" s="71">
        <f t="shared" si="566"/>
        <v>1</v>
      </c>
    </row>
    <row r="4004" spans="1:23" x14ac:dyDescent="0.2">
      <c r="A4004" s="71" t="s">
        <v>200</v>
      </c>
      <c r="B4004" s="71" t="s">
        <v>201</v>
      </c>
      <c r="C4004" s="71" t="s">
        <v>187</v>
      </c>
      <c r="D4004" s="71" t="s">
        <v>185</v>
      </c>
      <c r="E4004" s="71" t="s">
        <v>47</v>
      </c>
      <c r="F4004" s="71" t="s">
        <v>300</v>
      </c>
      <c r="G4004" s="88">
        <v>46247.702523148197</v>
      </c>
      <c r="H4004" s="89">
        <v>46247</v>
      </c>
      <c r="I4004" s="71" t="s">
        <v>323</v>
      </c>
      <c r="J4004" s="71">
        <v>0</v>
      </c>
      <c r="K4004" s="71" t="s">
        <v>302</v>
      </c>
      <c r="L4004" s="71">
        <f t="shared" si="558"/>
        <v>8</v>
      </c>
      <c r="M4004" s="71" t="str">
        <f>IFERROR(INDEX(KALENDER!$D$3:$D$132,MATCH(H4004,KALENDER!$A$3:$A$132,0)),"Di luar periode")</f>
        <v>Hari Kerja</v>
      </c>
      <c r="N4004" s="71">
        <f t="shared" si="559"/>
        <v>0</v>
      </c>
      <c r="O4004" s="71">
        <f t="shared" si="560"/>
        <v>1</v>
      </c>
      <c r="P4004" s="71">
        <f t="shared" si="561"/>
        <v>0</v>
      </c>
      <c r="Q4004" s="71">
        <f t="shared" si="562"/>
        <v>0</v>
      </c>
      <c r="R4004" s="71">
        <f t="shared" si="563"/>
        <v>0</v>
      </c>
      <c r="S4004" s="71">
        <f t="shared" si="564"/>
        <v>0</v>
      </c>
      <c r="T4004" s="71">
        <f t="shared" si="565"/>
        <v>0</v>
      </c>
      <c r="U4004" s="71">
        <f>IF(AND(N4004=1,V4004=1),IF(COUNTIFS(AKTIVITAS!$B$2:$B$3052,B4004,AKTIVITAS!$E$2:$E$3052,H4004)&gt;0,1,0),0)</f>
        <v>0</v>
      </c>
      <c r="V4004" s="71">
        <f>IFERROR(IF(AND(H4004&gt;=INDEX(PEMAGANG!$J$3:$J$36,MATCH(B4004,PEMAGANG!$C$3:$C$36,0)),H4004&lt;=INDEX(PEMAGANG!$K$3:$K$36,MATCH(B4004,PEMAGANG!$C$3:$C$36,0))),1,0),0)</f>
        <v>1</v>
      </c>
      <c r="W4004" s="71">
        <f t="shared" si="566"/>
        <v>0</v>
      </c>
    </row>
    <row r="4005" spans="1:23" x14ac:dyDescent="0.2">
      <c r="A4005" s="71" t="s">
        <v>200</v>
      </c>
      <c r="B4005" s="71" t="s">
        <v>201</v>
      </c>
      <c r="C4005" s="71" t="s">
        <v>187</v>
      </c>
      <c r="D4005" s="71" t="s">
        <v>185</v>
      </c>
      <c r="E4005" s="71" t="s">
        <v>47</v>
      </c>
      <c r="F4005" s="71" t="s">
        <v>298</v>
      </c>
      <c r="G4005" s="88">
        <v>46248.312939814801</v>
      </c>
      <c r="H4005" s="89">
        <v>46248</v>
      </c>
      <c r="I4005" s="71" t="s">
        <v>335</v>
      </c>
      <c r="J4005" s="71">
        <v>0</v>
      </c>
      <c r="K4005" s="71" t="s">
        <v>302</v>
      </c>
      <c r="L4005" s="71">
        <f t="shared" si="558"/>
        <v>8</v>
      </c>
      <c r="M4005" s="71" t="str">
        <f>IFERROR(INDEX(KALENDER!$D$3:$D$132,MATCH(H4005,KALENDER!$A$3:$A$132,0)),"Di luar periode")</f>
        <v>Hari Kerja</v>
      </c>
      <c r="N4005" s="71">
        <f t="shared" si="559"/>
        <v>1</v>
      </c>
      <c r="O4005" s="71">
        <f t="shared" si="560"/>
        <v>1</v>
      </c>
      <c r="P4005" s="71">
        <f t="shared" si="561"/>
        <v>1</v>
      </c>
      <c r="Q4005" s="71">
        <f t="shared" si="562"/>
        <v>0</v>
      </c>
      <c r="R4005" s="71">
        <f t="shared" si="563"/>
        <v>0</v>
      </c>
      <c r="S4005" s="71">
        <f t="shared" si="564"/>
        <v>0</v>
      </c>
      <c r="T4005" s="71">
        <f t="shared" si="565"/>
        <v>0</v>
      </c>
      <c r="U4005" s="71">
        <f>IF(AND(N4005=1,V4005=1),IF(COUNTIFS(AKTIVITAS!$B$2:$B$3052,B4005,AKTIVITAS!$E$2:$E$3052,H4005)&gt;0,1,0),0)</f>
        <v>0</v>
      </c>
      <c r="V4005" s="71">
        <f>IFERROR(IF(AND(H4005&gt;=INDEX(PEMAGANG!$J$3:$J$36,MATCH(B4005,PEMAGANG!$C$3:$C$36,0)),H4005&lt;=INDEX(PEMAGANG!$K$3:$K$36,MATCH(B4005,PEMAGANG!$C$3:$C$36,0))),1,0),0)</f>
        <v>1</v>
      </c>
      <c r="W4005" s="71">
        <f t="shared" si="566"/>
        <v>1</v>
      </c>
    </row>
    <row r="4006" spans="1:23" x14ac:dyDescent="0.2">
      <c r="A4006" s="71" t="s">
        <v>200</v>
      </c>
      <c r="B4006" s="71" t="s">
        <v>201</v>
      </c>
      <c r="C4006" s="71" t="s">
        <v>187</v>
      </c>
      <c r="D4006" s="71" t="s">
        <v>185</v>
      </c>
      <c r="E4006" s="71" t="s">
        <v>47</v>
      </c>
      <c r="F4006" s="71" t="s">
        <v>300</v>
      </c>
      <c r="G4006" s="88">
        <v>46248.7434027778</v>
      </c>
      <c r="H4006" s="89">
        <v>46248</v>
      </c>
      <c r="I4006" s="71" t="s">
        <v>397</v>
      </c>
      <c r="J4006" s="71">
        <v>0</v>
      </c>
      <c r="K4006" s="71" t="s">
        <v>302</v>
      </c>
      <c r="L4006" s="71">
        <f t="shared" si="558"/>
        <v>8</v>
      </c>
      <c r="M4006" s="71" t="str">
        <f>IFERROR(INDEX(KALENDER!$D$3:$D$132,MATCH(H4006,KALENDER!$A$3:$A$132,0)),"Di luar periode")</f>
        <v>Hari Kerja</v>
      </c>
      <c r="N4006" s="71">
        <f t="shared" si="559"/>
        <v>0</v>
      </c>
      <c r="O4006" s="71">
        <f t="shared" si="560"/>
        <v>1</v>
      </c>
      <c r="P4006" s="71">
        <f t="shared" si="561"/>
        <v>0</v>
      </c>
      <c r="Q4006" s="71">
        <f t="shared" si="562"/>
        <v>0</v>
      </c>
      <c r="R4006" s="71">
        <f t="shared" si="563"/>
        <v>0</v>
      </c>
      <c r="S4006" s="71">
        <f t="shared" si="564"/>
        <v>0</v>
      </c>
      <c r="T4006" s="71">
        <f t="shared" si="565"/>
        <v>0</v>
      </c>
      <c r="U4006" s="71">
        <f>IF(AND(N4006=1,V4006=1),IF(COUNTIFS(AKTIVITAS!$B$2:$B$3052,B4006,AKTIVITAS!$E$2:$E$3052,H4006)&gt;0,1,0),0)</f>
        <v>0</v>
      </c>
      <c r="V4006" s="71">
        <f>IFERROR(IF(AND(H4006&gt;=INDEX(PEMAGANG!$J$3:$J$36,MATCH(B4006,PEMAGANG!$C$3:$C$36,0)),H4006&lt;=INDEX(PEMAGANG!$K$3:$K$36,MATCH(B4006,PEMAGANG!$C$3:$C$36,0))),1,0),0)</f>
        <v>1</v>
      </c>
      <c r="W4006" s="71">
        <f t="shared" si="566"/>
        <v>0</v>
      </c>
    </row>
    <row r="4007" spans="1:23" x14ac:dyDescent="0.2">
      <c r="A4007" s="71" t="s">
        <v>200</v>
      </c>
      <c r="B4007" s="71" t="s">
        <v>201</v>
      </c>
      <c r="C4007" s="71" t="s">
        <v>187</v>
      </c>
      <c r="D4007" s="71" t="s">
        <v>185</v>
      </c>
      <c r="E4007" s="71" t="s">
        <v>47</v>
      </c>
      <c r="F4007" s="71" t="s">
        <v>298</v>
      </c>
      <c r="G4007" s="88">
        <v>46252.336770833303</v>
      </c>
      <c r="H4007" s="89">
        <v>46252</v>
      </c>
      <c r="I4007" s="71" t="s">
        <v>760</v>
      </c>
      <c r="J4007" s="71">
        <v>34</v>
      </c>
      <c r="K4007" s="71" t="s">
        <v>293</v>
      </c>
      <c r="L4007" s="71">
        <f t="shared" si="558"/>
        <v>8</v>
      </c>
      <c r="M4007" s="71" t="str">
        <f>IFERROR(INDEX(KALENDER!$D$3:$D$132,MATCH(H4007,KALENDER!$A$3:$A$132,0)),"Di luar periode")</f>
        <v>Hari Kerja</v>
      </c>
      <c r="N4007" s="71">
        <f t="shared" si="559"/>
        <v>1</v>
      </c>
      <c r="O4007" s="71">
        <f t="shared" si="560"/>
        <v>1</v>
      </c>
      <c r="P4007" s="71">
        <f t="shared" si="561"/>
        <v>1</v>
      </c>
      <c r="Q4007" s="71">
        <f t="shared" si="562"/>
        <v>0</v>
      </c>
      <c r="R4007" s="71">
        <f t="shared" si="563"/>
        <v>1</v>
      </c>
      <c r="S4007" s="71">
        <f t="shared" si="564"/>
        <v>34</v>
      </c>
      <c r="T4007" s="71">
        <f t="shared" si="565"/>
        <v>0</v>
      </c>
      <c r="U4007" s="71">
        <f>IF(AND(N4007=1,V4007=1),IF(COUNTIFS(AKTIVITAS!$B$2:$B$3052,B4007,AKTIVITAS!$E$2:$E$3052,H4007)&gt;0,1,0),0)</f>
        <v>1</v>
      </c>
      <c r="V4007" s="71">
        <f>IFERROR(IF(AND(H4007&gt;=INDEX(PEMAGANG!$J$3:$J$36,MATCH(B4007,PEMAGANG!$C$3:$C$36,0)),H4007&lt;=INDEX(PEMAGANG!$K$3:$K$36,MATCH(B4007,PEMAGANG!$C$3:$C$36,0))),1,0),0)</f>
        <v>1</v>
      </c>
      <c r="W4007" s="71">
        <f t="shared" si="566"/>
        <v>1</v>
      </c>
    </row>
    <row r="4008" spans="1:23" x14ac:dyDescent="0.2">
      <c r="A4008" s="71" t="s">
        <v>200</v>
      </c>
      <c r="B4008" s="71" t="s">
        <v>201</v>
      </c>
      <c r="C4008" s="71" t="s">
        <v>187</v>
      </c>
      <c r="D4008" s="71" t="s">
        <v>185</v>
      </c>
      <c r="E4008" s="71" t="s">
        <v>47</v>
      </c>
      <c r="F4008" s="71" t="s">
        <v>300</v>
      </c>
      <c r="G4008" s="88">
        <v>46252.738298611097</v>
      </c>
      <c r="H4008" s="89">
        <v>46252</v>
      </c>
      <c r="I4008" s="71" t="s">
        <v>753</v>
      </c>
      <c r="J4008" s="71">
        <v>0</v>
      </c>
      <c r="K4008" s="71" t="s">
        <v>302</v>
      </c>
      <c r="L4008" s="71">
        <f t="shared" si="558"/>
        <v>8</v>
      </c>
      <c r="M4008" s="71" t="str">
        <f>IFERROR(INDEX(KALENDER!$D$3:$D$132,MATCH(H4008,KALENDER!$A$3:$A$132,0)),"Di luar periode")</f>
        <v>Hari Kerja</v>
      </c>
      <c r="N4008" s="71">
        <f t="shared" si="559"/>
        <v>0</v>
      </c>
      <c r="O4008" s="71">
        <f t="shared" si="560"/>
        <v>1</v>
      </c>
      <c r="P4008" s="71">
        <f t="shared" si="561"/>
        <v>0</v>
      </c>
      <c r="Q4008" s="71">
        <f t="shared" si="562"/>
        <v>0</v>
      </c>
      <c r="R4008" s="71">
        <f t="shared" si="563"/>
        <v>0</v>
      </c>
      <c r="S4008" s="71">
        <f t="shared" si="564"/>
        <v>0</v>
      </c>
      <c r="T4008" s="71">
        <f t="shared" si="565"/>
        <v>0</v>
      </c>
      <c r="U4008" s="71">
        <f>IF(AND(N4008=1,V4008=1),IF(COUNTIFS(AKTIVITAS!$B$2:$B$3052,B4008,AKTIVITAS!$E$2:$E$3052,H4008)&gt;0,1,0),0)</f>
        <v>0</v>
      </c>
      <c r="V4008" s="71">
        <f>IFERROR(IF(AND(H4008&gt;=INDEX(PEMAGANG!$J$3:$J$36,MATCH(B4008,PEMAGANG!$C$3:$C$36,0)),H4008&lt;=INDEX(PEMAGANG!$K$3:$K$36,MATCH(B4008,PEMAGANG!$C$3:$C$36,0))),1,0),0)</f>
        <v>1</v>
      </c>
      <c r="W4008" s="71">
        <f t="shared" si="566"/>
        <v>0</v>
      </c>
    </row>
    <row r="4009" spans="1:23" x14ac:dyDescent="0.2">
      <c r="A4009" s="71" t="s">
        <v>200</v>
      </c>
      <c r="B4009" s="71" t="s">
        <v>201</v>
      </c>
      <c r="C4009" s="71" t="s">
        <v>187</v>
      </c>
      <c r="D4009" s="71" t="s">
        <v>185</v>
      </c>
      <c r="E4009" s="71" t="s">
        <v>47</v>
      </c>
      <c r="F4009" s="71" t="s">
        <v>298</v>
      </c>
      <c r="G4009" s="88">
        <v>46253.296296296299</v>
      </c>
      <c r="H4009" s="89">
        <v>46253</v>
      </c>
      <c r="I4009" s="71" t="s">
        <v>349</v>
      </c>
      <c r="J4009" s="71">
        <v>-24</v>
      </c>
      <c r="K4009" s="71" t="s">
        <v>302</v>
      </c>
      <c r="L4009" s="71">
        <f t="shared" si="558"/>
        <v>8</v>
      </c>
      <c r="M4009" s="71" t="str">
        <f>IFERROR(INDEX(KALENDER!$D$3:$D$132,MATCH(H4009,KALENDER!$A$3:$A$132,0)),"Di luar periode")</f>
        <v>Hari Kerja</v>
      </c>
      <c r="N4009" s="71">
        <f t="shared" si="559"/>
        <v>1</v>
      </c>
      <c r="O4009" s="71">
        <f t="shared" si="560"/>
        <v>1</v>
      </c>
      <c r="P4009" s="71">
        <f t="shared" si="561"/>
        <v>1</v>
      </c>
      <c r="Q4009" s="71">
        <f t="shared" si="562"/>
        <v>0</v>
      </c>
      <c r="R4009" s="71">
        <f t="shared" si="563"/>
        <v>0</v>
      </c>
      <c r="S4009" s="71">
        <f t="shared" si="564"/>
        <v>0</v>
      </c>
      <c r="T4009" s="71">
        <f t="shared" si="565"/>
        <v>0</v>
      </c>
      <c r="U4009" s="71">
        <f>IF(AND(N4009=1,V4009=1),IF(COUNTIFS(AKTIVITAS!$B$2:$B$3052,B4009,AKTIVITAS!$E$2:$E$3052,H4009)&gt;0,1,0),0)</f>
        <v>1</v>
      </c>
      <c r="V4009" s="71">
        <f>IFERROR(IF(AND(H4009&gt;=INDEX(PEMAGANG!$J$3:$J$36,MATCH(B4009,PEMAGANG!$C$3:$C$36,0)),H4009&lt;=INDEX(PEMAGANG!$K$3:$K$36,MATCH(B4009,PEMAGANG!$C$3:$C$36,0))),1,0),0)</f>
        <v>1</v>
      </c>
      <c r="W4009" s="71">
        <f t="shared" si="566"/>
        <v>1</v>
      </c>
    </row>
    <row r="4010" spans="1:23" x14ac:dyDescent="0.2">
      <c r="A4010" s="71" t="s">
        <v>200</v>
      </c>
      <c r="B4010" s="71" t="s">
        <v>201</v>
      </c>
      <c r="C4010" s="71" t="s">
        <v>187</v>
      </c>
      <c r="D4010" s="71" t="s">
        <v>185</v>
      </c>
      <c r="E4010" s="71" t="s">
        <v>47</v>
      </c>
      <c r="F4010" s="71" t="s">
        <v>300</v>
      </c>
      <c r="G4010" s="88">
        <v>46253.743217592601</v>
      </c>
      <c r="H4010" s="89">
        <v>46253</v>
      </c>
      <c r="I4010" s="71" t="s">
        <v>397</v>
      </c>
      <c r="J4010" s="71">
        <v>0</v>
      </c>
      <c r="K4010" s="71" t="s">
        <v>302</v>
      </c>
      <c r="L4010" s="71">
        <f t="shared" si="558"/>
        <v>8</v>
      </c>
      <c r="M4010" s="71" t="str">
        <f>IFERROR(INDEX(KALENDER!$D$3:$D$132,MATCH(H4010,KALENDER!$A$3:$A$132,0)),"Di luar periode")</f>
        <v>Hari Kerja</v>
      </c>
      <c r="N4010" s="71">
        <f t="shared" si="559"/>
        <v>0</v>
      </c>
      <c r="O4010" s="71">
        <f t="shared" si="560"/>
        <v>1</v>
      </c>
      <c r="P4010" s="71">
        <f t="shared" si="561"/>
        <v>0</v>
      </c>
      <c r="Q4010" s="71">
        <f t="shared" si="562"/>
        <v>0</v>
      </c>
      <c r="R4010" s="71">
        <f t="shared" si="563"/>
        <v>0</v>
      </c>
      <c r="S4010" s="71">
        <f t="shared" si="564"/>
        <v>0</v>
      </c>
      <c r="T4010" s="71">
        <f t="shared" si="565"/>
        <v>0</v>
      </c>
      <c r="U4010" s="71">
        <f>IF(AND(N4010=1,V4010=1),IF(COUNTIFS(AKTIVITAS!$B$2:$B$3052,B4010,AKTIVITAS!$E$2:$E$3052,H4010)&gt;0,1,0),0)</f>
        <v>0</v>
      </c>
      <c r="V4010" s="71">
        <f>IFERROR(IF(AND(H4010&gt;=INDEX(PEMAGANG!$J$3:$J$36,MATCH(B4010,PEMAGANG!$C$3:$C$36,0)),H4010&lt;=INDEX(PEMAGANG!$K$3:$K$36,MATCH(B4010,PEMAGANG!$C$3:$C$36,0))),1,0),0)</f>
        <v>1</v>
      </c>
      <c r="W4010" s="71">
        <f t="shared" si="566"/>
        <v>0</v>
      </c>
    </row>
    <row r="4011" spans="1:23" x14ac:dyDescent="0.2">
      <c r="A4011" s="71" t="s">
        <v>200</v>
      </c>
      <c r="B4011" s="71" t="s">
        <v>201</v>
      </c>
      <c r="C4011" s="71" t="s">
        <v>187</v>
      </c>
      <c r="D4011" s="71" t="s">
        <v>185</v>
      </c>
      <c r="E4011" s="71" t="s">
        <v>47</v>
      </c>
      <c r="F4011" s="71" t="s">
        <v>298</v>
      </c>
      <c r="G4011" s="88">
        <v>46254.298819444499</v>
      </c>
      <c r="H4011" s="89">
        <v>46254</v>
      </c>
      <c r="I4011" s="71" t="s">
        <v>481</v>
      </c>
      <c r="J4011" s="71">
        <v>-20</v>
      </c>
      <c r="K4011" s="71" t="s">
        <v>302</v>
      </c>
      <c r="L4011" s="71">
        <f t="shared" si="558"/>
        <v>8</v>
      </c>
      <c r="M4011" s="71" t="str">
        <f>IFERROR(INDEX(KALENDER!$D$3:$D$132,MATCH(H4011,KALENDER!$A$3:$A$132,0)),"Di luar periode")</f>
        <v>Hari Kerja</v>
      </c>
      <c r="N4011" s="71">
        <f t="shared" si="559"/>
        <v>1</v>
      </c>
      <c r="O4011" s="71">
        <f t="shared" si="560"/>
        <v>1</v>
      </c>
      <c r="P4011" s="71">
        <f t="shared" si="561"/>
        <v>1</v>
      </c>
      <c r="Q4011" s="71">
        <f t="shared" si="562"/>
        <v>0</v>
      </c>
      <c r="R4011" s="71">
        <f t="shared" si="563"/>
        <v>0</v>
      </c>
      <c r="S4011" s="71">
        <f t="shared" si="564"/>
        <v>0</v>
      </c>
      <c r="T4011" s="71">
        <f t="shared" si="565"/>
        <v>0</v>
      </c>
      <c r="U4011" s="71">
        <f>IF(AND(N4011=1,V4011=1),IF(COUNTIFS(AKTIVITAS!$B$2:$B$3052,B4011,AKTIVITAS!$E$2:$E$3052,H4011)&gt;0,1,0),0)</f>
        <v>1</v>
      </c>
      <c r="V4011" s="71">
        <f>IFERROR(IF(AND(H4011&gt;=INDEX(PEMAGANG!$J$3:$J$36,MATCH(B4011,PEMAGANG!$C$3:$C$36,0)),H4011&lt;=INDEX(PEMAGANG!$K$3:$K$36,MATCH(B4011,PEMAGANG!$C$3:$C$36,0))),1,0),0)</f>
        <v>1</v>
      </c>
      <c r="W4011" s="71">
        <f t="shared" si="566"/>
        <v>1</v>
      </c>
    </row>
    <row r="4012" spans="1:23" x14ac:dyDescent="0.2">
      <c r="A4012" s="71" t="s">
        <v>200</v>
      </c>
      <c r="B4012" s="71" t="s">
        <v>201</v>
      </c>
      <c r="C4012" s="71" t="s">
        <v>187</v>
      </c>
      <c r="D4012" s="71" t="s">
        <v>185</v>
      </c>
      <c r="E4012" s="71" t="s">
        <v>47</v>
      </c>
      <c r="F4012" s="71" t="s">
        <v>300</v>
      </c>
      <c r="G4012" s="88">
        <v>46254.729178240697</v>
      </c>
      <c r="H4012" s="89">
        <v>46254</v>
      </c>
      <c r="I4012" s="71" t="s">
        <v>552</v>
      </c>
      <c r="J4012" s="71">
        <v>0</v>
      </c>
      <c r="K4012" s="71" t="s">
        <v>302</v>
      </c>
      <c r="L4012" s="71">
        <f t="shared" si="558"/>
        <v>8</v>
      </c>
      <c r="M4012" s="71" t="str">
        <f>IFERROR(INDEX(KALENDER!$D$3:$D$132,MATCH(H4012,KALENDER!$A$3:$A$132,0)),"Di luar periode")</f>
        <v>Hari Kerja</v>
      </c>
      <c r="N4012" s="71">
        <f t="shared" si="559"/>
        <v>0</v>
      </c>
      <c r="O4012" s="71">
        <f t="shared" si="560"/>
        <v>1</v>
      </c>
      <c r="P4012" s="71">
        <f t="shared" si="561"/>
        <v>0</v>
      </c>
      <c r="Q4012" s="71">
        <f t="shared" si="562"/>
        <v>0</v>
      </c>
      <c r="R4012" s="71">
        <f t="shared" si="563"/>
        <v>0</v>
      </c>
      <c r="S4012" s="71">
        <f t="shared" si="564"/>
        <v>0</v>
      </c>
      <c r="T4012" s="71">
        <f t="shared" si="565"/>
        <v>0</v>
      </c>
      <c r="U4012" s="71">
        <f>IF(AND(N4012=1,V4012=1),IF(COUNTIFS(AKTIVITAS!$B$2:$B$3052,B4012,AKTIVITAS!$E$2:$E$3052,H4012)&gt;0,1,0),0)</f>
        <v>0</v>
      </c>
      <c r="V4012" s="71">
        <f>IFERROR(IF(AND(H4012&gt;=INDEX(PEMAGANG!$J$3:$J$36,MATCH(B4012,PEMAGANG!$C$3:$C$36,0)),H4012&lt;=INDEX(PEMAGANG!$K$3:$K$36,MATCH(B4012,PEMAGANG!$C$3:$C$36,0))),1,0),0)</f>
        <v>1</v>
      </c>
      <c r="W4012" s="71">
        <f t="shared" si="566"/>
        <v>0</v>
      </c>
    </row>
    <row r="4013" spans="1:23" x14ac:dyDescent="0.2">
      <c r="A4013" s="71" t="s">
        <v>200</v>
      </c>
      <c r="B4013" s="71" t="s">
        <v>201</v>
      </c>
      <c r="C4013" s="71" t="s">
        <v>187</v>
      </c>
      <c r="D4013" s="71" t="s">
        <v>185</v>
      </c>
      <c r="E4013" s="71" t="s">
        <v>47</v>
      </c>
      <c r="F4013" s="71" t="s">
        <v>298</v>
      </c>
      <c r="G4013" s="88">
        <v>46255.3121875</v>
      </c>
      <c r="H4013" s="89">
        <v>46255</v>
      </c>
      <c r="I4013" s="71" t="s">
        <v>365</v>
      </c>
      <c r="J4013" s="71">
        <v>-31</v>
      </c>
      <c r="K4013" s="71" t="s">
        <v>302</v>
      </c>
      <c r="L4013" s="71">
        <f t="shared" si="558"/>
        <v>8</v>
      </c>
      <c r="M4013" s="71" t="str">
        <f>IFERROR(INDEX(KALENDER!$D$3:$D$132,MATCH(H4013,KALENDER!$A$3:$A$132,0)),"Di luar periode")</f>
        <v>Hari Kerja</v>
      </c>
      <c r="N4013" s="71">
        <f t="shared" si="559"/>
        <v>1</v>
      </c>
      <c r="O4013" s="71">
        <f t="shared" si="560"/>
        <v>1</v>
      </c>
      <c r="P4013" s="71">
        <f t="shared" si="561"/>
        <v>1</v>
      </c>
      <c r="Q4013" s="71">
        <f t="shared" si="562"/>
        <v>0</v>
      </c>
      <c r="R4013" s="71">
        <f t="shared" si="563"/>
        <v>0</v>
      </c>
      <c r="S4013" s="71">
        <f t="shared" si="564"/>
        <v>0</v>
      </c>
      <c r="T4013" s="71">
        <f t="shared" si="565"/>
        <v>0</v>
      </c>
      <c r="U4013" s="71">
        <f>IF(AND(N4013=1,V4013=1),IF(COUNTIFS(AKTIVITAS!$B$2:$B$3052,B4013,AKTIVITAS!$E$2:$E$3052,H4013)&gt;0,1,0),0)</f>
        <v>1</v>
      </c>
      <c r="V4013" s="71">
        <f>IFERROR(IF(AND(H4013&gt;=INDEX(PEMAGANG!$J$3:$J$36,MATCH(B4013,PEMAGANG!$C$3:$C$36,0)),H4013&lt;=INDEX(PEMAGANG!$K$3:$K$36,MATCH(B4013,PEMAGANG!$C$3:$C$36,0))),1,0),0)</f>
        <v>1</v>
      </c>
      <c r="W4013" s="71">
        <f t="shared" si="566"/>
        <v>1</v>
      </c>
    </row>
    <row r="4014" spans="1:23" x14ac:dyDescent="0.2">
      <c r="A4014" s="71" t="s">
        <v>200</v>
      </c>
      <c r="B4014" s="71" t="s">
        <v>201</v>
      </c>
      <c r="C4014" s="71" t="s">
        <v>187</v>
      </c>
      <c r="D4014" s="71" t="s">
        <v>185</v>
      </c>
      <c r="E4014" s="71" t="s">
        <v>47</v>
      </c>
      <c r="F4014" s="71" t="s">
        <v>300</v>
      </c>
      <c r="G4014" s="88">
        <v>46255.750219907401</v>
      </c>
      <c r="H4014" s="89">
        <v>46255</v>
      </c>
      <c r="I4014" s="71" t="s">
        <v>759</v>
      </c>
      <c r="J4014" s="71">
        <v>0</v>
      </c>
      <c r="K4014" s="71" t="s">
        <v>302</v>
      </c>
      <c r="L4014" s="71">
        <f t="shared" si="558"/>
        <v>8</v>
      </c>
      <c r="M4014" s="71" t="str">
        <f>IFERROR(INDEX(KALENDER!$D$3:$D$132,MATCH(H4014,KALENDER!$A$3:$A$132,0)),"Di luar periode")</f>
        <v>Hari Kerja</v>
      </c>
      <c r="N4014" s="71">
        <f t="shared" si="559"/>
        <v>0</v>
      </c>
      <c r="O4014" s="71">
        <f t="shared" si="560"/>
        <v>1</v>
      </c>
      <c r="P4014" s="71">
        <f t="shared" si="561"/>
        <v>0</v>
      </c>
      <c r="Q4014" s="71">
        <f t="shared" si="562"/>
        <v>0</v>
      </c>
      <c r="R4014" s="71">
        <f t="shared" si="563"/>
        <v>0</v>
      </c>
      <c r="S4014" s="71">
        <f t="shared" si="564"/>
        <v>0</v>
      </c>
      <c r="T4014" s="71">
        <f t="shared" si="565"/>
        <v>0</v>
      </c>
      <c r="U4014" s="71">
        <f>IF(AND(N4014=1,V4014=1),IF(COUNTIFS(AKTIVITAS!$B$2:$B$3052,B4014,AKTIVITAS!$E$2:$E$3052,H4014)&gt;0,1,0),0)</f>
        <v>0</v>
      </c>
      <c r="V4014" s="71">
        <f>IFERROR(IF(AND(H4014&gt;=INDEX(PEMAGANG!$J$3:$J$36,MATCH(B4014,PEMAGANG!$C$3:$C$36,0)),H4014&lt;=INDEX(PEMAGANG!$K$3:$K$36,MATCH(B4014,PEMAGANG!$C$3:$C$36,0))),1,0),0)</f>
        <v>1</v>
      </c>
      <c r="W4014" s="71">
        <f t="shared" si="566"/>
        <v>0</v>
      </c>
    </row>
    <row r="4015" spans="1:23" x14ac:dyDescent="0.2">
      <c r="A4015" s="71" t="s">
        <v>200</v>
      </c>
      <c r="B4015" s="71" t="s">
        <v>201</v>
      </c>
      <c r="C4015" s="71" t="s">
        <v>187</v>
      </c>
      <c r="D4015" s="71" t="s">
        <v>185</v>
      </c>
      <c r="E4015" s="71" t="s">
        <v>47</v>
      </c>
      <c r="F4015" s="71" t="s">
        <v>298</v>
      </c>
      <c r="G4015" s="88">
        <v>46258.338761574101</v>
      </c>
      <c r="H4015" s="89">
        <v>46258</v>
      </c>
      <c r="I4015" s="71" t="s">
        <v>761</v>
      </c>
      <c r="J4015" s="71">
        <v>7.0000000000000604</v>
      </c>
      <c r="K4015" s="71" t="s">
        <v>293</v>
      </c>
      <c r="L4015" s="71">
        <f t="shared" si="558"/>
        <v>8</v>
      </c>
      <c r="M4015" s="71" t="str">
        <f>IFERROR(INDEX(KALENDER!$D$3:$D$132,MATCH(H4015,KALENDER!$A$3:$A$132,0)),"Di luar periode")</f>
        <v>Hari Kerja</v>
      </c>
      <c r="N4015" s="71">
        <f t="shared" si="559"/>
        <v>1</v>
      </c>
      <c r="O4015" s="71">
        <f t="shared" si="560"/>
        <v>1</v>
      </c>
      <c r="P4015" s="71">
        <f t="shared" si="561"/>
        <v>1</v>
      </c>
      <c r="Q4015" s="71">
        <f t="shared" si="562"/>
        <v>0</v>
      </c>
      <c r="R4015" s="71">
        <f t="shared" si="563"/>
        <v>1</v>
      </c>
      <c r="S4015" s="71">
        <f t="shared" si="564"/>
        <v>7.0000000000000604</v>
      </c>
      <c r="T4015" s="71">
        <f t="shared" si="565"/>
        <v>0</v>
      </c>
      <c r="U4015" s="71">
        <f>IF(AND(N4015=1,V4015=1),IF(COUNTIFS(AKTIVITAS!$B$2:$B$3052,B4015,AKTIVITAS!$E$2:$E$3052,H4015)&gt;0,1,0),0)</f>
        <v>1</v>
      </c>
      <c r="V4015" s="71">
        <f>IFERROR(IF(AND(H4015&gt;=INDEX(PEMAGANG!$J$3:$J$36,MATCH(B4015,PEMAGANG!$C$3:$C$36,0)),H4015&lt;=INDEX(PEMAGANG!$K$3:$K$36,MATCH(B4015,PEMAGANG!$C$3:$C$36,0))),1,0),0)</f>
        <v>1</v>
      </c>
      <c r="W4015" s="71">
        <f t="shared" si="566"/>
        <v>1</v>
      </c>
    </row>
    <row r="4016" spans="1:23" x14ac:dyDescent="0.2">
      <c r="A4016" s="71" t="s">
        <v>200</v>
      </c>
      <c r="B4016" s="71" t="s">
        <v>201</v>
      </c>
      <c r="C4016" s="71" t="s">
        <v>187</v>
      </c>
      <c r="D4016" s="71" t="s">
        <v>185</v>
      </c>
      <c r="E4016" s="71" t="s">
        <v>47</v>
      </c>
      <c r="F4016" s="71" t="s">
        <v>300</v>
      </c>
      <c r="G4016" s="88">
        <v>46258.746956018498</v>
      </c>
      <c r="H4016" s="89">
        <v>46258</v>
      </c>
      <c r="I4016" s="71" t="s">
        <v>366</v>
      </c>
      <c r="J4016" s="71">
        <v>0</v>
      </c>
      <c r="K4016" s="71" t="s">
        <v>302</v>
      </c>
      <c r="L4016" s="71">
        <f t="shared" si="558"/>
        <v>8</v>
      </c>
      <c r="M4016" s="71" t="str">
        <f>IFERROR(INDEX(KALENDER!$D$3:$D$132,MATCH(H4016,KALENDER!$A$3:$A$132,0)),"Di luar periode")</f>
        <v>Hari Kerja</v>
      </c>
      <c r="N4016" s="71">
        <f t="shared" si="559"/>
        <v>0</v>
      </c>
      <c r="O4016" s="71">
        <f t="shared" si="560"/>
        <v>1</v>
      </c>
      <c r="P4016" s="71">
        <f t="shared" si="561"/>
        <v>0</v>
      </c>
      <c r="Q4016" s="71">
        <f t="shared" si="562"/>
        <v>0</v>
      </c>
      <c r="R4016" s="71">
        <f t="shared" si="563"/>
        <v>0</v>
      </c>
      <c r="S4016" s="71">
        <f t="shared" si="564"/>
        <v>0</v>
      </c>
      <c r="T4016" s="71">
        <f t="shared" si="565"/>
        <v>0</v>
      </c>
      <c r="U4016" s="71">
        <f>IF(AND(N4016=1,V4016=1),IF(COUNTIFS(AKTIVITAS!$B$2:$B$3052,B4016,AKTIVITAS!$E$2:$E$3052,H4016)&gt;0,1,0),0)</f>
        <v>0</v>
      </c>
      <c r="V4016" s="71">
        <f>IFERROR(IF(AND(H4016&gt;=INDEX(PEMAGANG!$J$3:$J$36,MATCH(B4016,PEMAGANG!$C$3:$C$36,0)),H4016&lt;=INDEX(PEMAGANG!$K$3:$K$36,MATCH(B4016,PEMAGANG!$C$3:$C$36,0))),1,0),0)</f>
        <v>1</v>
      </c>
      <c r="W4016" s="71">
        <f t="shared" si="566"/>
        <v>0</v>
      </c>
    </row>
    <row r="4017" spans="1:23" x14ac:dyDescent="0.2">
      <c r="A4017" s="71" t="s">
        <v>200</v>
      </c>
      <c r="B4017" s="71" t="s">
        <v>201</v>
      </c>
      <c r="C4017" s="71" t="s">
        <v>187</v>
      </c>
      <c r="D4017" s="71" t="s">
        <v>185</v>
      </c>
      <c r="E4017" s="71" t="s">
        <v>47</v>
      </c>
      <c r="F4017" s="71" t="s">
        <v>298</v>
      </c>
      <c r="G4017" s="88">
        <v>46260.310243055603</v>
      </c>
      <c r="H4017" s="89">
        <v>46260</v>
      </c>
      <c r="I4017" s="71" t="s">
        <v>315</v>
      </c>
      <c r="J4017" s="71">
        <v>-34</v>
      </c>
      <c r="K4017" s="71" t="s">
        <v>302</v>
      </c>
      <c r="L4017" s="71">
        <f t="shared" si="558"/>
        <v>8</v>
      </c>
      <c r="M4017" s="71" t="str">
        <f>IFERROR(INDEX(KALENDER!$D$3:$D$132,MATCH(H4017,KALENDER!$A$3:$A$132,0)),"Di luar periode")</f>
        <v>Hari Kerja</v>
      </c>
      <c r="N4017" s="71">
        <f t="shared" si="559"/>
        <v>1</v>
      </c>
      <c r="O4017" s="71">
        <f t="shared" si="560"/>
        <v>1</v>
      </c>
      <c r="P4017" s="71">
        <f t="shared" si="561"/>
        <v>1</v>
      </c>
      <c r="Q4017" s="71">
        <f t="shared" si="562"/>
        <v>0</v>
      </c>
      <c r="R4017" s="71">
        <f t="shared" si="563"/>
        <v>0</v>
      </c>
      <c r="S4017" s="71">
        <f t="shared" si="564"/>
        <v>0</v>
      </c>
      <c r="T4017" s="71">
        <f t="shared" si="565"/>
        <v>0</v>
      </c>
      <c r="U4017" s="71">
        <f>IF(AND(N4017=1,V4017=1),IF(COUNTIFS(AKTIVITAS!$B$2:$B$3052,B4017,AKTIVITAS!$E$2:$E$3052,H4017)&gt;0,1,0),0)</f>
        <v>1</v>
      </c>
      <c r="V4017" s="71">
        <f>IFERROR(IF(AND(H4017&gt;=INDEX(PEMAGANG!$J$3:$J$36,MATCH(B4017,PEMAGANG!$C$3:$C$36,0)),H4017&lt;=INDEX(PEMAGANG!$K$3:$K$36,MATCH(B4017,PEMAGANG!$C$3:$C$36,0))),1,0),0)</f>
        <v>1</v>
      </c>
      <c r="W4017" s="71">
        <f t="shared" si="566"/>
        <v>1</v>
      </c>
    </row>
    <row r="4018" spans="1:23" x14ac:dyDescent="0.2">
      <c r="A4018" s="71" t="s">
        <v>200</v>
      </c>
      <c r="B4018" s="71" t="s">
        <v>201</v>
      </c>
      <c r="C4018" s="71" t="s">
        <v>187</v>
      </c>
      <c r="D4018" s="71" t="s">
        <v>185</v>
      </c>
      <c r="E4018" s="71" t="s">
        <v>47</v>
      </c>
      <c r="F4018" s="71" t="s">
        <v>300</v>
      </c>
      <c r="G4018" s="88">
        <v>46260.725173611099</v>
      </c>
      <c r="H4018" s="89">
        <v>46260</v>
      </c>
      <c r="I4018" s="71" t="s">
        <v>395</v>
      </c>
      <c r="J4018" s="71">
        <v>0</v>
      </c>
      <c r="K4018" s="71" t="s">
        <v>302</v>
      </c>
      <c r="L4018" s="71">
        <f t="shared" si="558"/>
        <v>8</v>
      </c>
      <c r="M4018" s="71" t="str">
        <f>IFERROR(INDEX(KALENDER!$D$3:$D$132,MATCH(H4018,KALENDER!$A$3:$A$132,0)),"Di luar periode")</f>
        <v>Hari Kerja</v>
      </c>
      <c r="N4018" s="71">
        <f t="shared" si="559"/>
        <v>0</v>
      </c>
      <c r="O4018" s="71">
        <f t="shared" si="560"/>
        <v>1</v>
      </c>
      <c r="P4018" s="71">
        <f t="shared" si="561"/>
        <v>0</v>
      </c>
      <c r="Q4018" s="71">
        <f t="shared" si="562"/>
        <v>0</v>
      </c>
      <c r="R4018" s="71">
        <f t="shared" si="563"/>
        <v>0</v>
      </c>
      <c r="S4018" s="71">
        <f t="shared" si="564"/>
        <v>0</v>
      </c>
      <c r="T4018" s="71">
        <f t="shared" si="565"/>
        <v>0</v>
      </c>
      <c r="U4018" s="71">
        <f>IF(AND(N4018=1,V4018=1),IF(COUNTIFS(AKTIVITAS!$B$2:$B$3052,B4018,AKTIVITAS!$E$2:$E$3052,H4018)&gt;0,1,0),0)</f>
        <v>0</v>
      </c>
      <c r="V4018" s="71">
        <f>IFERROR(IF(AND(H4018&gt;=INDEX(PEMAGANG!$J$3:$J$36,MATCH(B4018,PEMAGANG!$C$3:$C$36,0)),H4018&lt;=INDEX(PEMAGANG!$K$3:$K$36,MATCH(B4018,PEMAGANG!$C$3:$C$36,0))),1,0),0)</f>
        <v>1</v>
      </c>
      <c r="W4018" s="71">
        <f t="shared" si="566"/>
        <v>0</v>
      </c>
    </row>
    <row r="4019" spans="1:23" x14ac:dyDescent="0.2">
      <c r="A4019" s="71" t="s">
        <v>200</v>
      </c>
      <c r="B4019" s="71" t="s">
        <v>201</v>
      </c>
      <c r="C4019" s="71" t="s">
        <v>187</v>
      </c>
      <c r="D4019" s="71" t="s">
        <v>185</v>
      </c>
      <c r="E4019" s="71" t="s">
        <v>47</v>
      </c>
      <c r="F4019" s="71" t="s">
        <v>298</v>
      </c>
      <c r="G4019" s="88">
        <v>46261.311851851897</v>
      </c>
      <c r="H4019" s="89">
        <v>46261</v>
      </c>
      <c r="I4019" s="71" t="s">
        <v>365</v>
      </c>
      <c r="J4019" s="71">
        <v>-31</v>
      </c>
      <c r="K4019" s="71" t="s">
        <v>302</v>
      </c>
      <c r="L4019" s="71">
        <f t="shared" si="558"/>
        <v>8</v>
      </c>
      <c r="M4019" s="71" t="str">
        <f>IFERROR(INDEX(KALENDER!$D$3:$D$132,MATCH(H4019,KALENDER!$A$3:$A$132,0)),"Di luar periode")</f>
        <v>Hari Kerja</v>
      </c>
      <c r="N4019" s="71">
        <f t="shared" si="559"/>
        <v>1</v>
      </c>
      <c r="O4019" s="71">
        <f t="shared" si="560"/>
        <v>1</v>
      </c>
      <c r="P4019" s="71">
        <f t="shared" si="561"/>
        <v>1</v>
      </c>
      <c r="Q4019" s="71">
        <f t="shared" si="562"/>
        <v>0</v>
      </c>
      <c r="R4019" s="71">
        <f t="shared" si="563"/>
        <v>0</v>
      </c>
      <c r="S4019" s="71">
        <f t="shared" si="564"/>
        <v>0</v>
      </c>
      <c r="T4019" s="71">
        <f t="shared" si="565"/>
        <v>0</v>
      </c>
      <c r="U4019" s="71">
        <f>IF(AND(N4019=1,V4019=1),IF(COUNTIFS(AKTIVITAS!$B$2:$B$3052,B4019,AKTIVITAS!$E$2:$E$3052,H4019)&gt;0,1,0),0)</f>
        <v>0</v>
      </c>
      <c r="V4019" s="71">
        <f>IFERROR(IF(AND(H4019&gt;=INDEX(PEMAGANG!$J$3:$J$36,MATCH(B4019,PEMAGANG!$C$3:$C$36,0)),H4019&lt;=INDEX(PEMAGANG!$K$3:$K$36,MATCH(B4019,PEMAGANG!$C$3:$C$36,0))),1,0),0)</f>
        <v>1</v>
      </c>
      <c r="W4019" s="71">
        <f t="shared" si="566"/>
        <v>1</v>
      </c>
    </row>
    <row r="4020" spans="1:23" x14ac:dyDescent="0.2">
      <c r="A4020" s="71" t="s">
        <v>200</v>
      </c>
      <c r="B4020" s="71" t="s">
        <v>201</v>
      </c>
      <c r="C4020" s="71" t="s">
        <v>187</v>
      </c>
      <c r="D4020" s="71" t="s">
        <v>185</v>
      </c>
      <c r="E4020" s="71" t="s">
        <v>47</v>
      </c>
      <c r="F4020" s="71" t="s">
        <v>300</v>
      </c>
      <c r="G4020" s="88">
        <v>46261.736828703702</v>
      </c>
      <c r="H4020" s="89">
        <v>46261</v>
      </c>
      <c r="I4020" s="71" t="s">
        <v>454</v>
      </c>
      <c r="J4020" s="71">
        <v>0</v>
      </c>
      <c r="K4020" s="71" t="s">
        <v>302</v>
      </c>
      <c r="L4020" s="71">
        <f t="shared" si="558"/>
        <v>8</v>
      </c>
      <c r="M4020" s="71" t="str">
        <f>IFERROR(INDEX(KALENDER!$D$3:$D$132,MATCH(H4020,KALENDER!$A$3:$A$132,0)),"Di luar periode")</f>
        <v>Hari Kerja</v>
      </c>
      <c r="N4020" s="71">
        <f t="shared" si="559"/>
        <v>0</v>
      </c>
      <c r="O4020" s="71">
        <f t="shared" si="560"/>
        <v>1</v>
      </c>
      <c r="P4020" s="71">
        <f t="shared" si="561"/>
        <v>0</v>
      </c>
      <c r="Q4020" s="71">
        <f t="shared" si="562"/>
        <v>0</v>
      </c>
      <c r="R4020" s="71">
        <f t="shared" si="563"/>
        <v>0</v>
      </c>
      <c r="S4020" s="71">
        <f t="shared" si="564"/>
        <v>0</v>
      </c>
      <c r="T4020" s="71">
        <f t="shared" si="565"/>
        <v>0</v>
      </c>
      <c r="U4020" s="71">
        <f>IF(AND(N4020=1,V4020=1),IF(COUNTIFS(AKTIVITAS!$B$2:$B$3052,B4020,AKTIVITAS!$E$2:$E$3052,H4020)&gt;0,1,0),0)</f>
        <v>0</v>
      </c>
      <c r="V4020" s="71">
        <f>IFERROR(IF(AND(H4020&gt;=INDEX(PEMAGANG!$J$3:$J$36,MATCH(B4020,PEMAGANG!$C$3:$C$36,0)),H4020&lt;=INDEX(PEMAGANG!$K$3:$K$36,MATCH(B4020,PEMAGANG!$C$3:$C$36,0))),1,0),0)</f>
        <v>1</v>
      </c>
      <c r="W4020" s="71">
        <f t="shared" si="566"/>
        <v>0</v>
      </c>
    </row>
    <row r="4021" spans="1:23" x14ac:dyDescent="0.2">
      <c r="A4021" s="71" t="s">
        <v>200</v>
      </c>
      <c r="B4021" s="71" t="s">
        <v>201</v>
      </c>
      <c r="C4021" s="71" t="s">
        <v>187</v>
      </c>
      <c r="D4021" s="71" t="s">
        <v>185</v>
      </c>
      <c r="E4021" s="71" t="s">
        <v>47</v>
      </c>
      <c r="F4021" s="71" t="s">
        <v>298</v>
      </c>
      <c r="G4021" s="88">
        <v>46262.312569444497</v>
      </c>
      <c r="H4021" s="89">
        <v>46262</v>
      </c>
      <c r="I4021" s="71" t="s">
        <v>335</v>
      </c>
      <c r="J4021" s="71">
        <v>-30</v>
      </c>
      <c r="K4021" s="71" t="s">
        <v>302</v>
      </c>
      <c r="L4021" s="71">
        <f t="shared" si="558"/>
        <v>8</v>
      </c>
      <c r="M4021" s="71" t="str">
        <f>IFERROR(INDEX(KALENDER!$D$3:$D$132,MATCH(H4021,KALENDER!$A$3:$A$132,0)),"Di luar periode")</f>
        <v>Hari Kerja</v>
      </c>
      <c r="N4021" s="71">
        <f t="shared" si="559"/>
        <v>1</v>
      </c>
      <c r="O4021" s="71">
        <f t="shared" si="560"/>
        <v>1</v>
      </c>
      <c r="P4021" s="71">
        <f t="shared" si="561"/>
        <v>1</v>
      </c>
      <c r="Q4021" s="71">
        <f t="shared" si="562"/>
        <v>0</v>
      </c>
      <c r="R4021" s="71">
        <f t="shared" si="563"/>
        <v>0</v>
      </c>
      <c r="S4021" s="71">
        <f t="shared" si="564"/>
        <v>0</v>
      </c>
      <c r="T4021" s="71">
        <f t="shared" si="565"/>
        <v>0</v>
      </c>
      <c r="U4021" s="71">
        <f>IF(AND(N4021=1,V4021=1),IF(COUNTIFS(AKTIVITAS!$B$2:$B$3052,B4021,AKTIVITAS!$E$2:$E$3052,H4021)&gt;0,1,0),0)</f>
        <v>1</v>
      </c>
      <c r="V4021" s="71">
        <f>IFERROR(IF(AND(H4021&gt;=INDEX(PEMAGANG!$J$3:$J$36,MATCH(B4021,PEMAGANG!$C$3:$C$36,0)),H4021&lt;=INDEX(PEMAGANG!$K$3:$K$36,MATCH(B4021,PEMAGANG!$C$3:$C$36,0))),1,0),0)</f>
        <v>1</v>
      </c>
      <c r="W4021" s="71">
        <f t="shared" si="566"/>
        <v>1</v>
      </c>
    </row>
    <row r="4022" spans="1:23" x14ac:dyDescent="0.2">
      <c r="A4022" s="71" t="s">
        <v>200</v>
      </c>
      <c r="B4022" s="71" t="s">
        <v>201</v>
      </c>
      <c r="C4022" s="71" t="s">
        <v>187</v>
      </c>
      <c r="D4022" s="71" t="s">
        <v>185</v>
      </c>
      <c r="E4022" s="71" t="s">
        <v>47</v>
      </c>
      <c r="F4022" s="71" t="s">
        <v>300</v>
      </c>
      <c r="G4022" s="88">
        <v>46262.745000000003</v>
      </c>
      <c r="H4022" s="89">
        <v>46262</v>
      </c>
      <c r="I4022" s="71" t="s">
        <v>406</v>
      </c>
      <c r="J4022" s="71">
        <v>0</v>
      </c>
      <c r="K4022" s="71" t="s">
        <v>302</v>
      </c>
      <c r="L4022" s="71">
        <f t="shared" si="558"/>
        <v>8</v>
      </c>
      <c r="M4022" s="71" t="str">
        <f>IFERROR(INDEX(KALENDER!$D$3:$D$132,MATCH(H4022,KALENDER!$A$3:$A$132,0)),"Di luar periode")</f>
        <v>Hari Kerja</v>
      </c>
      <c r="N4022" s="71">
        <f t="shared" si="559"/>
        <v>0</v>
      </c>
      <c r="O4022" s="71">
        <f t="shared" si="560"/>
        <v>1</v>
      </c>
      <c r="P4022" s="71">
        <f t="shared" si="561"/>
        <v>0</v>
      </c>
      <c r="Q4022" s="71">
        <f t="shared" si="562"/>
        <v>0</v>
      </c>
      <c r="R4022" s="71">
        <f t="shared" si="563"/>
        <v>0</v>
      </c>
      <c r="S4022" s="71">
        <f t="shared" si="564"/>
        <v>0</v>
      </c>
      <c r="T4022" s="71">
        <f t="shared" si="565"/>
        <v>0</v>
      </c>
      <c r="U4022" s="71">
        <f>IF(AND(N4022=1,V4022=1),IF(COUNTIFS(AKTIVITAS!$B$2:$B$3052,B4022,AKTIVITAS!$E$2:$E$3052,H4022)&gt;0,1,0),0)</f>
        <v>0</v>
      </c>
      <c r="V4022" s="71">
        <f>IFERROR(IF(AND(H4022&gt;=INDEX(PEMAGANG!$J$3:$J$36,MATCH(B4022,PEMAGANG!$C$3:$C$36,0)),H4022&lt;=INDEX(PEMAGANG!$K$3:$K$36,MATCH(B4022,PEMAGANG!$C$3:$C$36,0))),1,0),0)</f>
        <v>1</v>
      </c>
      <c r="W4022" s="71">
        <f t="shared" si="566"/>
        <v>0</v>
      </c>
    </row>
    <row r="4023" spans="1:23" x14ac:dyDescent="0.2">
      <c r="A4023" s="71" t="s">
        <v>200</v>
      </c>
      <c r="B4023" s="71" t="s">
        <v>201</v>
      </c>
      <c r="C4023" s="71" t="s">
        <v>187</v>
      </c>
      <c r="D4023" s="71" t="s">
        <v>185</v>
      </c>
      <c r="E4023" s="71" t="s">
        <v>47</v>
      </c>
      <c r="F4023" s="71" t="s">
        <v>298</v>
      </c>
      <c r="G4023" s="88">
        <v>46265.337025462999</v>
      </c>
      <c r="H4023" s="89">
        <v>46265</v>
      </c>
      <c r="I4023" s="71" t="s">
        <v>762</v>
      </c>
      <c r="J4023" s="71">
        <v>5.0000000000000604</v>
      </c>
      <c r="K4023" s="71" t="s">
        <v>293</v>
      </c>
      <c r="L4023" s="71">
        <f t="shared" si="558"/>
        <v>8</v>
      </c>
      <c r="M4023" s="71" t="str">
        <f>IFERROR(INDEX(KALENDER!$D$3:$D$132,MATCH(H4023,KALENDER!$A$3:$A$132,0)),"Di luar periode")</f>
        <v>Hari Kerja</v>
      </c>
      <c r="N4023" s="71">
        <f t="shared" si="559"/>
        <v>1</v>
      </c>
      <c r="O4023" s="71">
        <f t="shared" si="560"/>
        <v>1</v>
      </c>
      <c r="P4023" s="71">
        <f t="shared" si="561"/>
        <v>1</v>
      </c>
      <c r="Q4023" s="71">
        <f t="shared" si="562"/>
        <v>0</v>
      </c>
      <c r="R4023" s="71">
        <f t="shared" si="563"/>
        <v>1</v>
      </c>
      <c r="S4023" s="71">
        <f t="shared" si="564"/>
        <v>5.0000000000000604</v>
      </c>
      <c r="T4023" s="71">
        <f t="shared" si="565"/>
        <v>0</v>
      </c>
      <c r="U4023" s="71">
        <f>IF(AND(N4023=1,V4023=1),IF(COUNTIFS(AKTIVITAS!$B$2:$B$3052,B4023,AKTIVITAS!$E$2:$E$3052,H4023)&gt;0,1,0),0)</f>
        <v>1</v>
      </c>
      <c r="V4023" s="71">
        <f>IFERROR(IF(AND(H4023&gt;=INDEX(PEMAGANG!$J$3:$J$36,MATCH(B4023,PEMAGANG!$C$3:$C$36,0)),H4023&lt;=INDEX(PEMAGANG!$K$3:$K$36,MATCH(B4023,PEMAGANG!$C$3:$C$36,0))),1,0),0)</f>
        <v>1</v>
      </c>
      <c r="W4023" s="71">
        <f t="shared" si="566"/>
        <v>1</v>
      </c>
    </row>
    <row r="4024" spans="1:23" x14ac:dyDescent="0.2">
      <c r="A4024" s="71" t="s">
        <v>200</v>
      </c>
      <c r="B4024" s="71" t="s">
        <v>201</v>
      </c>
      <c r="C4024" s="71" t="s">
        <v>187</v>
      </c>
      <c r="D4024" s="71" t="s">
        <v>185</v>
      </c>
      <c r="E4024" s="71" t="s">
        <v>47</v>
      </c>
      <c r="F4024" s="71" t="s">
        <v>300</v>
      </c>
      <c r="G4024" s="88">
        <v>46265.696145833303</v>
      </c>
      <c r="H4024" s="89">
        <v>46265</v>
      </c>
      <c r="I4024" s="71" t="s">
        <v>320</v>
      </c>
      <c r="J4024" s="71">
        <v>0</v>
      </c>
      <c r="K4024" s="71" t="s">
        <v>302</v>
      </c>
      <c r="L4024" s="71">
        <f t="shared" si="558"/>
        <v>8</v>
      </c>
      <c r="M4024" s="71" t="str">
        <f>IFERROR(INDEX(KALENDER!$D$3:$D$132,MATCH(H4024,KALENDER!$A$3:$A$132,0)),"Di luar periode")</f>
        <v>Hari Kerja</v>
      </c>
      <c r="N4024" s="71">
        <f t="shared" si="559"/>
        <v>0</v>
      </c>
      <c r="O4024" s="71">
        <f t="shared" si="560"/>
        <v>1</v>
      </c>
      <c r="P4024" s="71">
        <f t="shared" si="561"/>
        <v>0</v>
      </c>
      <c r="Q4024" s="71">
        <f t="shared" si="562"/>
        <v>0</v>
      </c>
      <c r="R4024" s="71">
        <f t="shared" si="563"/>
        <v>0</v>
      </c>
      <c r="S4024" s="71">
        <f t="shared" si="564"/>
        <v>0</v>
      </c>
      <c r="T4024" s="71">
        <f t="shared" si="565"/>
        <v>0</v>
      </c>
      <c r="U4024" s="71">
        <f>IF(AND(N4024=1,V4024=1),IF(COUNTIFS(AKTIVITAS!$B$2:$B$3052,B4024,AKTIVITAS!$E$2:$E$3052,H4024)&gt;0,1,0),0)</f>
        <v>0</v>
      </c>
      <c r="V4024" s="71">
        <f>IFERROR(IF(AND(H4024&gt;=INDEX(PEMAGANG!$J$3:$J$36,MATCH(B4024,PEMAGANG!$C$3:$C$36,0)),H4024&lt;=INDEX(PEMAGANG!$K$3:$K$36,MATCH(B4024,PEMAGANG!$C$3:$C$36,0))),1,0),0)</f>
        <v>1</v>
      </c>
      <c r="W4024" s="71">
        <f t="shared" si="566"/>
        <v>0</v>
      </c>
    </row>
    <row r="4025" spans="1:23" x14ac:dyDescent="0.2">
      <c r="A4025" s="71" t="s">
        <v>200</v>
      </c>
      <c r="B4025" s="71" t="s">
        <v>201</v>
      </c>
      <c r="C4025" s="71" t="s">
        <v>187</v>
      </c>
      <c r="D4025" s="71" t="s">
        <v>185</v>
      </c>
      <c r="E4025" s="71" t="s">
        <v>47</v>
      </c>
      <c r="F4025" s="71" t="s">
        <v>298</v>
      </c>
      <c r="G4025" s="88">
        <v>46266.315219907403</v>
      </c>
      <c r="H4025" s="89">
        <v>46266</v>
      </c>
      <c r="I4025" s="71" t="s">
        <v>383</v>
      </c>
      <c r="J4025" s="71">
        <v>-27</v>
      </c>
      <c r="K4025" s="71" t="s">
        <v>302</v>
      </c>
      <c r="L4025" s="71">
        <f t="shared" si="558"/>
        <v>9</v>
      </c>
      <c r="M4025" s="71" t="str">
        <f>IFERROR(INDEX(KALENDER!$D$3:$D$132,MATCH(H4025,KALENDER!$A$3:$A$132,0)),"Di luar periode")</f>
        <v>Hari Kerja</v>
      </c>
      <c r="N4025" s="71">
        <f t="shared" si="559"/>
        <v>1</v>
      </c>
      <c r="O4025" s="71">
        <f t="shared" si="560"/>
        <v>1</v>
      </c>
      <c r="P4025" s="71">
        <f t="shared" si="561"/>
        <v>1</v>
      </c>
      <c r="Q4025" s="71">
        <f t="shared" si="562"/>
        <v>0</v>
      </c>
      <c r="R4025" s="71">
        <f t="shared" si="563"/>
        <v>0</v>
      </c>
      <c r="S4025" s="71">
        <f t="shared" si="564"/>
        <v>0</v>
      </c>
      <c r="T4025" s="71">
        <f t="shared" si="565"/>
        <v>0</v>
      </c>
      <c r="U4025" s="71">
        <f>IF(AND(N4025=1,V4025=1),IF(COUNTIFS(AKTIVITAS!$B$2:$B$3052,B4025,AKTIVITAS!$E$2:$E$3052,H4025)&gt;0,1,0),0)</f>
        <v>1</v>
      </c>
      <c r="V4025" s="71">
        <f>IFERROR(IF(AND(H4025&gt;=INDEX(PEMAGANG!$J$3:$J$36,MATCH(B4025,PEMAGANG!$C$3:$C$36,0)),H4025&lt;=INDEX(PEMAGANG!$K$3:$K$36,MATCH(B4025,PEMAGANG!$C$3:$C$36,0))),1,0),0)</f>
        <v>1</v>
      </c>
      <c r="W4025" s="71">
        <f t="shared" si="566"/>
        <v>1</v>
      </c>
    </row>
    <row r="4026" spans="1:23" x14ac:dyDescent="0.2">
      <c r="A4026" s="71" t="s">
        <v>200</v>
      </c>
      <c r="B4026" s="71" t="s">
        <v>201</v>
      </c>
      <c r="C4026" s="71" t="s">
        <v>187</v>
      </c>
      <c r="D4026" s="71" t="s">
        <v>185</v>
      </c>
      <c r="E4026" s="71" t="s">
        <v>47</v>
      </c>
      <c r="F4026" s="71" t="s">
        <v>300</v>
      </c>
      <c r="G4026" s="88">
        <v>46266.736979166701</v>
      </c>
      <c r="H4026" s="89">
        <v>46266</v>
      </c>
      <c r="I4026" s="71" t="s">
        <v>454</v>
      </c>
      <c r="J4026" s="71">
        <v>0</v>
      </c>
      <c r="K4026" s="71" t="s">
        <v>302</v>
      </c>
      <c r="L4026" s="71">
        <f t="shared" si="558"/>
        <v>9</v>
      </c>
      <c r="M4026" s="71" t="str">
        <f>IFERROR(INDEX(KALENDER!$D$3:$D$132,MATCH(H4026,KALENDER!$A$3:$A$132,0)),"Di luar periode")</f>
        <v>Hari Kerja</v>
      </c>
      <c r="N4026" s="71">
        <f t="shared" si="559"/>
        <v>0</v>
      </c>
      <c r="O4026" s="71">
        <f t="shared" si="560"/>
        <v>1</v>
      </c>
      <c r="P4026" s="71">
        <f t="shared" si="561"/>
        <v>0</v>
      </c>
      <c r="Q4026" s="71">
        <f t="shared" si="562"/>
        <v>0</v>
      </c>
      <c r="R4026" s="71">
        <f t="shared" si="563"/>
        <v>0</v>
      </c>
      <c r="S4026" s="71">
        <f t="shared" si="564"/>
        <v>0</v>
      </c>
      <c r="T4026" s="71">
        <f t="shared" si="565"/>
        <v>0</v>
      </c>
      <c r="U4026" s="71">
        <f>IF(AND(N4026=1,V4026=1),IF(COUNTIFS(AKTIVITAS!$B$2:$B$3052,B4026,AKTIVITAS!$E$2:$E$3052,H4026)&gt;0,1,0),0)</f>
        <v>0</v>
      </c>
      <c r="V4026" s="71">
        <f>IFERROR(IF(AND(H4026&gt;=INDEX(PEMAGANG!$J$3:$J$36,MATCH(B4026,PEMAGANG!$C$3:$C$36,0)),H4026&lt;=INDEX(PEMAGANG!$K$3:$K$36,MATCH(B4026,PEMAGANG!$C$3:$C$36,0))),1,0),0)</f>
        <v>1</v>
      </c>
      <c r="W4026" s="71">
        <f t="shared" si="566"/>
        <v>0</v>
      </c>
    </row>
    <row r="4027" spans="1:23" x14ac:dyDescent="0.2">
      <c r="A4027" s="71" t="s">
        <v>200</v>
      </c>
      <c r="B4027" s="71" t="s">
        <v>201</v>
      </c>
      <c r="C4027" s="71" t="s">
        <v>187</v>
      </c>
      <c r="D4027" s="71" t="s">
        <v>185</v>
      </c>
      <c r="E4027" s="71" t="s">
        <v>47</v>
      </c>
      <c r="F4027" s="71" t="s">
        <v>298</v>
      </c>
      <c r="G4027" s="88">
        <v>46267.311261574097</v>
      </c>
      <c r="H4027" s="89">
        <v>46267</v>
      </c>
      <c r="I4027" s="71" t="s">
        <v>377</v>
      </c>
      <c r="J4027" s="71">
        <v>-32</v>
      </c>
      <c r="K4027" s="71" t="s">
        <v>302</v>
      </c>
      <c r="L4027" s="71">
        <f t="shared" si="558"/>
        <v>9</v>
      </c>
      <c r="M4027" s="71" t="str">
        <f>IFERROR(INDEX(KALENDER!$D$3:$D$132,MATCH(H4027,KALENDER!$A$3:$A$132,0)),"Di luar periode")</f>
        <v>Hari Kerja</v>
      </c>
      <c r="N4027" s="71">
        <f t="shared" si="559"/>
        <v>1</v>
      </c>
      <c r="O4027" s="71">
        <f t="shared" si="560"/>
        <v>1</v>
      </c>
      <c r="P4027" s="71">
        <f t="shared" si="561"/>
        <v>1</v>
      </c>
      <c r="Q4027" s="71">
        <f t="shared" si="562"/>
        <v>0</v>
      </c>
      <c r="R4027" s="71">
        <f t="shared" si="563"/>
        <v>0</v>
      </c>
      <c r="S4027" s="71">
        <f t="shared" si="564"/>
        <v>0</v>
      </c>
      <c r="T4027" s="71">
        <f t="shared" si="565"/>
        <v>0</v>
      </c>
      <c r="U4027" s="71">
        <f>IF(AND(N4027=1,V4027=1),IF(COUNTIFS(AKTIVITAS!$B$2:$B$3052,B4027,AKTIVITAS!$E$2:$E$3052,H4027)&gt;0,1,0),0)</f>
        <v>1</v>
      </c>
      <c r="V4027" s="71">
        <f>IFERROR(IF(AND(H4027&gt;=INDEX(PEMAGANG!$J$3:$J$36,MATCH(B4027,PEMAGANG!$C$3:$C$36,0)),H4027&lt;=INDEX(PEMAGANG!$K$3:$K$36,MATCH(B4027,PEMAGANG!$C$3:$C$36,0))),1,0),0)</f>
        <v>1</v>
      </c>
      <c r="W4027" s="71">
        <f t="shared" si="566"/>
        <v>1</v>
      </c>
    </row>
    <row r="4028" spans="1:23" x14ac:dyDescent="0.2">
      <c r="A4028" s="71" t="s">
        <v>200</v>
      </c>
      <c r="B4028" s="71" t="s">
        <v>201</v>
      </c>
      <c r="C4028" s="71" t="s">
        <v>187</v>
      </c>
      <c r="D4028" s="71" t="s">
        <v>185</v>
      </c>
      <c r="E4028" s="71" t="s">
        <v>47</v>
      </c>
      <c r="F4028" s="71" t="s">
        <v>300</v>
      </c>
      <c r="G4028" s="88">
        <v>46267.705497685201</v>
      </c>
      <c r="H4028" s="89">
        <v>46267</v>
      </c>
      <c r="I4028" s="71" t="s">
        <v>585</v>
      </c>
      <c r="J4028" s="71">
        <v>0</v>
      </c>
      <c r="K4028" s="71" t="s">
        <v>302</v>
      </c>
      <c r="L4028" s="71">
        <f t="shared" si="558"/>
        <v>9</v>
      </c>
      <c r="M4028" s="71" t="str">
        <f>IFERROR(INDEX(KALENDER!$D$3:$D$132,MATCH(H4028,KALENDER!$A$3:$A$132,0)),"Di luar periode")</f>
        <v>Hari Kerja</v>
      </c>
      <c r="N4028" s="71">
        <f t="shared" si="559"/>
        <v>0</v>
      </c>
      <c r="O4028" s="71">
        <f t="shared" si="560"/>
        <v>1</v>
      </c>
      <c r="P4028" s="71">
        <f t="shared" si="561"/>
        <v>0</v>
      </c>
      <c r="Q4028" s="71">
        <f t="shared" si="562"/>
        <v>0</v>
      </c>
      <c r="R4028" s="71">
        <f t="shared" si="563"/>
        <v>0</v>
      </c>
      <c r="S4028" s="71">
        <f t="shared" si="564"/>
        <v>0</v>
      </c>
      <c r="T4028" s="71">
        <f t="shared" si="565"/>
        <v>0</v>
      </c>
      <c r="U4028" s="71">
        <f>IF(AND(N4028=1,V4028=1),IF(COUNTIFS(AKTIVITAS!$B$2:$B$3052,B4028,AKTIVITAS!$E$2:$E$3052,H4028)&gt;0,1,0),0)</f>
        <v>0</v>
      </c>
      <c r="V4028" s="71">
        <f>IFERROR(IF(AND(H4028&gt;=INDEX(PEMAGANG!$J$3:$J$36,MATCH(B4028,PEMAGANG!$C$3:$C$36,0)),H4028&lt;=INDEX(PEMAGANG!$K$3:$K$36,MATCH(B4028,PEMAGANG!$C$3:$C$36,0))),1,0),0)</f>
        <v>1</v>
      </c>
      <c r="W4028" s="71">
        <f t="shared" si="566"/>
        <v>0</v>
      </c>
    </row>
    <row r="4029" spans="1:23" x14ac:dyDescent="0.2">
      <c r="A4029" s="71" t="s">
        <v>200</v>
      </c>
      <c r="B4029" s="71" t="s">
        <v>201</v>
      </c>
      <c r="C4029" s="71" t="s">
        <v>187</v>
      </c>
      <c r="D4029" s="71" t="s">
        <v>185</v>
      </c>
      <c r="E4029" s="71" t="s">
        <v>47</v>
      </c>
      <c r="F4029" s="71" t="s">
        <v>300</v>
      </c>
      <c r="G4029" s="88">
        <v>46269.718877314801</v>
      </c>
      <c r="H4029" s="89">
        <v>46269</v>
      </c>
      <c r="I4029" s="71" t="s">
        <v>399</v>
      </c>
      <c r="J4029" s="71">
        <v>0</v>
      </c>
      <c r="K4029" s="71" t="s">
        <v>302</v>
      </c>
      <c r="L4029" s="71">
        <f t="shared" si="558"/>
        <v>9</v>
      </c>
      <c r="M4029" s="71" t="str">
        <f>IFERROR(INDEX(KALENDER!$D$3:$D$132,MATCH(H4029,KALENDER!$A$3:$A$132,0)),"Di luar periode")</f>
        <v>Hari Kerja</v>
      </c>
      <c r="N4029" s="71">
        <f t="shared" si="559"/>
        <v>1</v>
      </c>
      <c r="O4029" s="71">
        <f t="shared" si="560"/>
        <v>0</v>
      </c>
      <c r="P4029" s="71">
        <f t="shared" si="561"/>
        <v>1</v>
      </c>
      <c r="Q4029" s="71">
        <f t="shared" si="562"/>
        <v>0</v>
      </c>
      <c r="R4029" s="71">
        <f t="shared" si="563"/>
        <v>0</v>
      </c>
      <c r="S4029" s="71">
        <f t="shared" si="564"/>
        <v>0</v>
      </c>
      <c r="T4029" s="71">
        <f t="shared" si="565"/>
        <v>0</v>
      </c>
      <c r="U4029" s="71">
        <f>IF(AND(N4029=1,V4029=1),IF(COUNTIFS(AKTIVITAS!$B$2:$B$3052,B4029,AKTIVITAS!$E$2:$E$3052,H4029)&gt;0,1,0),0)</f>
        <v>1</v>
      </c>
      <c r="V4029" s="71">
        <f>IFERROR(IF(AND(H4029&gt;=INDEX(PEMAGANG!$J$3:$J$36,MATCH(B4029,PEMAGANG!$C$3:$C$36,0)),H4029&lt;=INDEX(PEMAGANG!$K$3:$K$36,MATCH(B4029,PEMAGANG!$C$3:$C$36,0))),1,0),0)</f>
        <v>1</v>
      </c>
      <c r="W4029" s="71">
        <f t="shared" si="566"/>
        <v>1</v>
      </c>
    </row>
    <row r="4030" spans="1:23" x14ac:dyDescent="0.2">
      <c r="A4030" s="71" t="s">
        <v>200</v>
      </c>
      <c r="B4030" s="71" t="s">
        <v>201</v>
      </c>
      <c r="C4030" s="71" t="s">
        <v>187</v>
      </c>
      <c r="D4030" s="71" t="s">
        <v>185</v>
      </c>
      <c r="E4030" s="71" t="s">
        <v>47</v>
      </c>
      <c r="F4030" s="71" t="s">
        <v>298</v>
      </c>
      <c r="G4030" s="88">
        <v>46272.5994907407</v>
      </c>
      <c r="H4030" s="89">
        <v>46272</v>
      </c>
      <c r="I4030" s="71" t="s">
        <v>763</v>
      </c>
      <c r="J4030" s="71">
        <v>383</v>
      </c>
      <c r="K4030" s="71" t="s">
        <v>293</v>
      </c>
      <c r="L4030" s="71">
        <f t="shared" si="558"/>
        <v>9</v>
      </c>
      <c r="M4030" s="71" t="str">
        <f>IFERROR(INDEX(KALENDER!$D$3:$D$132,MATCH(H4030,KALENDER!$A$3:$A$132,0)),"Di luar periode")</f>
        <v>Hari Kerja</v>
      </c>
      <c r="N4030" s="71">
        <f t="shared" si="559"/>
        <v>1</v>
      </c>
      <c r="O4030" s="71">
        <f t="shared" si="560"/>
        <v>1</v>
      </c>
      <c r="P4030" s="71">
        <f t="shared" si="561"/>
        <v>1</v>
      </c>
      <c r="Q4030" s="71">
        <f t="shared" si="562"/>
        <v>0</v>
      </c>
      <c r="R4030" s="71">
        <f t="shared" si="563"/>
        <v>1</v>
      </c>
      <c r="S4030" s="71">
        <f t="shared" si="564"/>
        <v>383</v>
      </c>
      <c r="T4030" s="71">
        <f t="shared" si="565"/>
        <v>0</v>
      </c>
      <c r="U4030" s="71">
        <f>IF(AND(N4030=1,V4030=1),IF(COUNTIFS(AKTIVITAS!$B$2:$B$3052,B4030,AKTIVITAS!$E$2:$E$3052,H4030)&gt;0,1,0),0)</f>
        <v>1</v>
      </c>
      <c r="V4030" s="71">
        <f>IFERROR(IF(AND(H4030&gt;=INDEX(PEMAGANG!$J$3:$J$36,MATCH(B4030,PEMAGANG!$C$3:$C$36,0)),H4030&lt;=INDEX(PEMAGANG!$K$3:$K$36,MATCH(B4030,PEMAGANG!$C$3:$C$36,0))),1,0),0)</f>
        <v>1</v>
      </c>
      <c r="W4030" s="71">
        <f t="shared" si="566"/>
        <v>1</v>
      </c>
    </row>
    <row r="4031" spans="1:23" x14ac:dyDescent="0.2">
      <c r="A4031" s="71" t="s">
        <v>200</v>
      </c>
      <c r="B4031" s="71" t="s">
        <v>201</v>
      </c>
      <c r="C4031" s="71" t="s">
        <v>187</v>
      </c>
      <c r="D4031" s="71" t="s">
        <v>185</v>
      </c>
      <c r="E4031" s="71" t="s">
        <v>47</v>
      </c>
      <c r="F4031" s="71" t="s">
        <v>300</v>
      </c>
      <c r="G4031" s="88">
        <v>46272.693865740701</v>
      </c>
      <c r="H4031" s="89">
        <v>46272</v>
      </c>
      <c r="I4031" s="71" t="s">
        <v>308</v>
      </c>
      <c r="J4031" s="71">
        <v>0</v>
      </c>
      <c r="K4031" s="71" t="s">
        <v>302</v>
      </c>
      <c r="L4031" s="71">
        <f t="shared" si="558"/>
        <v>9</v>
      </c>
      <c r="M4031" s="71" t="str">
        <f>IFERROR(INDEX(KALENDER!$D$3:$D$132,MATCH(H4031,KALENDER!$A$3:$A$132,0)),"Di luar periode")</f>
        <v>Hari Kerja</v>
      </c>
      <c r="N4031" s="71">
        <f t="shared" si="559"/>
        <v>0</v>
      </c>
      <c r="O4031" s="71">
        <f t="shared" si="560"/>
        <v>1</v>
      </c>
      <c r="P4031" s="71">
        <f t="shared" si="561"/>
        <v>0</v>
      </c>
      <c r="Q4031" s="71">
        <f t="shared" si="562"/>
        <v>0</v>
      </c>
      <c r="R4031" s="71">
        <f t="shared" si="563"/>
        <v>0</v>
      </c>
      <c r="S4031" s="71">
        <f t="shared" si="564"/>
        <v>0</v>
      </c>
      <c r="T4031" s="71">
        <f t="shared" si="565"/>
        <v>0</v>
      </c>
      <c r="U4031" s="71">
        <f>IF(AND(N4031=1,V4031=1),IF(COUNTIFS(AKTIVITAS!$B$2:$B$3052,B4031,AKTIVITAS!$E$2:$E$3052,H4031)&gt;0,1,0),0)</f>
        <v>0</v>
      </c>
      <c r="V4031" s="71">
        <f>IFERROR(IF(AND(H4031&gt;=INDEX(PEMAGANG!$J$3:$J$36,MATCH(B4031,PEMAGANG!$C$3:$C$36,0)),H4031&lt;=INDEX(PEMAGANG!$K$3:$K$36,MATCH(B4031,PEMAGANG!$C$3:$C$36,0))),1,0),0)</f>
        <v>1</v>
      </c>
      <c r="W4031" s="71">
        <f t="shared" si="566"/>
        <v>0</v>
      </c>
    </row>
    <row r="4032" spans="1:23" x14ac:dyDescent="0.2">
      <c r="A4032" s="71" t="s">
        <v>200</v>
      </c>
      <c r="B4032" s="71" t="s">
        <v>201</v>
      </c>
      <c r="C4032" s="71" t="s">
        <v>187</v>
      </c>
      <c r="D4032" s="71" t="s">
        <v>185</v>
      </c>
      <c r="E4032" s="71" t="s">
        <v>47</v>
      </c>
      <c r="F4032" s="71" t="s">
        <v>298</v>
      </c>
      <c r="G4032" s="88">
        <v>46273.317685185197</v>
      </c>
      <c r="H4032" s="89">
        <v>46273</v>
      </c>
      <c r="I4032" s="71" t="s">
        <v>386</v>
      </c>
      <c r="J4032" s="71">
        <v>-22.999999999999901</v>
      </c>
      <c r="K4032" s="71" t="s">
        <v>302</v>
      </c>
      <c r="L4032" s="71">
        <f t="shared" si="558"/>
        <v>9</v>
      </c>
      <c r="M4032" s="71" t="str">
        <f>IFERROR(INDEX(KALENDER!$D$3:$D$132,MATCH(H4032,KALENDER!$A$3:$A$132,0)),"Di luar periode")</f>
        <v>Hari Kerja</v>
      </c>
      <c r="N4032" s="71">
        <f t="shared" si="559"/>
        <v>1</v>
      </c>
      <c r="O4032" s="71">
        <f t="shared" si="560"/>
        <v>1</v>
      </c>
      <c r="P4032" s="71">
        <f t="shared" si="561"/>
        <v>1</v>
      </c>
      <c r="Q4032" s="71">
        <f t="shared" si="562"/>
        <v>0</v>
      </c>
      <c r="R4032" s="71">
        <f t="shared" si="563"/>
        <v>0</v>
      </c>
      <c r="S4032" s="71">
        <f t="shared" si="564"/>
        <v>0</v>
      </c>
      <c r="T4032" s="71">
        <f t="shared" si="565"/>
        <v>1</v>
      </c>
      <c r="U4032" s="71">
        <f>IF(AND(N4032=1,V4032=1),IF(COUNTIFS(AKTIVITAS!$B$2:$B$3052,B4032,AKTIVITAS!$E$2:$E$3052,H4032)&gt;0,1,0),0)</f>
        <v>0</v>
      </c>
      <c r="V4032" s="71">
        <f>IFERROR(IF(AND(H4032&gt;=INDEX(PEMAGANG!$J$3:$J$36,MATCH(B4032,PEMAGANG!$C$3:$C$36,0)),H4032&lt;=INDEX(PEMAGANG!$K$3:$K$36,MATCH(B4032,PEMAGANG!$C$3:$C$36,0))),1,0),0)</f>
        <v>1</v>
      </c>
      <c r="W4032" s="71">
        <f t="shared" si="566"/>
        <v>1</v>
      </c>
    </row>
    <row r="4033" spans="1:23" x14ac:dyDescent="0.2">
      <c r="A4033" s="71" t="s">
        <v>200</v>
      </c>
      <c r="B4033" s="71" t="s">
        <v>201</v>
      </c>
      <c r="C4033" s="71" t="s">
        <v>187</v>
      </c>
      <c r="D4033" s="71" t="s">
        <v>185</v>
      </c>
      <c r="E4033" s="71" t="s">
        <v>47</v>
      </c>
      <c r="F4033" s="71" t="s">
        <v>298</v>
      </c>
      <c r="G4033" s="88">
        <v>46274.305636574099</v>
      </c>
      <c r="H4033" s="89">
        <v>46274</v>
      </c>
      <c r="I4033" s="71" t="s">
        <v>329</v>
      </c>
      <c r="J4033" s="71">
        <v>-40</v>
      </c>
      <c r="K4033" s="71" t="s">
        <v>302</v>
      </c>
      <c r="L4033" s="71">
        <f t="shared" si="558"/>
        <v>9</v>
      </c>
      <c r="M4033" s="71" t="str">
        <f>IFERROR(INDEX(KALENDER!$D$3:$D$132,MATCH(H4033,KALENDER!$A$3:$A$132,0)),"Di luar periode")</f>
        <v>Hari Kerja</v>
      </c>
      <c r="N4033" s="71">
        <f t="shared" si="559"/>
        <v>1</v>
      </c>
      <c r="O4033" s="71">
        <f t="shared" si="560"/>
        <v>1</v>
      </c>
      <c r="P4033" s="71">
        <f t="shared" si="561"/>
        <v>1</v>
      </c>
      <c r="Q4033" s="71">
        <f t="shared" si="562"/>
        <v>0</v>
      </c>
      <c r="R4033" s="71">
        <f t="shared" si="563"/>
        <v>0</v>
      </c>
      <c r="S4033" s="71">
        <f t="shared" si="564"/>
        <v>0</v>
      </c>
      <c r="T4033" s="71">
        <f t="shared" si="565"/>
        <v>0</v>
      </c>
      <c r="U4033" s="71">
        <f>IF(AND(N4033=1,V4033=1),IF(COUNTIFS(AKTIVITAS!$B$2:$B$3052,B4033,AKTIVITAS!$E$2:$E$3052,H4033)&gt;0,1,0),0)</f>
        <v>1</v>
      </c>
      <c r="V4033" s="71">
        <f>IFERROR(IF(AND(H4033&gt;=INDEX(PEMAGANG!$J$3:$J$36,MATCH(B4033,PEMAGANG!$C$3:$C$36,0)),H4033&lt;=INDEX(PEMAGANG!$K$3:$K$36,MATCH(B4033,PEMAGANG!$C$3:$C$36,0))),1,0),0)</f>
        <v>1</v>
      </c>
      <c r="W4033" s="71">
        <f t="shared" si="566"/>
        <v>1</v>
      </c>
    </row>
    <row r="4034" spans="1:23" x14ac:dyDescent="0.2">
      <c r="A4034" s="71" t="s">
        <v>200</v>
      </c>
      <c r="B4034" s="71" t="s">
        <v>201</v>
      </c>
      <c r="C4034" s="71" t="s">
        <v>187</v>
      </c>
      <c r="D4034" s="71" t="s">
        <v>185</v>
      </c>
      <c r="E4034" s="71" t="s">
        <v>47</v>
      </c>
      <c r="F4034" s="71" t="s">
        <v>300</v>
      </c>
      <c r="G4034" s="88">
        <v>46274.713842592602</v>
      </c>
      <c r="H4034" s="89">
        <v>46274</v>
      </c>
      <c r="I4034" s="71" t="s">
        <v>324</v>
      </c>
      <c r="J4034" s="71">
        <v>0</v>
      </c>
      <c r="K4034" s="71" t="s">
        <v>302</v>
      </c>
      <c r="L4034" s="71">
        <f t="shared" ref="L4034:L4094" si="567">MONTH(H4034)</f>
        <v>9</v>
      </c>
      <c r="M4034" s="71" t="str">
        <f>IFERROR(INDEX(KALENDER!$D$3:$D$132,MATCH(H4034,KALENDER!$A$3:$A$132,0)),"Di luar periode")</f>
        <v>Hari Kerja</v>
      </c>
      <c r="N4034" s="71">
        <f t="shared" ref="N4034:N4094" si="568">IF(AND(B4034=B4033,H4034=H4033),0,1)</f>
        <v>0</v>
      </c>
      <c r="O4034" s="71">
        <f t="shared" ref="O4034:O4097" si="569">IF(N4034=1,0,O4033)+IF(F4034="MASUK",1,0)</f>
        <v>1</v>
      </c>
      <c r="P4034" s="71">
        <f t="shared" ref="P4034:P4094" si="570">IF(AND(N4034=1,M4034="Hari Kerja",V4034=1),1,0)</f>
        <v>0</v>
      </c>
      <c r="Q4034" s="71">
        <f t="shared" ref="Q4034:Q4094" si="571">IF(AND(N4034=1,OR(M4034&lt;&gt;"Hari Kerja",V4034=0)),1,0)</f>
        <v>0</v>
      </c>
      <c r="R4034" s="71">
        <f t="shared" ref="R4034:R4094" si="572">IF(AND(F4034="MASUK",O4034=1,N(J4034)&gt;0,V4034=1),1,0)</f>
        <v>0</v>
      </c>
      <c r="S4034" s="71">
        <f t="shared" ref="S4034:S4097" si="573">R4034*N(J4034)</f>
        <v>0</v>
      </c>
      <c r="T4034" s="71">
        <f t="shared" ref="T4034:T4094" si="574">IF(AND(N4034=1,V4034=1),IF(AND(COUNTIFS($B$2:$B$4094,B4034,$H$2:$H$4094,H4034,$F$2:$F$4094,"MASUK")&gt;0,COUNTIFS($B$2:$B$4094,B4034,$H$2:$H$4094,H4034,$F$2:$F$4094,"PULANG")=0),1,0),0)</f>
        <v>0</v>
      </c>
      <c r="U4034" s="71">
        <f>IF(AND(N4034=1,V4034=1),IF(COUNTIFS(AKTIVITAS!$B$2:$B$3052,B4034,AKTIVITAS!$E$2:$E$3052,H4034)&gt;0,1,0),0)</f>
        <v>0</v>
      </c>
      <c r="V4034" s="71">
        <f>IFERROR(IF(AND(H4034&gt;=INDEX(PEMAGANG!$J$3:$J$36,MATCH(B4034,PEMAGANG!$C$3:$C$36,0)),H4034&lt;=INDEX(PEMAGANG!$K$3:$K$36,MATCH(B4034,PEMAGANG!$C$3:$C$36,0))),1,0),0)</f>
        <v>1</v>
      </c>
      <c r="W4034" s="71">
        <f t="shared" ref="W4034:W4097" si="575">N4034*V4034</f>
        <v>0</v>
      </c>
    </row>
    <row r="4035" spans="1:23" x14ac:dyDescent="0.2">
      <c r="A4035" s="71" t="s">
        <v>200</v>
      </c>
      <c r="B4035" s="71" t="s">
        <v>201</v>
      </c>
      <c r="C4035" s="71" t="s">
        <v>187</v>
      </c>
      <c r="D4035" s="71" t="s">
        <v>185</v>
      </c>
      <c r="E4035" s="71" t="s">
        <v>47</v>
      </c>
      <c r="F4035" s="71" t="s">
        <v>298</v>
      </c>
      <c r="G4035" s="88">
        <v>46275.3210300926</v>
      </c>
      <c r="H4035" s="89">
        <v>46275</v>
      </c>
      <c r="I4035" s="71" t="s">
        <v>565</v>
      </c>
      <c r="J4035" s="71">
        <v>-17.999999999999901</v>
      </c>
      <c r="K4035" s="71" t="s">
        <v>302</v>
      </c>
      <c r="L4035" s="71">
        <f t="shared" si="567"/>
        <v>9</v>
      </c>
      <c r="M4035" s="71" t="str">
        <f>IFERROR(INDEX(KALENDER!$D$3:$D$132,MATCH(H4035,KALENDER!$A$3:$A$132,0)),"Di luar periode")</f>
        <v>Hari Kerja</v>
      </c>
      <c r="N4035" s="71">
        <f t="shared" si="568"/>
        <v>1</v>
      </c>
      <c r="O4035" s="71">
        <f t="shared" si="569"/>
        <v>1</v>
      </c>
      <c r="P4035" s="71">
        <f t="shared" si="570"/>
        <v>1</v>
      </c>
      <c r="Q4035" s="71">
        <f t="shared" si="571"/>
        <v>0</v>
      </c>
      <c r="R4035" s="71">
        <f t="shared" si="572"/>
        <v>0</v>
      </c>
      <c r="S4035" s="71">
        <f t="shared" si="573"/>
        <v>0</v>
      </c>
      <c r="T4035" s="71">
        <f t="shared" si="574"/>
        <v>0</v>
      </c>
      <c r="U4035" s="71">
        <f>IF(AND(N4035=1,V4035=1),IF(COUNTIFS(AKTIVITAS!$B$2:$B$3052,B4035,AKTIVITAS!$E$2:$E$3052,H4035)&gt;0,1,0),0)</f>
        <v>1</v>
      </c>
      <c r="V4035" s="71">
        <f>IFERROR(IF(AND(H4035&gt;=INDEX(PEMAGANG!$J$3:$J$36,MATCH(B4035,PEMAGANG!$C$3:$C$36,0)),H4035&lt;=INDEX(PEMAGANG!$K$3:$K$36,MATCH(B4035,PEMAGANG!$C$3:$C$36,0))),1,0),0)</f>
        <v>1</v>
      </c>
      <c r="W4035" s="71">
        <f t="shared" si="575"/>
        <v>1</v>
      </c>
    </row>
    <row r="4036" spans="1:23" x14ac:dyDescent="0.2">
      <c r="A4036" s="71" t="s">
        <v>200</v>
      </c>
      <c r="B4036" s="71" t="s">
        <v>201</v>
      </c>
      <c r="C4036" s="71" t="s">
        <v>187</v>
      </c>
      <c r="D4036" s="71" t="s">
        <v>185</v>
      </c>
      <c r="E4036" s="71" t="s">
        <v>47</v>
      </c>
      <c r="F4036" s="71" t="s">
        <v>298</v>
      </c>
      <c r="G4036" s="88">
        <v>46275.3210300926</v>
      </c>
      <c r="H4036" s="89">
        <v>46275</v>
      </c>
      <c r="I4036" s="71" t="s">
        <v>565</v>
      </c>
      <c r="J4036" s="71">
        <v>12</v>
      </c>
      <c r="K4036" s="71" t="s">
        <v>293</v>
      </c>
      <c r="L4036" s="71">
        <f t="shared" si="567"/>
        <v>9</v>
      </c>
      <c r="M4036" s="71" t="str">
        <f>IFERROR(INDEX(KALENDER!$D$3:$D$132,MATCH(H4036,KALENDER!$A$3:$A$132,0)),"Di luar periode")</f>
        <v>Hari Kerja</v>
      </c>
      <c r="N4036" s="71">
        <f t="shared" si="568"/>
        <v>0</v>
      </c>
      <c r="O4036" s="71">
        <f t="shared" si="569"/>
        <v>2</v>
      </c>
      <c r="P4036" s="71">
        <f t="shared" si="570"/>
        <v>0</v>
      </c>
      <c r="Q4036" s="71">
        <f t="shared" si="571"/>
        <v>0</v>
      </c>
      <c r="R4036" s="71">
        <f t="shared" si="572"/>
        <v>0</v>
      </c>
      <c r="S4036" s="71">
        <f t="shared" si="573"/>
        <v>0</v>
      </c>
      <c r="T4036" s="71">
        <f t="shared" si="574"/>
        <v>0</v>
      </c>
      <c r="U4036" s="71">
        <f>IF(AND(N4036=1,V4036=1),IF(COUNTIFS(AKTIVITAS!$B$2:$B$3052,B4036,AKTIVITAS!$E$2:$E$3052,H4036)&gt;0,1,0),0)</f>
        <v>0</v>
      </c>
      <c r="V4036" s="71">
        <f>IFERROR(IF(AND(H4036&gt;=INDEX(PEMAGANG!$J$3:$J$36,MATCH(B4036,PEMAGANG!$C$3:$C$36,0)),H4036&lt;=INDEX(PEMAGANG!$K$3:$K$36,MATCH(B4036,PEMAGANG!$C$3:$C$36,0))),1,0),0)</f>
        <v>1</v>
      </c>
      <c r="W4036" s="71">
        <f t="shared" si="575"/>
        <v>0</v>
      </c>
    </row>
    <row r="4037" spans="1:23" x14ac:dyDescent="0.2">
      <c r="A4037" s="71" t="s">
        <v>200</v>
      </c>
      <c r="B4037" s="71" t="s">
        <v>201</v>
      </c>
      <c r="C4037" s="71" t="s">
        <v>187</v>
      </c>
      <c r="D4037" s="71" t="s">
        <v>185</v>
      </c>
      <c r="E4037" s="71" t="s">
        <v>47</v>
      </c>
      <c r="F4037" s="71" t="s">
        <v>300</v>
      </c>
      <c r="G4037" s="88">
        <v>46275.707916666703</v>
      </c>
      <c r="H4037" s="89">
        <v>46275</v>
      </c>
      <c r="I4037" s="71" t="s">
        <v>364</v>
      </c>
      <c r="J4037" s="71">
        <v>0</v>
      </c>
      <c r="K4037" s="71" t="s">
        <v>302</v>
      </c>
      <c r="L4037" s="71">
        <f t="shared" si="567"/>
        <v>9</v>
      </c>
      <c r="M4037" s="71" t="str">
        <f>IFERROR(INDEX(KALENDER!$D$3:$D$132,MATCH(H4037,KALENDER!$A$3:$A$132,0)),"Di luar periode")</f>
        <v>Hari Kerja</v>
      </c>
      <c r="N4037" s="71">
        <f t="shared" si="568"/>
        <v>0</v>
      </c>
      <c r="O4037" s="71">
        <f t="shared" si="569"/>
        <v>2</v>
      </c>
      <c r="P4037" s="71">
        <f t="shared" si="570"/>
        <v>0</v>
      </c>
      <c r="Q4037" s="71">
        <f t="shared" si="571"/>
        <v>0</v>
      </c>
      <c r="R4037" s="71">
        <f t="shared" si="572"/>
        <v>0</v>
      </c>
      <c r="S4037" s="71">
        <f t="shared" si="573"/>
        <v>0</v>
      </c>
      <c r="T4037" s="71">
        <f t="shared" si="574"/>
        <v>0</v>
      </c>
      <c r="U4037" s="71">
        <f>IF(AND(N4037=1,V4037=1),IF(COUNTIFS(AKTIVITAS!$B$2:$B$3052,B4037,AKTIVITAS!$E$2:$E$3052,H4037)&gt;0,1,0),0)</f>
        <v>0</v>
      </c>
      <c r="V4037" s="71">
        <f>IFERROR(IF(AND(H4037&gt;=INDEX(PEMAGANG!$J$3:$J$36,MATCH(B4037,PEMAGANG!$C$3:$C$36,0)),H4037&lt;=INDEX(PEMAGANG!$K$3:$K$36,MATCH(B4037,PEMAGANG!$C$3:$C$36,0))),1,0),0)</f>
        <v>1</v>
      </c>
      <c r="W4037" s="71">
        <f t="shared" si="575"/>
        <v>0</v>
      </c>
    </row>
    <row r="4038" spans="1:23" x14ac:dyDescent="0.2">
      <c r="A4038" s="71" t="s">
        <v>200</v>
      </c>
      <c r="B4038" s="71" t="s">
        <v>201</v>
      </c>
      <c r="C4038" s="71" t="s">
        <v>187</v>
      </c>
      <c r="D4038" s="71" t="s">
        <v>185</v>
      </c>
      <c r="E4038" s="71" t="s">
        <v>47</v>
      </c>
      <c r="F4038" s="71" t="s">
        <v>298</v>
      </c>
      <c r="G4038" s="88">
        <v>46276.318923611099</v>
      </c>
      <c r="H4038" s="89">
        <v>46276</v>
      </c>
      <c r="I4038" s="71" t="s">
        <v>515</v>
      </c>
      <c r="J4038" s="71">
        <v>9.0000000000000497</v>
      </c>
      <c r="K4038" s="71" t="s">
        <v>293</v>
      </c>
      <c r="L4038" s="71">
        <f t="shared" si="567"/>
        <v>9</v>
      </c>
      <c r="M4038" s="71" t="str">
        <f>IFERROR(INDEX(KALENDER!$D$3:$D$132,MATCH(H4038,KALENDER!$A$3:$A$132,0)),"Di luar periode")</f>
        <v>Hari Kerja</v>
      </c>
      <c r="N4038" s="71">
        <f t="shared" si="568"/>
        <v>1</v>
      </c>
      <c r="O4038" s="71">
        <f t="shared" si="569"/>
        <v>1</v>
      </c>
      <c r="P4038" s="71">
        <f t="shared" si="570"/>
        <v>1</v>
      </c>
      <c r="Q4038" s="71">
        <f t="shared" si="571"/>
        <v>0</v>
      </c>
      <c r="R4038" s="71">
        <f t="shared" si="572"/>
        <v>1</v>
      </c>
      <c r="S4038" s="71">
        <f t="shared" si="573"/>
        <v>9.0000000000000497</v>
      </c>
      <c r="T4038" s="71">
        <f t="shared" si="574"/>
        <v>1</v>
      </c>
      <c r="U4038" s="71">
        <f>IF(AND(N4038=1,V4038=1),IF(COUNTIFS(AKTIVITAS!$B$2:$B$3052,B4038,AKTIVITAS!$E$2:$E$3052,H4038)&gt;0,1,0),0)</f>
        <v>1</v>
      </c>
      <c r="V4038" s="71">
        <f>IFERROR(IF(AND(H4038&gt;=INDEX(PEMAGANG!$J$3:$J$36,MATCH(B4038,PEMAGANG!$C$3:$C$36,0)),H4038&lt;=INDEX(PEMAGANG!$K$3:$K$36,MATCH(B4038,PEMAGANG!$C$3:$C$36,0))),1,0),0)</f>
        <v>1</v>
      </c>
      <c r="W4038" s="71">
        <f t="shared" si="575"/>
        <v>1</v>
      </c>
    </row>
    <row r="4039" spans="1:23" x14ac:dyDescent="0.2">
      <c r="A4039" s="71" t="s">
        <v>200</v>
      </c>
      <c r="B4039" s="71" t="s">
        <v>201</v>
      </c>
      <c r="C4039" s="71" t="s">
        <v>187</v>
      </c>
      <c r="D4039" s="71" t="s">
        <v>185</v>
      </c>
      <c r="E4039" s="71" t="s">
        <v>47</v>
      </c>
      <c r="F4039" s="71" t="s">
        <v>298</v>
      </c>
      <c r="G4039" s="88">
        <v>46279.345462963</v>
      </c>
      <c r="H4039" s="89">
        <v>46279</v>
      </c>
      <c r="I4039" s="71" t="s">
        <v>764</v>
      </c>
      <c r="J4039" s="71">
        <v>47</v>
      </c>
      <c r="K4039" s="71" t="s">
        <v>293</v>
      </c>
      <c r="L4039" s="71">
        <f t="shared" si="567"/>
        <v>9</v>
      </c>
      <c r="M4039" s="71" t="str">
        <f>IFERROR(INDEX(KALENDER!$D$3:$D$132,MATCH(H4039,KALENDER!$A$3:$A$132,0)),"Di luar periode")</f>
        <v>Hari Kerja</v>
      </c>
      <c r="N4039" s="71">
        <f t="shared" si="568"/>
        <v>1</v>
      </c>
      <c r="O4039" s="71">
        <f t="shared" si="569"/>
        <v>1</v>
      </c>
      <c r="P4039" s="71">
        <f t="shared" si="570"/>
        <v>1</v>
      </c>
      <c r="Q4039" s="71">
        <f t="shared" si="571"/>
        <v>0</v>
      </c>
      <c r="R4039" s="71">
        <f t="shared" si="572"/>
        <v>1</v>
      </c>
      <c r="S4039" s="71">
        <f t="shared" si="573"/>
        <v>47</v>
      </c>
      <c r="T4039" s="71">
        <f t="shared" si="574"/>
        <v>0</v>
      </c>
      <c r="U4039" s="71">
        <f>IF(AND(N4039=1,V4039=1),IF(COUNTIFS(AKTIVITAS!$B$2:$B$3052,B4039,AKTIVITAS!$E$2:$E$3052,H4039)&gt;0,1,0),0)</f>
        <v>1</v>
      </c>
      <c r="V4039" s="71">
        <f>IFERROR(IF(AND(H4039&gt;=INDEX(PEMAGANG!$J$3:$J$36,MATCH(B4039,PEMAGANG!$C$3:$C$36,0)),H4039&lt;=INDEX(PEMAGANG!$K$3:$K$36,MATCH(B4039,PEMAGANG!$C$3:$C$36,0))),1,0),0)</f>
        <v>1</v>
      </c>
      <c r="W4039" s="71">
        <f t="shared" si="575"/>
        <v>1</v>
      </c>
    </row>
    <row r="4040" spans="1:23" x14ac:dyDescent="0.2">
      <c r="A4040" s="71" t="s">
        <v>200</v>
      </c>
      <c r="B4040" s="71" t="s">
        <v>201</v>
      </c>
      <c r="C4040" s="71" t="s">
        <v>187</v>
      </c>
      <c r="D4040" s="71" t="s">
        <v>185</v>
      </c>
      <c r="E4040" s="71" t="s">
        <v>47</v>
      </c>
      <c r="F4040" s="71" t="s">
        <v>298</v>
      </c>
      <c r="G4040" s="88">
        <v>46279.357951388898</v>
      </c>
      <c r="H4040" s="89">
        <v>46279</v>
      </c>
      <c r="I4040" s="71" t="s">
        <v>765</v>
      </c>
      <c r="J4040" s="71">
        <v>65</v>
      </c>
      <c r="K4040" s="71" t="s">
        <v>293</v>
      </c>
      <c r="L4040" s="71">
        <f t="shared" si="567"/>
        <v>9</v>
      </c>
      <c r="M4040" s="71" t="str">
        <f>IFERROR(INDEX(KALENDER!$D$3:$D$132,MATCH(H4040,KALENDER!$A$3:$A$132,0)),"Di luar periode")</f>
        <v>Hari Kerja</v>
      </c>
      <c r="N4040" s="71">
        <f t="shared" si="568"/>
        <v>0</v>
      </c>
      <c r="O4040" s="71">
        <f t="shared" si="569"/>
        <v>2</v>
      </c>
      <c r="P4040" s="71">
        <f t="shared" si="570"/>
        <v>0</v>
      </c>
      <c r="Q4040" s="71">
        <f t="shared" si="571"/>
        <v>0</v>
      </c>
      <c r="R4040" s="71">
        <f t="shared" si="572"/>
        <v>0</v>
      </c>
      <c r="S4040" s="71">
        <f t="shared" si="573"/>
        <v>0</v>
      </c>
      <c r="T4040" s="71">
        <f t="shared" si="574"/>
        <v>0</v>
      </c>
      <c r="U4040" s="71">
        <f>IF(AND(N4040=1,V4040=1),IF(COUNTIFS(AKTIVITAS!$B$2:$B$3052,B4040,AKTIVITAS!$E$2:$E$3052,H4040)&gt;0,1,0),0)</f>
        <v>0</v>
      </c>
      <c r="V4040" s="71">
        <f>IFERROR(IF(AND(H4040&gt;=INDEX(PEMAGANG!$J$3:$J$36,MATCH(B4040,PEMAGANG!$C$3:$C$36,0)),H4040&lt;=INDEX(PEMAGANG!$K$3:$K$36,MATCH(B4040,PEMAGANG!$C$3:$C$36,0))),1,0),0)</f>
        <v>1</v>
      </c>
      <c r="W4040" s="71">
        <f t="shared" si="575"/>
        <v>0</v>
      </c>
    </row>
    <row r="4041" spans="1:23" x14ac:dyDescent="0.2">
      <c r="A4041" s="71" t="s">
        <v>200</v>
      </c>
      <c r="B4041" s="71" t="s">
        <v>201</v>
      </c>
      <c r="C4041" s="71" t="s">
        <v>187</v>
      </c>
      <c r="D4041" s="71" t="s">
        <v>185</v>
      </c>
      <c r="E4041" s="71" t="s">
        <v>47</v>
      </c>
      <c r="F4041" s="71" t="s">
        <v>300</v>
      </c>
      <c r="G4041" s="88">
        <v>46279.739328703698</v>
      </c>
      <c r="H4041" s="89">
        <v>46279</v>
      </c>
      <c r="I4041" s="71" t="s">
        <v>408</v>
      </c>
      <c r="J4041" s="71">
        <v>0</v>
      </c>
      <c r="K4041" s="71" t="s">
        <v>302</v>
      </c>
      <c r="L4041" s="71">
        <f t="shared" si="567"/>
        <v>9</v>
      </c>
      <c r="M4041" s="71" t="str">
        <f>IFERROR(INDEX(KALENDER!$D$3:$D$132,MATCH(H4041,KALENDER!$A$3:$A$132,0)),"Di luar periode")</f>
        <v>Hari Kerja</v>
      </c>
      <c r="N4041" s="71">
        <f t="shared" si="568"/>
        <v>0</v>
      </c>
      <c r="O4041" s="71">
        <f t="shared" si="569"/>
        <v>2</v>
      </c>
      <c r="P4041" s="71">
        <f t="shared" si="570"/>
        <v>0</v>
      </c>
      <c r="Q4041" s="71">
        <f t="shared" si="571"/>
        <v>0</v>
      </c>
      <c r="R4041" s="71">
        <f t="shared" si="572"/>
        <v>0</v>
      </c>
      <c r="S4041" s="71">
        <f t="shared" si="573"/>
        <v>0</v>
      </c>
      <c r="T4041" s="71">
        <f t="shared" si="574"/>
        <v>0</v>
      </c>
      <c r="U4041" s="71">
        <f>IF(AND(N4041=1,V4041=1),IF(COUNTIFS(AKTIVITAS!$B$2:$B$3052,B4041,AKTIVITAS!$E$2:$E$3052,H4041)&gt;0,1,0),0)</f>
        <v>0</v>
      </c>
      <c r="V4041" s="71">
        <f>IFERROR(IF(AND(H4041&gt;=INDEX(PEMAGANG!$J$3:$J$36,MATCH(B4041,PEMAGANG!$C$3:$C$36,0)),H4041&lt;=INDEX(PEMAGANG!$K$3:$K$36,MATCH(B4041,PEMAGANG!$C$3:$C$36,0))),1,0),0)</f>
        <v>1</v>
      </c>
      <c r="W4041" s="71">
        <f t="shared" si="575"/>
        <v>0</v>
      </c>
    </row>
    <row r="4042" spans="1:23" x14ac:dyDescent="0.2">
      <c r="A4042" s="71" t="s">
        <v>200</v>
      </c>
      <c r="B4042" s="71" t="s">
        <v>201</v>
      </c>
      <c r="C4042" s="71" t="s">
        <v>187</v>
      </c>
      <c r="D4042" s="71" t="s">
        <v>185</v>
      </c>
      <c r="E4042" s="71" t="s">
        <v>47</v>
      </c>
      <c r="F4042" s="71" t="s">
        <v>298</v>
      </c>
      <c r="G4042" s="88">
        <v>46280.459988425901</v>
      </c>
      <c r="H4042" s="89">
        <v>46280</v>
      </c>
      <c r="I4042" s="71" t="s">
        <v>766</v>
      </c>
      <c r="J4042" s="71">
        <v>212</v>
      </c>
      <c r="K4042" s="71" t="s">
        <v>293</v>
      </c>
      <c r="L4042" s="71">
        <f t="shared" si="567"/>
        <v>9</v>
      </c>
      <c r="M4042" s="71" t="str">
        <f>IFERROR(INDEX(KALENDER!$D$3:$D$132,MATCH(H4042,KALENDER!$A$3:$A$132,0)),"Di luar periode")</f>
        <v>Hari Kerja</v>
      </c>
      <c r="N4042" s="71">
        <f t="shared" si="568"/>
        <v>1</v>
      </c>
      <c r="O4042" s="71">
        <f t="shared" si="569"/>
        <v>1</v>
      </c>
      <c r="P4042" s="71">
        <f t="shared" si="570"/>
        <v>1</v>
      </c>
      <c r="Q4042" s="71">
        <f t="shared" si="571"/>
        <v>0</v>
      </c>
      <c r="R4042" s="71">
        <f t="shared" si="572"/>
        <v>1</v>
      </c>
      <c r="S4042" s="71">
        <f t="shared" si="573"/>
        <v>212</v>
      </c>
      <c r="T4042" s="71">
        <f t="shared" si="574"/>
        <v>0</v>
      </c>
      <c r="U4042" s="71">
        <f>IF(AND(N4042=1,V4042=1),IF(COUNTIFS(AKTIVITAS!$B$2:$B$3052,B4042,AKTIVITAS!$E$2:$E$3052,H4042)&gt;0,1,0),0)</f>
        <v>1</v>
      </c>
      <c r="V4042" s="71">
        <f>IFERROR(IF(AND(H4042&gt;=INDEX(PEMAGANG!$J$3:$J$36,MATCH(B4042,PEMAGANG!$C$3:$C$36,0)),H4042&lt;=INDEX(PEMAGANG!$K$3:$K$36,MATCH(B4042,PEMAGANG!$C$3:$C$36,0))),1,0),0)</f>
        <v>1</v>
      </c>
      <c r="W4042" s="71">
        <f t="shared" si="575"/>
        <v>1</v>
      </c>
    </row>
    <row r="4043" spans="1:23" x14ac:dyDescent="0.2">
      <c r="A4043" s="71" t="s">
        <v>200</v>
      </c>
      <c r="B4043" s="71" t="s">
        <v>201</v>
      </c>
      <c r="C4043" s="71" t="s">
        <v>187</v>
      </c>
      <c r="D4043" s="71" t="s">
        <v>185</v>
      </c>
      <c r="E4043" s="71" t="s">
        <v>47</v>
      </c>
      <c r="F4043" s="71" t="s">
        <v>298</v>
      </c>
      <c r="G4043" s="88">
        <v>46280.460011574098</v>
      </c>
      <c r="H4043" s="89">
        <v>46280</v>
      </c>
      <c r="I4043" s="71" t="s">
        <v>766</v>
      </c>
      <c r="J4043" s="71">
        <v>212</v>
      </c>
      <c r="K4043" s="71" t="s">
        <v>293</v>
      </c>
      <c r="L4043" s="71">
        <f t="shared" si="567"/>
        <v>9</v>
      </c>
      <c r="M4043" s="71" t="str">
        <f>IFERROR(INDEX(KALENDER!$D$3:$D$132,MATCH(H4043,KALENDER!$A$3:$A$132,0)),"Di luar periode")</f>
        <v>Hari Kerja</v>
      </c>
      <c r="N4043" s="71">
        <f t="shared" si="568"/>
        <v>0</v>
      </c>
      <c r="O4043" s="71">
        <f t="shared" si="569"/>
        <v>2</v>
      </c>
      <c r="P4043" s="71">
        <f t="shared" si="570"/>
        <v>0</v>
      </c>
      <c r="Q4043" s="71">
        <f t="shared" si="571"/>
        <v>0</v>
      </c>
      <c r="R4043" s="71">
        <f t="shared" si="572"/>
        <v>0</v>
      </c>
      <c r="S4043" s="71">
        <f t="shared" si="573"/>
        <v>0</v>
      </c>
      <c r="T4043" s="71">
        <f t="shared" si="574"/>
        <v>0</v>
      </c>
      <c r="U4043" s="71">
        <f>IF(AND(N4043=1,V4043=1),IF(COUNTIFS(AKTIVITAS!$B$2:$B$3052,B4043,AKTIVITAS!$E$2:$E$3052,H4043)&gt;0,1,0),0)</f>
        <v>0</v>
      </c>
      <c r="V4043" s="71">
        <f>IFERROR(IF(AND(H4043&gt;=INDEX(PEMAGANG!$J$3:$J$36,MATCH(B4043,PEMAGANG!$C$3:$C$36,0)),H4043&lt;=INDEX(PEMAGANG!$K$3:$K$36,MATCH(B4043,PEMAGANG!$C$3:$C$36,0))),1,0),0)</f>
        <v>1</v>
      </c>
      <c r="W4043" s="71">
        <f t="shared" si="575"/>
        <v>0</v>
      </c>
    </row>
    <row r="4044" spans="1:23" x14ac:dyDescent="0.2">
      <c r="A4044" s="71" t="s">
        <v>200</v>
      </c>
      <c r="B4044" s="71" t="s">
        <v>201</v>
      </c>
      <c r="C4044" s="71" t="s">
        <v>187</v>
      </c>
      <c r="D4044" s="71" t="s">
        <v>185</v>
      </c>
      <c r="E4044" s="71" t="s">
        <v>47</v>
      </c>
      <c r="F4044" s="71" t="s">
        <v>300</v>
      </c>
      <c r="G4044" s="88">
        <v>46280.704189814802</v>
      </c>
      <c r="H4044" s="89">
        <v>46280</v>
      </c>
      <c r="I4044" s="71" t="s">
        <v>394</v>
      </c>
      <c r="J4044" s="71">
        <v>0</v>
      </c>
      <c r="K4044" s="71" t="s">
        <v>302</v>
      </c>
      <c r="L4044" s="71">
        <f t="shared" si="567"/>
        <v>9</v>
      </c>
      <c r="M4044" s="71" t="str">
        <f>IFERROR(INDEX(KALENDER!$D$3:$D$132,MATCH(H4044,KALENDER!$A$3:$A$132,0)),"Di luar periode")</f>
        <v>Hari Kerja</v>
      </c>
      <c r="N4044" s="71">
        <f t="shared" si="568"/>
        <v>0</v>
      </c>
      <c r="O4044" s="71">
        <f t="shared" si="569"/>
        <v>2</v>
      </c>
      <c r="P4044" s="71">
        <f t="shared" si="570"/>
        <v>0</v>
      </c>
      <c r="Q4044" s="71">
        <f t="shared" si="571"/>
        <v>0</v>
      </c>
      <c r="R4044" s="71">
        <f t="shared" si="572"/>
        <v>0</v>
      </c>
      <c r="S4044" s="71">
        <f t="shared" si="573"/>
        <v>0</v>
      </c>
      <c r="T4044" s="71">
        <f t="shared" si="574"/>
        <v>0</v>
      </c>
      <c r="U4044" s="71">
        <f>IF(AND(N4044=1,V4044=1),IF(COUNTIFS(AKTIVITAS!$B$2:$B$3052,B4044,AKTIVITAS!$E$2:$E$3052,H4044)&gt;0,1,0),0)</f>
        <v>0</v>
      </c>
      <c r="V4044" s="71">
        <f>IFERROR(IF(AND(H4044&gt;=INDEX(PEMAGANG!$J$3:$J$36,MATCH(B4044,PEMAGANG!$C$3:$C$36,0)),H4044&lt;=INDEX(PEMAGANG!$K$3:$K$36,MATCH(B4044,PEMAGANG!$C$3:$C$36,0))),1,0),0)</f>
        <v>1</v>
      </c>
      <c r="W4044" s="71">
        <f t="shared" si="575"/>
        <v>0</v>
      </c>
    </row>
    <row r="4045" spans="1:23" x14ac:dyDescent="0.2">
      <c r="A4045" s="71" t="s">
        <v>200</v>
      </c>
      <c r="B4045" s="71" t="s">
        <v>201</v>
      </c>
      <c r="C4045" s="71" t="s">
        <v>187</v>
      </c>
      <c r="D4045" s="71" t="s">
        <v>185</v>
      </c>
      <c r="E4045" s="71" t="s">
        <v>47</v>
      </c>
      <c r="F4045" s="71" t="s">
        <v>298</v>
      </c>
      <c r="G4045" s="88">
        <v>46281.311874999999</v>
      </c>
      <c r="H4045" s="89">
        <v>46281</v>
      </c>
      <c r="I4045" s="71" t="s">
        <v>365</v>
      </c>
      <c r="J4045" s="71">
        <v>-0.999999999999996</v>
      </c>
      <c r="K4045" s="71" t="s">
        <v>302</v>
      </c>
      <c r="L4045" s="71">
        <f t="shared" si="567"/>
        <v>9</v>
      </c>
      <c r="M4045" s="71" t="str">
        <f>IFERROR(INDEX(KALENDER!$D$3:$D$132,MATCH(H4045,KALENDER!$A$3:$A$132,0)),"Di luar periode")</f>
        <v>Hari Kerja</v>
      </c>
      <c r="N4045" s="71">
        <f t="shared" si="568"/>
        <v>1</v>
      </c>
      <c r="O4045" s="71">
        <f t="shared" si="569"/>
        <v>1</v>
      </c>
      <c r="P4045" s="71">
        <f t="shared" si="570"/>
        <v>1</v>
      </c>
      <c r="Q4045" s="71">
        <f t="shared" si="571"/>
        <v>0</v>
      </c>
      <c r="R4045" s="71">
        <f t="shared" si="572"/>
        <v>0</v>
      </c>
      <c r="S4045" s="71">
        <f t="shared" si="573"/>
        <v>0</v>
      </c>
      <c r="T4045" s="71">
        <f t="shared" si="574"/>
        <v>0</v>
      </c>
      <c r="U4045" s="71">
        <f>IF(AND(N4045=1,V4045=1),IF(COUNTIFS(AKTIVITAS!$B$2:$B$3052,B4045,AKTIVITAS!$E$2:$E$3052,H4045)&gt;0,1,0),0)</f>
        <v>0</v>
      </c>
      <c r="V4045" s="71">
        <f>IFERROR(IF(AND(H4045&gt;=INDEX(PEMAGANG!$J$3:$J$36,MATCH(B4045,PEMAGANG!$C$3:$C$36,0)),H4045&lt;=INDEX(PEMAGANG!$K$3:$K$36,MATCH(B4045,PEMAGANG!$C$3:$C$36,0))),1,0),0)</f>
        <v>1</v>
      </c>
      <c r="W4045" s="71">
        <f t="shared" si="575"/>
        <v>1</v>
      </c>
    </row>
    <row r="4046" spans="1:23" x14ac:dyDescent="0.2">
      <c r="A4046" s="71" t="s">
        <v>200</v>
      </c>
      <c r="B4046" s="71" t="s">
        <v>201</v>
      </c>
      <c r="C4046" s="71" t="s">
        <v>187</v>
      </c>
      <c r="D4046" s="71" t="s">
        <v>185</v>
      </c>
      <c r="E4046" s="71" t="s">
        <v>47</v>
      </c>
      <c r="F4046" s="71" t="s">
        <v>300</v>
      </c>
      <c r="G4046" s="88">
        <v>46281.752500000002</v>
      </c>
      <c r="H4046" s="89">
        <v>46281</v>
      </c>
      <c r="I4046" s="71" t="s">
        <v>398</v>
      </c>
      <c r="J4046" s="71">
        <v>0</v>
      </c>
      <c r="K4046" s="71" t="s">
        <v>302</v>
      </c>
      <c r="L4046" s="71">
        <f t="shared" si="567"/>
        <v>9</v>
      </c>
      <c r="M4046" s="71" t="str">
        <f>IFERROR(INDEX(KALENDER!$D$3:$D$132,MATCH(H4046,KALENDER!$A$3:$A$132,0)),"Di luar periode")</f>
        <v>Hari Kerja</v>
      </c>
      <c r="N4046" s="71">
        <f t="shared" si="568"/>
        <v>0</v>
      </c>
      <c r="O4046" s="71">
        <f t="shared" si="569"/>
        <v>1</v>
      </c>
      <c r="P4046" s="71">
        <f t="shared" si="570"/>
        <v>0</v>
      </c>
      <c r="Q4046" s="71">
        <f t="shared" si="571"/>
        <v>0</v>
      </c>
      <c r="R4046" s="71">
        <f t="shared" si="572"/>
        <v>0</v>
      </c>
      <c r="S4046" s="71">
        <f t="shared" si="573"/>
        <v>0</v>
      </c>
      <c r="T4046" s="71">
        <f t="shared" si="574"/>
        <v>0</v>
      </c>
      <c r="U4046" s="71">
        <f>IF(AND(N4046=1,V4046=1),IF(COUNTIFS(AKTIVITAS!$B$2:$B$3052,B4046,AKTIVITAS!$E$2:$E$3052,H4046)&gt;0,1,0),0)</f>
        <v>0</v>
      </c>
      <c r="V4046" s="71">
        <f>IFERROR(IF(AND(H4046&gt;=INDEX(PEMAGANG!$J$3:$J$36,MATCH(B4046,PEMAGANG!$C$3:$C$36,0)),H4046&lt;=INDEX(PEMAGANG!$K$3:$K$36,MATCH(B4046,PEMAGANG!$C$3:$C$36,0))),1,0),0)</f>
        <v>1</v>
      </c>
      <c r="W4046" s="71">
        <f t="shared" si="575"/>
        <v>0</v>
      </c>
    </row>
    <row r="4047" spans="1:23" x14ac:dyDescent="0.2">
      <c r="A4047" s="71" t="s">
        <v>200</v>
      </c>
      <c r="B4047" s="71" t="s">
        <v>201</v>
      </c>
      <c r="C4047" s="71" t="s">
        <v>187</v>
      </c>
      <c r="D4047" s="71" t="s">
        <v>185</v>
      </c>
      <c r="E4047" s="71" t="s">
        <v>47</v>
      </c>
      <c r="F4047" s="71" t="s">
        <v>298</v>
      </c>
      <c r="G4047" s="88">
        <v>46283.301840277803</v>
      </c>
      <c r="H4047" s="89">
        <v>46283</v>
      </c>
      <c r="I4047" s="71" t="s">
        <v>416</v>
      </c>
      <c r="J4047" s="71">
        <v>-16</v>
      </c>
      <c r="K4047" s="71" t="s">
        <v>302</v>
      </c>
      <c r="L4047" s="71">
        <f t="shared" si="567"/>
        <v>9</v>
      </c>
      <c r="M4047" s="71" t="str">
        <f>IFERROR(INDEX(KALENDER!$D$3:$D$132,MATCH(H4047,KALENDER!$A$3:$A$132,0)),"Di luar periode")</f>
        <v>Hari Kerja</v>
      </c>
      <c r="N4047" s="71">
        <f t="shared" si="568"/>
        <v>1</v>
      </c>
      <c r="O4047" s="71">
        <f t="shared" si="569"/>
        <v>1</v>
      </c>
      <c r="P4047" s="71">
        <f t="shared" si="570"/>
        <v>1</v>
      </c>
      <c r="Q4047" s="71">
        <f t="shared" si="571"/>
        <v>0</v>
      </c>
      <c r="R4047" s="71">
        <f t="shared" si="572"/>
        <v>0</v>
      </c>
      <c r="S4047" s="71">
        <f t="shared" si="573"/>
        <v>0</v>
      </c>
      <c r="T4047" s="71">
        <f t="shared" si="574"/>
        <v>0</v>
      </c>
      <c r="U4047" s="71">
        <f>IF(AND(N4047=1,V4047=1),IF(COUNTIFS(AKTIVITAS!$B$2:$B$3052,B4047,AKTIVITAS!$E$2:$E$3052,H4047)&gt;0,1,0),0)</f>
        <v>0</v>
      </c>
      <c r="V4047" s="71">
        <f>IFERROR(IF(AND(H4047&gt;=INDEX(PEMAGANG!$J$3:$J$36,MATCH(B4047,PEMAGANG!$C$3:$C$36,0)),H4047&lt;=INDEX(PEMAGANG!$K$3:$K$36,MATCH(B4047,PEMAGANG!$C$3:$C$36,0))),1,0),0)</f>
        <v>1</v>
      </c>
      <c r="W4047" s="71">
        <f t="shared" si="575"/>
        <v>1</v>
      </c>
    </row>
    <row r="4048" spans="1:23" x14ac:dyDescent="0.2">
      <c r="A4048" s="71" t="s">
        <v>200</v>
      </c>
      <c r="B4048" s="71" t="s">
        <v>201</v>
      </c>
      <c r="C4048" s="71" t="s">
        <v>187</v>
      </c>
      <c r="D4048" s="71" t="s">
        <v>185</v>
      </c>
      <c r="E4048" s="71" t="s">
        <v>47</v>
      </c>
      <c r="F4048" s="71" t="s">
        <v>298</v>
      </c>
      <c r="G4048" s="88">
        <v>46283.301863425899</v>
      </c>
      <c r="H4048" s="89">
        <v>46283</v>
      </c>
      <c r="I4048" s="71" t="s">
        <v>416</v>
      </c>
      <c r="J4048" s="71">
        <v>-16</v>
      </c>
      <c r="K4048" s="71" t="s">
        <v>302</v>
      </c>
      <c r="L4048" s="71">
        <f t="shared" si="567"/>
        <v>9</v>
      </c>
      <c r="M4048" s="71" t="str">
        <f>IFERROR(INDEX(KALENDER!$D$3:$D$132,MATCH(H4048,KALENDER!$A$3:$A$132,0)),"Di luar periode")</f>
        <v>Hari Kerja</v>
      </c>
      <c r="N4048" s="71">
        <f t="shared" si="568"/>
        <v>0</v>
      </c>
      <c r="O4048" s="71">
        <f t="shared" si="569"/>
        <v>2</v>
      </c>
      <c r="P4048" s="71">
        <f t="shared" si="570"/>
        <v>0</v>
      </c>
      <c r="Q4048" s="71">
        <f t="shared" si="571"/>
        <v>0</v>
      </c>
      <c r="R4048" s="71">
        <f t="shared" si="572"/>
        <v>0</v>
      </c>
      <c r="S4048" s="71">
        <f t="shared" si="573"/>
        <v>0</v>
      </c>
      <c r="T4048" s="71">
        <f t="shared" si="574"/>
        <v>0</v>
      </c>
      <c r="U4048" s="71">
        <f>IF(AND(N4048=1,V4048=1),IF(COUNTIFS(AKTIVITAS!$B$2:$B$3052,B4048,AKTIVITAS!$E$2:$E$3052,H4048)&gt;0,1,0),0)</f>
        <v>0</v>
      </c>
      <c r="V4048" s="71">
        <f>IFERROR(IF(AND(H4048&gt;=INDEX(PEMAGANG!$J$3:$J$36,MATCH(B4048,PEMAGANG!$C$3:$C$36,0)),H4048&lt;=INDEX(PEMAGANG!$K$3:$K$36,MATCH(B4048,PEMAGANG!$C$3:$C$36,0))),1,0),0)</f>
        <v>1</v>
      </c>
      <c r="W4048" s="71">
        <f t="shared" si="575"/>
        <v>0</v>
      </c>
    </row>
    <row r="4049" spans="1:23" x14ac:dyDescent="0.2">
      <c r="A4049" s="71" t="s">
        <v>200</v>
      </c>
      <c r="B4049" s="71" t="s">
        <v>201</v>
      </c>
      <c r="C4049" s="71" t="s">
        <v>187</v>
      </c>
      <c r="D4049" s="71" t="s">
        <v>185</v>
      </c>
      <c r="E4049" s="71" t="s">
        <v>47</v>
      </c>
      <c r="F4049" s="71" t="s">
        <v>300</v>
      </c>
      <c r="G4049" s="88">
        <v>46283.774178240703</v>
      </c>
      <c r="H4049" s="89">
        <v>46283</v>
      </c>
      <c r="I4049" s="71" t="s">
        <v>767</v>
      </c>
      <c r="J4049" s="71">
        <v>0</v>
      </c>
      <c r="K4049" s="71" t="s">
        <v>302</v>
      </c>
      <c r="L4049" s="71">
        <f t="shared" si="567"/>
        <v>9</v>
      </c>
      <c r="M4049" s="71" t="str">
        <f>IFERROR(INDEX(KALENDER!$D$3:$D$132,MATCH(H4049,KALENDER!$A$3:$A$132,0)),"Di luar periode")</f>
        <v>Hari Kerja</v>
      </c>
      <c r="N4049" s="71">
        <f t="shared" si="568"/>
        <v>0</v>
      </c>
      <c r="O4049" s="71">
        <f t="shared" si="569"/>
        <v>2</v>
      </c>
      <c r="P4049" s="71">
        <f t="shared" si="570"/>
        <v>0</v>
      </c>
      <c r="Q4049" s="71">
        <f t="shared" si="571"/>
        <v>0</v>
      </c>
      <c r="R4049" s="71">
        <f t="shared" si="572"/>
        <v>0</v>
      </c>
      <c r="S4049" s="71">
        <f t="shared" si="573"/>
        <v>0</v>
      </c>
      <c r="T4049" s="71">
        <f t="shared" si="574"/>
        <v>0</v>
      </c>
      <c r="U4049" s="71">
        <f>IF(AND(N4049=1,V4049=1),IF(COUNTIFS(AKTIVITAS!$B$2:$B$3052,B4049,AKTIVITAS!$E$2:$E$3052,H4049)&gt;0,1,0),0)</f>
        <v>0</v>
      </c>
      <c r="V4049" s="71">
        <f>IFERROR(IF(AND(H4049&gt;=INDEX(PEMAGANG!$J$3:$J$36,MATCH(B4049,PEMAGANG!$C$3:$C$36,0)),H4049&lt;=INDEX(PEMAGANG!$K$3:$K$36,MATCH(B4049,PEMAGANG!$C$3:$C$36,0))),1,0),0)</f>
        <v>1</v>
      </c>
      <c r="W4049" s="71">
        <f t="shared" si="575"/>
        <v>0</v>
      </c>
    </row>
    <row r="4050" spans="1:23" x14ac:dyDescent="0.2">
      <c r="A4050" s="71" t="s">
        <v>200</v>
      </c>
      <c r="B4050" s="71" t="s">
        <v>201</v>
      </c>
      <c r="C4050" s="71" t="s">
        <v>187</v>
      </c>
      <c r="D4050" s="71" t="s">
        <v>185</v>
      </c>
      <c r="E4050" s="71" t="s">
        <v>47</v>
      </c>
      <c r="F4050" s="71" t="s">
        <v>300</v>
      </c>
      <c r="G4050" s="88">
        <v>46283.7742013889</v>
      </c>
      <c r="H4050" s="89">
        <v>46283</v>
      </c>
      <c r="I4050" s="71" t="s">
        <v>767</v>
      </c>
      <c r="J4050" s="71">
        <v>0</v>
      </c>
      <c r="K4050" s="71" t="s">
        <v>302</v>
      </c>
      <c r="L4050" s="71">
        <f t="shared" si="567"/>
        <v>9</v>
      </c>
      <c r="M4050" s="71" t="str">
        <f>IFERROR(INDEX(KALENDER!$D$3:$D$132,MATCH(H4050,KALENDER!$A$3:$A$132,0)),"Di luar periode")</f>
        <v>Hari Kerja</v>
      </c>
      <c r="N4050" s="71">
        <f t="shared" si="568"/>
        <v>0</v>
      </c>
      <c r="O4050" s="71">
        <f t="shared" si="569"/>
        <v>2</v>
      </c>
      <c r="P4050" s="71">
        <f t="shared" si="570"/>
        <v>0</v>
      </c>
      <c r="Q4050" s="71">
        <f t="shared" si="571"/>
        <v>0</v>
      </c>
      <c r="R4050" s="71">
        <f t="shared" si="572"/>
        <v>0</v>
      </c>
      <c r="S4050" s="71">
        <f t="shared" si="573"/>
        <v>0</v>
      </c>
      <c r="T4050" s="71">
        <f t="shared" si="574"/>
        <v>0</v>
      </c>
      <c r="U4050" s="71">
        <f>IF(AND(N4050=1,V4050=1),IF(COUNTIFS(AKTIVITAS!$B$2:$B$3052,B4050,AKTIVITAS!$E$2:$E$3052,H4050)&gt;0,1,0),0)</f>
        <v>0</v>
      </c>
      <c r="V4050" s="71">
        <f>IFERROR(IF(AND(H4050&gt;=INDEX(PEMAGANG!$J$3:$J$36,MATCH(B4050,PEMAGANG!$C$3:$C$36,0)),H4050&lt;=INDEX(PEMAGANG!$K$3:$K$36,MATCH(B4050,PEMAGANG!$C$3:$C$36,0))),1,0),0)</f>
        <v>1</v>
      </c>
      <c r="W4050" s="71">
        <f t="shared" si="575"/>
        <v>0</v>
      </c>
    </row>
    <row r="4051" spans="1:23" x14ac:dyDescent="0.2">
      <c r="A4051" s="71" t="s">
        <v>200</v>
      </c>
      <c r="B4051" s="71" t="s">
        <v>201</v>
      </c>
      <c r="C4051" s="71" t="s">
        <v>187</v>
      </c>
      <c r="D4051" s="71" t="s">
        <v>185</v>
      </c>
      <c r="E4051" s="71" t="s">
        <v>47</v>
      </c>
      <c r="F4051" s="71" t="s">
        <v>298</v>
      </c>
      <c r="G4051" s="88">
        <v>46286.315763888902</v>
      </c>
      <c r="H4051" s="89">
        <v>46286</v>
      </c>
      <c r="I4051" s="71" t="s">
        <v>373</v>
      </c>
      <c r="J4051" s="71">
        <v>3.9999999999999898</v>
      </c>
      <c r="K4051" s="71" t="s">
        <v>293</v>
      </c>
      <c r="L4051" s="71">
        <f t="shared" si="567"/>
        <v>9</v>
      </c>
      <c r="M4051" s="71" t="str">
        <f>IFERROR(INDEX(KALENDER!$D$3:$D$132,MATCH(H4051,KALENDER!$A$3:$A$132,0)),"Di luar periode")</f>
        <v>Hari Kerja</v>
      </c>
      <c r="N4051" s="71">
        <f t="shared" si="568"/>
        <v>1</v>
      </c>
      <c r="O4051" s="71">
        <f t="shared" si="569"/>
        <v>1</v>
      </c>
      <c r="P4051" s="71">
        <f t="shared" si="570"/>
        <v>1</v>
      </c>
      <c r="Q4051" s="71">
        <f t="shared" si="571"/>
        <v>0</v>
      </c>
      <c r="R4051" s="71">
        <f t="shared" si="572"/>
        <v>1</v>
      </c>
      <c r="S4051" s="71">
        <f t="shared" si="573"/>
        <v>3.9999999999999898</v>
      </c>
      <c r="T4051" s="71">
        <f t="shared" si="574"/>
        <v>0</v>
      </c>
      <c r="U4051" s="71">
        <f>IF(AND(N4051=1,V4051=1),IF(COUNTIFS(AKTIVITAS!$B$2:$B$3052,B4051,AKTIVITAS!$E$2:$E$3052,H4051)&gt;0,1,0),0)</f>
        <v>1</v>
      </c>
      <c r="V4051" s="71">
        <f>IFERROR(IF(AND(H4051&gt;=INDEX(PEMAGANG!$J$3:$J$36,MATCH(B4051,PEMAGANG!$C$3:$C$36,0)),H4051&lt;=INDEX(PEMAGANG!$K$3:$K$36,MATCH(B4051,PEMAGANG!$C$3:$C$36,0))),1,0),0)</f>
        <v>1</v>
      </c>
      <c r="W4051" s="71">
        <f t="shared" si="575"/>
        <v>1</v>
      </c>
    </row>
    <row r="4052" spans="1:23" x14ac:dyDescent="0.2">
      <c r="A4052" s="71" t="s">
        <v>200</v>
      </c>
      <c r="B4052" s="71" t="s">
        <v>201</v>
      </c>
      <c r="C4052" s="71" t="s">
        <v>187</v>
      </c>
      <c r="D4052" s="71" t="s">
        <v>185</v>
      </c>
      <c r="E4052" s="71" t="s">
        <v>47</v>
      </c>
      <c r="F4052" s="71" t="s">
        <v>300</v>
      </c>
      <c r="G4052" s="88">
        <v>46286.736562500002</v>
      </c>
      <c r="H4052" s="89">
        <v>46286</v>
      </c>
      <c r="I4052" s="71" t="s">
        <v>746</v>
      </c>
      <c r="J4052" s="71">
        <v>0</v>
      </c>
      <c r="K4052" s="71" t="s">
        <v>302</v>
      </c>
      <c r="L4052" s="71">
        <f t="shared" si="567"/>
        <v>9</v>
      </c>
      <c r="M4052" s="71" t="str">
        <f>IFERROR(INDEX(KALENDER!$D$3:$D$132,MATCH(H4052,KALENDER!$A$3:$A$132,0)),"Di luar periode")</f>
        <v>Hari Kerja</v>
      </c>
      <c r="N4052" s="71">
        <f t="shared" si="568"/>
        <v>0</v>
      </c>
      <c r="O4052" s="71">
        <f t="shared" si="569"/>
        <v>1</v>
      </c>
      <c r="P4052" s="71">
        <f t="shared" si="570"/>
        <v>0</v>
      </c>
      <c r="Q4052" s="71">
        <f t="shared" si="571"/>
        <v>0</v>
      </c>
      <c r="R4052" s="71">
        <f t="shared" si="572"/>
        <v>0</v>
      </c>
      <c r="S4052" s="71">
        <f t="shared" si="573"/>
        <v>0</v>
      </c>
      <c r="T4052" s="71">
        <f t="shared" si="574"/>
        <v>0</v>
      </c>
      <c r="U4052" s="71">
        <f>IF(AND(N4052=1,V4052=1),IF(COUNTIFS(AKTIVITAS!$B$2:$B$3052,B4052,AKTIVITAS!$E$2:$E$3052,H4052)&gt;0,1,0),0)</f>
        <v>0</v>
      </c>
      <c r="V4052" s="71">
        <f>IFERROR(IF(AND(H4052&gt;=INDEX(PEMAGANG!$J$3:$J$36,MATCH(B4052,PEMAGANG!$C$3:$C$36,0)),H4052&lt;=INDEX(PEMAGANG!$K$3:$K$36,MATCH(B4052,PEMAGANG!$C$3:$C$36,0))),1,0),0)</f>
        <v>1</v>
      </c>
      <c r="W4052" s="71">
        <f t="shared" si="575"/>
        <v>0</v>
      </c>
    </row>
    <row r="4053" spans="1:23" x14ac:dyDescent="0.2">
      <c r="A4053" s="71" t="s">
        <v>200</v>
      </c>
      <c r="B4053" s="71" t="s">
        <v>201</v>
      </c>
      <c r="C4053" s="71" t="s">
        <v>187</v>
      </c>
      <c r="D4053" s="71" t="s">
        <v>185</v>
      </c>
      <c r="E4053" s="71" t="s">
        <v>47</v>
      </c>
      <c r="F4053" s="71" t="s">
        <v>298</v>
      </c>
      <c r="G4053" s="88">
        <v>46287.3116898148</v>
      </c>
      <c r="H4053" s="89">
        <v>46287</v>
      </c>
      <c r="I4053" s="71" t="s">
        <v>377</v>
      </c>
      <c r="J4053" s="71">
        <v>-1.99999999999999</v>
      </c>
      <c r="K4053" s="71" t="s">
        <v>302</v>
      </c>
      <c r="L4053" s="71">
        <f t="shared" si="567"/>
        <v>9</v>
      </c>
      <c r="M4053" s="71" t="str">
        <f>IFERROR(INDEX(KALENDER!$D$3:$D$132,MATCH(H4053,KALENDER!$A$3:$A$132,0)),"Di luar periode")</f>
        <v>Hari Kerja</v>
      </c>
      <c r="N4053" s="71">
        <f t="shared" si="568"/>
        <v>1</v>
      </c>
      <c r="O4053" s="71">
        <f t="shared" si="569"/>
        <v>1</v>
      </c>
      <c r="P4053" s="71">
        <f t="shared" si="570"/>
        <v>1</v>
      </c>
      <c r="Q4053" s="71">
        <f t="shared" si="571"/>
        <v>0</v>
      </c>
      <c r="R4053" s="71">
        <f t="shared" si="572"/>
        <v>0</v>
      </c>
      <c r="S4053" s="71">
        <f t="shared" si="573"/>
        <v>0</v>
      </c>
      <c r="T4053" s="71">
        <f t="shared" si="574"/>
        <v>0</v>
      </c>
      <c r="U4053" s="71">
        <f>IF(AND(N4053=1,V4053=1),IF(COUNTIFS(AKTIVITAS!$B$2:$B$3052,B4053,AKTIVITAS!$E$2:$E$3052,H4053)&gt;0,1,0),0)</f>
        <v>1</v>
      </c>
      <c r="V4053" s="71">
        <f>IFERROR(IF(AND(H4053&gt;=INDEX(PEMAGANG!$J$3:$J$36,MATCH(B4053,PEMAGANG!$C$3:$C$36,0)),H4053&lt;=INDEX(PEMAGANG!$K$3:$K$36,MATCH(B4053,PEMAGANG!$C$3:$C$36,0))),1,0),0)</f>
        <v>1</v>
      </c>
      <c r="W4053" s="71">
        <f t="shared" si="575"/>
        <v>1</v>
      </c>
    </row>
    <row r="4054" spans="1:23" x14ac:dyDescent="0.2">
      <c r="A4054" s="71" t="s">
        <v>200</v>
      </c>
      <c r="B4054" s="71" t="s">
        <v>201</v>
      </c>
      <c r="C4054" s="71" t="s">
        <v>187</v>
      </c>
      <c r="D4054" s="71" t="s">
        <v>185</v>
      </c>
      <c r="E4054" s="71" t="s">
        <v>47</v>
      </c>
      <c r="F4054" s="71" t="s">
        <v>300</v>
      </c>
      <c r="G4054" s="88">
        <v>46287.691840277803</v>
      </c>
      <c r="H4054" s="89">
        <v>46287</v>
      </c>
      <c r="I4054" s="71" t="s">
        <v>344</v>
      </c>
      <c r="J4054" s="71">
        <v>0</v>
      </c>
      <c r="K4054" s="71" t="s">
        <v>302</v>
      </c>
      <c r="L4054" s="71">
        <f t="shared" si="567"/>
        <v>9</v>
      </c>
      <c r="M4054" s="71" t="str">
        <f>IFERROR(INDEX(KALENDER!$D$3:$D$132,MATCH(H4054,KALENDER!$A$3:$A$132,0)),"Di luar periode")</f>
        <v>Hari Kerja</v>
      </c>
      <c r="N4054" s="71">
        <f t="shared" si="568"/>
        <v>0</v>
      </c>
      <c r="O4054" s="71">
        <f t="shared" si="569"/>
        <v>1</v>
      </c>
      <c r="P4054" s="71">
        <f t="shared" si="570"/>
        <v>0</v>
      </c>
      <c r="Q4054" s="71">
        <f t="shared" si="571"/>
        <v>0</v>
      </c>
      <c r="R4054" s="71">
        <f t="shared" si="572"/>
        <v>0</v>
      </c>
      <c r="S4054" s="71">
        <f t="shared" si="573"/>
        <v>0</v>
      </c>
      <c r="T4054" s="71">
        <f t="shared" si="574"/>
        <v>0</v>
      </c>
      <c r="U4054" s="71">
        <f>IF(AND(N4054=1,V4054=1),IF(COUNTIFS(AKTIVITAS!$B$2:$B$3052,B4054,AKTIVITAS!$E$2:$E$3052,H4054)&gt;0,1,0),0)</f>
        <v>0</v>
      </c>
      <c r="V4054" s="71">
        <f>IFERROR(IF(AND(H4054&gt;=INDEX(PEMAGANG!$J$3:$J$36,MATCH(B4054,PEMAGANG!$C$3:$C$36,0)),H4054&lt;=INDEX(PEMAGANG!$K$3:$K$36,MATCH(B4054,PEMAGANG!$C$3:$C$36,0))),1,0),0)</f>
        <v>1</v>
      </c>
      <c r="W4054" s="71">
        <f t="shared" si="575"/>
        <v>0</v>
      </c>
    </row>
    <row r="4055" spans="1:23" x14ac:dyDescent="0.2">
      <c r="A4055" s="71" t="s">
        <v>200</v>
      </c>
      <c r="B4055" s="71" t="s">
        <v>201</v>
      </c>
      <c r="C4055" s="71" t="s">
        <v>187</v>
      </c>
      <c r="D4055" s="71" t="s">
        <v>185</v>
      </c>
      <c r="E4055" s="71" t="s">
        <v>47</v>
      </c>
      <c r="F4055" s="71" t="s">
        <v>298</v>
      </c>
      <c r="G4055" s="88">
        <v>46288.3144328704</v>
      </c>
      <c r="H4055" s="89">
        <v>46288</v>
      </c>
      <c r="I4055" s="71" t="s">
        <v>338</v>
      </c>
      <c r="J4055" s="71">
        <v>1.99999999999999</v>
      </c>
      <c r="K4055" s="71" t="s">
        <v>293</v>
      </c>
      <c r="L4055" s="71">
        <f t="shared" si="567"/>
        <v>9</v>
      </c>
      <c r="M4055" s="71" t="str">
        <f>IFERROR(INDEX(KALENDER!$D$3:$D$132,MATCH(H4055,KALENDER!$A$3:$A$132,0)),"Di luar periode")</f>
        <v>Hari Kerja</v>
      </c>
      <c r="N4055" s="71">
        <f t="shared" si="568"/>
        <v>1</v>
      </c>
      <c r="O4055" s="71">
        <f t="shared" si="569"/>
        <v>1</v>
      </c>
      <c r="P4055" s="71">
        <f t="shared" si="570"/>
        <v>1</v>
      </c>
      <c r="Q4055" s="71">
        <f t="shared" si="571"/>
        <v>0</v>
      </c>
      <c r="R4055" s="71">
        <f t="shared" si="572"/>
        <v>1</v>
      </c>
      <c r="S4055" s="71">
        <f t="shared" si="573"/>
        <v>1.99999999999999</v>
      </c>
      <c r="T4055" s="71">
        <f t="shared" si="574"/>
        <v>0</v>
      </c>
      <c r="U4055" s="71">
        <f>IF(AND(N4055=1,V4055=1),IF(COUNTIFS(AKTIVITAS!$B$2:$B$3052,B4055,AKTIVITAS!$E$2:$E$3052,H4055)&gt;0,1,0),0)</f>
        <v>1</v>
      </c>
      <c r="V4055" s="71">
        <f>IFERROR(IF(AND(H4055&gt;=INDEX(PEMAGANG!$J$3:$J$36,MATCH(B4055,PEMAGANG!$C$3:$C$36,0)),H4055&lt;=INDEX(PEMAGANG!$K$3:$K$36,MATCH(B4055,PEMAGANG!$C$3:$C$36,0))),1,0),0)</f>
        <v>1</v>
      </c>
      <c r="W4055" s="71">
        <f t="shared" si="575"/>
        <v>1</v>
      </c>
    </row>
    <row r="4056" spans="1:23" x14ac:dyDescent="0.2">
      <c r="A4056" s="71" t="s">
        <v>200</v>
      </c>
      <c r="B4056" s="71" t="s">
        <v>201</v>
      </c>
      <c r="C4056" s="71" t="s">
        <v>187</v>
      </c>
      <c r="D4056" s="71" t="s">
        <v>185</v>
      </c>
      <c r="E4056" s="71" t="s">
        <v>47</v>
      </c>
      <c r="F4056" s="71" t="s">
        <v>300</v>
      </c>
      <c r="G4056" s="88">
        <v>46288.692280092597</v>
      </c>
      <c r="H4056" s="89">
        <v>46288</v>
      </c>
      <c r="I4056" s="71" t="s">
        <v>344</v>
      </c>
      <c r="J4056" s="71">
        <v>0</v>
      </c>
      <c r="K4056" s="71" t="s">
        <v>302</v>
      </c>
      <c r="L4056" s="71">
        <f t="shared" si="567"/>
        <v>9</v>
      </c>
      <c r="M4056" s="71" t="str">
        <f>IFERROR(INDEX(KALENDER!$D$3:$D$132,MATCH(H4056,KALENDER!$A$3:$A$132,0)),"Di luar periode")</f>
        <v>Hari Kerja</v>
      </c>
      <c r="N4056" s="71">
        <f t="shared" si="568"/>
        <v>0</v>
      </c>
      <c r="O4056" s="71">
        <f t="shared" si="569"/>
        <v>1</v>
      </c>
      <c r="P4056" s="71">
        <f t="shared" si="570"/>
        <v>0</v>
      </c>
      <c r="Q4056" s="71">
        <f t="shared" si="571"/>
        <v>0</v>
      </c>
      <c r="R4056" s="71">
        <f t="shared" si="572"/>
        <v>0</v>
      </c>
      <c r="S4056" s="71">
        <f t="shared" si="573"/>
        <v>0</v>
      </c>
      <c r="T4056" s="71">
        <f t="shared" si="574"/>
        <v>0</v>
      </c>
      <c r="U4056" s="71">
        <f>IF(AND(N4056=1,V4056=1),IF(COUNTIFS(AKTIVITAS!$B$2:$B$3052,B4056,AKTIVITAS!$E$2:$E$3052,H4056)&gt;0,1,0),0)</f>
        <v>0</v>
      </c>
      <c r="V4056" s="71">
        <f>IFERROR(IF(AND(H4056&gt;=INDEX(PEMAGANG!$J$3:$J$36,MATCH(B4056,PEMAGANG!$C$3:$C$36,0)),H4056&lt;=INDEX(PEMAGANG!$K$3:$K$36,MATCH(B4056,PEMAGANG!$C$3:$C$36,0))),1,0),0)</f>
        <v>1</v>
      </c>
      <c r="W4056" s="71">
        <f t="shared" si="575"/>
        <v>0</v>
      </c>
    </row>
    <row r="4057" spans="1:23" x14ac:dyDescent="0.2">
      <c r="A4057" s="71" t="s">
        <v>200</v>
      </c>
      <c r="B4057" s="71" t="s">
        <v>201</v>
      </c>
      <c r="C4057" s="71" t="s">
        <v>187</v>
      </c>
      <c r="D4057" s="71" t="s">
        <v>185</v>
      </c>
      <c r="E4057" s="71" t="s">
        <v>47</v>
      </c>
      <c r="F4057" s="71" t="s">
        <v>298</v>
      </c>
      <c r="G4057" s="88">
        <v>46289.309872685197</v>
      </c>
      <c r="H4057" s="89">
        <v>46289</v>
      </c>
      <c r="I4057" s="71" t="s">
        <v>315</v>
      </c>
      <c r="J4057" s="71">
        <v>-3.9999999999999898</v>
      </c>
      <c r="K4057" s="71" t="s">
        <v>302</v>
      </c>
      <c r="L4057" s="71">
        <f t="shared" si="567"/>
        <v>9</v>
      </c>
      <c r="M4057" s="71" t="str">
        <f>IFERROR(INDEX(KALENDER!$D$3:$D$132,MATCH(H4057,KALENDER!$A$3:$A$132,0)),"Di luar periode")</f>
        <v>Hari Kerja</v>
      </c>
      <c r="N4057" s="71">
        <f t="shared" si="568"/>
        <v>1</v>
      </c>
      <c r="O4057" s="71">
        <f t="shared" si="569"/>
        <v>1</v>
      </c>
      <c r="P4057" s="71">
        <f t="shared" si="570"/>
        <v>1</v>
      </c>
      <c r="Q4057" s="71">
        <f t="shared" si="571"/>
        <v>0</v>
      </c>
      <c r="R4057" s="71">
        <f t="shared" si="572"/>
        <v>0</v>
      </c>
      <c r="S4057" s="71">
        <f t="shared" si="573"/>
        <v>0</v>
      </c>
      <c r="T4057" s="71">
        <f t="shared" si="574"/>
        <v>0</v>
      </c>
      <c r="U4057" s="71">
        <f>IF(AND(N4057=1,V4057=1),IF(COUNTIFS(AKTIVITAS!$B$2:$B$3052,B4057,AKTIVITAS!$E$2:$E$3052,H4057)&gt;0,1,0),0)</f>
        <v>1</v>
      </c>
      <c r="V4057" s="71">
        <f>IFERROR(IF(AND(H4057&gt;=INDEX(PEMAGANG!$J$3:$J$36,MATCH(B4057,PEMAGANG!$C$3:$C$36,0)),H4057&lt;=INDEX(PEMAGANG!$K$3:$K$36,MATCH(B4057,PEMAGANG!$C$3:$C$36,0))),1,0),0)</f>
        <v>1</v>
      </c>
      <c r="W4057" s="71">
        <f t="shared" si="575"/>
        <v>1</v>
      </c>
    </row>
    <row r="4058" spans="1:23" x14ac:dyDescent="0.2">
      <c r="A4058" s="71" t="s">
        <v>200</v>
      </c>
      <c r="B4058" s="71" t="s">
        <v>201</v>
      </c>
      <c r="C4058" s="71" t="s">
        <v>187</v>
      </c>
      <c r="D4058" s="71" t="s">
        <v>185</v>
      </c>
      <c r="E4058" s="71" t="s">
        <v>47</v>
      </c>
      <c r="F4058" s="71" t="s">
        <v>300</v>
      </c>
      <c r="G4058" s="88">
        <v>46289.691099536998</v>
      </c>
      <c r="H4058" s="89">
        <v>46289</v>
      </c>
      <c r="I4058" s="71" t="s">
        <v>310</v>
      </c>
      <c r="J4058" s="71">
        <v>0</v>
      </c>
      <c r="K4058" s="71" t="s">
        <v>302</v>
      </c>
      <c r="L4058" s="71">
        <f t="shared" si="567"/>
        <v>9</v>
      </c>
      <c r="M4058" s="71" t="str">
        <f>IFERROR(INDEX(KALENDER!$D$3:$D$132,MATCH(H4058,KALENDER!$A$3:$A$132,0)),"Di luar periode")</f>
        <v>Hari Kerja</v>
      </c>
      <c r="N4058" s="71">
        <f t="shared" si="568"/>
        <v>0</v>
      </c>
      <c r="O4058" s="71">
        <f t="shared" si="569"/>
        <v>1</v>
      </c>
      <c r="P4058" s="71">
        <f t="shared" si="570"/>
        <v>0</v>
      </c>
      <c r="Q4058" s="71">
        <f t="shared" si="571"/>
        <v>0</v>
      </c>
      <c r="R4058" s="71">
        <f t="shared" si="572"/>
        <v>0</v>
      </c>
      <c r="S4058" s="71">
        <f t="shared" si="573"/>
        <v>0</v>
      </c>
      <c r="T4058" s="71">
        <f t="shared" si="574"/>
        <v>0</v>
      </c>
      <c r="U4058" s="71">
        <f>IF(AND(N4058=1,V4058=1),IF(COUNTIFS(AKTIVITAS!$B$2:$B$3052,B4058,AKTIVITAS!$E$2:$E$3052,H4058)&gt;0,1,0),0)</f>
        <v>0</v>
      </c>
      <c r="V4058" s="71">
        <f>IFERROR(IF(AND(H4058&gt;=INDEX(PEMAGANG!$J$3:$J$36,MATCH(B4058,PEMAGANG!$C$3:$C$36,0)),H4058&lt;=INDEX(PEMAGANG!$K$3:$K$36,MATCH(B4058,PEMAGANG!$C$3:$C$36,0))),1,0),0)</f>
        <v>1</v>
      </c>
      <c r="W4058" s="71">
        <f t="shared" si="575"/>
        <v>0</v>
      </c>
    </row>
    <row r="4059" spans="1:23" x14ac:dyDescent="0.2">
      <c r="A4059" s="71" t="s">
        <v>200</v>
      </c>
      <c r="B4059" s="71" t="s">
        <v>201</v>
      </c>
      <c r="C4059" s="71" t="s">
        <v>187</v>
      </c>
      <c r="D4059" s="71" t="s">
        <v>185</v>
      </c>
      <c r="E4059" s="71" t="s">
        <v>47</v>
      </c>
      <c r="F4059" s="71" t="s">
        <v>298</v>
      </c>
      <c r="G4059" s="88">
        <v>46290.306481481501</v>
      </c>
      <c r="H4059" s="89">
        <v>46290</v>
      </c>
      <c r="I4059" s="71" t="s">
        <v>305</v>
      </c>
      <c r="J4059" s="71">
        <v>-9.0000000000000497</v>
      </c>
      <c r="K4059" s="71" t="s">
        <v>302</v>
      </c>
      <c r="L4059" s="71">
        <f t="shared" si="567"/>
        <v>9</v>
      </c>
      <c r="M4059" s="71" t="str">
        <f>IFERROR(INDEX(KALENDER!$D$3:$D$132,MATCH(H4059,KALENDER!$A$3:$A$132,0)),"Di luar periode")</f>
        <v>Hari Kerja</v>
      </c>
      <c r="N4059" s="71">
        <f t="shared" si="568"/>
        <v>1</v>
      </c>
      <c r="O4059" s="71">
        <f t="shared" si="569"/>
        <v>1</v>
      </c>
      <c r="P4059" s="71">
        <f t="shared" si="570"/>
        <v>1</v>
      </c>
      <c r="Q4059" s="71">
        <f t="shared" si="571"/>
        <v>0</v>
      </c>
      <c r="R4059" s="71">
        <f t="shared" si="572"/>
        <v>0</v>
      </c>
      <c r="S4059" s="71">
        <f t="shared" si="573"/>
        <v>0</v>
      </c>
      <c r="T4059" s="71">
        <f t="shared" si="574"/>
        <v>0</v>
      </c>
      <c r="U4059" s="71">
        <f>IF(AND(N4059=1,V4059=1),IF(COUNTIFS(AKTIVITAS!$B$2:$B$3052,B4059,AKTIVITAS!$E$2:$E$3052,H4059)&gt;0,1,0),0)</f>
        <v>0</v>
      </c>
      <c r="V4059" s="71">
        <f>IFERROR(IF(AND(H4059&gt;=INDEX(PEMAGANG!$J$3:$J$36,MATCH(B4059,PEMAGANG!$C$3:$C$36,0)),H4059&lt;=INDEX(PEMAGANG!$K$3:$K$36,MATCH(B4059,PEMAGANG!$C$3:$C$36,0))),1,0),0)</f>
        <v>1</v>
      </c>
      <c r="W4059" s="71">
        <f t="shared" si="575"/>
        <v>1</v>
      </c>
    </row>
    <row r="4060" spans="1:23" x14ac:dyDescent="0.2">
      <c r="A4060" s="71" t="s">
        <v>200</v>
      </c>
      <c r="B4060" s="71" t="s">
        <v>201</v>
      </c>
      <c r="C4060" s="71" t="s">
        <v>187</v>
      </c>
      <c r="D4060" s="71" t="s">
        <v>185</v>
      </c>
      <c r="E4060" s="71" t="s">
        <v>47</v>
      </c>
      <c r="F4060" s="71" t="s">
        <v>300</v>
      </c>
      <c r="G4060" s="88">
        <v>46290.779120370396</v>
      </c>
      <c r="H4060" s="89">
        <v>46290</v>
      </c>
      <c r="I4060" s="71" t="s">
        <v>633</v>
      </c>
      <c r="J4060" s="71">
        <v>0</v>
      </c>
      <c r="K4060" s="71" t="s">
        <v>302</v>
      </c>
      <c r="L4060" s="71">
        <f t="shared" si="567"/>
        <v>9</v>
      </c>
      <c r="M4060" s="71" t="str">
        <f>IFERROR(INDEX(KALENDER!$D$3:$D$132,MATCH(H4060,KALENDER!$A$3:$A$132,0)),"Di luar periode")</f>
        <v>Hari Kerja</v>
      </c>
      <c r="N4060" s="71">
        <f t="shared" si="568"/>
        <v>0</v>
      </c>
      <c r="O4060" s="71">
        <f t="shared" si="569"/>
        <v>1</v>
      </c>
      <c r="P4060" s="71">
        <f t="shared" si="570"/>
        <v>0</v>
      </c>
      <c r="Q4060" s="71">
        <f t="shared" si="571"/>
        <v>0</v>
      </c>
      <c r="R4060" s="71">
        <f t="shared" si="572"/>
        <v>0</v>
      </c>
      <c r="S4060" s="71">
        <f t="shared" si="573"/>
        <v>0</v>
      </c>
      <c r="T4060" s="71">
        <f t="shared" si="574"/>
        <v>0</v>
      </c>
      <c r="U4060" s="71">
        <f>IF(AND(N4060=1,V4060=1),IF(COUNTIFS(AKTIVITAS!$B$2:$B$3052,B4060,AKTIVITAS!$E$2:$E$3052,H4060)&gt;0,1,0),0)</f>
        <v>0</v>
      </c>
      <c r="V4060" s="71">
        <f>IFERROR(IF(AND(H4060&gt;=INDEX(PEMAGANG!$J$3:$J$36,MATCH(B4060,PEMAGANG!$C$3:$C$36,0)),H4060&lt;=INDEX(PEMAGANG!$K$3:$K$36,MATCH(B4060,PEMAGANG!$C$3:$C$36,0))),1,0),0)</f>
        <v>1</v>
      </c>
      <c r="W4060" s="71">
        <f t="shared" si="575"/>
        <v>0</v>
      </c>
    </row>
    <row r="4061" spans="1:23" x14ac:dyDescent="0.2">
      <c r="A4061" s="71" t="s">
        <v>200</v>
      </c>
      <c r="B4061" s="71" t="s">
        <v>201</v>
      </c>
      <c r="C4061" s="71" t="s">
        <v>187</v>
      </c>
      <c r="D4061" s="71" t="s">
        <v>185</v>
      </c>
      <c r="E4061" s="71" t="s">
        <v>47</v>
      </c>
      <c r="F4061" s="71" t="s">
        <v>298</v>
      </c>
      <c r="G4061" s="88">
        <v>46293.305891203701</v>
      </c>
      <c r="H4061" s="89">
        <v>46293</v>
      </c>
      <c r="I4061" s="71" t="s">
        <v>329</v>
      </c>
      <c r="J4061" s="71">
        <v>-10</v>
      </c>
      <c r="K4061" s="71" t="s">
        <v>302</v>
      </c>
      <c r="L4061" s="71">
        <f t="shared" si="567"/>
        <v>9</v>
      </c>
      <c r="M4061" s="71" t="str">
        <f>IFERROR(INDEX(KALENDER!$D$3:$D$132,MATCH(H4061,KALENDER!$A$3:$A$132,0)),"Di luar periode")</f>
        <v>Hari Kerja</v>
      </c>
      <c r="N4061" s="71">
        <f t="shared" si="568"/>
        <v>1</v>
      </c>
      <c r="O4061" s="71">
        <f t="shared" si="569"/>
        <v>1</v>
      </c>
      <c r="P4061" s="71">
        <f t="shared" si="570"/>
        <v>1</v>
      </c>
      <c r="Q4061" s="71">
        <f t="shared" si="571"/>
        <v>0</v>
      </c>
      <c r="R4061" s="71">
        <f t="shared" si="572"/>
        <v>0</v>
      </c>
      <c r="S4061" s="71">
        <f t="shared" si="573"/>
        <v>0</v>
      </c>
      <c r="T4061" s="71">
        <f t="shared" si="574"/>
        <v>0</v>
      </c>
      <c r="U4061" s="71">
        <f>IF(AND(N4061=1,V4061=1),IF(COUNTIFS(AKTIVITAS!$B$2:$B$3052,B4061,AKTIVITAS!$E$2:$E$3052,H4061)&gt;0,1,0),0)</f>
        <v>1</v>
      </c>
      <c r="V4061" s="71">
        <f>IFERROR(IF(AND(H4061&gt;=INDEX(PEMAGANG!$J$3:$J$36,MATCH(B4061,PEMAGANG!$C$3:$C$36,0)),H4061&lt;=INDEX(PEMAGANG!$K$3:$K$36,MATCH(B4061,PEMAGANG!$C$3:$C$36,0))),1,0),0)</f>
        <v>1</v>
      </c>
      <c r="W4061" s="71">
        <f t="shared" si="575"/>
        <v>1</v>
      </c>
    </row>
    <row r="4062" spans="1:23" x14ac:dyDescent="0.2">
      <c r="A4062" s="71" t="s">
        <v>200</v>
      </c>
      <c r="B4062" s="71" t="s">
        <v>201</v>
      </c>
      <c r="C4062" s="71" t="s">
        <v>187</v>
      </c>
      <c r="D4062" s="71" t="s">
        <v>185</v>
      </c>
      <c r="E4062" s="71" t="s">
        <v>47</v>
      </c>
      <c r="F4062" s="71" t="s">
        <v>300</v>
      </c>
      <c r="G4062" s="88">
        <v>46293.704074074099</v>
      </c>
      <c r="H4062" s="89">
        <v>46293</v>
      </c>
      <c r="I4062" s="71" t="s">
        <v>403</v>
      </c>
      <c r="J4062" s="71">
        <v>0</v>
      </c>
      <c r="K4062" s="71" t="s">
        <v>302</v>
      </c>
      <c r="L4062" s="71">
        <f t="shared" si="567"/>
        <v>9</v>
      </c>
      <c r="M4062" s="71" t="str">
        <f>IFERROR(INDEX(KALENDER!$D$3:$D$132,MATCH(H4062,KALENDER!$A$3:$A$132,0)),"Di luar periode")</f>
        <v>Hari Kerja</v>
      </c>
      <c r="N4062" s="71">
        <f t="shared" si="568"/>
        <v>0</v>
      </c>
      <c r="O4062" s="71">
        <f t="shared" si="569"/>
        <v>1</v>
      </c>
      <c r="P4062" s="71">
        <f t="shared" si="570"/>
        <v>0</v>
      </c>
      <c r="Q4062" s="71">
        <f t="shared" si="571"/>
        <v>0</v>
      </c>
      <c r="R4062" s="71">
        <f t="shared" si="572"/>
        <v>0</v>
      </c>
      <c r="S4062" s="71">
        <f t="shared" si="573"/>
        <v>0</v>
      </c>
      <c r="T4062" s="71">
        <f t="shared" si="574"/>
        <v>0</v>
      </c>
      <c r="U4062" s="71">
        <f>IF(AND(N4062=1,V4062=1),IF(COUNTIFS(AKTIVITAS!$B$2:$B$3052,B4062,AKTIVITAS!$E$2:$E$3052,H4062)&gt;0,1,0),0)</f>
        <v>0</v>
      </c>
      <c r="V4062" s="71">
        <f>IFERROR(IF(AND(H4062&gt;=INDEX(PEMAGANG!$J$3:$J$36,MATCH(B4062,PEMAGANG!$C$3:$C$36,0)),H4062&lt;=INDEX(PEMAGANG!$K$3:$K$36,MATCH(B4062,PEMAGANG!$C$3:$C$36,0))),1,0),0)</f>
        <v>1</v>
      </c>
      <c r="W4062" s="71">
        <f t="shared" si="575"/>
        <v>0</v>
      </c>
    </row>
    <row r="4063" spans="1:23" x14ac:dyDescent="0.2">
      <c r="A4063" s="71" t="s">
        <v>200</v>
      </c>
      <c r="B4063" s="71" t="s">
        <v>201</v>
      </c>
      <c r="C4063" s="71" t="s">
        <v>187</v>
      </c>
      <c r="D4063" s="71" t="s">
        <v>185</v>
      </c>
      <c r="E4063" s="71" t="s">
        <v>47</v>
      </c>
      <c r="F4063" s="71" t="s">
        <v>298</v>
      </c>
      <c r="G4063" s="88">
        <v>46294.297800925902</v>
      </c>
      <c r="H4063" s="89">
        <v>46294</v>
      </c>
      <c r="I4063" s="71" t="s">
        <v>486</v>
      </c>
      <c r="J4063" s="71">
        <v>-22</v>
      </c>
      <c r="K4063" s="71" t="s">
        <v>302</v>
      </c>
      <c r="L4063" s="71">
        <f t="shared" si="567"/>
        <v>9</v>
      </c>
      <c r="M4063" s="71" t="str">
        <f>IFERROR(INDEX(KALENDER!$D$3:$D$132,MATCH(H4063,KALENDER!$A$3:$A$132,0)),"Di luar periode")</f>
        <v>Hari Kerja</v>
      </c>
      <c r="N4063" s="71">
        <f t="shared" si="568"/>
        <v>1</v>
      </c>
      <c r="O4063" s="71">
        <f t="shared" si="569"/>
        <v>1</v>
      </c>
      <c r="P4063" s="71">
        <f t="shared" si="570"/>
        <v>1</v>
      </c>
      <c r="Q4063" s="71">
        <f t="shared" si="571"/>
        <v>0</v>
      </c>
      <c r="R4063" s="71">
        <f t="shared" si="572"/>
        <v>0</v>
      </c>
      <c r="S4063" s="71">
        <f t="shared" si="573"/>
        <v>0</v>
      </c>
      <c r="T4063" s="71">
        <f t="shared" si="574"/>
        <v>0</v>
      </c>
      <c r="U4063" s="71">
        <f>IF(AND(N4063=1,V4063=1),IF(COUNTIFS(AKTIVITAS!$B$2:$B$3052,B4063,AKTIVITAS!$E$2:$E$3052,H4063)&gt;0,1,0),0)</f>
        <v>1</v>
      </c>
      <c r="V4063" s="71">
        <f>IFERROR(IF(AND(H4063&gt;=INDEX(PEMAGANG!$J$3:$J$36,MATCH(B4063,PEMAGANG!$C$3:$C$36,0)),H4063&lt;=INDEX(PEMAGANG!$K$3:$K$36,MATCH(B4063,PEMAGANG!$C$3:$C$36,0))),1,0),0)</f>
        <v>1</v>
      </c>
      <c r="W4063" s="71">
        <f t="shared" si="575"/>
        <v>1</v>
      </c>
    </row>
    <row r="4064" spans="1:23" x14ac:dyDescent="0.2">
      <c r="A4064" s="71" t="s">
        <v>200</v>
      </c>
      <c r="B4064" s="71" t="s">
        <v>201</v>
      </c>
      <c r="C4064" s="71" t="s">
        <v>187</v>
      </c>
      <c r="D4064" s="71" t="s">
        <v>185</v>
      </c>
      <c r="E4064" s="71" t="s">
        <v>47</v>
      </c>
      <c r="F4064" s="71" t="s">
        <v>300</v>
      </c>
      <c r="G4064" s="88">
        <v>46294.688599537003</v>
      </c>
      <c r="H4064" s="89">
        <v>46294</v>
      </c>
      <c r="I4064" s="71" t="s">
        <v>336</v>
      </c>
      <c r="J4064" s="71">
        <v>0</v>
      </c>
      <c r="K4064" s="71" t="s">
        <v>302</v>
      </c>
      <c r="L4064" s="71">
        <f t="shared" si="567"/>
        <v>9</v>
      </c>
      <c r="M4064" s="71" t="str">
        <f>IFERROR(INDEX(KALENDER!$D$3:$D$132,MATCH(H4064,KALENDER!$A$3:$A$132,0)),"Di luar periode")</f>
        <v>Hari Kerja</v>
      </c>
      <c r="N4064" s="71">
        <f t="shared" si="568"/>
        <v>0</v>
      </c>
      <c r="O4064" s="71">
        <f t="shared" si="569"/>
        <v>1</v>
      </c>
      <c r="P4064" s="71">
        <f t="shared" si="570"/>
        <v>0</v>
      </c>
      <c r="Q4064" s="71">
        <f t="shared" si="571"/>
        <v>0</v>
      </c>
      <c r="R4064" s="71">
        <f t="shared" si="572"/>
        <v>0</v>
      </c>
      <c r="S4064" s="71">
        <f t="shared" si="573"/>
        <v>0</v>
      </c>
      <c r="T4064" s="71">
        <f t="shared" si="574"/>
        <v>0</v>
      </c>
      <c r="U4064" s="71">
        <f>IF(AND(N4064=1,V4064=1),IF(COUNTIFS(AKTIVITAS!$B$2:$B$3052,B4064,AKTIVITAS!$E$2:$E$3052,H4064)&gt;0,1,0),0)</f>
        <v>0</v>
      </c>
      <c r="V4064" s="71">
        <f>IFERROR(IF(AND(H4064&gt;=INDEX(PEMAGANG!$J$3:$J$36,MATCH(B4064,PEMAGANG!$C$3:$C$36,0)),H4064&lt;=INDEX(PEMAGANG!$K$3:$K$36,MATCH(B4064,PEMAGANG!$C$3:$C$36,0))),1,0),0)</f>
        <v>1</v>
      </c>
      <c r="W4064" s="71">
        <f t="shared" si="575"/>
        <v>0</v>
      </c>
    </row>
    <row r="4065" spans="1:23" x14ac:dyDescent="0.2">
      <c r="A4065" s="71" t="s">
        <v>200</v>
      </c>
      <c r="B4065" s="71" t="s">
        <v>201</v>
      </c>
      <c r="C4065" s="71" t="s">
        <v>187</v>
      </c>
      <c r="D4065" s="71" t="s">
        <v>185</v>
      </c>
      <c r="E4065" s="71" t="s">
        <v>47</v>
      </c>
      <c r="F4065" s="71" t="s">
        <v>298</v>
      </c>
      <c r="G4065" s="88">
        <v>46295.312314814801</v>
      </c>
      <c r="H4065" s="89">
        <v>46295</v>
      </c>
      <c r="I4065" s="71" t="s">
        <v>365</v>
      </c>
      <c r="J4065" s="71">
        <v>-0.999999999999996</v>
      </c>
      <c r="K4065" s="71" t="s">
        <v>302</v>
      </c>
      <c r="L4065" s="71">
        <f t="shared" si="567"/>
        <v>9</v>
      </c>
      <c r="M4065" s="71" t="str">
        <f>IFERROR(INDEX(KALENDER!$D$3:$D$132,MATCH(H4065,KALENDER!$A$3:$A$132,0)),"Di luar periode")</f>
        <v>Hari Kerja</v>
      </c>
      <c r="N4065" s="71">
        <f t="shared" si="568"/>
        <v>1</v>
      </c>
      <c r="O4065" s="71">
        <f t="shared" si="569"/>
        <v>1</v>
      </c>
      <c r="P4065" s="71">
        <f t="shared" si="570"/>
        <v>1</v>
      </c>
      <c r="Q4065" s="71">
        <f t="shared" si="571"/>
        <v>0</v>
      </c>
      <c r="R4065" s="71">
        <f t="shared" si="572"/>
        <v>0</v>
      </c>
      <c r="S4065" s="71">
        <f t="shared" si="573"/>
        <v>0</v>
      </c>
      <c r="T4065" s="71">
        <f t="shared" si="574"/>
        <v>0</v>
      </c>
      <c r="U4065" s="71">
        <f>IF(AND(N4065=1,V4065=1),IF(COUNTIFS(AKTIVITAS!$B$2:$B$3052,B4065,AKTIVITAS!$E$2:$E$3052,H4065)&gt;0,1,0),0)</f>
        <v>1</v>
      </c>
      <c r="V4065" s="71">
        <f>IFERROR(IF(AND(H4065&gt;=INDEX(PEMAGANG!$J$3:$J$36,MATCH(B4065,PEMAGANG!$C$3:$C$36,0)),H4065&lt;=INDEX(PEMAGANG!$K$3:$K$36,MATCH(B4065,PEMAGANG!$C$3:$C$36,0))),1,0),0)</f>
        <v>1</v>
      </c>
      <c r="W4065" s="71">
        <f t="shared" si="575"/>
        <v>1</v>
      </c>
    </row>
    <row r="4066" spans="1:23" x14ac:dyDescent="0.2">
      <c r="A4066" s="71" t="s">
        <v>200</v>
      </c>
      <c r="B4066" s="71" t="s">
        <v>201</v>
      </c>
      <c r="C4066" s="71" t="s">
        <v>187</v>
      </c>
      <c r="D4066" s="71" t="s">
        <v>185</v>
      </c>
      <c r="E4066" s="71" t="s">
        <v>47</v>
      </c>
      <c r="F4066" s="71" t="s">
        <v>300</v>
      </c>
      <c r="G4066" s="88">
        <v>46295.704756944499</v>
      </c>
      <c r="H4066" s="89">
        <v>46295</v>
      </c>
      <c r="I4066" s="71" t="s">
        <v>394</v>
      </c>
      <c r="J4066" s="71">
        <v>0</v>
      </c>
      <c r="K4066" s="71" t="s">
        <v>302</v>
      </c>
      <c r="L4066" s="71">
        <f t="shared" si="567"/>
        <v>9</v>
      </c>
      <c r="M4066" s="71" t="str">
        <f>IFERROR(INDEX(KALENDER!$D$3:$D$132,MATCH(H4066,KALENDER!$A$3:$A$132,0)),"Di luar periode")</f>
        <v>Hari Kerja</v>
      </c>
      <c r="N4066" s="71">
        <f t="shared" si="568"/>
        <v>0</v>
      </c>
      <c r="O4066" s="71">
        <f t="shared" si="569"/>
        <v>1</v>
      </c>
      <c r="P4066" s="71">
        <f t="shared" si="570"/>
        <v>0</v>
      </c>
      <c r="Q4066" s="71">
        <f t="shared" si="571"/>
        <v>0</v>
      </c>
      <c r="R4066" s="71">
        <f t="shared" si="572"/>
        <v>0</v>
      </c>
      <c r="S4066" s="71">
        <f t="shared" si="573"/>
        <v>0</v>
      </c>
      <c r="T4066" s="71">
        <f t="shared" si="574"/>
        <v>0</v>
      </c>
      <c r="U4066" s="71">
        <f>IF(AND(N4066=1,V4066=1),IF(COUNTIFS(AKTIVITAS!$B$2:$B$3052,B4066,AKTIVITAS!$E$2:$E$3052,H4066)&gt;0,1,0),0)</f>
        <v>0</v>
      </c>
      <c r="V4066" s="71">
        <f>IFERROR(IF(AND(H4066&gt;=INDEX(PEMAGANG!$J$3:$J$36,MATCH(B4066,PEMAGANG!$C$3:$C$36,0)),H4066&lt;=INDEX(PEMAGANG!$K$3:$K$36,MATCH(B4066,PEMAGANG!$C$3:$C$36,0))),1,0),0)</f>
        <v>1</v>
      </c>
      <c r="W4066" s="71">
        <f t="shared" si="575"/>
        <v>0</v>
      </c>
    </row>
    <row r="4067" spans="1:23" x14ac:dyDescent="0.2">
      <c r="A4067" s="71" t="s">
        <v>264</v>
      </c>
      <c r="B4067" s="71" t="s">
        <v>265</v>
      </c>
      <c r="C4067" s="71" t="s">
        <v>187</v>
      </c>
      <c r="D4067" s="71" t="s">
        <v>259</v>
      </c>
      <c r="E4067" s="71" t="s">
        <v>55</v>
      </c>
      <c r="F4067" s="71" t="s">
        <v>298</v>
      </c>
      <c r="G4067" s="88">
        <v>46279.453159722201</v>
      </c>
      <c r="H4067" s="89">
        <v>46279</v>
      </c>
      <c r="I4067" s="71" t="s">
        <v>472</v>
      </c>
      <c r="J4067" s="71">
        <v>202</v>
      </c>
      <c r="K4067" s="71" t="s">
        <v>293</v>
      </c>
      <c r="L4067" s="71">
        <f t="shared" si="567"/>
        <v>9</v>
      </c>
      <c r="M4067" s="71" t="str">
        <f>IFERROR(INDEX(KALENDER!$D$3:$D$132,MATCH(H4067,KALENDER!$A$3:$A$132,0)),"Di luar periode")</f>
        <v>Hari Kerja</v>
      </c>
      <c r="N4067" s="71">
        <f t="shared" si="568"/>
        <v>1</v>
      </c>
      <c r="O4067" s="71">
        <f t="shared" si="569"/>
        <v>1</v>
      </c>
      <c r="P4067" s="71">
        <f t="shared" si="570"/>
        <v>1</v>
      </c>
      <c r="Q4067" s="71">
        <f t="shared" si="571"/>
        <v>0</v>
      </c>
      <c r="R4067" s="71">
        <f t="shared" si="572"/>
        <v>1</v>
      </c>
      <c r="S4067" s="71">
        <f t="shared" si="573"/>
        <v>202</v>
      </c>
      <c r="T4067" s="71">
        <f t="shared" si="574"/>
        <v>0</v>
      </c>
      <c r="U4067" s="71">
        <f>IF(AND(N4067=1,V4067=1),IF(COUNTIFS(AKTIVITAS!$B$2:$B$3052,B4067,AKTIVITAS!$E$2:$E$3052,H4067)&gt;0,1,0),0)</f>
        <v>1</v>
      </c>
      <c r="V4067" s="71">
        <f>IFERROR(IF(AND(H4067&gt;=INDEX(PEMAGANG!$J$3:$J$36,MATCH(B4067,PEMAGANG!$C$3:$C$36,0)),H4067&lt;=INDEX(PEMAGANG!$K$3:$K$36,MATCH(B4067,PEMAGANG!$C$3:$C$36,0))),1,0),0)</f>
        <v>1</v>
      </c>
      <c r="W4067" s="71">
        <f t="shared" si="575"/>
        <v>1</v>
      </c>
    </row>
    <row r="4068" spans="1:23" x14ac:dyDescent="0.2">
      <c r="A4068" s="71" t="s">
        <v>264</v>
      </c>
      <c r="B4068" s="71" t="s">
        <v>265</v>
      </c>
      <c r="C4068" s="71" t="s">
        <v>187</v>
      </c>
      <c r="D4068" s="71" t="s">
        <v>259</v>
      </c>
      <c r="E4068" s="71" t="s">
        <v>55</v>
      </c>
      <c r="F4068" s="71" t="s">
        <v>300</v>
      </c>
      <c r="G4068" s="88">
        <v>46279.6972453704</v>
      </c>
      <c r="H4068" s="89">
        <v>46279</v>
      </c>
      <c r="I4068" s="71" t="s">
        <v>312</v>
      </c>
      <c r="J4068" s="71">
        <v>0</v>
      </c>
      <c r="K4068" s="71" t="s">
        <v>302</v>
      </c>
      <c r="L4068" s="71">
        <f t="shared" si="567"/>
        <v>9</v>
      </c>
      <c r="M4068" s="71" t="str">
        <f>IFERROR(INDEX(KALENDER!$D$3:$D$132,MATCH(H4068,KALENDER!$A$3:$A$132,0)),"Di luar periode")</f>
        <v>Hari Kerja</v>
      </c>
      <c r="N4068" s="71">
        <f t="shared" si="568"/>
        <v>0</v>
      </c>
      <c r="O4068" s="71">
        <f t="shared" si="569"/>
        <v>1</v>
      </c>
      <c r="P4068" s="71">
        <f t="shared" si="570"/>
        <v>0</v>
      </c>
      <c r="Q4068" s="71">
        <f t="shared" si="571"/>
        <v>0</v>
      </c>
      <c r="R4068" s="71">
        <f t="shared" si="572"/>
        <v>0</v>
      </c>
      <c r="S4068" s="71">
        <f t="shared" si="573"/>
        <v>0</v>
      </c>
      <c r="T4068" s="71">
        <f t="shared" si="574"/>
        <v>0</v>
      </c>
      <c r="U4068" s="71">
        <f>IF(AND(N4068=1,V4068=1),IF(COUNTIFS(AKTIVITAS!$B$2:$B$3052,B4068,AKTIVITAS!$E$2:$E$3052,H4068)&gt;0,1,0),0)</f>
        <v>0</v>
      </c>
      <c r="V4068" s="71">
        <f>IFERROR(IF(AND(H4068&gt;=INDEX(PEMAGANG!$J$3:$J$36,MATCH(B4068,PEMAGANG!$C$3:$C$36,0)),H4068&lt;=INDEX(PEMAGANG!$K$3:$K$36,MATCH(B4068,PEMAGANG!$C$3:$C$36,0))),1,0),0)</f>
        <v>1</v>
      </c>
      <c r="W4068" s="71">
        <f t="shared" si="575"/>
        <v>0</v>
      </c>
    </row>
    <row r="4069" spans="1:23" x14ac:dyDescent="0.2">
      <c r="A4069" s="71" t="s">
        <v>264</v>
      </c>
      <c r="B4069" s="71" t="s">
        <v>265</v>
      </c>
      <c r="C4069" s="71" t="s">
        <v>187</v>
      </c>
      <c r="D4069" s="71" t="s">
        <v>259</v>
      </c>
      <c r="E4069" s="71" t="s">
        <v>55</v>
      </c>
      <c r="F4069" s="71" t="s">
        <v>298</v>
      </c>
      <c r="G4069" s="88">
        <v>46280.2918055556</v>
      </c>
      <c r="H4069" s="89">
        <v>46280</v>
      </c>
      <c r="I4069" s="71" t="s">
        <v>615</v>
      </c>
      <c r="J4069" s="71">
        <v>-30</v>
      </c>
      <c r="K4069" s="71" t="s">
        <v>302</v>
      </c>
      <c r="L4069" s="71">
        <f t="shared" si="567"/>
        <v>9</v>
      </c>
      <c r="M4069" s="71" t="str">
        <f>IFERROR(INDEX(KALENDER!$D$3:$D$132,MATCH(H4069,KALENDER!$A$3:$A$132,0)),"Di luar periode")</f>
        <v>Hari Kerja</v>
      </c>
      <c r="N4069" s="71">
        <f t="shared" si="568"/>
        <v>1</v>
      </c>
      <c r="O4069" s="71">
        <f t="shared" si="569"/>
        <v>1</v>
      </c>
      <c r="P4069" s="71">
        <f t="shared" si="570"/>
        <v>1</v>
      </c>
      <c r="Q4069" s="71">
        <f t="shared" si="571"/>
        <v>0</v>
      </c>
      <c r="R4069" s="71">
        <f t="shared" si="572"/>
        <v>0</v>
      </c>
      <c r="S4069" s="71">
        <f t="shared" si="573"/>
        <v>0</v>
      </c>
      <c r="T4069" s="71">
        <f t="shared" si="574"/>
        <v>0</v>
      </c>
      <c r="U4069" s="71">
        <f>IF(AND(N4069=1,V4069=1),IF(COUNTIFS(AKTIVITAS!$B$2:$B$3052,B4069,AKTIVITAS!$E$2:$E$3052,H4069)&gt;0,1,0),0)</f>
        <v>1</v>
      </c>
      <c r="V4069" s="71">
        <f>IFERROR(IF(AND(H4069&gt;=INDEX(PEMAGANG!$J$3:$J$36,MATCH(B4069,PEMAGANG!$C$3:$C$36,0)),H4069&lt;=INDEX(PEMAGANG!$K$3:$K$36,MATCH(B4069,PEMAGANG!$C$3:$C$36,0))),1,0),0)</f>
        <v>1</v>
      </c>
      <c r="W4069" s="71">
        <f t="shared" si="575"/>
        <v>1</v>
      </c>
    </row>
    <row r="4070" spans="1:23" x14ac:dyDescent="0.2">
      <c r="A4070" s="71" t="s">
        <v>264</v>
      </c>
      <c r="B4070" s="71" t="s">
        <v>265</v>
      </c>
      <c r="C4070" s="71" t="s">
        <v>187</v>
      </c>
      <c r="D4070" s="71" t="s">
        <v>259</v>
      </c>
      <c r="E4070" s="71" t="s">
        <v>55</v>
      </c>
      <c r="F4070" s="71" t="s">
        <v>300</v>
      </c>
      <c r="G4070" s="88">
        <v>46280.712754629603</v>
      </c>
      <c r="H4070" s="89">
        <v>46280</v>
      </c>
      <c r="I4070" s="71" t="s">
        <v>371</v>
      </c>
      <c r="J4070" s="71">
        <v>0</v>
      </c>
      <c r="K4070" s="71" t="s">
        <v>302</v>
      </c>
      <c r="L4070" s="71">
        <f t="shared" si="567"/>
        <v>9</v>
      </c>
      <c r="M4070" s="71" t="str">
        <f>IFERROR(INDEX(KALENDER!$D$3:$D$132,MATCH(H4070,KALENDER!$A$3:$A$132,0)),"Di luar periode")</f>
        <v>Hari Kerja</v>
      </c>
      <c r="N4070" s="71">
        <f t="shared" si="568"/>
        <v>0</v>
      </c>
      <c r="O4070" s="71">
        <f t="shared" si="569"/>
        <v>1</v>
      </c>
      <c r="P4070" s="71">
        <f t="shared" si="570"/>
        <v>0</v>
      </c>
      <c r="Q4070" s="71">
        <f t="shared" si="571"/>
        <v>0</v>
      </c>
      <c r="R4070" s="71">
        <f t="shared" si="572"/>
        <v>0</v>
      </c>
      <c r="S4070" s="71">
        <f t="shared" si="573"/>
        <v>0</v>
      </c>
      <c r="T4070" s="71">
        <f t="shared" si="574"/>
        <v>0</v>
      </c>
      <c r="U4070" s="71">
        <f>IF(AND(N4070=1,V4070=1),IF(COUNTIFS(AKTIVITAS!$B$2:$B$3052,B4070,AKTIVITAS!$E$2:$E$3052,H4070)&gt;0,1,0),0)</f>
        <v>0</v>
      </c>
      <c r="V4070" s="71">
        <f>IFERROR(IF(AND(H4070&gt;=INDEX(PEMAGANG!$J$3:$J$36,MATCH(B4070,PEMAGANG!$C$3:$C$36,0)),H4070&lt;=INDEX(PEMAGANG!$K$3:$K$36,MATCH(B4070,PEMAGANG!$C$3:$C$36,0))),1,0),0)</f>
        <v>1</v>
      </c>
      <c r="W4070" s="71">
        <f t="shared" si="575"/>
        <v>0</v>
      </c>
    </row>
    <row r="4071" spans="1:23" x14ac:dyDescent="0.2">
      <c r="A4071" s="71" t="s">
        <v>264</v>
      </c>
      <c r="B4071" s="71" t="s">
        <v>265</v>
      </c>
      <c r="C4071" s="71" t="s">
        <v>187</v>
      </c>
      <c r="D4071" s="71" t="s">
        <v>259</v>
      </c>
      <c r="E4071" s="71" t="s">
        <v>55</v>
      </c>
      <c r="F4071" s="71" t="s">
        <v>298</v>
      </c>
      <c r="G4071" s="88">
        <v>46281.303483796299</v>
      </c>
      <c r="H4071" s="89">
        <v>46281</v>
      </c>
      <c r="I4071" s="71" t="s">
        <v>331</v>
      </c>
      <c r="J4071" s="71">
        <v>-13</v>
      </c>
      <c r="K4071" s="71" t="s">
        <v>302</v>
      </c>
      <c r="L4071" s="71">
        <f t="shared" si="567"/>
        <v>9</v>
      </c>
      <c r="M4071" s="71" t="str">
        <f>IFERROR(INDEX(KALENDER!$D$3:$D$132,MATCH(H4071,KALENDER!$A$3:$A$132,0)),"Di luar periode")</f>
        <v>Hari Kerja</v>
      </c>
      <c r="N4071" s="71">
        <f t="shared" si="568"/>
        <v>1</v>
      </c>
      <c r="O4071" s="71">
        <f t="shared" si="569"/>
        <v>1</v>
      </c>
      <c r="P4071" s="71">
        <f t="shared" si="570"/>
        <v>1</v>
      </c>
      <c r="Q4071" s="71">
        <f t="shared" si="571"/>
        <v>0</v>
      </c>
      <c r="R4071" s="71">
        <f t="shared" si="572"/>
        <v>0</v>
      </c>
      <c r="S4071" s="71">
        <f t="shared" si="573"/>
        <v>0</v>
      </c>
      <c r="T4071" s="71">
        <f t="shared" si="574"/>
        <v>0</v>
      </c>
      <c r="U4071" s="71">
        <f>IF(AND(N4071=1,V4071=1),IF(COUNTIFS(AKTIVITAS!$B$2:$B$3052,B4071,AKTIVITAS!$E$2:$E$3052,H4071)&gt;0,1,0),0)</f>
        <v>1</v>
      </c>
      <c r="V4071" s="71">
        <f>IFERROR(IF(AND(H4071&gt;=INDEX(PEMAGANG!$J$3:$J$36,MATCH(B4071,PEMAGANG!$C$3:$C$36,0)),H4071&lt;=INDEX(PEMAGANG!$K$3:$K$36,MATCH(B4071,PEMAGANG!$C$3:$C$36,0))),1,0),0)</f>
        <v>1</v>
      </c>
      <c r="W4071" s="71">
        <f t="shared" si="575"/>
        <v>1</v>
      </c>
    </row>
    <row r="4072" spans="1:23" x14ac:dyDescent="0.2">
      <c r="A4072" s="71" t="s">
        <v>264</v>
      </c>
      <c r="B4072" s="71" t="s">
        <v>265</v>
      </c>
      <c r="C4072" s="71" t="s">
        <v>187</v>
      </c>
      <c r="D4072" s="71" t="s">
        <v>259</v>
      </c>
      <c r="E4072" s="71" t="s">
        <v>55</v>
      </c>
      <c r="F4072" s="71" t="s">
        <v>300</v>
      </c>
      <c r="G4072" s="88">
        <v>46281.739328703698</v>
      </c>
      <c r="H4072" s="89">
        <v>46281</v>
      </c>
      <c r="I4072" s="71" t="s">
        <v>408</v>
      </c>
      <c r="J4072" s="71">
        <v>0</v>
      </c>
      <c r="K4072" s="71" t="s">
        <v>302</v>
      </c>
      <c r="L4072" s="71">
        <f t="shared" si="567"/>
        <v>9</v>
      </c>
      <c r="M4072" s="71" t="str">
        <f>IFERROR(INDEX(KALENDER!$D$3:$D$132,MATCH(H4072,KALENDER!$A$3:$A$132,0)),"Di luar periode")</f>
        <v>Hari Kerja</v>
      </c>
      <c r="N4072" s="71">
        <f t="shared" si="568"/>
        <v>0</v>
      </c>
      <c r="O4072" s="71">
        <f t="shared" si="569"/>
        <v>1</v>
      </c>
      <c r="P4072" s="71">
        <f t="shared" si="570"/>
        <v>0</v>
      </c>
      <c r="Q4072" s="71">
        <f t="shared" si="571"/>
        <v>0</v>
      </c>
      <c r="R4072" s="71">
        <f t="shared" si="572"/>
        <v>0</v>
      </c>
      <c r="S4072" s="71">
        <f t="shared" si="573"/>
        <v>0</v>
      </c>
      <c r="T4072" s="71">
        <f t="shared" si="574"/>
        <v>0</v>
      </c>
      <c r="U4072" s="71">
        <f>IF(AND(N4072=1,V4072=1),IF(COUNTIFS(AKTIVITAS!$B$2:$B$3052,B4072,AKTIVITAS!$E$2:$E$3052,H4072)&gt;0,1,0),0)</f>
        <v>0</v>
      </c>
      <c r="V4072" s="71">
        <f>IFERROR(IF(AND(H4072&gt;=INDEX(PEMAGANG!$J$3:$J$36,MATCH(B4072,PEMAGANG!$C$3:$C$36,0)),H4072&lt;=INDEX(PEMAGANG!$K$3:$K$36,MATCH(B4072,PEMAGANG!$C$3:$C$36,0))),1,0),0)</f>
        <v>1</v>
      </c>
      <c r="W4072" s="71">
        <f t="shared" si="575"/>
        <v>0</v>
      </c>
    </row>
    <row r="4073" spans="1:23" x14ac:dyDescent="0.2">
      <c r="A4073" s="71" t="s">
        <v>264</v>
      </c>
      <c r="B4073" s="71" t="s">
        <v>265</v>
      </c>
      <c r="C4073" s="71" t="s">
        <v>187</v>
      </c>
      <c r="D4073" s="71" t="s">
        <v>259</v>
      </c>
      <c r="E4073" s="71" t="s">
        <v>55</v>
      </c>
      <c r="F4073" s="71" t="s">
        <v>298</v>
      </c>
      <c r="G4073" s="88">
        <v>46282.3097569444</v>
      </c>
      <c r="H4073" s="89">
        <v>46282</v>
      </c>
      <c r="I4073" s="71" t="s">
        <v>315</v>
      </c>
      <c r="J4073" s="71">
        <v>-3.9999999999999898</v>
      </c>
      <c r="K4073" s="71" t="s">
        <v>302</v>
      </c>
      <c r="L4073" s="71">
        <f t="shared" si="567"/>
        <v>9</v>
      </c>
      <c r="M4073" s="71" t="str">
        <f>IFERROR(INDEX(KALENDER!$D$3:$D$132,MATCH(H4073,KALENDER!$A$3:$A$132,0)),"Di luar periode")</f>
        <v>Hari Kerja</v>
      </c>
      <c r="N4073" s="71">
        <f t="shared" si="568"/>
        <v>1</v>
      </c>
      <c r="O4073" s="71">
        <f t="shared" si="569"/>
        <v>1</v>
      </c>
      <c r="P4073" s="71">
        <f t="shared" si="570"/>
        <v>1</v>
      </c>
      <c r="Q4073" s="71">
        <f t="shared" si="571"/>
        <v>0</v>
      </c>
      <c r="R4073" s="71">
        <f t="shared" si="572"/>
        <v>0</v>
      </c>
      <c r="S4073" s="71">
        <f t="shared" si="573"/>
        <v>0</v>
      </c>
      <c r="T4073" s="71">
        <f t="shared" si="574"/>
        <v>0</v>
      </c>
      <c r="U4073" s="71">
        <f>IF(AND(N4073=1,V4073=1),IF(COUNTIFS(AKTIVITAS!$B$2:$B$3052,B4073,AKTIVITAS!$E$2:$E$3052,H4073)&gt;0,1,0),0)</f>
        <v>1</v>
      </c>
      <c r="V4073" s="71">
        <f>IFERROR(IF(AND(H4073&gt;=INDEX(PEMAGANG!$J$3:$J$36,MATCH(B4073,PEMAGANG!$C$3:$C$36,0)),H4073&lt;=INDEX(PEMAGANG!$K$3:$K$36,MATCH(B4073,PEMAGANG!$C$3:$C$36,0))),1,0),0)</f>
        <v>1</v>
      </c>
      <c r="W4073" s="71">
        <f t="shared" si="575"/>
        <v>1</v>
      </c>
    </row>
    <row r="4074" spans="1:23" x14ac:dyDescent="0.2">
      <c r="A4074" s="71" t="s">
        <v>264</v>
      </c>
      <c r="B4074" s="71" t="s">
        <v>265</v>
      </c>
      <c r="C4074" s="71" t="s">
        <v>187</v>
      </c>
      <c r="D4074" s="71" t="s">
        <v>259</v>
      </c>
      <c r="E4074" s="71" t="s">
        <v>55</v>
      </c>
      <c r="F4074" s="71" t="s">
        <v>300</v>
      </c>
      <c r="G4074" s="88">
        <v>46282.697800925896</v>
      </c>
      <c r="H4074" s="89">
        <v>46282</v>
      </c>
      <c r="I4074" s="71" t="s">
        <v>312</v>
      </c>
      <c r="J4074" s="71">
        <v>0</v>
      </c>
      <c r="K4074" s="71" t="s">
        <v>302</v>
      </c>
      <c r="L4074" s="71">
        <f t="shared" si="567"/>
        <v>9</v>
      </c>
      <c r="M4074" s="71" t="str">
        <f>IFERROR(INDEX(KALENDER!$D$3:$D$132,MATCH(H4074,KALENDER!$A$3:$A$132,0)),"Di luar periode")</f>
        <v>Hari Kerja</v>
      </c>
      <c r="N4074" s="71">
        <f t="shared" si="568"/>
        <v>0</v>
      </c>
      <c r="O4074" s="71">
        <f t="shared" si="569"/>
        <v>1</v>
      </c>
      <c r="P4074" s="71">
        <f t="shared" si="570"/>
        <v>0</v>
      </c>
      <c r="Q4074" s="71">
        <f t="shared" si="571"/>
        <v>0</v>
      </c>
      <c r="R4074" s="71">
        <f t="shared" si="572"/>
        <v>0</v>
      </c>
      <c r="S4074" s="71">
        <f t="shared" si="573"/>
        <v>0</v>
      </c>
      <c r="T4074" s="71">
        <f t="shared" si="574"/>
        <v>0</v>
      </c>
      <c r="U4074" s="71">
        <f>IF(AND(N4074=1,V4074=1),IF(COUNTIFS(AKTIVITAS!$B$2:$B$3052,B4074,AKTIVITAS!$E$2:$E$3052,H4074)&gt;0,1,0),0)</f>
        <v>0</v>
      </c>
      <c r="V4074" s="71">
        <f>IFERROR(IF(AND(H4074&gt;=INDEX(PEMAGANG!$J$3:$J$36,MATCH(B4074,PEMAGANG!$C$3:$C$36,0)),H4074&lt;=INDEX(PEMAGANG!$K$3:$K$36,MATCH(B4074,PEMAGANG!$C$3:$C$36,0))),1,0),0)</f>
        <v>1</v>
      </c>
      <c r="W4074" s="71">
        <f t="shared" si="575"/>
        <v>0</v>
      </c>
    </row>
    <row r="4075" spans="1:23" x14ac:dyDescent="0.2">
      <c r="A4075" s="71" t="s">
        <v>264</v>
      </c>
      <c r="B4075" s="71" t="s">
        <v>265</v>
      </c>
      <c r="C4075" s="71" t="s">
        <v>187</v>
      </c>
      <c r="D4075" s="71" t="s">
        <v>259</v>
      </c>
      <c r="E4075" s="71" t="s">
        <v>55</v>
      </c>
      <c r="F4075" s="71" t="s">
        <v>298</v>
      </c>
      <c r="G4075" s="88">
        <v>46283.308888888903</v>
      </c>
      <c r="H4075" s="89">
        <v>46283</v>
      </c>
      <c r="I4075" s="71" t="s">
        <v>303</v>
      </c>
      <c r="J4075" s="71">
        <v>-5.9999999999999796</v>
      </c>
      <c r="K4075" s="71" t="s">
        <v>302</v>
      </c>
      <c r="L4075" s="71">
        <f t="shared" si="567"/>
        <v>9</v>
      </c>
      <c r="M4075" s="71" t="str">
        <f>IFERROR(INDEX(KALENDER!$D$3:$D$132,MATCH(H4075,KALENDER!$A$3:$A$132,0)),"Di luar periode")</f>
        <v>Hari Kerja</v>
      </c>
      <c r="N4075" s="71">
        <f t="shared" si="568"/>
        <v>1</v>
      </c>
      <c r="O4075" s="71">
        <f t="shared" si="569"/>
        <v>1</v>
      </c>
      <c r="P4075" s="71">
        <f t="shared" si="570"/>
        <v>1</v>
      </c>
      <c r="Q4075" s="71">
        <f t="shared" si="571"/>
        <v>0</v>
      </c>
      <c r="R4075" s="71">
        <f t="shared" si="572"/>
        <v>0</v>
      </c>
      <c r="S4075" s="71">
        <f t="shared" si="573"/>
        <v>0</v>
      </c>
      <c r="T4075" s="71">
        <f t="shared" si="574"/>
        <v>0</v>
      </c>
      <c r="U4075" s="71">
        <f>IF(AND(N4075=1,V4075=1),IF(COUNTIFS(AKTIVITAS!$B$2:$B$3052,B4075,AKTIVITAS!$E$2:$E$3052,H4075)&gt;0,1,0),0)</f>
        <v>1</v>
      </c>
      <c r="V4075" s="71">
        <f>IFERROR(IF(AND(H4075&gt;=INDEX(PEMAGANG!$J$3:$J$36,MATCH(B4075,PEMAGANG!$C$3:$C$36,0)),H4075&lt;=INDEX(PEMAGANG!$K$3:$K$36,MATCH(B4075,PEMAGANG!$C$3:$C$36,0))),1,0),0)</f>
        <v>1</v>
      </c>
      <c r="W4075" s="71">
        <f t="shared" si="575"/>
        <v>1</v>
      </c>
    </row>
    <row r="4076" spans="1:23" x14ac:dyDescent="0.2">
      <c r="A4076" s="71" t="s">
        <v>264</v>
      </c>
      <c r="B4076" s="71" t="s">
        <v>265</v>
      </c>
      <c r="C4076" s="71" t="s">
        <v>187</v>
      </c>
      <c r="D4076" s="71" t="s">
        <v>259</v>
      </c>
      <c r="E4076" s="71" t="s">
        <v>55</v>
      </c>
      <c r="F4076" s="71" t="s">
        <v>300</v>
      </c>
      <c r="G4076" s="88">
        <v>46283.7324421296</v>
      </c>
      <c r="H4076" s="89">
        <v>46283</v>
      </c>
      <c r="I4076" s="71" t="s">
        <v>768</v>
      </c>
      <c r="J4076" s="71">
        <v>0</v>
      </c>
      <c r="K4076" s="71" t="s">
        <v>302</v>
      </c>
      <c r="L4076" s="71">
        <f t="shared" si="567"/>
        <v>9</v>
      </c>
      <c r="M4076" s="71" t="str">
        <f>IFERROR(INDEX(KALENDER!$D$3:$D$132,MATCH(H4076,KALENDER!$A$3:$A$132,0)),"Di luar periode")</f>
        <v>Hari Kerja</v>
      </c>
      <c r="N4076" s="71">
        <f t="shared" si="568"/>
        <v>0</v>
      </c>
      <c r="O4076" s="71">
        <f t="shared" si="569"/>
        <v>1</v>
      </c>
      <c r="P4076" s="71">
        <f t="shared" si="570"/>
        <v>0</v>
      </c>
      <c r="Q4076" s="71">
        <f t="shared" si="571"/>
        <v>0</v>
      </c>
      <c r="R4076" s="71">
        <f t="shared" si="572"/>
        <v>0</v>
      </c>
      <c r="S4076" s="71">
        <f t="shared" si="573"/>
        <v>0</v>
      </c>
      <c r="T4076" s="71">
        <f t="shared" si="574"/>
        <v>0</v>
      </c>
      <c r="U4076" s="71">
        <f>IF(AND(N4076=1,V4076=1),IF(COUNTIFS(AKTIVITAS!$B$2:$B$3052,B4076,AKTIVITAS!$E$2:$E$3052,H4076)&gt;0,1,0),0)</f>
        <v>0</v>
      </c>
      <c r="V4076" s="71">
        <f>IFERROR(IF(AND(H4076&gt;=INDEX(PEMAGANG!$J$3:$J$36,MATCH(B4076,PEMAGANG!$C$3:$C$36,0)),H4076&lt;=INDEX(PEMAGANG!$K$3:$K$36,MATCH(B4076,PEMAGANG!$C$3:$C$36,0))),1,0),0)</f>
        <v>1</v>
      </c>
      <c r="W4076" s="71">
        <f t="shared" si="575"/>
        <v>0</v>
      </c>
    </row>
    <row r="4077" spans="1:23" x14ac:dyDescent="0.2">
      <c r="A4077" s="71" t="s">
        <v>264</v>
      </c>
      <c r="B4077" s="71" t="s">
        <v>265</v>
      </c>
      <c r="C4077" s="71" t="s">
        <v>187</v>
      </c>
      <c r="D4077" s="71" t="s">
        <v>259</v>
      </c>
      <c r="E4077" s="71" t="s">
        <v>55</v>
      </c>
      <c r="F4077" s="71" t="s">
        <v>298</v>
      </c>
      <c r="G4077" s="88">
        <v>46286.305983796301</v>
      </c>
      <c r="H4077" s="89">
        <v>46286</v>
      </c>
      <c r="I4077" s="71" t="s">
        <v>329</v>
      </c>
      <c r="J4077" s="71">
        <v>-10</v>
      </c>
      <c r="K4077" s="71" t="s">
        <v>302</v>
      </c>
      <c r="L4077" s="71">
        <f t="shared" si="567"/>
        <v>9</v>
      </c>
      <c r="M4077" s="71" t="str">
        <f>IFERROR(INDEX(KALENDER!$D$3:$D$132,MATCH(H4077,KALENDER!$A$3:$A$132,0)),"Di luar periode")</f>
        <v>Hari Kerja</v>
      </c>
      <c r="N4077" s="71">
        <f t="shared" si="568"/>
        <v>1</v>
      </c>
      <c r="O4077" s="71">
        <f t="shared" si="569"/>
        <v>1</v>
      </c>
      <c r="P4077" s="71">
        <f t="shared" si="570"/>
        <v>1</v>
      </c>
      <c r="Q4077" s="71">
        <f t="shared" si="571"/>
        <v>0</v>
      </c>
      <c r="R4077" s="71">
        <f t="shared" si="572"/>
        <v>0</v>
      </c>
      <c r="S4077" s="71">
        <f t="shared" si="573"/>
        <v>0</v>
      </c>
      <c r="T4077" s="71">
        <f t="shared" si="574"/>
        <v>0</v>
      </c>
      <c r="U4077" s="71">
        <f>IF(AND(N4077=1,V4077=1),IF(COUNTIFS(AKTIVITAS!$B$2:$B$3052,B4077,AKTIVITAS!$E$2:$E$3052,H4077)&gt;0,1,0),0)</f>
        <v>1</v>
      </c>
      <c r="V4077" s="71">
        <f>IFERROR(IF(AND(H4077&gt;=INDEX(PEMAGANG!$J$3:$J$36,MATCH(B4077,PEMAGANG!$C$3:$C$36,0)),H4077&lt;=INDEX(PEMAGANG!$K$3:$K$36,MATCH(B4077,PEMAGANG!$C$3:$C$36,0))),1,0),0)</f>
        <v>1</v>
      </c>
      <c r="W4077" s="71">
        <f t="shared" si="575"/>
        <v>1</v>
      </c>
    </row>
    <row r="4078" spans="1:23" x14ac:dyDescent="0.2">
      <c r="A4078" s="71" t="s">
        <v>264</v>
      </c>
      <c r="B4078" s="71" t="s">
        <v>265</v>
      </c>
      <c r="C4078" s="71" t="s">
        <v>187</v>
      </c>
      <c r="D4078" s="71" t="s">
        <v>259</v>
      </c>
      <c r="E4078" s="71" t="s">
        <v>55</v>
      </c>
      <c r="F4078" s="71" t="s">
        <v>300</v>
      </c>
      <c r="G4078" s="88">
        <v>46286.745868055601</v>
      </c>
      <c r="H4078" s="89">
        <v>46286</v>
      </c>
      <c r="I4078" s="71" t="s">
        <v>769</v>
      </c>
      <c r="J4078" s="71">
        <v>0</v>
      </c>
      <c r="K4078" s="71" t="s">
        <v>302</v>
      </c>
      <c r="L4078" s="71">
        <f t="shared" si="567"/>
        <v>9</v>
      </c>
      <c r="M4078" s="71" t="str">
        <f>IFERROR(INDEX(KALENDER!$D$3:$D$132,MATCH(H4078,KALENDER!$A$3:$A$132,0)),"Di luar periode")</f>
        <v>Hari Kerja</v>
      </c>
      <c r="N4078" s="71">
        <f t="shared" si="568"/>
        <v>0</v>
      </c>
      <c r="O4078" s="71">
        <f t="shared" si="569"/>
        <v>1</v>
      </c>
      <c r="P4078" s="71">
        <f t="shared" si="570"/>
        <v>0</v>
      </c>
      <c r="Q4078" s="71">
        <f t="shared" si="571"/>
        <v>0</v>
      </c>
      <c r="R4078" s="71">
        <f t="shared" si="572"/>
        <v>0</v>
      </c>
      <c r="S4078" s="71">
        <f t="shared" si="573"/>
        <v>0</v>
      </c>
      <c r="T4078" s="71">
        <f t="shared" si="574"/>
        <v>0</v>
      </c>
      <c r="U4078" s="71">
        <f>IF(AND(N4078=1,V4078=1),IF(COUNTIFS(AKTIVITAS!$B$2:$B$3052,B4078,AKTIVITAS!$E$2:$E$3052,H4078)&gt;0,1,0),0)</f>
        <v>0</v>
      </c>
      <c r="V4078" s="71">
        <f>IFERROR(IF(AND(H4078&gt;=INDEX(PEMAGANG!$J$3:$J$36,MATCH(B4078,PEMAGANG!$C$3:$C$36,0)),H4078&lt;=INDEX(PEMAGANG!$K$3:$K$36,MATCH(B4078,PEMAGANG!$C$3:$C$36,0))),1,0),0)</f>
        <v>1</v>
      </c>
      <c r="W4078" s="71">
        <f t="shared" si="575"/>
        <v>0</v>
      </c>
    </row>
    <row r="4079" spans="1:23" x14ac:dyDescent="0.2">
      <c r="A4079" s="71" t="s">
        <v>264</v>
      </c>
      <c r="B4079" s="71" t="s">
        <v>265</v>
      </c>
      <c r="C4079" s="71" t="s">
        <v>187</v>
      </c>
      <c r="D4079" s="71" t="s">
        <v>259</v>
      </c>
      <c r="E4079" s="71" t="s">
        <v>55</v>
      </c>
      <c r="F4079" s="71" t="s">
        <v>298</v>
      </c>
      <c r="G4079" s="88">
        <v>46287.303414351903</v>
      </c>
      <c r="H4079" s="89">
        <v>46287</v>
      </c>
      <c r="I4079" s="71" t="s">
        <v>327</v>
      </c>
      <c r="J4079" s="71">
        <v>-14</v>
      </c>
      <c r="K4079" s="71" t="s">
        <v>302</v>
      </c>
      <c r="L4079" s="71">
        <f t="shared" si="567"/>
        <v>9</v>
      </c>
      <c r="M4079" s="71" t="str">
        <f>IFERROR(INDEX(KALENDER!$D$3:$D$132,MATCH(H4079,KALENDER!$A$3:$A$132,0)),"Di luar periode")</f>
        <v>Hari Kerja</v>
      </c>
      <c r="N4079" s="71">
        <f t="shared" si="568"/>
        <v>1</v>
      </c>
      <c r="O4079" s="71">
        <f t="shared" si="569"/>
        <v>1</v>
      </c>
      <c r="P4079" s="71">
        <f t="shared" si="570"/>
        <v>1</v>
      </c>
      <c r="Q4079" s="71">
        <f t="shared" si="571"/>
        <v>0</v>
      </c>
      <c r="R4079" s="71">
        <f t="shared" si="572"/>
        <v>0</v>
      </c>
      <c r="S4079" s="71">
        <f t="shared" si="573"/>
        <v>0</v>
      </c>
      <c r="T4079" s="71">
        <f t="shared" si="574"/>
        <v>0</v>
      </c>
      <c r="U4079" s="71">
        <f>IF(AND(N4079=1,V4079=1),IF(COUNTIFS(AKTIVITAS!$B$2:$B$3052,B4079,AKTIVITAS!$E$2:$E$3052,H4079)&gt;0,1,0),0)</f>
        <v>1</v>
      </c>
      <c r="V4079" s="71">
        <f>IFERROR(IF(AND(H4079&gt;=INDEX(PEMAGANG!$J$3:$J$36,MATCH(B4079,PEMAGANG!$C$3:$C$36,0)),H4079&lt;=INDEX(PEMAGANG!$K$3:$K$36,MATCH(B4079,PEMAGANG!$C$3:$C$36,0))),1,0),0)</f>
        <v>1</v>
      </c>
      <c r="W4079" s="71">
        <f t="shared" si="575"/>
        <v>1</v>
      </c>
    </row>
    <row r="4080" spans="1:23" x14ac:dyDescent="0.2">
      <c r="A4080" s="71" t="s">
        <v>264</v>
      </c>
      <c r="B4080" s="71" t="s">
        <v>265</v>
      </c>
      <c r="C4080" s="71" t="s">
        <v>187</v>
      </c>
      <c r="D4080" s="71" t="s">
        <v>259</v>
      </c>
      <c r="E4080" s="71" t="s">
        <v>55</v>
      </c>
      <c r="F4080" s="71" t="s">
        <v>298</v>
      </c>
      <c r="G4080" s="88">
        <v>46287.303437499999</v>
      </c>
      <c r="H4080" s="89">
        <v>46287</v>
      </c>
      <c r="I4080" s="71" t="s">
        <v>327</v>
      </c>
      <c r="J4080" s="71">
        <v>-14</v>
      </c>
      <c r="K4080" s="71" t="s">
        <v>302</v>
      </c>
      <c r="L4080" s="71">
        <f t="shared" si="567"/>
        <v>9</v>
      </c>
      <c r="M4080" s="71" t="str">
        <f>IFERROR(INDEX(KALENDER!$D$3:$D$132,MATCH(H4080,KALENDER!$A$3:$A$132,0)),"Di luar periode")</f>
        <v>Hari Kerja</v>
      </c>
      <c r="N4080" s="71">
        <f t="shared" si="568"/>
        <v>0</v>
      </c>
      <c r="O4080" s="71">
        <f t="shared" si="569"/>
        <v>2</v>
      </c>
      <c r="P4080" s="71">
        <f t="shared" si="570"/>
        <v>0</v>
      </c>
      <c r="Q4080" s="71">
        <f t="shared" si="571"/>
        <v>0</v>
      </c>
      <c r="R4080" s="71">
        <f t="shared" si="572"/>
        <v>0</v>
      </c>
      <c r="S4080" s="71">
        <f t="shared" si="573"/>
        <v>0</v>
      </c>
      <c r="T4080" s="71">
        <f t="shared" si="574"/>
        <v>0</v>
      </c>
      <c r="U4080" s="71">
        <f>IF(AND(N4080=1,V4080=1),IF(COUNTIFS(AKTIVITAS!$B$2:$B$3052,B4080,AKTIVITAS!$E$2:$E$3052,H4080)&gt;0,1,0),0)</f>
        <v>0</v>
      </c>
      <c r="V4080" s="71">
        <f>IFERROR(IF(AND(H4080&gt;=INDEX(PEMAGANG!$J$3:$J$36,MATCH(B4080,PEMAGANG!$C$3:$C$36,0)),H4080&lt;=INDEX(PEMAGANG!$K$3:$K$36,MATCH(B4080,PEMAGANG!$C$3:$C$36,0))),1,0),0)</f>
        <v>1</v>
      </c>
      <c r="W4080" s="71">
        <f t="shared" si="575"/>
        <v>0</v>
      </c>
    </row>
    <row r="4081" spans="1:23" x14ac:dyDescent="0.2">
      <c r="A4081" s="71" t="s">
        <v>264</v>
      </c>
      <c r="B4081" s="71" t="s">
        <v>265</v>
      </c>
      <c r="C4081" s="71" t="s">
        <v>187</v>
      </c>
      <c r="D4081" s="71" t="s">
        <v>259</v>
      </c>
      <c r="E4081" s="71" t="s">
        <v>55</v>
      </c>
      <c r="F4081" s="71" t="s">
        <v>300</v>
      </c>
      <c r="G4081" s="88">
        <v>46287.734849537002</v>
      </c>
      <c r="H4081" s="89">
        <v>46287</v>
      </c>
      <c r="I4081" s="71" t="s">
        <v>418</v>
      </c>
      <c r="J4081" s="71">
        <v>0</v>
      </c>
      <c r="K4081" s="71" t="s">
        <v>302</v>
      </c>
      <c r="L4081" s="71">
        <f t="shared" si="567"/>
        <v>9</v>
      </c>
      <c r="M4081" s="71" t="str">
        <f>IFERROR(INDEX(KALENDER!$D$3:$D$132,MATCH(H4081,KALENDER!$A$3:$A$132,0)),"Di luar periode")</f>
        <v>Hari Kerja</v>
      </c>
      <c r="N4081" s="71">
        <f t="shared" si="568"/>
        <v>0</v>
      </c>
      <c r="O4081" s="71">
        <f t="shared" si="569"/>
        <v>2</v>
      </c>
      <c r="P4081" s="71">
        <f t="shared" si="570"/>
        <v>0</v>
      </c>
      <c r="Q4081" s="71">
        <f t="shared" si="571"/>
        <v>0</v>
      </c>
      <c r="R4081" s="71">
        <f t="shared" si="572"/>
        <v>0</v>
      </c>
      <c r="S4081" s="71">
        <f t="shared" si="573"/>
        <v>0</v>
      </c>
      <c r="T4081" s="71">
        <f t="shared" si="574"/>
        <v>0</v>
      </c>
      <c r="U4081" s="71">
        <f>IF(AND(N4081=1,V4081=1),IF(COUNTIFS(AKTIVITAS!$B$2:$B$3052,B4081,AKTIVITAS!$E$2:$E$3052,H4081)&gt;0,1,0),0)</f>
        <v>0</v>
      </c>
      <c r="V4081" s="71">
        <f>IFERROR(IF(AND(H4081&gt;=INDEX(PEMAGANG!$J$3:$J$36,MATCH(B4081,PEMAGANG!$C$3:$C$36,0)),H4081&lt;=INDEX(PEMAGANG!$K$3:$K$36,MATCH(B4081,PEMAGANG!$C$3:$C$36,0))),1,0),0)</f>
        <v>1</v>
      </c>
      <c r="W4081" s="71">
        <f t="shared" si="575"/>
        <v>0</v>
      </c>
    </row>
    <row r="4082" spans="1:23" x14ac:dyDescent="0.2">
      <c r="A4082" s="71" t="s">
        <v>264</v>
      </c>
      <c r="B4082" s="71" t="s">
        <v>265</v>
      </c>
      <c r="C4082" s="71" t="s">
        <v>187</v>
      </c>
      <c r="D4082" s="71" t="s">
        <v>259</v>
      </c>
      <c r="E4082" s="71" t="s">
        <v>55</v>
      </c>
      <c r="F4082" s="71" t="s">
        <v>298</v>
      </c>
      <c r="G4082" s="88">
        <v>46288.304212962998</v>
      </c>
      <c r="H4082" s="89">
        <v>46288</v>
      </c>
      <c r="I4082" s="71" t="s">
        <v>326</v>
      </c>
      <c r="J4082" s="71">
        <v>-12</v>
      </c>
      <c r="K4082" s="71" t="s">
        <v>302</v>
      </c>
      <c r="L4082" s="71">
        <f t="shared" si="567"/>
        <v>9</v>
      </c>
      <c r="M4082" s="71" t="str">
        <f>IFERROR(INDEX(KALENDER!$D$3:$D$132,MATCH(H4082,KALENDER!$A$3:$A$132,0)),"Di luar periode")</f>
        <v>Hari Kerja</v>
      </c>
      <c r="N4082" s="71">
        <f t="shared" si="568"/>
        <v>1</v>
      </c>
      <c r="O4082" s="71">
        <f t="shared" si="569"/>
        <v>1</v>
      </c>
      <c r="P4082" s="71">
        <f t="shared" si="570"/>
        <v>1</v>
      </c>
      <c r="Q4082" s="71">
        <f t="shared" si="571"/>
        <v>0</v>
      </c>
      <c r="R4082" s="71">
        <f t="shared" si="572"/>
        <v>0</v>
      </c>
      <c r="S4082" s="71">
        <f t="shared" si="573"/>
        <v>0</v>
      </c>
      <c r="T4082" s="71">
        <f t="shared" si="574"/>
        <v>0</v>
      </c>
      <c r="U4082" s="71">
        <f>IF(AND(N4082=1,V4082=1),IF(COUNTIFS(AKTIVITAS!$B$2:$B$3052,B4082,AKTIVITAS!$E$2:$E$3052,H4082)&gt;0,1,0),0)</f>
        <v>1</v>
      </c>
      <c r="V4082" s="71">
        <f>IFERROR(IF(AND(H4082&gt;=INDEX(PEMAGANG!$J$3:$J$36,MATCH(B4082,PEMAGANG!$C$3:$C$36,0)),H4082&lt;=INDEX(PEMAGANG!$K$3:$K$36,MATCH(B4082,PEMAGANG!$C$3:$C$36,0))),1,0),0)</f>
        <v>1</v>
      </c>
      <c r="W4082" s="71">
        <f t="shared" si="575"/>
        <v>1</v>
      </c>
    </row>
    <row r="4083" spans="1:23" x14ac:dyDescent="0.2">
      <c r="A4083" s="71" t="s">
        <v>264</v>
      </c>
      <c r="B4083" s="71" t="s">
        <v>265</v>
      </c>
      <c r="C4083" s="71" t="s">
        <v>187</v>
      </c>
      <c r="D4083" s="71" t="s">
        <v>259</v>
      </c>
      <c r="E4083" s="71" t="s">
        <v>55</v>
      </c>
      <c r="F4083" s="71" t="s">
        <v>300</v>
      </c>
      <c r="G4083" s="88">
        <v>46288.735254629602</v>
      </c>
      <c r="H4083" s="89">
        <v>46288</v>
      </c>
      <c r="I4083" s="71" t="s">
        <v>418</v>
      </c>
      <c r="J4083" s="71">
        <v>0</v>
      </c>
      <c r="K4083" s="71" t="s">
        <v>302</v>
      </c>
      <c r="L4083" s="71">
        <f t="shared" si="567"/>
        <v>9</v>
      </c>
      <c r="M4083" s="71" t="str">
        <f>IFERROR(INDEX(KALENDER!$D$3:$D$132,MATCH(H4083,KALENDER!$A$3:$A$132,0)),"Di luar periode")</f>
        <v>Hari Kerja</v>
      </c>
      <c r="N4083" s="71">
        <f t="shared" si="568"/>
        <v>0</v>
      </c>
      <c r="O4083" s="71">
        <f t="shared" si="569"/>
        <v>1</v>
      </c>
      <c r="P4083" s="71">
        <f t="shared" si="570"/>
        <v>0</v>
      </c>
      <c r="Q4083" s="71">
        <f t="shared" si="571"/>
        <v>0</v>
      </c>
      <c r="R4083" s="71">
        <f t="shared" si="572"/>
        <v>0</v>
      </c>
      <c r="S4083" s="71">
        <f t="shared" si="573"/>
        <v>0</v>
      </c>
      <c r="T4083" s="71">
        <f t="shared" si="574"/>
        <v>0</v>
      </c>
      <c r="U4083" s="71">
        <f>IF(AND(N4083=1,V4083=1),IF(COUNTIFS(AKTIVITAS!$B$2:$B$3052,B4083,AKTIVITAS!$E$2:$E$3052,H4083)&gt;0,1,0),0)</f>
        <v>0</v>
      </c>
      <c r="V4083" s="71">
        <f>IFERROR(IF(AND(H4083&gt;=INDEX(PEMAGANG!$J$3:$J$36,MATCH(B4083,PEMAGANG!$C$3:$C$36,0)),H4083&lt;=INDEX(PEMAGANG!$K$3:$K$36,MATCH(B4083,PEMAGANG!$C$3:$C$36,0))),1,0),0)</f>
        <v>1</v>
      </c>
      <c r="W4083" s="71">
        <f t="shared" si="575"/>
        <v>0</v>
      </c>
    </row>
    <row r="4084" spans="1:23" x14ac:dyDescent="0.2">
      <c r="A4084" s="71" t="s">
        <v>264</v>
      </c>
      <c r="B4084" s="71" t="s">
        <v>265</v>
      </c>
      <c r="C4084" s="71" t="s">
        <v>187</v>
      </c>
      <c r="D4084" s="71" t="s">
        <v>259</v>
      </c>
      <c r="E4084" s="71" t="s">
        <v>55</v>
      </c>
      <c r="F4084" s="71" t="s">
        <v>298</v>
      </c>
      <c r="G4084" s="88">
        <v>46289.307465277801</v>
      </c>
      <c r="H4084" s="89">
        <v>46289</v>
      </c>
      <c r="I4084" s="71" t="s">
        <v>313</v>
      </c>
      <c r="J4084" s="71">
        <v>-8.0000000000000497</v>
      </c>
      <c r="K4084" s="71" t="s">
        <v>302</v>
      </c>
      <c r="L4084" s="71">
        <f t="shared" si="567"/>
        <v>9</v>
      </c>
      <c r="M4084" s="71" t="str">
        <f>IFERROR(INDEX(KALENDER!$D$3:$D$132,MATCH(H4084,KALENDER!$A$3:$A$132,0)),"Di luar periode")</f>
        <v>Hari Kerja</v>
      </c>
      <c r="N4084" s="71">
        <f t="shared" si="568"/>
        <v>1</v>
      </c>
      <c r="O4084" s="71">
        <f t="shared" si="569"/>
        <v>1</v>
      </c>
      <c r="P4084" s="71">
        <f t="shared" si="570"/>
        <v>1</v>
      </c>
      <c r="Q4084" s="71">
        <f t="shared" si="571"/>
        <v>0</v>
      </c>
      <c r="R4084" s="71">
        <f t="shared" si="572"/>
        <v>0</v>
      </c>
      <c r="S4084" s="71">
        <f t="shared" si="573"/>
        <v>0</v>
      </c>
      <c r="T4084" s="71">
        <f t="shared" si="574"/>
        <v>0</v>
      </c>
      <c r="U4084" s="71">
        <f>IF(AND(N4084=1,V4084=1),IF(COUNTIFS(AKTIVITAS!$B$2:$B$3052,B4084,AKTIVITAS!$E$2:$E$3052,H4084)&gt;0,1,0),0)</f>
        <v>1</v>
      </c>
      <c r="V4084" s="71">
        <f>IFERROR(IF(AND(H4084&gt;=INDEX(PEMAGANG!$J$3:$J$36,MATCH(B4084,PEMAGANG!$C$3:$C$36,0)),H4084&lt;=INDEX(PEMAGANG!$K$3:$K$36,MATCH(B4084,PEMAGANG!$C$3:$C$36,0))),1,0),0)</f>
        <v>1</v>
      </c>
      <c r="W4084" s="71">
        <f t="shared" si="575"/>
        <v>1</v>
      </c>
    </row>
    <row r="4085" spans="1:23" x14ac:dyDescent="0.2">
      <c r="A4085" s="71" t="s">
        <v>264</v>
      </c>
      <c r="B4085" s="71" t="s">
        <v>265</v>
      </c>
      <c r="C4085" s="71" t="s">
        <v>187</v>
      </c>
      <c r="D4085" s="71" t="s">
        <v>259</v>
      </c>
      <c r="E4085" s="71" t="s">
        <v>55</v>
      </c>
      <c r="F4085" s="71" t="s">
        <v>300</v>
      </c>
      <c r="G4085" s="88">
        <v>46289.729212963</v>
      </c>
      <c r="H4085" s="89">
        <v>46289</v>
      </c>
      <c r="I4085" s="71" t="s">
        <v>552</v>
      </c>
      <c r="J4085" s="71">
        <v>0</v>
      </c>
      <c r="K4085" s="71" t="s">
        <v>302</v>
      </c>
      <c r="L4085" s="71">
        <f t="shared" si="567"/>
        <v>9</v>
      </c>
      <c r="M4085" s="71" t="str">
        <f>IFERROR(INDEX(KALENDER!$D$3:$D$132,MATCH(H4085,KALENDER!$A$3:$A$132,0)),"Di luar periode")</f>
        <v>Hari Kerja</v>
      </c>
      <c r="N4085" s="71">
        <f t="shared" si="568"/>
        <v>0</v>
      </c>
      <c r="O4085" s="71">
        <f t="shared" si="569"/>
        <v>1</v>
      </c>
      <c r="P4085" s="71">
        <f t="shared" si="570"/>
        <v>0</v>
      </c>
      <c r="Q4085" s="71">
        <f t="shared" si="571"/>
        <v>0</v>
      </c>
      <c r="R4085" s="71">
        <f t="shared" si="572"/>
        <v>0</v>
      </c>
      <c r="S4085" s="71">
        <f t="shared" si="573"/>
        <v>0</v>
      </c>
      <c r="T4085" s="71">
        <f t="shared" si="574"/>
        <v>0</v>
      </c>
      <c r="U4085" s="71">
        <f>IF(AND(N4085=1,V4085=1),IF(COUNTIFS(AKTIVITAS!$B$2:$B$3052,B4085,AKTIVITAS!$E$2:$E$3052,H4085)&gt;0,1,0),0)</f>
        <v>0</v>
      </c>
      <c r="V4085" s="71">
        <f>IFERROR(IF(AND(H4085&gt;=INDEX(PEMAGANG!$J$3:$J$36,MATCH(B4085,PEMAGANG!$C$3:$C$36,0)),H4085&lt;=INDEX(PEMAGANG!$K$3:$K$36,MATCH(B4085,PEMAGANG!$C$3:$C$36,0))),1,0),0)</f>
        <v>1</v>
      </c>
      <c r="W4085" s="71">
        <f t="shared" si="575"/>
        <v>0</v>
      </c>
    </row>
    <row r="4086" spans="1:23" x14ac:dyDescent="0.2">
      <c r="A4086" s="71" t="s">
        <v>264</v>
      </c>
      <c r="B4086" s="71" t="s">
        <v>265</v>
      </c>
      <c r="C4086" s="71" t="s">
        <v>187</v>
      </c>
      <c r="D4086" s="71" t="s">
        <v>259</v>
      </c>
      <c r="E4086" s="71" t="s">
        <v>55</v>
      </c>
      <c r="F4086" s="71" t="s">
        <v>298</v>
      </c>
      <c r="G4086" s="88">
        <v>46290.307685185202</v>
      </c>
      <c r="H4086" s="89">
        <v>46290</v>
      </c>
      <c r="I4086" s="71" t="s">
        <v>311</v>
      </c>
      <c r="J4086" s="71">
        <v>-6.9999999999999796</v>
      </c>
      <c r="K4086" s="71" t="s">
        <v>302</v>
      </c>
      <c r="L4086" s="71">
        <f t="shared" si="567"/>
        <v>9</v>
      </c>
      <c r="M4086" s="71" t="str">
        <f>IFERROR(INDEX(KALENDER!$D$3:$D$132,MATCH(H4086,KALENDER!$A$3:$A$132,0)),"Di luar periode")</f>
        <v>Hari Kerja</v>
      </c>
      <c r="N4086" s="71">
        <f t="shared" si="568"/>
        <v>1</v>
      </c>
      <c r="O4086" s="71">
        <f t="shared" si="569"/>
        <v>1</v>
      </c>
      <c r="P4086" s="71">
        <f t="shared" si="570"/>
        <v>1</v>
      </c>
      <c r="Q4086" s="71">
        <f t="shared" si="571"/>
        <v>0</v>
      </c>
      <c r="R4086" s="71">
        <f t="shared" si="572"/>
        <v>0</v>
      </c>
      <c r="S4086" s="71">
        <f t="shared" si="573"/>
        <v>0</v>
      </c>
      <c r="T4086" s="71">
        <f t="shared" si="574"/>
        <v>0</v>
      </c>
      <c r="U4086" s="71">
        <f>IF(AND(N4086=1,V4086=1),IF(COUNTIFS(AKTIVITAS!$B$2:$B$3052,B4086,AKTIVITAS!$E$2:$E$3052,H4086)&gt;0,1,0),0)</f>
        <v>1</v>
      </c>
      <c r="V4086" s="71">
        <f>IFERROR(IF(AND(H4086&gt;=INDEX(PEMAGANG!$J$3:$J$36,MATCH(B4086,PEMAGANG!$C$3:$C$36,0)),H4086&lt;=INDEX(PEMAGANG!$K$3:$K$36,MATCH(B4086,PEMAGANG!$C$3:$C$36,0))),1,0),0)</f>
        <v>1</v>
      </c>
      <c r="W4086" s="71">
        <f t="shared" si="575"/>
        <v>1</v>
      </c>
    </row>
    <row r="4087" spans="1:23" x14ac:dyDescent="0.2">
      <c r="A4087" s="71" t="s">
        <v>264</v>
      </c>
      <c r="B4087" s="71" t="s">
        <v>265</v>
      </c>
      <c r="C4087" s="71" t="s">
        <v>187</v>
      </c>
      <c r="D4087" s="71" t="s">
        <v>259</v>
      </c>
      <c r="E4087" s="71" t="s">
        <v>55</v>
      </c>
      <c r="F4087" s="71" t="s">
        <v>300</v>
      </c>
      <c r="G4087" s="88">
        <v>46290.697002314802</v>
      </c>
      <c r="H4087" s="89">
        <v>46290</v>
      </c>
      <c r="I4087" s="71" t="s">
        <v>347</v>
      </c>
      <c r="J4087" s="71">
        <v>0</v>
      </c>
      <c r="K4087" s="71" t="s">
        <v>302</v>
      </c>
      <c r="L4087" s="71">
        <f t="shared" si="567"/>
        <v>9</v>
      </c>
      <c r="M4087" s="71" t="str">
        <f>IFERROR(INDEX(KALENDER!$D$3:$D$132,MATCH(H4087,KALENDER!$A$3:$A$132,0)),"Di luar periode")</f>
        <v>Hari Kerja</v>
      </c>
      <c r="N4087" s="71">
        <f t="shared" si="568"/>
        <v>0</v>
      </c>
      <c r="O4087" s="71">
        <f t="shared" si="569"/>
        <v>1</v>
      </c>
      <c r="P4087" s="71">
        <f t="shared" si="570"/>
        <v>0</v>
      </c>
      <c r="Q4087" s="71">
        <f t="shared" si="571"/>
        <v>0</v>
      </c>
      <c r="R4087" s="71">
        <f t="shared" si="572"/>
        <v>0</v>
      </c>
      <c r="S4087" s="71">
        <f t="shared" si="573"/>
        <v>0</v>
      </c>
      <c r="T4087" s="71">
        <f t="shared" si="574"/>
        <v>0</v>
      </c>
      <c r="U4087" s="71">
        <f>IF(AND(N4087=1,V4087=1),IF(COUNTIFS(AKTIVITAS!$B$2:$B$3052,B4087,AKTIVITAS!$E$2:$E$3052,H4087)&gt;0,1,0),0)</f>
        <v>0</v>
      </c>
      <c r="V4087" s="71">
        <f>IFERROR(IF(AND(H4087&gt;=INDEX(PEMAGANG!$J$3:$J$36,MATCH(B4087,PEMAGANG!$C$3:$C$36,0)),H4087&lt;=INDEX(PEMAGANG!$K$3:$K$36,MATCH(B4087,PEMAGANG!$C$3:$C$36,0))),1,0),0)</f>
        <v>1</v>
      </c>
      <c r="W4087" s="71">
        <f t="shared" si="575"/>
        <v>0</v>
      </c>
    </row>
    <row r="4088" spans="1:23" x14ac:dyDescent="0.2">
      <c r="A4088" s="71" t="s">
        <v>264</v>
      </c>
      <c r="B4088" s="71" t="s">
        <v>265</v>
      </c>
      <c r="C4088" s="71" t="s">
        <v>187</v>
      </c>
      <c r="D4088" s="71" t="s">
        <v>259</v>
      </c>
      <c r="E4088" s="71" t="s">
        <v>55</v>
      </c>
      <c r="F4088" s="71" t="s">
        <v>300</v>
      </c>
      <c r="G4088" s="88">
        <v>46290.697071759299</v>
      </c>
      <c r="H4088" s="89">
        <v>46290</v>
      </c>
      <c r="I4088" s="71" t="s">
        <v>347</v>
      </c>
      <c r="J4088" s="71">
        <v>0</v>
      </c>
      <c r="K4088" s="71" t="s">
        <v>302</v>
      </c>
      <c r="L4088" s="71">
        <f t="shared" si="567"/>
        <v>9</v>
      </c>
      <c r="M4088" s="71" t="str">
        <f>IFERROR(INDEX(KALENDER!$D$3:$D$132,MATCH(H4088,KALENDER!$A$3:$A$132,0)),"Di luar periode")</f>
        <v>Hari Kerja</v>
      </c>
      <c r="N4088" s="71">
        <f t="shared" si="568"/>
        <v>0</v>
      </c>
      <c r="O4088" s="71">
        <f t="shared" si="569"/>
        <v>1</v>
      </c>
      <c r="P4088" s="71">
        <f t="shared" si="570"/>
        <v>0</v>
      </c>
      <c r="Q4088" s="71">
        <f t="shared" si="571"/>
        <v>0</v>
      </c>
      <c r="R4088" s="71">
        <f t="shared" si="572"/>
        <v>0</v>
      </c>
      <c r="S4088" s="71">
        <f t="shared" si="573"/>
        <v>0</v>
      </c>
      <c r="T4088" s="71">
        <f t="shared" si="574"/>
        <v>0</v>
      </c>
      <c r="U4088" s="71">
        <f>IF(AND(N4088=1,V4088=1),IF(COUNTIFS(AKTIVITAS!$B$2:$B$3052,B4088,AKTIVITAS!$E$2:$E$3052,H4088)&gt;0,1,0),0)</f>
        <v>0</v>
      </c>
      <c r="V4088" s="71">
        <f>IFERROR(IF(AND(H4088&gt;=INDEX(PEMAGANG!$J$3:$J$36,MATCH(B4088,PEMAGANG!$C$3:$C$36,0)),H4088&lt;=INDEX(PEMAGANG!$K$3:$K$36,MATCH(B4088,PEMAGANG!$C$3:$C$36,0))),1,0),0)</f>
        <v>1</v>
      </c>
      <c r="W4088" s="71">
        <f t="shared" si="575"/>
        <v>0</v>
      </c>
    </row>
    <row r="4089" spans="1:23" x14ac:dyDescent="0.2">
      <c r="A4089" s="71" t="s">
        <v>264</v>
      </c>
      <c r="B4089" s="71" t="s">
        <v>265</v>
      </c>
      <c r="C4089" s="71" t="s">
        <v>187</v>
      </c>
      <c r="D4089" s="71" t="s">
        <v>259</v>
      </c>
      <c r="E4089" s="71" t="s">
        <v>55</v>
      </c>
      <c r="F4089" s="71" t="s">
        <v>298</v>
      </c>
      <c r="G4089" s="88">
        <v>46293.303055555603</v>
      </c>
      <c r="H4089" s="89">
        <v>46293</v>
      </c>
      <c r="I4089" s="71" t="s">
        <v>327</v>
      </c>
      <c r="J4089" s="71">
        <v>-14</v>
      </c>
      <c r="K4089" s="71" t="s">
        <v>302</v>
      </c>
      <c r="L4089" s="71">
        <f t="shared" si="567"/>
        <v>9</v>
      </c>
      <c r="M4089" s="71" t="str">
        <f>IFERROR(INDEX(KALENDER!$D$3:$D$132,MATCH(H4089,KALENDER!$A$3:$A$132,0)),"Di luar periode")</f>
        <v>Hari Kerja</v>
      </c>
      <c r="N4089" s="71">
        <f t="shared" si="568"/>
        <v>1</v>
      </c>
      <c r="O4089" s="71">
        <f t="shared" si="569"/>
        <v>1</v>
      </c>
      <c r="P4089" s="71">
        <f t="shared" si="570"/>
        <v>1</v>
      </c>
      <c r="Q4089" s="71">
        <f t="shared" si="571"/>
        <v>0</v>
      </c>
      <c r="R4089" s="71">
        <f t="shared" si="572"/>
        <v>0</v>
      </c>
      <c r="S4089" s="71">
        <f t="shared" si="573"/>
        <v>0</v>
      </c>
      <c r="T4089" s="71">
        <f t="shared" si="574"/>
        <v>0</v>
      </c>
      <c r="U4089" s="71">
        <f>IF(AND(N4089=1,V4089=1),IF(COUNTIFS(AKTIVITAS!$B$2:$B$3052,B4089,AKTIVITAS!$E$2:$E$3052,H4089)&gt;0,1,0),0)</f>
        <v>1</v>
      </c>
      <c r="V4089" s="71">
        <f>IFERROR(IF(AND(H4089&gt;=INDEX(PEMAGANG!$J$3:$J$36,MATCH(B4089,PEMAGANG!$C$3:$C$36,0)),H4089&lt;=INDEX(PEMAGANG!$K$3:$K$36,MATCH(B4089,PEMAGANG!$C$3:$C$36,0))),1,0),0)</f>
        <v>1</v>
      </c>
      <c r="W4089" s="71">
        <f t="shared" si="575"/>
        <v>1</v>
      </c>
    </row>
    <row r="4090" spans="1:23" x14ac:dyDescent="0.2">
      <c r="A4090" s="71" t="s">
        <v>264</v>
      </c>
      <c r="B4090" s="71" t="s">
        <v>265</v>
      </c>
      <c r="C4090" s="71" t="s">
        <v>187</v>
      </c>
      <c r="D4090" s="71" t="s">
        <v>259</v>
      </c>
      <c r="E4090" s="71" t="s">
        <v>55</v>
      </c>
      <c r="F4090" s="71" t="s">
        <v>300</v>
      </c>
      <c r="G4090" s="88">
        <v>46293.700393518498</v>
      </c>
      <c r="H4090" s="89">
        <v>46293</v>
      </c>
      <c r="I4090" s="71" t="s">
        <v>346</v>
      </c>
      <c r="J4090" s="71">
        <v>0</v>
      </c>
      <c r="K4090" s="71" t="s">
        <v>302</v>
      </c>
      <c r="L4090" s="71">
        <f t="shared" si="567"/>
        <v>9</v>
      </c>
      <c r="M4090" s="71" t="str">
        <f>IFERROR(INDEX(KALENDER!$D$3:$D$132,MATCH(H4090,KALENDER!$A$3:$A$132,0)),"Di luar periode")</f>
        <v>Hari Kerja</v>
      </c>
      <c r="N4090" s="71">
        <f t="shared" si="568"/>
        <v>0</v>
      </c>
      <c r="O4090" s="71">
        <f t="shared" si="569"/>
        <v>1</v>
      </c>
      <c r="P4090" s="71">
        <f t="shared" si="570"/>
        <v>0</v>
      </c>
      <c r="Q4090" s="71">
        <f t="shared" si="571"/>
        <v>0</v>
      </c>
      <c r="R4090" s="71">
        <f t="shared" si="572"/>
        <v>0</v>
      </c>
      <c r="S4090" s="71">
        <f t="shared" si="573"/>
        <v>0</v>
      </c>
      <c r="T4090" s="71">
        <f t="shared" si="574"/>
        <v>0</v>
      </c>
      <c r="U4090" s="71">
        <f>IF(AND(N4090=1,V4090=1),IF(COUNTIFS(AKTIVITAS!$B$2:$B$3052,B4090,AKTIVITAS!$E$2:$E$3052,H4090)&gt;0,1,0),0)</f>
        <v>0</v>
      </c>
      <c r="V4090" s="71">
        <f>IFERROR(IF(AND(H4090&gt;=INDEX(PEMAGANG!$J$3:$J$36,MATCH(B4090,PEMAGANG!$C$3:$C$36,0)),H4090&lt;=INDEX(PEMAGANG!$K$3:$K$36,MATCH(B4090,PEMAGANG!$C$3:$C$36,0))),1,0),0)</f>
        <v>1</v>
      </c>
      <c r="W4090" s="71">
        <f t="shared" si="575"/>
        <v>0</v>
      </c>
    </row>
    <row r="4091" spans="1:23" x14ac:dyDescent="0.2">
      <c r="A4091" s="71" t="s">
        <v>264</v>
      </c>
      <c r="B4091" s="71" t="s">
        <v>265</v>
      </c>
      <c r="C4091" s="71" t="s">
        <v>187</v>
      </c>
      <c r="D4091" s="71" t="s">
        <v>259</v>
      </c>
      <c r="E4091" s="71" t="s">
        <v>55</v>
      </c>
      <c r="F4091" s="71" t="s">
        <v>298</v>
      </c>
      <c r="G4091" s="88">
        <v>46294.3022569444</v>
      </c>
      <c r="H4091" s="89">
        <v>46294</v>
      </c>
      <c r="I4091" s="71" t="s">
        <v>370</v>
      </c>
      <c r="J4091" s="71">
        <v>-15</v>
      </c>
      <c r="K4091" s="71" t="s">
        <v>302</v>
      </c>
      <c r="L4091" s="71">
        <f t="shared" si="567"/>
        <v>9</v>
      </c>
      <c r="M4091" s="71" t="str">
        <f>IFERROR(INDEX(KALENDER!$D$3:$D$132,MATCH(H4091,KALENDER!$A$3:$A$132,0)),"Di luar periode")</f>
        <v>Hari Kerja</v>
      </c>
      <c r="N4091" s="71">
        <f t="shared" si="568"/>
        <v>1</v>
      </c>
      <c r="O4091" s="71">
        <f t="shared" si="569"/>
        <v>1</v>
      </c>
      <c r="P4091" s="71">
        <f t="shared" si="570"/>
        <v>1</v>
      </c>
      <c r="Q4091" s="71">
        <f t="shared" si="571"/>
        <v>0</v>
      </c>
      <c r="R4091" s="71">
        <f t="shared" si="572"/>
        <v>0</v>
      </c>
      <c r="S4091" s="71">
        <f t="shared" si="573"/>
        <v>0</v>
      </c>
      <c r="T4091" s="71">
        <f t="shared" si="574"/>
        <v>0</v>
      </c>
      <c r="U4091" s="71">
        <f>IF(AND(N4091=1,V4091=1),IF(COUNTIFS(AKTIVITAS!$B$2:$B$3052,B4091,AKTIVITAS!$E$2:$E$3052,H4091)&gt;0,1,0),0)</f>
        <v>1</v>
      </c>
      <c r="V4091" s="71">
        <f>IFERROR(IF(AND(H4091&gt;=INDEX(PEMAGANG!$J$3:$J$36,MATCH(B4091,PEMAGANG!$C$3:$C$36,0)),H4091&lt;=INDEX(PEMAGANG!$K$3:$K$36,MATCH(B4091,PEMAGANG!$C$3:$C$36,0))),1,0),0)</f>
        <v>1</v>
      </c>
      <c r="W4091" s="71">
        <f t="shared" si="575"/>
        <v>1</v>
      </c>
    </row>
    <row r="4092" spans="1:23" x14ac:dyDescent="0.2">
      <c r="A4092" s="71" t="s">
        <v>264</v>
      </c>
      <c r="B4092" s="71" t="s">
        <v>265</v>
      </c>
      <c r="C4092" s="71" t="s">
        <v>187</v>
      </c>
      <c r="D4092" s="71" t="s">
        <v>259</v>
      </c>
      <c r="E4092" s="71" t="s">
        <v>55</v>
      </c>
      <c r="F4092" s="71" t="s">
        <v>300</v>
      </c>
      <c r="G4092" s="88">
        <v>46294.694965277798</v>
      </c>
      <c r="H4092" s="89">
        <v>46294</v>
      </c>
      <c r="I4092" s="71" t="s">
        <v>343</v>
      </c>
      <c r="J4092" s="71">
        <v>0</v>
      </c>
      <c r="K4092" s="71" t="s">
        <v>302</v>
      </c>
      <c r="L4092" s="71">
        <f t="shared" si="567"/>
        <v>9</v>
      </c>
      <c r="M4092" s="71" t="str">
        <f>IFERROR(INDEX(KALENDER!$D$3:$D$132,MATCH(H4092,KALENDER!$A$3:$A$132,0)),"Di luar periode")</f>
        <v>Hari Kerja</v>
      </c>
      <c r="N4092" s="71">
        <f t="shared" si="568"/>
        <v>0</v>
      </c>
      <c r="O4092" s="71">
        <f t="shared" si="569"/>
        <v>1</v>
      </c>
      <c r="P4092" s="71">
        <f t="shared" si="570"/>
        <v>0</v>
      </c>
      <c r="Q4092" s="71">
        <f t="shared" si="571"/>
        <v>0</v>
      </c>
      <c r="R4092" s="71">
        <f t="shared" si="572"/>
        <v>0</v>
      </c>
      <c r="S4092" s="71">
        <f t="shared" si="573"/>
        <v>0</v>
      </c>
      <c r="T4092" s="71">
        <f t="shared" si="574"/>
        <v>0</v>
      </c>
      <c r="U4092" s="71">
        <f>IF(AND(N4092=1,V4092=1),IF(COUNTIFS(AKTIVITAS!$B$2:$B$3052,B4092,AKTIVITAS!$E$2:$E$3052,H4092)&gt;0,1,0),0)</f>
        <v>0</v>
      </c>
      <c r="V4092" s="71">
        <f>IFERROR(IF(AND(H4092&gt;=INDEX(PEMAGANG!$J$3:$J$36,MATCH(B4092,PEMAGANG!$C$3:$C$36,0)),H4092&lt;=INDEX(PEMAGANG!$K$3:$K$36,MATCH(B4092,PEMAGANG!$C$3:$C$36,0))),1,0),0)</f>
        <v>1</v>
      </c>
      <c r="W4092" s="71">
        <f t="shared" si="575"/>
        <v>0</v>
      </c>
    </row>
    <row r="4093" spans="1:23" x14ac:dyDescent="0.2">
      <c r="A4093" s="71" t="s">
        <v>264</v>
      </c>
      <c r="B4093" s="71" t="s">
        <v>265</v>
      </c>
      <c r="C4093" s="71" t="s">
        <v>187</v>
      </c>
      <c r="D4093" s="71" t="s">
        <v>259</v>
      </c>
      <c r="E4093" s="71" t="s">
        <v>55</v>
      </c>
      <c r="F4093" s="71" t="s">
        <v>298</v>
      </c>
      <c r="G4093" s="88">
        <v>46295.298275462999</v>
      </c>
      <c r="H4093" s="89">
        <v>46295</v>
      </c>
      <c r="I4093" s="71" t="s">
        <v>479</v>
      </c>
      <c r="J4093" s="71">
        <v>-21</v>
      </c>
      <c r="K4093" s="71" t="s">
        <v>302</v>
      </c>
      <c r="L4093" s="71">
        <f t="shared" si="567"/>
        <v>9</v>
      </c>
      <c r="M4093" s="71" t="str">
        <f>IFERROR(INDEX(KALENDER!$D$3:$D$132,MATCH(H4093,KALENDER!$A$3:$A$132,0)),"Di luar periode")</f>
        <v>Hari Kerja</v>
      </c>
      <c r="N4093" s="71">
        <f t="shared" si="568"/>
        <v>1</v>
      </c>
      <c r="O4093" s="71">
        <f t="shared" si="569"/>
        <v>1</v>
      </c>
      <c r="P4093" s="71">
        <f t="shared" si="570"/>
        <v>1</v>
      </c>
      <c r="Q4093" s="71">
        <f t="shared" si="571"/>
        <v>0</v>
      </c>
      <c r="R4093" s="71">
        <f t="shared" si="572"/>
        <v>0</v>
      </c>
      <c r="S4093" s="71">
        <f t="shared" si="573"/>
        <v>0</v>
      </c>
      <c r="T4093" s="71">
        <f t="shared" si="574"/>
        <v>0</v>
      </c>
      <c r="U4093" s="71">
        <f>IF(AND(N4093=1,V4093=1),IF(COUNTIFS(AKTIVITAS!$B$2:$B$3052,B4093,AKTIVITAS!$E$2:$E$3052,H4093)&gt;0,1,0),0)</f>
        <v>1</v>
      </c>
      <c r="V4093" s="71">
        <f>IFERROR(IF(AND(H4093&gt;=INDEX(PEMAGANG!$J$3:$J$36,MATCH(B4093,PEMAGANG!$C$3:$C$36,0)),H4093&lt;=INDEX(PEMAGANG!$K$3:$K$36,MATCH(B4093,PEMAGANG!$C$3:$C$36,0))),1,0),0)</f>
        <v>1</v>
      </c>
      <c r="W4093" s="71">
        <f t="shared" si="575"/>
        <v>1</v>
      </c>
    </row>
    <row r="4094" spans="1:23" x14ac:dyDescent="0.2">
      <c r="A4094" s="71" t="s">
        <v>264</v>
      </c>
      <c r="B4094" s="71" t="s">
        <v>265</v>
      </c>
      <c r="C4094" s="71" t="s">
        <v>187</v>
      </c>
      <c r="D4094" s="71" t="s">
        <v>259</v>
      </c>
      <c r="E4094" s="71" t="s">
        <v>55</v>
      </c>
      <c r="F4094" s="71" t="s">
        <v>300</v>
      </c>
      <c r="G4094" s="88">
        <v>46295.702013888898</v>
      </c>
      <c r="H4094" s="89">
        <v>46295</v>
      </c>
      <c r="I4094" s="71" t="s">
        <v>334</v>
      </c>
      <c r="J4094" s="71">
        <v>0</v>
      </c>
      <c r="K4094" s="71" t="s">
        <v>302</v>
      </c>
      <c r="L4094" s="71">
        <f t="shared" si="567"/>
        <v>9</v>
      </c>
      <c r="M4094" s="71" t="str">
        <f>IFERROR(INDEX(KALENDER!$D$3:$D$132,MATCH(H4094,KALENDER!$A$3:$A$132,0)),"Di luar periode")</f>
        <v>Hari Kerja</v>
      </c>
      <c r="N4094" s="71">
        <f t="shared" si="568"/>
        <v>0</v>
      </c>
      <c r="O4094" s="71">
        <f t="shared" si="569"/>
        <v>1</v>
      </c>
      <c r="P4094" s="71">
        <f t="shared" si="570"/>
        <v>0</v>
      </c>
      <c r="Q4094" s="71">
        <f t="shared" si="571"/>
        <v>0</v>
      </c>
      <c r="R4094" s="71">
        <f t="shared" si="572"/>
        <v>0</v>
      </c>
      <c r="S4094" s="71">
        <f t="shared" si="573"/>
        <v>0</v>
      </c>
      <c r="T4094" s="71">
        <f t="shared" si="574"/>
        <v>0</v>
      </c>
      <c r="U4094" s="71">
        <f>IF(AND(N4094=1,V4094=1),IF(COUNTIFS(AKTIVITAS!$B$2:$B$3052,B4094,AKTIVITAS!$E$2:$E$3052,H4094)&gt;0,1,0),0)</f>
        <v>0</v>
      </c>
      <c r="V4094" s="71">
        <f>IFERROR(IF(AND(H4094&gt;=INDEX(PEMAGANG!$J$3:$J$36,MATCH(B4094,PEMAGANG!$C$3:$C$36,0)),H4094&lt;=INDEX(PEMAGANG!$K$3:$K$36,MATCH(B4094,PEMAGANG!$C$3:$C$36,0))),1,0),0)</f>
        <v>1</v>
      </c>
      <c r="W4094" s="71">
        <f t="shared" si="575"/>
        <v>0</v>
      </c>
    </row>
  </sheetData>
  <autoFilter ref="A1:W4094"/>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97D"/>
  </sheetPr>
  <dimension ref="A1:H3052"/>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1.25" x14ac:dyDescent="0.2"/>
  <cols>
    <col min="1" max="1" width="14" style="56" customWidth="1"/>
    <col min="2" max="3" width="30" style="56" customWidth="1"/>
    <col min="4" max="4" width="17" style="56" customWidth="1"/>
    <col min="5" max="5" width="12" style="56" customWidth="1"/>
    <col min="6" max="6" width="90" style="56" customWidth="1"/>
    <col min="7" max="7" width="7" style="56" customWidth="1"/>
    <col min="8" max="8" width="10" style="56" customWidth="1"/>
    <col min="9" max="16384" width="8.7109375" style="56"/>
  </cols>
  <sheetData>
    <row r="1" spans="1:8" ht="30" customHeight="1" x14ac:dyDescent="0.2">
      <c r="A1" s="73" t="s">
        <v>278</v>
      </c>
      <c r="B1" s="73" t="s">
        <v>279</v>
      </c>
      <c r="C1" s="73" t="s">
        <v>770</v>
      </c>
      <c r="D1" s="73" t="s">
        <v>284</v>
      </c>
      <c r="E1" s="73" t="s">
        <v>285</v>
      </c>
      <c r="F1" s="73" t="s">
        <v>771</v>
      </c>
      <c r="G1" s="87" t="s">
        <v>148</v>
      </c>
      <c r="H1" s="87" t="s">
        <v>772</v>
      </c>
    </row>
    <row r="2" spans="1:8" x14ac:dyDescent="0.2">
      <c r="A2" s="71" t="s">
        <v>222</v>
      </c>
      <c r="B2" s="71" t="s">
        <v>223</v>
      </c>
      <c r="C2" s="71" t="s">
        <v>52</v>
      </c>
      <c r="D2" s="88">
        <v>46244.716712963003</v>
      </c>
      <c r="E2" s="89">
        <v>46244</v>
      </c>
      <c r="F2" s="71" t="s">
        <v>773</v>
      </c>
      <c r="G2" s="71">
        <f t="shared" ref="G2:G65" si="0">MONTH(E2)</f>
        <v>8</v>
      </c>
      <c r="H2" s="71">
        <f t="shared" ref="H2:H65" si="1">LEN(F2)</f>
        <v>89</v>
      </c>
    </row>
    <row r="3" spans="1:8" x14ac:dyDescent="0.2">
      <c r="A3" s="71" t="s">
        <v>222</v>
      </c>
      <c r="B3" s="71" t="s">
        <v>223</v>
      </c>
      <c r="C3" s="71" t="s">
        <v>52</v>
      </c>
      <c r="D3" s="88">
        <v>46245.403229166703</v>
      </c>
      <c r="E3" s="89">
        <v>46245</v>
      </c>
      <c r="F3" s="71" t="s">
        <v>774</v>
      </c>
      <c r="G3" s="71">
        <f t="shared" si="0"/>
        <v>8</v>
      </c>
      <c r="H3" s="71">
        <f t="shared" si="1"/>
        <v>99</v>
      </c>
    </row>
    <row r="4" spans="1:8" x14ac:dyDescent="0.2">
      <c r="A4" s="71" t="s">
        <v>222</v>
      </c>
      <c r="B4" s="71" t="s">
        <v>223</v>
      </c>
      <c r="C4" s="71" t="s">
        <v>52</v>
      </c>
      <c r="D4" s="88">
        <v>46245.679039351897</v>
      </c>
      <c r="E4" s="89">
        <v>46245</v>
      </c>
      <c r="F4" s="71" t="s">
        <v>775</v>
      </c>
      <c r="G4" s="71">
        <f t="shared" si="0"/>
        <v>8</v>
      </c>
      <c r="H4" s="71">
        <f t="shared" si="1"/>
        <v>79</v>
      </c>
    </row>
    <row r="5" spans="1:8" x14ac:dyDescent="0.2">
      <c r="A5" s="71" t="s">
        <v>222</v>
      </c>
      <c r="B5" s="71" t="s">
        <v>223</v>
      </c>
      <c r="C5" s="71" t="s">
        <v>52</v>
      </c>
      <c r="D5" s="88">
        <v>46246.4947106482</v>
      </c>
      <c r="E5" s="89">
        <v>46246</v>
      </c>
      <c r="F5" s="71" t="s">
        <v>776</v>
      </c>
      <c r="G5" s="71">
        <f t="shared" si="0"/>
        <v>8</v>
      </c>
      <c r="H5" s="71">
        <f t="shared" si="1"/>
        <v>96</v>
      </c>
    </row>
    <row r="6" spans="1:8" x14ac:dyDescent="0.2">
      <c r="A6" s="71" t="s">
        <v>222</v>
      </c>
      <c r="B6" s="71" t="s">
        <v>223</v>
      </c>
      <c r="C6" s="71" t="s">
        <v>52</v>
      </c>
      <c r="D6" s="88">
        <v>46246.683657407397</v>
      </c>
      <c r="E6" s="89">
        <v>46246</v>
      </c>
      <c r="F6" s="71" t="s">
        <v>777</v>
      </c>
      <c r="G6" s="71">
        <f t="shared" si="0"/>
        <v>8</v>
      </c>
      <c r="H6" s="71">
        <f t="shared" si="1"/>
        <v>175</v>
      </c>
    </row>
    <row r="7" spans="1:8" x14ac:dyDescent="0.2">
      <c r="A7" s="71" t="s">
        <v>222</v>
      </c>
      <c r="B7" s="71" t="s">
        <v>223</v>
      </c>
      <c r="C7" s="71" t="s">
        <v>52</v>
      </c>
      <c r="D7" s="88">
        <v>46247.489837963003</v>
      </c>
      <c r="E7" s="89">
        <v>46247</v>
      </c>
      <c r="F7" s="71" t="s">
        <v>778</v>
      </c>
      <c r="G7" s="71">
        <f t="shared" si="0"/>
        <v>8</v>
      </c>
      <c r="H7" s="71">
        <f t="shared" si="1"/>
        <v>206</v>
      </c>
    </row>
    <row r="8" spans="1:8" x14ac:dyDescent="0.2">
      <c r="A8" s="71" t="s">
        <v>222</v>
      </c>
      <c r="B8" s="71" t="s">
        <v>223</v>
      </c>
      <c r="C8" s="71" t="s">
        <v>52</v>
      </c>
      <c r="D8" s="88">
        <v>46247.693136574097</v>
      </c>
      <c r="E8" s="89">
        <v>46247</v>
      </c>
      <c r="F8" s="71" t="s">
        <v>779</v>
      </c>
      <c r="G8" s="71">
        <f t="shared" si="0"/>
        <v>8</v>
      </c>
      <c r="H8" s="71">
        <f t="shared" si="1"/>
        <v>188</v>
      </c>
    </row>
    <row r="9" spans="1:8" x14ac:dyDescent="0.2">
      <c r="A9" s="71" t="s">
        <v>222</v>
      </c>
      <c r="B9" s="71" t="s">
        <v>223</v>
      </c>
      <c r="C9" s="71" t="s">
        <v>52</v>
      </c>
      <c r="D9" s="88">
        <v>46248.683958333299</v>
      </c>
      <c r="E9" s="89">
        <v>46248</v>
      </c>
      <c r="F9" s="71" t="s">
        <v>780</v>
      </c>
      <c r="G9" s="71">
        <f t="shared" si="0"/>
        <v>8</v>
      </c>
      <c r="H9" s="71">
        <f t="shared" si="1"/>
        <v>80</v>
      </c>
    </row>
    <row r="10" spans="1:8" x14ac:dyDescent="0.2">
      <c r="A10" s="71" t="s">
        <v>222</v>
      </c>
      <c r="B10" s="71" t="s">
        <v>223</v>
      </c>
      <c r="C10" s="71" t="s">
        <v>52</v>
      </c>
      <c r="D10" s="88">
        <v>46252.601412037002</v>
      </c>
      <c r="E10" s="89">
        <v>46252</v>
      </c>
      <c r="F10" s="71" t="s">
        <v>781</v>
      </c>
      <c r="G10" s="71">
        <f t="shared" si="0"/>
        <v>8</v>
      </c>
      <c r="H10" s="71">
        <f t="shared" si="1"/>
        <v>78</v>
      </c>
    </row>
    <row r="11" spans="1:8" x14ac:dyDescent="0.2">
      <c r="A11" s="71" t="s">
        <v>222</v>
      </c>
      <c r="B11" s="71" t="s">
        <v>223</v>
      </c>
      <c r="C11" s="71" t="s">
        <v>52</v>
      </c>
      <c r="D11" s="88">
        <v>46252.677592592598</v>
      </c>
      <c r="E11" s="89">
        <v>46252</v>
      </c>
      <c r="F11" s="71" t="s">
        <v>782</v>
      </c>
      <c r="G11" s="71">
        <f t="shared" si="0"/>
        <v>8</v>
      </c>
      <c r="H11" s="71">
        <f t="shared" si="1"/>
        <v>88</v>
      </c>
    </row>
    <row r="12" spans="1:8" x14ac:dyDescent="0.2">
      <c r="A12" s="71" t="s">
        <v>222</v>
      </c>
      <c r="B12" s="71" t="s">
        <v>223</v>
      </c>
      <c r="C12" s="71" t="s">
        <v>52</v>
      </c>
      <c r="D12" s="88">
        <v>46253.492210648197</v>
      </c>
      <c r="E12" s="89">
        <v>46253</v>
      </c>
      <c r="F12" s="71" t="s">
        <v>783</v>
      </c>
      <c r="G12" s="71">
        <f t="shared" si="0"/>
        <v>8</v>
      </c>
      <c r="H12" s="71">
        <f t="shared" si="1"/>
        <v>227</v>
      </c>
    </row>
    <row r="13" spans="1:8" x14ac:dyDescent="0.2">
      <c r="A13" s="71" t="s">
        <v>222</v>
      </c>
      <c r="B13" s="71" t="s">
        <v>223</v>
      </c>
      <c r="C13" s="71" t="s">
        <v>52</v>
      </c>
      <c r="D13" s="88">
        <v>46253.684120370403</v>
      </c>
      <c r="E13" s="89">
        <v>46253</v>
      </c>
      <c r="F13" s="71" t="s">
        <v>784</v>
      </c>
      <c r="G13" s="71">
        <f t="shared" si="0"/>
        <v>8</v>
      </c>
      <c r="H13" s="71">
        <f t="shared" si="1"/>
        <v>193</v>
      </c>
    </row>
    <row r="14" spans="1:8" x14ac:dyDescent="0.2">
      <c r="A14" s="71" t="s">
        <v>222</v>
      </c>
      <c r="B14" s="71" t="s">
        <v>223</v>
      </c>
      <c r="C14" s="71" t="s">
        <v>52</v>
      </c>
      <c r="D14" s="88">
        <v>46254.6902893519</v>
      </c>
      <c r="E14" s="89">
        <v>46254</v>
      </c>
      <c r="F14" s="71" t="s">
        <v>785</v>
      </c>
      <c r="G14" s="71">
        <f t="shared" si="0"/>
        <v>8</v>
      </c>
      <c r="H14" s="71">
        <f t="shared" si="1"/>
        <v>174</v>
      </c>
    </row>
    <row r="15" spans="1:8" x14ac:dyDescent="0.2">
      <c r="A15" s="71" t="s">
        <v>222</v>
      </c>
      <c r="B15" s="71" t="s">
        <v>223</v>
      </c>
      <c r="C15" s="71" t="s">
        <v>52</v>
      </c>
      <c r="D15" s="88">
        <v>46255.662812499999</v>
      </c>
      <c r="E15" s="89">
        <v>46255</v>
      </c>
      <c r="F15" s="71" t="s">
        <v>786</v>
      </c>
      <c r="G15" s="71">
        <f t="shared" si="0"/>
        <v>8</v>
      </c>
      <c r="H15" s="71">
        <f t="shared" si="1"/>
        <v>219</v>
      </c>
    </row>
    <row r="16" spans="1:8" x14ac:dyDescent="0.2">
      <c r="A16" s="71" t="s">
        <v>222</v>
      </c>
      <c r="B16" s="71" t="s">
        <v>223</v>
      </c>
      <c r="C16" s="71" t="s">
        <v>52</v>
      </c>
      <c r="D16" s="88">
        <v>46255.672523148198</v>
      </c>
      <c r="E16" s="89">
        <v>46255</v>
      </c>
      <c r="F16" s="71" t="s">
        <v>787</v>
      </c>
      <c r="G16" s="71">
        <f t="shared" si="0"/>
        <v>8</v>
      </c>
      <c r="H16" s="71">
        <f t="shared" si="1"/>
        <v>39</v>
      </c>
    </row>
    <row r="17" spans="1:8" x14ac:dyDescent="0.2">
      <c r="A17" s="71" t="s">
        <v>222</v>
      </c>
      <c r="B17" s="71" t="s">
        <v>223</v>
      </c>
      <c r="C17" s="71" t="s">
        <v>52</v>
      </c>
      <c r="D17" s="88">
        <v>46258.685659722199</v>
      </c>
      <c r="E17" s="89">
        <v>46258</v>
      </c>
      <c r="F17" s="71" t="s">
        <v>788</v>
      </c>
      <c r="G17" s="71">
        <f t="shared" si="0"/>
        <v>8</v>
      </c>
      <c r="H17" s="71">
        <f t="shared" si="1"/>
        <v>65</v>
      </c>
    </row>
    <row r="18" spans="1:8" x14ac:dyDescent="0.2">
      <c r="A18" s="71" t="s">
        <v>222</v>
      </c>
      <c r="B18" s="71" t="s">
        <v>223</v>
      </c>
      <c r="C18" s="71" t="s">
        <v>52</v>
      </c>
      <c r="D18" s="88">
        <v>46260.668287036999</v>
      </c>
      <c r="E18" s="89">
        <v>46260</v>
      </c>
      <c r="F18" s="71" t="s">
        <v>789</v>
      </c>
      <c r="G18" s="71">
        <f t="shared" si="0"/>
        <v>8</v>
      </c>
      <c r="H18" s="71">
        <f t="shared" si="1"/>
        <v>82</v>
      </c>
    </row>
    <row r="19" spans="1:8" x14ac:dyDescent="0.2">
      <c r="A19" s="71" t="s">
        <v>222</v>
      </c>
      <c r="B19" s="71" t="s">
        <v>223</v>
      </c>
      <c r="C19" s="71" t="s">
        <v>52</v>
      </c>
      <c r="D19" s="88">
        <v>46261.686307870397</v>
      </c>
      <c r="E19" s="89">
        <v>46261</v>
      </c>
      <c r="F19" s="71" t="s">
        <v>790</v>
      </c>
      <c r="G19" s="71">
        <f t="shared" si="0"/>
        <v>8</v>
      </c>
      <c r="H19" s="71">
        <f t="shared" si="1"/>
        <v>85</v>
      </c>
    </row>
    <row r="20" spans="1:8" x14ac:dyDescent="0.2">
      <c r="A20" s="71" t="s">
        <v>222</v>
      </c>
      <c r="B20" s="71" t="s">
        <v>223</v>
      </c>
      <c r="C20" s="71" t="s">
        <v>52</v>
      </c>
      <c r="D20" s="88">
        <v>46262.549317129597</v>
      </c>
      <c r="E20" s="89">
        <v>46262</v>
      </c>
      <c r="F20" s="71" t="s">
        <v>791</v>
      </c>
      <c r="G20" s="71">
        <f t="shared" si="0"/>
        <v>8</v>
      </c>
      <c r="H20" s="71">
        <f t="shared" si="1"/>
        <v>108</v>
      </c>
    </row>
    <row r="21" spans="1:8" x14ac:dyDescent="0.2">
      <c r="A21" s="71" t="s">
        <v>222</v>
      </c>
      <c r="B21" s="71" t="s">
        <v>223</v>
      </c>
      <c r="C21" s="71" t="s">
        <v>52</v>
      </c>
      <c r="D21" s="88">
        <v>46262.697777777801</v>
      </c>
      <c r="E21" s="89">
        <v>46262</v>
      </c>
      <c r="F21" s="71" t="s">
        <v>792</v>
      </c>
      <c r="G21" s="71">
        <f t="shared" si="0"/>
        <v>8</v>
      </c>
      <c r="H21" s="71">
        <f t="shared" si="1"/>
        <v>91</v>
      </c>
    </row>
    <row r="22" spans="1:8" x14ac:dyDescent="0.2">
      <c r="A22" s="71" t="s">
        <v>222</v>
      </c>
      <c r="B22" s="71" t="s">
        <v>223</v>
      </c>
      <c r="C22" s="71" t="s">
        <v>52</v>
      </c>
      <c r="D22" s="88">
        <v>46265.678819444503</v>
      </c>
      <c r="E22" s="89">
        <v>46265</v>
      </c>
      <c r="F22" s="71" t="s">
        <v>793</v>
      </c>
      <c r="G22" s="71">
        <f t="shared" si="0"/>
        <v>8</v>
      </c>
      <c r="H22" s="71">
        <f t="shared" si="1"/>
        <v>86</v>
      </c>
    </row>
    <row r="23" spans="1:8" x14ac:dyDescent="0.2">
      <c r="A23" s="71" t="s">
        <v>222</v>
      </c>
      <c r="B23" s="71" t="s">
        <v>223</v>
      </c>
      <c r="C23" s="71" t="s">
        <v>52</v>
      </c>
      <c r="D23" s="88">
        <v>46265.680671296301</v>
      </c>
      <c r="E23" s="89">
        <v>46265</v>
      </c>
      <c r="F23" s="71" t="s">
        <v>794</v>
      </c>
      <c r="G23" s="71">
        <f t="shared" si="0"/>
        <v>8</v>
      </c>
      <c r="H23" s="71">
        <f t="shared" si="1"/>
        <v>77</v>
      </c>
    </row>
    <row r="24" spans="1:8" x14ac:dyDescent="0.2">
      <c r="A24" s="71" t="s">
        <v>222</v>
      </c>
      <c r="B24" s="71" t="s">
        <v>223</v>
      </c>
      <c r="C24" s="71" t="s">
        <v>52</v>
      </c>
      <c r="D24" s="88">
        <v>46266.683680555601</v>
      </c>
      <c r="E24" s="89">
        <v>46266</v>
      </c>
      <c r="F24" s="71" t="s">
        <v>795</v>
      </c>
      <c r="G24" s="71">
        <f t="shared" si="0"/>
        <v>9</v>
      </c>
      <c r="H24" s="71">
        <f t="shared" si="1"/>
        <v>126</v>
      </c>
    </row>
    <row r="25" spans="1:8" x14ac:dyDescent="0.2">
      <c r="A25" s="71" t="s">
        <v>222</v>
      </c>
      <c r="B25" s="71" t="s">
        <v>223</v>
      </c>
      <c r="C25" s="71" t="s">
        <v>52</v>
      </c>
      <c r="D25" s="88">
        <v>46266.685856481497</v>
      </c>
      <c r="E25" s="89">
        <v>46266</v>
      </c>
      <c r="F25" s="71" t="s">
        <v>796</v>
      </c>
      <c r="G25" s="71">
        <f t="shared" si="0"/>
        <v>9</v>
      </c>
      <c r="H25" s="71">
        <f t="shared" si="1"/>
        <v>67</v>
      </c>
    </row>
    <row r="26" spans="1:8" x14ac:dyDescent="0.2">
      <c r="A26" s="71" t="s">
        <v>222</v>
      </c>
      <c r="B26" s="71" t="s">
        <v>223</v>
      </c>
      <c r="C26" s="71" t="s">
        <v>52</v>
      </c>
      <c r="D26" s="88">
        <v>46267.667476851901</v>
      </c>
      <c r="E26" s="89">
        <v>46267</v>
      </c>
      <c r="F26" s="71" t="s">
        <v>797</v>
      </c>
      <c r="G26" s="71">
        <f t="shared" si="0"/>
        <v>9</v>
      </c>
      <c r="H26" s="71">
        <f t="shared" si="1"/>
        <v>29</v>
      </c>
    </row>
    <row r="27" spans="1:8" x14ac:dyDescent="0.2">
      <c r="A27" s="71" t="s">
        <v>222</v>
      </c>
      <c r="B27" s="71" t="s">
        <v>223</v>
      </c>
      <c r="C27" s="71" t="s">
        <v>52</v>
      </c>
      <c r="D27" s="88">
        <v>46267.668599536999</v>
      </c>
      <c r="E27" s="89">
        <v>46267</v>
      </c>
      <c r="F27" s="71" t="s">
        <v>798</v>
      </c>
      <c r="G27" s="71">
        <f t="shared" si="0"/>
        <v>9</v>
      </c>
      <c r="H27" s="71">
        <f t="shared" si="1"/>
        <v>58</v>
      </c>
    </row>
    <row r="28" spans="1:8" x14ac:dyDescent="0.2">
      <c r="A28" s="71" t="s">
        <v>222</v>
      </c>
      <c r="B28" s="71" t="s">
        <v>223</v>
      </c>
      <c r="C28" s="71" t="s">
        <v>52</v>
      </c>
      <c r="D28" s="88">
        <v>46268.6696296296</v>
      </c>
      <c r="E28" s="89">
        <v>46268</v>
      </c>
      <c r="F28" s="71" t="s">
        <v>799</v>
      </c>
      <c r="G28" s="71">
        <f t="shared" si="0"/>
        <v>9</v>
      </c>
      <c r="H28" s="71">
        <f t="shared" si="1"/>
        <v>91</v>
      </c>
    </row>
    <row r="29" spans="1:8" x14ac:dyDescent="0.2">
      <c r="A29" s="71" t="s">
        <v>222</v>
      </c>
      <c r="B29" s="71" t="s">
        <v>223</v>
      </c>
      <c r="C29" s="71" t="s">
        <v>52</v>
      </c>
      <c r="D29" s="88">
        <v>46268.670775462997</v>
      </c>
      <c r="E29" s="89">
        <v>46268</v>
      </c>
      <c r="F29" s="71" t="s">
        <v>800</v>
      </c>
      <c r="G29" s="71">
        <f t="shared" si="0"/>
        <v>9</v>
      </c>
      <c r="H29" s="71">
        <f t="shared" si="1"/>
        <v>56</v>
      </c>
    </row>
    <row r="30" spans="1:8" x14ac:dyDescent="0.2">
      <c r="A30" s="71" t="s">
        <v>222</v>
      </c>
      <c r="B30" s="71" t="s">
        <v>223</v>
      </c>
      <c r="C30" s="71" t="s">
        <v>52</v>
      </c>
      <c r="D30" s="88">
        <v>46268.671400462998</v>
      </c>
      <c r="E30" s="89">
        <v>46268</v>
      </c>
      <c r="F30" s="71" t="s">
        <v>801</v>
      </c>
      <c r="G30" s="71">
        <f t="shared" si="0"/>
        <v>9</v>
      </c>
      <c r="H30" s="71">
        <f t="shared" si="1"/>
        <v>59</v>
      </c>
    </row>
    <row r="31" spans="1:8" x14ac:dyDescent="0.2">
      <c r="A31" s="71" t="s">
        <v>222</v>
      </c>
      <c r="B31" s="71" t="s">
        <v>223</v>
      </c>
      <c r="C31" s="71" t="s">
        <v>52</v>
      </c>
      <c r="D31" s="88">
        <v>46269.678958333301</v>
      </c>
      <c r="E31" s="89">
        <v>46269</v>
      </c>
      <c r="F31" s="71" t="s">
        <v>802</v>
      </c>
      <c r="G31" s="71">
        <f t="shared" si="0"/>
        <v>9</v>
      </c>
      <c r="H31" s="71">
        <f t="shared" si="1"/>
        <v>63</v>
      </c>
    </row>
    <row r="32" spans="1:8" x14ac:dyDescent="0.2">
      <c r="A32" s="71" t="s">
        <v>222</v>
      </c>
      <c r="B32" s="71" t="s">
        <v>223</v>
      </c>
      <c r="C32" s="71" t="s">
        <v>52</v>
      </c>
      <c r="D32" s="88">
        <v>46269.6812152778</v>
      </c>
      <c r="E32" s="89">
        <v>46269</v>
      </c>
      <c r="F32" s="71" t="s">
        <v>803</v>
      </c>
      <c r="G32" s="71">
        <f t="shared" si="0"/>
        <v>9</v>
      </c>
      <c r="H32" s="71">
        <f t="shared" si="1"/>
        <v>74</v>
      </c>
    </row>
    <row r="33" spans="1:8" x14ac:dyDescent="0.2">
      <c r="A33" s="71" t="s">
        <v>222</v>
      </c>
      <c r="B33" s="71" t="s">
        <v>223</v>
      </c>
      <c r="C33" s="71" t="s">
        <v>52</v>
      </c>
      <c r="D33" s="88">
        <v>46269.683113425897</v>
      </c>
      <c r="E33" s="89">
        <v>46269</v>
      </c>
      <c r="F33" s="71" t="s">
        <v>804</v>
      </c>
      <c r="G33" s="71">
        <f t="shared" si="0"/>
        <v>9</v>
      </c>
      <c r="H33" s="71">
        <f t="shared" si="1"/>
        <v>48</v>
      </c>
    </row>
    <row r="34" spans="1:8" x14ac:dyDescent="0.2">
      <c r="A34" s="71" t="s">
        <v>222</v>
      </c>
      <c r="B34" s="71" t="s">
        <v>223</v>
      </c>
      <c r="C34" s="71" t="s">
        <v>52</v>
      </c>
      <c r="D34" s="88">
        <v>46272.681226851899</v>
      </c>
      <c r="E34" s="89">
        <v>46272</v>
      </c>
      <c r="F34" s="71" t="s">
        <v>805</v>
      </c>
      <c r="G34" s="71">
        <f t="shared" si="0"/>
        <v>9</v>
      </c>
      <c r="H34" s="71">
        <f t="shared" si="1"/>
        <v>126</v>
      </c>
    </row>
    <row r="35" spans="1:8" x14ac:dyDescent="0.2">
      <c r="A35" s="71" t="s">
        <v>222</v>
      </c>
      <c r="B35" s="71" t="s">
        <v>223</v>
      </c>
      <c r="C35" s="71" t="s">
        <v>52</v>
      </c>
      <c r="D35" s="88">
        <v>46272.682291666701</v>
      </c>
      <c r="E35" s="89">
        <v>46272</v>
      </c>
      <c r="F35" s="71" t="s">
        <v>806</v>
      </c>
      <c r="G35" s="71">
        <f t="shared" si="0"/>
        <v>9</v>
      </c>
      <c r="H35" s="71">
        <f t="shared" si="1"/>
        <v>70</v>
      </c>
    </row>
    <row r="36" spans="1:8" x14ac:dyDescent="0.2">
      <c r="A36" s="71" t="s">
        <v>222</v>
      </c>
      <c r="B36" s="71" t="s">
        <v>223</v>
      </c>
      <c r="C36" s="71" t="s">
        <v>52</v>
      </c>
      <c r="D36" s="88">
        <v>46272.683761574102</v>
      </c>
      <c r="E36" s="89">
        <v>46272</v>
      </c>
      <c r="F36" s="71" t="s">
        <v>807</v>
      </c>
      <c r="G36" s="71">
        <f t="shared" si="0"/>
        <v>9</v>
      </c>
      <c r="H36" s="71">
        <f t="shared" si="1"/>
        <v>55</v>
      </c>
    </row>
    <row r="37" spans="1:8" x14ac:dyDescent="0.2">
      <c r="A37" s="71" t="s">
        <v>222</v>
      </c>
      <c r="B37" s="71" t="s">
        <v>223</v>
      </c>
      <c r="C37" s="71" t="s">
        <v>52</v>
      </c>
      <c r="D37" s="88">
        <v>46272.684918981497</v>
      </c>
      <c r="E37" s="89">
        <v>46272</v>
      </c>
      <c r="F37" s="71" t="s">
        <v>808</v>
      </c>
      <c r="G37" s="71">
        <f t="shared" si="0"/>
        <v>9</v>
      </c>
      <c r="H37" s="71">
        <f t="shared" si="1"/>
        <v>68</v>
      </c>
    </row>
    <row r="38" spans="1:8" x14ac:dyDescent="0.2">
      <c r="A38" s="71" t="s">
        <v>222</v>
      </c>
      <c r="B38" s="71" t="s">
        <v>223</v>
      </c>
      <c r="C38" s="71" t="s">
        <v>52</v>
      </c>
      <c r="D38" s="88">
        <v>46273.692581018498</v>
      </c>
      <c r="E38" s="89">
        <v>46273</v>
      </c>
      <c r="F38" s="71" t="s">
        <v>809</v>
      </c>
      <c r="G38" s="71">
        <f t="shared" si="0"/>
        <v>9</v>
      </c>
      <c r="H38" s="71">
        <f t="shared" si="1"/>
        <v>74</v>
      </c>
    </row>
    <row r="39" spans="1:8" x14ac:dyDescent="0.2">
      <c r="A39" s="71" t="s">
        <v>222</v>
      </c>
      <c r="B39" s="71" t="s">
        <v>223</v>
      </c>
      <c r="C39" s="71" t="s">
        <v>52</v>
      </c>
      <c r="D39" s="88">
        <v>46273.694918981499</v>
      </c>
      <c r="E39" s="89">
        <v>46273</v>
      </c>
      <c r="F39" s="71" t="s">
        <v>810</v>
      </c>
      <c r="G39" s="71">
        <f t="shared" si="0"/>
        <v>9</v>
      </c>
      <c r="H39" s="71">
        <f t="shared" si="1"/>
        <v>92</v>
      </c>
    </row>
    <row r="40" spans="1:8" x14ac:dyDescent="0.2">
      <c r="A40" s="71" t="s">
        <v>222</v>
      </c>
      <c r="B40" s="71" t="s">
        <v>223</v>
      </c>
      <c r="C40" s="71" t="s">
        <v>52</v>
      </c>
      <c r="D40" s="88">
        <v>46273.697164351899</v>
      </c>
      <c r="E40" s="89">
        <v>46273</v>
      </c>
      <c r="F40" s="71" t="s">
        <v>811</v>
      </c>
      <c r="G40" s="71">
        <f t="shared" si="0"/>
        <v>9</v>
      </c>
      <c r="H40" s="71">
        <f t="shared" si="1"/>
        <v>75</v>
      </c>
    </row>
    <row r="41" spans="1:8" x14ac:dyDescent="0.2">
      <c r="A41" s="71" t="s">
        <v>222</v>
      </c>
      <c r="B41" s="71" t="s">
        <v>223</v>
      </c>
      <c r="C41" s="71" t="s">
        <v>52</v>
      </c>
      <c r="D41" s="88">
        <v>46274.674479166701</v>
      </c>
      <c r="E41" s="89">
        <v>46274</v>
      </c>
      <c r="F41" s="71" t="s">
        <v>812</v>
      </c>
      <c r="G41" s="71">
        <f t="shared" si="0"/>
        <v>9</v>
      </c>
      <c r="H41" s="71">
        <f t="shared" si="1"/>
        <v>84</v>
      </c>
    </row>
    <row r="42" spans="1:8" x14ac:dyDescent="0.2">
      <c r="A42" s="71" t="s">
        <v>222</v>
      </c>
      <c r="B42" s="71" t="s">
        <v>223</v>
      </c>
      <c r="C42" s="71" t="s">
        <v>52</v>
      </c>
      <c r="D42" s="88">
        <v>46274.6750231482</v>
      </c>
      <c r="E42" s="89">
        <v>46274</v>
      </c>
      <c r="F42" s="71" t="s">
        <v>813</v>
      </c>
      <c r="G42" s="71">
        <f t="shared" si="0"/>
        <v>9</v>
      </c>
      <c r="H42" s="71">
        <f t="shared" si="1"/>
        <v>43</v>
      </c>
    </row>
    <row r="43" spans="1:8" x14ac:dyDescent="0.2">
      <c r="A43" s="71" t="s">
        <v>222</v>
      </c>
      <c r="B43" s="71" t="s">
        <v>223</v>
      </c>
      <c r="C43" s="71" t="s">
        <v>52</v>
      </c>
      <c r="D43" s="88">
        <v>46274.6828356482</v>
      </c>
      <c r="E43" s="89">
        <v>46274</v>
      </c>
      <c r="F43" s="71" t="s">
        <v>814</v>
      </c>
      <c r="G43" s="71">
        <f t="shared" si="0"/>
        <v>9</v>
      </c>
      <c r="H43" s="71">
        <f t="shared" si="1"/>
        <v>90</v>
      </c>
    </row>
    <row r="44" spans="1:8" x14ac:dyDescent="0.2">
      <c r="A44" s="71" t="s">
        <v>222</v>
      </c>
      <c r="B44" s="71" t="s">
        <v>223</v>
      </c>
      <c r="C44" s="71" t="s">
        <v>52</v>
      </c>
      <c r="D44" s="88">
        <v>46275.585011574098</v>
      </c>
      <c r="E44" s="89">
        <v>46275</v>
      </c>
      <c r="F44" s="71" t="s">
        <v>815</v>
      </c>
      <c r="G44" s="71">
        <f t="shared" si="0"/>
        <v>9</v>
      </c>
      <c r="H44" s="71">
        <f t="shared" si="1"/>
        <v>84</v>
      </c>
    </row>
    <row r="45" spans="1:8" x14ac:dyDescent="0.2">
      <c r="A45" s="71" t="s">
        <v>222</v>
      </c>
      <c r="B45" s="71" t="s">
        <v>223</v>
      </c>
      <c r="C45" s="71" t="s">
        <v>52</v>
      </c>
      <c r="D45" s="88">
        <v>46275.6890277778</v>
      </c>
      <c r="E45" s="89">
        <v>46275</v>
      </c>
      <c r="F45" s="71" t="s">
        <v>816</v>
      </c>
      <c r="G45" s="71">
        <f t="shared" si="0"/>
        <v>9</v>
      </c>
      <c r="H45" s="71">
        <f t="shared" si="1"/>
        <v>78</v>
      </c>
    </row>
    <row r="46" spans="1:8" x14ac:dyDescent="0.2">
      <c r="A46" s="71" t="s">
        <v>222</v>
      </c>
      <c r="B46" s="71" t="s">
        <v>223</v>
      </c>
      <c r="C46" s="71" t="s">
        <v>52</v>
      </c>
      <c r="D46" s="88">
        <v>46276.677083333299</v>
      </c>
      <c r="E46" s="89">
        <v>46276</v>
      </c>
      <c r="F46" s="71" t="s">
        <v>817</v>
      </c>
      <c r="G46" s="71">
        <f t="shared" si="0"/>
        <v>9</v>
      </c>
      <c r="H46" s="71">
        <f t="shared" si="1"/>
        <v>44</v>
      </c>
    </row>
    <row r="47" spans="1:8" x14ac:dyDescent="0.2">
      <c r="A47" s="71" t="s">
        <v>222</v>
      </c>
      <c r="B47" s="71" t="s">
        <v>223</v>
      </c>
      <c r="C47" s="71" t="s">
        <v>52</v>
      </c>
      <c r="D47" s="88">
        <v>46276.6775694444</v>
      </c>
      <c r="E47" s="89">
        <v>46276</v>
      </c>
      <c r="F47" s="71" t="s">
        <v>818</v>
      </c>
      <c r="G47" s="71">
        <f t="shared" si="0"/>
        <v>9</v>
      </c>
      <c r="H47" s="71">
        <f t="shared" si="1"/>
        <v>41</v>
      </c>
    </row>
    <row r="48" spans="1:8" x14ac:dyDescent="0.2">
      <c r="A48" s="71" t="s">
        <v>222</v>
      </c>
      <c r="B48" s="71" t="s">
        <v>223</v>
      </c>
      <c r="C48" s="71" t="s">
        <v>52</v>
      </c>
      <c r="D48" s="88">
        <v>46276.741481481498</v>
      </c>
      <c r="E48" s="89">
        <v>46276</v>
      </c>
      <c r="F48" s="71" t="s">
        <v>819</v>
      </c>
      <c r="G48" s="71">
        <f t="shared" si="0"/>
        <v>9</v>
      </c>
      <c r="H48" s="71">
        <f t="shared" si="1"/>
        <v>34</v>
      </c>
    </row>
    <row r="49" spans="1:8" x14ac:dyDescent="0.2">
      <c r="A49" s="71" t="s">
        <v>222</v>
      </c>
      <c r="B49" s="71" t="s">
        <v>223</v>
      </c>
      <c r="C49" s="71" t="s">
        <v>52</v>
      </c>
      <c r="D49" s="88">
        <v>46280.688703703701</v>
      </c>
      <c r="E49" s="89">
        <v>46280</v>
      </c>
      <c r="F49" s="71" t="s">
        <v>820</v>
      </c>
      <c r="G49" s="71">
        <f t="shared" si="0"/>
        <v>9</v>
      </c>
      <c r="H49" s="71">
        <f t="shared" si="1"/>
        <v>57</v>
      </c>
    </row>
    <row r="50" spans="1:8" x14ac:dyDescent="0.2">
      <c r="A50" s="71" t="s">
        <v>222</v>
      </c>
      <c r="B50" s="71" t="s">
        <v>223</v>
      </c>
      <c r="C50" s="71" t="s">
        <v>52</v>
      </c>
      <c r="D50" s="88">
        <v>46281.577384259297</v>
      </c>
      <c r="E50" s="89">
        <v>46281</v>
      </c>
      <c r="F50" s="71" t="s">
        <v>821</v>
      </c>
      <c r="G50" s="71">
        <f t="shared" si="0"/>
        <v>9</v>
      </c>
      <c r="H50" s="71">
        <f t="shared" si="1"/>
        <v>70</v>
      </c>
    </row>
    <row r="51" spans="1:8" x14ac:dyDescent="0.2">
      <c r="A51" s="71" t="s">
        <v>222</v>
      </c>
      <c r="B51" s="71" t="s">
        <v>223</v>
      </c>
      <c r="C51" s="71" t="s">
        <v>52</v>
      </c>
      <c r="D51" s="88">
        <v>46281.578159722201</v>
      </c>
      <c r="E51" s="89">
        <v>46281</v>
      </c>
      <c r="F51" s="71" t="s">
        <v>822</v>
      </c>
      <c r="G51" s="71">
        <f t="shared" si="0"/>
        <v>9</v>
      </c>
      <c r="H51" s="71">
        <f t="shared" si="1"/>
        <v>78</v>
      </c>
    </row>
    <row r="52" spans="1:8" x14ac:dyDescent="0.2">
      <c r="A52" s="71" t="s">
        <v>222</v>
      </c>
      <c r="B52" s="71" t="s">
        <v>223</v>
      </c>
      <c r="C52" s="71" t="s">
        <v>52</v>
      </c>
      <c r="D52" s="88">
        <v>46281.692777777796</v>
      </c>
      <c r="E52" s="89">
        <v>46281</v>
      </c>
      <c r="F52" s="71" t="s">
        <v>823</v>
      </c>
      <c r="G52" s="71">
        <f t="shared" si="0"/>
        <v>9</v>
      </c>
      <c r="H52" s="71">
        <f t="shared" si="1"/>
        <v>90</v>
      </c>
    </row>
    <row r="53" spans="1:8" x14ac:dyDescent="0.2">
      <c r="A53" s="71" t="s">
        <v>222</v>
      </c>
      <c r="B53" s="71" t="s">
        <v>223</v>
      </c>
      <c r="C53" s="71" t="s">
        <v>52</v>
      </c>
      <c r="D53" s="88">
        <v>46282.552013888897</v>
      </c>
      <c r="E53" s="89">
        <v>46282</v>
      </c>
      <c r="F53" s="71" t="s">
        <v>824</v>
      </c>
      <c r="G53" s="71">
        <f t="shared" si="0"/>
        <v>9</v>
      </c>
      <c r="H53" s="71">
        <f t="shared" si="1"/>
        <v>101</v>
      </c>
    </row>
    <row r="54" spans="1:8" x14ac:dyDescent="0.2">
      <c r="A54" s="71" t="s">
        <v>222</v>
      </c>
      <c r="B54" s="71" t="s">
        <v>223</v>
      </c>
      <c r="C54" s="71" t="s">
        <v>52</v>
      </c>
      <c r="D54" s="88">
        <v>46282.687418981499</v>
      </c>
      <c r="E54" s="89">
        <v>46282</v>
      </c>
      <c r="F54" s="71" t="s">
        <v>825</v>
      </c>
      <c r="G54" s="71">
        <f t="shared" si="0"/>
        <v>9</v>
      </c>
      <c r="H54" s="71">
        <f t="shared" si="1"/>
        <v>90</v>
      </c>
    </row>
    <row r="55" spans="1:8" x14ac:dyDescent="0.2">
      <c r="A55" s="71" t="s">
        <v>222</v>
      </c>
      <c r="B55" s="71" t="s">
        <v>223</v>
      </c>
      <c r="C55" s="71" t="s">
        <v>52</v>
      </c>
      <c r="D55" s="88">
        <v>46283.678252314799</v>
      </c>
      <c r="E55" s="89">
        <v>46283</v>
      </c>
      <c r="F55" s="71" t="s">
        <v>826</v>
      </c>
      <c r="G55" s="71">
        <f t="shared" si="0"/>
        <v>9</v>
      </c>
      <c r="H55" s="71">
        <f t="shared" si="1"/>
        <v>51</v>
      </c>
    </row>
    <row r="56" spans="1:8" x14ac:dyDescent="0.2">
      <c r="A56" s="71" t="s">
        <v>222</v>
      </c>
      <c r="B56" s="71" t="s">
        <v>223</v>
      </c>
      <c r="C56" s="71" t="s">
        <v>52</v>
      </c>
      <c r="D56" s="88">
        <v>46283.679212962998</v>
      </c>
      <c r="E56" s="89">
        <v>46283</v>
      </c>
      <c r="F56" s="71" t="s">
        <v>827</v>
      </c>
      <c r="G56" s="71">
        <f t="shared" si="0"/>
        <v>9</v>
      </c>
      <c r="H56" s="71">
        <f t="shared" si="1"/>
        <v>43</v>
      </c>
    </row>
    <row r="57" spans="1:8" x14ac:dyDescent="0.2">
      <c r="A57" s="71" t="s">
        <v>222</v>
      </c>
      <c r="B57" s="71" t="s">
        <v>223</v>
      </c>
      <c r="C57" s="71" t="s">
        <v>52</v>
      </c>
      <c r="D57" s="88">
        <v>46283.679861111101</v>
      </c>
      <c r="E57" s="89">
        <v>46283</v>
      </c>
      <c r="F57" s="71" t="s">
        <v>828</v>
      </c>
      <c r="G57" s="71">
        <f t="shared" si="0"/>
        <v>9</v>
      </c>
      <c r="H57" s="71">
        <f t="shared" si="1"/>
        <v>40</v>
      </c>
    </row>
    <row r="58" spans="1:8" x14ac:dyDescent="0.2">
      <c r="A58" s="71" t="s">
        <v>222</v>
      </c>
      <c r="B58" s="71" t="s">
        <v>223</v>
      </c>
      <c r="C58" s="71" t="s">
        <v>52</v>
      </c>
      <c r="D58" s="88">
        <v>46286.677581018499</v>
      </c>
      <c r="E58" s="89">
        <v>46286</v>
      </c>
      <c r="F58" s="71" t="s">
        <v>829</v>
      </c>
      <c r="G58" s="71">
        <f t="shared" si="0"/>
        <v>9</v>
      </c>
      <c r="H58" s="71">
        <f t="shared" si="1"/>
        <v>91</v>
      </c>
    </row>
    <row r="59" spans="1:8" x14ac:dyDescent="0.2">
      <c r="A59" s="71" t="s">
        <v>222</v>
      </c>
      <c r="B59" s="71" t="s">
        <v>223</v>
      </c>
      <c r="C59" s="71" t="s">
        <v>52</v>
      </c>
      <c r="D59" s="88">
        <v>46287.671701388899</v>
      </c>
      <c r="E59" s="89">
        <v>46287</v>
      </c>
      <c r="F59" s="71" t="s">
        <v>830</v>
      </c>
      <c r="G59" s="71">
        <f t="shared" si="0"/>
        <v>9</v>
      </c>
      <c r="H59" s="71">
        <f t="shared" si="1"/>
        <v>89</v>
      </c>
    </row>
    <row r="60" spans="1:8" x14ac:dyDescent="0.2">
      <c r="A60" s="71" t="s">
        <v>222</v>
      </c>
      <c r="B60" s="71" t="s">
        <v>223</v>
      </c>
      <c r="C60" s="71" t="s">
        <v>52</v>
      </c>
      <c r="D60" s="88">
        <v>46287.673009259299</v>
      </c>
      <c r="E60" s="89">
        <v>46287</v>
      </c>
      <c r="F60" s="71" t="s">
        <v>831</v>
      </c>
      <c r="G60" s="71">
        <f t="shared" si="0"/>
        <v>9</v>
      </c>
      <c r="H60" s="71">
        <f t="shared" si="1"/>
        <v>72</v>
      </c>
    </row>
    <row r="61" spans="1:8" x14ac:dyDescent="0.2">
      <c r="A61" s="71" t="s">
        <v>222</v>
      </c>
      <c r="B61" s="71" t="s">
        <v>223</v>
      </c>
      <c r="C61" s="71" t="s">
        <v>52</v>
      </c>
      <c r="D61" s="88">
        <v>46288.6776157407</v>
      </c>
      <c r="E61" s="89">
        <v>46288</v>
      </c>
      <c r="F61" s="71" t="s">
        <v>832</v>
      </c>
      <c r="G61" s="71">
        <f t="shared" si="0"/>
        <v>9</v>
      </c>
      <c r="H61" s="71">
        <f t="shared" si="1"/>
        <v>123</v>
      </c>
    </row>
    <row r="62" spans="1:8" x14ac:dyDescent="0.2">
      <c r="A62" s="71" t="s">
        <v>222</v>
      </c>
      <c r="B62" s="71" t="s">
        <v>223</v>
      </c>
      <c r="C62" s="71" t="s">
        <v>52</v>
      </c>
      <c r="D62" s="88">
        <v>46289.665219907401</v>
      </c>
      <c r="E62" s="89">
        <v>46289</v>
      </c>
      <c r="F62" s="71" t="s">
        <v>833</v>
      </c>
      <c r="G62" s="71">
        <f t="shared" si="0"/>
        <v>9</v>
      </c>
      <c r="H62" s="71">
        <f t="shared" si="1"/>
        <v>36</v>
      </c>
    </row>
    <row r="63" spans="1:8" x14ac:dyDescent="0.2">
      <c r="A63" s="71" t="s">
        <v>222</v>
      </c>
      <c r="B63" s="71" t="s">
        <v>223</v>
      </c>
      <c r="C63" s="71" t="s">
        <v>52</v>
      </c>
      <c r="D63" s="88">
        <v>46290.6809953704</v>
      </c>
      <c r="E63" s="89">
        <v>46290</v>
      </c>
      <c r="F63" s="71" t="s">
        <v>834</v>
      </c>
      <c r="G63" s="71">
        <f t="shared" si="0"/>
        <v>9</v>
      </c>
      <c r="H63" s="71">
        <f t="shared" si="1"/>
        <v>25</v>
      </c>
    </row>
    <row r="64" spans="1:8" x14ac:dyDescent="0.2">
      <c r="A64" s="71" t="s">
        <v>222</v>
      </c>
      <c r="B64" s="71" t="s">
        <v>223</v>
      </c>
      <c r="C64" s="71" t="s">
        <v>52</v>
      </c>
      <c r="D64" s="88">
        <v>46290.684675925899</v>
      </c>
      <c r="E64" s="89">
        <v>46290</v>
      </c>
      <c r="F64" s="71" t="s">
        <v>835</v>
      </c>
      <c r="G64" s="71">
        <f t="shared" si="0"/>
        <v>9</v>
      </c>
      <c r="H64" s="71">
        <f t="shared" si="1"/>
        <v>99</v>
      </c>
    </row>
    <row r="65" spans="1:8" x14ac:dyDescent="0.2">
      <c r="A65" s="71" t="s">
        <v>222</v>
      </c>
      <c r="B65" s="71" t="s">
        <v>223</v>
      </c>
      <c r="C65" s="71" t="s">
        <v>52</v>
      </c>
      <c r="D65" s="88">
        <v>46290.686145833301</v>
      </c>
      <c r="E65" s="89">
        <v>46290</v>
      </c>
      <c r="F65" s="71" t="s">
        <v>836</v>
      </c>
      <c r="G65" s="71">
        <f t="shared" si="0"/>
        <v>9</v>
      </c>
      <c r="H65" s="71">
        <f t="shared" si="1"/>
        <v>63</v>
      </c>
    </row>
    <row r="66" spans="1:8" x14ac:dyDescent="0.2">
      <c r="A66" s="71" t="s">
        <v>222</v>
      </c>
      <c r="B66" s="71" t="s">
        <v>223</v>
      </c>
      <c r="C66" s="71" t="s">
        <v>52</v>
      </c>
      <c r="D66" s="88">
        <v>46293.7031712963</v>
      </c>
      <c r="E66" s="89">
        <v>46293</v>
      </c>
      <c r="F66" s="71" t="s">
        <v>837</v>
      </c>
      <c r="G66" s="71">
        <f t="shared" ref="G66:G129" si="2">MONTH(E66)</f>
        <v>9</v>
      </c>
      <c r="H66" s="71">
        <f t="shared" ref="H66:H129" si="3">LEN(F66)</f>
        <v>174</v>
      </c>
    </row>
    <row r="67" spans="1:8" x14ac:dyDescent="0.2">
      <c r="A67" s="71" t="s">
        <v>266</v>
      </c>
      <c r="B67" s="71" t="s">
        <v>267</v>
      </c>
      <c r="C67" s="71" t="s">
        <v>51</v>
      </c>
      <c r="D67" s="88">
        <v>46286.693796296298</v>
      </c>
      <c r="E67" s="89">
        <v>46286</v>
      </c>
      <c r="F67" s="71" t="s">
        <v>838</v>
      </c>
      <c r="G67" s="71">
        <f t="shared" si="2"/>
        <v>9</v>
      </c>
      <c r="H67" s="71">
        <f t="shared" si="3"/>
        <v>33</v>
      </c>
    </row>
    <row r="68" spans="1:8" x14ac:dyDescent="0.2">
      <c r="A68" s="71" t="s">
        <v>266</v>
      </c>
      <c r="B68" s="71" t="s">
        <v>267</v>
      </c>
      <c r="C68" s="71" t="s">
        <v>51</v>
      </c>
      <c r="D68" s="88">
        <v>46288.308055555601</v>
      </c>
      <c r="E68" s="89">
        <v>46288</v>
      </c>
      <c r="F68" s="71" t="s">
        <v>839</v>
      </c>
      <c r="G68" s="71">
        <f t="shared" si="2"/>
        <v>9</v>
      </c>
      <c r="H68" s="71">
        <f t="shared" si="3"/>
        <v>57</v>
      </c>
    </row>
    <row r="69" spans="1:8" x14ac:dyDescent="0.2">
      <c r="A69" s="71" t="s">
        <v>266</v>
      </c>
      <c r="B69" s="71" t="s">
        <v>267</v>
      </c>
      <c r="C69" s="71" t="s">
        <v>51</v>
      </c>
      <c r="D69" s="88">
        <v>46289.641643518502</v>
      </c>
      <c r="E69" s="89">
        <v>46289</v>
      </c>
      <c r="F69" s="71" t="s">
        <v>840</v>
      </c>
      <c r="G69" s="71">
        <f t="shared" si="2"/>
        <v>9</v>
      </c>
      <c r="H69" s="71">
        <f t="shared" si="3"/>
        <v>79</v>
      </c>
    </row>
    <row r="70" spans="1:8" x14ac:dyDescent="0.2">
      <c r="A70" s="71" t="s">
        <v>266</v>
      </c>
      <c r="B70" s="71" t="s">
        <v>267</v>
      </c>
      <c r="C70" s="71" t="s">
        <v>51</v>
      </c>
      <c r="D70" s="88">
        <v>46290.641875000001</v>
      </c>
      <c r="E70" s="89">
        <v>46290</v>
      </c>
      <c r="F70" s="71" t="s">
        <v>841</v>
      </c>
      <c r="G70" s="71">
        <f t="shared" si="2"/>
        <v>9</v>
      </c>
      <c r="H70" s="71">
        <f t="shared" si="3"/>
        <v>126</v>
      </c>
    </row>
    <row r="71" spans="1:8" x14ac:dyDescent="0.2">
      <c r="A71" s="71" t="s">
        <v>266</v>
      </c>
      <c r="B71" s="71" t="s">
        <v>267</v>
      </c>
      <c r="C71" s="71" t="s">
        <v>51</v>
      </c>
      <c r="D71" s="88">
        <v>46293.682627314804</v>
      </c>
      <c r="E71" s="89">
        <v>46293</v>
      </c>
      <c r="F71" s="71" t="s">
        <v>842</v>
      </c>
      <c r="G71" s="71">
        <f t="shared" si="2"/>
        <v>9</v>
      </c>
      <c r="H71" s="71">
        <f t="shared" si="3"/>
        <v>91</v>
      </c>
    </row>
    <row r="72" spans="1:8" x14ac:dyDescent="0.2">
      <c r="A72" s="71" t="s">
        <v>266</v>
      </c>
      <c r="B72" s="71" t="s">
        <v>267</v>
      </c>
      <c r="C72" s="71" t="s">
        <v>51</v>
      </c>
      <c r="D72" s="88">
        <v>46294.8542592593</v>
      </c>
      <c r="E72" s="89">
        <v>46294</v>
      </c>
      <c r="F72" s="71" t="s">
        <v>843</v>
      </c>
      <c r="G72" s="71">
        <f t="shared" si="2"/>
        <v>9</v>
      </c>
      <c r="H72" s="71">
        <f t="shared" si="3"/>
        <v>60</v>
      </c>
    </row>
    <row r="73" spans="1:8" x14ac:dyDescent="0.2">
      <c r="A73" s="71" t="s">
        <v>266</v>
      </c>
      <c r="B73" s="71" t="s">
        <v>267</v>
      </c>
      <c r="C73" s="71" t="s">
        <v>51</v>
      </c>
      <c r="D73" s="88">
        <v>46295.688564814802</v>
      </c>
      <c r="E73" s="89">
        <v>46295</v>
      </c>
      <c r="F73" s="71" t="s">
        <v>844</v>
      </c>
      <c r="G73" s="71">
        <f t="shared" si="2"/>
        <v>9</v>
      </c>
      <c r="H73" s="71">
        <f t="shared" si="3"/>
        <v>75</v>
      </c>
    </row>
    <row r="74" spans="1:8" x14ac:dyDescent="0.2">
      <c r="A74" s="71" t="s">
        <v>269</v>
      </c>
      <c r="B74" s="71" t="s">
        <v>270</v>
      </c>
      <c r="C74" s="71"/>
      <c r="D74" s="88">
        <v>46287.703692129602</v>
      </c>
      <c r="E74" s="89">
        <v>46287</v>
      </c>
      <c r="F74" s="71" t="s">
        <v>845</v>
      </c>
      <c r="G74" s="71">
        <f t="shared" si="2"/>
        <v>9</v>
      </c>
      <c r="H74" s="71">
        <f t="shared" si="3"/>
        <v>47</v>
      </c>
    </row>
    <row r="75" spans="1:8" x14ac:dyDescent="0.2">
      <c r="A75" s="71" t="s">
        <v>269</v>
      </c>
      <c r="B75" s="71" t="s">
        <v>270</v>
      </c>
      <c r="C75" s="71"/>
      <c r="D75" s="88">
        <v>46287.704409722202</v>
      </c>
      <c r="E75" s="89">
        <v>46287</v>
      </c>
      <c r="F75" s="71" t="s">
        <v>846</v>
      </c>
      <c r="G75" s="71">
        <f t="shared" si="2"/>
        <v>9</v>
      </c>
      <c r="H75" s="71">
        <f t="shared" si="3"/>
        <v>30</v>
      </c>
    </row>
    <row r="76" spans="1:8" x14ac:dyDescent="0.2">
      <c r="A76" s="71" t="s">
        <v>269</v>
      </c>
      <c r="B76" s="71" t="s">
        <v>270</v>
      </c>
      <c r="C76" s="71"/>
      <c r="D76" s="88">
        <v>46288.692210648202</v>
      </c>
      <c r="E76" s="89">
        <v>46288</v>
      </c>
      <c r="F76" s="71" t="s">
        <v>847</v>
      </c>
      <c r="G76" s="71">
        <f t="shared" si="2"/>
        <v>9</v>
      </c>
      <c r="H76" s="71">
        <f t="shared" si="3"/>
        <v>32</v>
      </c>
    </row>
    <row r="77" spans="1:8" x14ac:dyDescent="0.2">
      <c r="A77" s="71" t="s">
        <v>269</v>
      </c>
      <c r="B77" s="71" t="s">
        <v>270</v>
      </c>
      <c r="C77" s="71"/>
      <c r="D77" s="88">
        <v>46288.693101851903</v>
      </c>
      <c r="E77" s="89">
        <v>46288</v>
      </c>
      <c r="F77" s="71" t="s">
        <v>848</v>
      </c>
      <c r="G77" s="71">
        <f t="shared" si="2"/>
        <v>9</v>
      </c>
      <c r="H77" s="71">
        <f t="shared" si="3"/>
        <v>35</v>
      </c>
    </row>
    <row r="78" spans="1:8" x14ac:dyDescent="0.2">
      <c r="A78" s="71" t="s">
        <v>269</v>
      </c>
      <c r="B78" s="71" t="s">
        <v>270</v>
      </c>
      <c r="C78" s="71"/>
      <c r="D78" s="88">
        <v>46289.688379629602</v>
      </c>
      <c r="E78" s="89">
        <v>46289</v>
      </c>
      <c r="F78" s="71" t="s">
        <v>849</v>
      </c>
      <c r="G78" s="71">
        <f t="shared" si="2"/>
        <v>9</v>
      </c>
      <c r="H78" s="71">
        <f t="shared" si="3"/>
        <v>39</v>
      </c>
    </row>
    <row r="79" spans="1:8" x14ac:dyDescent="0.2">
      <c r="A79" s="71" t="s">
        <v>269</v>
      </c>
      <c r="B79" s="71" t="s">
        <v>270</v>
      </c>
      <c r="C79" s="71"/>
      <c r="D79" s="88">
        <v>46289.688842592601</v>
      </c>
      <c r="E79" s="89">
        <v>46289</v>
      </c>
      <c r="F79" s="71" t="s">
        <v>850</v>
      </c>
      <c r="G79" s="71">
        <f t="shared" si="2"/>
        <v>9</v>
      </c>
      <c r="H79" s="71">
        <f t="shared" si="3"/>
        <v>46</v>
      </c>
    </row>
    <row r="80" spans="1:8" x14ac:dyDescent="0.2">
      <c r="A80" s="71" t="s">
        <v>269</v>
      </c>
      <c r="B80" s="71" t="s">
        <v>270</v>
      </c>
      <c r="C80" s="71"/>
      <c r="D80" s="88">
        <v>46293.692719907398</v>
      </c>
      <c r="E80" s="89">
        <v>46293</v>
      </c>
      <c r="F80" s="71" t="s">
        <v>851</v>
      </c>
      <c r="G80" s="71">
        <f t="shared" si="2"/>
        <v>9</v>
      </c>
      <c r="H80" s="71">
        <f t="shared" si="3"/>
        <v>57</v>
      </c>
    </row>
    <row r="81" spans="1:8" x14ac:dyDescent="0.2">
      <c r="A81" s="71" t="s">
        <v>269</v>
      </c>
      <c r="B81" s="71" t="s">
        <v>270</v>
      </c>
      <c r="C81" s="71"/>
      <c r="D81" s="88">
        <v>46293.693171296298</v>
      </c>
      <c r="E81" s="89">
        <v>46293</v>
      </c>
      <c r="F81" s="71" t="s">
        <v>852</v>
      </c>
      <c r="G81" s="71">
        <f t="shared" si="2"/>
        <v>9</v>
      </c>
      <c r="H81" s="71">
        <f t="shared" si="3"/>
        <v>16</v>
      </c>
    </row>
    <row r="82" spans="1:8" x14ac:dyDescent="0.2">
      <c r="A82" s="71" t="s">
        <v>269</v>
      </c>
      <c r="B82" s="71" t="s">
        <v>270</v>
      </c>
      <c r="C82" s="71"/>
      <c r="D82" s="88">
        <v>46294.689606481501</v>
      </c>
      <c r="E82" s="89">
        <v>46294</v>
      </c>
      <c r="F82" s="71" t="s">
        <v>853</v>
      </c>
      <c r="G82" s="71">
        <f t="shared" si="2"/>
        <v>9</v>
      </c>
      <c r="H82" s="71">
        <f t="shared" si="3"/>
        <v>21</v>
      </c>
    </row>
    <row r="83" spans="1:8" x14ac:dyDescent="0.2">
      <c r="A83" s="71" t="s">
        <v>269</v>
      </c>
      <c r="B83" s="71" t="s">
        <v>270</v>
      </c>
      <c r="C83" s="71"/>
      <c r="D83" s="88">
        <v>46294.6901967593</v>
      </c>
      <c r="E83" s="89">
        <v>46294</v>
      </c>
      <c r="F83" s="71" t="s">
        <v>854</v>
      </c>
      <c r="G83" s="71">
        <f t="shared" si="2"/>
        <v>9</v>
      </c>
      <c r="H83" s="71">
        <f t="shared" si="3"/>
        <v>40</v>
      </c>
    </row>
    <row r="84" spans="1:8" x14ac:dyDescent="0.2">
      <c r="A84" s="71" t="s">
        <v>269</v>
      </c>
      <c r="B84" s="71" t="s">
        <v>270</v>
      </c>
      <c r="C84" s="71"/>
      <c r="D84" s="88">
        <v>46294.690578703703</v>
      </c>
      <c r="E84" s="89">
        <v>46294</v>
      </c>
      <c r="F84" s="71" t="s">
        <v>855</v>
      </c>
      <c r="G84" s="71">
        <f t="shared" si="2"/>
        <v>9</v>
      </c>
      <c r="H84" s="71">
        <f t="shared" si="3"/>
        <v>45</v>
      </c>
    </row>
    <row r="85" spans="1:8" x14ac:dyDescent="0.2">
      <c r="A85" s="71" t="s">
        <v>269</v>
      </c>
      <c r="B85" s="71" t="s">
        <v>270</v>
      </c>
      <c r="C85" s="71"/>
      <c r="D85" s="88">
        <v>46295.669594907398</v>
      </c>
      <c r="E85" s="89">
        <v>46295</v>
      </c>
      <c r="F85" s="71" t="s">
        <v>856</v>
      </c>
      <c r="G85" s="71">
        <f t="shared" si="2"/>
        <v>9</v>
      </c>
      <c r="H85" s="71">
        <f t="shared" si="3"/>
        <v>33</v>
      </c>
    </row>
    <row r="86" spans="1:8" x14ac:dyDescent="0.2">
      <c r="A86" s="71" t="s">
        <v>269</v>
      </c>
      <c r="B86" s="71" t="s">
        <v>270</v>
      </c>
      <c r="C86" s="71"/>
      <c r="D86" s="88">
        <v>46295.6705671296</v>
      </c>
      <c r="E86" s="89">
        <v>46295</v>
      </c>
      <c r="F86" s="71" t="s">
        <v>857</v>
      </c>
      <c r="G86" s="71">
        <f t="shared" si="2"/>
        <v>9</v>
      </c>
      <c r="H86" s="71">
        <f t="shared" si="3"/>
        <v>39</v>
      </c>
    </row>
    <row r="87" spans="1:8" x14ac:dyDescent="0.2">
      <c r="A87" s="71" t="s">
        <v>249</v>
      </c>
      <c r="B87" s="71" t="s">
        <v>250</v>
      </c>
      <c r="C87" s="71" t="s">
        <v>42</v>
      </c>
      <c r="D87" s="88">
        <v>46175.819363425901</v>
      </c>
      <c r="E87" s="89">
        <v>46175</v>
      </c>
      <c r="F87" s="71" t="s">
        <v>858</v>
      </c>
      <c r="G87" s="71">
        <f t="shared" si="2"/>
        <v>6</v>
      </c>
      <c r="H87" s="71">
        <f t="shared" si="3"/>
        <v>65</v>
      </c>
    </row>
    <row r="88" spans="1:8" x14ac:dyDescent="0.2">
      <c r="A88" s="71" t="s">
        <v>249</v>
      </c>
      <c r="B88" s="71" t="s">
        <v>250</v>
      </c>
      <c r="C88" s="71" t="s">
        <v>42</v>
      </c>
      <c r="D88" s="88">
        <v>46175.820370370398</v>
      </c>
      <c r="E88" s="89">
        <v>46175</v>
      </c>
      <c r="F88" s="71" t="s">
        <v>859</v>
      </c>
      <c r="G88" s="71">
        <f t="shared" si="2"/>
        <v>6</v>
      </c>
      <c r="H88" s="71">
        <f t="shared" si="3"/>
        <v>55</v>
      </c>
    </row>
    <row r="89" spans="1:8" x14ac:dyDescent="0.2">
      <c r="A89" s="71" t="s">
        <v>249</v>
      </c>
      <c r="B89" s="71" t="s">
        <v>250</v>
      </c>
      <c r="C89" s="71" t="s">
        <v>42</v>
      </c>
      <c r="D89" s="88">
        <v>46176.804895833302</v>
      </c>
      <c r="E89" s="89">
        <v>46176</v>
      </c>
      <c r="F89" s="71" t="s">
        <v>860</v>
      </c>
      <c r="G89" s="71">
        <f t="shared" si="2"/>
        <v>6</v>
      </c>
      <c r="H89" s="71">
        <f t="shared" si="3"/>
        <v>78</v>
      </c>
    </row>
    <row r="90" spans="1:8" x14ac:dyDescent="0.2">
      <c r="A90" s="71" t="s">
        <v>249</v>
      </c>
      <c r="B90" s="71" t="s">
        <v>250</v>
      </c>
      <c r="C90" s="71" t="s">
        <v>42</v>
      </c>
      <c r="D90" s="88">
        <v>46176.806689814803</v>
      </c>
      <c r="E90" s="89">
        <v>46176</v>
      </c>
      <c r="F90" s="71" t="s">
        <v>861</v>
      </c>
      <c r="G90" s="71">
        <f t="shared" si="2"/>
        <v>6</v>
      </c>
      <c r="H90" s="71">
        <f t="shared" si="3"/>
        <v>78</v>
      </c>
    </row>
    <row r="91" spans="1:8" x14ac:dyDescent="0.2">
      <c r="A91" s="71" t="s">
        <v>249</v>
      </c>
      <c r="B91" s="71" t="s">
        <v>250</v>
      </c>
      <c r="C91" s="71" t="s">
        <v>42</v>
      </c>
      <c r="D91" s="88">
        <v>46176.807916666701</v>
      </c>
      <c r="E91" s="89">
        <v>46176</v>
      </c>
      <c r="F91" s="71" t="s">
        <v>862</v>
      </c>
      <c r="G91" s="71">
        <f t="shared" si="2"/>
        <v>6</v>
      </c>
      <c r="H91" s="71">
        <f t="shared" si="3"/>
        <v>35</v>
      </c>
    </row>
    <row r="92" spans="1:8" x14ac:dyDescent="0.2">
      <c r="A92" s="71" t="s">
        <v>249</v>
      </c>
      <c r="B92" s="71" t="s">
        <v>250</v>
      </c>
      <c r="C92" s="71" t="s">
        <v>42</v>
      </c>
      <c r="D92" s="88">
        <v>46176.809560185196</v>
      </c>
      <c r="E92" s="89">
        <v>46176</v>
      </c>
      <c r="F92" s="71" t="s">
        <v>863</v>
      </c>
      <c r="G92" s="71">
        <f t="shared" si="2"/>
        <v>6</v>
      </c>
      <c r="H92" s="71">
        <f t="shared" si="3"/>
        <v>20</v>
      </c>
    </row>
    <row r="93" spans="1:8" x14ac:dyDescent="0.2">
      <c r="A93" s="71" t="s">
        <v>249</v>
      </c>
      <c r="B93" s="71" t="s">
        <v>250</v>
      </c>
      <c r="C93" s="71" t="s">
        <v>42</v>
      </c>
      <c r="D93" s="88">
        <v>46177.822094907402</v>
      </c>
      <c r="E93" s="89">
        <v>46177</v>
      </c>
      <c r="F93" s="71" t="s">
        <v>864</v>
      </c>
      <c r="G93" s="71">
        <f t="shared" si="2"/>
        <v>6</v>
      </c>
      <c r="H93" s="71">
        <f t="shared" si="3"/>
        <v>49</v>
      </c>
    </row>
    <row r="94" spans="1:8" x14ac:dyDescent="0.2">
      <c r="A94" s="71" t="s">
        <v>249</v>
      </c>
      <c r="B94" s="71" t="s">
        <v>250</v>
      </c>
      <c r="C94" s="71" t="s">
        <v>42</v>
      </c>
      <c r="D94" s="88">
        <v>46177.824409722198</v>
      </c>
      <c r="E94" s="89">
        <v>46177</v>
      </c>
      <c r="F94" s="71" t="s">
        <v>865</v>
      </c>
      <c r="G94" s="71">
        <f t="shared" si="2"/>
        <v>6</v>
      </c>
      <c r="H94" s="71">
        <f t="shared" si="3"/>
        <v>48</v>
      </c>
    </row>
    <row r="95" spans="1:8" x14ac:dyDescent="0.2">
      <c r="A95" s="71" t="s">
        <v>249</v>
      </c>
      <c r="B95" s="71" t="s">
        <v>250</v>
      </c>
      <c r="C95" s="71" t="s">
        <v>42</v>
      </c>
      <c r="D95" s="88">
        <v>46177.827152777798</v>
      </c>
      <c r="E95" s="89">
        <v>46177</v>
      </c>
      <c r="F95" s="71" t="s">
        <v>866</v>
      </c>
      <c r="G95" s="71">
        <f t="shared" si="2"/>
        <v>6</v>
      </c>
      <c r="H95" s="71">
        <f t="shared" si="3"/>
        <v>42</v>
      </c>
    </row>
    <row r="96" spans="1:8" x14ac:dyDescent="0.2">
      <c r="A96" s="71" t="s">
        <v>249</v>
      </c>
      <c r="B96" s="71" t="s">
        <v>250</v>
      </c>
      <c r="C96" s="71" t="s">
        <v>42</v>
      </c>
      <c r="D96" s="88">
        <v>46178.909907407397</v>
      </c>
      <c r="E96" s="89">
        <v>46178</v>
      </c>
      <c r="F96" s="71" t="s">
        <v>867</v>
      </c>
      <c r="G96" s="71">
        <f t="shared" si="2"/>
        <v>6</v>
      </c>
      <c r="H96" s="71">
        <f t="shared" si="3"/>
        <v>49</v>
      </c>
    </row>
    <row r="97" spans="1:8" x14ac:dyDescent="0.2">
      <c r="A97" s="71" t="s">
        <v>249</v>
      </c>
      <c r="B97" s="71" t="s">
        <v>250</v>
      </c>
      <c r="C97" s="71" t="s">
        <v>42</v>
      </c>
      <c r="D97" s="88">
        <v>46178.915567129603</v>
      </c>
      <c r="E97" s="89">
        <v>46178</v>
      </c>
      <c r="F97" s="71" t="s">
        <v>868</v>
      </c>
      <c r="G97" s="71">
        <f t="shared" si="2"/>
        <v>6</v>
      </c>
      <c r="H97" s="71">
        <f t="shared" si="3"/>
        <v>45</v>
      </c>
    </row>
    <row r="98" spans="1:8" x14ac:dyDescent="0.2">
      <c r="A98" s="71" t="s">
        <v>249</v>
      </c>
      <c r="B98" s="71" t="s">
        <v>250</v>
      </c>
      <c r="C98" s="71" t="s">
        <v>42</v>
      </c>
      <c r="D98" s="88">
        <v>46181.842199074097</v>
      </c>
      <c r="E98" s="89">
        <v>46181</v>
      </c>
      <c r="F98" s="71" t="s">
        <v>869</v>
      </c>
      <c r="G98" s="71">
        <f t="shared" si="2"/>
        <v>6</v>
      </c>
      <c r="H98" s="71">
        <f t="shared" si="3"/>
        <v>47</v>
      </c>
    </row>
    <row r="99" spans="1:8" x14ac:dyDescent="0.2">
      <c r="A99" s="71" t="s">
        <v>249</v>
      </c>
      <c r="B99" s="71" t="s">
        <v>250</v>
      </c>
      <c r="C99" s="71" t="s">
        <v>42</v>
      </c>
      <c r="D99" s="88">
        <v>46181.842743055597</v>
      </c>
      <c r="E99" s="89">
        <v>46181</v>
      </c>
      <c r="F99" s="71" t="s">
        <v>870</v>
      </c>
      <c r="G99" s="71">
        <f t="shared" si="2"/>
        <v>6</v>
      </c>
      <c r="H99" s="71">
        <f t="shared" si="3"/>
        <v>46</v>
      </c>
    </row>
    <row r="100" spans="1:8" x14ac:dyDescent="0.2">
      <c r="A100" s="71" t="s">
        <v>249</v>
      </c>
      <c r="B100" s="71" t="s">
        <v>250</v>
      </c>
      <c r="C100" s="71" t="s">
        <v>42</v>
      </c>
      <c r="D100" s="88">
        <v>46181.8441087963</v>
      </c>
      <c r="E100" s="89">
        <v>46181</v>
      </c>
      <c r="F100" s="71" t="s">
        <v>871</v>
      </c>
      <c r="G100" s="71">
        <f t="shared" si="2"/>
        <v>6</v>
      </c>
      <c r="H100" s="71">
        <f t="shared" si="3"/>
        <v>73</v>
      </c>
    </row>
    <row r="101" spans="1:8" x14ac:dyDescent="0.2">
      <c r="A101" s="71" t="s">
        <v>249</v>
      </c>
      <c r="B101" s="71" t="s">
        <v>250</v>
      </c>
      <c r="C101" s="71" t="s">
        <v>42</v>
      </c>
      <c r="D101" s="88">
        <v>46182.840763888897</v>
      </c>
      <c r="E101" s="89">
        <v>46182</v>
      </c>
      <c r="F101" s="71" t="s">
        <v>872</v>
      </c>
      <c r="G101" s="71">
        <f t="shared" si="2"/>
        <v>6</v>
      </c>
      <c r="H101" s="71">
        <f t="shared" si="3"/>
        <v>49</v>
      </c>
    </row>
    <row r="102" spans="1:8" x14ac:dyDescent="0.2">
      <c r="A102" s="71" t="s">
        <v>249</v>
      </c>
      <c r="B102" s="71" t="s">
        <v>250</v>
      </c>
      <c r="C102" s="71" t="s">
        <v>42</v>
      </c>
      <c r="D102" s="88">
        <v>46182.841747685197</v>
      </c>
      <c r="E102" s="89">
        <v>46182</v>
      </c>
      <c r="F102" s="71" t="s">
        <v>873</v>
      </c>
      <c r="G102" s="71">
        <f t="shared" si="2"/>
        <v>6</v>
      </c>
      <c r="H102" s="71">
        <f t="shared" si="3"/>
        <v>60</v>
      </c>
    </row>
    <row r="103" spans="1:8" x14ac:dyDescent="0.2">
      <c r="A103" s="71" t="s">
        <v>249</v>
      </c>
      <c r="B103" s="71" t="s">
        <v>250</v>
      </c>
      <c r="C103" s="71" t="s">
        <v>42</v>
      </c>
      <c r="D103" s="88">
        <v>46182.842546296299</v>
      </c>
      <c r="E103" s="89">
        <v>46182</v>
      </c>
      <c r="F103" s="71" t="s">
        <v>874</v>
      </c>
      <c r="G103" s="71">
        <f t="shared" si="2"/>
        <v>6</v>
      </c>
      <c r="H103" s="71">
        <f t="shared" si="3"/>
        <v>30</v>
      </c>
    </row>
    <row r="104" spans="1:8" x14ac:dyDescent="0.2">
      <c r="A104" s="71" t="s">
        <v>249</v>
      </c>
      <c r="B104" s="71" t="s">
        <v>250</v>
      </c>
      <c r="C104" s="71" t="s">
        <v>42</v>
      </c>
      <c r="D104" s="88">
        <v>46183.890925925902</v>
      </c>
      <c r="E104" s="89">
        <v>46183</v>
      </c>
      <c r="F104" s="71" t="s">
        <v>875</v>
      </c>
      <c r="G104" s="71">
        <f t="shared" si="2"/>
        <v>6</v>
      </c>
      <c r="H104" s="71">
        <f t="shared" si="3"/>
        <v>40</v>
      </c>
    </row>
    <row r="105" spans="1:8" x14ac:dyDescent="0.2">
      <c r="A105" s="71" t="s">
        <v>249</v>
      </c>
      <c r="B105" s="71" t="s">
        <v>250</v>
      </c>
      <c r="C105" s="71" t="s">
        <v>42</v>
      </c>
      <c r="D105" s="88">
        <v>46183.891944444498</v>
      </c>
      <c r="E105" s="89">
        <v>46183</v>
      </c>
      <c r="F105" s="71" t="s">
        <v>876</v>
      </c>
      <c r="G105" s="71">
        <f t="shared" si="2"/>
        <v>6</v>
      </c>
      <c r="H105" s="71">
        <f t="shared" si="3"/>
        <v>33</v>
      </c>
    </row>
    <row r="106" spans="1:8" x14ac:dyDescent="0.2">
      <c r="A106" s="71" t="s">
        <v>249</v>
      </c>
      <c r="B106" s="71" t="s">
        <v>250</v>
      </c>
      <c r="C106" s="71" t="s">
        <v>42</v>
      </c>
      <c r="D106" s="88">
        <v>46183.893287036997</v>
      </c>
      <c r="E106" s="89">
        <v>46183</v>
      </c>
      <c r="F106" s="71" t="s">
        <v>877</v>
      </c>
      <c r="G106" s="71">
        <f t="shared" si="2"/>
        <v>6</v>
      </c>
      <c r="H106" s="71">
        <f t="shared" si="3"/>
        <v>59</v>
      </c>
    </row>
    <row r="107" spans="1:8" x14ac:dyDescent="0.2">
      <c r="A107" s="71" t="s">
        <v>249</v>
      </c>
      <c r="B107" s="71" t="s">
        <v>250</v>
      </c>
      <c r="C107" s="71" t="s">
        <v>42</v>
      </c>
      <c r="D107" s="88">
        <v>46183.894953703697</v>
      </c>
      <c r="E107" s="89">
        <v>46183</v>
      </c>
      <c r="F107" s="71" t="s">
        <v>878</v>
      </c>
      <c r="G107" s="71">
        <f t="shared" si="2"/>
        <v>6</v>
      </c>
      <c r="H107" s="71">
        <f t="shared" si="3"/>
        <v>63</v>
      </c>
    </row>
    <row r="108" spans="1:8" x14ac:dyDescent="0.2">
      <c r="A108" s="71" t="s">
        <v>249</v>
      </c>
      <c r="B108" s="71" t="s">
        <v>250</v>
      </c>
      <c r="C108" s="71" t="s">
        <v>42</v>
      </c>
      <c r="D108" s="88">
        <v>46184.771574074097</v>
      </c>
      <c r="E108" s="89">
        <v>46184</v>
      </c>
      <c r="F108" s="71" t="s">
        <v>879</v>
      </c>
      <c r="G108" s="71">
        <f t="shared" si="2"/>
        <v>6</v>
      </c>
      <c r="H108" s="71">
        <f t="shared" si="3"/>
        <v>55</v>
      </c>
    </row>
    <row r="109" spans="1:8" x14ac:dyDescent="0.2">
      <c r="A109" s="71" t="s">
        <v>249</v>
      </c>
      <c r="B109" s="71" t="s">
        <v>250</v>
      </c>
      <c r="C109" s="71" t="s">
        <v>42</v>
      </c>
      <c r="D109" s="88">
        <v>46184.772083333301</v>
      </c>
      <c r="E109" s="89">
        <v>46184</v>
      </c>
      <c r="F109" s="71" t="s">
        <v>880</v>
      </c>
      <c r="G109" s="71">
        <f t="shared" si="2"/>
        <v>6</v>
      </c>
      <c r="H109" s="71">
        <f t="shared" si="3"/>
        <v>53</v>
      </c>
    </row>
    <row r="110" spans="1:8" x14ac:dyDescent="0.2">
      <c r="A110" s="71" t="s">
        <v>249</v>
      </c>
      <c r="B110" s="71" t="s">
        <v>250</v>
      </c>
      <c r="C110" s="71" t="s">
        <v>42</v>
      </c>
      <c r="D110" s="88">
        <v>46185.878946759301</v>
      </c>
      <c r="E110" s="89">
        <v>46185</v>
      </c>
      <c r="F110" s="71" t="s">
        <v>881</v>
      </c>
      <c r="G110" s="71">
        <f t="shared" si="2"/>
        <v>6</v>
      </c>
      <c r="H110" s="71">
        <f t="shared" si="3"/>
        <v>39</v>
      </c>
    </row>
    <row r="111" spans="1:8" x14ac:dyDescent="0.2">
      <c r="A111" s="71" t="s">
        <v>249</v>
      </c>
      <c r="B111" s="71" t="s">
        <v>250</v>
      </c>
      <c r="C111" s="71" t="s">
        <v>42</v>
      </c>
      <c r="D111" s="88">
        <v>46185.879293981503</v>
      </c>
      <c r="E111" s="89">
        <v>46185</v>
      </c>
      <c r="F111" s="71" t="s">
        <v>882</v>
      </c>
      <c r="G111" s="71">
        <f t="shared" si="2"/>
        <v>6</v>
      </c>
      <c r="H111" s="71">
        <f t="shared" si="3"/>
        <v>30</v>
      </c>
    </row>
    <row r="112" spans="1:8" x14ac:dyDescent="0.2">
      <c r="A112" s="71" t="s">
        <v>249</v>
      </c>
      <c r="B112" s="71" t="s">
        <v>250</v>
      </c>
      <c r="C112" s="71" t="s">
        <v>42</v>
      </c>
      <c r="D112" s="88">
        <v>46188.818715277797</v>
      </c>
      <c r="E112" s="89">
        <v>46188</v>
      </c>
      <c r="F112" s="71" t="s">
        <v>883</v>
      </c>
      <c r="G112" s="71">
        <f t="shared" si="2"/>
        <v>6</v>
      </c>
      <c r="H112" s="71">
        <f t="shared" si="3"/>
        <v>42</v>
      </c>
    </row>
    <row r="113" spans="1:8" x14ac:dyDescent="0.2">
      <c r="A113" s="71" t="s">
        <v>249</v>
      </c>
      <c r="B113" s="71" t="s">
        <v>250</v>
      </c>
      <c r="C113" s="71" t="s">
        <v>42</v>
      </c>
      <c r="D113" s="88">
        <v>46188.819571759297</v>
      </c>
      <c r="E113" s="89">
        <v>46188</v>
      </c>
      <c r="F113" s="71" t="s">
        <v>884</v>
      </c>
      <c r="G113" s="71">
        <f t="shared" si="2"/>
        <v>6</v>
      </c>
      <c r="H113" s="71">
        <f t="shared" si="3"/>
        <v>56</v>
      </c>
    </row>
    <row r="114" spans="1:8" x14ac:dyDescent="0.2">
      <c r="A114" s="71" t="s">
        <v>249</v>
      </c>
      <c r="B114" s="71" t="s">
        <v>250</v>
      </c>
      <c r="C114" s="71" t="s">
        <v>42</v>
      </c>
      <c r="D114" s="88">
        <v>46188.820428240702</v>
      </c>
      <c r="E114" s="89">
        <v>46188</v>
      </c>
      <c r="F114" s="71" t="s">
        <v>885</v>
      </c>
      <c r="G114" s="71">
        <f t="shared" si="2"/>
        <v>6</v>
      </c>
      <c r="H114" s="71">
        <f t="shared" si="3"/>
        <v>24</v>
      </c>
    </row>
    <row r="115" spans="1:8" x14ac:dyDescent="0.2">
      <c r="A115" s="71" t="s">
        <v>249</v>
      </c>
      <c r="B115" s="71" t="s">
        <v>250</v>
      </c>
      <c r="C115" s="71" t="s">
        <v>42</v>
      </c>
      <c r="D115" s="88">
        <v>46190.695543981499</v>
      </c>
      <c r="E115" s="89">
        <v>46190</v>
      </c>
      <c r="F115" s="71" t="s">
        <v>886</v>
      </c>
      <c r="G115" s="71">
        <f t="shared" si="2"/>
        <v>6</v>
      </c>
      <c r="H115" s="71">
        <f t="shared" si="3"/>
        <v>69</v>
      </c>
    </row>
    <row r="116" spans="1:8" x14ac:dyDescent="0.2">
      <c r="A116" s="71" t="s">
        <v>249</v>
      </c>
      <c r="B116" s="71" t="s">
        <v>250</v>
      </c>
      <c r="C116" s="71" t="s">
        <v>42</v>
      </c>
      <c r="D116" s="88">
        <v>46191.909872685203</v>
      </c>
      <c r="E116" s="89">
        <v>46191</v>
      </c>
      <c r="F116" s="71" t="s">
        <v>877</v>
      </c>
      <c r="G116" s="71">
        <f t="shared" si="2"/>
        <v>6</v>
      </c>
      <c r="H116" s="71">
        <f t="shared" si="3"/>
        <v>59</v>
      </c>
    </row>
    <row r="117" spans="1:8" x14ac:dyDescent="0.2">
      <c r="A117" s="71" t="s">
        <v>249</v>
      </c>
      <c r="B117" s="71" t="s">
        <v>250</v>
      </c>
      <c r="C117" s="71" t="s">
        <v>42</v>
      </c>
      <c r="D117" s="88">
        <v>46191.910474536999</v>
      </c>
      <c r="E117" s="89">
        <v>46191</v>
      </c>
      <c r="F117" s="71" t="s">
        <v>887</v>
      </c>
      <c r="G117" s="71">
        <f t="shared" si="2"/>
        <v>6</v>
      </c>
      <c r="H117" s="71">
        <f t="shared" si="3"/>
        <v>53</v>
      </c>
    </row>
    <row r="118" spans="1:8" x14ac:dyDescent="0.2">
      <c r="A118" s="71" t="s">
        <v>249</v>
      </c>
      <c r="B118" s="71" t="s">
        <v>250</v>
      </c>
      <c r="C118" s="71" t="s">
        <v>42</v>
      </c>
      <c r="D118" s="88">
        <v>46191.911388888897</v>
      </c>
      <c r="E118" s="89">
        <v>46191</v>
      </c>
      <c r="F118" s="71" t="s">
        <v>888</v>
      </c>
      <c r="G118" s="71">
        <f t="shared" si="2"/>
        <v>6</v>
      </c>
      <c r="H118" s="71">
        <f t="shared" si="3"/>
        <v>44</v>
      </c>
    </row>
    <row r="119" spans="1:8" x14ac:dyDescent="0.2">
      <c r="A119" s="71" t="s">
        <v>249</v>
      </c>
      <c r="B119" s="71" t="s">
        <v>250</v>
      </c>
      <c r="C119" s="71" t="s">
        <v>42</v>
      </c>
      <c r="D119" s="88">
        <v>46192.765462962998</v>
      </c>
      <c r="E119" s="89">
        <v>46192</v>
      </c>
      <c r="F119" s="71" t="s">
        <v>889</v>
      </c>
      <c r="G119" s="71">
        <f t="shared" si="2"/>
        <v>6</v>
      </c>
      <c r="H119" s="71">
        <f t="shared" si="3"/>
        <v>48</v>
      </c>
    </row>
    <row r="120" spans="1:8" x14ac:dyDescent="0.2">
      <c r="A120" s="71" t="s">
        <v>249</v>
      </c>
      <c r="B120" s="71" t="s">
        <v>250</v>
      </c>
      <c r="C120" s="71" t="s">
        <v>42</v>
      </c>
      <c r="D120" s="88">
        <v>46192.766736111102</v>
      </c>
      <c r="E120" s="89">
        <v>46192</v>
      </c>
      <c r="F120" s="71" t="s">
        <v>890</v>
      </c>
      <c r="G120" s="71">
        <f t="shared" si="2"/>
        <v>6</v>
      </c>
      <c r="H120" s="71">
        <f t="shared" si="3"/>
        <v>48</v>
      </c>
    </row>
    <row r="121" spans="1:8" x14ac:dyDescent="0.2">
      <c r="A121" s="71" t="s">
        <v>249</v>
      </c>
      <c r="B121" s="71" t="s">
        <v>250</v>
      </c>
      <c r="C121" s="71" t="s">
        <v>42</v>
      </c>
      <c r="D121" s="88">
        <v>46195.7840856482</v>
      </c>
      <c r="E121" s="89">
        <v>46195</v>
      </c>
      <c r="F121" s="71" t="s">
        <v>891</v>
      </c>
      <c r="G121" s="71">
        <f t="shared" si="2"/>
        <v>6</v>
      </c>
      <c r="H121" s="71">
        <f t="shared" si="3"/>
        <v>43</v>
      </c>
    </row>
    <row r="122" spans="1:8" x14ac:dyDescent="0.2">
      <c r="A122" s="71" t="s">
        <v>249</v>
      </c>
      <c r="B122" s="71" t="s">
        <v>250</v>
      </c>
      <c r="C122" s="71" t="s">
        <v>42</v>
      </c>
      <c r="D122" s="88">
        <v>46195.785706018498</v>
      </c>
      <c r="E122" s="89">
        <v>46195</v>
      </c>
      <c r="F122" s="71" t="s">
        <v>892</v>
      </c>
      <c r="G122" s="71">
        <f t="shared" si="2"/>
        <v>6</v>
      </c>
      <c r="H122" s="71">
        <f t="shared" si="3"/>
        <v>30</v>
      </c>
    </row>
    <row r="123" spans="1:8" x14ac:dyDescent="0.2">
      <c r="A123" s="71" t="s">
        <v>249</v>
      </c>
      <c r="B123" s="71" t="s">
        <v>250</v>
      </c>
      <c r="C123" s="71" t="s">
        <v>42</v>
      </c>
      <c r="D123" s="88">
        <v>46195.786226851902</v>
      </c>
      <c r="E123" s="89">
        <v>46195</v>
      </c>
      <c r="F123" s="71" t="s">
        <v>893</v>
      </c>
      <c r="G123" s="71">
        <f t="shared" si="2"/>
        <v>6</v>
      </c>
      <c r="H123" s="71">
        <f t="shared" si="3"/>
        <v>25</v>
      </c>
    </row>
    <row r="124" spans="1:8" x14ac:dyDescent="0.2">
      <c r="A124" s="71" t="s">
        <v>249</v>
      </c>
      <c r="B124" s="71" t="s">
        <v>250</v>
      </c>
      <c r="C124" s="71" t="s">
        <v>42</v>
      </c>
      <c r="D124" s="88">
        <v>46196.7902777778</v>
      </c>
      <c r="E124" s="89">
        <v>46196</v>
      </c>
      <c r="F124" s="71" t="s">
        <v>894</v>
      </c>
      <c r="G124" s="71">
        <f t="shared" si="2"/>
        <v>6</v>
      </c>
      <c r="H124" s="71">
        <f t="shared" si="3"/>
        <v>29</v>
      </c>
    </row>
    <row r="125" spans="1:8" x14ac:dyDescent="0.2">
      <c r="A125" s="71" t="s">
        <v>249</v>
      </c>
      <c r="B125" s="71" t="s">
        <v>250</v>
      </c>
      <c r="C125" s="71" t="s">
        <v>42</v>
      </c>
      <c r="D125" s="88">
        <v>46196.791388888902</v>
      </c>
      <c r="E125" s="89">
        <v>46196</v>
      </c>
      <c r="F125" s="71" t="s">
        <v>895</v>
      </c>
      <c r="G125" s="71">
        <f t="shared" si="2"/>
        <v>6</v>
      </c>
      <c r="H125" s="71">
        <f t="shared" si="3"/>
        <v>34</v>
      </c>
    </row>
    <row r="126" spans="1:8" x14ac:dyDescent="0.2">
      <c r="A126" s="71" t="s">
        <v>249</v>
      </c>
      <c r="B126" s="71" t="s">
        <v>250</v>
      </c>
      <c r="C126" s="71" t="s">
        <v>42</v>
      </c>
      <c r="D126" s="88">
        <v>46196.792071759301</v>
      </c>
      <c r="E126" s="89">
        <v>46196</v>
      </c>
      <c r="F126" s="71" t="s">
        <v>896</v>
      </c>
      <c r="G126" s="71">
        <f t="shared" si="2"/>
        <v>6</v>
      </c>
      <c r="H126" s="71">
        <f t="shared" si="3"/>
        <v>44</v>
      </c>
    </row>
    <row r="127" spans="1:8" x14ac:dyDescent="0.2">
      <c r="A127" s="71" t="s">
        <v>249</v>
      </c>
      <c r="B127" s="71" t="s">
        <v>250</v>
      </c>
      <c r="C127" s="71" t="s">
        <v>42</v>
      </c>
      <c r="D127" s="88">
        <v>46197.764293981498</v>
      </c>
      <c r="E127" s="89">
        <v>46197</v>
      </c>
      <c r="F127" s="71" t="s">
        <v>897</v>
      </c>
      <c r="G127" s="71">
        <f t="shared" si="2"/>
        <v>6</v>
      </c>
      <c r="H127" s="71">
        <f t="shared" si="3"/>
        <v>59</v>
      </c>
    </row>
    <row r="128" spans="1:8" x14ac:dyDescent="0.2">
      <c r="A128" s="71" t="s">
        <v>249</v>
      </c>
      <c r="B128" s="71" t="s">
        <v>250</v>
      </c>
      <c r="C128" s="71" t="s">
        <v>42</v>
      </c>
      <c r="D128" s="88">
        <v>46197.765185185199</v>
      </c>
      <c r="E128" s="89">
        <v>46197</v>
      </c>
      <c r="F128" s="71" t="s">
        <v>898</v>
      </c>
      <c r="G128" s="71">
        <f t="shared" si="2"/>
        <v>6</v>
      </c>
      <c r="H128" s="71">
        <f t="shared" si="3"/>
        <v>49</v>
      </c>
    </row>
    <row r="129" spans="1:8" x14ac:dyDescent="0.2">
      <c r="A129" s="71" t="s">
        <v>249</v>
      </c>
      <c r="B129" s="71" t="s">
        <v>250</v>
      </c>
      <c r="C129" s="71" t="s">
        <v>42</v>
      </c>
      <c r="D129" s="88">
        <v>46198.729340277801</v>
      </c>
      <c r="E129" s="89">
        <v>46198</v>
      </c>
      <c r="F129" s="71" t="s">
        <v>899</v>
      </c>
      <c r="G129" s="71">
        <f t="shared" si="2"/>
        <v>6</v>
      </c>
      <c r="H129" s="71">
        <f t="shared" si="3"/>
        <v>56</v>
      </c>
    </row>
    <row r="130" spans="1:8" x14ac:dyDescent="0.2">
      <c r="A130" s="71" t="s">
        <v>249</v>
      </c>
      <c r="B130" s="71" t="s">
        <v>250</v>
      </c>
      <c r="C130" s="71" t="s">
        <v>42</v>
      </c>
      <c r="D130" s="88">
        <v>46198.730312500003</v>
      </c>
      <c r="E130" s="89">
        <v>46198</v>
      </c>
      <c r="F130" s="71" t="s">
        <v>900</v>
      </c>
      <c r="G130" s="71">
        <f t="shared" ref="G130:G193" si="4">MONTH(E130)</f>
        <v>6</v>
      </c>
      <c r="H130" s="71">
        <f t="shared" ref="H130:H193" si="5">LEN(F130)</f>
        <v>53</v>
      </c>
    </row>
    <row r="131" spans="1:8" x14ac:dyDescent="0.2">
      <c r="A131" s="71" t="s">
        <v>249</v>
      </c>
      <c r="B131" s="71" t="s">
        <v>250</v>
      </c>
      <c r="C131" s="71" t="s">
        <v>42</v>
      </c>
      <c r="D131" s="88">
        <v>46198.731006944399</v>
      </c>
      <c r="E131" s="89">
        <v>46198</v>
      </c>
      <c r="F131" s="71" t="s">
        <v>901</v>
      </c>
      <c r="G131" s="71">
        <f t="shared" si="4"/>
        <v>6</v>
      </c>
      <c r="H131" s="71">
        <f t="shared" si="5"/>
        <v>51</v>
      </c>
    </row>
    <row r="132" spans="1:8" x14ac:dyDescent="0.2">
      <c r="A132" s="71" t="s">
        <v>249</v>
      </c>
      <c r="B132" s="71" t="s">
        <v>250</v>
      </c>
      <c r="C132" s="71" t="s">
        <v>42</v>
      </c>
      <c r="D132" s="88">
        <v>46199.780254629601</v>
      </c>
      <c r="E132" s="89">
        <v>46199</v>
      </c>
      <c r="F132" s="71" t="s">
        <v>902</v>
      </c>
      <c r="G132" s="71">
        <f t="shared" si="4"/>
        <v>6</v>
      </c>
      <c r="H132" s="71">
        <f t="shared" si="5"/>
        <v>54</v>
      </c>
    </row>
    <row r="133" spans="1:8" x14ac:dyDescent="0.2">
      <c r="A133" s="71" t="s">
        <v>249</v>
      </c>
      <c r="B133" s="71" t="s">
        <v>250</v>
      </c>
      <c r="C133" s="71" t="s">
        <v>42</v>
      </c>
      <c r="D133" s="88">
        <v>46199.781354166698</v>
      </c>
      <c r="E133" s="89">
        <v>46199</v>
      </c>
      <c r="F133" s="71" t="s">
        <v>903</v>
      </c>
      <c r="G133" s="71">
        <f t="shared" si="4"/>
        <v>6</v>
      </c>
      <c r="H133" s="71">
        <f t="shared" si="5"/>
        <v>67</v>
      </c>
    </row>
    <row r="134" spans="1:8" x14ac:dyDescent="0.2">
      <c r="A134" s="71" t="s">
        <v>249</v>
      </c>
      <c r="B134" s="71" t="s">
        <v>250</v>
      </c>
      <c r="C134" s="71" t="s">
        <v>42</v>
      </c>
      <c r="D134" s="88">
        <v>46199.782488425903</v>
      </c>
      <c r="E134" s="89">
        <v>46199</v>
      </c>
      <c r="F134" s="71" t="s">
        <v>904</v>
      </c>
      <c r="G134" s="71">
        <f t="shared" si="4"/>
        <v>6</v>
      </c>
      <c r="H134" s="71">
        <f t="shared" si="5"/>
        <v>56</v>
      </c>
    </row>
    <row r="135" spans="1:8" x14ac:dyDescent="0.2">
      <c r="A135" s="71" t="s">
        <v>249</v>
      </c>
      <c r="B135" s="71" t="s">
        <v>250</v>
      </c>
      <c r="C135" s="71" t="s">
        <v>42</v>
      </c>
      <c r="D135" s="88">
        <v>46202.7633796296</v>
      </c>
      <c r="E135" s="89">
        <v>46202</v>
      </c>
      <c r="F135" s="71" t="s">
        <v>905</v>
      </c>
      <c r="G135" s="71">
        <f t="shared" si="4"/>
        <v>6</v>
      </c>
      <c r="H135" s="71">
        <f t="shared" si="5"/>
        <v>30</v>
      </c>
    </row>
    <row r="136" spans="1:8" x14ac:dyDescent="0.2">
      <c r="A136" s="71" t="s">
        <v>249</v>
      </c>
      <c r="B136" s="71" t="s">
        <v>250</v>
      </c>
      <c r="C136" s="71" t="s">
        <v>42</v>
      </c>
      <c r="D136" s="88">
        <v>46202.764224537001</v>
      </c>
      <c r="E136" s="89">
        <v>46202</v>
      </c>
      <c r="F136" s="71" t="s">
        <v>906</v>
      </c>
      <c r="G136" s="71">
        <f t="shared" si="4"/>
        <v>6</v>
      </c>
      <c r="H136" s="71">
        <f t="shared" si="5"/>
        <v>59</v>
      </c>
    </row>
    <row r="137" spans="1:8" x14ac:dyDescent="0.2">
      <c r="A137" s="71" t="s">
        <v>249</v>
      </c>
      <c r="B137" s="71" t="s">
        <v>250</v>
      </c>
      <c r="C137" s="71" t="s">
        <v>42</v>
      </c>
      <c r="D137" s="88">
        <v>46202.7652199074</v>
      </c>
      <c r="E137" s="89">
        <v>46202</v>
      </c>
      <c r="F137" s="71" t="s">
        <v>907</v>
      </c>
      <c r="G137" s="71">
        <f t="shared" si="4"/>
        <v>6</v>
      </c>
      <c r="H137" s="71">
        <f t="shared" si="5"/>
        <v>39</v>
      </c>
    </row>
    <row r="138" spans="1:8" x14ac:dyDescent="0.2">
      <c r="A138" s="71" t="s">
        <v>249</v>
      </c>
      <c r="B138" s="71" t="s">
        <v>250</v>
      </c>
      <c r="C138" s="71" t="s">
        <v>42</v>
      </c>
      <c r="D138" s="88">
        <v>46202.766365740703</v>
      </c>
      <c r="E138" s="89">
        <v>46202</v>
      </c>
      <c r="F138" s="71" t="s">
        <v>908</v>
      </c>
      <c r="G138" s="71">
        <f t="shared" si="4"/>
        <v>6</v>
      </c>
      <c r="H138" s="71">
        <f t="shared" si="5"/>
        <v>64</v>
      </c>
    </row>
    <row r="139" spans="1:8" x14ac:dyDescent="0.2">
      <c r="A139" s="71" t="s">
        <v>249</v>
      </c>
      <c r="B139" s="71" t="s">
        <v>250</v>
      </c>
      <c r="C139" s="71" t="s">
        <v>42</v>
      </c>
      <c r="D139" s="88">
        <v>46204.690972222197</v>
      </c>
      <c r="E139" s="89">
        <v>46204</v>
      </c>
      <c r="F139" s="71" t="s">
        <v>909</v>
      </c>
      <c r="G139" s="71">
        <f t="shared" si="4"/>
        <v>7</v>
      </c>
      <c r="H139" s="71">
        <f t="shared" si="5"/>
        <v>50</v>
      </c>
    </row>
    <row r="140" spans="1:8" x14ac:dyDescent="0.2">
      <c r="A140" s="71" t="s">
        <v>249</v>
      </c>
      <c r="B140" s="71" t="s">
        <v>250</v>
      </c>
      <c r="C140" s="71" t="s">
        <v>42</v>
      </c>
      <c r="D140" s="88">
        <v>46204.691377314797</v>
      </c>
      <c r="E140" s="89">
        <v>46204</v>
      </c>
      <c r="F140" s="71" t="s">
        <v>910</v>
      </c>
      <c r="G140" s="71">
        <f t="shared" si="4"/>
        <v>7</v>
      </c>
      <c r="H140" s="71">
        <f t="shared" si="5"/>
        <v>43</v>
      </c>
    </row>
    <row r="141" spans="1:8" x14ac:dyDescent="0.2">
      <c r="A141" s="71" t="s">
        <v>249</v>
      </c>
      <c r="B141" s="71" t="s">
        <v>250</v>
      </c>
      <c r="C141" s="71" t="s">
        <v>42</v>
      </c>
      <c r="D141" s="88">
        <v>46205.752453703702</v>
      </c>
      <c r="E141" s="89">
        <v>46205</v>
      </c>
      <c r="F141" s="71" t="s">
        <v>911</v>
      </c>
      <c r="G141" s="71">
        <f t="shared" si="4"/>
        <v>7</v>
      </c>
      <c r="H141" s="71">
        <f t="shared" si="5"/>
        <v>59</v>
      </c>
    </row>
    <row r="142" spans="1:8" x14ac:dyDescent="0.2">
      <c r="A142" s="71" t="s">
        <v>249</v>
      </c>
      <c r="B142" s="71" t="s">
        <v>250</v>
      </c>
      <c r="C142" s="71" t="s">
        <v>42</v>
      </c>
      <c r="D142" s="88">
        <v>46205.752858796302</v>
      </c>
      <c r="E142" s="89">
        <v>46205</v>
      </c>
      <c r="F142" s="71" t="s">
        <v>912</v>
      </c>
      <c r="G142" s="71">
        <f t="shared" si="4"/>
        <v>7</v>
      </c>
      <c r="H142" s="71">
        <f t="shared" si="5"/>
        <v>30</v>
      </c>
    </row>
    <row r="143" spans="1:8" x14ac:dyDescent="0.2">
      <c r="A143" s="71" t="s">
        <v>249</v>
      </c>
      <c r="B143" s="71" t="s">
        <v>250</v>
      </c>
      <c r="C143" s="71" t="s">
        <v>42</v>
      </c>
      <c r="D143" s="88">
        <v>46205.753275463001</v>
      </c>
      <c r="E143" s="89">
        <v>46205</v>
      </c>
      <c r="F143" s="71" t="s">
        <v>913</v>
      </c>
      <c r="G143" s="71">
        <f t="shared" si="4"/>
        <v>7</v>
      </c>
      <c r="H143" s="71">
        <f t="shared" si="5"/>
        <v>42</v>
      </c>
    </row>
    <row r="144" spans="1:8" x14ac:dyDescent="0.2">
      <c r="A144" s="71" t="s">
        <v>249</v>
      </c>
      <c r="B144" s="71" t="s">
        <v>250</v>
      </c>
      <c r="C144" s="71" t="s">
        <v>42</v>
      </c>
      <c r="D144" s="88">
        <v>46206.849305555603</v>
      </c>
      <c r="E144" s="89">
        <v>46206</v>
      </c>
      <c r="F144" s="71" t="s">
        <v>914</v>
      </c>
      <c r="G144" s="71">
        <f t="shared" si="4"/>
        <v>7</v>
      </c>
      <c r="H144" s="71">
        <f t="shared" si="5"/>
        <v>74</v>
      </c>
    </row>
    <row r="145" spans="1:8" x14ac:dyDescent="0.2">
      <c r="A145" s="71" t="s">
        <v>249</v>
      </c>
      <c r="B145" s="71" t="s">
        <v>250</v>
      </c>
      <c r="C145" s="71" t="s">
        <v>42</v>
      </c>
      <c r="D145" s="88">
        <v>46206.849918981497</v>
      </c>
      <c r="E145" s="89">
        <v>46206</v>
      </c>
      <c r="F145" s="71" t="s">
        <v>915</v>
      </c>
      <c r="G145" s="71">
        <f t="shared" si="4"/>
        <v>7</v>
      </c>
      <c r="H145" s="71">
        <f t="shared" si="5"/>
        <v>63</v>
      </c>
    </row>
    <row r="146" spans="1:8" x14ac:dyDescent="0.2">
      <c r="A146" s="71" t="s">
        <v>249</v>
      </c>
      <c r="B146" s="71" t="s">
        <v>250</v>
      </c>
      <c r="C146" s="71" t="s">
        <v>42</v>
      </c>
      <c r="D146" s="88">
        <v>46209.7652199074</v>
      </c>
      <c r="E146" s="89">
        <v>46209</v>
      </c>
      <c r="F146" s="71" t="s">
        <v>916</v>
      </c>
      <c r="G146" s="71">
        <f t="shared" si="4"/>
        <v>7</v>
      </c>
      <c r="H146" s="71">
        <f t="shared" si="5"/>
        <v>66</v>
      </c>
    </row>
    <row r="147" spans="1:8" x14ac:dyDescent="0.2">
      <c r="A147" s="71" t="s">
        <v>249</v>
      </c>
      <c r="B147" s="71" t="s">
        <v>250</v>
      </c>
      <c r="C147" s="71" t="s">
        <v>42</v>
      </c>
      <c r="D147" s="88">
        <v>46209.768020833297</v>
      </c>
      <c r="E147" s="89">
        <v>46209</v>
      </c>
      <c r="F147" s="71" t="s">
        <v>917</v>
      </c>
      <c r="G147" s="71">
        <f t="shared" si="4"/>
        <v>7</v>
      </c>
      <c r="H147" s="71">
        <f t="shared" si="5"/>
        <v>53</v>
      </c>
    </row>
    <row r="148" spans="1:8" x14ac:dyDescent="0.2">
      <c r="A148" s="71" t="s">
        <v>249</v>
      </c>
      <c r="B148" s="71" t="s">
        <v>250</v>
      </c>
      <c r="C148" s="71" t="s">
        <v>42</v>
      </c>
      <c r="D148" s="88">
        <v>46210.764849537001</v>
      </c>
      <c r="E148" s="89">
        <v>46210</v>
      </c>
      <c r="F148" s="71" t="s">
        <v>918</v>
      </c>
      <c r="G148" s="71">
        <f t="shared" si="4"/>
        <v>7</v>
      </c>
      <c r="H148" s="71">
        <f t="shared" si="5"/>
        <v>21</v>
      </c>
    </row>
    <row r="149" spans="1:8" x14ac:dyDescent="0.2">
      <c r="A149" s="71" t="s">
        <v>249</v>
      </c>
      <c r="B149" s="71" t="s">
        <v>250</v>
      </c>
      <c r="C149" s="71" t="s">
        <v>42</v>
      </c>
      <c r="D149" s="88">
        <v>46210.766307870399</v>
      </c>
      <c r="E149" s="89">
        <v>46210</v>
      </c>
      <c r="F149" s="71" t="s">
        <v>919</v>
      </c>
      <c r="G149" s="71">
        <f t="shared" si="4"/>
        <v>7</v>
      </c>
      <c r="H149" s="71">
        <f t="shared" si="5"/>
        <v>53</v>
      </c>
    </row>
    <row r="150" spans="1:8" x14ac:dyDescent="0.2">
      <c r="A150" s="71" t="s">
        <v>249</v>
      </c>
      <c r="B150" s="71" t="s">
        <v>250</v>
      </c>
      <c r="C150" s="71" t="s">
        <v>42</v>
      </c>
      <c r="D150" s="88">
        <v>46210.767372685201</v>
      </c>
      <c r="E150" s="89">
        <v>46210</v>
      </c>
      <c r="F150" s="71" t="s">
        <v>920</v>
      </c>
      <c r="G150" s="71">
        <f t="shared" si="4"/>
        <v>7</v>
      </c>
      <c r="H150" s="71">
        <f t="shared" si="5"/>
        <v>30</v>
      </c>
    </row>
    <row r="151" spans="1:8" x14ac:dyDescent="0.2">
      <c r="A151" s="71" t="s">
        <v>249</v>
      </c>
      <c r="B151" s="71" t="s">
        <v>250</v>
      </c>
      <c r="C151" s="71" t="s">
        <v>42</v>
      </c>
      <c r="D151" s="88">
        <v>46211.7452893519</v>
      </c>
      <c r="E151" s="89">
        <v>46211</v>
      </c>
      <c r="F151" s="71" t="s">
        <v>921</v>
      </c>
      <c r="G151" s="71">
        <f t="shared" si="4"/>
        <v>7</v>
      </c>
      <c r="H151" s="71">
        <f t="shared" si="5"/>
        <v>31</v>
      </c>
    </row>
    <row r="152" spans="1:8" x14ac:dyDescent="0.2">
      <c r="A152" s="71" t="s">
        <v>249</v>
      </c>
      <c r="B152" s="71" t="s">
        <v>250</v>
      </c>
      <c r="C152" s="71" t="s">
        <v>42</v>
      </c>
      <c r="D152" s="88">
        <v>46211.745925925898</v>
      </c>
      <c r="E152" s="89">
        <v>46211</v>
      </c>
      <c r="F152" s="71" t="s">
        <v>922</v>
      </c>
      <c r="G152" s="71">
        <f t="shared" si="4"/>
        <v>7</v>
      </c>
      <c r="H152" s="71">
        <f t="shared" si="5"/>
        <v>35</v>
      </c>
    </row>
    <row r="153" spans="1:8" x14ac:dyDescent="0.2">
      <c r="A153" s="71" t="s">
        <v>249</v>
      </c>
      <c r="B153" s="71" t="s">
        <v>250</v>
      </c>
      <c r="C153" s="71" t="s">
        <v>42</v>
      </c>
      <c r="D153" s="88">
        <v>46212.777743055602</v>
      </c>
      <c r="E153" s="89">
        <v>46212</v>
      </c>
      <c r="F153" s="71" t="s">
        <v>923</v>
      </c>
      <c r="G153" s="71">
        <f t="shared" si="4"/>
        <v>7</v>
      </c>
      <c r="H153" s="71">
        <f t="shared" si="5"/>
        <v>42</v>
      </c>
    </row>
    <row r="154" spans="1:8" x14ac:dyDescent="0.2">
      <c r="A154" s="71" t="s">
        <v>249</v>
      </c>
      <c r="B154" s="71" t="s">
        <v>250</v>
      </c>
      <c r="C154" s="71" t="s">
        <v>42</v>
      </c>
      <c r="D154" s="88">
        <v>46212.778622685197</v>
      </c>
      <c r="E154" s="89">
        <v>46212</v>
      </c>
      <c r="F154" s="71" t="s">
        <v>924</v>
      </c>
      <c r="G154" s="71">
        <f t="shared" si="4"/>
        <v>7</v>
      </c>
      <c r="H154" s="71">
        <f t="shared" si="5"/>
        <v>16</v>
      </c>
    </row>
    <row r="155" spans="1:8" x14ac:dyDescent="0.2">
      <c r="A155" s="71" t="s">
        <v>249</v>
      </c>
      <c r="B155" s="71" t="s">
        <v>250</v>
      </c>
      <c r="C155" s="71" t="s">
        <v>42</v>
      </c>
      <c r="D155" s="88">
        <v>46212.7797685185</v>
      </c>
      <c r="E155" s="89">
        <v>46212</v>
      </c>
      <c r="F155" s="71" t="s">
        <v>925</v>
      </c>
      <c r="G155" s="71">
        <f t="shared" si="4"/>
        <v>7</v>
      </c>
      <c r="H155" s="71">
        <f t="shared" si="5"/>
        <v>29</v>
      </c>
    </row>
    <row r="156" spans="1:8" x14ac:dyDescent="0.2">
      <c r="A156" s="71" t="s">
        <v>249</v>
      </c>
      <c r="B156" s="71" t="s">
        <v>250</v>
      </c>
      <c r="C156" s="71" t="s">
        <v>42</v>
      </c>
      <c r="D156" s="88">
        <v>46212.780601851897</v>
      </c>
      <c r="E156" s="89">
        <v>46212</v>
      </c>
      <c r="F156" s="71" t="s">
        <v>926</v>
      </c>
      <c r="G156" s="71">
        <f t="shared" si="4"/>
        <v>7</v>
      </c>
      <c r="H156" s="71">
        <f t="shared" si="5"/>
        <v>21</v>
      </c>
    </row>
    <row r="157" spans="1:8" x14ac:dyDescent="0.2">
      <c r="A157" s="71" t="s">
        <v>249</v>
      </c>
      <c r="B157" s="71" t="s">
        <v>250</v>
      </c>
      <c r="C157" s="71" t="s">
        <v>42</v>
      </c>
      <c r="D157" s="88">
        <v>46213.797118055598</v>
      </c>
      <c r="E157" s="89">
        <v>46213</v>
      </c>
      <c r="F157" s="71" t="s">
        <v>927</v>
      </c>
      <c r="G157" s="71">
        <f t="shared" si="4"/>
        <v>7</v>
      </c>
      <c r="H157" s="71">
        <f t="shared" si="5"/>
        <v>21</v>
      </c>
    </row>
    <row r="158" spans="1:8" x14ac:dyDescent="0.2">
      <c r="A158" s="71" t="s">
        <v>249</v>
      </c>
      <c r="B158" s="71" t="s">
        <v>250</v>
      </c>
      <c r="C158" s="71" t="s">
        <v>42</v>
      </c>
      <c r="D158" s="88">
        <v>46213.797719907401</v>
      </c>
      <c r="E158" s="89">
        <v>46213</v>
      </c>
      <c r="F158" s="71" t="s">
        <v>928</v>
      </c>
      <c r="G158" s="71">
        <f t="shared" si="4"/>
        <v>7</v>
      </c>
      <c r="H158" s="71">
        <f t="shared" si="5"/>
        <v>67</v>
      </c>
    </row>
    <row r="159" spans="1:8" x14ac:dyDescent="0.2">
      <c r="A159" s="71" t="s">
        <v>249</v>
      </c>
      <c r="B159" s="71" t="s">
        <v>250</v>
      </c>
      <c r="C159" s="71" t="s">
        <v>42</v>
      </c>
      <c r="D159" s="88">
        <v>46213.798668981501</v>
      </c>
      <c r="E159" s="89">
        <v>46213</v>
      </c>
      <c r="F159" s="71" t="s">
        <v>929</v>
      </c>
      <c r="G159" s="71">
        <f t="shared" si="4"/>
        <v>7</v>
      </c>
      <c r="H159" s="71">
        <f t="shared" si="5"/>
        <v>66</v>
      </c>
    </row>
    <row r="160" spans="1:8" x14ac:dyDescent="0.2">
      <c r="A160" s="71" t="s">
        <v>249</v>
      </c>
      <c r="B160" s="71" t="s">
        <v>250</v>
      </c>
      <c r="C160" s="71" t="s">
        <v>42</v>
      </c>
      <c r="D160" s="88">
        <v>46216.791192129604</v>
      </c>
      <c r="E160" s="89">
        <v>46216</v>
      </c>
      <c r="F160" s="71" t="s">
        <v>930</v>
      </c>
      <c r="G160" s="71">
        <f t="shared" si="4"/>
        <v>7</v>
      </c>
      <c r="H160" s="71">
        <f t="shared" si="5"/>
        <v>63</v>
      </c>
    </row>
    <row r="161" spans="1:8" x14ac:dyDescent="0.2">
      <c r="A161" s="71" t="s">
        <v>249</v>
      </c>
      <c r="B161" s="71" t="s">
        <v>250</v>
      </c>
      <c r="C161" s="71" t="s">
        <v>42</v>
      </c>
      <c r="D161" s="88">
        <v>46216.791736111103</v>
      </c>
      <c r="E161" s="89">
        <v>46216</v>
      </c>
      <c r="F161" s="71" t="s">
        <v>931</v>
      </c>
      <c r="G161" s="71">
        <f t="shared" si="4"/>
        <v>7</v>
      </c>
      <c r="H161" s="71">
        <f t="shared" si="5"/>
        <v>38</v>
      </c>
    </row>
    <row r="162" spans="1:8" x14ac:dyDescent="0.2">
      <c r="A162" s="71" t="s">
        <v>249</v>
      </c>
      <c r="B162" s="71" t="s">
        <v>250</v>
      </c>
      <c r="C162" s="71" t="s">
        <v>42</v>
      </c>
      <c r="D162" s="88">
        <v>46216.792511574102</v>
      </c>
      <c r="E162" s="89">
        <v>46216</v>
      </c>
      <c r="F162" s="71" t="s">
        <v>932</v>
      </c>
      <c r="G162" s="71">
        <f t="shared" si="4"/>
        <v>7</v>
      </c>
      <c r="H162" s="71">
        <f t="shared" si="5"/>
        <v>74</v>
      </c>
    </row>
    <row r="163" spans="1:8" x14ac:dyDescent="0.2">
      <c r="A163" s="71" t="s">
        <v>249</v>
      </c>
      <c r="B163" s="71" t="s">
        <v>250</v>
      </c>
      <c r="C163" s="71" t="s">
        <v>42</v>
      </c>
      <c r="D163" s="88">
        <v>46216.793402777803</v>
      </c>
      <c r="E163" s="89">
        <v>46216</v>
      </c>
      <c r="F163" s="71" t="s">
        <v>933</v>
      </c>
      <c r="G163" s="71">
        <f t="shared" si="4"/>
        <v>7</v>
      </c>
      <c r="H163" s="71">
        <f t="shared" si="5"/>
        <v>34</v>
      </c>
    </row>
    <row r="164" spans="1:8" x14ac:dyDescent="0.2">
      <c r="A164" s="71" t="s">
        <v>249</v>
      </c>
      <c r="B164" s="71" t="s">
        <v>250</v>
      </c>
      <c r="C164" s="71" t="s">
        <v>42</v>
      </c>
      <c r="D164" s="88">
        <v>46217.794675925899</v>
      </c>
      <c r="E164" s="89">
        <v>46217</v>
      </c>
      <c r="F164" s="71" t="s">
        <v>934</v>
      </c>
      <c r="G164" s="71">
        <f t="shared" si="4"/>
        <v>7</v>
      </c>
      <c r="H164" s="71">
        <f t="shared" si="5"/>
        <v>27</v>
      </c>
    </row>
    <row r="165" spans="1:8" x14ac:dyDescent="0.2">
      <c r="A165" s="71" t="s">
        <v>249</v>
      </c>
      <c r="B165" s="71" t="s">
        <v>250</v>
      </c>
      <c r="C165" s="71" t="s">
        <v>42</v>
      </c>
      <c r="D165" s="88">
        <v>46217.795428240701</v>
      </c>
      <c r="E165" s="89">
        <v>46217</v>
      </c>
      <c r="F165" s="71" t="s">
        <v>877</v>
      </c>
      <c r="G165" s="71">
        <f t="shared" si="4"/>
        <v>7</v>
      </c>
      <c r="H165" s="71">
        <f t="shared" si="5"/>
        <v>59</v>
      </c>
    </row>
    <row r="166" spans="1:8" x14ac:dyDescent="0.2">
      <c r="A166" s="71" t="s">
        <v>249</v>
      </c>
      <c r="B166" s="71" t="s">
        <v>250</v>
      </c>
      <c r="C166" s="71" t="s">
        <v>42</v>
      </c>
      <c r="D166" s="88">
        <v>46217.7964699074</v>
      </c>
      <c r="E166" s="89">
        <v>46217</v>
      </c>
      <c r="F166" s="71" t="s">
        <v>935</v>
      </c>
      <c r="G166" s="71">
        <f t="shared" si="4"/>
        <v>7</v>
      </c>
      <c r="H166" s="71">
        <f t="shared" si="5"/>
        <v>26</v>
      </c>
    </row>
    <row r="167" spans="1:8" x14ac:dyDescent="0.2">
      <c r="A167" s="71" t="s">
        <v>249</v>
      </c>
      <c r="B167" s="71" t="s">
        <v>250</v>
      </c>
      <c r="C167" s="71" t="s">
        <v>42</v>
      </c>
      <c r="D167" s="88">
        <v>46217.796932870398</v>
      </c>
      <c r="E167" s="89">
        <v>46217</v>
      </c>
      <c r="F167" s="71" t="s">
        <v>936</v>
      </c>
      <c r="G167" s="71">
        <f t="shared" si="4"/>
        <v>7</v>
      </c>
      <c r="H167" s="71">
        <f t="shared" si="5"/>
        <v>30</v>
      </c>
    </row>
    <row r="168" spans="1:8" x14ac:dyDescent="0.2">
      <c r="A168" s="71" t="s">
        <v>249</v>
      </c>
      <c r="B168" s="71" t="s">
        <v>250</v>
      </c>
      <c r="C168" s="71" t="s">
        <v>42</v>
      </c>
      <c r="D168" s="88">
        <v>46218.796770833302</v>
      </c>
      <c r="E168" s="89">
        <v>46218</v>
      </c>
      <c r="F168" s="71" t="s">
        <v>937</v>
      </c>
      <c r="G168" s="71">
        <f t="shared" si="4"/>
        <v>7</v>
      </c>
      <c r="H168" s="71">
        <f t="shared" si="5"/>
        <v>45</v>
      </c>
    </row>
    <row r="169" spans="1:8" x14ac:dyDescent="0.2">
      <c r="A169" s="71" t="s">
        <v>249</v>
      </c>
      <c r="B169" s="71" t="s">
        <v>250</v>
      </c>
      <c r="C169" s="71" t="s">
        <v>42</v>
      </c>
      <c r="D169" s="88">
        <v>46218.804803240702</v>
      </c>
      <c r="E169" s="89">
        <v>46218</v>
      </c>
      <c r="F169" s="71" t="s">
        <v>938</v>
      </c>
      <c r="G169" s="71">
        <f t="shared" si="4"/>
        <v>7</v>
      </c>
      <c r="H169" s="71">
        <f t="shared" si="5"/>
        <v>64</v>
      </c>
    </row>
    <row r="170" spans="1:8" x14ac:dyDescent="0.2">
      <c r="A170" s="71" t="s">
        <v>249</v>
      </c>
      <c r="B170" s="71" t="s">
        <v>250</v>
      </c>
      <c r="C170" s="71" t="s">
        <v>42</v>
      </c>
      <c r="D170" s="88">
        <v>46219.804247685199</v>
      </c>
      <c r="E170" s="89">
        <v>46219</v>
      </c>
      <c r="F170" s="71" t="s">
        <v>939</v>
      </c>
      <c r="G170" s="71">
        <f t="shared" si="4"/>
        <v>7</v>
      </c>
      <c r="H170" s="71">
        <f t="shared" si="5"/>
        <v>42</v>
      </c>
    </row>
    <row r="171" spans="1:8" x14ac:dyDescent="0.2">
      <c r="A171" s="71" t="s">
        <v>249</v>
      </c>
      <c r="B171" s="71" t="s">
        <v>250</v>
      </c>
      <c r="C171" s="71" t="s">
        <v>42</v>
      </c>
      <c r="D171" s="88">
        <v>46219.805775462999</v>
      </c>
      <c r="E171" s="89">
        <v>46219</v>
      </c>
      <c r="F171" s="71" t="s">
        <v>940</v>
      </c>
      <c r="G171" s="71">
        <f t="shared" si="4"/>
        <v>7</v>
      </c>
      <c r="H171" s="71">
        <f t="shared" si="5"/>
        <v>42</v>
      </c>
    </row>
    <row r="172" spans="1:8" x14ac:dyDescent="0.2">
      <c r="A172" s="71" t="s">
        <v>249</v>
      </c>
      <c r="B172" s="71" t="s">
        <v>250</v>
      </c>
      <c r="C172" s="71" t="s">
        <v>42</v>
      </c>
      <c r="D172" s="88">
        <v>46220.731064814798</v>
      </c>
      <c r="E172" s="89">
        <v>46220</v>
      </c>
      <c r="F172" s="71" t="s">
        <v>941</v>
      </c>
      <c r="G172" s="71">
        <f t="shared" si="4"/>
        <v>7</v>
      </c>
      <c r="H172" s="71">
        <f t="shared" si="5"/>
        <v>51</v>
      </c>
    </row>
    <row r="173" spans="1:8" x14ac:dyDescent="0.2">
      <c r="A173" s="71" t="s">
        <v>249</v>
      </c>
      <c r="B173" s="71" t="s">
        <v>250</v>
      </c>
      <c r="C173" s="71" t="s">
        <v>42</v>
      </c>
      <c r="D173" s="88">
        <v>46220.7316319444</v>
      </c>
      <c r="E173" s="89">
        <v>46220</v>
      </c>
      <c r="F173" s="71" t="s">
        <v>942</v>
      </c>
      <c r="G173" s="71">
        <f t="shared" si="4"/>
        <v>7</v>
      </c>
      <c r="H173" s="71">
        <f t="shared" si="5"/>
        <v>50</v>
      </c>
    </row>
    <row r="174" spans="1:8" x14ac:dyDescent="0.2">
      <c r="A174" s="71" t="s">
        <v>249</v>
      </c>
      <c r="B174" s="71" t="s">
        <v>250</v>
      </c>
      <c r="C174" s="71" t="s">
        <v>42</v>
      </c>
      <c r="D174" s="88">
        <v>46220.7323032407</v>
      </c>
      <c r="E174" s="89">
        <v>46220</v>
      </c>
      <c r="F174" s="71" t="s">
        <v>943</v>
      </c>
      <c r="G174" s="71">
        <f t="shared" si="4"/>
        <v>7</v>
      </c>
      <c r="H174" s="71">
        <f t="shared" si="5"/>
        <v>36</v>
      </c>
    </row>
    <row r="175" spans="1:8" x14ac:dyDescent="0.2">
      <c r="A175" s="71" t="s">
        <v>249</v>
      </c>
      <c r="B175" s="71" t="s">
        <v>250</v>
      </c>
      <c r="C175" s="71" t="s">
        <v>42</v>
      </c>
      <c r="D175" s="88">
        <v>46220.7327546296</v>
      </c>
      <c r="E175" s="89">
        <v>46220</v>
      </c>
      <c r="F175" s="71" t="s">
        <v>944</v>
      </c>
      <c r="G175" s="71">
        <f t="shared" si="4"/>
        <v>7</v>
      </c>
      <c r="H175" s="71">
        <f t="shared" si="5"/>
        <v>38</v>
      </c>
    </row>
    <row r="176" spans="1:8" x14ac:dyDescent="0.2">
      <c r="A176" s="71" t="s">
        <v>249</v>
      </c>
      <c r="B176" s="71" t="s">
        <v>250</v>
      </c>
      <c r="C176" s="71" t="s">
        <v>42</v>
      </c>
      <c r="D176" s="88">
        <v>46223.738553240699</v>
      </c>
      <c r="E176" s="89">
        <v>46223</v>
      </c>
      <c r="F176" s="71" t="s">
        <v>945</v>
      </c>
      <c r="G176" s="71">
        <f t="shared" si="4"/>
        <v>7</v>
      </c>
      <c r="H176" s="71">
        <f t="shared" si="5"/>
        <v>35</v>
      </c>
    </row>
    <row r="177" spans="1:8" x14ac:dyDescent="0.2">
      <c r="A177" s="71" t="s">
        <v>249</v>
      </c>
      <c r="B177" s="71" t="s">
        <v>250</v>
      </c>
      <c r="C177" s="71" t="s">
        <v>42</v>
      </c>
      <c r="D177" s="88">
        <v>46223.739479166703</v>
      </c>
      <c r="E177" s="89">
        <v>46223</v>
      </c>
      <c r="F177" s="71" t="s">
        <v>946</v>
      </c>
      <c r="G177" s="71">
        <f t="shared" si="4"/>
        <v>7</v>
      </c>
      <c r="H177" s="71">
        <f t="shared" si="5"/>
        <v>45</v>
      </c>
    </row>
    <row r="178" spans="1:8" x14ac:dyDescent="0.2">
      <c r="A178" s="71" t="s">
        <v>249</v>
      </c>
      <c r="B178" s="71" t="s">
        <v>250</v>
      </c>
      <c r="C178" s="71" t="s">
        <v>42</v>
      </c>
      <c r="D178" s="88">
        <v>46224.764085648101</v>
      </c>
      <c r="E178" s="89">
        <v>46224</v>
      </c>
      <c r="F178" s="71" t="s">
        <v>947</v>
      </c>
      <c r="G178" s="71">
        <f t="shared" si="4"/>
        <v>7</v>
      </c>
      <c r="H178" s="71">
        <f t="shared" si="5"/>
        <v>54</v>
      </c>
    </row>
    <row r="179" spans="1:8" x14ac:dyDescent="0.2">
      <c r="A179" s="71" t="s">
        <v>249</v>
      </c>
      <c r="B179" s="71" t="s">
        <v>250</v>
      </c>
      <c r="C179" s="71" t="s">
        <v>42</v>
      </c>
      <c r="D179" s="88">
        <v>46224.764386574097</v>
      </c>
      <c r="E179" s="89">
        <v>46224</v>
      </c>
      <c r="F179" s="71" t="s">
        <v>948</v>
      </c>
      <c r="G179" s="71">
        <f t="shared" si="4"/>
        <v>7</v>
      </c>
      <c r="H179" s="71">
        <f t="shared" si="5"/>
        <v>24</v>
      </c>
    </row>
    <row r="180" spans="1:8" x14ac:dyDescent="0.2">
      <c r="A180" s="71" t="s">
        <v>249</v>
      </c>
      <c r="B180" s="71" t="s">
        <v>250</v>
      </c>
      <c r="C180" s="71" t="s">
        <v>42</v>
      </c>
      <c r="D180" s="88">
        <v>46225.802928240701</v>
      </c>
      <c r="E180" s="89">
        <v>46225</v>
      </c>
      <c r="F180" s="71" t="s">
        <v>949</v>
      </c>
      <c r="G180" s="71">
        <f t="shared" si="4"/>
        <v>7</v>
      </c>
      <c r="H180" s="71">
        <f t="shared" si="5"/>
        <v>38</v>
      </c>
    </row>
    <row r="181" spans="1:8" x14ac:dyDescent="0.2">
      <c r="A181" s="71" t="s">
        <v>249</v>
      </c>
      <c r="B181" s="71" t="s">
        <v>250</v>
      </c>
      <c r="C181" s="71" t="s">
        <v>42</v>
      </c>
      <c r="D181" s="88">
        <v>46225.804756944497</v>
      </c>
      <c r="E181" s="89">
        <v>46225</v>
      </c>
      <c r="F181" s="71" t="s">
        <v>950</v>
      </c>
      <c r="G181" s="71">
        <f t="shared" si="4"/>
        <v>7</v>
      </c>
      <c r="H181" s="71">
        <f t="shared" si="5"/>
        <v>41</v>
      </c>
    </row>
    <row r="182" spans="1:8" x14ac:dyDescent="0.2">
      <c r="A182" s="71" t="s">
        <v>249</v>
      </c>
      <c r="B182" s="71" t="s">
        <v>250</v>
      </c>
      <c r="C182" s="71" t="s">
        <v>42</v>
      </c>
      <c r="D182" s="88">
        <v>46226.734664351898</v>
      </c>
      <c r="E182" s="89">
        <v>46226</v>
      </c>
      <c r="F182" s="71" t="s">
        <v>951</v>
      </c>
      <c r="G182" s="71">
        <f t="shared" si="4"/>
        <v>7</v>
      </c>
      <c r="H182" s="71">
        <f t="shared" si="5"/>
        <v>37</v>
      </c>
    </row>
    <row r="183" spans="1:8" x14ac:dyDescent="0.2">
      <c r="A183" s="71" t="s">
        <v>249</v>
      </c>
      <c r="B183" s="71" t="s">
        <v>250</v>
      </c>
      <c r="C183" s="71" t="s">
        <v>42</v>
      </c>
      <c r="D183" s="88">
        <v>46226.735173611101</v>
      </c>
      <c r="E183" s="89">
        <v>46226</v>
      </c>
      <c r="F183" s="71" t="s">
        <v>952</v>
      </c>
      <c r="G183" s="71">
        <f t="shared" si="4"/>
        <v>7</v>
      </c>
      <c r="H183" s="71">
        <f t="shared" si="5"/>
        <v>44</v>
      </c>
    </row>
    <row r="184" spans="1:8" x14ac:dyDescent="0.2">
      <c r="A184" s="71" t="s">
        <v>249</v>
      </c>
      <c r="B184" s="71" t="s">
        <v>250</v>
      </c>
      <c r="C184" s="71" t="s">
        <v>42</v>
      </c>
      <c r="D184" s="88">
        <v>46227.794687499998</v>
      </c>
      <c r="E184" s="89">
        <v>46227</v>
      </c>
      <c r="F184" s="71" t="s">
        <v>953</v>
      </c>
      <c r="G184" s="71">
        <f t="shared" si="4"/>
        <v>7</v>
      </c>
      <c r="H184" s="71">
        <f t="shared" si="5"/>
        <v>30</v>
      </c>
    </row>
    <row r="185" spans="1:8" x14ac:dyDescent="0.2">
      <c r="A185" s="71" t="s">
        <v>249</v>
      </c>
      <c r="B185" s="71" t="s">
        <v>250</v>
      </c>
      <c r="C185" s="71" t="s">
        <v>42</v>
      </c>
      <c r="D185" s="88">
        <v>46227.795150462996</v>
      </c>
      <c r="E185" s="89">
        <v>46227</v>
      </c>
      <c r="F185" s="71" t="s">
        <v>954</v>
      </c>
      <c r="G185" s="71">
        <f t="shared" si="4"/>
        <v>7</v>
      </c>
      <c r="H185" s="71">
        <f t="shared" si="5"/>
        <v>64</v>
      </c>
    </row>
    <row r="186" spans="1:8" x14ac:dyDescent="0.2">
      <c r="A186" s="71" t="s">
        <v>249</v>
      </c>
      <c r="B186" s="71" t="s">
        <v>250</v>
      </c>
      <c r="C186" s="71" t="s">
        <v>42</v>
      </c>
      <c r="D186" s="88">
        <v>46227.795833333301</v>
      </c>
      <c r="E186" s="89">
        <v>46227</v>
      </c>
      <c r="F186" s="71" t="s">
        <v>955</v>
      </c>
      <c r="G186" s="71">
        <f t="shared" si="4"/>
        <v>7</v>
      </c>
      <c r="H186" s="71">
        <f t="shared" si="5"/>
        <v>53</v>
      </c>
    </row>
    <row r="187" spans="1:8" x14ac:dyDescent="0.2">
      <c r="A187" s="71" t="s">
        <v>249</v>
      </c>
      <c r="B187" s="71" t="s">
        <v>250</v>
      </c>
      <c r="C187" s="71" t="s">
        <v>42</v>
      </c>
      <c r="D187" s="88">
        <v>46231.731712963003</v>
      </c>
      <c r="E187" s="89">
        <v>46231</v>
      </c>
      <c r="F187" s="71" t="s">
        <v>956</v>
      </c>
      <c r="G187" s="71">
        <f t="shared" si="4"/>
        <v>7</v>
      </c>
      <c r="H187" s="71">
        <f t="shared" si="5"/>
        <v>94</v>
      </c>
    </row>
    <row r="188" spans="1:8" x14ac:dyDescent="0.2">
      <c r="A188" s="71" t="s">
        <v>249</v>
      </c>
      <c r="B188" s="71" t="s">
        <v>250</v>
      </c>
      <c r="C188" s="71" t="s">
        <v>42</v>
      </c>
      <c r="D188" s="88">
        <v>46231.732361111099</v>
      </c>
      <c r="E188" s="89">
        <v>46231</v>
      </c>
      <c r="F188" s="71" t="s">
        <v>957</v>
      </c>
      <c r="G188" s="71">
        <f t="shared" si="4"/>
        <v>7</v>
      </c>
      <c r="H188" s="71">
        <f t="shared" si="5"/>
        <v>52</v>
      </c>
    </row>
    <row r="189" spans="1:8" x14ac:dyDescent="0.2">
      <c r="A189" s="71" t="s">
        <v>249</v>
      </c>
      <c r="B189" s="71" t="s">
        <v>250</v>
      </c>
      <c r="C189" s="71" t="s">
        <v>42</v>
      </c>
      <c r="D189" s="88">
        <v>46232.688946759299</v>
      </c>
      <c r="E189" s="89">
        <v>46232</v>
      </c>
      <c r="F189" s="71" t="s">
        <v>958</v>
      </c>
      <c r="G189" s="71">
        <f t="shared" si="4"/>
        <v>7</v>
      </c>
      <c r="H189" s="71">
        <f t="shared" si="5"/>
        <v>63</v>
      </c>
    </row>
    <row r="190" spans="1:8" x14ac:dyDescent="0.2">
      <c r="A190" s="71" t="s">
        <v>249</v>
      </c>
      <c r="B190" s="71" t="s">
        <v>250</v>
      </c>
      <c r="C190" s="71" t="s">
        <v>42</v>
      </c>
      <c r="D190" s="88">
        <v>46234.761909722198</v>
      </c>
      <c r="E190" s="89">
        <v>46234</v>
      </c>
      <c r="F190" s="71" t="s">
        <v>959</v>
      </c>
      <c r="G190" s="71">
        <f t="shared" si="4"/>
        <v>7</v>
      </c>
      <c r="H190" s="71">
        <f t="shared" si="5"/>
        <v>41</v>
      </c>
    </row>
    <row r="191" spans="1:8" x14ac:dyDescent="0.2">
      <c r="A191" s="71" t="s">
        <v>249</v>
      </c>
      <c r="B191" s="71" t="s">
        <v>250</v>
      </c>
      <c r="C191" s="71" t="s">
        <v>42</v>
      </c>
      <c r="D191" s="88">
        <v>46234.762361111098</v>
      </c>
      <c r="E191" s="89">
        <v>46234</v>
      </c>
      <c r="F191" s="71" t="s">
        <v>960</v>
      </c>
      <c r="G191" s="71">
        <f t="shared" si="4"/>
        <v>7</v>
      </c>
      <c r="H191" s="71">
        <f t="shared" si="5"/>
        <v>48</v>
      </c>
    </row>
    <row r="192" spans="1:8" x14ac:dyDescent="0.2">
      <c r="A192" s="71" t="s">
        <v>249</v>
      </c>
      <c r="B192" s="71" t="s">
        <v>250</v>
      </c>
      <c r="C192" s="71" t="s">
        <v>42</v>
      </c>
      <c r="D192" s="88">
        <v>46237.763854166697</v>
      </c>
      <c r="E192" s="89">
        <v>46237</v>
      </c>
      <c r="F192" s="71" t="s">
        <v>961</v>
      </c>
      <c r="G192" s="71">
        <f t="shared" si="4"/>
        <v>8</v>
      </c>
      <c r="H192" s="71">
        <f t="shared" si="5"/>
        <v>35</v>
      </c>
    </row>
    <row r="193" spans="1:8" x14ac:dyDescent="0.2">
      <c r="A193" s="71" t="s">
        <v>249</v>
      </c>
      <c r="B193" s="71" t="s">
        <v>250</v>
      </c>
      <c r="C193" s="71" t="s">
        <v>42</v>
      </c>
      <c r="D193" s="88">
        <v>46237.766134259298</v>
      </c>
      <c r="E193" s="89">
        <v>46237</v>
      </c>
      <c r="F193" s="71" t="s">
        <v>962</v>
      </c>
      <c r="G193" s="71">
        <f t="shared" si="4"/>
        <v>8</v>
      </c>
      <c r="H193" s="71">
        <f t="shared" si="5"/>
        <v>67</v>
      </c>
    </row>
    <row r="194" spans="1:8" x14ac:dyDescent="0.2">
      <c r="A194" s="71" t="s">
        <v>249</v>
      </c>
      <c r="B194" s="71" t="s">
        <v>250</v>
      </c>
      <c r="C194" s="71" t="s">
        <v>42</v>
      </c>
      <c r="D194" s="88">
        <v>46237.7680555556</v>
      </c>
      <c r="E194" s="89">
        <v>46237</v>
      </c>
      <c r="F194" s="71" t="s">
        <v>963</v>
      </c>
      <c r="G194" s="71">
        <f t="shared" ref="G194:G257" si="6">MONTH(E194)</f>
        <v>8</v>
      </c>
      <c r="H194" s="71">
        <f t="shared" ref="H194:H257" si="7">LEN(F194)</f>
        <v>53</v>
      </c>
    </row>
    <row r="195" spans="1:8" x14ac:dyDescent="0.2">
      <c r="A195" s="71" t="s">
        <v>249</v>
      </c>
      <c r="B195" s="71" t="s">
        <v>250</v>
      </c>
      <c r="C195" s="71" t="s">
        <v>42</v>
      </c>
      <c r="D195" s="88">
        <v>46237.769409722197</v>
      </c>
      <c r="E195" s="89">
        <v>46237</v>
      </c>
      <c r="F195" s="71" t="s">
        <v>964</v>
      </c>
      <c r="G195" s="71">
        <f t="shared" si="6"/>
        <v>8</v>
      </c>
      <c r="H195" s="71">
        <f t="shared" si="7"/>
        <v>32</v>
      </c>
    </row>
    <row r="196" spans="1:8" x14ac:dyDescent="0.2">
      <c r="A196" s="71" t="s">
        <v>249</v>
      </c>
      <c r="B196" s="71" t="s">
        <v>250</v>
      </c>
      <c r="C196" s="71" t="s">
        <v>42</v>
      </c>
      <c r="D196" s="88">
        <v>46238.758506944498</v>
      </c>
      <c r="E196" s="89">
        <v>46238</v>
      </c>
      <c r="F196" s="71" t="s">
        <v>965</v>
      </c>
      <c r="G196" s="71">
        <f t="shared" si="6"/>
        <v>8</v>
      </c>
      <c r="H196" s="71">
        <f t="shared" si="7"/>
        <v>34</v>
      </c>
    </row>
    <row r="197" spans="1:8" x14ac:dyDescent="0.2">
      <c r="A197" s="71" t="s">
        <v>249</v>
      </c>
      <c r="B197" s="71" t="s">
        <v>250</v>
      </c>
      <c r="C197" s="71" t="s">
        <v>42</v>
      </c>
      <c r="D197" s="88">
        <v>46238.7589814815</v>
      </c>
      <c r="E197" s="89">
        <v>46238</v>
      </c>
      <c r="F197" s="71" t="s">
        <v>966</v>
      </c>
      <c r="G197" s="71">
        <f t="shared" si="6"/>
        <v>8</v>
      </c>
      <c r="H197" s="71">
        <f t="shared" si="7"/>
        <v>30</v>
      </c>
    </row>
    <row r="198" spans="1:8" x14ac:dyDescent="0.2">
      <c r="A198" s="71" t="s">
        <v>249</v>
      </c>
      <c r="B198" s="71" t="s">
        <v>250</v>
      </c>
      <c r="C198" s="71" t="s">
        <v>42</v>
      </c>
      <c r="D198" s="88">
        <v>46238.759247685201</v>
      </c>
      <c r="E198" s="89">
        <v>46238</v>
      </c>
      <c r="F198" s="71" t="s">
        <v>967</v>
      </c>
      <c r="G198" s="71">
        <f t="shared" si="6"/>
        <v>8</v>
      </c>
      <c r="H198" s="71">
        <f t="shared" si="7"/>
        <v>26</v>
      </c>
    </row>
    <row r="199" spans="1:8" x14ac:dyDescent="0.2">
      <c r="A199" s="71" t="s">
        <v>249</v>
      </c>
      <c r="B199" s="71" t="s">
        <v>250</v>
      </c>
      <c r="C199" s="71" t="s">
        <v>42</v>
      </c>
      <c r="D199" s="88">
        <v>46239.813472222202</v>
      </c>
      <c r="E199" s="89">
        <v>46239</v>
      </c>
      <c r="F199" s="71" t="s">
        <v>968</v>
      </c>
      <c r="G199" s="71">
        <f t="shared" si="6"/>
        <v>8</v>
      </c>
      <c r="H199" s="71">
        <f t="shared" si="7"/>
        <v>59</v>
      </c>
    </row>
    <row r="200" spans="1:8" x14ac:dyDescent="0.2">
      <c r="A200" s="71" t="s">
        <v>249</v>
      </c>
      <c r="B200" s="71" t="s">
        <v>250</v>
      </c>
      <c r="C200" s="71" t="s">
        <v>42</v>
      </c>
      <c r="D200" s="88">
        <v>46240.781863425902</v>
      </c>
      <c r="E200" s="89">
        <v>46240</v>
      </c>
      <c r="F200" s="71" t="s">
        <v>969</v>
      </c>
      <c r="G200" s="71">
        <f t="shared" si="6"/>
        <v>8</v>
      </c>
      <c r="H200" s="71">
        <f t="shared" si="7"/>
        <v>41</v>
      </c>
    </row>
    <row r="201" spans="1:8" x14ac:dyDescent="0.2">
      <c r="A201" s="71" t="s">
        <v>249</v>
      </c>
      <c r="B201" s="71" t="s">
        <v>250</v>
      </c>
      <c r="C201" s="71" t="s">
        <v>42</v>
      </c>
      <c r="D201" s="88">
        <v>46240.7836342593</v>
      </c>
      <c r="E201" s="89">
        <v>46240</v>
      </c>
      <c r="F201" s="71" t="s">
        <v>970</v>
      </c>
      <c r="G201" s="71">
        <f t="shared" si="6"/>
        <v>8</v>
      </c>
      <c r="H201" s="71">
        <f t="shared" si="7"/>
        <v>34</v>
      </c>
    </row>
    <row r="202" spans="1:8" x14ac:dyDescent="0.2">
      <c r="A202" s="71" t="s">
        <v>249</v>
      </c>
      <c r="B202" s="71" t="s">
        <v>250</v>
      </c>
      <c r="C202" s="71" t="s">
        <v>42</v>
      </c>
      <c r="D202" s="88">
        <v>46241.774675925903</v>
      </c>
      <c r="E202" s="89">
        <v>46241</v>
      </c>
      <c r="F202" s="71" t="s">
        <v>971</v>
      </c>
      <c r="G202" s="71">
        <f t="shared" si="6"/>
        <v>8</v>
      </c>
      <c r="H202" s="71">
        <f t="shared" si="7"/>
        <v>50</v>
      </c>
    </row>
    <row r="203" spans="1:8" x14ac:dyDescent="0.2">
      <c r="A203" s="71" t="s">
        <v>249</v>
      </c>
      <c r="B203" s="71" t="s">
        <v>250</v>
      </c>
      <c r="C203" s="71" t="s">
        <v>42</v>
      </c>
      <c r="D203" s="88">
        <v>46241.775763888902</v>
      </c>
      <c r="E203" s="89">
        <v>46241</v>
      </c>
      <c r="F203" s="71" t="s">
        <v>972</v>
      </c>
      <c r="G203" s="71">
        <f t="shared" si="6"/>
        <v>8</v>
      </c>
      <c r="H203" s="71">
        <f t="shared" si="7"/>
        <v>59</v>
      </c>
    </row>
    <row r="204" spans="1:8" x14ac:dyDescent="0.2">
      <c r="A204" s="71" t="s">
        <v>249</v>
      </c>
      <c r="B204" s="71" t="s">
        <v>250</v>
      </c>
      <c r="C204" s="71" t="s">
        <v>42</v>
      </c>
      <c r="D204" s="88">
        <v>46244.760671296302</v>
      </c>
      <c r="E204" s="89">
        <v>46244</v>
      </c>
      <c r="F204" s="71" t="s">
        <v>973</v>
      </c>
      <c r="G204" s="71">
        <f t="shared" si="6"/>
        <v>8</v>
      </c>
      <c r="H204" s="71">
        <f t="shared" si="7"/>
        <v>51</v>
      </c>
    </row>
    <row r="205" spans="1:8" x14ac:dyDescent="0.2">
      <c r="A205" s="71" t="s">
        <v>249</v>
      </c>
      <c r="B205" s="71" t="s">
        <v>250</v>
      </c>
      <c r="C205" s="71" t="s">
        <v>42</v>
      </c>
      <c r="D205" s="88">
        <v>46244.762824074103</v>
      </c>
      <c r="E205" s="89">
        <v>46244</v>
      </c>
      <c r="F205" s="71" t="s">
        <v>974</v>
      </c>
      <c r="G205" s="71">
        <f t="shared" si="6"/>
        <v>8</v>
      </c>
      <c r="H205" s="71">
        <f t="shared" si="7"/>
        <v>51</v>
      </c>
    </row>
    <row r="206" spans="1:8" x14ac:dyDescent="0.2">
      <c r="A206" s="71" t="s">
        <v>249</v>
      </c>
      <c r="B206" s="71" t="s">
        <v>250</v>
      </c>
      <c r="C206" s="71" t="s">
        <v>42</v>
      </c>
      <c r="D206" s="88">
        <v>46244.764525462997</v>
      </c>
      <c r="E206" s="89">
        <v>46244</v>
      </c>
      <c r="F206" s="71" t="s">
        <v>975</v>
      </c>
      <c r="G206" s="71">
        <f t="shared" si="6"/>
        <v>8</v>
      </c>
      <c r="H206" s="71">
        <f t="shared" si="7"/>
        <v>57</v>
      </c>
    </row>
    <row r="207" spans="1:8" x14ac:dyDescent="0.2">
      <c r="A207" s="71" t="s">
        <v>249</v>
      </c>
      <c r="B207" s="71" t="s">
        <v>250</v>
      </c>
      <c r="C207" s="71" t="s">
        <v>42</v>
      </c>
      <c r="D207" s="88">
        <v>46245.759270833303</v>
      </c>
      <c r="E207" s="89">
        <v>46245</v>
      </c>
      <c r="F207" s="71" t="s">
        <v>976</v>
      </c>
      <c r="G207" s="71">
        <f t="shared" si="6"/>
        <v>8</v>
      </c>
      <c r="H207" s="71">
        <f t="shared" si="7"/>
        <v>27</v>
      </c>
    </row>
    <row r="208" spans="1:8" x14ac:dyDescent="0.2">
      <c r="A208" s="71" t="s">
        <v>249</v>
      </c>
      <c r="B208" s="71" t="s">
        <v>250</v>
      </c>
      <c r="C208" s="71" t="s">
        <v>42</v>
      </c>
      <c r="D208" s="88">
        <v>46245.759629629603</v>
      </c>
      <c r="E208" s="89">
        <v>46245</v>
      </c>
      <c r="F208" s="71" t="s">
        <v>977</v>
      </c>
      <c r="G208" s="71">
        <f t="shared" si="6"/>
        <v>8</v>
      </c>
      <c r="H208" s="71">
        <f t="shared" si="7"/>
        <v>27</v>
      </c>
    </row>
    <row r="209" spans="1:8" x14ac:dyDescent="0.2">
      <c r="A209" s="71" t="s">
        <v>249</v>
      </c>
      <c r="B209" s="71" t="s">
        <v>250</v>
      </c>
      <c r="C209" s="71" t="s">
        <v>42</v>
      </c>
      <c r="D209" s="88">
        <v>46245.760069444397</v>
      </c>
      <c r="E209" s="89">
        <v>46245</v>
      </c>
      <c r="F209" s="71" t="s">
        <v>978</v>
      </c>
      <c r="G209" s="71">
        <f t="shared" si="6"/>
        <v>8</v>
      </c>
      <c r="H209" s="71">
        <f t="shared" si="7"/>
        <v>29</v>
      </c>
    </row>
    <row r="210" spans="1:8" x14ac:dyDescent="0.2">
      <c r="A210" s="71" t="s">
        <v>249</v>
      </c>
      <c r="B210" s="71" t="s">
        <v>250</v>
      </c>
      <c r="C210" s="71" t="s">
        <v>42</v>
      </c>
      <c r="D210" s="88">
        <v>46245.760983796303</v>
      </c>
      <c r="E210" s="89">
        <v>46245</v>
      </c>
      <c r="F210" s="71" t="s">
        <v>877</v>
      </c>
      <c r="G210" s="71">
        <f t="shared" si="6"/>
        <v>8</v>
      </c>
      <c r="H210" s="71">
        <f t="shared" si="7"/>
        <v>59</v>
      </c>
    </row>
    <row r="211" spans="1:8" x14ac:dyDescent="0.2">
      <c r="A211" s="71" t="s">
        <v>249</v>
      </c>
      <c r="B211" s="71" t="s">
        <v>250</v>
      </c>
      <c r="C211" s="71" t="s">
        <v>42</v>
      </c>
      <c r="D211" s="88">
        <v>46245.761898148201</v>
      </c>
      <c r="E211" s="89">
        <v>46245</v>
      </c>
      <c r="F211" s="71" t="s">
        <v>979</v>
      </c>
      <c r="G211" s="71">
        <f t="shared" si="6"/>
        <v>8</v>
      </c>
      <c r="H211" s="71">
        <f t="shared" si="7"/>
        <v>73</v>
      </c>
    </row>
    <row r="212" spans="1:8" x14ac:dyDescent="0.2">
      <c r="A212" s="71" t="s">
        <v>249</v>
      </c>
      <c r="B212" s="71" t="s">
        <v>250</v>
      </c>
      <c r="C212" s="71" t="s">
        <v>42</v>
      </c>
      <c r="D212" s="88">
        <v>46246.792638888903</v>
      </c>
      <c r="E212" s="89">
        <v>46246</v>
      </c>
      <c r="F212" s="71" t="s">
        <v>980</v>
      </c>
      <c r="G212" s="71">
        <f t="shared" si="6"/>
        <v>8</v>
      </c>
      <c r="H212" s="71">
        <f t="shared" si="7"/>
        <v>38</v>
      </c>
    </row>
    <row r="213" spans="1:8" x14ac:dyDescent="0.2">
      <c r="A213" s="71" t="s">
        <v>249</v>
      </c>
      <c r="B213" s="71" t="s">
        <v>250</v>
      </c>
      <c r="C213" s="71" t="s">
        <v>42</v>
      </c>
      <c r="D213" s="88">
        <v>46246.795243055603</v>
      </c>
      <c r="E213" s="89">
        <v>46246</v>
      </c>
      <c r="F213" s="71" t="s">
        <v>981</v>
      </c>
      <c r="G213" s="71">
        <f t="shared" si="6"/>
        <v>8</v>
      </c>
      <c r="H213" s="71">
        <f t="shared" si="7"/>
        <v>64</v>
      </c>
    </row>
    <row r="214" spans="1:8" x14ac:dyDescent="0.2">
      <c r="A214" s="71" t="s">
        <v>249</v>
      </c>
      <c r="B214" s="71" t="s">
        <v>250</v>
      </c>
      <c r="C214" s="71" t="s">
        <v>42</v>
      </c>
      <c r="D214" s="88">
        <v>46247.792997685203</v>
      </c>
      <c r="E214" s="89">
        <v>46247</v>
      </c>
      <c r="F214" s="71" t="s">
        <v>982</v>
      </c>
      <c r="G214" s="71">
        <f t="shared" si="6"/>
        <v>8</v>
      </c>
      <c r="H214" s="71">
        <f t="shared" si="7"/>
        <v>41</v>
      </c>
    </row>
    <row r="215" spans="1:8" x14ac:dyDescent="0.2">
      <c r="A215" s="71" t="s">
        <v>249</v>
      </c>
      <c r="B215" s="71" t="s">
        <v>250</v>
      </c>
      <c r="C215" s="71" t="s">
        <v>42</v>
      </c>
      <c r="D215" s="88">
        <v>46247.7941319444</v>
      </c>
      <c r="E215" s="89">
        <v>46247</v>
      </c>
      <c r="F215" s="71" t="s">
        <v>983</v>
      </c>
      <c r="G215" s="71">
        <f t="shared" si="6"/>
        <v>8</v>
      </c>
      <c r="H215" s="71">
        <f t="shared" si="7"/>
        <v>43</v>
      </c>
    </row>
    <row r="216" spans="1:8" x14ac:dyDescent="0.2">
      <c r="A216" s="71" t="s">
        <v>249</v>
      </c>
      <c r="B216" s="71" t="s">
        <v>250</v>
      </c>
      <c r="C216" s="71" t="s">
        <v>42</v>
      </c>
      <c r="D216" s="88">
        <v>46247.794780092598</v>
      </c>
      <c r="E216" s="89">
        <v>46247</v>
      </c>
      <c r="F216" s="71" t="s">
        <v>984</v>
      </c>
      <c r="G216" s="71">
        <f t="shared" si="6"/>
        <v>8</v>
      </c>
      <c r="H216" s="71">
        <f t="shared" si="7"/>
        <v>33</v>
      </c>
    </row>
    <row r="217" spans="1:8" x14ac:dyDescent="0.2">
      <c r="A217" s="71" t="s">
        <v>249</v>
      </c>
      <c r="B217" s="71" t="s">
        <v>250</v>
      </c>
      <c r="C217" s="71" t="s">
        <v>42</v>
      </c>
      <c r="D217" s="88">
        <v>46248.768738425897</v>
      </c>
      <c r="E217" s="89">
        <v>46248</v>
      </c>
      <c r="F217" s="71" t="s">
        <v>985</v>
      </c>
      <c r="G217" s="71">
        <f t="shared" si="6"/>
        <v>8</v>
      </c>
      <c r="H217" s="71">
        <f t="shared" si="7"/>
        <v>39</v>
      </c>
    </row>
    <row r="218" spans="1:8" x14ac:dyDescent="0.2">
      <c r="A218" s="71" t="s">
        <v>249</v>
      </c>
      <c r="B218" s="71" t="s">
        <v>250</v>
      </c>
      <c r="C218" s="71" t="s">
        <v>42</v>
      </c>
      <c r="D218" s="88">
        <v>46248.770648148202</v>
      </c>
      <c r="E218" s="89">
        <v>46248</v>
      </c>
      <c r="F218" s="71" t="s">
        <v>986</v>
      </c>
      <c r="G218" s="71">
        <f t="shared" si="6"/>
        <v>8</v>
      </c>
      <c r="H218" s="71">
        <f t="shared" si="7"/>
        <v>58</v>
      </c>
    </row>
    <row r="219" spans="1:8" x14ac:dyDescent="0.2">
      <c r="A219" s="71" t="s">
        <v>249</v>
      </c>
      <c r="B219" s="71" t="s">
        <v>250</v>
      </c>
      <c r="C219" s="71" t="s">
        <v>42</v>
      </c>
      <c r="D219" s="88">
        <v>46252.765706018501</v>
      </c>
      <c r="E219" s="89">
        <v>46252</v>
      </c>
      <c r="F219" s="71" t="s">
        <v>987</v>
      </c>
      <c r="G219" s="71">
        <f t="shared" si="6"/>
        <v>8</v>
      </c>
      <c r="H219" s="71">
        <f t="shared" si="7"/>
        <v>50</v>
      </c>
    </row>
    <row r="220" spans="1:8" x14ac:dyDescent="0.2">
      <c r="A220" s="71" t="s">
        <v>249</v>
      </c>
      <c r="B220" s="71" t="s">
        <v>250</v>
      </c>
      <c r="C220" s="71" t="s">
        <v>42</v>
      </c>
      <c r="D220" s="88">
        <v>46252.766261574099</v>
      </c>
      <c r="E220" s="89">
        <v>46252</v>
      </c>
      <c r="F220" s="71" t="s">
        <v>988</v>
      </c>
      <c r="G220" s="71">
        <f t="shared" si="6"/>
        <v>8</v>
      </c>
      <c r="H220" s="71">
        <f t="shared" si="7"/>
        <v>37</v>
      </c>
    </row>
    <row r="221" spans="1:8" x14ac:dyDescent="0.2">
      <c r="A221" s="71" t="s">
        <v>249</v>
      </c>
      <c r="B221" s="71" t="s">
        <v>250</v>
      </c>
      <c r="C221" s="71" t="s">
        <v>42</v>
      </c>
      <c r="D221" s="88">
        <v>46252.766782407401</v>
      </c>
      <c r="E221" s="89">
        <v>46252</v>
      </c>
      <c r="F221" s="71" t="s">
        <v>989</v>
      </c>
      <c r="G221" s="71">
        <f t="shared" si="6"/>
        <v>8</v>
      </c>
      <c r="H221" s="71">
        <f t="shared" si="7"/>
        <v>39</v>
      </c>
    </row>
    <row r="222" spans="1:8" x14ac:dyDescent="0.2">
      <c r="A222" s="71" t="s">
        <v>249</v>
      </c>
      <c r="B222" s="71" t="s">
        <v>250</v>
      </c>
      <c r="C222" s="71" t="s">
        <v>42</v>
      </c>
      <c r="D222" s="88">
        <v>46253.779293981497</v>
      </c>
      <c r="E222" s="89">
        <v>46253</v>
      </c>
      <c r="F222" s="71" t="s">
        <v>990</v>
      </c>
      <c r="G222" s="71">
        <f t="shared" si="6"/>
        <v>8</v>
      </c>
      <c r="H222" s="71">
        <f t="shared" si="7"/>
        <v>32</v>
      </c>
    </row>
    <row r="223" spans="1:8" x14ac:dyDescent="0.2">
      <c r="A223" s="71" t="s">
        <v>249</v>
      </c>
      <c r="B223" s="71" t="s">
        <v>250</v>
      </c>
      <c r="C223" s="71" t="s">
        <v>42</v>
      </c>
      <c r="D223" s="88">
        <v>46253.779710648101</v>
      </c>
      <c r="E223" s="89">
        <v>46253</v>
      </c>
      <c r="F223" s="71" t="s">
        <v>991</v>
      </c>
      <c r="G223" s="71">
        <f t="shared" si="6"/>
        <v>8</v>
      </c>
      <c r="H223" s="71">
        <f t="shared" si="7"/>
        <v>38</v>
      </c>
    </row>
    <row r="224" spans="1:8" x14ac:dyDescent="0.2">
      <c r="A224" s="71" t="s">
        <v>249</v>
      </c>
      <c r="B224" s="71" t="s">
        <v>250</v>
      </c>
      <c r="C224" s="71" t="s">
        <v>42</v>
      </c>
      <c r="D224" s="88">
        <v>46253.780543981498</v>
      </c>
      <c r="E224" s="89">
        <v>46253</v>
      </c>
      <c r="F224" s="71" t="s">
        <v>992</v>
      </c>
      <c r="G224" s="71">
        <f t="shared" si="6"/>
        <v>8</v>
      </c>
      <c r="H224" s="71">
        <f t="shared" si="7"/>
        <v>57</v>
      </c>
    </row>
    <row r="225" spans="1:8" x14ac:dyDescent="0.2">
      <c r="A225" s="71" t="s">
        <v>249</v>
      </c>
      <c r="B225" s="71" t="s">
        <v>250</v>
      </c>
      <c r="C225" s="71" t="s">
        <v>42</v>
      </c>
      <c r="D225" s="88">
        <v>46253.7815162037</v>
      </c>
      <c r="E225" s="89">
        <v>46253</v>
      </c>
      <c r="F225" s="71" t="s">
        <v>993</v>
      </c>
      <c r="G225" s="71">
        <f t="shared" si="6"/>
        <v>8</v>
      </c>
      <c r="H225" s="71">
        <f t="shared" si="7"/>
        <v>33</v>
      </c>
    </row>
    <row r="226" spans="1:8" x14ac:dyDescent="0.2">
      <c r="A226" s="71" t="s">
        <v>249</v>
      </c>
      <c r="B226" s="71" t="s">
        <v>250</v>
      </c>
      <c r="C226" s="71" t="s">
        <v>42</v>
      </c>
      <c r="D226" s="88">
        <v>46254.788217592599</v>
      </c>
      <c r="E226" s="89">
        <v>46254</v>
      </c>
      <c r="F226" s="71" t="s">
        <v>994</v>
      </c>
      <c r="G226" s="71">
        <f t="shared" si="6"/>
        <v>8</v>
      </c>
      <c r="H226" s="71">
        <f t="shared" si="7"/>
        <v>59</v>
      </c>
    </row>
    <row r="227" spans="1:8" x14ac:dyDescent="0.2">
      <c r="A227" s="71" t="s">
        <v>249</v>
      </c>
      <c r="B227" s="71" t="s">
        <v>250</v>
      </c>
      <c r="C227" s="71" t="s">
        <v>42</v>
      </c>
      <c r="D227" s="88">
        <v>46254.788530092599</v>
      </c>
      <c r="E227" s="89">
        <v>46254</v>
      </c>
      <c r="F227" s="71" t="s">
        <v>995</v>
      </c>
      <c r="G227" s="71">
        <f t="shared" si="6"/>
        <v>8</v>
      </c>
      <c r="H227" s="71">
        <f t="shared" si="7"/>
        <v>36</v>
      </c>
    </row>
    <row r="228" spans="1:8" x14ac:dyDescent="0.2">
      <c r="A228" s="71" t="s">
        <v>249</v>
      </c>
      <c r="B228" s="71" t="s">
        <v>250</v>
      </c>
      <c r="C228" s="71" t="s">
        <v>42</v>
      </c>
      <c r="D228" s="88">
        <v>46254.789699074099</v>
      </c>
      <c r="E228" s="89">
        <v>46254</v>
      </c>
      <c r="F228" s="71" t="s">
        <v>996</v>
      </c>
      <c r="G228" s="71">
        <f t="shared" si="6"/>
        <v>8</v>
      </c>
      <c r="H228" s="71">
        <f t="shared" si="7"/>
        <v>35</v>
      </c>
    </row>
    <row r="229" spans="1:8" x14ac:dyDescent="0.2">
      <c r="A229" s="71" t="s">
        <v>249</v>
      </c>
      <c r="B229" s="71" t="s">
        <v>250</v>
      </c>
      <c r="C229" s="71" t="s">
        <v>42</v>
      </c>
      <c r="D229" s="88">
        <v>46255.782835648199</v>
      </c>
      <c r="E229" s="89">
        <v>46255</v>
      </c>
      <c r="F229" s="71" t="s">
        <v>996</v>
      </c>
      <c r="G229" s="71">
        <f t="shared" si="6"/>
        <v>8</v>
      </c>
      <c r="H229" s="71">
        <f t="shared" si="7"/>
        <v>35</v>
      </c>
    </row>
    <row r="230" spans="1:8" x14ac:dyDescent="0.2">
      <c r="A230" s="71" t="s">
        <v>249</v>
      </c>
      <c r="B230" s="71" t="s">
        <v>250</v>
      </c>
      <c r="C230" s="71" t="s">
        <v>42</v>
      </c>
      <c r="D230" s="88">
        <v>46255.783530092602</v>
      </c>
      <c r="E230" s="89">
        <v>46255</v>
      </c>
      <c r="F230" s="71" t="s">
        <v>997</v>
      </c>
      <c r="G230" s="71">
        <f t="shared" si="6"/>
        <v>8</v>
      </c>
      <c r="H230" s="71">
        <f t="shared" si="7"/>
        <v>29</v>
      </c>
    </row>
    <row r="231" spans="1:8" x14ac:dyDescent="0.2">
      <c r="A231" s="71" t="s">
        <v>249</v>
      </c>
      <c r="B231" s="71" t="s">
        <v>250</v>
      </c>
      <c r="C231" s="71" t="s">
        <v>42</v>
      </c>
      <c r="D231" s="88">
        <v>46255.789085648197</v>
      </c>
      <c r="E231" s="89">
        <v>46255</v>
      </c>
      <c r="F231" s="71" t="s">
        <v>998</v>
      </c>
      <c r="G231" s="71">
        <f t="shared" si="6"/>
        <v>8</v>
      </c>
      <c r="H231" s="71">
        <f t="shared" si="7"/>
        <v>35</v>
      </c>
    </row>
    <row r="232" spans="1:8" x14ac:dyDescent="0.2">
      <c r="A232" s="71" t="s">
        <v>249</v>
      </c>
      <c r="B232" s="71" t="s">
        <v>250</v>
      </c>
      <c r="C232" s="71" t="s">
        <v>42</v>
      </c>
      <c r="D232" s="88">
        <v>46255.789942129602</v>
      </c>
      <c r="E232" s="89">
        <v>46255</v>
      </c>
      <c r="F232" s="71" t="s">
        <v>999</v>
      </c>
      <c r="G232" s="71">
        <f t="shared" si="6"/>
        <v>8</v>
      </c>
      <c r="H232" s="71">
        <f t="shared" si="7"/>
        <v>42</v>
      </c>
    </row>
    <row r="233" spans="1:8" x14ac:dyDescent="0.2">
      <c r="A233" s="71" t="s">
        <v>249</v>
      </c>
      <c r="B233" s="71" t="s">
        <v>250</v>
      </c>
      <c r="C233" s="71" t="s">
        <v>42</v>
      </c>
      <c r="D233" s="88">
        <v>46258.776631944398</v>
      </c>
      <c r="E233" s="89">
        <v>46258</v>
      </c>
      <c r="F233" s="71" t="s">
        <v>1000</v>
      </c>
      <c r="G233" s="71">
        <f t="shared" si="6"/>
        <v>8</v>
      </c>
      <c r="H233" s="71">
        <f t="shared" si="7"/>
        <v>65</v>
      </c>
    </row>
    <row r="234" spans="1:8" x14ac:dyDescent="0.2">
      <c r="A234" s="71" t="s">
        <v>249</v>
      </c>
      <c r="B234" s="71" t="s">
        <v>250</v>
      </c>
      <c r="C234" s="71" t="s">
        <v>42</v>
      </c>
      <c r="D234" s="88">
        <v>46258.777256944399</v>
      </c>
      <c r="E234" s="89">
        <v>46258</v>
      </c>
      <c r="F234" s="71" t="s">
        <v>1001</v>
      </c>
      <c r="G234" s="71">
        <f t="shared" si="6"/>
        <v>8</v>
      </c>
      <c r="H234" s="71">
        <f t="shared" si="7"/>
        <v>44</v>
      </c>
    </row>
    <row r="235" spans="1:8" x14ac:dyDescent="0.2">
      <c r="A235" s="71" t="s">
        <v>249</v>
      </c>
      <c r="B235" s="71" t="s">
        <v>250</v>
      </c>
      <c r="C235" s="71" t="s">
        <v>42</v>
      </c>
      <c r="D235" s="88">
        <v>46258.777754629598</v>
      </c>
      <c r="E235" s="89">
        <v>46258</v>
      </c>
      <c r="F235" s="71" t="s">
        <v>1002</v>
      </c>
      <c r="G235" s="71">
        <f t="shared" si="6"/>
        <v>8</v>
      </c>
      <c r="H235" s="71">
        <f t="shared" si="7"/>
        <v>29</v>
      </c>
    </row>
    <row r="236" spans="1:8" x14ac:dyDescent="0.2">
      <c r="A236" s="71" t="s">
        <v>249</v>
      </c>
      <c r="B236" s="71" t="s">
        <v>250</v>
      </c>
      <c r="C236" s="71" t="s">
        <v>42</v>
      </c>
      <c r="D236" s="88">
        <v>46260.766898148198</v>
      </c>
      <c r="E236" s="89">
        <v>46260</v>
      </c>
      <c r="F236" s="71" t="s">
        <v>1003</v>
      </c>
      <c r="G236" s="71">
        <f t="shared" si="6"/>
        <v>8</v>
      </c>
      <c r="H236" s="71">
        <f t="shared" si="7"/>
        <v>49</v>
      </c>
    </row>
    <row r="237" spans="1:8" x14ac:dyDescent="0.2">
      <c r="A237" s="71" t="s">
        <v>249</v>
      </c>
      <c r="B237" s="71" t="s">
        <v>250</v>
      </c>
      <c r="C237" s="71" t="s">
        <v>42</v>
      </c>
      <c r="D237" s="88">
        <v>46260.767986111103</v>
      </c>
      <c r="E237" s="89">
        <v>46260</v>
      </c>
      <c r="F237" s="71" t="s">
        <v>1004</v>
      </c>
      <c r="G237" s="71">
        <f t="shared" si="6"/>
        <v>8</v>
      </c>
      <c r="H237" s="71">
        <f t="shared" si="7"/>
        <v>65</v>
      </c>
    </row>
    <row r="238" spans="1:8" x14ac:dyDescent="0.2">
      <c r="A238" s="71" t="s">
        <v>249</v>
      </c>
      <c r="B238" s="71" t="s">
        <v>250</v>
      </c>
      <c r="C238" s="71" t="s">
        <v>42</v>
      </c>
      <c r="D238" s="88">
        <v>46260.768541666701</v>
      </c>
      <c r="E238" s="89">
        <v>46260</v>
      </c>
      <c r="F238" s="71" t="s">
        <v>1005</v>
      </c>
      <c r="G238" s="71">
        <f t="shared" si="6"/>
        <v>8</v>
      </c>
      <c r="H238" s="71">
        <f t="shared" si="7"/>
        <v>33</v>
      </c>
    </row>
    <row r="239" spans="1:8" x14ac:dyDescent="0.2">
      <c r="A239" s="71" t="s">
        <v>249</v>
      </c>
      <c r="B239" s="71" t="s">
        <v>250</v>
      </c>
      <c r="C239" s="71" t="s">
        <v>42</v>
      </c>
      <c r="D239" s="88">
        <v>46260.769861111097</v>
      </c>
      <c r="E239" s="89">
        <v>46260</v>
      </c>
      <c r="F239" s="71" t="s">
        <v>1006</v>
      </c>
      <c r="G239" s="71">
        <f t="shared" si="6"/>
        <v>8</v>
      </c>
      <c r="H239" s="71">
        <f t="shared" si="7"/>
        <v>49</v>
      </c>
    </row>
    <row r="240" spans="1:8" x14ac:dyDescent="0.2">
      <c r="A240" s="71" t="s">
        <v>249</v>
      </c>
      <c r="B240" s="71" t="s">
        <v>250</v>
      </c>
      <c r="C240" s="71" t="s">
        <v>42</v>
      </c>
      <c r="D240" s="88">
        <v>46261.709398148101</v>
      </c>
      <c r="E240" s="89">
        <v>46261</v>
      </c>
      <c r="F240" s="71" t="s">
        <v>1007</v>
      </c>
      <c r="G240" s="71">
        <f t="shared" si="6"/>
        <v>8</v>
      </c>
      <c r="H240" s="71">
        <f t="shared" si="7"/>
        <v>42</v>
      </c>
    </row>
    <row r="241" spans="1:8" x14ac:dyDescent="0.2">
      <c r="A241" s="71" t="s">
        <v>249</v>
      </c>
      <c r="B241" s="71" t="s">
        <v>250</v>
      </c>
      <c r="C241" s="71" t="s">
        <v>42</v>
      </c>
      <c r="D241" s="88">
        <v>46261.710092592599</v>
      </c>
      <c r="E241" s="89">
        <v>46261</v>
      </c>
      <c r="F241" s="71" t="s">
        <v>1008</v>
      </c>
      <c r="G241" s="71">
        <f t="shared" si="6"/>
        <v>8</v>
      </c>
      <c r="H241" s="71">
        <f t="shared" si="7"/>
        <v>49</v>
      </c>
    </row>
    <row r="242" spans="1:8" x14ac:dyDescent="0.2">
      <c r="A242" s="71" t="s">
        <v>249</v>
      </c>
      <c r="B242" s="71" t="s">
        <v>250</v>
      </c>
      <c r="C242" s="71" t="s">
        <v>42</v>
      </c>
      <c r="D242" s="88">
        <v>46261.710659722201</v>
      </c>
      <c r="E242" s="89">
        <v>46261</v>
      </c>
      <c r="F242" s="71" t="s">
        <v>1009</v>
      </c>
      <c r="G242" s="71">
        <f t="shared" si="6"/>
        <v>8</v>
      </c>
      <c r="H242" s="71">
        <f t="shared" si="7"/>
        <v>41</v>
      </c>
    </row>
    <row r="243" spans="1:8" x14ac:dyDescent="0.2">
      <c r="A243" s="71" t="s">
        <v>249</v>
      </c>
      <c r="B243" s="71" t="s">
        <v>250</v>
      </c>
      <c r="C243" s="71" t="s">
        <v>42</v>
      </c>
      <c r="D243" s="88">
        <v>46262.793865740699</v>
      </c>
      <c r="E243" s="89">
        <v>46262</v>
      </c>
      <c r="F243" s="71" t="s">
        <v>1010</v>
      </c>
      <c r="G243" s="71">
        <f t="shared" si="6"/>
        <v>8</v>
      </c>
      <c r="H243" s="71">
        <f t="shared" si="7"/>
        <v>68</v>
      </c>
    </row>
    <row r="244" spans="1:8" x14ac:dyDescent="0.2">
      <c r="A244" s="71" t="s">
        <v>249</v>
      </c>
      <c r="B244" s="71" t="s">
        <v>250</v>
      </c>
      <c r="C244" s="71" t="s">
        <v>42</v>
      </c>
      <c r="D244" s="88">
        <v>46262.796261574098</v>
      </c>
      <c r="E244" s="89">
        <v>46262</v>
      </c>
      <c r="F244" s="71" t="s">
        <v>1011</v>
      </c>
      <c r="G244" s="71">
        <f t="shared" si="6"/>
        <v>8</v>
      </c>
      <c r="H244" s="71">
        <f t="shared" si="7"/>
        <v>44</v>
      </c>
    </row>
    <row r="245" spans="1:8" x14ac:dyDescent="0.2">
      <c r="A245" s="71" t="s">
        <v>249</v>
      </c>
      <c r="B245" s="71" t="s">
        <v>250</v>
      </c>
      <c r="C245" s="71" t="s">
        <v>42</v>
      </c>
      <c r="D245" s="88">
        <v>46265.698217592602</v>
      </c>
      <c r="E245" s="89">
        <v>46265</v>
      </c>
      <c r="F245" s="71" t="s">
        <v>970</v>
      </c>
      <c r="G245" s="71">
        <f t="shared" si="6"/>
        <v>8</v>
      </c>
      <c r="H245" s="71">
        <f t="shared" si="7"/>
        <v>34</v>
      </c>
    </row>
    <row r="246" spans="1:8" x14ac:dyDescent="0.2">
      <c r="A246" s="71" t="s">
        <v>249</v>
      </c>
      <c r="B246" s="71" t="s">
        <v>250</v>
      </c>
      <c r="C246" s="71" t="s">
        <v>42</v>
      </c>
      <c r="D246" s="88">
        <v>46266.770092592596</v>
      </c>
      <c r="E246" s="89">
        <v>46266</v>
      </c>
      <c r="F246" s="71" t="s">
        <v>1012</v>
      </c>
      <c r="G246" s="71">
        <f t="shared" si="6"/>
        <v>9</v>
      </c>
      <c r="H246" s="71">
        <f t="shared" si="7"/>
        <v>34</v>
      </c>
    </row>
    <row r="247" spans="1:8" x14ac:dyDescent="0.2">
      <c r="A247" s="71" t="s">
        <v>249</v>
      </c>
      <c r="B247" s="71" t="s">
        <v>250</v>
      </c>
      <c r="C247" s="71" t="s">
        <v>42</v>
      </c>
      <c r="D247" s="88">
        <v>46266.771979166697</v>
      </c>
      <c r="E247" s="89">
        <v>46266</v>
      </c>
      <c r="F247" s="71" t="s">
        <v>1013</v>
      </c>
      <c r="G247" s="71">
        <f t="shared" si="6"/>
        <v>9</v>
      </c>
      <c r="H247" s="71">
        <f t="shared" si="7"/>
        <v>40</v>
      </c>
    </row>
    <row r="248" spans="1:8" x14ac:dyDescent="0.2">
      <c r="A248" s="71" t="s">
        <v>249</v>
      </c>
      <c r="B248" s="71" t="s">
        <v>250</v>
      </c>
      <c r="C248" s="71" t="s">
        <v>42</v>
      </c>
      <c r="D248" s="88">
        <v>46266.773946759298</v>
      </c>
      <c r="E248" s="89">
        <v>46266</v>
      </c>
      <c r="F248" s="71" t="s">
        <v>1014</v>
      </c>
      <c r="G248" s="71">
        <f t="shared" si="6"/>
        <v>9</v>
      </c>
      <c r="H248" s="71">
        <f t="shared" si="7"/>
        <v>61</v>
      </c>
    </row>
    <row r="249" spans="1:8" x14ac:dyDescent="0.2">
      <c r="A249" s="71" t="s">
        <v>249</v>
      </c>
      <c r="B249" s="71" t="s">
        <v>250</v>
      </c>
      <c r="C249" s="71" t="s">
        <v>42</v>
      </c>
      <c r="D249" s="88">
        <v>46266.774456018502</v>
      </c>
      <c r="E249" s="89">
        <v>46266</v>
      </c>
      <c r="F249" s="71" t="s">
        <v>1015</v>
      </c>
      <c r="G249" s="71">
        <f t="shared" si="6"/>
        <v>9</v>
      </c>
      <c r="H249" s="71">
        <f t="shared" si="7"/>
        <v>33</v>
      </c>
    </row>
    <row r="250" spans="1:8" x14ac:dyDescent="0.2">
      <c r="A250" s="71" t="s">
        <v>249</v>
      </c>
      <c r="B250" s="71" t="s">
        <v>250</v>
      </c>
      <c r="C250" s="71" t="s">
        <v>42</v>
      </c>
      <c r="D250" s="88">
        <v>46267.767777777801</v>
      </c>
      <c r="E250" s="89">
        <v>46267</v>
      </c>
      <c r="F250" s="71" t="s">
        <v>1016</v>
      </c>
      <c r="G250" s="71">
        <f t="shared" si="6"/>
        <v>9</v>
      </c>
      <c r="H250" s="71">
        <f t="shared" si="7"/>
        <v>38</v>
      </c>
    </row>
    <row r="251" spans="1:8" x14ac:dyDescent="0.2">
      <c r="A251" s="71" t="s">
        <v>249</v>
      </c>
      <c r="B251" s="71" t="s">
        <v>250</v>
      </c>
      <c r="C251" s="71" t="s">
        <v>42</v>
      </c>
      <c r="D251" s="88">
        <v>46267.768275463</v>
      </c>
      <c r="E251" s="89">
        <v>46267</v>
      </c>
      <c r="F251" s="71" t="s">
        <v>1017</v>
      </c>
      <c r="G251" s="71">
        <f t="shared" si="6"/>
        <v>9</v>
      </c>
      <c r="H251" s="71">
        <f t="shared" si="7"/>
        <v>52</v>
      </c>
    </row>
    <row r="252" spans="1:8" x14ac:dyDescent="0.2">
      <c r="A252" s="71" t="s">
        <v>249</v>
      </c>
      <c r="B252" s="71" t="s">
        <v>250</v>
      </c>
      <c r="C252" s="71" t="s">
        <v>42</v>
      </c>
      <c r="D252" s="88">
        <v>46268.768541666701</v>
      </c>
      <c r="E252" s="89">
        <v>46268</v>
      </c>
      <c r="F252" s="71" t="s">
        <v>1018</v>
      </c>
      <c r="G252" s="71">
        <f t="shared" si="6"/>
        <v>9</v>
      </c>
      <c r="H252" s="71">
        <f t="shared" si="7"/>
        <v>31</v>
      </c>
    </row>
    <row r="253" spans="1:8" x14ac:dyDescent="0.2">
      <c r="A253" s="71" t="s">
        <v>249</v>
      </c>
      <c r="B253" s="71" t="s">
        <v>250</v>
      </c>
      <c r="C253" s="71" t="s">
        <v>42</v>
      </c>
      <c r="D253" s="88">
        <v>46268.771111111098</v>
      </c>
      <c r="E253" s="89">
        <v>46268</v>
      </c>
      <c r="F253" s="71" t="s">
        <v>1019</v>
      </c>
      <c r="G253" s="71">
        <f t="shared" si="6"/>
        <v>9</v>
      </c>
      <c r="H253" s="71">
        <f t="shared" si="7"/>
        <v>41</v>
      </c>
    </row>
    <row r="254" spans="1:8" x14ac:dyDescent="0.2">
      <c r="A254" s="71" t="s">
        <v>249</v>
      </c>
      <c r="B254" s="71" t="s">
        <v>250</v>
      </c>
      <c r="C254" s="71" t="s">
        <v>42</v>
      </c>
      <c r="D254" s="88">
        <v>46269.770925925899</v>
      </c>
      <c r="E254" s="89">
        <v>46269</v>
      </c>
      <c r="F254" s="71" t="s">
        <v>1020</v>
      </c>
      <c r="G254" s="71">
        <f t="shared" si="6"/>
        <v>9</v>
      </c>
      <c r="H254" s="71">
        <f t="shared" si="7"/>
        <v>38</v>
      </c>
    </row>
    <row r="255" spans="1:8" x14ac:dyDescent="0.2">
      <c r="A255" s="71" t="s">
        <v>249</v>
      </c>
      <c r="B255" s="71" t="s">
        <v>250</v>
      </c>
      <c r="C255" s="71" t="s">
        <v>42</v>
      </c>
      <c r="D255" s="88">
        <v>46269.771712962996</v>
      </c>
      <c r="E255" s="89">
        <v>46269</v>
      </c>
      <c r="F255" s="71" t="s">
        <v>1021</v>
      </c>
      <c r="G255" s="71">
        <f t="shared" si="6"/>
        <v>9</v>
      </c>
      <c r="H255" s="71">
        <f t="shared" si="7"/>
        <v>27</v>
      </c>
    </row>
    <row r="256" spans="1:8" x14ac:dyDescent="0.2">
      <c r="A256" s="71" t="s">
        <v>249</v>
      </c>
      <c r="B256" s="71" t="s">
        <v>250</v>
      </c>
      <c r="C256" s="71" t="s">
        <v>42</v>
      </c>
      <c r="D256" s="88">
        <v>46269.772569444503</v>
      </c>
      <c r="E256" s="89">
        <v>46269</v>
      </c>
      <c r="F256" s="71" t="s">
        <v>1022</v>
      </c>
      <c r="G256" s="71">
        <f t="shared" si="6"/>
        <v>9</v>
      </c>
      <c r="H256" s="71">
        <f t="shared" si="7"/>
        <v>37</v>
      </c>
    </row>
    <row r="257" spans="1:8" x14ac:dyDescent="0.2">
      <c r="A257" s="71" t="s">
        <v>249</v>
      </c>
      <c r="B257" s="71" t="s">
        <v>250</v>
      </c>
      <c r="C257" s="71" t="s">
        <v>42</v>
      </c>
      <c r="D257" s="88">
        <v>46272.796631944497</v>
      </c>
      <c r="E257" s="89">
        <v>46272</v>
      </c>
      <c r="F257" s="71" t="s">
        <v>1023</v>
      </c>
      <c r="G257" s="71">
        <f t="shared" si="6"/>
        <v>9</v>
      </c>
      <c r="H257" s="71">
        <f t="shared" si="7"/>
        <v>53</v>
      </c>
    </row>
    <row r="258" spans="1:8" x14ac:dyDescent="0.2">
      <c r="A258" s="71" t="s">
        <v>249</v>
      </c>
      <c r="B258" s="71" t="s">
        <v>250</v>
      </c>
      <c r="C258" s="71" t="s">
        <v>42</v>
      </c>
      <c r="D258" s="88">
        <v>46272.797430555598</v>
      </c>
      <c r="E258" s="89">
        <v>46272</v>
      </c>
      <c r="F258" s="71" t="s">
        <v>1024</v>
      </c>
      <c r="G258" s="71">
        <f t="shared" ref="G258:G321" si="8">MONTH(E258)</f>
        <v>9</v>
      </c>
      <c r="H258" s="71">
        <f t="shared" ref="H258:H321" si="9">LEN(F258)</f>
        <v>27</v>
      </c>
    </row>
    <row r="259" spans="1:8" x14ac:dyDescent="0.2">
      <c r="A259" s="71" t="s">
        <v>249</v>
      </c>
      <c r="B259" s="71" t="s">
        <v>250</v>
      </c>
      <c r="C259" s="71" t="s">
        <v>42</v>
      </c>
      <c r="D259" s="88">
        <v>46272.797824074099</v>
      </c>
      <c r="E259" s="89">
        <v>46272</v>
      </c>
      <c r="F259" s="71" t="s">
        <v>1025</v>
      </c>
      <c r="G259" s="71">
        <f t="shared" si="8"/>
        <v>9</v>
      </c>
      <c r="H259" s="71">
        <f t="shared" si="9"/>
        <v>33</v>
      </c>
    </row>
    <row r="260" spans="1:8" x14ac:dyDescent="0.2">
      <c r="A260" s="71" t="s">
        <v>249</v>
      </c>
      <c r="B260" s="71" t="s">
        <v>250</v>
      </c>
      <c r="C260" s="71" t="s">
        <v>42</v>
      </c>
      <c r="D260" s="88">
        <v>46273.779652777797</v>
      </c>
      <c r="E260" s="89">
        <v>46273</v>
      </c>
      <c r="F260" s="71" t="s">
        <v>1026</v>
      </c>
      <c r="G260" s="71">
        <f t="shared" si="8"/>
        <v>9</v>
      </c>
      <c r="H260" s="71">
        <f t="shared" si="9"/>
        <v>29</v>
      </c>
    </row>
    <row r="261" spans="1:8" x14ac:dyDescent="0.2">
      <c r="A261" s="71" t="s">
        <v>249</v>
      </c>
      <c r="B261" s="71" t="s">
        <v>250</v>
      </c>
      <c r="C261" s="71" t="s">
        <v>42</v>
      </c>
      <c r="D261" s="88">
        <v>46273.779965277798</v>
      </c>
      <c r="E261" s="89">
        <v>46273</v>
      </c>
      <c r="F261" s="71" t="s">
        <v>1027</v>
      </c>
      <c r="G261" s="71">
        <f t="shared" si="8"/>
        <v>9</v>
      </c>
      <c r="H261" s="71">
        <f t="shared" si="9"/>
        <v>37</v>
      </c>
    </row>
    <row r="262" spans="1:8" x14ac:dyDescent="0.2">
      <c r="A262" s="71" t="s">
        <v>249</v>
      </c>
      <c r="B262" s="71" t="s">
        <v>250</v>
      </c>
      <c r="C262" s="71" t="s">
        <v>42</v>
      </c>
      <c r="D262" s="88">
        <v>46273.780520833301</v>
      </c>
      <c r="E262" s="89">
        <v>46273</v>
      </c>
      <c r="F262" s="71" t="s">
        <v>1028</v>
      </c>
      <c r="G262" s="71">
        <f t="shared" si="8"/>
        <v>9</v>
      </c>
      <c r="H262" s="71">
        <f t="shared" si="9"/>
        <v>61</v>
      </c>
    </row>
    <row r="263" spans="1:8" x14ac:dyDescent="0.2">
      <c r="A263" s="71" t="s">
        <v>249</v>
      </c>
      <c r="B263" s="71" t="s">
        <v>250</v>
      </c>
      <c r="C263" s="71" t="s">
        <v>42</v>
      </c>
      <c r="D263" s="88">
        <v>46273.780949074098</v>
      </c>
      <c r="E263" s="89">
        <v>46273</v>
      </c>
      <c r="F263" s="71" t="s">
        <v>1029</v>
      </c>
      <c r="G263" s="71">
        <f t="shared" si="8"/>
        <v>9</v>
      </c>
      <c r="H263" s="71">
        <f t="shared" si="9"/>
        <v>35</v>
      </c>
    </row>
    <row r="264" spans="1:8" x14ac:dyDescent="0.2">
      <c r="A264" s="71" t="s">
        <v>249</v>
      </c>
      <c r="B264" s="71" t="s">
        <v>250</v>
      </c>
      <c r="C264" s="71" t="s">
        <v>42</v>
      </c>
      <c r="D264" s="88">
        <v>46274.786145833299</v>
      </c>
      <c r="E264" s="89">
        <v>46274</v>
      </c>
      <c r="F264" s="71" t="s">
        <v>1030</v>
      </c>
      <c r="G264" s="71">
        <f t="shared" si="8"/>
        <v>9</v>
      </c>
      <c r="H264" s="71">
        <f t="shared" si="9"/>
        <v>29</v>
      </c>
    </row>
    <row r="265" spans="1:8" x14ac:dyDescent="0.2">
      <c r="A265" s="71" t="s">
        <v>249</v>
      </c>
      <c r="B265" s="71" t="s">
        <v>250</v>
      </c>
      <c r="C265" s="71" t="s">
        <v>42</v>
      </c>
      <c r="D265" s="88">
        <v>46274.792175925897</v>
      </c>
      <c r="E265" s="89">
        <v>46274</v>
      </c>
      <c r="F265" s="71" t="s">
        <v>1031</v>
      </c>
      <c r="G265" s="71">
        <f t="shared" si="8"/>
        <v>9</v>
      </c>
      <c r="H265" s="71">
        <f t="shared" si="9"/>
        <v>35</v>
      </c>
    </row>
    <row r="266" spans="1:8" x14ac:dyDescent="0.2">
      <c r="A266" s="71" t="s">
        <v>249</v>
      </c>
      <c r="B266" s="71" t="s">
        <v>250</v>
      </c>
      <c r="C266" s="71" t="s">
        <v>42</v>
      </c>
      <c r="D266" s="88">
        <v>46274.792928240699</v>
      </c>
      <c r="E266" s="89">
        <v>46274</v>
      </c>
      <c r="F266" s="71" t="s">
        <v>1032</v>
      </c>
      <c r="G266" s="71">
        <f t="shared" si="8"/>
        <v>9</v>
      </c>
      <c r="H266" s="71">
        <f t="shared" si="9"/>
        <v>33</v>
      </c>
    </row>
    <row r="267" spans="1:8" x14ac:dyDescent="0.2">
      <c r="A267" s="71" t="s">
        <v>249</v>
      </c>
      <c r="B267" s="71" t="s">
        <v>250</v>
      </c>
      <c r="C267" s="71" t="s">
        <v>42</v>
      </c>
      <c r="D267" s="88">
        <v>46275.7871759259</v>
      </c>
      <c r="E267" s="89">
        <v>46275</v>
      </c>
      <c r="F267" s="71" t="s">
        <v>1033</v>
      </c>
      <c r="G267" s="71">
        <f t="shared" si="8"/>
        <v>9</v>
      </c>
      <c r="H267" s="71">
        <f t="shared" si="9"/>
        <v>40</v>
      </c>
    </row>
    <row r="268" spans="1:8" x14ac:dyDescent="0.2">
      <c r="A268" s="71" t="s">
        <v>249</v>
      </c>
      <c r="B268" s="71" t="s">
        <v>250</v>
      </c>
      <c r="C268" s="71" t="s">
        <v>42</v>
      </c>
      <c r="D268" s="88">
        <v>46275.788587962998</v>
      </c>
      <c r="E268" s="89">
        <v>46275</v>
      </c>
      <c r="F268" s="71" t="s">
        <v>1034</v>
      </c>
      <c r="G268" s="71">
        <f t="shared" si="8"/>
        <v>9</v>
      </c>
      <c r="H268" s="71">
        <f t="shared" si="9"/>
        <v>36</v>
      </c>
    </row>
    <row r="269" spans="1:8" x14ac:dyDescent="0.2">
      <c r="A269" s="71" t="s">
        <v>249</v>
      </c>
      <c r="B269" s="71" t="s">
        <v>250</v>
      </c>
      <c r="C269" s="71" t="s">
        <v>42</v>
      </c>
      <c r="D269" s="88">
        <v>46276.780624999999</v>
      </c>
      <c r="E269" s="89">
        <v>46276</v>
      </c>
      <c r="F269" s="71" t="s">
        <v>1035</v>
      </c>
      <c r="G269" s="71">
        <f t="shared" si="8"/>
        <v>9</v>
      </c>
      <c r="H269" s="71">
        <f t="shared" si="9"/>
        <v>62</v>
      </c>
    </row>
    <row r="270" spans="1:8" x14ac:dyDescent="0.2">
      <c r="A270" s="71" t="s">
        <v>249</v>
      </c>
      <c r="B270" s="71" t="s">
        <v>250</v>
      </c>
      <c r="C270" s="71" t="s">
        <v>42</v>
      </c>
      <c r="D270" s="88">
        <v>46276.7812037037</v>
      </c>
      <c r="E270" s="89">
        <v>46276</v>
      </c>
      <c r="F270" s="71" t="s">
        <v>1036</v>
      </c>
      <c r="G270" s="71">
        <f t="shared" si="8"/>
        <v>9</v>
      </c>
      <c r="H270" s="71">
        <f t="shared" si="9"/>
        <v>18</v>
      </c>
    </row>
    <row r="271" spans="1:8" x14ac:dyDescent="0.2">
      <c r="A271" s="71" t="s">
        <v>249</v>
      </c>
      <c r="B271" s="71" t="s">
        <v>250</v>
      </c>
      <c r="C271" s="71" t="s">
        <v>42</v>
      </c>
      <c r="D271" s="88">
        <v>46279.771840277797</v>
      </c>
      <c r="E271" s="89">
        <v>46279</v>
      </c>
      <c r="F271" s="71" t="s">
        <v>1037</v>
      </c>
      <c r="G271" s="71">
        <f t="shared" si="8"/>
        <v>9</v>
      </c>
      <c r="H271" s="71">
        <f t="shared" si="9"/>
        <v>43</v>
      </c>
    </row>
    <row r="272" spans="1:8" x14ac:dyDescent="0.2">
      <c r="A272" s="71" t="s">
        <v>249</v>
      </c>
      <c r="B272" s="71" t="s">
        <v>250</v>
      </c>
      <c r="C272" s="71" t="s">
        <v>42</v>
      </c>
      <c r="D272" s="88">
        <v>46279.772291666697</v>
      </c>
      <c r="E272" s="89">
        <v>46279</v>
      </c>
      <c r="F272" s="71" t="s">
        <v>1038</v>
      </c>
      <c r="G272" s="71">
        <f t="shared" si="8"/>
        <v>9</v>
      </c>
      <c r="H272" s="71">
        <f t="shared" si="9"/>
        <v>48</v>
      </c>
    </row>
    <row r="273" spans="1:8" x14ac:dyDescent="0.2">
      <c r="A273" s="71" t="s">
        <v>249</v>
      </c>
      <c r="B273" s="71" t="s">
        <v>250</v>
      </c>
      <c r="C273" s="71" t="s">
        <v>42</v>
      </c>
      <c r="D273" s="88">
        <v>46280.7710532407</v>
      </c>
      <c r="E273" s="89">
        <v>46280</v>
      </c>
      <c r="F273" s="71" t="s">
        <v>1039</v>
      </c>
      <c r="G273" s="71">
        <f t="shared" si="8"/>
        <v>9</v>
      </c>
      <c r="H273" s="71">
        <f t="shared" si="9"/>
        <v>43</v>
      </c>
    </row>
    <row r="274" spans="1:8" x14ac:dyDescent="0.2">
      <c r="A274" s="71" t="s">
        <v>249</v>
      </c>
      <c r="B274" s="71" t="s">
        <v>250</v>
      </c>
      <c r="C274" s="71" t="s">
        <v>42</v>
      </c>
      <c r="D274" s="88">
        <v>46280.7717708333</v>
      </c>
      <c r="E274" s="89">
        <v>46280</v>
      </c>
      <c r="F274" s="71" t="s">
        <v>1040</v>
      </c>
      <c r="G274" s="71">
        <f t="shared" si="8"/>
        <v>9</v>
      </c>
      <c r="H274" s="71">
        <f t="shared" si="9"/>
        <v>39</v>
      </c>
    </row>
    <row r="275" spans="1:8" x14ac:dyDescent="0.2">
      <c r="A275" s="71" t="s">
        <v>249</v>
      </c>
      <c r="B275" s="71" t="s">
        <v>250</v>
      </c>
      <c r="C275" s="71" t="s">
        <v>42</v>
      </c>
      <c r="D275" s="88">
        <v>46281.767407407402</v>
      </c>
      <c r="E275" s="89">
        <v>46281</v>
      </c>
      <c r="F275" s="71" t="s">
        <v>1041</v>
      </c>
      <c r="G275" s="71">
        <f t="shared" si="8"/>
        <v>9</v>
      </c>
      <c r="H275" s="71">
        <f t="shared" si="9"/>
        <v>26</v>
      </c>
    </row>
    <row r="276" spans="1:8" x14ac:dyDescent="0.2">
      <c r="A276" s="71" t="s">
        <v>249</v>
      </c>
      <c r="B276" s="71" t="s">
        <v>250</v>
      </c>
      <c r="C276" s="71" t="s">
        <v>42</v>
      </c>
      <c r="D276" s="88">
        <v>46281.767777777801</v>
      </c>
      <c r="E276" s="89">
        <v>46281</v>
      </c>
      <c r="F276" s="71" t="s">
        <v>1042</v>
      </c>
      <c r="G276" s="71">
        <f t="shared" si="8"/>
        <v>9</v>
      </c>
      <c r="H276" s="71">
        <f t="shared" si="9"/>
        <v>27</v>
      </c>
    </row>
    <row r="277" spans="1:8" x14ac:dyDescent="0.2">
      <c r="A277" s="71" t="s">
        <v>249</v>
      </c>
      <c r="B277" s="71" t="s">
        <v>250</v>
      </c>
      <c r="C277" s="71" t="s">
        <v>42</v>
      </c>
      <c r="D277" s="88">
        <v>46281.768344907403</v>
      </c>
      <c r="E277" s="89">
        <v>46281</v>
      </c>
      <c r="F277" s="71" t="s">
        <v>1043</v>
      </c>
      <c r="G277" s="71">
        <f t="shared" si="8"/>
        <v>9</v>
      </c>
      <c r="H277" s="71">
        <f t="shared" si="9"/>
        <v>54</v>
      </c>
    </row>
    <row r="278" spans="1:8" x14ac:dyDescent="0.2">
      <c r="A278" s="71" t="s">
        <v>249</v>
      </c>
      <c r="B278" s="71" t="s">
        <v>250</v>
      </c>
      <c r="C278" s="71" t="s">
        <v>42</v>
      </c>
      <c r="D278" s="88">
        <v>46282.755775463003</v>
      </c>
      <c r="E278" s="89">
        <v>46282</v>
      </c>
      <c r="F278" s="71" t="s">
        <v>1044</v>
      </c>
      <c r="G278" s="71">
        <f t="shared" si="8"/>
        <v>9</v>
      </c>
      <c r="H278" s="71">
        <f t="shared" si="9"/>
        <v>55</v>
      </c>
    </row>
    <row r="279" spans="1:8" x14ac:dyDescent="0.2">
      <c r="A279" s="71" t="s">
        <v>249</v>
      </c>
      <c r="B279" s="71" t="s">
        <v>250</v>
      </c>
      <c r="C279" s="71" t="s">
        <v>42</v>
      </c>
      <c r="D279" s="88">
        <v>46282.756087962996</v>
      </c>
      <c r="E279" s="89">
        <v>46282</v>
      </c>
      <c r="F279" s="71" t="s">
        <v>1045</v>
      </c>
      <c r="G279" s="71">
        <f t="shared" si="8"/>
        <v>9</v>
      </c>
      <c r="H279" s="71">
        <f t="shared" si="9"/>
        <v>35</v>
      </c>
    </row>
    <row r="280" spans="1:8" x14ac:dyDescent="0.2">
      <c r="A280" s="71" t="s">
        <v>249</v>
      </c>
      <c r="B280" s="71" t="s">
        <v>250</v>
      </c>
      <c r="C280" s="71" t="s">
        <v>42</v>
      </c>
      <c r="D280" s="88">
        <v>46282.756701388898</v>
      </c>
      <c r="E280" s="89">
        <v>46282</v>
      </c>
      <c r="F280" s="71" t="s">
        <v>1046</v>
      </c>
      <c r="G280" s="71">
        <f t="shared" si="8"/>
        <v>9</v>
      </c>
      <c r="H280" s="71">
        <f t="shared" si="9"/>
        <v>36</v>
      </c>
    </row>
    <row r="281" spans="1:8" x14ac:dyDescent="0.2">
      <c r="A281" s="71" t="s">
        <v>249</v>
      </c>
      <c r="B281" s="71" t="s">
        <v>250</v>
      </c>
      <c r="C281" s="71" t="s">
        <v>42</v>
      </c>
      <c r="D281" s="88">
        <v>46283.771099537</v>
      </c>
      <c r="E281" s="89">
        <v>46283</v>
      </c>
      <c r="F281" s="71" t="s">
        <v>1047</v>
      </c>
      <c r="G281" s="71">
        <f t="shared" si="8"/>
        <v>9</v>
      </c>
      <c r="H281" s="71">
        <f t="shared" si="9"/>
        <v>40</v>
      </c>
    </row>
    <row r="282" spans="1:8" x14ac:dyDescent="0.2">
      <c r="A282" s="71" t="s">
        <v>249</v>
      </c>
      <c r="B282" s="71" t="s">
        <v>250</v>
      </c>
      <c r="C282" s="71" t="s">
        <v>42</v>
      </c>
      <c r="D282" s="88">
        <v>46283.771736111099</v>
      </c>
      <c r="E282" s="89">
        <v>46283</v>
      </c>
      <c r="F282" s="71" t="s">
        <v>1048</v>
      </c>
      <c r="G282" s="71">
        <f t="shared" si="8"/>
        <v>9</v>
      </c>
      <c r="H282" s="71">
        <f t="shared" si="9"/>
        <v>55</v>
      </c>
    </row>
    <row r="283" spans="1:8" x14ac:dyDescent="0.2">
      <c r="A283" s="71" t="s">
        <v>249</v>
      </c>
      <c r="B283" s="71" t="s">
        <v>250</v>
      </c>
      <c r="C283" s="71" t="s">
        <v>42</v>
      </c>
      <c r="D283" s="88">
        <v>46286.746076388903</v>
      </c>
      <c r="E283" s="89">
        <v>46286</v>
      </c>
      <c r="F283" s="71" t="s">
        <v>1049</v>
      </c>
      <c r="G283" s="71">
        <f t="shared" si="8"/>
        <v>9</v>
      </c>
      <c r="H283" s="71">
        <f t="shared" si="9"/>
        <v>39</v>
      </c>
    </row>
    <row r="284" spans="1:8" x14ac:dyDescent="0.2">
      <c r="A284" s="71" t="s">
        <v>249</v>
      </c>
      <c r="B284" s="71" t="s">
        <v>250</v>
      </c>
      <c r="C284" s="71" t="s">
        <v>42</v>
      </c>
      <c r="D284" s="88">
        <v>46286.747002314798</v>
      </c>
      <c r="E284" s="89">
        <v>46286</v>
      </c>
      <c r="F284" s="71" t="s">
        <v>1050</v>
      </c>
      <c r="G284" s="71">
        <f t="shared" si="8"/>
        <v>9</v>
      </c>
      <c r="H284" s="71">
        <f t="shared" si="9"/>
        <v>37</v>
      </c>
    </row>
    <row r="285" spans="1:8" x14ac:dyDescent="0.2">
      <c r="A285" s="71" t="s">
        <v>249</v>
      </c>
      <c r="B285" s="71" t="s">
        <v>250</v>
      </c>
      <c r="C285" s="71" t="s">
        <v>42</v>
      </c>
      <c r="D285" s="88">
        <v>46286.748946759297</v>
      </c>
      <c r="E285" s="89">
        <v>46286</v>
      </c>
      <c r="F285" s="71" t="s">
        <v>1051</v>
      </c>
      <c r="G285" s="71">
        <f t="shared" si="8"/>
        <v>9</v>
      </c>
      <c r="H285" s="71">
        <f t="shared" si="9"/>
        <v>23</v>
      </c>
    </row>
    <row r="286" spans="1:8" x14ac:dyDescent="0.2">
      <c r="A286" s="71" t="s">
        <v>249</v>
      </c>
      <c r="B286" s="71" t="s">
        <v>250</v>
      </c>
      <c r="C286" s="71" t="s">
        <v>42</v>
      </c>
      <c r="D286" s="88">
        <v>46286.7494560185</v>
      </c>
      <c r="E286" s="89">
        <v>46286</v>
      </c>
      <c r="F286" s="71" t="s">
        <v>1052</v>
      </c>
      <c r="G286" s="71">
        <f t="shared" si="8"/>
        <v>9</v>
      </c>
      <c r="H286" s="71">
        <f t="shared" si="9"/>
        <v>27</v>
      </c>
    </row>
    <row r="287" spans="1:8" x14ac:dyDescent="0.2">
      <c r="A287" s="71" t="s">
        <v>249</v>
      </c>
      <c r="B287" s="71" t="s">
        <v>250</v>
      </c>
      <c r="C287" s="71" t="s">
        <v>42</v>
      </c>
      <c r="D287" s="88">
        <v>46287.6712037037</v>
      </c>
      <c r="E287" s="89">
        <v>46287</v>
      </c>
      <c r="F287" s="71" t="s">
        <v>1053</v>
      </c>
      <c r="G287" s="71">
        <f t="shared" si="8"/>
        <v>9</v>
      </c>
      <c r="H287" s="71">
        <f t="shared" si="9"/>
        <v>39</v>
      </c>
    </row>
    <row r="288" spans="1:8" x14ac:dyDescent="0.2">
      <c r="A288" s="71" t="s">
        <v>249</v>
      </c>
      <c r="B288" s="71" t="s">
        <v>250</v>
      </c>
      <c r="C288" s="71" t="s">
        <v>42</v>
      </c>
      <c r="D288" s="88">
        <v>46287.690671296303</v>
      </c>
      <c r="E288" s="89">
        <v>46287</v>
      </c>
      <c r="F288" s="71" t="s">
        <v>1054</v>
      </c>
      <c r="G288" s="71">
        <f t="shared" si="8"/>
        <v>9</v>
      </c>
      <c r="H288" s="71">
        <f t="shared" si="9"/>
        <v>47</v>
      </c>
    </row>
    <row r="289" spans="1:8" x14ac:dyDescent="0.2">
      <c r="A289" s="71" t="s">
        <v>249</v>
      </c>
      <c r="B289" s="71" t="s">
        <v>250</v>
      </c>
      <c r="C289" s="71" t="s">
        <v>42</v>
      </c>
      <c r="D289" s="88">
        <v>46288.705995370401</v>
      </c>
      <c r="E289" s="89">
        <v>46288</v>
      </c>
      <c r="F289" s="71" t="s">
        <v>1055</v>
      </c>
      <c r="G289" s="71">
        <f t="shared" si="8"/>
        <v>9</v>
      </c>
      <c r="H289" s="71">
        <f t="shared" si="9"/>
        <v>37</v>
      </c>
    </row>
    <row r="290" spans="1:8" x14ac:dyDescent="0.2">
      <c r="A290" s="71" t="s">
        <v>249</v>
      </c>
      <c r="B290" s="71" t="s">
        <v>250</v>
      </c>
      <c r="C290" s="71" t="s">
        <v>42</v>
      </c>
      <c r="D290" s="88">
        <v>46288.738807870403</v>
      </c>
      <c r="E290" s="89">
        <v>46288</v>
      </c>
      <c r="F290" s="71" t="s">
        <v>1056</v>
      </c>
      <c r="G290" s="71">
        <f t="shared" si="8"/>
        <v>9</v>
      </c>
      <c r="H290" s="71">
        <f t="shared" si="9"/>
        <v>47</v>
      </c>
    </row>
    <row r="291" spans="1:8" x14ac:dyDescent="0.2">
      <c r="A291" s="71" t="s">
        <v>249</v>
      </c>
      <c r="B291" s="71" t="s">
        <v>250</v>
      </c>
      <c r="C291" s="71" t="s">
        <v>42</v>
      </c>
      <c r="D291" s="88">
        <v>46289.6848032407</v>
      </c>
      <c r="E291" s="89">
        <v>46289</v>
      </c>
      <c r="F291" s="71" t="s">
        <v>1057</v>
      </c>
      <c r="G291" s="71">
        <f t="shared" si="8"/>
        <v>9</v>
      </c>
      <c r="H291" s="71">
        <f t="shared" si="9"/>
        <v>51</v>
      </c>
    </row>
    <row r="292" spans="1:8" x14ac:dyDescent="0.2">
      <c r="A292" s="71" t="s">
        <v>249</v>
      </c>
      <c r="B292" s="71" t="s">
        <v>250</v>
      </c>
      <c r="C292" s="71" t="s">
        <v>42</v>
      </c>
      <c r="D292" s="88">
        <v>46289.6855208333</v>
      </c>
      <c r="E292" s="89">
        <v>46289</v>
      </c>
      <c r="F292" s="71" t="s">
        <v>1058</v>
      </c>
      <c r="G292" s="71">
        <f t="shared" si="8"/>
        <v>9</v>
      </c>
      <c r="H292" s="71">
        <f t="shared" si="9"/>
        <v>45</v>
      </c>
    </row>
    <row r="293" spans="1:8" x14ac:dyDescent="0.2">
      <c r="A293" s="71" t="s">
        <v>249</v>
      </c>
      <c r="B293" s="71" t="s">
        <v>250</v>
      </c>
      <c r="C293" s="71" t="s">
        <v>42</v>
      </c>
      <c r="D293" s="88">
        <v>46289.688425925902</v>
      </c>
      <c r="E293" s="89">
        <v>46289</v>
      </c>
      <c r="F293" s="71" t="s">
        <v>1059</v>
      </c>
      <c r="G293" s="71">
        <f t="shared" si="8"/>
        <v>9</v>
      </c>
      <c r="H293" s="71">
        <f t="shared" si="9"/>
        <v>33</v>
      </c>
    </row>
    <row r="294" spans="1:8" x14ac:dyDescent="0.2">
      <c r="A294" s="71" t="s">
        <v>249</v>
      </c>
      <c r="B294" s="71" t="s">
        <v>250</v>
      </c>
      <c r="C294" s="71" t="s">
        <v>42</v>
      </c>
      <c r="D294" s="88">
        <v>46290.679039351897</v>
      </c>
      <c r="E294" s="89">
        <v>46290</v>
      </c>
      <c r="F294" s="71" t="s">
        <v>1060</v>
      </c>
      <c r="G294" s="71">
        <f t="shared" si="8"/>
        <v>9</v>
      </c>
      <c r="H294" s="71">
        <f t="shared" si="9"/>
        <v>31</v>
      </c>
    </row>
    <row r="295" spans="1:8" x14ac:dyDescent="0.2">
      <c r="A295" s="71" t="s">
        <v>249</v>
      </c>
      <c r="B295" s="71" t="s">
        <v>250</v>
      </c>
      <c r="C295" s="71" t="s">
        <v>42</v>
      </c>
      <c r="D295" s="88">
        <v>46290.679803240702</v>
      </c>
      <c r="E295" s="89">
        <v>46290</v>
      </c>
      <c r="F295" s="71" t="s">
        <v>1061</v>
      </c>
      <c r="G295" s="71">
        <f t="shared" si="8"/>
        <v>9</v>
      </c>
      <c r="H295" s="71">
        <f t="shared" si="9"/>
        <v>38</v>
      </c>
    </row>
    <row r="296" spans="1:8" x14ac:dyDescent="0.2">
      <c r="A296" s="71" t="s">
        <v>249</v>
      </c>
      <c r="B296" s="71" t="s">
        <v>250</v>
      </c>
      <c r="C296" s="71" t="s">
        <v>42</v>
      </c>
      <c r="D296" s="88">
        <v>46290.681388888901</v>
      </c>
      <c r="E296" s="89">
        <v>46290</v>
      </c>
      <c r="F296" s="71" t="s">
        <v>1062</v>
      </c>
      <c r="G296" s="71">
        <f t="shared" si="8"/>
        <v>9</v>
      </c>
      <c r="H296" s="71">
        <f t="shared" si="9"/>
        <v>51</v>
      </c>
    </row>
    <row r="297" spans="1:8" x14ac:dyDescent="0.2">
      <c r="A297" s="71" t="s">
        <v>249</v>
      </c>
      <c r="B297" s="71" t="s">
        <v>250</v>
      </c>
      <c r="C297" s="71" t="s">
        <v>42</v>
      </c>
      <c r="D297" s="88">
        <v>46290.689687500002</v>
      </c>
      <c r="E297" s="89">
        <v>46290</v>
      </c>
      <c r="F297" s="71" t="s">
        <v>1063</v>
      </c>
      <c r="G297" s="71">
        <f t="shared" si="8"/>
        <v>9</v>
      </c>
      <c r="H297" s="71">
        <f t="shared" si="9"/>
        <v>52</v>
      </c>
    </row>
    <row r="298" spans="1:8" x14ac:dyDescent="0.2">
      <c r="A298" s="71" t="s">
        <v>249</v>
      </c>
      <c r="B298" s="71" t="s">
        <v>250</v>
      </c>
      <c r="C298" s="71" t="s">
        <v>42</v>
      </c>
      <c r="D298" s="88">
        <v>46293.688969907402</v>
      </c>
      <c r="E298" s="89">
        <v>46293</v>
      </c>
      <c r="F298" s="71" t="s">
        <v>1064</v>
      </c>
      <c r="G298" s="71">
        <f t="shared" si="8"/>
        <v>9</v>
      </c>
      <c r="H298" s="71">
        <f t="shared" si="9"/>
        <v>22</v>
      </c>
    </row>
    <row r="299" spans="1:8" x14ac:dyDescent="0.2">
      <c r="A299" s="71" t="s">
        <v>249</v>
      </c>
      <c r="B299" s="71" t="s">
        <v>250</v>
      </c>
      <c r="C299" s="71" t="s">
        <v>42</v>
      </c>
      <c r="D299" s="88">
        <v>46293.689467592601</v>
      </c>
      <c r="E299" s="89">
        <v>46293</v>
      </c>
      <c r="F299" s="71" t="s">
        <v>1065</v>
      </c>
      <c r="G299" s="71">
        <f t="shared" si="8"/>
        <v>9</v>
      </c>
      <c r="H299" s="71">
        <f t="shared" si="9"/>
        <v>45</v>
      </c>
    </row>
    <row r="300" spans="1:8" x14ac:dyDescent="0.2">
      <c r="A300" s="71" t="s">
        <v>249</v>
      </c>
      <c r="B300" s="71" t="s">
        <v>250</v>
      </c>
      <c r="C300" s="71" t="s">
        <v>42</v>
      </c>
      <c r="D300" s="88">
        <v>46294.680567129602</v>
      </c>
      <c r="E300" s="89">
        <v>46294</v>
      </c>
      <c r="F300" s="71" t="s">
        <v>1066</v>
      </c>
      <c r="G300" s="71">
        <f t="shared" si="8"/>
        <v>9</v>
      </c>
      <c r="H300" s="71">
        <f t="shared" si="9"/>
        <v>33</v>
      </c>
    </row>
    <row r="301" spans="1:8" x14ac:dyDescent="0.2">
      <c r="A301" s="71" t="s">
        <v>249</v>
      </c>
      <c r="B301" s="71" t="s">
        <v>250</v>
      </c>
      <c r="C301" s="71" t="s">
        <v>42</v>
      </c>
      <c r="D301" s="88">
        <v>46294.739062499997</v>
      </c>
      <c r="E301" s="89">
        <v>46294</v>
      </c>
      <c r="F301" s="71" t="s">
        <v>1067</v>
      </c>
      <c r="G301" s="71">
        <f t="shared" si="8"/>
        <v>9</v>
      </c>
      <c r="H301" s="71">
        <f t="shared" si="9"/>
        <v>40</v>
      </c>
    </row>
    <row r="302" spans="1:8" x14ac:dyDescent="0.2">
      <c r="A302" s="71" t="s">
        <v>249</v>
      </c>
      <c r="B302" s="71" t="s">
        <v>250</v>
      </c>
      <c r="C302" s="71" t="s">
        <v>42</v>
      </c>
      <c r="D302" s="88">
        <v>46295.691053240698</v>
      </c>
      <c r="E302" s="89">
        <v>46295</v>
      </c>
      <c r="F302" s="71" t="s">
        <v>1068</v>
      </c>
      <c r="G302" s="71">
        <f t="shared" si="8"/>
        <v>9</v>
      </c>
      <c r="H302" s="71">
        <f t="shared" si="9"/>
        <v>44</v>
      </c>
    </row>
    <row r="303" spans="1:8" x14ac:dyDescent="0.2">
      <c r="A303" s="71" t="s">
        <v>249</v>
      </c>
      <c r="B303" s="71" t="s">
        <v>250</v>
      </c>
      <c r="C303" s="71" t="s">
        <v>42</v>
      </c>
      <c r="D303" s="88">
        <v>46295.691331018497</v>
      </c>
      <c r="E303" s="89">
        <v>46295</v>
      </c>
      <c r="F303" s="71" t="s">
        <v>1069</v>
      </c>
      <c r="G303" s="71">
        <f t="shared" si="8"/>
        <v>9</v>
      </c>
      <c r="H303" s="71">
        <f t="shared" si="9"/>
        <v>26</v>
      </c>
    </row>
    <row r="304" spans="1:8" x14ac:dyDescent="0.2">
      <c r="A304" s="71" t="s">
        <v>183</v>
      </c>
      <c r="B304" s="71" t="s">
        <v>184</v>
      </c>
      <c r="C304" s="71" t="s">
        <v>47</v>
      </c>
      <c r="D304" s="88">
        <v>46178.464918981503</v>
      </c>
      <c r="E304" s="89">
        <v>46178</v>
      </c>
      <c r="F304" s="71" t="s">
        <v>1070</v>
      </c>
      <c r="G304" s="71">
        <f t="shared" si="8"/>
        <v>6</v>
      </c>
      <c r="H304" s="71">
        <f t="shared" si="9"/>
        <v>14</v>
      </c>
    </row>
    <row r="305" spans="1:8" x14ac:dyDescent="0.2">
      <c r="A305" s="71" t="s">
        <v>183</v>
      </c>
      <c r="B305" s="71" t="s">
        <v>184</v>
      </c>
      <c r="C305" s="71" t="s">
        <v>47</v>
      </c>
      <c r="D305" s="88">
        <v>46178.853715277801</v>
      </c>
      <c r="E305" s="89">
        <v>46178</v>
      </c>
      <c r="F305" s="71" t="s">
        <v>1071</v>
      </c>
      <c r="G305" s="71">
        <f t="shared" si="8"/>
        <v>6</v>
      </c>
      <c r="H305" s="71">
        <f t="shared" si="9"/>
        <v>11</v>
      </c>
    </row>
    <row r="306" spans="1:8" x14ac:dyDescent="0.2">
      <c r="A306" s="71" t="s">
        <v>183</v>
      </c>
      <c r="B306" s="71" t="s">
        <v>184</v>
      </c>
      <c r="C306" s="71" t="s">
        <v>47</v>
      </c>
      <c r="D306" s="88">
        <v>46181.795185185198</v>
      </c>
      <c r="E306" s="89">
        <v>46181</v>
      </c>
      <c r="F306" s="71" t="s">
        <v>1071</v>
      </c>
      <c r="G306" s="71">
        <f t="shared" si="8"/>
        <v>6</v>
      </c>
      <c r="H306" s="71">
        <f t="shared" si="9"/>
        <v>11</v>
      </c>
    </row>
    <row r="307" spans="1:8" x14ac:dyDescent="0.2">
      <c r="A307" s="71" t="s">
        <v>183</v>
      </c>
      <c r="B307" s="71" t="s">
        <v>184</v>
      </c>
      <c r="C307" s="71" t="s">
        <v>47</v>
      </c>
      <c r="D307" s="88">
        <v>46182.778032407397</v>
      </c>
      <c r="E307" s="89">
        <v>46182</v>
      </c>
      <c r="F307" s="71" t="s">
        <v>1072</v>
      </c>
      <c r="G307" s="71">
        <f t="shared" si="8"/>
        <v>6</v>
      </c>
      <c r="H307" s="71">
        <f t="shared" si="9"/>
        <v>19</v>
      </c>
    </row>
    <row r="308" spans="1:8" x14ac:dyDescent="0.2">
      <c r="A308" s="71" t="s">
        <v>183</v>
      </c>
      <c r="B308" s="71" t="s">
        <v>184</v>
      </c>
      <c r="C308" s="71" t="s">
        <v>47</v>
      </c>
      <c r="D308" s="88">
        <v>46184.7675115741</v>
      </c>
      <c r="E308" s="89">
        <v>46184</v>
      </c>
      <c r="F308" s="71" t="s">
        <v>1073</v>
      </c>
      <c r="G308" s="71">
        <f t="shared" si="8"/>
        <v>6</v>
      </c>
      <c r="H308" s="71">
        <f t="shared" si="9"/>
        <v>27</v>
      </c>
    </row>
    <row r="309" spans="1:8" x14ac:dyDescent="0.2">
      <c r="A309" s="71" t="s">
        <v>183</v>
      </c>
      <c r="B309" s="71" t="s">
        <v>184</v>
      </c>
      <c r="C309" s="71" t="s">
        <v>47</v>
      </c>
      <c r="D309" s="88">
        <v>46188.7726736111</v>
      </c>
      <c r="E309" s="89">
        <v>46188</v>
      </c>
      <c r="F309" s="71" t="s">
        <v>1074</v>
      </c>
      <c r="G309" s="71">
        <f t="shared" si="8"/>
        <v>6</v>
      </c>
      <c r="H309" s="71">
        <f t="shared" si="9"/>
        <v>54</v>
      </c>
    </row>
    <row r="310" spans="1:8" x14ac:dyDescent="0.2">
      <c r="A310" s="71" t="s">
        <v>183</v>
      </c>
      <c r="B310" s="71" t="s">
        <v>184</v>
      </c>
      <c r="C310" s="71" t="s">
        <v>47</v>
      </c>
      <c r="D310" s="88">
        <v>46191.712361111102</v>
      </c>
      <c r="E310" s="89">
        <v>46191</v>
      </c>
      <c r="F310" s="71" t="s">
        <v>1075</v>
      </c>
      <c r="G310" s="71">
        <f t="shared" si="8"/>
        <v>6</v>
      </c>
      <c r="H310" s="71">
        <f t="shared" si="9"/>
        <v>32</v>
      </c>
    </row>
    <row r="311" spans="1:8" x14ac:dyDescent="0.2">
      <c r="A311" s="71" t="s">
        <v>183</v>
      </c>
      <c r="B311" s="71" t="s">
        <v>184</v>
      </c>
      <c r="C311" s="71" t="s">
        <v>47</v>
      </c>
      <c r="D311" s="88">
        <v>46192.771481481497</v>
      </c>
      <c r="E311" s="89">
        <v>46192</v>
      </c>
      <c r="F311" s="71" t="s">
        <v>1076</v>
      </c>
      <c r="G311" s="71">
        <f t="shared" si="8"/>
        <v>6</v>
      </c>
      <c r="H311" s="71">
        <f t="shared" si="9"/>
        <v>20</v>
      </c>
    </row>
    <row r="312" spans="1:8" x14ac:dyDescent="0.2">
      <c r="A312" s="71" t="s">
        <v>183</v>
      </c>
      <c r="B312" s="71" t="s">
        <v>184</v>
      </c>
      <c r="C312" s="71" t="s">
        <v>47</v>
      </c>
      <c r="D312" s="88">
        <v>46195.708564814799</v>
      </c>
      <c r="E312" s="89">
        <v>46195</v>
      </c>
      <c r="F312" s="71" t="s">
        <v>1077</v>
      </c>
      <c r="G312" s="71">
        <f t="shared" si="8"/>
        <v>6</v>
      </c>
      <c r="H312" s="71">
        <f t="shared" si="9"/>
        <v>8</v>
      </c>
    </row>
    <row r="313" spans="1:8" x14ac:dyDescent="0.2">
      <c r="A313" s="71" t="s">
        <v>183</v>
      </c>
      <c r="B313" s="71" t="s">
        <v>184</v>
      </c>
      <c r="C313" s="71" t="s">
        <v>47</v>
      </c>
      <c r="D313" s="88">
        <v>46196.747743055603</v>
      </c>
      <c r="E313" s="89">
        <v>46196</v>
      </c>
      <c r="F313" s="71" t="s">
        <v>1078</v>
      </c>
      <c r="G313" s="71">
        <f t="shared" si="8"/>
        <v>6</v>
      </c>
      <c r="H313" s="71">
        <f t="shared" si="9"/>
        <v>14</v>
      </c>
    </row>
    <row r="314" spans="1:8" x14ac:dyDescent="0.2">
      <c r="A314" s="71" t="s">
        <v>183</v>
      </c>
      <c r="B314" s="71" t="s">
        <v>184</v>
      </c>
      <c r="C314" s="71" t="s">
        <v>47</v>
      </c>
      <c r="D314" s="88">
        <v>46198.693680555603</v>
      </c>
      <c r="E314" s="89">
        <v>46198</v>
      </c>
      <c r="F314" s="71" t="s">
        <v>1079</v>
      </c>
      <c r="G314" s="71">
        <f t="shared" si="8"/>
        <v>6</v>
      </c>
      <c r="H314" s="71">
        <f t="shared" si="9"/>
        <v>41</v>
      </c>
    </row>
    <row r="315" spans="1:8" x14ac:dyDescent="0.2">
      <c r="A315" s="71" t="s">
        <v>183</v>
      </c>
      <c r="B315" s="71" t="s">
        <v>184</v>
      </c>
      <c r="C315" s="71" t="s">
        <v>47</v>
      </c>
      <c r="D315" s="88">
        <v>46198.694120370397</v>
      </c>
      <c r="E315" s="89">
        <v>46198</v>
      </c>
      <c r="F315" s="71" t="s">
        <v>1080</v>
      </c>
      <c r="G315" s="71">
        <f t="shared" si="8"/>
        <v>6</v>
      </c>
      <c r="H315" s="71">
        <f t="shared" si="9"/>
        <v>29</v>
      </c>
    </row>
    <row r="316" spans="1:8" x14ac:dyDescent="0.2">
      <c r="A316" s="71" t="s">
        <v>183</v>
      </c>
      <c r="B316" s="71" t="s">
        <v>184</v>
      </c>
      <c r="C316" s="71" t="s">
        <v>47</v>
      </c>
      <c r="D316" s="88">
        <v>46202.7182986111</v>
      </c>
      <c r="E316" s="89">
        <v>46202</v>
      </c>
      <c r="F316" s="71" t="s">
        <v>1081</v>
      </c>
      <c r="G316" s="71">
        <f t="shared" si="8"/>
        <v>6</v>
      </c>
      <c r="H316" s="71">
        <f t="shared" si="9"/>
        <v>11</v>
      </c>
    </row>
    <row r="317" spans="1:8" x14ac:dyDescent="0.2">
      <c r="A317" s="71" t="s">
        <v>183</v>
      </c>
      <c r="B317" s="71" t="s">
        <v>184</v>
      </c>
      <c r="C317" s="71" t="s">
        <v>47</v>
      </c>
      <c r="D317" s="88">
        <v>46206.765625</v>
      </c>
      <c r="E317" s="89">
        <v>46206</v>
      </c>
      <c r="F317" s="71" t="s">
        <v>1082</v>
      </c>
      <c r="G317" s="71">
        <f t="shared" si="8"/>
        <v>7</v>
      </c>
      <c r="H317" s="71">
        <f t="shared" si="9"/>
        <v>56</v>
      </c>
    </row>
    <row r="318" spans="1:8" x14ac:dyDescent="0.2">
      <c r="A318" s="71" t="s">
        <v>183</v>
      </c>
      <c r="B318" s="71" t="s">
        <v>184</v>
      </c>
      <c r="C318" s="71" t="s">
        <v>47</v>
      </c>
      <c r="D318" s="88">
        <v>46212.740127314799</v>
      </c>
      <c r="E318" s="89">
        <v>46212</v>
      </c>
      <c r="F318" s="71" t="s">
        <v>1083</v>
      </c>
      <c r="G318" s="71">
        <f t="shared" si="8"/>
        <v>7</v>
      </c>
      <c r="H318" s="71">
        <f t="shared" si="9"/>
        <v>6</v>
      </c>
    </row>
    <row r="319" spans="1:8" x14ac:dyDescent="0.2">
      <c r="A319" s="71" t="s">
        <v>183</v>
      </c>
      <c r="B319" s="71" t="s">
        <v>184</v>
      </c>
      <c r="C319" s="71" t="s">
        <v>47</v>
      </c>
      <c r="D319" s="88">
        <v>46213.772442129601</v>
      </c>
      <c r="E319" s="89">
        <v>46213</v>
      </c>
      <c r="F319" s="71" t="s">
        <v>1084</v>
      </c>
      <c r="G319" s="71">
        <f t="shared" si="8"/>
        <v>7</v>
      </c>
      <c r="H319" s="71">
        <f t="shared" si="9"/>
        <v>56</v>
      </c>
    </row>
    <row r="320" spans="1:8" x14ac:dyDescent="0.2">
      <c r="A320" s="71" t="s">
        <v>183</v>
      </c>
      <c r="B320" s="71" t="s">
        <v>184</v>
      </c>
      <c r="C320" s="71" t="s">
        <v>47</v>
      </c>
      <c r="D320" s="88">
        <v>46216.696053240703</v>
      </c>
      <c r="E320" s="89">
        <v>46216</v>
      </c>
      <c r="F320" s="71" t="s">
        <v>1085</v>
      </c>
      <c r="G320" s="71">
        <f t="shared" si="8"/>
        <v>7</v>
      </c>
      <c r="H320" s="71">
        <f t="shared" si="9"/>
        <v>47</v>
      </c>
    </row>
    <row r="321" spans="1:8" x14ac:dyDescent="0.2">
      <c r="A321" s="71" t="s">
        <v>183</v>
      </c>
      <c r="B321" s="71" t="s">
        <v>184</v>
      </c>
      <c r="C321" s="71" t="s">
        <v>47</v>
      </c>
      <c r="D321" s="88">
        <v>46217.712280092601</v>
      </c>
      <c r="E321" s="89">
        <v>46217</v>
      </c>
      <c r="F321" s="71" t="s">
        <v>1086</v>
      </c>
      <c r="G321" s="71">
        <f t="shared" si="8"/>
        <v>7</v>
      </c>
      <c r="H321" s="71">
        <f t="shared" si="9"/>
        <v>50</v>
      </c>
    </row>
    <row r="322" spans="1:8" x14ac:dyDescent="0.2">
      <c r="A322" s="71" t="s">
        <v>1087</v>
      </c>
      <c r="B322" s="71" t="s">
        <v>184</v>
      </c>
      <c r="C322" s="71"/>
      <c r="D322" s="88">
        <v>46219.690509259301</v>
      </c>
      <c r="E322" s="89">
        <v>46219</v>
      </c>
      <c r="F322" s="71" t="s">
        <v>1088</v>
      </c>
      <c r="G322" s="71">
        <f t="shared" ref="G322:G385" si="10">MONTH(E322)</f>
        <v>7</v>
      </c>
      <c r="H322" s="71">
        <f t="shared" ref="H322:H385" si="11">LEN(F322)</f>
        <v>42</v>
      </c>
    </row>
    <row r="323" spans="1:8" x14ac:dyDescent="0.2">
      <c r="A323" s="71" t="s">
        <v>183</v>
      </c>
      <c r="B323" s="71" t="s">
        <v>184</v>
      </c>
      <c r="C323" s="71" t="s">
        <v>47</v>
      </c>
      <c r="D323" s="88">
        <v>46220.767349537004</v>
      </c>
      <c r="E323" s="89">
        <v>46220</v>
      </c>
      <c r="F323" s="71" t="s">
        <v>1089</v>
      </c>
      <c r="G323" s="71">
        <f t="shared" si="10"/>
        <v>7</v>
      </c>
      <c r="H323" s="71">
        <f t="shared" si="11"/>
        <v>23</v>
      </c>
    </row>
    <row r="324" spans="1:8" x14ac:dyDescent="0.2">
      <c r="A324" s="71" t="s">
        <v>183</v>
      </c>
      <c r="B324" s="71" t="s">
        <v>184</v>
      </c>
      <c r="C324" s="71" t="s">
        <v>47</v>
      </c>
      <c r="D324" s="88">
        <v>46223.7423263889</v>
      </c>
      <c r="E324" s="89">
        <v>46223</v>
      </c>
      <c r="F324" s="71" t="s">
        <v>1090</v>
      </c>
      <c r="G324" s="71">
        <f t="shared" si="10"/>
        <v>7</v>
      </c>
      <c r="H324" s="71">
        <f t="shared" si="11"/>
        <v>23</v>
      </c>
    </row>
    <row r="325" spans="1:8" x14ac:dyDescent="0.2">
      <c r="A325" s="71" t="s">
        <v>183</v>
      </c>
      <c r="B325" s="71" t="s">
        <v>184</v>
      </c>
      <c r="C325" s="71" t="s">
        <v>47</v>
      </c>
      <c r="D325" s="88">
        <v>46224.760787036997</v>
      </c>
      <c r="E325" s="89">
        <v>46224</v>
      </c>
      <c r="F325" s="71" t="s">
        <v>1091</v>
      </c>
      <c r="G325" s="71">
        <f t="shared" si="10"/>
        <v>7</v>
      </c>
      <c r="H325" s="71">
        <f t="shared" si="11"/>
        <v>32</v>
      </c>
    </row>
    <row r="326" spans="1:8" x14ac:dyDescent="0.2">
      <c r="A326" s="71" t="s">
        <v>183</v>
      </c>
      <c r="B326" s="71" t="s">
        <v>184</v>
      </c>
      <c r="C326" s="71" t="s">
        <v>47</v>
      </c>
      <c r="D326" s="88">
        <v>46226.7260648148</v>
      </c>
      <c r="E326" s="89">
        <v>46226</v>
      </c>
      <c r="F326" s="71" t="s">
        <v>1092</v>
      </c>
      <c r="G326" s="71">
        <f t="shared" si="10"/>
        <v>7</v>
      </c>
      <c r="H326" s="71">
        <f t="shared" si="11"/>
        <v>29</v>
      </c>
    </row>
    <row r="327" spans="1:8" x14ac:dyDescent="0.2">
      <c r="A327" s="71" t="s">
        <v>183</v>
      </c>
      <c r="B327" s="71" t="s">
        <v>184</v>
      </c>
      <c r="C327" s="71" t="s">
        <v>47</v>
      </c>
      <c r="D327" s="88">
        <v>46227.696458333303</v>
      </c>
      <c r="E327" s="89">
        <v>46227</v>
      </c>
      <c r="F327" s="71" t="s">
        <v>1093</v>
      </c>
      <c r="G327" s="71">
        <f t="shared" si="10"/>
        <v>7</v>
      </c>
      <c r="H327" s="71">
        <f t="shared" si="11"/>
        <v>57</v>
      </c>
    </row>
    <row r="328" spans="1:8" x14ac:dyDescent="0.2">
      <c r="A328" s="71" t="s">
        <v>183</v>
      </c>
      <c r="B328" s="71" t="s">
        <v>184</v>
      </c>
      <c r="C328" s="71" t="s">
        <v>47</v>
      </c>
      <c r="D328" s="88">
        <v>46230.719039351898</v>
      </c>
      <c r="E328" s="89">
        <v>46230</v>
      </c>
      <c r="F328" s="71" t="s">
        <v>1094</v>
      </c>
      <c r="G328" s="71">
        <f t="shared" si="10"/>
        <v>7</v>
      </c>
      <c r="H328" s="71">
        <f t="shared" si="11"/>
        <v>38</v>
      </c>
    </row>
    <row r="329" spans="1:8" x14ac:dyDescent="0.2">
      <c r="A329" s="71" t="s">
        <v>183</v>
      </c>
      <c r="B329" s="71" t="s">
        <v>184</v>
      </c>
      <c r="C329" s="71" t="s">
        <v>47</v>
      </c>
      <c r="D329" s="88">
        <v>46231.7235069444</v>
      </c>
      <c r="E329" s="89">
        <v>46231</v>
      </c>
      <c r="F329" s="71" t="s">
        <v>1095</v>
      </c>
      <c r="G329" s="71">
        <f t="shared" si="10"/>
        <v>7</v>
      </c>
      <c r="H329" s="71">
        <f t="shared" si="11"/>
        <v>46</v>
      </c>
    </row>
    <row r="330" spans="1:8" x14ac:dyDescent="0.2">
      <c r="A330" s="71" t="s">
        <v>183</v>
      </c>
      <c r="B330" s="71" t="s">
        <v>184</v>
      </c>
      <c r="C330" s="71" t="s">
        <v>47</v>
      </c>
      <c r="D330" s="88">
        <v>46233.724374999998</v>
      </c>
      <c r="E330" s="89">
        <v>46233</v>
      </c>
      <c r="F330" s="71" t="s">
        <v>1096</v>
      </c>
      <c r="G330" s="71">
        <f t="shared" si="10"/>
        <v>7</v>
      </c>
      <c r="H330" s="71">
        <f t="shared" si="11"/>
        <v>39</v>
      </c>
    </row>
    <row r="331" spans="1:8" x14ac:dyDescent="0.2">
      <c r="A331" s="71" t="s">
        <v>183</v>
      </c>
      <c r="B331" s="71" t="s">
        <v>184</v>
      </c>
      <c r="C331" s="71" t="s">
        <v>47</v>
      </c>
      <c r="D331" s="88">
        <v>46234.720138888901</v>
      </c>
      <c r="E331" s="89">
        <v>46234</v>
      </c>
      <c r="F331" s="71" t="s">
        <v>1097</v>
      </c>
      <c r="G331" s="71">
        <f t="shared" si="10"/>
        <v>7</v>
      </c>
      <c r="H331" s="71">
        <f t="shared" si="11"/>
        <v>36</v>
      </c>
    </row>
    <row r="332" spans="1:8" x14ac:dyDescent="0.2">
      <c r="A332" s="71" t="s">
        <v>183</v>
      </c>
      <c r="B332" s="71" t="s">
        <v>184</v>
      </c>
      <c r="C332" s="71" t="s">
        <v>47</v>
      </c>
      <c r="D332" s="88">
        <v>46237.816122685203</v>
      </c>
      <c r="E332" s="89">
        <v>46237</v>
      </c>
      <c r="F332" s="71" t="s">
        <v>1098</v>
      </c>
      <c r="G332" s="71">
        <f t="shared" si="10"/>
        <v>8</v>
      </c>
      <c r="H332" s="71">
        <f t="shared" si="11"/>
        <v>24</v>
      </c>
    </row>
    <row r="333" spans="1:8" x14ac:dyDescent="0.2">
      <c r="A333" s="71" t="s">
        <v>183</v>
      </c>
      <c r="B333" s="71" t="s">
        <v>184</v>
      </c>
      <c r="C333" s="71" t="s">
        <v>47</v>
      </c>
      <c r="D333" s="88">
        <v>46238.718622685199</v>
      </c>
      <c r="E333" s="89">
        <v>46238</v>
      </c>
      <c r="F333" s="71" t="s">
        <v>1099</v>
      </c>
      <c r="G333" s="71">
        <f t="shared" si="10"/>
        <v>8</v>
      </c>
      <c r="H333" s="71">
        <f t="shared" si="11"/>
        <v>34</v>
      </c>
    </row>
    <row r="334" spans="1:8" x14ac:dyDescent="0.2">
      <c r="A334" s="71" t="s">
        <v>183</v>
      </c>
      <c r="B334" s="71" t="s">
        <v>184</v>
      </c>
      <c r="C334" s="71" t="s">
        <v>47</v>
      </c>
      <c r="D334" s="88">
        <v>46239.740451388898</v>
      </c>
      <c r="E334" s="89">
        <v>46239</v>
      </c>
      <c r="F334" s="71" t="s">
        <v>1100</v>
      </c>
      <c r="G334" s="71">
        <f t="shared" si="10"/>
        <v>8</v>
      </c>
      <c r="H334" s="71">
        <f t="shared" si="11"/>
        <v>13</v>
      </c>
    </row>
    <row r="335" spans="1:8" x14ac:dyDescent="0.2">
      <c r="A335" s="71" t="s">
        <v>183</v>
      </c>
      <c r="B335" s="71" t="s">
        <v>184</v>
      </c>
      <c r="C335" s="71" t="s">
        <v>47</v>
      </c>
      <c r="D335" s="88">
        <v>46240.728553240697</v>
      </c>
      <c r="E335" s="89">
        <v>46240</v>
      </c>
      <c r="F335" s="71" t="s">
        <v>1100</v>
      </c>
      <c r="G335" s="71">
        <f t="shared" si="10"/>
        <v>8</v>
      </c>
      <c r="H335" s="71">
        <f t="shared" si="11"/>
        <v>13</v>
      </c>
    </row>
    <row r="336" spans="1:8" x14ac:dyDescent="0.2">
      <c r="A336" s="71" t="s">
        <v>183</v>
      </c>
      <c r="B336" s="71" t="s">
        <v>184</v>
      </c>
      <c r="C336" s="71" t="s">
        <v>47</v>
      </c>
      <c r="D336" s="88">
        <v>46241.749155092599</v>
      </c>
      <c r="E336" s="89">
        <v>46241</v>
      </c>
      <c r="F336" s="71" t="s">
        <v>1100</v>
      </c>
      <c r="G336" s="71">
        <f t="shared" si="10"/>
        <v>8</v>
      </c>
      <c r="H336" s="71">
        <f t="shared" si="11"/>
        <v>13</v>
      </c>
    </row>
    <row r="337" spans="1:8" x14ac:dyDescent="0.2">
      <c r="A337" s="71" t="s">
        <v>183</v>
      </c>
      <c r="B337" s="71" t="s">
        <v>184</v>
      </c>
      <c r="C337" s="71" t="s">
        <v>47</v>
      </c>
      <c r="D337" s="88">
        <v>46245.696689814802</v>
      </c>
      <c r="E337" s="89">
        <v>46245</v>
      </c>
      <c r="F337" s="71" t="s">
        <v>1101</v>
      </c>
      <c r="G337" s="71">
        <f t="shared" si="10"/>
        <v>8</v>
      </c>
      <c r="H337" s="71">
        <f t="shared" si="11"/>
        <v>5</v>
      </c>
    </row>
    <row r="338" spans="1:8" x14ac:dyDescent="0.2">
      <c r="A338" s="71" t="s">
        <v>183</v>
      </c>
      <c r="B338" s="71" t="s">
        <v>184</v>
      </c>
      <c r="C338" s="71" t="s">
        <v>47</v>
      </c>
      <c r="D338" s="88">
        <v>46246.7523842593</v>
      </c>
      <c r="E338" s="89">
        <v>46246</v>
      </c>
      <c r="F338" s="71" t="s">
        <v>1077</v>
      </c>
      <c r="G338" s="71">
        <f t="shared" si="10"/>
        <v>8</v>
      </c>
      <c r="H338" s="71">
        <f t="shared" si="11"/>
        <v>8</v>
      </c>
    </row>
    <row r="339" spans="1:8" x14ac:dyDescent="0.2">
      <c r="A339" s="71" t="s">
        <v>183</v>
      </c>
      <c r="B339" s="71" t="s">
        <v>184</v>
      </c>
      <c r="C339" s="71" t="s">
        <v>47</v>
      </c>
      <c r="D339" s="88">
        <v>46252.738368055601</v>
      </c>
      <c r="E339" s="89">
        <v>46252</v>
      </c>
      <c r="F339" s="71" t="s">
        <v>1077</v>
      </c>
      <c r="G339" s="71">
        <f t="shared" si="10"/>
        <v>8</v>
      </c>
      <c r="H339" s="71">
        <f t="shared" si="11"/>
        <v>8</v>
      </c>
    </row>
    <row r="340" spans="1:8" x14ac:dyDescent="0.2">
      <c r="A340" s="71" t="s">
        <v>183</v>
      </c>
      <c r="B340" s="71" t="s">
        <v>184</v>
      </c>
      <c r="C340" s="71" t="s">
        <v>47</v>
      </c>
      <c r="D340" s="88">
        <v>46253.742604166699</v>
      </c>
      <c r="E340" s="89">
        <v>46253</v>
      </c>
      <c r="F340" s="71" t="s">
        <v>1102</v>
      </c>
      <c r="G340" s="71">
        <f t="shared" si="10"/>
        <v>8</v>
      </c>
      <c r="H340" s="71">
        <f t="shared" si="11"/>
        <v>8</v>
      </c>
    </row>
    <row r="341" spans="1:8" x14ac:dyDescent="0.2">
      <c r="A341" s="71" t="s">
        <v>183</v>
      </c>
      <c r="B341" s="71" t="s">
        <v>184</v>
      </c>
      <c r="C341" s="71" t="s">
        <v>47</v>
      </c>
      <c r="D341" s="88">
        <v>46254.7190625</v>
      </c>
      <c r="E341" s="89">
        <v>46254</v>
      </c>
      <c r="F341" s="71" t="s">
        <v>1077</v>
      </c>
      <c r="G341" s="71">
        <f t="shared" si="10"/>
        <v>8</v>
      </c>
      <c r="H341" s="71">
        <f t="shared" si="11"/>
        <v>8</v>
      </c>
    </row>
    <row r="342" spans="1:8" x14ac:dyDescent="0.2">
      <c r="A342" s="71" t="s">
        <v>183</v>
      </c>
      <c r="B342" s="71" t="s">
        <v>184</v>
      </c>
      <c r="C342" s="71" t="s">
        <v>47</v>
      </c>
      <c r="D342" s="88">
        <v>46255.753125000003</v>
      </c>
      <c r="E342" s="89">
        <v>46255</v>
      </c>
      <c r="F342" s="71" t="s">
        <v>1077</v>
      </c>
      <c r="G342" s="71">
        <f t="shared" si="10"/>
        <v>8</v>
      </c>
      <c r="H342" s="71">
        <f t="shared" si="11"/>
        <v>8</v>
      </c>
    </row>
    <row r="343" spans="1:8" x14ac:dyDescent="0.2">
      <c r="A343" s="71" t="s">
        <v>183</v>
      </c>
      <c r="B343" s="71" t="s">
        <v>184</v>
      </c>
      <c r="C343" s="71" t="s">
        <v>47</v>
      </c>
      <c r="D343" s="88">
        <v>46258.809039351901</v>
      </c>
      <c r="E343" s="89">
        <v>46258</v>
      </c>
      <c r="F343" s="71" t="s">
        <v>1103</v>
      </c>
      <c r="G343" s="71">
        <f t="shared" si="10"/>
        <v>8</v>
      </c>
      <c r="H343" s="71">
        <f t="shared" si="11"/>
        <v>4</v>
      </c>
    </row>
    <row r="344" spans="1:8" x14ac:dyDescent="0.2">
      <c r="A344" s="71" t="s">
        <v>183</v>
      </c>
      <c r="B344" s="71" t="s">
        <v>184</v>
      </c>
      <c r="C344" s="71" t="s">
        <v>47</v>
      </c>
      <c r="D344" s="88">
        <v>46260.6949074074</v>
      </c>
      <c r="E344" s="89">
        <v>46260</v>
      </c>
      <c r="F344" s="71" t="s">
        <v>1104</v>
      </c>
      <c r="G344" s="71">
        <f t="shared" si="10"/>
        <v>8</v>
      </c>
      <c r="H344" s="71">
        <f t="shared" si="11"/>
        <v>46</v>
      </c>
    </row>
    <row r="345" spans="1:8" x14ac:dyDescent="0.2">
      <c r="A345" s="71" t="s">
        <v>183</v>
      </c>
      <c r="B345" s="71" t="s">
        <v>184</v>
      </c>
      <c r="C345" s="71" t="s">
        <v>47</v>
      </c>
      <c r="D345" s="88">
        <v>46261.736770833297</v>
      </c>
      <c r="E345" s="89">
        <v>46261</v>
      </c>
      <c r="F345" s="71" t="s">
        <v>1077</v>
      </c>
      <c r="G345" s="71">
        <f t="shared" si="10"/>
        <v>8</v>
      </c>
      <c r="H345" s="71">
        <f t="shared" si="11"/>
        <v>8</v>
      </c>
    </row>
    <row r="346" spans="1:8" x14ac:dyDescent="0.2">
      <c r="A346" s="71" t="s">
        <v>183</v>
      </c>
      <c r="B346" s="71" t="s">
        <v>184</v>
      </c>
      <c r="C346" s="71" t="s">
        <v>47</v>
      </c>
      <c r="D346" s="88">
        <v>46262.7168171296</v>
      </c>
      <c r="E346" s="89">
        <v>46262</v>
      </c>
      <c r="F346" s="71" t="s">
        <v>1105</v>
      </c>
      <c r="G346" s="71">
        <f t="shared" si="10"/>
        <v>8</v>
      </c>
      <c r="H346" s="71">
        <f t="shared" si="11"/>
        <v>5</v>
      </c>
    </row>
    <row r="347" spans="1:8" x14ac:dyDescent="0.2">
      <c r="A347" s="71" t="s">
        <v>183</v>
      </c>
      <c r="B347" s="71" t="s">
        <v>184</v>
      </c>
      <c r="C347" s="71" t="s">
        <v>47</v>
      </c>
      <c r="D347" s="88">
        <v>46265.449456018498</v>
      </c>
      <c r="E347" s="89">
        <v>46265</v>
      </c>
      <c r="F347" s="71" t="s">
        <v>1106</v>
      </c>
      <c r="G347" s="71">
        <f t="shared" si="10"/>
        <v>8</v>
      </c>
      <c r="H347" s="71">
        <f t="shared" si="11"/>
        <v>7</v>
      </c>
    </row>
    <row r="348" spans="1:8" x14ac:dyDescent="0.2">
      <c r="A348" s="71" t="s">
        <v>183</v>
      </c>
      <c r="B348" s="71" t="s">
        <v>184</v>
      </c>
      <c r="C348" s="71" t="s">
        <v>47</v>
      </c>
      <c r="D348" s="88">
        <v>46265.449780092596</v>
      </c>
      <c r="E348" s="89">
        <v>46265</v>
      </c>
      <c r="F348" s="71" t="s">
        <v>1107</v>
      </c>
      <c r="G348" s="71">
        <f t="shared" si="10"/>
        <v>8</v>
      </c>
      <c r="H348" s="71">
        <f t="shared" si="11"/>
        <v>10</v>
      </c>
    </row>
    <row r="349" spans="1:8" x14ac:dyDescent="0.2">
      <c r="A349" s="71" t="s">
        <v>183</v>
      </c>
      <c r="B349" s="71" t="s">
        <v>184</v>
      </c>
      <c r="C349" s="71" t="s">
        <v>47</v>
      </c>
      <c r="D349" s="88">
        <v>46267.300474536998</v>
      </c>
      <c r="E349" s="89">
        <v>46267</v>
      </c>
      <c r="F349" s="71" t="s">
        <v>1108</v>
      </c>
      <c r="G349" s="71">
        <f t="shared" si="10"/>
        <v>9</v>
      </c>
      <c r="H349" s="71">
        <f t="shared" si="11"/>
        <v>32</v>
      </c>
    </row>
    <row r="350" spans="1:8" x14ac:dyDescent="0.2">
      <c r="A350" s="71" t="s">
        <v>183</v>
      </c>
      <c r="B350" s="71" t="s">
        <v>184</v>
      </c>
      <c r="C350" s="71" t="s">
        <v>47</v>
      </c>
      <c r="D350" s="88">
        <v>46267.356331018498</v>
      </c>
      <c r="E350" s="89">
        <v>46267</v>
      </c>
      <c r="F350" s="71" t="s">
        <v>1109</v>
      </c>
      <c r="G350" s="71">
        <f t="shared" si="10"/>
        <v>9</v>
      </c>
      <c r="H350" s="71">
        <f t="shared" si="11"/>
        <v>22</v>
      </c>
    </row>
    <row r="351" spans="1:8" x14ac:dyDescent="0.2">
      <c r="A351" s="71" t="s">
        <v>183</v>
      </c>
      <c r="B351" s="71" t="s">
        <v>184</v>
      </c>
      <c r="C351" s="71" t="s">
        <v>47</v>
      </c>
      <c r="D351" s="88">
        <v>46267.626643518503</v>
      </c>
      <c r="E351" s="89">
        <v>46267</v>
      </c>
      <c r="F351" s="71" t="s">
        <v>1110</v>
      </c>
      <c r="G351" s="71">
        <f t="shared" si="10"/>
        <v>9</v>
      </c>
      <c r="H351" s="71">
        <f t="shared" si="11"/>
        <v>9</v>
      </c>
    </row>
    <row r="352" spans="1:8" x14ac:dyDescent="0.2">
      <c r="A352" s="71" t="s">
        <v>183</v>
      </c>
      <c r="B352" s="71" t="s">
        <v>184</v>
      </c>
      <c r="C352" s="71" t="s">
        <v>47</v>
      </c>
      <c r="D352" s="88">
        <v>46268.728414351899</v>
      </c>
      <c r="E352" s="89">
        <v>46268</v>
      </c>
      <c r="F352" s="71" t="s">
        <v>1077</v>
      </c>
      <c r="G352" s="71">
        <f t="shared" si="10"/>
        <v>9</v>
      </c>
      <c r="H352" s="71">
        <f t="shared" si="11"/>
        <v>8</v>
      </c>
    </row>
    <row r="353" spans="1:8" x14ac:dyDescent="0.2">
      <c r="A353" s="71" t="s">
        <v>183</v>
      </c>
      <c r="B353" s="71" t="s">
        <v>184</v>
      </c>
      <c r="C353" s="71" t="s">
        <v>47</v>
      </c>
      <c r="D353" s="88">
        <v>46269.729062500002</v>
      </c>
      <c r="E353" s="89">
        <v>46269</v>
      </c>
      <c r="F353" s="71" t="s">
        <v>1111</v>
      </c>
      <c r="G353" s="71">
        <f t="shared" si="10"/>
        <v>9</v>
      </c>
      <c r="H353" s="71">
        <f t="shared" si="11"/>
        <v>6</v>
      </c>
    </row>
    <row r="354" spans="1:8" x14ac:dyDescent="0.2">
      <c r="A354" s="71" t="s">
        <v>183</v>
      </c>
      <c r="B354" s="71" t="s">
        <v>184</v>
      </c>
      <c r="C354" s="71" t="s">
        <v>47</v>
      </c>
      <c r="D354" s="88">
        <v>46269.729444444398</v>
      </c>
      <c r="E354" s="89">
        <v>46269</v>
      </c>
      <c r="F354" s="71" t="s">
        <v>1112</v>
      </c>
      <c r="G354" s="71">
        <f t="shared" si="10"/>
        <v>9</v>
      </c>
      <c r="H354" s="71">
        <f t="shared" si="11"/>
        <v>11</v>
      </c>
    </row>
    <row r="355" spans="1:8" x14ac:dyDescent="0.2">
      <c r="A355" s="71" t="s">
        <v>183</v>
      </c>
      <c r="B355" s="71" t="s">
        <v>184</v>
      </c>
      <c r="C355" s="71" t="s">
        <v>47</v>
      </c>
      <c r="D355" s="88">
        <v>46272.373576388898</v>
      </c>
      <c r="E355" s="89">
        <v>46272</v>
      </c>
      <c r="F355" s="71" t="s">
        <v>1111</v>
      </c>
      <c r="G355" s="71">
        <f t="shared" si="10"/>
        <v>9</v>
      </c>
      <c r="H355" s="71">
        <f t="shared" si="11"/>
        <v>6</v>
      </c>
    </row>
    <row r="356" spans="1:8" x14ac:dyDescent="0.2">
      <c r="A356" s="71" t="s">
        <v>183</v>
      </c>
      <c r="B356" s="71" t="s">
        <v>184</v>
      </c>
      <c r="C356" s="71" t="s">
        <v>47</v>
      </c>
      <c r="D356" s="88">
        <v>46272.3745949074</v>
      </c>
      <c r="E356" s="89">
        <v>46272</v>
      </c>
      <c r="F356" s="71" t="s">
        <v>1113</v>
      </c>
      <c r="G356" s="71">
        <f t="shared" si="10"/>
        <v>9</v>
      </c>
      <c r="H356" s="71">
        <f t="shared" si="11"/>
        <v>13</v>
      </c>
    </row>
    <row r="357" spans="1:8" x14ac:dyDescent="0.2">
      <c r="A357" s="71" t="s">
        <v>183</v>
      </c>
      <c r="B357" s="71" t="s">
        <v>184</v>
      </c>
      <c r="C357" s="71" t="s">
        <v>47</v>
      </c>
      <c r="D357" s="88">
        <v>46272.662997685198</v>
      </c>
      <c r="E357" s="89">
        <v>46272</v>
      </c>
      <c r="F357" s="71" t="s">
        <v>1114</v>
      </c>
      <c r="G357" s="71">
        <f t="shared" si="10"/>
        <v>9</v>
      </c>
      <c r="H357" s="71">
        <f t="shared" si="11"/>
        <v>8</v>
      </c>
    </row>
    <row r="358" spans="1:8" x14ac:dyDescent="0.2">
      <c r="A358" s="71" t="s">
        <v>183</v>
      </c>
      <c r="B358" s="71" t="s">
        <v>184</v>
      </c>
      <c r="C358" s="71" t="s">
        <v>47</v>
      </c>
      <c r="D358" s="88">
        <v>46273.479594907403</v>
      </c>
      <c r="E358" s="89">
        <v>46273</v>
      </c>
      <c r="F358" s="71" t="s">
        <v>1115</v>
      </c>
      <c r="G358" s="71">
        <f t="shared" si="10"/>
        <v>9</v>
      </c>
      <c r="H358" s="71">
        <f t="shared" si="11"/>
        <v>32</v>
      </c>
    </row>
    <row r="359" spans="1:8" x14ac:dyDescent="0.2">
      <c r="A359" s="71" t="s">
        <v>183</v>
      </c>
      <c r="B359" s="71" t="s">
        <v>184</v>
      </c>
      <c r="C359" s="71" t="s">
        <v>47</v>
      </c>
      <c r="D359" s="88">
        <v>46273.479861111096</v>
      </c>
      <c r="E359" s="89">
        <v>46273</v>
      </c>
      <c r="F359" s="71" t="s">
        <v>1116</v>
      </c>
      <c r="G359" s="71">
        <f t="shared" si="10"/>
        <v>9</v>
      </c>
      <c r="H359" s="71">
        <f t="shared" si="11"/>
        <v>20</v>
      </c>
    </row>
    <row r="360" spans="1:8" x14ac:dyDescent="0.2">
      <c r="A360" s="71" t="s">
        <v>183</v>
      </c>
      <c r="B360" s="71" t="s">
        <v>184</v>
      </c>
      <c r="C360" s="71" t="s">
        <v>47</v>
      </c>
      <c r="D360" s="88">
        <v>46273.480312500003</v>
      </c>
      <c r="E360" s="89">
        <v>46273</v>
      </c>
      <c r="F360" s="71" t="s">
        <v>1117</v>
      </c>
      <c r="G360" s="71">
        <f t="shared" si="10"/>
        <v>9</v>
      </c>
      <c r="H360" s="71">
        <f t="shared" si="11"/>
        <v>43</v>
      </c>
    </row>
    <row r="361" spans="1:8" x14ac:dyDescent="0.2">
      <c r="A361" s="71" t="s">
        <v>183</v>
      </c>
      <c r="B361" s="71" t="s">
        <v>184</v>
      </c>
      <c r="C361" s="71" t="s">
        <v>47</v>
      </c>
      <c r="D361" s="88">
        <v>46273.723993055602</v>
      </c>
      <c r="E361" s="89">
        <v>46273</v>
      </c>
      <c r="F361" s="71" t="s">
        <v>1118</v>
      </c>
      <c r="G361" s="71">
        <f t="shared" si="10"/>
        <v>9</v>
      </c>
      <c r="H361" s="71">
        <f t="shared" si="11"/>
        <v>21</v>
      </c>
    </row>
    <row r="362" spans="1:8" x14ac:dyDescent="0.2">
      <c r="A362" s="71" t="s">
        <v>183</v>
      </c>
      <c r="B362" s="71" t="s">
        <v>184</v>
      </c>
      <c r="C362" s="71" t="s">
        <v>47</v>
      </c>
      <c r="D362" s="88">
        <v>46274.667268518497</v>
      </c>
      <c r="E362" s="89">
        <v>46274</v>
      </c>
      <c r="F362" s="71" t="s">
        <v>1119</v>
      </c>
      <c r="G362" s="71">
        <f t="shared" si="10"/>
        <v>9</v>
      </c>
      <c r="H362" s="71">
        <f t="shared" si="11"/>
        <v>13</v>
      </c>
    </row>
    <row r="363" spans="1:8" x14ac:dyDescent="0.2">
      <c r="A363" s="71" t="s">
        <v>183</v>
      </c>
      <c r="B363" s="71" t="s">
        <v>184</v>
      </c>
      <c r="C363" s="71" t="s">
        <v>47</v>
      </c>
      <c r="D363" s="88">
        <v>46274.668946759302</v>
      </c>
      <c r="E363" s="89">
        <v>46274</v>
      </c>
      <c r="F363" s="71" t="s">
        <v>1120</v>
      </c>
      <c r="G363" s="71">
        <f t="shared" si="10"/>
        <v>9</v>
      </c>
      <c r="H363" s="71">
        <f t="shared" si="11"/>
        <v>13</v>
      </c>
    </row>
    <row r="364" spans="1:8" x14ac:dyDescent="0.2">
      <c r="A364" s="71" t="s">
        <v>183</v>
      </c>
      <c r="B364" s="71" t="s">
        <v>184</v>
      </c>
      <c r="C364" s="71" t="s">
        <v>47</v>
      </c>
      <c r="D364" s="88">
        <v>46275.733240740701</v>
      </c>
      <c r="E364" s="89">
        <v>46275</v>
      </c>
      <c r="F364" s="71" t="s">
        <v>1112</v>
      </c>
      <c r="G364" s="71">
        <f t="shared" si="10"/>
        <v>9</v>
      </c>
      <c r="H364" s="71">
        <f t="shared" si="11"/>
        <v>11</v>
      </c>
    </row>
    <row r="365" spans="1:8" x14ac:dyDescent="0.2">
      <c r="A365" s="71" t="s">
        <v>183</v>
      </c>
      <c r="B365" s="71" t="s">
        <v>184</v>
      </c>
      <c r="C365" s="71" t="s">
        <v>47</v>
      </c>
      <c r="D365" s="88">
        <v>46275.734791666699</v>
      </c>
      <c r="E365" s="89">
        <v>46275</v>
      </c>
      <c r="F365" s="71" t="s">
        <v>1121</v>
      </c>
      <c r="G365" s="71">
        <f t="shared" si="10"/>
        <v>9</v>
      </c>
      <c r="H365" s="71">
        <f t="shared" si="11"/>
        <v>4</v>
      </c>
    </row>
    <row r="366" spans="1:8" x14ac:dyDescent="0.2">
      <c r="A366" s="71" t="s">
        <v>183</v>
      </c>
      <c r="B366" s="71" t="s">
        <v>184</v>
      </c>
      <c r="C366" s="71" t="s">
        <v>47</v>
      </c>
      <c r="D366" s="88">
        <v>46277.338599536997</v>
      </c>
      <c r="E366" s="89">
        <v>46277</v>
      </c>
      <c r="F366" s="71" t="s">
        <v>1122</v>
      </c>
      <c r="G366" s="71">
        <f t="shared" si="10"/>
        <v>9</v>
      </c>
      <c r="H366" s="71">
        <f t="shared" si="11"/>
        <v>162</v>
      </c>
    </row>
    <row r="367" spans="1:8" x14ac:dyDescent="0.2">
      <c r="A367" s="71" t="s">
        <v>183</v>
      </c>
      <c r="B367" s="71" t="s">
        <v>184</v>
      </c>
      <c r="C367" s="71" t="s">
        <v>47</v>
      </c>
      <c r="D367" s="88">
        <v>46279.3495833333</v>
      </c>
      <c r="E367" s="89">
        <v>46279</v>
      </c>
      <c r="F367" s="71" t="s">
        <v>1111</v>
      </c>
      <c r="G367" s="71">
        <f t="shared" si="10"/>
        <v>9</v>
      </c>
      <c r="H367" s="71">
        <f t="shared" si="11"/>
        <v>6</v>
      </c>
    </row>
    <row r="368" spans="1:8" x14ac:dyDescent="0.2">
      <c r="A368" s="71" t="s">
        <v>183</v>
      </c>
      <c r="B368" s="71" t="s">
        <v>184</v>
      </c>
      <c r="C368" s="71" t="s">
        <v>47</v>
      </c>
      <c r="D368" s="88">
        <v>46280.332349536999</v>
      </c>
      <c r="E368" s="89">
        <v>46280</v>
      </c>
      <c r="F368" s="71" t="s">
        <v>1106</v>
      </c>
      <c r="G368" s="71">
        <f t="shared" si="10"/>
        <v>9</v>
      </c>
      <c r="H368" s="71">
        <f t="shared" si="11"/>
        <v>7</v>
      </c>
    </row>
    <row r="369" spans="1:8" x14ac:dyDescent="0.2">
      <c r="A369" s="71" t="s">
        <v>183</v>
      </c>
      <c r="B369" s="71" t="s">
        <v>184</v>
      </c>
      <c r="C369" s="71" t="s">
        <v>47</v>
      </c>
      <c r="D369" s="88">
        <v>46280.332974536999</v>
      </c>
      <c r="E369" s="89">
        <v>46280</v>
      </c>
      <c r="F369" s="71" t="s">
        <v>1123</v>
      </c>
      <c r="G369" s="71">
        <f t="shared" si="10"/>
        <v>9</v>
      </c>
      <c r="H369" s="71">
        <f t="shared" si="11"/>
        <v>9</v>
      </c>
    </row>
    <row r="370" spans="1:8" x14ac:dyDescent="0.2">
      <c r="A370" s="71" t="s">
        <v>183</v>
      </c>
      <c r="B370" s="71" t="s">
        <v>184</v>
      </c>
      <c r="C370" s="71" t="s">
        <v>47</v>
      </c>
      <c r="D370" s="88">
        <v>46280.681226851899</v>
      </c>
      <c r="E370" s="89">
        <v>46280</v>
      </c>
      <c r="F370" s="71" t="s">
        <v>1124</v>
      </c>
      <c r="G370" s="71">
        <f t="shared" si="10"/>
        <v>9</v>
      </c>
      <c r="H370" s="71">
        <f t="shared" si="11"/>
        <v>8</v>
      </c>
    </row>
    <row r="371" spans="1:8" x14ac:dyDescent="0.2">
      <c r="A371" s="71" t="s">
        <v>183</v>
      </c>
      <c r="B371" s="71" t="s">
        <v>184</v>
      </c>
      <c r="C371" s="71" t="s">
        <v>47</v>
      </c>
      <c r="D371" s="88">
        <v>46281.470127314802</v>
      </c>
      <c r="E371" s="89">
        <v>46281</v>
      </c>
      <c r="F371" s="71" t="s">
        <v>1125</v>
      </c>
      <c r="G371" s="71">
        <f t="shared" si="10"/>
        <v>9</v>
      </c>
      <c r="H371" s="71">
        <f t="shared" si="11"/>
        <v>15</v>
      </c>
    </row>
    <row r="372" spans="1:8" x14ac:dyDescent="0.2">
      <c r="A372" s="71" t="s">
        <v>183</v>
      </c>
      <c r="B372" s="71" t="s">
        <v>184</v>
      </c>
      <c r="C372" s="71" t="s">
        <v>47</v>
      </c>
      <c r="D372" s="88">
        <v>46281.746365740699</v>
      </c>
      <c r="E372" s="89">
        <v>46281</v>
      </c>
      <c r="F372" s="71" t="s">
        <v>1126</v>
      </c>
      <c r="G372" s="71">
        <f t="shared" si="10"/>
        <v>9</v>
      </c>
      <c r="H372" s="71">
        <f t="shared" si="11"/>
        <v>7</v>
      </c>
    </row>
    <row r="373" spans="1:8" x14ac:dyDescent="0.2">
      <c r="A373" s="71" t="s">
        <v>183</v>
      </c>
      <c r="B373" s="71" t="s">
        <v>184</v>
      </c>
      <c r="C373" s="71" t="s">
        <v>47</v>
      </c>
      <c r="D373" s="88">
        <v>46282.691851851901</v>
      </c>
      <c r="E373" s="89">
        <v>46282</v>
      </c>
      <c r="F373" s="71" t="s">
        <v>1077</v>
      </c>
      <c r="G373" s="71">
        <f t="shared" si="10"/>
        <v>9</v>
      </c>
      <c r="H373" s="71">
        <f t="shared" si="11"/>
        <v>8</v>
      </c>
    </row>
    <row r="374" spans="1:8" x14ac:dyDescent="0.2">
      <c r="A374" s="71" t="s">
        <v>183</v>
      </c>
      <c r="B374" s="71" t="s">
        <v>184</v>
      </c>
      <c r="C374" s="71" t="s">
        <v>47</v>
      </c>
      <c r="D374" s="88">
        <v>46282.693043981497</v>
      </c>
      <c r="E374" s="89">
        <v>46282</v>
      </c>
      <c r="F374" s="71" t="s">
        <v>1127</v>
      </c>
      <c r="G374" s="71">
        <f t="shared" si="10"/>
        <v>9</v>
      </c>
      <c r="H374" s="71">
        <f t="shared" si="11"/>
        <v>19</v>
      </c>
    </row>
    <row r="375" spans="1:8" x14ac:dyDescent="0.2">
      <c r="A375" s="71" t="s">
        <v>183</v>
      </c>
      <c r="B375" s="71" t="s">
        <v>184</v>
      </c>
      <c r="C375" s="71" t="s">
        <v>47</v>
      </c>
      <c r="D375" s="88">
        <v>46283.448425925897</v>
      </c>
      <c r="E375" s="89">
        <v>46283</v>
      </c>
      <c r="F375" s="71" t="s">
        <v>1128</v>
      </c>
      <c r="G375" s="71">
        <f t="shared" si="10"/>
        <v>9</v>
      </c>
      <c r="H375" s="71">
        <f t="shared" si="11"/>
        <v>19</v>
      </c>
    </row>
    <row r="376" spans="1:8" x14ac:dyDescent="0.2">
      <c r="A376" s="71" t="s">
        <v>183</v>
      </c>
      <c r="B376" s="71" t="s">
        <v>184</v>
      </c>
      <c r="C376" s="71" t="s">
        <v>47</v>
      </c>
      <c r="D376" s="88">
        <v>46286.652314814797</v>
      </c>
      <c r="E376" s="89">
        <v>46286</v>
      </c>
      <c r="F376" s="71" t="s">
        <v>1129</v>
      </c>
      <c r="G376" s="71">
        <f t="shared" si="10"/>
        <v>9</v>
      </c>
      <c r="H376" s="71">
        <f t="shared" si="11"/>
        <v>14</v>
      </c>
    </row>
    <row r="377" spans="1:8" x14ac:dyDescent="0.2">
      <c r="A377" s="71" t="s">
        <v>183</v>
      </c>
      <c r="B377" s="71" t="s">
        <v>184</v>
      </c>
      <c r="C377" s="71" t="s">
        <v>47</v>
      </c>
      <c r="D377" s="88">
        <v>46286.653888888897</v>
      </c>
      <c r="E377" s="89">
        <v>46286</v>
      </c>
      <c r="F377" s="71" t="s">
        <v>1130</v>
      </c>
      <c r="G377" s="71">
        <f t="shared" si="10"/>
        <v>9</v>
      </c>
      <c r="H377" s="71">
        <f t="shared" si="11"/>
        <v>13</v>
      </c>
    </row>
    <row r="378" spans="1:8" x14ac:dyDescent="0.2">
      <c r="A378" s="71" t="s">
        <v>183</v>
      </c>
      <c r="B378" s="71" t="s">
        <v>184</v>
      </c>
      <c r="C378" s="71" t="s">
        <v>47</v>
      </c>
      <c r="D378" s="88">
        <v>46286.655092592599</v>
      </c>
      <c r="E378" s="89">
        <v>46286</v>
      </c>
      <c r="F378" s="71" t="s">
        <v>1131</v>
      </c>
      <c r="G378" s="71">
        <f t="shared" si="10"/>
        <v>9</v>
      </c>
      <c r="H378" s="71">
        <f t="shared" si="11"/>
        <v>12</v>
      </c>
    </row>
    <row r="379" spans="1:8" x14ac:dyDescent="0.2">
      <c r="A379" s="71" t="s">
        <v>183</v>
      </c>
      <c r="B379" s="71" t="s">
        <v>184</v>
      </c>
      <c r="C379" s="71" t="s">
        <v>47</v>
      </c>
      <c r="D379" s="88">
        <v>46287.813541666699</v>
      </c>
      <c r="E379" s="89">
        <v>46287</v>
      </c>
      <c r="F379" s="71" t="s">
        <v>1132</v>
      </c>
      <c r="G379" s="71">
        <f t="shared" si="10"/>
        <v>9</v>
      </c>
      <c r="H379" s="71">
        <f t="shared" si="11"/>
        <v>7</v>
      </c>
    </row>
    <row r="380" spans="1:8" x14ac:dyDescent="0.2">
      <c r="A380" s="71" t="s">
        <v>183</v>
      </c>
      <c r="B380" s="71" t="s">
        <v>184</v>
      </c>
      <c r="C380" s="71" t="s">
        <v>47</v>
      </c>
      <c r="D380" s="88">
        <v>46288.647384259297</v>
      </c>
      <c r="E380" s="89">
        <v>46288</v>
      </c>
      <c r="F380" s="71" t="s">
        <v>1133</v>
      </c>
      <c r="G380" s="71">
        <f t="shared" si="10"/>
        <v>9</v>
      </c>
      <c r="H380" s="71">
        <f t="shared" si="11"/>
        <v>23</v>
      </c>
    </row>
    <row r="381" spans="1:8" x14ac:dyDescent="0.2">
      <c r="A381" s="71" t="s">
        <v>183</v>
      </c>
      <c r="B381" s="71" t="s">
        <v>184</v>
      </c>
      <c r="C381" s="71" t="s">
        <v>47</v>
      </c>
      <c r="D381" s="88">
        <v>46288.6477662037</v>
      </c>
      <c r="E381" s="89">
        <v>46288</v>
      </c>
      <c r="F381" s="71" t="s">
        <v>1131</v>
      </c>
      <c r="G381" s="71">
        <f t="shared" si="10"/>
        <v>9</v>
      </c>
      <c r="H381" s="71">
        <f t="shared" si="11"/>
        <v>12</v>
      </c>
    </row>
    <row r="382" spans="1:8" x14ac:dyDescent="0.2">
      <c r="A382" s="71" t="s">
        <v>183</v>
      </c>
      <c r="B382" s="71" t="s">
        <v>184</v>
      </c>
      <c r="C382" s="71" t="s">
        <v>47</v>
      </c>
      <c r="D382" s="88">
        <v>46289.7366666667</v>
      </c>
      <c r="E382" s="89">
        <v>46289</v>
      </c>
      <c r="F382" s="71" t="s">
        <v>1134</v>
      </c>
      <c r="G382" s="71">
        <f t="shared" si="10"/>
        <v>9</v>
      </c>
      <c r="H382" s="71">
        <f t="shared" si="11"/>
        <v>14</v>
      </c>
    </row>
    <row r="383" spans="1:8" x14ac:dyDescent="0.2">
      <c r="A383" s="71" t="s">
        <v>183</v>
      </c>
      <c r="B383" s="71" t="s">
        <v>184</v>
      </c>
      <c r="C383" s="71" t="s">
        <v>47</v>
      </c>
      <c r="D383" s="88">
        <v>46289.737511574102</v>
      </c>
      <c r="E383" s="89">
        <v>46289</v>
      </c>
      <c r="F383" s="71" t="s">
        <v>1132</v>
      </c>
      <c r="G383" s="71">
        <f t="shared" si="10"/>
        <v>9</v>
      </c>
      <c r="H383" s="71">
        <f t="shared" si="11"/>
        <v>7</v>
      </c>
    </row>
    <row r="384" spans="1:8" x14ac:dyDescent="0.2">
      <c r="A384" s="71" t="s">
        <v>183</v>
      </c>
      <c r="B384" s="71" t="s">
        <v>184</v>
      </c>
      <c r="C384" s="71" t="s">
        <v>47</v>
      </c>
      <c r="D384" s="88">
        <v>46290.769849536999</v>
      </c>
      <c r="E384" s="89">
        <v>46290</v>
      </c>
      <c r="F384" s="71" t="s">
        <v>1135</v>
      </c>
      <c r="G384" s="71">
        <f t="shared" si="10"/>
        <v>9</v>
      </c>
      <c r="H384" s="71">
        <f t="shared" si="11"/>
        <v>16</v>
      </c>
    </row>
    <row r="385" spans="1:8" x14ac:dyDescent="0.2">
      <c r="A385" s="71" t="s">
        <v>183</v>
      </c>
      <c r="B385" s="71" t="s">
        <v>184</v>
      </c>
      <c r="C385" s="71" t="s">
        <v>47</v>
      </c>
      <c r="D385" s="88">
        <v>46290.770289351902</v>
      </c>
      <c r="E385" s="89">
        <v>46290</v>
      </c>
      <c r="F385" s="71" t="s">
        <v>1136</v>
      </c>
      <c r="G385" s="71">
        <f t="shared" si="10"/>
        <v>9</v>
      </c>
      <c r="H385" s="71">
        <f t="shared" si="11"/>
        <v>14</v>
      </c>
    </row>
    <row r="386" spans="1:8" x14ac:dyDescent="0.2">
      <c r="A386" s="71" t="s">
        <v>183</v>
      </c>
      <c r="B386" s="71" t="s">
        <v>184</v>
      </c>
      <c r="C386" s="71" t="s">
        <v>47</v>
      </c>
      <c r="D386" s="88">
        <v>46293.618981481501</v>
      </c>
      <c r="E386" s="89">
        <v>46293</v>
      </c>
      <c r="F386" s="71" t="s">
        <v>1110</v>
      </c>
      <c r="G386" s="71">
        <f t="shared" ref="G386:G449" si="12">MONTH(E386)</f>
        <v>9</v>
      </c>
      <c r="H386" s="71">
        <f t="shared" ref="H386:H449" si="13">LEN(F386)</f>
        <v>9</v>
      </c>
    </row>
    <row r="387" spans="1:8" x14ac:dyDescent="0.2">
      <c r="A387" s="71" t="s">
        <v>183</v>
      </c>
      <c r="B387" s="71" t="s">
        <v>184</v>
      </c>
      <c r="C387" s="71" t="s">
        <v>47</v>
      </c>
      <c r="D387" s="88">
        <v>46294.679664351897</v>
      </c>
      <c r="E387" s="89">
        <v>46294</v>
      </c>
      <c r="F387" s="71" t="s">
        <v>1110</v>
      </c>
      <c r="G387" s="71">
        <f t="shared" si="12"/>
        <v>9</v>
      </c>
      <c r="H387" s="71">
        <f t="shared" si="13"/>
        <v>9</v>
      </c>
    </row>
    <row r="388" spans="1:8" x14ac:dyDescent="0.2">
      <c r="A388" s="71" t="s">
        <v>183</v>
      </c>
      <c r="B388" s="71" t="s">
        <v>184</v>
      </c>
      <c r="C388" s="71" t="s">
        <v>47</v>
      </c>
      <c r="D388" s="88">
        <v>46294.6805902778</v>
      </c>
      <c r="E388" s="89">
        <v>46294</v>
      </c>
      <c r="F388" s="71" t="s">
        <v>1137</v>
      </c>
      <c r="G388" s="71">
        <f t="shared" si="12"/>
        <v>9</v>
      </c>
      <c r="H388" s="71">
        <f t="shared" si="13"/>
        <v>10</v>
      </c>
    </row>
    <row r="389" spans="1:8" x14ac:dyDescent="0.2">
      <c r="A389" s="71" t="s">
        <v>183</v>
      </c>
      <c r="B389" s="71" t="s">
        <v>184</v>
      </c>
      <c r="C389" s="71" t="s">
        <v>47</v>
      </c>
      <c r="D389" s="88">
        <v>46295.713576388902</v>
      </c>
      <c r="E389" s="89">
        <v>46295</v>
      </c>
      <c r="F389" s="71" t="s">
        <v>1134</v>
      </c>
      <c r="G389" s="71">
        <f t="shared" si="12"/>
        <v>9</v>
      </c>
      <c r="H389" s="71">
        <f t="shared" si="13"/>
        <v>14</v>
      </c>
    </row>
    <row r="390" spans="1:8" x14ac:dyDescent="0.2">
      <c r="A390" s="71" t="s">
        <v>254</v>
      </c>
      <c r="B390" s="71" t="s">
        <v>255</v>
      </c>
      <c r="C390" s="71" t="s">
        <v>53</v>
      </c>
      <c r="D390" s="88">
        <v>46195.4913773148</v>
      </c>
      <c r="E390" s="89">
        <v>46195</v>
      </c>
      <c r="F390" s="71" t="s">
        <v>1138</v>
      </c>
      <c r="G390" s="71">
        <f t="shared" si="12"/>
        <v>6</v>
      </c>
      <c r="H390" s="71">
        <f t="shared" si="13"/>
        <v>23</v>
      </c>
    </row>
    <row r="391" spans="1:8" x14ac:dyDescent="0.2">
      <c r="A391" s="71" t="s">
        <v>254</v>
      </c>
      <c r="B391" s="71" t="s">
        <v>255</v>
      </c>
      <c r="C391" s="71" t="s">
        <v>53</v>
      </c>
      <c r="D391" s="88">
        <v>46195.492708333302</v>
      </c>
      <c r="E391" s="89">
        <v>46195</v>
      </c>
      <c r="F391" s="71" t="s">
        <v>1139</v>
      </c>
      <c r="G391" s="71">
        <f t="shared" si="12"/>
        <v>6</v>
      </c>
      <c r="H391" s="71">
        <f t="shared" si="13"/>
        <v>44</v>
      </c>
    </row>
    <row r="392" spans="1:8" x14ac:dyDescent="0.2">
      <c r="A392" s="71" t="s">
        <v>254</v>
      </c>
      <c r="B392" s="71" t="s">
        <v>255</v>
      </c>
      <c r="C392" s="71" t="s">
        <v>53</v>
      </c>
      <c r="D392" s="88">
        <v>46195.608310185198</v>
      </c>
      <c r="E392" s="89">
        <v>46195</v>
      </c>
      <c r="F392" s="71" t="s">
        <v>1140</v>
      </c>
      <c r="G392" s="71">
        <f t="shared" si="12"/>
        <v>6</v>
      </c>
      <c r="H392" s="71">
        <f t="shared" si="13"/>
        <v>50</v>
      </c>
    </row>
    <row r="393" spans="1:8" x14ac:dyDescent="0.2">
      <c r="A393" s="71" t="s">
        <v>254</v>
      </c>
      <c r="B393" s="71" t="s">
        <v>255</v>
      </c>
      <c r="C393" s="71" t="s">
        <v>53</v>
      </c>
      <c r="D393" s="88">
        <v>46196.333993055603</v>
      </c>
      <c r="E393" s="89">
        <v>46196</v>
      </c>
      <c r="F393" s="71" t="s">
        <v>1141</v>
      </c>
      <c r="G393" s="71">
        <f t="shared" si="12"/>
        <v>6</v>
      </c>
      <c r="H393" s="71">
        <f t="shared" si="13"/>
        <v>25</v>
      </c>
    </row>
    <row r="394" spans="1:8" x14ac:dyDescent="0.2">
      <c r="A394" s="71" t="s">
        <v>254</v>
      </c>
      <c r="B394" s="71" t="s">
        <v>255</v>
      </c>
      <c r="C394" s="71" t="s">
        <v>53</v>
      </c>
      <c r="D394" s="88">
        <v>46196.398229166698</v>
      </c>
      <c r="E394" s="89">
        <v>46196</v>
      </c>
      <c r="F394" s="71" t="s">
        <v>1142</v>
      </c>
      <c r="G394" s="71">
        <f t="shared" si="12"/>
        <v>6</v>
      </c>
      <c r="H394" s="71">
        <f t="shared" si="13"/>
        <v>29</v>
      </c>
    </row>
    <row r="395" spans="1:8" x14ac:dyDescent="0.2">
      <c r="A395" s="71" t="s">
        <v>254</v>
      </c>
      <c r="B395" s="71" t="s">
        <v>255</v>
      </c>
      <c r="C395" s="71" t="s">
        <v>53</v>
      </c>
      <c r="D395" s="88">
        <v>46197.377685185202</v>
      </c>
      <c r="E395" s="89">
        <v>46197</v>
      </c>
      <c r="F395" s="71" t="s">
        <v>1143</v>
      </c>
      <c r="G395" s="71">
        <f t="shared" si="12"/>
        <v>6</v>
      </c>
      <c r="H395" s="71">
        <f t="shared" si="13"/>
        <v>35</v>
      </c>
    </row>
    <row r="396" spans="1:8" x14ac:dyDescent="0.2">
      <c r="A396" s="71" t="s">
        <v>254</v>
      </c>
      <c r="B396" s="71" t="s">
        <v>255</v>
      </c>
      <c r="C396" s="71" t="s">
        <v>53</v>
      </c>
      <c r="D396" s="88">
        <v>46197.562280092599</v>
      </c>
      <c r="E396" s="89">
        <v>46197</v>
      </c>
      <c r="F396" s="71" t="s">
        <v>1144</v>
      </c>
      <c r="G396" s="71">
        <f t="shared" si="12"/>
        <v>6</v>
      </c>
      <c r="H396" s="71">
        <f t="shared" si="13"/>
        <v>26</v>
      </c>
    </row>
    <row r="397" spans="1:8" x14ac:dyDescent="0.2">
      <c r="A397" s="71" t="s">
        <v>254</v>
      </c>
      <c r="B397" s="71" t="s">
        <v>255</v>
      </c>
      <c r="C397" s="71" t="s">
        <v>53</v>
      </c>
      <c r="D397" s="88">
        <v>46198.389467592599</v>
      </c>
      <c r="E397" s="89">
        <v>46198</v>
      </c>
      <c r="F397" s="71" t="s">
        <v>1145</v>
      </c>
      <c r="G397" s="71">
        <f t="shared" si="12"/>
        <v>6</v>
      </c>
      <c r="H397" s="71">
        <f t="shared" si="13"/>
        <v>53</v>
      </c>
    </row>
    <row r="398" spans="1:8" x14ac:dyDescent="0.2">
      <c r="A398" s="71" t="s">
        <v>254</v>
      </c>
      <c r="B398" s="71" t="s">
        <v>255</v>
      </c>
      <c r="C398" s="71" t="s">
        <v>53</v>
      </c>
      <c r="D398" s="88">
        <v>46198.563368055598</v>
      </c>
      <c r="E398" s="89">
        <v>46198</v>
      </c>
      <c r="F398" s="71" t="s">
        <v>1146</v>
      </c>
      <c r="G398" s="71">
        <f t="shared" si="12"/>
        <v>6</v>
      </c>
      <c r="H398" s="71">
        <f t="shared" si="13"/>
        <v>23</v>
      </c>
    </row>
    <row r="399" spans="1:8" x14ac:dyDescent="0.2">
      <c r="A399" s="71" t="s">
        <v>254</v>
      </c>
      <c r="B399" s="71" t="s">
        <v>255</v>
      </c>
      <c r="C399" s="71" t="s">
        <v>53</v>
      </c>
      <c r="D399" s="88">
        <v>46198.606886574104</v>
      </c>
      <c r="E399" s="89">
        <v>46198</v>
      </c>
      <c r="F399" s="71" t="s">
        <v>1147</v>
      </c>
      <c r="G399" s="71">
        <f t="shared" si="12"/>
        <v>6</v>
      </c>
      <c r="H399" s="71">
        <f t="shared" si="13"/>
        <v>35</v>
      </c>
    </row>
    <row r="400" spans="1:8" x14ac:dyDescent="0.2">
      <c r="A400" s="71" t="s">
        <v>254</v>
      </c>
      <c r="B400" s="71" t="s">
        <v>255</v>
      </c>
      <c r="C400" s="71" t="s">
        <v>53</v>
      </c>
      <c r="D400" s="88">
        <v>46199.417858796303</v>
      </c>
      <c r="E400" s="89">
        <v>46199</v>
      </c>
      <c r="F400" s="71" t="s">
        <v>1148</v>
      </c>
      <c r="G400" s="71">
        <f t="shared" si="12"/>
        <v>6</v>
      </c>
      <c r="H400" s="71">
        <f t="shared" si="13"/>
        <v>83</v>
      </c>
    </row>
    <row r="401" spans="1:8" x14ac:dyDescent="0.2">
      <c r="A401" s="71" t="s">
        <v>254</v>
      </c>
      <c r="B401" s="71" t="s">
        <v>255</v>
      </c>
      <c r="C401" s="71" t="s">
        <v>53</v>
      </c>
      <c r="D401" s="88">
        <v>46202.382557870398</v>
      </c>
      <c r="E401" s="89">
        <v>46202</v>
      </c>
      <c r="F401" s="71" t="s">
        <v>1149</v>
      </c>
      <c r="G401" s="71">
        <f t="shared" si="12"/>
        <v>6</v>
      </c>
      <c r="H401" s="71">
        <f t="shared" si="13"/>
        <v>39</v>
      </c>
    </row>
    <row r="402" spans="1:8" x14ac:dyDescent="0.2">
      <c r="A402" s="71" t="s">
        <v>254</v>
      </c>
      <c r="B402" s="71" t="s">
        <v>255</v>
      </c>
      <c r="C402" s="71" t="s">
        <v>53</v>
      </c>
      <c r="D402" s="88">
        <v>46202.582974536999</v>
      </c>
      <c r="E402" s="89">
        <v>46202</v>
      </c>
      <c r="F402" s="71" t="s">
        <v>1150</v>
      </c>
      <c r="G402" s="71">
        <f t="shared" si="12"/>
        <v>6</v>
      </c>
      <c r="H402" s="71">
        <f t="shared" si="13"/>
        <v>32</v>
      </c>
    </row>
    <row r="403" spans="1:8" x14ac:dyDescent="0.2">
      <c r="A403" s="71" t="s">
        <v>254</v>
      </c>
      <c r="B403" s="71" t="s">
        <v>255</v>
      </c>
      <c r="C403" s="71" t="s">
        <v>53</v>
      </c>
      <c r="D403" s="88">
        <v>46205.3885069444</v>
      </c>
      <c r="E403" s="89">
        <v>46205</v>
      </c>
      <c r="F403" s="71" t="s">
        <v>1151</v>
      </c>
      <c r="G403" s="71">
        <f t="shared" si="12"/>
        <v>7</v>
      </c>
      <c r="H403" s="71">
        <f t="shared" si="13"/>
        <v>27</v>
      </c>
    </row>
    <row r="404" spans="1:8" x14ac:dyDescent="0.2">
      <c r="A404" s="71" t="s">
        <v>254</v>
      </c>
      <c r="B404" s="71" t="s">
        <v>255</v>
      </c>
      <c r="C404" s="71" t="s">
        <v>53</v>
      </c>
      <c r="D404" s="88">
        <v>46205.661932870396</v>
      </c>
      <c r="E404" s="89">
        <v>46205</v>
      </c>
      <c r="F404" s="71" t="s">
        <v>1152</v>
      </c>
      <c r="G404" s="71">
        <f t="shared" si="12"/>
        <v>7</v>
      </c>
      <c r="H404" s="71">
        <f t="shared" si="13"/>
        <v>21</v>
      </c>
    </row>
    <row r="405" spans="1:8" x14ac:dyDescent="0.2">
      <c r="A405" s="71" t="s">
        <v>254</v>
      </c>
      <c r="B405" s="71" t="s">
        <v>255</v>
      </c>
      <c r="C405" s="71" t="s">
        <v>53</v>
      </c>
      <c r="D405" s="88">
        <v>46206.376296296301</v>
      </c>
      <c r="E405" s="89">
        <v>46206</v>
      </c>
      <c r="F405" s="71" t="s">
        <v>1153</v>
      </c>
      <c r="G405" s="71">
        <f t="shared" si="12"/>
        <v>7</v>
      </c>
      <c r="H405" s="71">
        <f t="shared" si="13"/>
        <v>25</v>
      </c>
    </row>
    <row r="406" spans="1:8" x14ac:dyDescent="0.2">
      <c r="A406" s="71" t="s">
        <v>254</v>
      </c>
      <c r="B406" s="71" t="s">
        <v>255</v>
      </c>
      <c r="C406" s="71" t="s">
        <v>53</v>
      </c>
      <c r="D406" s="88">
        <v>46209.352118055598</v>
      </c>
      <c r="E406" s="89">
        <v>46209</v>
      </c>
      <c r="F406" s="71" t="s">
        <v>1154</v>
      </c>
      <c r="G406" s="71">
        <f t="shared" si="12"/>
        <v>7</v>
      </c>
      <c r="H406" s="71">
        <f t="shared" si="13"/>
        <v>95</v>
      </c>
    </row>
    <row r="407" spans="1:8" x14ac:dyDescent="0.2">
      <c r="A407" s="71" t="s">
        <v>254</v>
      </c>
      <c r="B407" s="71" t="s">
        <v>255</v>
      </c>
      <c r="C407" s="71" t="s">
        <v>53</v>
      </c>
      <c r="D407" s="88">
        <v>46212.6329050926</v>
      </c>
      <c r="E407" s="89">
        <v>46212</v>
      </c>
      <c r="F407" s="71" t="s">
        <v>1155</v>
      </c>
      <c r="G407" s="71">
        <f t="shared" si="12"/>
        <v>7</v>
      </c>
      <c r="H407" s="71">
        <f t="shared" si="13"/>
        <v>30</v>
      </c>
    </row>
    <row r="408" spans="1:8" x14ac:dyDescent="0.2">
      <c r="A408" s="71" t="s">
        <v>254</v>
      </c>
      <c r="B408" s="71" t="s">
        <v>255</v>
      </c>
      <c r="C408" s="71" t="s">
        <v>53</v>
      </c>
      <c r="D408" s="88">
        <v>46213.452743055597</v>
      </c>
      <c r="E408" s="89">
        <v>46213</v>
      </c>
      <c r="F408" s="71" t="s">
        <v>1156</v>
      </c>
      <c r="G408" s="71">
        <f t="shared" si="12"/>
        <v>7</v>
      </c>
      <c r="H408" s="71">
        <f t="shared" si="13"/>
        <v>50</v>
      </c>
    </row>
    <row r="409" spans="1:8" x14ac:dyDescent="0.2">
      <c r="A409" s="71" t="s">
        <v>254</v>
      </c>
      <c r="B409" s="71" t="s">
        <v>255</v>
      </c>
      <c r="C409" s="71" t="s">
        <v>53</v>
      </c>
      <c r="D409" s="88">
        <v>46213.657361111102</v>
      </c>
      <c r="E409" s="89">
        <v>46213</v>
      </c>
      <c r="F409" s="71" t="s">
        <v>1157</v>
      </c>
      <c r="G409" s="71">
        <f t="shared" si="12"/>
        <v>7</v>
      </c>
      <c r="H409" s="71">
        <f t="shared" si="13"/>
        <v>38</v>
      </c>
    </row>
    <row r="410" spans="1:8" x14ac:dyDescent="0.2">
      <c r="A410" s="71" t="s">
        <v>254</v>
      </c>
      <c r="B410" s="71" t="s">
        <v>255</v>
      </c>
      <c r="C410" s="71" t="s">
        <v>53</v>
      </c>
      <c r="D410" s="88">
        <v>46216.449432870402</v>
      </c>
      <c r="E410" s="89">
        <v>46216</v>
      </c>
      <c r="F410" s="71" t="s">
        <v>1158</v>
      </c>
      <c r="G410" s="71">
        <f t="shared" si="12"/>
        <v>7</v>
      </c>
      <c r="H410" s="71">
        <f t="shared" si="13"/>
        <v>17</v>
      </c>
    </row>
    <row r="411" spans="1:8" x14ac:dyDescent="0.2">
      <c r="A411" s="71" t="s">
        <v>254</v>
      </c>
      <c r="B411" s="71" t="s">
        <v>255</v>
      </c>
      <c r="C411" s="71" t="s">
        <v>53</v>
      </c>
      <c r="D411" s="88">
        <v>46217.4660069444</v>
      </c>
      <c r="E411" s="89">
        <v>46217</v>
      </c>
      <c r="F411" s="71" t="s">
        <v>1159</v>
      </c>
      <c r="G411" s="71">
        <f t="shared" si="12"/>
        <v>7</v>
      </c>
      <c r="H411" s="71">
        <f t="shared" si="13"/>
        <v>49</v>
      </c>
    </row>
    <row r="412" spans="1:8" x14ac:dyDescent="0.2">
      <c r="A412" s="71" t="s">
        <v>254</v>
      </c>
      <c r="B412" s="71" t="s">
        <v>255</v>
      </c>
      <c r="C412" s="71" t="s">
        <v>53</v>
      </c>
      <c r="D412" s="88">
        <v>46218.3699305556</v>
      </c>
      <c r="E412" s="89">
        <v>46218</v>
      </c>
      <c r="F412" s="71" t="s">
        <v>1160</v>
      </c>
      <c r="G412" s="71">
        <f t="shared" si="12"/>
        <v>7</v>
      </c>
      <c r="H412" s="71">
        <f t="shared" si="13"/>
        <v>23</v>
      </c>
    </row>
    <row r="413" spans="1:8" x14ac:dyDescent="0.2">
      <c r="A413" s="71" t="s">
        <v>254</v>
      </c>
      <c r="B413" s="71" t="s">
        <v>255</v>
      </c>
      <c r="C413" s="71" t="s">
        <v>53</v>
      </c>
      <c r="D413" s="88">
        <v>46218.602164351898</v>
      </c>
      <c r="E413" s="89">
        <v>46218</v>
      </c>
      <c r="F413" s="71" t="s">
        <v>1161</v>
      </c>
      <c r="G413" s="71">
        <f t="shared" si="12"/>
        <v>7</v>
      </c>
      <c r="H413" s="71">
        <f t="shared" si="13"/>
        <v>36</v>
      </c>
    </row>
    <row r="414" spans="1:8" x14ac:dyDescent="0.2">
      <c r="A414" s="71" t="s">
        <v>254</v>
      </c>
      <c r="B414" s="71" t="s">
        <v>255</v>
      </c>
      <c r="C414" s="71" t="s">
        <v>53</v>
      </c>
      <c r="D414" s="88">
        <v>46219.633113425902</v>
      </c>
      <c r="E414" s="89">
        <v>46219</v>
      </c>
      <c r="F414" s="71" t="s">
        <v>1162</v>
      </c>
      <c r="G414" s="71">
        <f t="shared" si="12"/>
        <v>7</v>
      </c>
      <c r="H414" s="71">
        <f t="shared" si="13"/>
        <v>19</v>
      </c>
    </row>
    <row r="415" spans="1:8" x14ac:dyDescent="0.2">
      <c r="A415" s="71" t="s">
        <v>254</v>
      </c>
      <c r="B415" s="71" t="s">
        <v>255</v>
      </c>
      <c r="C415" s="71" t="s">
        <v>53</v>
      </c>
      <c r="D415" s="88">
        <v>46220.431412037004</v>
      </c>
      <c r="E415" s="89">
        <v>46220</v>
      </c>
      <c r="F415" s="71" t="s">
        <v>1141</v>
      </c>
      <c r="G415" s="71">
        <f t="shared" si="12"/>
        <v>7</v>
      </c>
      <c r="H415" s="71">
        <f t="shared" si="13"/>
        <v>25</v>
      </c>
    </row>
    <row r="416" spans="1:8" x14ac:dyDescent="0.2">
      <c r="A416" s="71" t="s">
        <v>254</v>
      </c>
      <c r="B416" s="71" t="s">
        <v>255</v>
      </c>
      <c r="C416" s="71" t="s">
        <v>53</v>
      </c>
      <c r="D416" s="88">
        <v>46223.551435185203</v>
      </c>
      <c r="E416" s="89">
        <v>46223</v>
      </c>
      <c r="F416" s="71" t="s">
        <v>1163</v>
      </c>
      <c r="G416" s="71">
        <f t="shared" si="12"/>
        <v>7</v>
      </c>
      <c r="H416" s="71">
        <f t="shared" si="13"/>
        <v>21</v>
      </c>
    </row>
    <row r="417" spans="1:8" x14ac:dyDescent="0.2">
      <c r="A417" s="71" t="s">
        <v>254</v>
      </c>
      <c r="B417" s="71" t="s">
        <v>255</v>
      </c>
      <c r="C417" s="71" t="s">
        <v>53</v>
      </c>
      <c r="D417" s="88">
        <v>46224.561990740702</v>
      </c>
      <c r="E417" s="89">
        <v>46224</v>
      </c>
      <c r="F417" s="71" t="s">
        <v>1164</v>
      </c>
      <c r="G417" s="71">
        <f t="shared" si="12"/>
        <v>7</v>
      </c>
      <c r="H417" s="71">
        <f t="shared" si="13"/>
        <v>28</v>
      </c>
    </row>
    <row r="418" spans="1:8" x14ac:dyDescent="0.2">
      <c r="A418" s="71" t="s">
        <v>254</v>
      </c>
      <c r="B418" s="71" t="s">
        <v>255</v>
      </c>
      <c r="C418" s="71" t="s">
        <v>53</v>
      </c>
      <c r="D418" s="88">
        <v>46225.563935185201</v>
      </c>
      <c r="E418" s="89">
        <v>46225</v>
      </c>
      <c r="F418" s="71" t="s">
        <v>1165</v>
      </c>
      <c r="G418" s="71">
        <f t="shared" si="12"/>
        <v>7</v>
      </c>
      <c r="H418" s="71">
        <f t="shared" si="13"/>
        <v>24</v>
      </c>
    </row>
    <row r="419" spans="1:8" x14ac:dyDescent="0.2">
      <c r="A419" s="71" t="s">
        <v>254</v>
      </c>
      <c r="B419" s="71" t="s">
        <v>255</v>
      </c>
      <c r="C419" s="71" t="s">
        <v>53</v>
      </c>
      <c r="D419" s="88">
        <v>46226.659560185202</v>
      </c>
      <c r="E419" s="89">
        <v>46226</v>
      </c>
      <c r="F419" s="71" t="s">
        <v>1166</v>
      </c>
      <c r="G419" s="71">
        <f t="shared" si="12"/>
        <v>7</v>
      </c>
      <c r="H419" s="71">
        <f t="shared" si="13"/>
        <v>26</v>
      </c>
    </row>
    <row r="420" spans="1:8" x14ac:dyDescent="0.2">
      <c r="A420" s="71" t="s">
        <v>254</v>
      </c>
      <c r="B420" s="71" t="s">
        <v>255</v>
      </c>
      <c r="C420" s="71" t="s">
        <v>53</v>
      </c>
      <c r="D420" s="88">
        <v>46227.615486111099</v>
      </c>
      <c r="E420" s="89">
        <v>46227</v>
      </c>
      <c r="F420" s="71" t="s">
        <v>1167</v>
      </c>
      <c r="G420" s="71">
        <f t="shared" si="12"/>
        <v>7</v>
      </c>
      <c r="H420" s="71">
        <f t="shared" si="13"/>
        <v>69</v>
      </c>
    </row>
    <row r="421" spans="1:8" x14ac:dyDescent="0.2">
      <c r="A421" s="71" t="s">
        <v>254</v>
      </c>
      <c r="B421" s="71" t="s">
        <v>255</v>
      </c>
      <c r="C421" s="71" t="s">
        <v>53</v>
      </c>
      <c r="D421" s="88">
        <v>46230.6418865741</v>
      </c>
      <c r="E421" s="89">
        <v>46230</v>
      </c>
      <c r="F421" s="71" t="s">
        <v>1168</v>
      </c>
      <c r="G421" s="71">
        <f t="shared" si="12"/>
        <v>7</v>
      </c>
      <c r="H421" s="71">
        <f t="shared" si="13"/>
        <v>36</v>
      </c>
    </row>
    <row r="422" spans="1:8" x14ac:dyDescent="0.2">
      <c r="A422" s="71" t="s">
        <v>254</v>
      </c>
      <c r="B422" s="71" t="s">
        <v>255</v>
      </c>
      <c r="C422" s="71" t="s">
        <v>53</v>
      </c>
      <c r="D422" s="88">
        <v>46231.613240740699</v>
      </c>
      <c r="E422" s="89">
        <v>46231</v>
      </c>
      <c r="F422" s="71" t="s">
        <v>1169</v>
      </c>
      <c r="G422" s="71">
        <f t="shared" si="12"/>
        <v>7</v>
      </c>
      <c r="H422" s="71">
        <f t="shared" si="13"/>
        <v>50</v>
      </c>
    </row>
    <row r="423" spans="1:8" x14ac:dyDescent="0.2">
      <c r="A423" s="71" t="s">
        <v>254</v>
      </c>
      <c r="B423" s="71" t="s">
        <v>255</v>
      </c>
      <c r="C423" s="71" t="s">
        <v>53</v>
      </c>
      <c r="D423" s="88">
        <v>46232.637592592597</v>
      </c>
      <c r="E423" s="89">
        <v>46232</v>
      </c>
      <c r="F423" s="71" t="s">
        <v>1170</v>
      </c>
      <c r="G423" s="71">
        <f t="shared" si="12"/>
        <v>7</v>
      </c>
      <c r="H423" s="71">
        <f t="shared" si="13"/>
        <v>63</v>
      </c>
    </row>
    <row r="424" spans="1:8" x14ac:dyDescent="0.2">
      <c r="A424" s="71" t="s">
        <v>254</v>
      </c>
      <c r="B424" s="71" t="s">
        <v>255</v>
      </c>
      <c r="C424" s="71" t="s">
        <v>53</v>
      </c>
      <c r="D424" s="88">
        <v>46233.660567129598</v>
      </c>
      <c r="E424" s="89">
        <v>46233</v>
      </c>
      <c r="F424" s="71" t="s">
        <v>1171</v>
      </c>
      <c r="G424" s="71">
        <f t="shared" si="12"/>
        <v>7</v>
      </c>
      <c r="H424" s="71">
        <f t="shared" si="13"/>
        <v>29</v>
      </c>
    </row>
    <row r="425" spans="1:8" x14ac:dyDescent="0.2">
      <c r="A425" s="71" t="s">
        <v>254</v>
      </c>
      <c r="B425" s="71" t="s">
        <v>255</v>
      </c>
      <c r="C425" s="71" t="s">
        <v>53</v>
      </c>
      <c r="D425" s="88">
        <v>46233.660752314798</v>
      </c>
      <c r="E425" s="89">
        <v>46233</v>
      </c>
      <c r="F425" s="71" t="s">
        <v>1172</v>
      </c>
      <c r="G425" s="71">
        <f t="shared" si="12"/>
        <v>7</v>
      </c>
      <c r="H425" s="71">
        <f t="shared" si="13"/>
        <v>37</v>
      </c>
    </row>
    <row r="426" spans="1:8" x14ac:dyDescent="0.2">
      <c r="A426" s="71" t="s">
        <v>254</v>
      </c>
      <c r="B426" s="71" t="s">
        <v>255</v>
      </c>
      <c r="C426" s="71" t="s">
        <v>53</v>
      </c>
      <c r="D426" s="88">
        <v>46234.677326388897</v>
      </c>
      <c r="E426" s="89">
        <v>46234</v>
      </c>
      <c r="F426" s="71" t="s">
        <v>1173</v>
      </c>
      <c r="G426" s="71">
        <f t="shared" si="12"/>
        <v>7</v>
      </c>
      <c r="H426" s="71">
        <f t="shared" si="13"/>
        <v>46</v>
      </c>
    </row>
    <row r="427" spans="1:8" x14ac:dyDescent="0.2">
      <c r="A427" s="71" t="s">
        <v>254</v>
      </c>
      <c r="B427" s="71" t="s">
        <v>255</v>
      </c>
      <c r="C427" s="71" t="s">
        <v>53</v>
      </c>
      <c r="D427" s="88">
        <v>46234.677777777797</v>
      </c>
      <c r="E427" s="89">
        <v>46234</v>
      </c>
      <c r="F427" s="71" t="s">
        <v>1174</v>
      </c>
      <c r="G427" s="71">
        <f t="shared" si="12"/>
        <v>7</v>
      </c>
      <c r="H427" s="71">
        <f t="shared" si="13"/>
        <v>28</v>
      </c>
    </row>
    <row r="428" spans="1:8" x14ac:dyDescent="0.2">
      <c r="A428" s="71" t="s">
        <v>254</v>
      </c>
      <c r="B428" s="71" t="s">
        <v>255</v>
      </c>
      <c r="C428" s="71" t="s">
        <v>53</v>
      </c>
      <c r="D428" s="88">
        <v>46237.660624999997</v>
      </c>
      <c r="E428" s="89">
        <v>46237</v>
      </c>
      <c r="F428" s="71" t="s">
        <v>1175</v>
      </c>
      <c r="G428" s="71">
        <f t="shared" si="12"/>
        <v>8</v>
      </c>
      <c r="H428" s="71">
        <f t="shared" si="13"/>
        <v>37</v>
      </c>
    </row>
    <row r="429" spans="1:8" x14ac:dyDescent="0.2">
      <c r="A429" s="71" t="s">
        <v>254</v>
      </c>
      <c r="B429" s="71" t="s">
        <v>255</v>
      </c>
      <c r="C429" s="71" t="s">
        <v>53</v>
      </c>
      <c r="D429" s="88">
        <v>46237.661192129599</v>
      </c>
      <c r="E429" s="89">
        <v>46237</v>
      </c>
      <c r="F429" s="71" t="s">
        <v>1176</v>
      </c>
      <c r="G429" s="71">
        <f t="shared" si="12"/>
        <v>8</v>
      </c>
      <c r="H429" s="71">
        <f t="shared" si="13"/>
        <v>42</v>
      </c>
    </row>
    <row r="430" spans="1:8" x14ac:dyDescent="0.2">
      <c r="A430" s="71" t="s">
        <v>254</v>
      </c>
      <c r="B430" s="71" t="s">
        <v>255</v>
      </c>
      <c r="C430" s="71" t="s">
        <v>53</v>
      </c>
      <c r="D430" s="88">
        <v>46238.657361111102</v>
      </c>
      <c r="E430" s="89">
        <v>46238</v>
      </c>
      <c r="F430" s="71" t="s">
        <v>1177</v>
      </c>
      <c r="G430" s="71">
        <f t="shared" si="12"/>
        <v>8</v>
      </c>
      <c r="H430" s="71">
        <f t="shared" si="13"/>
        <v>29</v>
      </c>
    </row>
    <row r="431" spans="1:8" x14ac:dyDescent="0.2">
      <c r="A431" s="71" t="s">
        <v>254</v>
      </c>
      <c r="B431" s="71" t="s">
        <v>255</v>
      </c>
      <c r="C431" s="71" t="s">
        <v>53</v>
      </c>
      <c r="D431" s="88">
        <v>46239.688495370399</v>
      </c>
      <c r="E431" s="89">
        <v>46239</v>
      </c>
      <c r="F431" s="71" t="s">
        <v>1178</v>
      </c>
      <c r="G431" s="71">
        <f t="shared" si="12"/>
        <v>8</v>
      </c>
      <c r="H431" s="71">
        <f t="shared" si="13"/>
        <v>45</v>
      </c>
    </row>
    <row r="432" spans="1:8" x14ac:dyDescent="0.2">
      <c r="A432" s="71" t="s">
        <v>254</v>
      </c>
      <c r="B432" s="71" t="s">
        <v>255</v>
      </c>
      <c r="C432" s="71" t="s">
        <v>53</v>
      </c>
      <c r="D432" s="88">
        <v>46240.688287037003</v>
      </c>
      <c r="E432" s="89">
        <v>46240</v>
      </c>
      <c r="F432" s="71" t="s">
        <v>1179</v>
      </c>
      <c r="G432" s="71">
        <f t="shared" si="12"/>
        <v>8</v>
      </c>
      <c r="H432" s="71">
        <f t="shared" si="13"/>
        <v>55</v>
      </c>
    </row>
    <row r="433" spans="1:8" x14ac:dyDescent="0.2">
      <c r="A433" s="71" t="s">
        <v>254</v>
      </c>
      <c r="B433" s="71" t="s">
        <v>255</v>
      </c>
      <c r="C433" s="71" t="s">
        <v>53</v>
      </c>
      <c r="D433" s="88">
        <v>46241.685949074097</v>
      </c>
      <c r="E433" s="89">
        <v>46241</v>
      </c>
      <c r="F433" s="71" t="s">
        <v>1180</v>
      </c>
      <c r="G433" s="71">
        <f t="shared" si="12"/>
        <v>8</v>
      </c>
      <c r="H433" s="71">
        <f t="shared" si="13"/>
        <v>52</v>
      </c>
    </row>
    <row r="434" spans="1:8" x14ac:dyDescent="0.2">
      <c r="A434" s="71" t="s">
        <v>254</v>
      </c>
      <c r="B434" s="71" t="s">
        <v>255</v>
      </c>
      <c r="C434" s="71" t="s">
        <v>53</v>
      </c>
      <c r="D434" s="88">
        <v>46244.686574074098</v>
      </c>
      <c r="E434" s="89">
        <v>46244</v>
      </c>
      <c r="F434" s="71" t="s">
        <v>1181</v>
      </c>
      <c r="G434" s="71">
        <f t="shared" si="12"/>
        <v>8</v>
      </c>
      <c r="H434" s="71">
        <f t="shared" si="13"/>
        <v>43</v>
      </c>
    </row>
    <row r="435" spans="1:8" x14ac:dyDescent="0.2">
      <c r="A435" s="71" t="s">
        <v>254</v>
      </c>
      <c r="B435" s="71" t="s">
        <v>255</v>
      </c>
      <c r="C435" s="71" t="s">
        <v>53</v>
      </c>
      <c r="D435" s="88">
        <v>46245.578645833302</v>
      </c>
      <c r="E435" s="89">
        <v>46245</v>
      </c>
      <c r="F435" s="71" t="s">
        <v>1182</v>
      </c>
      <c r="G435" s="71">
        <f t="shared" si="12"/>
        <v>8</v>
      </c>
      <c r="H435" s="71">
        <f t="shared" si="13"/>
        <v>60</v>
      </c>
    </row>
    <row r="436" spans="1:8" x14ac:dyDescent="0.2">
      <c r="A436" s="71" t="s">
        <v>254</v>
      </c>
      <c r="B436" s="71" t="s">
        <v>255</v>
      </c>
      <c r="C436" s="71" t="s">
        <v>53</v>
      </c>
      <c r="D436" s="88">
        <v>46246.681828703702</v>
      </c>
      <c r="E436" s="89">
        <v>46246</v>
      </c>
      <c r="F436" s="71" t="s">
        <v>1183</v>
      </c>
      <c r="G436" s="71">
        <f t="shared" si="12"/>
        <v>8</v>
      </c>
      <c r="H436" s="71">
        <f t="shared" si="13"/>
        <v>40</v>
      </c>
    </row>
    <row r="437" spans="1:8" x14ac:dyDescent="0.2">
      <c r="A437" s="71" t="s">
        <v>254</v>
      </c>
      <c r="B437" s="71" t="s">
        <v>255</v>
      </c>
      <c r="C437" s="71" t="s">
        <v>53</v>
      </c>
      <c r="D437" s="88">
        <v>46247.681018518502</v>
      </c>
      <c r="E437" s="89">
        <v>46247</v>
      </c>
      <c r="F437" s="71" t="s">
        <v>1184</v>
      </c>
      <c r="G437" s="71">
        <f t="shared" si="12"/>
        <v>8</v>
      </c>
      <c r="H437" s="71">
        <f t="shared" si="13"/>
        <v>44</v>
      </c>
    </row>
    <row r="438" spans="1:8" x14ac:dyDescent="0.2">
      <c r="A438" s="71" t="s">
        <v>254</v>
      </c>
      <c r="B438" s="71" t="s">
        <v>255</v>
      </c>
      <c r="C438" s="71" t="s">
        <v>53</v>
      </c>
      <c r="D438" s="88">
        <v>46247.682314814803</v>
      </c>
      <c r="E438" s="89">
        <v>46247</v>
      </c>
      <c r="F438" s="71" t="s">
        <v>1185</v>
      </c>
      <c r="G438" s="71">
        <f t="shared" si="12"/>
        <v>8</v>
      </c>
      <c r="H438" s="71">
        <f t="shared" si="13"/>
        <v>27</v>
      </c>
    </row>
    <row r="439" spans="1:8" x14ac:dyDescent="0.2">
      <c r="A439" s="71" t="s">
        <v>254</v>
      </c>
      <c r="B439" s="71" t="s">
        <v>255</v>
      </c>
      <c r="C439" s="71" t="s">
        <v>53</v>
      </c>
      <c r="D439" s="88">
        <v>46248.680868055599</v>
      </c>
      <c r="E439" s="89">
        <v>46248</v>
      </c>
      <c r="F439" s="71" t="s">
        <v>1186</v>
      </c>
      <c r="G439" s="71">
        <f t="shared" si="12"/>
        <v>8</v>
      </c>
      <c r="H439" s="71">
        <f t="shared" si="13"/>
        <v>43</v>
      </c>
    </row>
    <row r="440" spans="1:8" x14ac:dyDescent="0.2">
      <c r="A440" s="71" t="s">
        <v>254</v>
      </c>
      <c r="B440" s="71" t="s">
        <v>255</v>
      </c>
      <c r="C440" s="71" t="s">
        <v>53</v>
      </c>
      <c r="D440" s="88">
        <v>46252.687106481499</v>
      </c>
      <c r="E440" s="89">
        <v>46252</v>
      </c>
      <c r="F440" s="71" t="s">
        <v>1187</v>
      </c>
      <c r="G440" s="71">
        <f t="shared" si="12"/>
        <v>8</v>
      </c>
      <c r="H440" s="71">
        <f t="shared" si="13"/>
        <v>73</v>
      </c>
    </row>
    <row r="441" spans="1:8" x14ac:dyDescent="0.2">
      <c r="A441" s="71" t="s">
        <v>254</v>
      </c>
      <c r="B441" s="71" t="s">
        <v>255</v>
      </c>
      <c r="C441" s="71" t="s">
        <v>53</v>
      </c>
      <c r="D441" s="88">
        <v>46253.682349536997</v>
      </c>
      <c r="E441" s="89">
        <v>46253</v>
      </c>
      <c r="F441" s="71" t="s">
        <v>1188</v>
      </c>
      <c r="G441" s="71">
        <f t="shared" si="12"/>
        <v>8</v>
      </c>
      <c r="H441" s="71">
        <f t="shared" si="13"/>
        <v>62</v>
      </c>
    </row>
    <row r="442" spans="1:8" x14ac:dyDescent="0.2">
      <c r="A442" s="71" t="s">
        <v>254</v>
      </c>
      <c r="B442" s="71" t="s">
        <v>255</v>
      </c>
      <c r="C442" s="71" t="s">
        <v>53</v>
      </c>
      <c r="D442" s="88">
        <v>46254.6808101852</v>
      </c>
      <c r="E442" s="89">
        <v>46254</v>
      </c>
      <c r="F442" s="71" t="s">
        <v>1189</v>
      </c>
      <c r="G442" s="71">
        <f t="shared" si="12"/>
        <v>8</v>
      </c>
      <c r="H442" s="71">
        <f t="shared" si="13"/>
        <v>48</v>
      </c>
    </row>
    <row r="443" spans="1:8" x14ac:dyDescent="0.2">
      <c r="A443" s="71" t="s">
        <v>254</v>
      </c>
      <c r="B443" s="71" t="s">
        <v>255</v>
      </c>
      <c r="C443" s="71" t="s">
        <v>53</v>
      </c>
      <c r="D443" s="88">
        <v>46255.6118981482</v>
      </c>
      <c r="E443" s="89">
        <v>46255</v>
      </c>
      <c r="F443" s="71" t="s">
        <v>1190</v>
      </c>
      <c r="G443" s="71">
        <f t="shared" si="12"/>
        <v>8</v>
      </c>
      <c r="H443" s="71">
        <f t="shared" si="13"/>
        <v>58</v>
      </c>
    </row>
    <row r="444" spans="1:8" x14ac:dyDescent="0.2">
      <c r="A444" s="71" t="s">
        <v>188</v>
      </c>
      <c r="B444" s="71" t="s">
        <v>189</v>
      </c>
      <c r="C444" s="71" t="s">
        <v>47</v>
      </c>
      <c r="D444" s="88">
        <v>46245.729328703703</v>
      </c>
      <c r="E444" s="89">
        <v>46245</v>
      </c>
      <c r="F444" s="71" t="s">
        <v>1191</v>
      </c>
      <c r="G444" s="71">
        <f t="shared" si="12"/>
        <v>8</v>
      </c>
      <c r="H444" s="71">
        <f t="shared" si="13"/>
        <v>62</v>
      </c>
    </row>
    <row r="445" spans="1:8" x14ac:dyDescent="0.2">
      <c r="A445" s="71" t="s">
        <v>188</v>
      </c>
      <c r="B445" s="71" t="s">
        <v>189</v>
      </c>
      <c r="C445" s="71" t="s">
        <v>47</v>
      </c>
      <c r="D445" s="88">
        <v>46245.730474536998</v>
      </c>
      <c r="E445" s="89">
        <v>46245</v>
      </c>
      <c r="F445" s="71" t="s">
        <v>1192</v>
      </c>
      <c r="G445" s="71">
        <f t="shared" si="12"/>
        <v>8</v>
      </c>
      <c r="H445" s="71">
        <f t="shared" si="13"/>
        <v>40</v>
      </c>
    </row>
    <row r="446" spans="1:8" x14ac:dyDescent="0.2">
      <c r="A446" s="71" t="s">
        <v>188</v>
      </c>
      <c r="B446" s="71" t="s">
        <v>189</v>
      </c>
      <c r="C446" s="71" t="s">
        <v>47</v>
      </c>
      <c r="D446" s="88">
        <v>46252.740509259304</v>
      </c>
      <c r="E446" s="89">
        <v>46252</v>
      </c>
      <c r="F446" s="71" t="s">
        <v>1193</v>
      </c>
      <c r="G446" s="71">
        <f t="shared" si="12"/>
        <v>8</v>
      </c>
      <c r="H446" s="71">
        <f t="shared" si="13"/>
        <v>79</v>
      </c>
    </row>
    <row r="447" spans="1:8" x14ac:dyDescent="0.2">
      <c r="A447" s="71" t="s">
        <v>188</v>
      </c>
      <c r="B447" s="71" t="s">
        <v>189</v>
      </c>
      <c r="C447" s="71" t="s">
        <v>47</v>
      </c>
      <c r="D447" s="88">
        <v>46253.708483796298</v>
      </c>
      <c r="E447" s="89">
        <v>46253</v>
      </c>
      <c r="F447" s="71" t="s">
        <v>1194</v>
      </c>
      <c r="G447" s="71">
        <f t="shared" si="12"/>
        <v>8</v>
      </c>
      <c r="H447" s="71">
        <f t="shared" si="13"/>
        <v>155</v>
      </c>
    </row>
    <row r="448" spans="1:8" x14ac:dyDescent="0.2">
      <c r="A448" s="71" t="s">
        <v>188</v>
      </c>
      <c r="B448" s="71" t="s">
        <v>189</v>
      </c>
      <c r="C448" s="71" t="s">
        <v>47</v>
      </c>
      <c r="D448" s="88">
        <v>46254.776562500003</v>
      </c>
      <c r="E448" s="89">
        <v>46254</v>
      </c>
      <c r="F448" s="71" t="s">
        <v>1195</v>
      </c>
      <c r="G448" s="71">
        <f t="shared" si="12"/>
        <v>8</v>
      </c>
      <c r="H448" s="71">
        <f t="shared" si="13"/>
        <v>103</v>
      </c>
    </row>
    <row r="449" spans="1:8" x14ac:dyDescent="0.2">
      <c r="A449" s="71" t="s">
        <v>188</v>
      </c>
      <c r="B449" s="71" t="s">
        <v>189</v>
      </c>
      <c r="C449" s="71" t="s">
        <v>47</v>
      </c>
      <c r="D449" s="88">
        <v>46255.9634143519</v>
      </c>
      <c r="E449" s="89">
        <v>46255</v>
      </c>
      <c r="F449" s="71" t="s">
        <v>1196</v>
      </c>
      <c r="G449" s="71">
        <f t="shared" si="12"/>
        <v>8</v>
      </c>
      <c r="H449" s="71">
        <f t="shared" si="13"/>
        <v>58</v>
      </c>
    </row>
    <row r="450" spans="1:8" x14ac:dyDescent="0.2">
      <c r="A450" s="71" t="s">
        <v>188</v>
      </c>
      <c r="B450" s="71" t="s">
        <v>189</v>
      </c>
      <c r="C450" s="71" t="s">
        <v>47</v>
      </c>
      <c r="D450" s="88">
        <v>46258.904780092598</v>
      </c>
      <c r="E450" s="89">
        <v>46258</v>
      </c>
      <c r="F450" s="71" t="s">
        <v>1197</v>
      </c>
      <c r="G450" s="71">
        <f t="shared" ref="G450:G513" si="14">MONTH(E450)</f>
        <v>8</v>
      </c>
      <c r="H450" s="71">
        <f t="shared" ref="H450:H513" si="15">LEN(F450)</f>
        <v>54</v>
      </c>
    </row>
    <row r="451" spans="1:8" x14ac:dyDescent="0.2">
      <c r="A451" s="71" t="s">
        <v>188</v>
      </c>
      <c r="B451" s="71" t="s">
        <v>189</v>
      </c>
      <c r="C451" s="71" t="s">
        <v>47</v>
      </c>
      <c r="D451" s="88">
        <v>46258.905312499999</v>
      </c>
      <c r="E451" s="89">
        <v>46258</v>
      </c>
      <c r="F451" s="71" t="s">
        <v>1198</v>
      </c>
      <c r="G451" s="71">
        <f t="shared" si="14"/>
        <v>8</v>
      </c>
      <c r="H451" s="71">
        <f t="shared" si="15"/>
        <v>83</v>
      </c>
    </row>
    <row r="452" spans="1:8" x14ac:dyDescent="0.2">
      <c r="A452" s="71" t="s">
        <v>188</v>
      </c>
      <c r="B452" s="71" t="s">
        <v>189</v>
      </c>
      <c r="C452" s="71" t="s">
        <v>47</v>
      </c>
      <c r="D452" s="88">
        <v>46258.906018518501</v>
      </c>
      <c r="E452" s="89">
        <v>46258</v>
      </c>
      <c r="F452" s="71" t="s">
        <v>1199</v>
      </c>
      <c r="G452" s="71">
        <f t="shared" si="14"/>
        <v>8</v>
      </c>
      <c r="H452" s="71">
        <f t="shared" si="15"/>
        <v>48</v>
      </c>
    </row>
    <row r="453" spans="1:8" x14ac:dyDescent="0.2">
      <c r="A453" s="71" t="s">
        <v>188</v>
      </c>
      <c r="B453" s="71" t="s">
        <v>189</v>
      </c>
      <c r="C453" s="71" t="s">
        <v>47</v>
      </c>
      <c r="D453" s="88">
        <v>46260.8054050926</v>
      </c>
      <c r="E453" s="89">
        <v>46260</v>
      </c>
      <c r="F453" s="71" t="s">
        <v>1200</v>
      </c>
      <c r="G453" s="71">
        <f t="shared" si="14"/>
        <v>8</v>
      </c>
      <c r="H453" s="71">
        <f t="shared" si="15"/>
        <v>21</v>
      </c>
    </row>
    <row r="454" spans="1:8" x14ac:dyDescent="0.2">
      <c r="A454" s="71" t="s">
        <v>188</v>
      </c>
      <c r="B454" s="71" t="s">
        <v>189</v>
      </c>
      <c r="C454" s="71" t="s">
        <v>47</v>
      </c>
      <c r="D454" s="88">
        <v>46260.806203703702</v>
      </c>
      <c r="E454" s="89">
        <v>46260</v>
      </c>
      <c r="F454" s="71" t="s">
        <v>1201</v>
      </c>
      <c r="G454" s="71">
        <f t="shared" si="14"/>
        <v>8</v>
      </c>
      <c r="H454" s="71">
        <f t="shared" si="15"/>
        <v>54</v>
      </c>
    </row>
    <row r="455" spans="1:8" x14ac:dyDescent="0.2">
      <c r="A455" s="71" t="s">
        <v>188</v>
      </c>
      <c r="B455" s="71" t="s">
        <v>189</v>
      </c>
      <c r="C455" s="71" t="s">
        <v>47</v>
      </c>
      <c r="D455" s="88">
        <v>46261.7483333333</v>
      </c>
      <c r="E455" s="89">
        <v>46261</v>
      </c>
      <c r="F455" s="71" t="s">
        <v>1202</v>
      </c>
      <c r="G455" s="71">
        <f t="shared" si="14"/>
        <v>8</v>
      </c>
      <c r="H455" s="71">
        <f t="shared" si="15"/>
        <v>101</v>
      </c>
    </row>
    <row r="456" spans="1:8" x14ac:dyDescent="0.2">
      <c r="A456" s="71" t="s">
        <v>188</v>
      </c>
      <c r="B456" s="71" t="s">
        <v>189</v>
      </c>
      <c r="C456" s="71" t="s">
        <v>47</v>
      </c>
      <c r="D456" s="88">
        <v>46261.749421296299</v>
      </c>
      <c r="E456" s="89">
        <v>46261</v>
      </c>
      <c r="F456" s="71" t="s">
        <v>1203</v>
      </c>
      <c r="G456" s="71">
        <f t="shared" si="14"/>
        <v>8</v>
      </c>
      <c r="H456" s="71">
        <f t="shared" si="15"/>
        <v>68</v>
      </c>
    </row>
    <row r="457" spans="1:8" x14ac:dyDescent="0.2">
      <c r="A457" s="71" t="s">
        <v>188</v>
      </c>
      <c r="B457" s="71" t="s">
        <v>189</v>
      </c>
      <c r="C457" s="71" t="s">
        <v>47</v>
      </c>
      <c r="D457" s="88">
        <v>46262.732557870397</v>
      </c>
      <c r="E457" s="89">
        <v>46262</v>
      </c>
      <c r="F457" s="71" t="s">
        <v>1204</v>
      </c>
      <c r="G457" s="71">
        <f t="shared" si="14"/>
        <v>8</v>
      </c>
      <c r="H457" s="71">
        <f t="shared" si="15"/>
        <v>38</v>
      </c>
    </row>
    <row r="458" spans="1:8" x14ac:dyDescent="0.2">
      <c r="A458" s="71" t="s">
        <v>188</v>
      </c>
      <c r="B458" s="71" t="s">
        <v>189</v>
      </c>
      <c r="C458" s="71" t="s">
        <v>47</v>
      </c>
      <c r="D458" s="88">
        <v>46262.733391203699</v>
      </c>
      <c r="E458" s="89">
        <v>46262</v>
      </c>
      <c r="F458" s="71" t="s">
        <v>1205</v>
      </c>
      <c r="G458" s="71">
        <f t="shared" si="14"/>
        <v>8</v>
      </c>
      <c r="H458" s="71">
        <f t="shared" si="15"/>
        <v>55</v>
      </c>
    </row>
    <row r="459" spans="1:8" x14ac:dyDescent="0.2">
      <c r="A459" s="71" t="s">
        <v>188</v>
      </c>
      <c r="B459" s="71" t="s">
        <v>189</v>
      </c>
      <c r="C459" s="71" t="s">
        <v>47</v>
      </c>
      <c r="D459" s="88">
        <v>46265.944988425901</v>
      </c>
      <c r="E459" s="89">
        <v>46265</v>
      </c>
      <c r="F459" s="71" t="s">
        <v>1206</v>
      </c>
      <c r="G459" s="71">
        <f t="shared" si="14"/>
        <v>8</v>
      </c>
      <c r="H459" s="71">
        <f t="shared" si="15"/>
        <v>61</v>
      </c>
    </row>
    <row r="460" spans="1:8" x14ac:dyDescent="0.2">
      <c r="A460" s="71" t="s">
        <v>188</v>
      </c>
      <c r="B460" s="71" t="s">
        <v>189</v>
      </c>
      <c r="C460" s="71" t="s">
        <v>47</v>
      </c>
      <c r="D460" s="88">
        <v>46265.946342592601</v>
      </c>
      <c r="E460" s="89">
        <v>46265</v>
      </c>
      <c r="F460" s="71" t="s">
        <v>1207</v>
      </c>
      <c r="G460" s="71">
        <f t="shared" si="14"/>
        <v>8</v>
      </c>
      <c r="H460" s="71">
        <f t="shared" si="15"/>
        <v>43</v>
      </c>
    </row>
    <row r="461" spans="1:8" x14ac:dyDescent="0.2">
      <c r="A461" s="71" t="s">
        <v>188</v>
      </c>
      <c r="B461" s="71" t="s">
        <v>189</v>
      </c>
      <c r="C461" s="71" t="s">
        <v>47</v>
      </c>
      <c r="D461" s="88">
        <v>46265.947534722203</v>
      </c>
      <c r="E461" s="89">
        <v>46265</v>
      </c>
      <c r="F461" s="71" t="s">
        <v>1208</v>
      </c>
      <c r="G461" s="71">
        <f t="shared" si="14"/>
        <v>8</v>
      </c>
      <c r="H461" s="71">
        <f t="shared" si="15"/>
        <v>68</v>
      </c>
    </row>
    <row r="462" spans="1:8" x14ac:dyDescent="0.2">
      <c r="A462" s="71" t="s">
        <v>188</v>
      </c>
      <c r="B462" s="71" t="s">
        <v>189</v>
      </c>
      <c r="C462" s="71" t="s">
        <v>47</v>
      </c>
      <c r="D462" s="88">
        <v>46266.9144675926</v>
      </c>
      <c r="E462" s="89">
        <v>46266</v>
      </c>
      <c r="F462" s="71" t="s">
        <v>1209</v>
      </c>
      <c r="G462" s="71">
        <f t="shared" si="14"/>
        <v>9</v>
      </c>
      <c r="H462" s="71">
        <f t="shared" si="15"/>
        <v>45</v>
      </c>
    </row>
    <row r="463" spans="1:8" x14ac:dyDescent="0.2">
      <c r="A463" s="71" t="s">
        <v>188</v>
      </c>
      <c r="B463" s="71" t="s">
        <v>189</v>
      </c>
      <c r="C463" s="71" t="s">
        <v>47</v>
      </c>
      <c r="D463" s="88">
        <v>46266.915023148198</v>
      </c>
      <c r="E463" s="89">
        <v>46266</v>
      </c>
      <c r="F463" s="71" t="s">
        <v>1210</v>
      </c>
      <c r="G463" s="71">
        <f t="shared" si="14"/>
        <v>9</v>
      </c>
      <c r="H463" s="71">
        <f t="shared" si="15"/>
        <v>38</v>
      </c>
    </row>
    <row r="464" spans="1:8" x14ac:dyDescent="0.2">
      <c r="A464" s="71" t="s">
        <v>188</v>
      </c>
      <c r="B464" s="71" t="s">
        <v>189</v>
      </c>
      <c r="C464" s="71" t="s">
        <v>47</v>
      </c>
      <c r="D464" s="88">
        <v>46267.941643518498</v>
      </c>
      <c r="E464" s="89">
        <v>46267</v>
      </c>
      <c r="F464" s="71" t="s">
        <v>1211</v>
      </c>
      <c r="G464" s="71">
        <f t="shared" si="14"/>
        <v>9</v>
      </c>
      <c r="H464" s="71">
        <f t="shared" si="15"/>
        <v>47</v>
      </c>
    </row>
    <row r="465" spans="1:8" x14ac:dyDescent="0.2">
      <c r="A465" s="71" t="s">
        <v>188</v>
      </c>
      <c r="B465" s="71" t="s">
        <v>189</v>
      </c>
      <c r="C465" s="71" t="s">
        <v>47</v>
      </c>
      <c r="D465" s="88">
        <v>46268.815127314803</v>
      </c>
      <c r="E465" s="89">
        <v>46268</v>
      </c>
      <c r="F465" s="71" t="s">
        <v>1212</v>
      </c>
      <c r="G465" s="71">
        <f t="shared" si="14"/>
        <v>9</v>
      </c>
      <c r="H465" s="71">
        <f t="shared" si="15"/>
        <v>52</v>
      </c>
    </row>
    <row r="466" spans="1:8" x14ac:dyDescent="0.2">
      <c r="A466" s="71" t="s">
        <v>188</v>
      </c>
      <c r="B466" s="71" t="s">
        <v>189</v>
      </c>
      <c r="C466" s="71" t="s">
        <v>47</v>
      </c>
      <c r="D466" s="88">
        <v>46269.733622685198</v>
      </c>
      <c r="E466" s="89">
        <v>46269</v>
      </c>
      <c r="F466" s="71" t="s">
        <v>1213</v>
      </c>
      <c r="G466" s="71">
        <f t="shared" si="14"/>
        <v>9</v>
      </c>
      <c r="H466" s="71">
        <f t="shared" si="15"/>
        <v>73</v>
      </c>
    </row>
    <row r="467" spans="1:8" x14ac:dyDescent="0.2">
      <c r="A467" s="71" t="s">
        <v>188</v>
      </c>
      <c r="B467" s="71" t="s">
        <v>189</v>
      </c>
      <c r="C467" s="71" t="s">
        <v>47</v>
      </c>
      <c r="D467" s="88">
        <v>46273.824907407397</v>
      </c>
      <c r="E467" s="89">
        <v>46273</v>
      </c>
      <c r="F467" s="71" t="s">
        <v>1214</v>
      </c>
      <c r="G467" s="71">
        <f t="shared" si="14"/>
        <v>9</v>
      </c>
      <c r="H467" s="71">
        <f t="shared" si="15"/>
        <v>47</v>
      </c>
    </row>
    <row r="468" spans="1:8" x14ac:dyDescent="0.2">
      <c r="A468" s="71" t="s">
        <v>188</v>
      </c>
      <c r="B468" s="71" t="s">
        <v>189</v>
      </c>
      <c r="C468" s="71" t="s">
        <v>47</v>
      </c>
      <c r="D468" s="88">
        <v>46273.826886574097</v>
      </c>
      <c r="E468" s="89">
        <v>46273</v>
      </c>
      <c r="F468" s="71" t="s">
        <v>1215</v>
      </c>
      <c r="G468" s="71">
        <f t="shared" si="14"/>
        <v>9</v>
      </c>
      <c r="H468" s="71">
        <f t="shared" si="15"/>
        <v>61</v>
      </c>
    </row>
    <row r="469" spans="1:8" x14ac:dyDescent="0.2">
      <c r="A469" s="71" t="s">
        <v>188</v>
      </c>
      <c r="B469" s="71" t="s">
        <v>189</v>
      </c>
      <c r="C469" s="71" t="s">
        <v>47</v>
      </c>
      <c r="D469" s="88">
        <v>46275.792847222197</v>
      </c>
      <c r="E469" s="89">
        <v>46275</v>
      </c>
      <c r="F469" s="71" t="s">
        <v>1216</v>
      </c>
      <c r="G469" s="71">
        <f t="shared" si="14"/>
        <v>9</v>
      </c>
      <c r="H469" s="71">
        <f t="shared" si="15"/>
        <v>58</v>
      </c>
    </row>
    <row r="470" spans="1:8" x14ac:dyDescent="0.2">
      <c r="A470" s="71" t="s">
        <v>188</v>
      </c>
      <c r="B470" s="71" t="s">
        <v>189</v>
      </c>
      <c r="C470" s="71" t="s">
        <v>47</v>
      </c>
      <c r="D470" s="88">
        <v>46275.793402777803</v>
      </c>
      <c r="E470" s="89">
        <v>46275</v>
      </c>
      <c r="F470" s="71" t="s">
        <v>1217</v>
      </c>
      <c r="G470" s="71">
        <f t="shared" si="14"/>
        <v>9</v>
      </c>
      <c r="H470" s="71">
        <f t="shared" si="15"/>
        <v>57</v>
      </c>
    </row>
    <row r="471" spans="1:8" x14ac:dyDescent="0.2">
      <c r="A471" s="71" t="s">
        <v>188</v>
      </c>
      <c r="B471" s="71" t="s">
        <v>189</v>
      </c>
      <c r="C471" s="71" t="s">
        <v>47</v>
      </c>
      <c r="D471" s="88">
        <v>46275.795057870397</v>
      </c>
      <c r="E471" s="89">
        <v>46275</v>
      </c>
      <c r="F471" s="71" t="s">
        <v>1218</v>
      </c>
      <c r="G471" s="71">
        <f t="shared" si="14"/>
        <v>9</v>
      </c>
      <c r="H471" s="71">
        <f t="shared" si="15"/>
        <v>59</v>
      </c>
    </row>
    <row r="472" spans="1:8" x14ac:dyDescent="0.2">
      <c r="A472" s="71" t="s">
        <v>188</v>
      </c>
      <c r="B472" s="71" t="s">
        <v>189</v>
      </c>
      <c r="C472" s="71" t="s">
        <v>47</v>
      </c>
      <c r="D472" s="88">
        <v>46279.702835648197</v>
      </c>
      <c r="E472" s="89">
        <v>46279</v>
      </c>
      <c r="F472" s="71" t="s">
        <v>1219</v>
      </c>
      <c r="G472" s="71">
        <f t="shared" si="14"/>
        <v>9</v>
      </c>
      <c r="H472" s="71">
        <f t="shared" si="15"/>
        <v>45</v>
      </c>
    </row>
    <row r="473" spans="1:8" x14ac:dyDescent="0.2">
      <c r="A473" s="71" t="s">
        <v>188</v>
      </c>
      <c r="B473" s="71" t="s">
        <v>189</v>
      </c>
      <c r="C473" s="71" t="s">
        <v>47</v>
      </c>
      <c r="D473" s="88">
        <v>46279.703333333302</v>
      </c>
      <c r="E473" s="89">
        <v>46279</v>
      </c>
      <c r="F473" s="71" t="s">
        <v>1220</v>
      </c>
      <c r="G473" s="71">
        <f t="shared" si="14"/>
        <v>9</v>
      </c>
      <c r="H473" s="71">
        <f t="shared" si="15"/>
        <v>36</v>
      </c>
    </row>
    <row r="474" spans="1:8" x14ac:dyDescent="0.2">
      <c r="A474" s="71" t="s">
        <v>188</v>
      </c>
      <c r="B474" s="71" t="s">
        <v>189</v>
      </c>
      <c r="C474" s="71" t="s">
        <v>47</v>
      </c>
      <c r="D474" s="88">
        <v>46279.7042939815</v>
      </c>
      <c r="E474" s="89">
        <v>46279</v>
      </c>
      <c r="F474" s="71" t="s">
        <v>1221</v>
      </c>
      <c r="G474" s="71">
        <f t="shared" si="14"/>
        <v>9</v>
      </c>
      <c r="H474" s="71">
        <f t="shared" si="15"/>
        <v>93</v>
      </c>
    </row>
    <row r="475" spans="1:8" x14ac:dyDescent="0.2">
      <c r="A475" s="71" t="s">
        <v>188</v>
      </c>
      <c r="B475" s="71" t="s">
        <v>189</v>
      </c>
      <c r="C475" s="71" t="s">
        <v>47</v>
      </c>
      <c r="D475" s="88">
        <v>46280.814965277801</v>
      </c>
      <c r="E475" s="89">
        <v>46280</v>
      </c>
      <c r="F475" s="71" t="s">
        <v>1222</v>
      </c>
      <c r="G475" s="71">
        <f t="shared" si="14"/>
        <v>9</v>
      </c>
      <c r="H475" s="71">
        <f t="shared" si="15"/>
        <v>83</v>
      </c>
    </row>
    <row r="476" spans="1:8" x14ac:dyDescent="0.2">
      <c r="A476" s="71" t="s">
        <v>188</v>
      </c>
      <c r="B476" s="71" t="s">
        <v>189</v>
      </c>
      <c r="C476" s="71" t="s">
        <v>47</v>
      </c>
      <c r="D476" s="88">
        <v>46280.815729166701</v>
      </c>
      <c r="E476" s="89">
        <v>46280</v>
      </c>
      <c r="F476" s="71" t="s">
        <v>1223</v>
      </c>
      <c r="G476" s="71">
        <f t="shared" si="14"/>
        <v>9</v>
      </c>
      <c r="H476" s="71">
        <f t="shared" si="15"/>
        <v>87</v>
      </c>
    </row>
    <row r="477" spans="1:8" x14ac:dyDescent="0.2">
      <c r="A477" s="71" t="s">
        <v>188</v>
      </c>
      <c r="B477" s="71" t="s">
        <v>189</v>
      </c>
      <c r="C477" s="71" t="s">
        <v>47</v>
      </c>
      <c r="D477" s="88">
        <v>46280.817233796297</v>
      </c>
      <c r="E477" s="89">
        <v>46280</v>
      </c>
      <c r="F477" s="71" t="s">
        <v>1224</v>
      </c>
      <c r="G477" s="71">
        <f t="shared" si="14"/>
        <v>9</v>
      </c>
      <c r="H477" s="71">
        <f t="shared" si="15"/>
        <v>60</v>
      </c>
    </row>
    <row r="478" spans="1:8" x14ac:dyDescent="0.2">
      <c r="A478" s="71" t="s">
        <v>188</v>
      </c>
      <c r="B478" s="71" t="s">
        <v>189</v>
      </c>
      <c r="C478" s="71" t="s">
        <v>47</v>
      </c>
      <c r="D478" s="88">
        <v>46281.779259259303</v>
      </c>
      <c r="E478" s="89">
        <v>46281</v>
      </c>
      <c r="F478" s="71" t="s">
        <v>1225</v>
      </c>
      <c r="G478" s="71">
        <f t="shared" si="14"/>
        <v>9</v>
      </c>
      <c r="H478" s="71">
        <f t="shared" si="15"/>
        <v>91</v>
      </c>
    </row>
    <row r="479" spans="1:8" x14ac:dyDescent="0.2">
      <c r="A479" s="71" t="s">
        <v>188</v>
      </c>
      <c r="B479" s="71" t="s">
        <v>189</v>
      </c>
      <c r="C479" s="71" t="s">
        <v>47</v>
      </c>
      <c r="D479" s="88">
        <v>46281.779641203699</v>
      </c>
      <c r="E479" s="89">
        <v>46281</v>
      </c>
      <c r="F479" s="71" t="s">
        <v>1226</v>
      </c>
      <c r="G479" s="71">
        <f t="shared" si="14"/>
        <v>9</v>
      </c>
      <c r="H479" s="71">
        <f t="shared" si="15"/>
        <v>73</v>
      </c>
    </row>
    <row r="480" spans="1:8" x14ac:dyDescent="0.2">
      <c r="A480" s="71" t="s">
        <v>188</v>
      </c>
      <c r="B480" s="71" t="s">
        <v>189</v>
      </c>
      <c r="C480" s="71" t="s">
        <v>47</v>
      </c>
      <c r="D480" s="88">
        <v>46282.843055555597</v>
      </c>
      <c r="E480" s="89">
        <v>46282</v>
      </c>
      <c r="F480" s="71" t="s">
        <v>1227</v>
      </c>
      <c r="G480" s="71">
        <f t="shared" si="14"/>
        <v>9</v>
      </c>
      <c r="H480" s="71">
        <f t="shared" si="15"/>
        <v>95</v>
      </c>
    </row>
    <row r="481" spans="1:8" x14ac:dyDescent="0.2">
      <c r="A481" s="71" t="s">
        <v>188</v>
      </c>
      <c r="B481" s="71" t="s">
        <v>189</v>
      </c>
      <c r="C481" s="71" t="s">
        <v>47</v>
      </c>
      <c r="D481" s="88">
        <v>46282.843472222201</v>
      </c>
      <c r="E481" s="89">
        <v>46282</v>
      </c>
      <c r="F481" s="71" t="s">
        <v>1228</v>
      </c>
      <c r="G481" s="71">
        <f t="shared" si="14"/>
        <v>9</v>
      </c>
      <c r="H481" s="71">
        <f t="shared" si="15"/>
        <v>60</v>
      </c>
    </row>
    <row r="482" spans="1:8" x14ac:dyDescent="0.2">
      <c r="A482" s="71" t="s">
        <v>188</v>
      </c>
      <c r="B482" s="71" t="s">
        <v>189</v>
      </c>
      <c r="C482" s="71" t="s">
        <v>47</v>
      </c>
      <c r="D482" s="88">
        <v>46282.844305555598</v>
      </c>
      <c r="E482" s="89">
        <v>46282</v>
      </c>
      <c r="F482" s="71" t="s">
        <v>1229</v>
      </c>
      <c r="G482" s="71">
        <f t="shared" si="14"/>
        <v>9</v>
      </c>
      <c r="H482" s="71">
        <f t="shared" si="15"/>
        <v>45</v>
      </c>
    </row>
    <row r="483" spans="1:8" x14ac:dyDescent="0.2">
      <c r="A483" s="71" t="s">
        <v>188</v>
      </c>
      <c r="B483" s="71" t="s">
        <v>189</v>
      </c>
      <c r="C483" s="71" t="s">
        <v>47</v>
      </c>
      <c r="D483" s="88">
        <v>46283.7402546296</v>
      </c>
      <c r="E483" s="89">
        <v>46283</v>
      </c>
      <c r="F483" s="71" t="s">
        <v>1230</v>
      </c>
      <c r="G483" s="71">
        <f t="shared" si="14"/>
        <v>9</v>
      </c>
      <c r="H483" s="71">
        <f t="shared" si="15"/>
        <v>44</v>
      </c>
    </row>
    <row r="484" spans="1:8" x14ac:dyDescent="0.2">
      <c r="A484" s="71" t="s">
        <v>188</v>
      </c>
      <c r="B484" s="71" t="s">
        <v>189</v>
      </c>
      <c r="C484" s="71" t="s">
        <v>47</v>
      </c>
      <c r="D484" s="88">
        <v>46283.743078703701</v>
      </c>
      <c r="E484" s="89">
        <v>46283</v>
      </c>
      <c r="F484" s="71" t="s">
        <v>1231</v>
      </c>
      <c r="G484" s="71">
        <f t="shared" si="14"/>
        <v>9</v>
      </c>
      <c r="H484" s="71">
        <f t="shared" si="15"/>
        <v>32</v>
      </c>
    </row>
    <row r="485" spans="1:8" x14ac:dyDescent="0.2">
      <c r="A485" s="71" t="s">
        <v>188</v>
      </c>
      <c r="B485" s="71" t="s">
        <v>189</v>
      </c>
      <c r="C485" s="71" t="s">
        <v>47</v>
      </c>
      <c r="D485" s="88">
        <v>46286.859317129602</v>
      </c>
      <c r="E485" s="89">
        <v>46286</v>
      </c>
      <c r="F485" s="71" t="s">
        <v>1232</v>
      </c>
      <c r="G485" s="71">
        <f t="shared" si="14"/>
        <v>9</v>
      </c>
      <c r="H485" s="71">
        <f t="shared" si="15"/>
        <v>21</v>
      </c>
    </row>
    <row r="486" spans="1:8" x14ac:dyDescent="0.2">
      <c r="A486" s="71" t="s">
        <v>188</v>
      </c>
      <c r="B486" s="71" t="s">
        <v>189</v>
      </c>
      <c r="C486" s="71" t="s">
        <v>47</v>
      </c>
      <c r="D486" s="88">
        <v>46286.860312500001</v>
      </c>
      <c r="E486" s="89">
        <v>46286</v>
      </c>
      <c r="F486" s="71" t="s">
        <v>1233</v>
      </c>
      <c r="G486" s="71">
        <f t="shared" si="14"/>
        <v>9</v>
      </c>
      <c r="H486" s="71">
        <f t="shared" si="15"/>
        <v>57</v>
      </c>
    </row>
    <row r="487" spans="1:8" x14ac:dyDescent="0.2">
      <c r="A487" s="71" t="s">
        <v>188</v>
      </c>
      <c r="B487" s="71" t="s">
        <v>189</v>
      </c>
      <c r="C487" s="71" t="s">
        <v>47</v>
      </c>
      <c r="D487" s="88">
        <v>46287.947465277801</v>
      </c>
      <c r="E487" s="89">
        <v>46287</v>
      </c>
      <c r="F487" s="71" t="s">
        <v>1234</v>
      </c>
      <c r="G487" s="71">
        <f t="shared" si="14"/>
        <v>9</v>
      </c>
      <c r="H487" s="71">
        <f t="shared" si="15"/>
        <v>33</v>
      </c>
    </row>
    <row r="488" spans="1:8" x14ac:dyDescent="0.2">
      <c r="A488" s="71" t="s">
        <v>188</v>
      </c>
      <c r="B488" s="71" t="s">
        <v>189</v>
      </c>
      <c r="C488" s="71" t="s">
        <v>47</v>
      </c>
      <c r="D488" s="88">
        <v>46287.948356481502</v>
      </c>
      <c r="E488" s="89">
        <v>46287</v>
      </c>
      <c r="F488" s="71" t="s">
        <v>1235</v>
      </c>
      <c r="G488" s="71">
        <f t="shared" si="14"/>
        <v>9</v>
      </c>
      <c r="H488" s="71">
        <f t="shared" si="15"/>
        <v>60</v>
      </c>
    </row>
    <row r="489" spans="1:8" x14ac:dyDescent="0.2">
      <c r="A489" s="71" t="s">
        <v>188</v>
      </c>
      <c r="B489" s="71" t="s">
        <v>189</v>
      </c>
      <c r="C489" s="71" t="s">
        <v>47</v>
      </c>
      <c r="D489" s="88">
        <v>46288.822418981501</v>
      </c>
      <c r="E489" s="89">
        <v>46288</v>
      </c>
      <c r="F489" s="71" t="s">
        <v>1236</v>
      </c>
      <c r="G489" s="71">
        <f t="shared" si="14"/>
        <v>9</v>
      </c>
      <c r="H489" s="71">
        <f t="shared" si="15"/>
        <v>38</v>
      </c>
    </row>
    <row r="490" spans="1:8" x14ac:dyDescent="0.2">
      <c r="A490" s="71" t="s">
        <v>188</v>
      </c>
      <c r="B490" s="71" t="s">
        <v>189</v>
      </c>
      <c r="C490" s="71" t="s">
        <v>47</v>
      </c>
      <c r="D490" s="88">
        <v>46288.8227430556</v>
      </c>
      <c r="E490" s="89">
        <v>46288</v>
      </c>
      <c r="F490" s="71" t="s">
        <v>1237</v>
      </c>
      <c r="G490" s="71">
        <f t="shared" si="14"/>
        <v>9</v>
      </c>
      <c r="H490" s="71">
        <f t="shared" si="15"/>
        <v>46</v>
      </c>
    </row>
    <row r="491" spans="1:8" x14ac:dyDescent="0.2">
      <c r="A491" s="71" t="s">
        <v>188</v>
      </c>
      <c r="B491" s="71" t="s">
        <v>189</v>
      </c>
      <c r="C491" s="71" t="s">
        <v>47</v>
      </c>
      <c r="D491" s="88">
        <v>46290.813078703701</v>
      </c>
      <c r="E491" s="89">
        <v>46290</v>
      </c>
      <c r="F491" s="71" t="s">
        <v>1238</v>
      </c>
      <c r="G491" s="71">
        <f t="shared" si="14"/>
        <v>9</v>
      </c>
      <c r="H491" s="71">
        <f t="shared" si="15"/>
        <v>48</v>
      </c>
    </row>
    <row r="492" spans="1:8" x14ac:dyDescent="0.2">
      <c r="A492" s="71" t="s">
        <v>188</v>
      </c>
      <c r="B492" s="71" t="s">
        <v>189</v>
      </c>
      <c r="C492" s="71" t="s">
        <v>47</v>
      </c>
      <c r="D492" s="88">
        <v>46290.814351851899</v>
      </c>
      <c r="E492" s="89">
        <v>46290</v>
      </c>
      <c r="F492" s="71" t="s">
        <v>1239</v>
      </c>
      <c r="G492" s="71">
        <f t="shared" si="14"/>
        <v>9</v>
      </c>
      <c r="H492" s="71">
        <f t="shared" si="15"/>
        <v>35</v>
      </c>
    </row>
    <row r="493" spans="1:8" x14ac:dyDescent="0.2">
      <c r="A493" s="71" t="s">
        <v>188</v>
      </c>
      <c r="B493" s="71" t="s">
        <v>189</v>
      </c>
      <c r="C493" s="71" t="s">
        <v>47</v>
      </c>
      <c r="D493" s="88">
        <v>46290.8146180556</v>
      </c>
      <c r="E493" s="89">
        <v>46290</v>
      </c>
      <c r="F493" s="71" t="s">
        <v>1240</v>
      </c>
      <c r="G493" s="71">
        <f t="shared" si="14"/>
        <v>9</v>
      </c>
      <c r="H493" s="71">
        <f t="shared" si="15"/>
        <v>32</v>
      </c>
    </row>
    <row r="494" spans="1:8" x14ac:dyDescent="0.2">
      <c r="A494" s="71" t="s">
        <v>188</v>
      </c>
      <c r="B494" s="71" t="s">
        <v>189</v>
      </c>
      <c r="C494" s="71" t="s">
        <v>47</v>
      </c>
      <c r="D494" s="88">
        <v>46293.849432870396</v>
      </c>
      <c r="E494" s="89">
        <v>46293</v>
      </c>
      <c r="F494" s="71" t="s">
        <v>1241</v>
      </c>
      <c r="G494" s="71">
        <f t="shared" si="14"/>
        <v>9</v>
      </c>
      <c r="H494" s="71">
        <f t="shared" si="15"/>
        <v>105</v>
      </c>
    </row>
    <row r="495" spans="1:8" x14ac:dyDescent="0.2">
      <c r="A495" s="71" t="s">
        <v>188</v>
      </c>
      <c r="B495" s="71" t="s">
        <v>189</v>
      </c>
      <c r="C495" s="71" t="s">
        <v>47</v>
      </c>
      <c r="D495" s="88">
        <v>46294.857962962997</v>
      </c>
      <c r="E495" s="89">
        <v>46294</v>
      </c>
      <c r="F495" s="71" t="s">
        <v>1242</v>
      </c>
      <c r="G495" s="71">
        <f t="shared" si="14"/>
        <v>9</v>
      </c>
      <c r="H495" s="71">
        <f t="shared" si="15"/>
        <v>53</v>
      </c>
    </row>
    <row r="496" spans="1:8" x14ac:dyDescent="0.2">
      <c r="A496" s="71" t="s">
        <v>188</v>
      </c>
      <c r="B496" s="71" t="s">
        <v>189</v>
      </c>
      <c r="C496" s="71" t="s">
        <v>47</v>
      </c>
      <c r="D496" s="88">
        <v>46294.858495370398</v>
      </c>
      <c r="E496" s="89">
        <v>46294</v>
      </c>
      <c r="F496" s="71" t="s">
        <v>1243</v>
      </c>
      <c r="G496" s="71">
        <f t="shared" si="14"/>
        <v>9</v>
      </c>
      <c r="H496" s="71">
        <f t="shared" si="15"/>
        <v>63</v>
      </c>
    </row>
    <row r="497" spans="1:8" x14ac:dyDescent="0.2">
      <c r="A497" s="71" t="s">
        <v>188</v>
      </c>
      <c r="B497" s="71" t="s">
        <v>189</v>
      </c>
      <c r="C497" s="71" t="s">
        <v>47</v>
      </c>
      <c r="D497" s="88">
        <v>46295.833773148202</v>
      </c>
      <c r="E497" s="89">
        <v>46295</v>
      </c>
      <c r="F497" s="71" t="s">
        <v>1244</v>
      </c>
      <c r="G497" s="71">
        <f t="shared" si="14"/>
        <v>9</v>
      </c>
      <c r="H497" s="71">
        <f t="shared" si="15"/>
        <v>78</v>
      </c>
    </row>
    <row r="498" spans="1:8" x14ac:dyDescent="0.2">
      <c r="A498" s="71" t="s">
        <v>243</v>
      </c>
      <c r="B498" s="71" t="s">
        <v>244</v>
      </c>
      <c r="C498" s="71" t="s">
        <v>43</v>
      </c>
      <c r="D498" s="88">
        <v>46279.693981481498</v>
      </c>
      <c r="E498" s="89">
        <v>46279</v>
      </c>
      <c r="F498" s="71" t="s">
        <v>1245</v>
      </c>
      <c r="G498" s="71">
        <f t="shared" si="14"/>
        <v>9</v>
      </c>
      <c r="H498" s="71">
        <f t="shared" si="15"/>
        <v>41</v>
      </c>
    </row>
    <row r="499" spans="1:8" x14ac:dyDescent="0.2">
      <c r="A499" s="71" t="s">
        <v>243</v>
      </c>
      <c r="B499" s="71" t="s">
        <v>244</v>
      </c>
      <c r="C499" s="71" t="s">
        <v>43</v>
      </c>
      <c r="D499" s="88">
        <v>46280.567557870403</v>
      </c>
      <c r="E499" s="89">
        <v>46280</v>
      </c>
      <c r="F499" s="71" t="s">
        <v>1246</v>
      </c>
      <c r="G499" s="71">
        <f t="shared" si="14"/>
        <v>9</v>
      </c>
      <c r="H499" s="71">
        <f t="shared" si="15"/>
        <v>54</v>
      </c>
    </row>
    <row r="500" spans="1:8" x14ac:dyDescent="0.2">
      <c r="A500" s="71" t="s">
        <v>243</v>
      </c>
      <c r="B500" s="71" t="s">
        <v>244</v>
      </c>
      <c r="C500" s="71" t="s">
        <v>43</v>
      </c>
      <c r="D500" s="88">
        <v>46281.568958333301</v>
      </c>
      <c r="E500" s="89">
        <v>46281</v>
      </c>
      <c r="F500" s="71" t="s">
        <v>1247</v>
      </c>
      <c r="G500" s="71">
        <f t="shared" si="14"/>
        <v>9</v>
      </c>
      <c r="H500" s="71">
        <f t="shared" si="15"/>
        <v>83</v>
      </c>
    </row>
    <row r="501" spans="1:8" x14ac:dyDescent="0.2">
      <c r="A501" s="71" t="s">
        <v>243</v>
      </c>
      <c r="B501" s="71" t="s">
        <v>244</v>
      </c>
      <c r="C501" s="71" t="s">
        <v>43</v>
      </c>
      <c r="D501" s="88">
        <v>46282.667002314804</v>
      </c>
      <c r="E501" s="89">
        <v>46282</v>
      </c>
      <c r="F501" s="71" t="s">
        <v>1248</v>
      </c>
      <c r="G501" s="71">
        <f t="shared" si="14"/>
        <v>9</v>
      </c>
      <c r="H501" s="71">
        <f t="shared" si="15"/>
        <v>167</v>
      </c>
    </row>
    <row r="502" spans="1:8" x14ac:dyDescent="0.2">
      <c r="A502" s="71" t="s">
        <v>243</v>
      </c>
      <c r="B502" s="71" t="s">
        <v>244</v>
      </c>
      <c r="C502" s="71" t="s">
        <v>43</v>
      </c>
      <c r="D502" s="88">
        <v>46283.717557870397</v>
      </c>
      <c r="E502" s="89">
        <v>46283</v>
      </c>
      <c r="F502" s="71" t="s">
        <v>1249</v>
      </c>
      <c r="G502" s="71">
        <f t="shared" si="14"/>
        <v>9</v>
      </c>
      <c r="H502" s="71">
        <f t="shared" si="15"/>
        <v>91</v>
      </c>
    </row>
    <row r="503" spans="1:8" x14ac:dyDescent="0.2">
      <c r="A503" s="71" t="s">
        <v>243</v>
      </c>
      <c r="B503" s="71" t="s">
        <v>244</v>
      </c>
      <c r="C503" s="71" t="s">
        <v>43</v>
      </c>
      <c r="D503" s="88">
        <v>46286.7209953704</v>
      </c>
      <c r="E503" s="89">
        <v>46286</v>
      </c>
      <c r="F503" s="71" t="s">
        <v>1250</v>
      </c>
      <c r="G503" s="71">
        <f t="shared" si="14"/>
        <v>9</v>
      </c>
      <c r="H503" s="71">
        <f t="shared" si="15"/>
        <v>128</v>
      </c>
    </row>
    <row r="504" spans="1:8" x14ac:dyDescent="0.2">
      <c r="A504" s="71" t="s">
        <v>243</v>
      </c>
      <c r="B504" s="71" t="s">
        <v>244</v>
      </c>
      <c r="C504" s="71" t="s">
        <v>43</v>
      </c>
      <c r="D504" s="88">
        <v>46287.685335648202</v>
      </c>
      <c r="E504" s="89">
        <v>46287</v>
      </c>
      <c r="F504" s="71" t="s">
        <v>1251</v>
      </c>
      <c r="G504" s="71">
        <f t="shared" si="14"/>
        <v>9</v>
      </c>
      <c r="H504" s="71">
        <f t="shared" si="15"/>
        <v>83</v>
      </c>
    </row>
    <row r="505" spans="1:8" x14ac:dyDescent="0.2">
      <c r="A505" s="71" t="s">
        <v>243</v>
      </c>
      <c r="B505" s="71" t="s">
        <v>244</v>
      </c>
      <c r="C505" s="71" t="s">
        <v>43</v>
      </c>
      <c r="D505" s="88">
        <v>46288.607523148101</v>
      </c>
      <c r="E505" s="89">
        <v>46288</v>
      </c>
      <c r="F505" s="71" t="s">
        <v>1252</v>
      </c>
      <c r="G505" s="71">
        <f t="shared" si="14"/>
        <v>9</v>
      </c>
      <c r="H505" s="71">
        <f t="shared" si="15"/>
        <v>84</v>
      </c>
    </row>
    <row r="506" spans="1:8" x14ac:dyDescent="0.2">
      <c r="A506" s="71" t="s">
        <v>243</v>
      </c>
      <c r="B506" s="71" t="s">
        <v>244</v>
      </c>
      <c r="C506" s="71" t="s">
        <v>43</v>
      </c>
      <c r="D506" s="88">
        <v>46289.688738425903</v>
      </c>
      <c r="E506" s="89">
        <v>46289</v>
      </c>
      <c r="F506" s="71" t="s">
        <v>1253</v>
      </c>
      <c r="G506" s="71">
        <f t="shared" si="14"/>
        <v>9</v>
      </c>
      <c r="H506" s="71">
        <f t="shared" si="15"/>
        <v>94</v>
      </c>
    </row>
    <row r="507" spans="1:8" x14ac:dyDescent="0.2">
      <c r="A507" s="71" t="s">
        <v>243</v>
      </c>
      <c r="B507" s="71" t="s">
        <v>244</v>
      </c>
      <c r="C507" s="71" t="s">
        <v>43</v>
      </c>
      <c r="D507" s="88">
        <v>46290.688472222202</v>
      </c>
      <c r="E507" s="89">
        <v>46290</v>
      </c>
      <c r="F507" s="71" t="s">
        <v>1254</v>
      </c>
      <c r="G507" s="71">
        <f t="shared" si="14"/>
        <v>9</v>
      </c>
      <c r="H507" s="71">
        <f t="shared" si="15"/>
        <v>100</v>
      </c>
    </row>
    <row r="508" spans="1:8" x14ac:dyDescent="0.2">
      <c r="A508" s="71" t="s">
        <v>243</v>
      </c>
      <c r="B508" s="71" t="s">
        <v>244</v>
      </c>
      <c r="C508" s="71" t="s">
        <v>43</v>
      </c>
      <c r="D508" s="88">
        <v>46293.705995370401</v>
      </c>
      <c r="E508" s="89">
        <v>46293</v>
      </c>
      <c r="F508" s="71" t="s">
        <v>1255</v>
      </c>
      <c r="G508" s="71">
        <f t="shared" si="14"/>
        <v>9</v>
      </c>
      <c r="H508" s="71">
        <f t="shared" si="15"/>
        <v>106</v>
      </c>
    </row>
    <row r="509" spans="1:8" x14ac:dyDescent="0.2">
      <c r="A509" s="71" t="s">
        <v>243</v>
      </c>
      <c r="B509" s="71" t="s">
        <v>244</v>
      </c>
      <c r="C509" s="71" t="s">
        <v>43</v>
      </c>
      <c r="D509" s="88">
        <v>46294.687060185199</v>
      </c>
      <c r="E509" s="89">
        <v>46294</v>
      </c>
      <c r="F509" s="71" t="s">
        <v>1256</v>
      </c>
      <c r="G509" s="71">
        <f t="shared" si="14"/>
        <v>9</v>
      </c>
      <c r="H509" s="71">
        <f t="shared" si="15"/>
        <v>119</v>
      </c>
    </row>
    <row r="510" spans="1:8" x14ac:dyDescent="0.2">
      <c r="A510" s="71" t="s">
        <v>243</v>
      </c>
      <c r="B510" s="71" t="s">
        <v>244</v>
      </c>
      <c r="C510" s="71" t="s">
        <v>43</v>
      </c>
      <c r="D510" s="88">
        <v>46295.680775462999</v>
      </c>
      <c r="E510" s="89">
        <v>46295</v>
      </c>
      <c r="F510" s="71" t="s">
        <v>1257</v>
      </c>
      <c r="G510" s="71">
        <f t="shared" si="14"/>
        <v>9</v>
      </c>
      <c r="H510" s="71">
        <f t="shared" si="15"/>
        <v>111</v>
      </c>
    </row>
    <row r="511" spans="1:8" x14ac:dyDescent="0.2">
      <c r="A511" s="71" t="s">
        <v>191</v>
      </c>
      <c r="B511" s="71" t="s">
        <v>192</v>
      </c>
      <c r="C511" s="71" t="s">
        <v>47</v>
      </c>
      <c r="D511" s="88">
        <v>46252.431701388901</v>
      </c>
      <c r="E511" s="89">
        <v>46252</v>
      </c>
      <c r="F511" s="71" t="s">
        <v>1258</v>
      </c>
      <c r="G511" s="71">
        <f t="shared" si="14"/>
        <v>8</v>
      </c>
      <c r="H511" s="71">
        <f t="shared" si="15"/>
        <v>192</v>
      </c>
    </row>
    <row r="512" spans="1:8" x14ac:dyDescent="0.2">
      <c r="A512" s="71" t="s">
        <v>191</v>
      </c>
      <c r="B512" s="71" t="s">
        <v>192</v>
      </c>
      <c r="C512" s="71" t="s">
        <v>47</v>
      </c>
      <c r="D512" s="88">
        <v>46252.744560185201</v>
      </c>
      <c r="E512" s="89">
        <v>46252</v>
      </c>
      <c r="F512" s="71" t="s">
        <v>1259</v>
      </c>
      <c r="G512" s="71">
        <f t="shared" si="14"/>
        <v>8</v>
      </c>
      <c r="H512" s="71">
        <f t="shared" si="15"/>
        <v>24</v>
      </c>
    </row>
    <row r="513" spans="1:8" x14ac:dyDescent="0.2">
      <c r="A513" s="71" t="s">
        <v>191</v>
      </c>
      <c r="B513" s="71" t="s">
        <v>192</v>
      </c>
      <c r="C513" s="71" t="s">
        <v>47</v>
      </c>
      <c r="D513" s="88">
        <v>46253.610787037003</v>
      </c>
      <c r="E513" s="89">
        <v>46253</v>
      </c>
      <c r="F513" s="71" t="s">
        <v>1260</v>
      </c>
      <c r="G513" s="71">
        <f t="shared" si="14"/>
        <v>8</v>
      </c>
      <c r="H513" s="71">
        <f t="shared" si="15"/>
        <v>54</v>
      </c>
    </row>
    <row r="514" spans="1:8" x14ac:dyDescent="0.2">
      <c r="A514" s="71" t="s">
        <v>191</v>
      </c>
      <c r="B514" s="71" t="s">
        <v>192</v>
      </c>
      <c r="C514" s="71" t="s">
        <v>47</v>
      </c>
      <c r="D514" s="88">
        <v>46254.647789351897</v>
      </c>
      <c r="E514" s="89">
        <v>46254</v>
      </c>
      <c r="F514" s="71" t="s">
        <v>1261</v>
      </c>
      <c r="G514" s="71">
        <f t="shared" ref="G514:G577" si="16">MONTH(E514)</f>
        <v>8</v>
      </c>
      <c r="H514" s="71">
        <f t="shared" ref="H514:H577" si="17">LEN(F514)</f>
        <v>63</v>
      </c>
    </row>
    <row r="515" spans="1:8" x14ac:dyDescent="0.2">
      <c r="A515" s="71" t="s">
        <v>191</v>
      </c>
      <c r="B515" s="71" t="s">
        <v>192</v>
      </c>
      <c r="C515" s="71" t="s">
        <v>47</v>
      </c>
      <c r="D515" s="88">
        <v>46255.654143518499</v>
      </c>
      <c r="E515" s="89">
        <v>46255</v>
      </c>
      <c r="F515" s="71" t="s">
        <v>1262</v>
      </c>
      <c r="G515" s="71">
        <f t="shared" si="16"/>
        <v>8</v>
      </c>
      <c r="H515" s="71">
        <f t="shared" si="17"/>
        <v>29</v>
      </c>
    </row>
    <row r="516" spans="1:8" x14ac:dyDescent="0.2">
      <c r="A516" s="71" t="s">
        <v>191</v>
      </c>
      <c r="B516" s="71" t="s">
        <v>192</v>
      </c>
      <c r="C516" s="71" t="s">
        <v>47</v>
      </c>
      <c r="D516" s="88">
        <v>46255.6906481482</v>
      </c>
      <c r="E516" s="89">
        <v>46255</v>
      </c>
      <c r="F516" s="71" t="s">
        <v>1263</v>
      </c>
      <c r="G516" s="71">
        <f t="shared" si="16"/>
        <v>8</v>
      </c>
      <c r="H516" s="71">
        <f t="shared" si="17"/>
        <v>40</v>
      </c>
    </row>
    <row r="517" spans="1:8" x14ac:dyDescent="0.2">
      <c r="A517" s="71" t="s">
        <v>191</v>
      </c>
      <c r="B517" s="71" t="s">
        <v>192</v>
      </c>
      <c r="C517" s="71" t="s">
        <v>47</v>
      </c>
      <c r="D517" s="88">
        <v>46258.697719907403</v>
      </c>
      <c r="E517" s="89">
        <v>46258</v>
      </c>
      <c r="F517" s="71" t="s">
        <v>1264</v>
      </c>
      <c r="G517" s="71">
        <f t="shared" si="16"/>
        <v>8</v>
      </c>
      <c r="H517" s="71">
        <f t="shared" si="17"/>
        <v>39</v>
      </c>
    </row>
    <row r="518" spans="1:8" x14ac:dyDescent="0.2">
      <c r="A518" s="71" t="s">
        <v>191</v>
      </c>
      <c r="B518" s="71" t="s">
        <v>192</v>
      </c>
      <c r="C518" s="71" t="s">
        <v>47</v>
      </c>
      <c r="D518" s="88">
        <v>46258.698692129597</v>
      </c>
      <c r="E518" s="89">
        <v>46258</v>
      </c>
      <c r="F518" s="71" t="s">
        <v>1265</v>
      </c>
      <c r="G518" s="71">
        <f t="shared" si="16"/>
        <v>8</v>
      </c>
      <c r="H518" s="71">
        <f t="shared" si="17"/>
        <v>19</v>
      </c>
    </row>
    <row r="519" spans="1:8" x14ac:dyDescent="0.2">
      <c r="A519" s="71" t="s">
        <v>191</v>
      </c>
      <c r="B519" s="71" t="s">
        <v>192</v>
      </c>
      <c r="C519" s="71" t="s">
        <v>47</v>
      </c>
      <c r="D519" s="88">
        <v>46258.699189814797</v>
      </c>
      <c r="E519" s="89">
        <v>46258</v>
      </c>
      <c r="F519" s="71" t="s">
        <v>1266</v>
      </c>
      <c r="G519" s="71">
        <f t="shared" si="16"/>
        <v>8</v>
      </c>
      <c r="H519" s="71">
        <f t="shared" si="17"/>
        <v>24</v>
      </c>
    </row>
    <row r="520" spans="1:8" x14ac:dyDescent="0.2">
      <c r="A520" s="71" t="s">
        <v>191</v>
      </c>
      <c r="B520" s="71" t="s">
        <v>192</v>
      </c>
      <c r="C520" s="71" t="s">
        <v>47</v>
      </c>
      <c r="D520" s="88">
        <v>46261.552349537</v>
      </c>
      <c r="E520" s="89">
        <v>46261</v>
      </c>
      <c r="F520" s="71" t="s">
        <v>1267</v>
      </c>
      <c r="G520" s="71">
        <f t="shared" si="16"/>
        <v>8</v>
      </c>
      <c r="H520" s="71">
        <f t="shared" si="17"/>
        <v>38</v>
      </c>
    </row>
    <row r="521" spans="1:8" x14ac:dyDescent="0.2">
      <c r="A521" s="71" t="s">
        <v>191</v>
      </c>
      <c r="B521" s="71" t="s">
        <v>192</v>
      </c>
      <c r="C521" s="71" t="s">
        <v>47</v>
      </c>
      <c r="D521" s="88">
        <v>46261.552789351903</v>
      </c>
      <c r="E521" s="89">
        <v>46261</v>
      </c>
      <c r="F521" s="71" t="s">
        <v>1268</v>
      </c>
      <c r="G521" s="71">
        <f t="shared" si="16"/>
        <v>8</v>
      </c>
      <c r="H521" s="71">
        <f t="shared" si="17"/>
        <v>23</v>
      </c>
    </row>
    <row r="522" spans="1:8" x14ac:dyDescent="0.2">
      <c r="A522" s="71" t="s">
        <v>191</v>
      </c>
      <c r="B522" s="71" t="s">
        <v>192</v>
      </c>
      <c r="C522" s="71" t="s">
        <v>47</v>
      </c>
      <c r="D522" s="88">
        <v>46261.553530092599</v>
      </c>
      <c r="E522" s="89">
        <v>46261</v>
      </c>
      <c r="F522" s="71" t="s">
        <v>1269</v>
      </c>
      <c r="G522" s="71">
        <f t="shared" si="16"/>
        <v>8</v>
      </c>
      <c r="H522" s="71">
        <f t="shared" si="17"/>
        <v>38</v>
      </c>
    </row>
    <row r="523" spans="1:8" x14ac:dyDescent="0.2">
      <c r="A523" s="71" t="s">
        <v>191</v>
      </c>
      <c r="B523" s="71" t="s">
        <v>192</v>
      </c>
      <c r="C523" s="71" t="s">
        <v>47</v>
      </c>
      <c r="D523" s="88">
        <v>46261.5542824074</v>
      </c>
      <c r="E523" s="89">
        <v>46261</v>
      </c>
      <c r="F523" s="71" t="s">
        <v>1270</v>
      </c>
      <c r="G523" s="71">
        <f t="shared" si="16"/>
        <v>8</v>
      </c>
      <c r="H523" s="71">
        <f t="shared" si="17"/>
        <v>13</v>
      </c>
    </row>
    <row r="524" spans="1:8" x14ac:dyDescent="0.2">
      <c r="A524" s="71" t="s">
        <v>191</v>
      </c>
      <c r="B524" s="71" t="s">
        <v>192</v>
      </c>
      <c r="C524" s="71" t="s">
        <v>47</v>
      </c>
      <c r="D524" s="88">
        <v>46262.352974537003</v>
      </c>
      <c r="E524" s="89">
        <v>46262</v>
      </c>
      <c r="F524" s="71" t="s">
        <v>1271</v>
      </c>
      <c r="G524" s="71">
        <f t="shared" si="16"/>
        <v>8</v>
      </c>
      <c r="H524" s="71">
        <f t="shared" si="17"/>
        <v>35</v>
      </c>
    </row>
    <row r="525" spans="1:8" x14ac:dyDescent="0.2">
      <c r="A525" s="71" t="s">
        <v>191</v>
      </c>
      <c r="B525" s="71" t="s">
        <v>192</v>
      </c>
      <c r="C525" s="71" t="s">
        <v>47</v>
      </c>
      <c r="D525" s="88">
        <v>46265.685034722199</v>
      </c>
      <c r="E525" s="89">
        <v>46265</v>
      </c>
      <c r="F525" s="71" t="s">
        <v>1272</v>
      </c>
      <c r="G525" s="71">
        <f t="shared" si="16"/>
        <v>8</v>
      </c>
      <c r="H525" s="71">
        <f t="shared" si="17"/>
        <v>16</v>
      </c>
    </row>
    <row r="526" spans="1:8" x14ac:dyDescent="0.2">
      <c r="A526" s="71" t="s">
        <v>191</v>
      </c>
      <c r="B526" s="71" t="s">
        <v>192</v>
      </c>
      <c r="C526" s="71" t="s">
        <v>47</v>
      </c>
      <c r="D526" s="88">
        <v>46266.671655092599</v>
      </c>
      <c r="E526" s="89">
        <v>46266</v>
      </c>
      <c r="F526" s="71" t="s">
        <v>1273</v>
      </c>
      <c r="G526" s="71">
        <f t="shared" si="16"/>
        <v>9</v>
      </c>
      <c r="H526" s="71">
        <f t="shared" si="17"/>
        <v>35</v>
      </c>
    </row>
    <row r="527" spans="1:8" x14ac:dyDescent="0.2">
      <c r="A527" s="71" t="s">
        <v>191</v>
      </c>
      <c r="B527" s="71" t="s">
        <v>192</v>
      </c>
      <c r="C527" s="71" t="s">
        <v>47</v>
      </c>
      <c r="D527" s="88">
        <v>46267.693854166697</v>
      </c>
      <c r="E527" s="89">
        <v>46267</v>
      </c>
      <c r="F527" s="71" t="s">
        <v>1274</v>
      </c>
      <c r="G527" s="71">
        <f t="shared" si="16"/>
        <v>9</v>
      </c>
      <c r="H527" s="71">
        <f t="shared" si="17"/>
        <v>36</v>
      </c>
    </row>
    <row r="528" spans="1:8" x14ac:dyDescent="0.2">
      <c r="A528" s="71" t="s">
        <v>191</v>
      </c>
      <c r="B528" s="71" t="s">
        <v>192</v>
      </c>
      <c r="C528" s="71" t="s">
        <v>47</v>
      </c>
      <c r="D528" s="88">
        <v>46268.696921296301</v>
      </c>
      <c r="E528" s="89">
        <v>46268</v>
      </c>
      <c r="F528" s="71" t="s">
        <v>1275</v>
      </c>
      <c r="G528" s="71">
        <f t="shared" si="16"/>
        <v>9</v>
      </c>
      <c r="H528" s="71">
        <f t="shared" si="17"/>
        <v>25</v>
      </c>
    </row>
    <row r="529" spans="1:8" x14ac:dyDescent="0.2">
      <c r="A529" s="71" t="s">
        <v>191</v>
      </c>
      <c r="B529" s="71" t="s">
        <v>192</v>
      </c>
      <c r="C529" s="71" t="s">
        <v>47</v>
      </c>
      <c r="D529" s="88">
        <v>46269.723310185203</v>
      </c>
      <c r="E529" s="89">
        <v>46269</v>
      </c>
      <c r="F529" s="71" t="s">
        <v>1276</v>
      </c>
      <c r="G529" s="71">
        <f t="shared" si="16"/>
        <v>9</v>
      </c>
      <c r="H529" s="71">
        <f t="shared" si="17"/>
        <v>26</v>
      </c>
    </row>
    <row r="530" spans="1:8" x14ac:dyDescent="0.2">
      <c r="A530" s="71" t="s">
        <v>191</v>
      </c>
      <c r="B530" s="71" t="s">
        <v>192</v>
      </c>
      <c r="C530" s="71" t="s">
        <v>47</v>
      </c>
      <c r="D530" s="88">
        <v>46272.694062499999</v>
      </c>
      <c r="E530" s="89">
        <v>46272</v>
      </c>
      <c r="F530" s="71" t="s">
        <v>1277</v>
      </c>
      <c r="G530" s="71">
        <f t="shared" si="16"/>
        <v>9</v>
      </c>
      <c r="H530" s="71">
        <f t="shared" si="17"/>
        <v>10</v>
      </c>
    </row>
    <row r="531" spans="1:8" x14ac:dyDescent="0.2">
      <c r="A531" s="71" t="s">
        <v>191</v>
      </c>
      <c r="B531" s="71" t="s">
        <v>192</v>
      </c>
      <c r="C531" s="71" t="s">
        <v>47</v>
      </c>
      <c r="D531" s="88">
        <v>46272.694791666698</v>
      </c>
      <c r="E531" s="89">
        <v>46272</v>
      </c>
      <c r="F531" s="71" t="s">
        <v>1278</v>
      </c>
      <c r="G531" s="71">
        <f t="shared" si="16"/>
        <v>9</v>
      </c>
      <c r="H531" s="71">
        <f t="shared" si="17"/>
        <v>10</v>
      </c>
    </row>
    <row r="532" spans="1:8" x14ac:dyDescent="0.2">
      <c r="A532" s="71" t="s">
        <v>191</v>
      </c>
      <c r="B532" s="71" t="s">
        <v>192</v>
      </c>
      <c r="C532" s="71" t="s">
        <v>47</v>
      </c>
      <c r="D532" s="88">
        <v>46273.680879629603</v>
      </c>
      <c r="E532" s="89">
        <v>46273</v>
      </c>
      <c r="F532" s="71" t="s">
        <v>1279</v>
      </c>
      <c r="G532" s="71">
        <f t="shared" si="16"/>
        <v>9</v>
      </c>
      <c r="H532" s="71">
        <f t="shared" si="17"/>
        <v>25</v>
      </c>
    </row>
    <row r="533" spans="1:8" x14ac:dyDescent="0.2">
      <c r="A533" s="71" t="s">
        <v>191</v>
      </c>
      <c r="B533" s="71" t="s">
        <v>192</v>
      </c>
      <c r="C533" s="71" t="s">
        <v>47</v>
      </c>
      <c r="D533" s="88">
        <v>46273.681493055599</v>
      </c>
      <c r="E533" s="89">
        <v>46273</v>
      </c>
      <c r="F533" s="71" t="s">
        <v>1280</v>
      </c>
      <c r="G533" s="71">
        <f t="shared" si="16"/>
        <v>9</v>
      </c>
      <c r="H533" s="71">
        <f t="shared" si="17"/>
        <v>29</v>
      </c>
    </row>
    <row r="534" spans="1:8" x14ac:dyDescent="0.2">
      <c r="A534" s="71" t="s">
        <v>191</v>
      </c>
      <c r="B534" s="71" t="s">
        <v>192</v>
      </c>
      <c r="C534" s="71" t="s">
        <v>47</v>
      </c>
      <c r="D534" s="88">
        <v>46274.689282407402</v>
      </c>
      <c r="E534" s="89">
        <v>46274</v>
      </c>
      <c r="F534" s="71" t="s">
        <v>1281</v>
      </c>
      <c r="G534" s="71">
        <f t="shared" si="16"/>
        <v>9</v>
      </c>
      <c r="H534" s="71">
        <f t="shared" si="17"/>
        <v>16</v>
      </c>
    </row>
    <row r="535" spans="1:8" x14ac:dyDescent="0.2">
      <c r="A535" s="71" t="s">
        <v>191</v>
      </c>
      <c r="B535" s="71" t="s">
        <v>192</v>
      </c>
      <c r="C535" s="71" t="s">
        <v>47</v>
      </c>
      <c r="D535" s="88">
        <v>46274.689687500002</v>
      </c>
      <c r="E535" s="89">
        <v>46274</v>
      </c>
      <c r="F535" s="71" t="s">
        <v>1282</v>
      </c>
      <c r="G535" s="71">
        <f t="shared" si="16"/>
        <v>9</v>
      </c>
      <c r="H535" s="71">
        <f t="shared" si="17"/>
        <v>20</v>
      </c>
    </row>
    <row r="536" spans="1:8" x14ac:dyDescent="0.2">
      <c r="A536" s="71" t="s">
        <v>191</v>
      </c>
      <c r="B536" s="71" t="s">
        <v>192</v>
      </c>
      <c r="C536" s="71" t="s">
        <v>47</v>
      </c>
      <c r="D536" s="88">
        <v>46275.687280092599</v>
      </c>
      <c r="E536" s="89">
        <v>46275</v>
      </c>
      <c r="F536" s="71" t="s">
        <v>1283</v>
      </c>
      <c r="G536" s="71">
        <f t="shared" si="16"/>
        <v>9</v>
      </c>
      <c r="H536" s="71">
        <f t="shared" si="17"/>
        <v>13</v>
      </c>
    </row>
    <row r="537" spans="1:8" x14ac:dyDescent="0.2">
      <c r="A537" s="71" t="s">
        <v>191</v>
      </c>
      <c r="B537" s="71" t="s">
        <v>192</v>
      </c>
      <c r="C537" s="71" t="s">
        <v>47</v>
      </c>
      <c r="D537" s="88">
        <v>46275.687916666699</v>
      </c>
      <c r="E537" s="89">
        <v>46275</v>
      </c>
      <c r="F537" s="71" t="s">
        <v>1284</v>
      </c>
      <c r="G537" s="71">
        <f t="shared" si="16"/>
        <v>9</v>
      </c>
      <c r="H537" s="71">
        <f t="shared" si="17"/>
        <v>8</v>
      </c>
    </row>
    <row r="538" spans="1:8" x14ac:dyDescent="0.2">
      <c r="A538" s="71" t="s">
        <v>191</v>
      </c>
      <c r="B538" s="71" t="s">
        <v>192</v>
      </c>
      <c r="C538" s="71" t="s">
        <v>47</v>
      </c>
      <c r="D538" s="88">
        <v>46275.688483796301</v>
      </c>
      <c r="E538" s="89">
        <v>46275</v>
      </c>
      <c r="F538" s="71" t="s">
        <v>1285</v>
      </c>
      <c r="G538" s="71">
        <f t="shared" si="16"/>
        <v>9</v>
      </c>
      <c r="H538" s="71">
        <f t="shared" si="17"/>
        <v>13</v>
      </c>
    </row>
    <row r="539" spans="1:8" x14ac:dyDescent="0.2">
      <c r="A539" s="71" t="s">
        <v>191</v>
      </c>
      <c r="B539" s="71" t="s">
        <v>192</v>
      </c>
      <c r="C539" s="71" t="s">
        <v>47</v>
      </c>
      <c r="D539" s="88">
        <v>46276.821412037003</v>
      </c>
      <c r="E539" s="89">
        <v>46276</v>
      </c>
      <c r="F539" s="71" t="s">
        <v>1286</v>
      </c>
      <c r="G539" s="71">
        <f t="shared" si="16"/>
        <v>9</v>
      </c>
      <c r="H539" s="71">
        <f t="shared" si="17"/>
        <v>63</v>
      </c>
    </row>
    <row r="540" spans="1:8" x14ac:dyDescent="0.2">
      <c r="A540" s="71" t="s">
        <v>191</v>
      </c>
      <c r="B540" s="71" t="s">
        <v>192</v>
      </c>
      <c r="C540" s="71" t="s">
        <v>47</v>
      </c>
      <c r="D540" s="88">
        <v>46281.302476851903</v>
      </c>
      <c r="E540" s="89">
        <v>46281</v>
      </c>
      <c r="F540" s="71" t="s">
        <v>1287</v>
      </c>
      <c r="G540" s="71">
        <f t="shared" si="16"/>
        <v>9</v>
      </c>
      <c r="H540" s="71">
        <f t="shared" si="17"/>
        <v>57</v>
      </c>
    </row>
    <row r="541" spans="1:8" x14ac:dyDescent="0.2">
      <c r="A541" s="71" t="s">
        <v>191</v>
      </c>
      <c r="B541" s="71" t="s">
        <v>192</v>
      </c>
      <c r="C541" s="71" t="s">
        <v>47</v>
      </c>
      <c r="D541" s="88">
        <v>46281.754027777803</v>
      </c>
      <c r="E541" s="89">
        <v>46281</v>
      </c>
      <c r="F541" s="71" t="s">
        <v>1288</v>
      </c>
      <c r="G541" s="71">
        <f t="shared" si="16"/>
        <v>9</v>
      </c>
      <c r="H541" s="71">
        <f t="shared" si="17"/>
        <v>58</v>
      </c>
    </row>
    <row r="542" spans="1:8" x14ac:dyDescent="0.2">
      <c r="A542" s="71" t="s">
        <v>191</v>
      </c>
      <c r="B542" s="71" t="s">
        <v>192</v>
      </c>
      <c r="C542" s="71" t="s">
        <v>47</v>
      </c>
      <c r="D542" s="88">
        <v>46281.754363425898</v>
      </c>
      <c r="E542" s="89">
        <v>46281</v>
      </c>
      <c r="F542" s="71" t="s">
        <v>1289</v>
      </c>
      <c r="G542" s="71">
        <f t="shared" si="16"/>
        <v>9</v>
      </c>
      <c r="H542" s="71">
        <f t="shared" si="17"/>
        <v>30</v>
      </c>
    </row>
    <row r="543" spans="1:8" x14ac:dyDescent="0.2">
      <c r="A543" s="71" t="s">
        <v>191</v>
      </c>
      <c r="B543" s="71" t="s">
        <v>192</v>
      </c>
      <c r="C543" s="71" t="s">
        <v>47</v>
      </c>
      <c r="D543" s="88">
        <v>46282.635821759301</v>
      </c>
      <c r="E543" s="89">
        <v>46282</v>
      </c>
      <c r="F543" s="71" t="s">
        <v>1290</v>
      </c>
      <c r="G543" s="71">
        <f t="shared" si="16"/>
        <v>9</v>
      </c>
      <c r="H543" s="71">
        <f t="shared" si="17"/>
        <v>41</v>
      </c>
    </row>
    <row r="544" spans="1:8" x14ac:dyDescent="0.2">
      <c r="A544" s="71" t="s">
        <v>191</v>
      </c>
      <c r="B544" s="71" t="s">
        <v>192</v>
      </c>
      <c r="C544" s="71" t="s">
        <v>47</v>
      </c>
      <c r="D544" s="88">
        <v>46282.636342592603</v>
      </c>
      <c r="E544" s="89">
        <v>46282</v>
      </c>
      <c r="F544" s="71" t="s">
        <v>1291</v>
      </c>
      <c r="G544" s="71">
        <f t="shared" si="16"/>
        <v>9</v>
      </c>
      <c r="H544" s="71">
        <f t="shared" si="17"/>
        <v>40</v>
      </c>
    </row>
    <row r="545" spans="1:8" x14ac:dyDescent="0.2">
      <c r="A545" s="71" t="s">
        <v>191</v>
      </c>
      <c r="B545" s="71" t="s">
        <v>192</v>
      </c>
      <c r="C545" s="71" t="s">
        <v>47</v>
      </c>
      <c r="D545" s="88">
        <v>46282.636701388903</v>
      </c>
      <c r="E545" s="89">
        <v>46282</v>
      </c>
      <c r="F545" s="71" t="s">
        <v>1292</v>
      </c>
      <c r="G545" s="71">
        <f t="shared" si="16"/>
        <v>9</v>
      </c>
      <c r="H545" s="71">
        <f t="shared" si="17"/>
        <v>33</v>
      </c>
    </row>
    <row r="546" spans="1:8" x14ac:dyDescent="0.2">
      <c r="A546" s="71" t="s">
        <v>191</v>
      </c>
      <c r="B546" s="71" t="s">
        <v>192</v>
      </c>
      <c r="C546" s="71" t="s">
        <v>47</v>
      </c>
      <c r="D546" s="88">
        <v>46282.637499999997</v>
      </c>
      <c r="E546" s="89">
        <v>46282</v>
      </c>
      <c r="F546" s="71" t="s">
        <v>1293</v>
      </c>
      <c r="G546" s="71">
        <f t="shared" si="16"/>
        <v>9</v>
      </c>
      <c r="H546" s="71">
        <f t="shared" si="17"/>
        <v>32</v>
      </c>
    </row>
    <row r="547" spans="1:8" x14ac:dyDescent="0.2">
      <c r="A547" s="71" t="s">
        <v>191</v>
      </c>
      <c r="B547" s="71" t="s">
        <v>192</v>
      </c>
      <c r="C547" s="71" t="s">
        <v>47</v>
      </c>
      <c r="D547" s="88">
        <v>46283.723055555602</v>
      </c>
      <c r="E547" s="89">
        <v>46283</v>
      </c>
      <c r="F547" s="71" t="s">
        <v>1294</v>
      </c>
      <c r="G547" s="71">
        <f t="shared" si="16"/>
        <v>9</v>
      </c>
      <c r="H547" s="71">
        <f t="shared" si="17"/>
        <v>49</v>
      </c>
    </row>
    <row r="548" spans="1:8" x14ac:dyDescent="0.2">
      <c r="A548" s="71" t="s">
        <v>191</v>
      </c>
      <c r="B548" s="71" t="s">
        <v>192</v>
      </c>
      <c r="C548" s="71" t="s">
        <v>47</v>
      </c>
      <c r="D548" s="88">
        <v>46286.672453703701</v>
      </c>
      <c r="E548" s="89">
        <v>46286</v>
      </c>
      <c r="F548" s="71" t="s">
        <v>1295</v>
      </c>
      <c r="G548" s="71">
        <f t="shared" si="16"/>
        <v>9</v>
      </c>
      <c r="H548" s="71">
        <f t="shared" si="17"/>
        <v>63</v>
      </c>
    </row>
    <row r="549" spans="1:8" x14ac:dyDescent="0.2">
      <c r="A549" s="71" t="s">
        <v>191</v>
      </c>
      <c r="B549" s="71" t="s">
        <v>192</v>
      </c>
      <c r="C549" s="71" t="s">
        <v>47</v>
      </c>
      <c r="D549" s="88">
        <v>46287.687314814801</v>
      </c>
      <c r="E549" s="89">
        <v>46287</v>
      </c>
      <c r="F549" s="71" t="s">
        <v>1296</v>
      </c>
      <c r="G549" s="71">
        <f t="shared" si="16"/>
        <v>9</v>
      </c>
      <c r="H549" s="71">
        <f t="shared" si="17"/>
        <v>46</v>
      </c>
    </row>
    <row r="550" spans="1:8" x14ac:dyDescent="0.2">
      <c r="A550" s="71" t="s">
        <v>191</v>
      </c>
      <c r="B550" s="71" t="s">
        <v>192</v>
      </c>
      <c r="C550" s="71" t="s">
        <v>47</v>
      </c>
      <c r="D550" s="88">
        <v>46287.688101851898</v>
      </c>
      <c r="E550" s="89">
        <v>46287</v>
      </c>
      <c r="F550" s="71" t="s">
        <v>1297</v>
      </c>
      <c r="G550" s="71">
        <f t="shared" si="16"/>
        <v>9</v>
      </c>
      <c r="H550" s="71">
        <f t="shared" si="17"/>
        <v>83</v>
      </c>
    </row>
    <row r="551" spans="1:8" x14ac:dyDescent="0.2">
      <c r="A551" s="71" t="s">
        <v>191</v>
      </c>
      <c r="B551" s="71" t="s">
        <v>192</v>
      </c>
      <c r="C551" s="71" t="s">
        <v>47</v>
      </c>
      <c r="D551" s="88">
        <v>46288.667245370401</v>
      </c>
      <c r="E551" s="89">
        <v>46288</v>
      </c>
      <c r="F551" s="71" t="s">
        <v>1298</v>
      </c>
      <c r="G551" s="71">
        <f t="shared" si="16"/>
        <v>9</v>
      </c>
      <c r="H551" s="71">
        <f t="shared" si="17"/>
        <v>33</v>
      </c>
    </row>
    <row r="552" spans="1:8" x14ac:dyDescent="0.2">
      <c r="A552" s="71" t="s">
        <v>191</v>
      </c>
      <c r="B552" s="71" t="s">
        <v>192</v>
      </c>
      <c r="C552" s="71" t="s">
        <v>47</v>
      </c>
      <c r="D552" s="88">
        <v>46289.700752314799</v>
      </c>
      <c r="E552" s="89">
        <v>46289</v>
      </c>
      <c r="F552" s="71" t="s">
        <v>1299</v>
      </c>
      <c r="G552" s="71">
        <f t="shared" si="16"/>
        <v>9</v>
      </c>
      <c r="H552" s="71">
        <f t="shared" si="17"/>
        <v>60</v>
      </c>
    </row>
    <row r="553" spans="1:8" x14ac:dyDescent="0.2">
      <c r="A553" s="71" t="s">
        <v>191</v>
      </c>
      <c r="B553" s="71" t="s">
        <v>192</v>
      </c>
      <c r="C553" s="71" t="s">
        <v>47</v>
      </c>
      <c r="D553" s="88">
        <v>46290.767673611103</v>
      </c>
      <c r="E553" s="89">
        <v>46290</v>
      </c>
      <c r="F553" s="71" t="s">
        <v>1300</v>
      </c>
      <c r="G553" s="71">
        <f t="shared" si="16"/>
        <v>9</v>
      </c>
      <c r="H553" s="71">
        <f t="shared" si="17"/>
        <v>45</v>
      </c>
    </row>
    <row r="554" spans="1:8" x14ac:dyDescent="0.2">
      <c r="A554" s="71" t="s">
        <v>191</v>
      </c>
      <c r="B554" s="71" t="s">
        <v>192</v>
      </c>
      <c r="C554" s="71" t="s">
        <v>47</v>
      </c>
      <c r="D554" s="88">
        <v>46290.768344907403</v>
      </c>
      <c r="E554" s="89">
        <v>46290</v>
      </c>
      <c r="F554" s="71" t="s">
        <v>1301</v>
      </c>
      <c r="G554" s="71">
        <f t="shared" si="16"/>
        <v>9</v>
      </c>
      <c r="H554" s="71">
        <f t="shared" si="17"/>
        <v>22</v>
      </c>
    </row>
    <row r="555" spans="1:8" x14ac:dyDescent="0.2">
      <c r="A555" s="71" t="s">
        <v>191</v>
      </c>
      <c r="B555" s="71" t="s">
        <v>192</v>
      </c>
      <c r="C555" s="71" t="s">
        <v>47</v>
      </c>
      <c r="D555" s="88">
        <v>46293.6888078704</v>
      </c>
      <c r="E555" s="89">
        <v>46293</v>
      </c>
      <c r="F555" s="71" t="s">
        <v>1302</v>
      </c>
      <c r="G555" s="71">
        <f t="shared" si="16"/>
        <v>9</v>
      </c>
      <c r="H555" s="71">
        <f t="shared" si="17"/>
        <v>30</v>
      </c>
    </row>
    <row r="556" spans="1:8" x14ac:dyDescent="0.2">
      <c r="A556" s="71" t="s">
        <v>191</v>
      </c>
      <c r="B556" s="71" t="s">
        <v>192</v>
      </c>
      <c r="C556" s="71" t="s">
        <v>47</v>
      </c>
      <c r="D556" s="88">
        <v>46293.689398148199</v>
      </c>
      <c r="E556" s="89">
        <v>46293</v>
      </c>
      <c r="F556" s="71" t="s">
        <v>1303</v>
      </c>
      <c r="G556" s="71">
        <f t="shared" si="16"/>
        <v>9</v>
      </c>
      <c r="H556" s="71">
        <f t="shared" si="17"/>
        <v>37</v>
      </c>
    </row>
    <row r="557" spans="1:8" x14ac:dyDescent="0.2">
      <c r="A557" s="71" t="s">
        <v>191</v>
      </c>
      <c r="B557" s="71" t="s">
        <v>192</v>
      </c>
      <c r="C557" s="71" t="s">
        <v>47</v>
      </c>
      <c r="D557" s="88">
        <v>46294.691469907397</v>
      </c>
      <c r="E557" s="89">
        <v>46294</v>
      </c>
      <c r="F557" s="71" t="s">
        <v>1304</v>
      </c>
      <c r="G557" s="71">
        <f t="shared" si="16"/>
        <v>9</v>
      </c>
      <c r="H557" s="71">
        <f t="shared" si="17"/>
        <v>49</v>
      </c>
    </row>
    <row r="558" spans="1:8" x14ac:dyDescent="0.2">
      <c r="A558" s="71" t="s">
        <v>191</v>
      </c>
      <c r="B558" s="71" t="s">
        <v>192</v>
      </c>
      <c r="C558" s="71" t="s">
        <v>47</v>
      </c>
      <c r="D558" s="88">
        <v>46295.696701388901</v>
      </c>
      <c r="E558" s="89">
        <v>46295</v>
      </c>
      <c r="F558" s="71" t="s">
        <v>1305</v>
      </c>
      <c r="G558" s="71">
        <f t="shared" si="16"/>
        <v>9</v>
      </c>
      <c r="H558" s="71">
        <f t="shared" si="17"/>
        <v>54</v>
      </c>
    </row>
    <row r="559" spans="1:8" x14ac:dyDescent="0.2">
      <c r="A559" s="71" t="s">
        <v>191</v>
      </c>
      <c r="B559" s="71" t="s">
        <v>192</v>
      </c>
      <c r="C559" s="71" t="s">
        <v>47</v>
      </c>
      <c r="D559" s="88">
        <v>46295.697465277801</v>
      </c>
      <c r="E559" s="89">
        <v>46295</v>
      </c>
      <c r="F559" s="71" t="s">
        <v>1306</v>
      </c>
      <c r="G559" s="71">
        <f t="shared" si="16"/>
        <v>9</v>
      </c>
      <c r="H559" s="71">
        <f t="shared" si="17"/>
        <v>31</v>
      </c>
    </row>
    <row r="560" spans="1:8" x14ac:dyDescent="0.2">
      <c r="A560" s="71" t="s">
        <v>208</v>
      </c>
      <c r="B560" s="71" t="s">
        <v>209</v>
      </c>
      <c r="C560" s="71" t="s">
        <v>48</v>
      </c>
      <c r="D560" s="88">
        <v>46224.336041666698</v>
      </c>
      <c r="E560" s="89">
        <v>46224</v>
      </c>
      <c r="F560" s="71" t="s">
        <v>1307</v>
      </c>
      <c r="G560" s="71">
        <f t="shared" si="16"/>
        <v>7</v>
      </c>
      <c r="H560" s="71">
        <f t="shared" si="17"/>
        <v>20</v>
      </c>
    </row>
    <row r="561" spans="1:8" x14ac:dyDescent="0.2">
      <c r="A561" s="71" t="s">
        <v>208</v>
      </c>
      <c r="B561" s="71" t="s">
        <v>209</v>
      </c>
      <c r="C561" s="71" t="s">
        <v>48</v>
      </c>
      <c r="D561" s="88">
        <v>46224.639270833301</v>
      </c>
      <c r="E561" s="89">
        <v>46224</v>
      </c>
      <c r="F561" s="71" t="s">
        <v>1308</v>
      </c>
      <c r="G561" s="71">
        <f t="shared" si="16"/>
        <v>7</v>
      </c>
      <c r="H561" s="71">
        <f t="shared" si="17"/>
        <v>20</v>
      </c>
    </row>
    <row r="562" spans="1:8" x14ac:dyDescent="0.2">
      <c r="A562" s="71" t="s">
        <v>208</v>
      </c>
      <c r="B562" s="71" t="s">
        <v>209</v>
      </c>
      <c r="C562" s="71" t="s">
        <v>48</v>
      </c>
      <c r="D562" s="88">
        <v>46226.639432870397</v>
      </c>
      <c r="E562" s="89">
        <v>46226</v>
      </c>
      <c r="F562" s="71" t="s">
        <v>1307</v>
      </c>
      <c r="G562" s="71">
        <f t="shared" si="16"/>
        <v>7</v>
      </c>
      <c r="H562" s="71">
        <f t="shared" si="17"/>
        <v>20</v>
      </c>
    </row>
    <row r="563" spans="1:8" x14ac:dyDescent="0.2">
      <c r="A563" s="71" t="s">
        <v>208</v>
      </c>
      <c r="B563" s="71" t="s">
        <v>209</v>
      </c>
      <c r="C563" s="71" t="s">
        <v>48</v>
      </c>
      <c r="D563" s="88">
        <v>46227.668715277803</v>
      </c>
      <c r="E563" s="89">
        <v>46227</v>
      </c>
      <c r="F563" s="71" t="s">
        <v>1307</v>
      </c>
      <c r="G563" s="71">
        <f t="shared" si="16"/>
        <v>7</v>
      </c>
      <c r="H563" s="71">
        <f t="shared" si="17"/>
        <v>20</v>
      </c>
    </row>
    <row r="564" spans="1:8" x14ac:dyDescent="0.2">
      <c r="A564" s="71" t="s">
        <v>208</v>
      </c>
      <c r="B564" s="71" t="s">
        <v>209</v>
      </c>
      <c r="C564" s="71" t="s">
        <v>48</v>
      </c>
      <c r="D564" s="88">
        <v>46230.683229166701</v>
      </c>
      <c r="E564" s="89">
        <v>46230</v>
      </c>
      <c r="F564" s="71" t="s">
        <v>1309</v>
      </c>
      <c r="G564" s="71">
        <f t="shared" si="16"/>
        <v>7</v>
      </c>
      <c r="H564" s="71">
        <f t="shared" si="17"/>
        <v>13</v>
      </c>
    </row>
    <row r="565" spans="1:8" x14ac:dyDescent="0.2">
      <c r="A565" s="71" t="s">
        <v>208</v>
      </c>
      <c r="B565" s="71" t="s">
        <v>209</v>
      </c>
      <c r="C565" s="71" t="s">
        <v>48</v>
      </c>
      <c r="D565" s="88">
        <v>46231.677719907399</v>
      </c>
      <c r="E565" s="89">
        <v>46231</v>
      </c>
      <c r="F565" s="71" t="s">
        <v>1307</v>
      </c>
      <c r="G565" s="71">
        <f t="shared" si="16"/>
        <v>7</v>
      </c>
      <c r="H565" s="71">
        <f t="shared" si="17"/>
        <v>20</v>
      </c>
    </row>
    <row r="566" spans="1:8" x14ac:dyDescent="0.2">
      <c r="A566" s="71" t="s">
        <v>208</v>
      </c>
      <c r="B566" s="71" t="s">
        <v>209</v>
      </c>
      <c r="C566" s="71" t="s">
        <v>48</v>
      </c>
      <c r="D566" s="88">
        <v>46233.683287036998</v>
      </c>
      <c r="E566" s="89">
        <v>46233</v>
      </c>
      <c r="F566" s="71" t="s">
        <v>1310</v>
      </c>
      <c r="G566" s="71">
        <f t="shared" si="16"/>
        <v>7</v>
      </c>
      <c r="H566" s="71">
        <f t="shared" si="17"/>
        <v>65</v>
      </c>
    </row>
    <row r="567" spans="1:8" x14ac:dyDescent="0.2">
      <c r="A567" s="71" t="s">
        <v>208</v>
      </c>
      <c r="B567" s="71" t="s">
        <v>209</v>
      </c>
      <c r="C567" s="71" t="s">
        <v>48</v>
      </c>
      <c r="D567" s="88">
        <v>46234.6817592593</v>
      </c>
      <c r="E567" s="89">
        <v>46234</v>
      </c>
      <c r="F567" s="71" t="s">
        <v>1311</v>
      </c>
      <c r="G567" s="71">
        <f t="shared" si="16"/>
        <v>7</v>
      </c>
      <c r="H567" s="71">
        <f t="shared" si="17"/>
        <v>79</v>
      </c>
    </row>
    <row r="568" spans="1:8" x14ac:dyDescent="0.2">
      <c r="A568" s="71" t="s">
        <v>208</v>
      </c>
      <c r="B568" s="71" t="s">
        <v>209</v>
      </c>
      <c r="C568" s="71" t="s">
        <v>48</v>
      </c>
      <c r="D568" s="88">
        <v>46237.685439814799</v>
      </c>
      <c r="E568" s="89">
        <v>46237</v>
      </c>
      <c r="F568" s="71" t="s">
        <v>1312</v>
      </c>
      <c r="G568" s="71">
        <f t="shared" si="16"/>
        <v>8</v>
      </c>
      <c r="H568" s="71">
        <f t="shared" si="17"/>
        <v>57</v>
      </c>
    </row>
    <row r="569" spans="1:8" x14ac:dyDescent="0.2">
      <c r="A569" s="71" t="s">
        <v>208</v>
      </c>
      <c r="B569" s="71" t="s">
        <v>209</v>
      </c>
      <c r="C569" s="71" t="s">
        <v>48</v>
      </c>
      <c r="D569" s="88">
        <v>46238.6753356482</v>
      </c>
      <c r="E569" s="89">
        <v>46238</v>
      </c>
      <c r="F569" s="71" t="s">
        <v>1313</v>
      </c>
      <c r="G569" s="71">
        <f t="shared" si="16"/>
        <v>8</v>
      </c>
      <c r="H569" s="71">
        <f t="shared" si="17"/>
        <v>55</v>
      </c>
    </row>
    <row r="570" spans="1:8" x14ac:dyDescent="0.2">
      <c r="A570" s="71" t="s">
        <v>208</v>
      </c>
      <c r="B570" s="71" t="s">
        <v>209</v>
      </c>
      <c r="C570" s="71" t="s">
        <v>48</v>
      </c>
      <c r="D570" s="88">
        <v>46239.680023148198</v>
      </c>
      <c r="E570" s="89">
        <v>46239</v>
      </c>
      <c r="F570" s="71" t="s">
        <v>1314</v>
      </c>
      <c r="G570" s="71">
        <f t="shared" si="16"/>
        <v>8</v>
      </c>
      <c r="H570" s="71">
        <f t="shared" si="17"/>
        <v>55</v>
      </c>
    </row>
    <row r="571" spans="1:8" x14ac:dyDescent="0.2">
      <c r="A571" s="71" t="s">
        <v>208</v>
      </c>
      <c r="B571" s="71" t="s">
        <v>209</v>
      </c>
      <c r="C571" s="71" t="s">
        <v>48</v>
      </c>
      <c r="D571" s="88">
        <v>46240.683020833298</v>
      </c>
      <c r="E571" s="89">
        <v>46240</v>
      </c>
      <c r="F571" s="71" t="s">
        <v>1313</v>
      </c>
      <c r="G571" s="71">
        <f t="shared" si="16"/>
        <v>8</v>
      </c>
      <c r="H571" s="71">
        <f t="shared" si="17"/>
        <v>55</v>
      </c>
    </row>
    <row r="572" spans="1:8" x14ac:dyDescent="0.2">
      <c r="A572" s="71" t="s">
        <v>208</v>
      </c>
      <c r="B572" s="71" t="s">
        <v>209</v>
      </c>
      <c r="C572" s="71" t="s">
        <v>48</v>
      </c>
      <c r="D572" s="88">
        <v>46241.687175925901</v>
      </c>
      <c r="E572" s="89">
        <v>46241</v>
      </c>
      <c r="F572" s="71" t="s">
        <v>1315</v>
      </c>
      <c r="G572" s="71">
        <f t="shared" si="16"/>
        <v>8</v>
      </c>
      <c r="H572" s="71">
        <f t="shared" si="17"/>
        <v>54</v>
      </c>
    </row>
    <row r="573" spans="1:8" x14ac:dyDescent="0.2">
      <c r="A573" s="71" t="s">
        <v>208</v>
      </c>
      <c r="B573" s="71" t="s">
        <v>209</v>
      </c>
      <c r="C573" s="71" t="s">
        <v>48</v>
      </c>
      <c r="D573" s="88">
        <v>46244.6624421296</v>
      </c>
      <c r="E573" s="89">
        <v>46244</v>
      </c>
      <c r="F573" s="71" t="s">
        <v>1316</v>
      </c>
      <c r="G573" s="71">
        <f t="shared" si="16"/>
        <v>8</v>
      </c>
      <c r="H573" s="71">
        <f t="shared" si="17"/>
        <v>22</v>
      </c>
    </row>
    <row r="574" spans="1:8" x14ac:dyDescent="0.2">
      <c r="A574" s="71" t="s">
        <v>208</v>
      </c>
      <c r="B574" s="71" t="s">
        <v>209</v>
      </c>
      <c r="C574" s="71" t="s">
        <v>48</v>
      </c>
      <c r="D574" s="88">
        <v>46245.701689814799</v>
      </c>
      <c r="E574" s="89">
        <v>46245</v>
      </c>
      <c r="F574" s="71" t="s">
        <v>1317</v>
      </c>
      <c r="G574" s="71">
        <f t="shared" si="16"/>
        <v>8</v>
      </c>
      <c r="H574" s="71">
        <f t="shared" si="17"/>
        <v>54</v>
      </c>
    </row>
    <row r="575" spans="1:8" x14ac:dyDescent="0.2">
      <c r="A575" s="71" t="s">
        <v>208</v>
      </c>
      <c r="B575" s="71" t="s">
        <v>209</v>
      </c>
      <c r="C575" s="71" t="s">
        <v>48</v>
      </c>
      <c r="D575" s="88">
        <v>46246.678101851903</v>
      </c>
      <c r="E575" s="89">
        <v>46246</v>
      </c>
      <c r="F575" s="71" t="s">
        <v>1318</v>
      </c>
      <c r="G575" s="71">
        <f t="shared" si="16"/>
        <v>8</v>
      </c>
      <c r="H575" s="71">
        <f t="shared" si="17"/>
        <v>47</v>
      </c>
    </row>
    <row r="576" spans="1:8" x14ac:dyDescent="0.2">
      <c r="A576" s="71" t="s">
        <v>208</v>
      </c>
      <c r="B576" s="71" t="s">
        <v>209</v>
      </c>
      <c r="C576" s="71" t="s">
        <v>48</v>
      </c>
      <c r="D576" s="88">
        <v>46247.689594907402</v>
      </c>
      <c r="E576" s="89">
        <v>46247</v>
      </c>
      <c r="F576" s="71" t="s">
        <v>1317</v>
      </c>
      <c r="G576" s="71">
        <f t="shared" si="16"/>
        <v>8</v>
      </c>
      <c r="H576" s="71">
        <f t="shared" si="17"/>
        <v>54</v>
      </c>
    </row>
    <row r="577" spans="1:8" x14ac:dyDescent="0.2">
      <c r="A577" s="71" t="s">
        <v>208</v>
      </c>
      <c r="B577" s="71" t="s">
        <v>209</v>
      </c>
      <c r="C577" s="71" t="s">
        <v>48</v>
      </c>
      <c r="D577" s="88">
        <v>46248.685277777797</v>
      </c>
      <c r="E577" s="89">
        <v>46248</v>
      </c>
      <c r="F577" s="71" t="s">
        <v>1317</v>
      </c>
      <c r="G577" s="71">
        <f t="shared" si="16"/>
        <v>8</v>
      </c>
      <c r="H577" s="71">
        <f t="shared" si="17"/>
        <v>54</v>
      </c>
    </row>
    <row r="578" spans="1:8" x14ac:dyDescent="0.2">
      <c r="A578" s="71" t="s">
        <v>208</v>
      </c>
      <c r="B578" s="71" t="s">
        <v>209</v>
      </c>
      <c r="C578" s="71" t="s">
        <v>48</v>
      </c>
      <c r="D578" s="88">
        <v>46252.690486111103</v>
      </c>
      <c r="E578" s="89">
        <v>46252</v>
      </c>
      <c r="F578" s="71" t="s">
        <v>1319</v>
      </c>
      <c r="G578" s="71">
        <f t="shared" ref="G578:G641" si="18">MONTH(E578)</f>
        <v>8</v>
      </c>
      <c r="H578" s="71">
        <f t="shared" ref="H578:H641" si="19">LEN(F578)</f>
        <v>54</v>
      </c>
    </row>
    <row r="579" spans="1:8" x14ac:dyDescent="0.2">
      <c r="A579" s="71" t="s">
        <v>208</v>
      </c>
      <c r="B579" s="71" t="s">
        <v>209</v>
      </c>
      <c r="C579" s="71" t="s">
        <v>48</v>
      </c>
      <c r="D579" s="88">
        <v>46255.676979166703</v>
      </c>
      <c r="E579" s="89">
        <v>46255</v>
      </c>
      <c r="F579" s="71" t="s">
        <v>1320</v>
      </c>
      <c r="G579" s="71">
        <f t="shared" si="18"/>
        <v>8</v>
      </c>
      <c r="H579" s="71">
        <f t="shared" si="19"/>
        <v>30</v>
      </c>
    </row>
    <row r="580" spans="1:8" x14ac:dyDescent="0.2">
      <c r="A580" s="71" t="s">
        <v>208</v>
      </c>
      <c r="B580" s="71" t="s">
        <v>209</v>
      </c>
      <c r="C580" s="71" t="s">
        <v>48</v>
      </c>
      <c r="D580" s="88">
        <v>46258.687754629602</v>
      </c>
      <c r="E580" s="89">
        <v>46258</v>
      </c>
      <c r="F580" s="71" t="s">
        <v>1321</v>
      </c>
      <c r="G580" s="71">
        <f t="shared" si="18"/>
        <v>8</v>
      </c>
      <c r="H580" s="71">
        <f t="shared" si="19"/>
        <v>57</v>
      </c>
    </row>
    <row r="581" spans="1:8" x14ac:dyDescent="0.2">
      <c r="A581" s="71" t="s">
        <v>208</v>
      </c>
      <c r="B581" s="71" t="s">
        <v>209</v>
      </c>
      <c r="C581" s="71" t="s">
        <v>48</v>
      </c>
      <c r="D581" s="88">
        <v>46260.684722222199</v>
      </c>
      <c r="E581" s="89">
        <v>46260</v>
      </c>
      <c r="F581" s="71" t="s">
        <v>1322</v>
      </c>
      <c r="G581" s="71">
        <f t="shared" si="18"/>
        <v>8</v>
      </c>
      <c r="H581" s="71">
        <f t="shared" si="19"/>
        <v>79</v>
      </c>
    </row>
    <row r="582" spans="1:8" x14ac:dyDescent="0.2">
      <c r="A582" s="71" t="s">
        <v>208</v>
      </c>
      <c r="B582" s="71" t="s">
        <v>209</v>
      </c>
      <c r="C582" s="71" t="s">
        <v>48</v>
      </c>
      <c r="D582" s="88">
        <v>46261.675381944398</v>
      </c>
      <c r="E582" s="89">
        <v>46261</v>
      </c>
      <c r="F582" s="71" t="s">
        <v>1323</v>
      </c>
      <c r="G582" s="71">
        <f t="shared" si="18"/>
        <v>8</v>
      </c>
      <c r="H582" s="71">
        <f t="shared" si="19"/>
        <v>49</v>
      </c>
    </row>
    <row r="583" spans="1:8" x14ac:dyDescent="0.2">
      <c r="A583" s="71" t="s">
        <v>208</v>
      </c>
      <c r="B583" s="71" t="s">
        <v>209</v>
      </c>
      <c r="C583" s="71" t="s">
        <v>48</v>
      </c>
      <c r="D583" s="88">
        <v>46262.6505555556</v>
      </c>
      <c r="E583" s="89">
        <v>46262</v>
      </c>
      <c r="F583" s="71" t="s">
        <v>1324</v>
      </c>
      <c r="G583" s="71">
        <f t="shared" si="18"/>
        <v>8</v>
      </c>
      <c r="H583" s="71">
        <f t="shared" si="19"/>
        <v>40</v>
      </c>
    </row>
    <row r="584" spans="1:8" x14ac:dyDescent="0.2">
      <c r="A584" s="71" t="s">
        <v>208</v>
      </c>
      <c r="B584" s="71" t="s">
        <v>209</v>
      </c>
      <c r="C584" s="71" t="s">
        <v>48</v>
      </c>
      <c r="D584" s="88">
        <v>46265.692291666703</v>
      </c>
      <c r="E584" s="89">
        <v>46265</v>
      </c>
      <c r="F584" s="71" t="s">
        <v>1320</v>
      </c>
      <c r="G584" s="71">
        <f t="shared" si="18"/>
        <v>8</v>
      </c>
      <c r="H584" s="71">
        <f t="shared" si="19"/>
        <v>30</v>
      </c>
    </row>
    <row r="585" spans="1:8" x14ac:dyDescent="0.2">
      <c r="A585" s="71" t="s">
        <v>208</v>
      </c>
      <c r="B585" s="71" t="s">
        <v>209</v>
      </c>
      <c r="C585" s="71" t="s">
        <v>48</v>
      </c>
      <c r="D585" s="88">
        <v>46266.670219907399</v>
      </c>
      <c r="E585" s="89">
        <v>46266</v>
      </c>
      <c r="F585" s="71" t="s">
        <v>1314</v>
      </c>
      <c r="G585" s="71">
        <f t="shared" si="18"/>
        <v>9</v>
      </c>
      <c r="H585" s="71">
        <f t="shared" si="19"/>
        <v>55</v>
      </c>
    </row>
    <row r="586" spans="1:8" x14ac:dyDescent="0.2">
      <c r="A586" s="71" t="s">
        <v>208</v>
      </c>
      <c r="B586" s="71" t="s">
        <v>209</v>
      </c>
      <c r="C586" s="71" t="s">
        <v>48</v>
      </c>
      <c r="D586" s="88">
        <v>46267.673692129603</v>
      </c>
      <c r="E586" s="89">
        <v>46267</v>
      </c>
      <c r="F586" s="71" t="s">
        <v>1314</v>
      </c>
      <c r="G586" s="71">
        <f t="shared" si="18"/>
        <v>9</v>
      </c>
      <c r="H586" s="71">
        <f t="shared" si="19"/>
        <v>55</v>
      </c>
    </row>
    <row r="587" spans="1:8" x14ac:dyDescent="0.2">
      <c r="A587" s="71" t="s">
        <v>208</v>
      </c>
      <c r="B587" s="71" t="s">
        <v>209</v>
      </c>
      <c r="C587" s="71" t="s">
        <v>48</v>
      </c>
      <c r="D587" s="88">
        <v>46268.686979166698</v>
      </c>
      <c r="E587" s="89">
        <v>46268</v>
      </c>
      <c r="F587" s="71" t="s">
        <v>1320</v>
      </c>
      <c r="G587" s="71">
        <f t="shared" si="18"/>
        <v>9</v>
      </c>
      <c r="H587" s="71">
        <f t="shared" si="19"/>
        <v>30</v>
      </c>
    </row>
    <row r="588" spans="1:8" x14ac:dyDescent="0.2">
      <c r="A588" s="71" t="s">
        <v>208</v>
      </c>
      <c r="B588" s="71" t="s">
        <v>209</v>
      </c>
      <c r="C588" s="71" t="s">
        <v>48</v>
      </c>
      <c r="D588" s="88">
        <v>46269.671180555597</v>
      </c>
      <c r="E588" s="89">
        <v>46269</v>
      </c>
      <c r="F588" s="71" t="s">
        <v>1320</v>
      </c>
      <c r="G588" s="71">
        <f t="shared" si="18"/>
        <v>9</v>
      </c>
      <c r="H588" s="71">
        <f t="shared" si="19"/>
        <v>30</v>
      </c>
    </row>
    <row r="589" spans="1:8" x14ac:dyDescent="0.2">
      <c r="A589" s="71" t="s">
        <v>208</v>
      </c>
      <c r="B589" s="71" t="s">
        <v>209</v>
      </c>
      <c r="C589" s="71" t="s">
        <v>48</v>
      </c>
      <c r="D589" s="88">
        <v>46272.669282407398</v>
      </c>
      <c r="E589" s="89">
        <v>46272</v>
      </c>
      <c r="F589" s="71" t="s">
        <v>1325</v>
      </c>
      <c r="G589" s="71">
        <f t="shared" si="18"/>
        <v>9</v>
      </c>
      <c r="H589" s="71">
        <f t="shared" si="19"/>
        <v>79</v>
      </c>
    </row>
    <row r="590" spans="1:8" x14ac:dyDescent="0.2">
      <c r="A590" s="71" t="s">
        <v>208</v>
      </c>
      <c r="B590" s="71" t="s">
        <v>209</v>
      </c>
      <c r="C590" s="71" t="s">
        <v>48</v>
      </c>
      <c r="D590" s="88">
        <v>46273.684953703698</v>
      </c>
      <c r="E590" s="89">
        <v>46273</v>
      </c>
      <c r="F590" s="71" t="s">
        <v>1320</v>
      </c>
      <c r="G590" s="71">
        <f t="shared" si="18"/>
        <v>9</v>
      </c>
      <c r="H590" s="71">
        <f t="shared" si="19"/>
        <v>30</v>
      </c>
    </row>
    <row r="591" spans="1:8" x14ac:dyDescent="0.2">
      <c r="A591" s="71" t="s">
        <v>208</v>
      </c>
      <c r="B591" s="71" t="s">
        <v>209</v>
      </c>
      <c r="C591" s="71" t="s">
        <v>48</v>
      </c>
      <c r="D591" s="88">
        <v>46274.673518518503</v>
      </c>
      <c r="E591" s="89">
        <v>46274</v>
      </c>
      <c r="F591" s="71" t="s">
        <v>1320</v>
      </c>
      <c r="G591" s="71">
        <f t="shared" si="18"/>
        <v>9</v>
      </c>
      <c r="H591" s="71">
        <f t="shared" si="19"/>
        <v>30</v>
      </c>
    </row>
    <row r="592" spans="1:8" x14ac:dyDescent="0.2">
      <c r="A592" s="71" t="s">
        <v>208</v>
      </c>
      <c r="B592" s="71" t="s">
        <v>209</v>
      </c>
      <c r="C592" s="71" t="s">
        <v>48</v>
      </c>
      <c r="D592" s="88">
        <v>46275.671319444496</v>
      </c>
      <c r="E592" s="89">
        <v>46275</v>
      </c>
      <c r="F592" s="71" t="s">
        <v>1314</v>
      </c>
      <c r="G592" s="71">
        <f t="shared" si="18"/>
        <v>9</v>
      </c>
      <c r="H592" s="71">
        <f t="shared" si="19"/>
        <v>55</v>
      </c>
    </row>
    <row r="593" spans="1:8" x14ac:dyDescent="0.2">
      <c r="A593" s="71" t="s">
        <v>208</v>
      </c>
      <c r="B593" s="71" t="s">
        <v>209</v>
      </c>
      <c r="C593" s="71" t="s">
        <v>48</v>
      </c>
      <c r="D593" s="88">
        <v>46279.680324074099</v>
      </c>
      <c r="E593" s="89">
        <v>46279</v>
      </c>
      <c r="F593" s="71" t="s">
        <v>1320</v>
      </c>
      <c r="G593" s="71">
        <f t="shared" si="18"/>
        <v>9</v>
      </c>
      <c r="H593" s="71">
        <f t="shared" si="19"/>
        <v>30</v>
      </c>
    </row>
    <row r="594" spans="1:8" x14ac:dyDescent="0.2">
      <c r="A594" s="71" t="s">
        <v>208</v>
      </c>
      <c r="B594" s="71" t="s">
        <v>209</v>
      </c>
      <c r="C594" s="71" t="s">
        <v>48</v>
      </c>
      <c r="D594" s="88">
        <v>46280.684872685197</v>
      </c>
      <c r="E594" s="89">
        <v>46280</v>
      </c>
      <c r="F594" s="71" t="s">
        <v>1314</v>
      </c>
      <c r="G594" s="71">
        <f t="shared" si="18"/>
        <v>9</v>
      </c>
      <c r="H594" s="71">
        <f t="shared" si="19"/>
        <v>55</v>
      </c>
    </row>
    <row r="595" spans="1:8" x14ac:dyDescent="0.2">
      <c r="A595" s="71" t="s">
        <v>208</v>
      </c>
      <c r="B595" s="71" t="s">
        <v>209</v>
      </c>
      <c r="C595" s="71" t="s">
        <v>48</v>
      </c>
      <c r="D595" s="88">
        <v>46281.670717592599</v>
      </c>
      <c r="E595" s="89">
        <v>46281</v>
      </c>
      <c r="F595" s="71" t="s">
        <v>1320</v>
      </c>
      <c r="G595" s="71">
        <f t="shared" si="18"/>
        <v>9</v>
      </c>
      <c r="H595" s="71">
        <f t="shared" si="19"/>
        <v>30</v>
      </c>
    </row>
    <row r="596" spans="1:8" x14ac:dyDescent="0.2">
      <c r="A596" s="71" t="s">
        <v>208</v>
      </c>
      <c r="B596" s="71" t="s">
        <v>209</v>
      </c>
      <c r="C596" s="71" t="s">
        <v>48</v>
      </c>
      <c r="D596" s="88">
        <v>46282.669259259303</v>
      </c>
      <c r="E596" s="89">
        <v>46282</v>
      </c>
      <c r="F596" s="71" t="s">
        <v>1320</v>
      </c>
      <c r="G596" s="71">
        <f t="shared" si="18"/>
        <v>9</v>
      </c>
      <c r="H596" s="71">
        <f t="shared" si="19"/>
        <v>30</v>
      </c>
    </row>
    <row r="597" spans="1:8" x14ac:dyDescent="0.2">
      <c r="A597" s="71" t="s">
        <v>208</v>
      </c>
      <c r="B597" s="71" t="s">
        <v>209</v>
      </c>
      <c r="C597" s="71" t="s">
        <v>48</v>
      </c>
      <c r="D597" s="88">
        <v>46283.8250694444</v>
      </c>
      <c r="E597" s="89">
        <v>46283</v>
      </c>
      <c r="F597" s="71" t="s">
        <v>1326</v>
      </c>
      <c r="G597" s="71">
        <f t="shared" si="18"/>
        <v>9</v>
      </c>
      <c r="H597" s="71">
        <f t="shared" si="19"/>
        <v>79</v>
      </c>
    </row>
    <row r="598" spans="1:8" x14ac:dyDescent="0.2">
      <c r="A598" s="71" t="s">
        <v>208</v>
      </c>
      <c r="B598" s="71" t="s">
        <v>209</v>
      </c>
      <c r="C598" s="71" t="s">
        <v>48</v>
      </c>
      <c r="D598" s="88">
        <v>46286.667569444398</v>
      </c>
      <c r="E598" s="89">
        <v>46286</v>
      </c>
      <c r="F598" s="71" t="s">
        <v>1320</v>
      </c>
      <c r="G598" s="71">
        <f t="shared" si="18"/>
        <v>9</v>
      </c>
      <c r="H598" s="71">
        <f t="shared" si="19"/>
        <v>30</v>
      </c>
    </row>
    <row r="599" spans="1:8" x14ac:dyDescent="0.2">
      <c r="A599" s="71" t="s">
        <v>208</v>
      </c>
      <c r="B599" s="71" t="s">
        <v>209</v>
      </c>
      <c r="C599" s="71" t="s">
        <v>48</v>
      </c>
      <c r="D599" s="88">
        <v>46287.655601851897</v>
      </c>
      <c r="E599" s="89">
        <v>46287</v>
      </c>
      <c r="F599" s="71" t="s">
        <v>1314</v>
      </c>
      <c r="G599" s="71">
        <f t="shared" si="18"/>
        <v>9</v>
      </c>
      <c r="H599" s="71">
        <f t="shared" si="19"/>
        <v>55</v>
      </c>
    </row>
    <row r="600" spans="1:8" x14ac:dyDescent="0.2">
      <c r="A600" s="71" t="s">
        <v>208</v>
      </c>
      <c r="B600" s="71" t="s">
        <v>209</v>
      </c>
      <c r="C600" s="71" t="s">
        <v>48</v>
      </c>
      <c r="D600" s="88">
        <v>46288.666145833296</v>
      </c>
      <c r="E600" s="89">
        <v>46288</v>
      </c>
      <c r="F600" s="71" t="s">
        <v>1327</v>
      </c>
      <c r="G600" s="71">
        <f t="shared" si="18"/>
        <v>9</v>
      </c>
      <c r="H600" s="71">
        <f t="shared" si="19"/>
        <v>54</v>
      </c>
    </row>
    <row r="601" spans="1:8" x14ac:dyDescent="0.2">
      <c r="A601" s="71" t="s">
        <v>208</v>
      </c>
      <c r="B601" s="71" t="s">
        <v>209</v>
      </c>
      <c r="C601" s="71" t="s">
        <v>48</v>
      </c>
      <c r="D601" s="88">
        <v>46289.664907407401</v>
      </c>
      <c r="E601" s="89">
        <v>46289</v>
      </c>
      <c r="F601" s="71" t="s">
        <v>1314</v>
      </c>
      <c r="G601" s="71">
        <f t="shared" si="18"/>
        <v>9</v>
      </c>
      <c r="H601" s="71">
        <f t="shared" si="19"/>
        <v>55</v>
      </c>
    </row>
    <row r="602" spans="1:8" x14ac:dyDescent="0.2">
      <c r="A602" s="71" t="s">
        <v>208</v>
      </c>
      <c r="B602" s="71" t="s">
        <v>209</v>
      </c>
      <c r="C602" s="71" t="s">
        <v>48</v>
      </c>
      <c r="D602" s="88">
        <v>46290.668020833298</v>
      </c>
      <c r="E602" s="89">
        <v>46290</v>
      </c>
      <c r="F602" s="71" t="s">
        <v>1327</v>
      </c>
      <c r="G602" s="71">
        <f t="shared" si="18"/>
        <v>9</v>
      </c>
      <c r="H602" s="71">
        <f t="shared" si="19"/>
        <v>54</v>
      </c>
    </row>
    <row r="603" spans="1:8" x14ac:dyDescent="0.2">
      <c r="A603" s="71" t="s">
        <v>213</v>
      </c>
      <c r="B603" s="71" t="s">
        <v>214</v>
      </c>
      <c r="C603" s="71" t="s">
        <v>54</v>
      </c>
      <c r="D603" s="88">
        <v>46178.687025462998</v>
      </c>
      <c r="E603" s="89">
        <v>46178</v>
      </c>
      <c r="F603" s="71" t="s">
        <v>1328</v>
      </c>
      <c r="G603" s="71">
        <f t="shared" si="18"/>
        <v>6</v>
      </c>
      <c r="H603" s="71">
        <f t="shared" si="19"/>
        <v>25</v>
      </c>
    </row>
    <row r="604" spans="1:8" x14ac:dyDescent="0.2">
      <c r="A604" s="71" t="s">
        <v>213</v>
      </c>
      <c r="B604" s="71" t="s">
        <v>214</v>
      </c>
      <c r="C604" s="71" t="s">
        <v>54</v>
      </c>
      <c r="D604" s="88">
        <v>46181.666678240697</v>
      </c>
      <c r="E604" s="89">
        <v>46181</v>
      </c>
      <c r="F604" s="71" t="s">
        <v>1328</v>
      </c>
      <c r="G604" s="71">
        <f t="shared" si="18"/>
        <v>6</v>
      </c>
      <c r="H604" s="71">
        <f t="shared" si="19"/>
        <v>25</v>
      </c>
    </row>
    <row r="605" spans="1:8" x14ac:dyDescent="0.2">
      <c r="A605" s="71" t="s">
        <v>213</v>
      </c>
      <c r="B605" s="71" t="s">
        <v>214</v>
      </c>
      <c r="C605" s="71" t="s">
        <v>54</v>
      </c>
      <c r="D605" s="88">
        <v>46182.358437499999</v>
      </c>
      <c r="E605" s="89">
        <v>46182</v>
      </c>
      <c r="F605" s="71" t="s">
        <v>1328</v>
      </c>
      <c r="G605" s="71">
        <f t="shared" si="18"/>
        <v>6</v>
      </c>
      <c r="H605" s="71">
        <f t="shared" si="19"/>
        <v>25</v>
      </c>
    </row>
    <row r="606" spans="1:8" x14ac:dyDescent="0.2">
      <c r="A606" s="71" t="s">
        <v>213</v>
      </c>
      <c r="B606" s="71" t="s">
        <v>214</v>
      </c>
      <c r="C606" s="71" t="s">
        <v>54</v>
      </c>
      <c r="D606" s="88">
        <v>46182.417465277802</v>
      </c>
      <c r="E606" s="89">
        <v>46182</v>
      </c>
      <c r="F606" s="71" t="s">
        <v>1329</v>
      </c>
      <c r="G606" s="71">
        <f t="shared" si="18"/>
        <v>6</v>
      </c>
      <c r="H606" s="71">
        <f t="shared" si="19"/>
        <v>28</v>
      </c>
    </row>
    <row r="607" spans="1:8" x14ac:dyDescent="0.2">
      <c r="A607" s="71" t="s">
        <v>213</v>
      </c>
      <c r="B607" s="71" t="s">
        <v>214</v>
      </c>
      <c r="C607" s="71" t="s">
        <v>54</v>
      </c>
      <c r="D607" s="88">
        <v>46184.639594907399</v>
      </c>
      <c r="E607" s="89">
        <v>46184</v>
      </c>
      <c r="F607" s="71" t="s">
        <v>1330</v>
      </c>
      <c r="G607" s="71">
        <f t="shared" si="18"/>
        <v>6</v>
      </c>
      <c r="H607" s="71">
        <f t="shared" si="19"/>
        <v>26</v>
      </c>
    </row>
    <row r="608" spans="1:8" x14ac:dyDescent="0.2">
      <c r="A608" s="71" t="s">
        <v>213</v>
      </c>
      <c r="B608" s="71" t="s">
        <v>214</v>
      </c>
      <c r="C608" s="71" t="s">
        <v>54</v>
      </c>
      <c r="D608" s="88">
        <v>46185.630324074104</v>
      </c>
      <c r="E608" s="89">
        <v>46185</v>
      </c>
      <c r="F608" s="71" t="s">
        <v>1330</v>
      </c>
      <c r="G608" s="71">
        <f t="shared" si="18"/>
        <v>6</v>
      </c>
      <c r="H608" s="71">
        <f t="shared" si="19"/>
        <v>26</v>
      </c>
    </row>
    <row r="609" spans="1:8" x14ac:dyDescent="0.2">
      <c r="A609" s="71" t="s">
        <v>213</v>
      </c>
      <c r="B609" s="71" t="s">
        <v>214</v>
      </c>
      <c r="C609" s="71" t="s">
        <v>54</v>
      </c>
      <c r="D609" s="88">
        <v>46185.6317361111</v>
      </c>
      <c r="E609" s="89">
        <v>46185</v>
      </c>
      <c r="F609" s="71" t="s">
        <v>1331</v>
      </c>
      <c r="G609" s="71">
        <f t="shared" si="18"/>
        <v>6</v>
      </c>
      <c r="H609" s="71">
        <f t="shared" si="19"/>
        <v>50</v>
      </c>
    </row>
    <row r="610" spans="1:8" x14ac:dyDescent="0.2">
      <c r="A610" s="71" t="s">
        <v>213</v>
      </c>
      <c r="B610" s="71" t="s">
        <v>214</v>
      </c>
      <c r="C610" s="71" t="s">
        <v>54</v>
      </c>
      <c r="D610" s="88">
        <v>46188.336724537003</v>
      </c>
      <c r="E610" s="89">
        <v>46188</v>
      </c>
      <c r="F610" s="71" t="s">
        <v>1332</v>
      </c>
      <c r="G610" s="71">
        <f t="shared" si="18"/>
        <v>6</v>
      </c>
      <c r="H610" s="71">
        <f t="shared" si="19"/>
        <v>47</v>
      </c>
    </row>
    <row r="611" spans="1:8" x14ac:dyDescent="0.2">
      <c r="A611" s="71" t="s">
        <v>213</v>
      </c>
      <c r="B611" s="71" t="s">
        <v>214</v>
      </c>
      <c r="C611" s="71" t="s">
        <v>54</v>
      </c>
      <c r="D611" s="88">
        <v>46191.556238425903</v>
      </c>
      <c r="E611" s="89">
        <v>46191</v>
      </c>
      <c r="F611" s="71" t="s">
        <v>1333</v>
      </c>
      <c r="G611" s="71">
        <f t="shared" si="18"/>
        <v>6</v>
      </c>
      <c r="H611" s="71">
        <f t="shared" si="19"/>
        <v>40</v>
      </c>
    </row>
    <row r="612" spans="1:8" x14ac:dyDescent="0.2">
      <c r="A612" s="71" t="s">
        <v>213</v>
      </c>
      <c r="B612" s="71" t="s">
        <v>214</v>
      </c>
      <c r="C612" s="71" t="s">
        <v>54</v>
      </c>
      <c r="D612" s="88">
        <v>46192.6073958333</v>
      </c>
      <c r="E612" s="89">
        <v>46192</v>
      </c>
      <c r="F612" s="71" t="s">
        <v>1334</v>
      </c>
      <c r="G612" s="71">
        <f t="shared" si="18"/>
        <v>6</v>
      </c>
      <c r="H612" s="71">
        <f t="shared" si="19"/>
        <v>14</v>
      </c>
    </row>
    <row r="613" spans="1:8" x14ac:dyDescent="0.2">
      <c r="A613" s="71" t="s">
        <v>213</v>
      </c>
      <c r="B613" s="71" t="s">
        <v>214</v>
      </c>
      <c r="C613" s="71" t="s">
        <v>54</v>
      </c>
      <c r="D613" s="88">
        <v>46195.568182870396</v>
      </c>
      <c r="E613" s="89">
        <v>46195</v>
      </c>
      <c r="F613" s="71" t="s">
        <v>1335</v>
      </c>
      <c r="G613" s="71">
        <f t="shared" si="18"/>
        <v>6</v>
      </c>
      <c r="H613" s="71">
        <f t="shared" si="19"/>
        <v>15</v>
      </c>
    </row>
    <row r="614" spans="1:8" x14ac:dyDescent="0.2">
      <c r="A614" s="71" t="s">
        <v>213</v>
      </c>
      <c r="B614" s="71" t="s">
        <v>214</v>
      </c>
      <c r="C614" s="71" t="s">
        <v>54</v>
      </c>
      <c r="D614" s="88">
        <v>46196.432986111096</v>
      </c>
      <c r="E614" s="89">
        <v>46196</v>
      </c>
      <c r="F614" s="71" t="s">
        <v>1336</v>
      </c>
      <c r="G614" s="71">
        <f t="shared" si="18"/>
        <v>6</v>
      </c>
      <c r="H614" s="71">
        <f t="shared" si="19"/>
        <v>36</v>
      </c>
    </row>
    <row r="615" spans="1:8" x14ac:dyDescent="0.2">
      <c r="A615" s="71" t="s">
        <v>213</v>
      </c>
      <c r="B615" s="71" t="s">
        <v>214</v>
      </c>
      <c r="C615" s="71" t="s">
        <v>54</v>
      </c>
      <c r="D615" s="88">
        <v>46196.606273148202</v>
      </c>
      <c r="E615" s="89">
        <v>46196</v>
      </c>
      <c r="F615" s="71" t="s">
        <v>1337</v>
      </c>
      <c r="G615" s="71">
        <f t="shared" si="18"/>
        <v>6</v>
      </c>
      <c r="H615" s="71">
        <f t="shared" si="19"/>
        <v>35</v>
      </c>
    </row>
    <row r="616" spans="1:8" x14ac:dyDescent="0.2">
      <c r="A616" s="71" t="s">
        <v>213</v>
      </c>
      <c r="B616" s="71" t="s">
        <v>214</v>
      </c>
      <c r="C616" s="71" t="s">
        <v>54</v>
      </c>
      <c r="D616" s="88">
        <v>46198.345428240696</v>
      </c>
      <c r="E616" s="89">
        <v>46198</v>
      </c>
      <c r="F616" s="71" t="s">
        <v>1338</v>
      </c>
      <c r="G616" s="71">
        <f t="shared" si="18"/>
        <v>6</v>
      </c>
      <c r="H616" s="71">
        <f t="shared" si="19"/>
        <v>34</v>
      </c>
    </row>
    <row r="617" spans="1:8" x14ac:dyDescent="0.2">
      <c r="A617" s="71" t="s">
        <v>213</v>
      </c>
      <c r="B617" s="71" t="s">
        <v>214</v>
      </c>
      <c r="C617" s="71" t="s">
        <v>54</v>
      </c>
      <c r="D617" s="88">
        <v>46199.388101851902</v>
      </c>
      <c r="E617" s="89">
        <v>46199</v>
      </c>
      <c r="F617" s="71" t="s">
        <v>1339</v>
      </c>
      <c r="G617" s="71">
        <f t="shared" si="18"/>
        <v>6</v>
      </c>
      <c r="H617" s="71">
        <f t="shared" si="19"/>
        <v>28</v>
      </c>
    </row>
    <row r="618" spans="1:8" x14ac:dyDescent="0.2">
      <c r="A618" s="71" t="s">
        <v>213</v>
      </c>
      <c r="B618" s="71" t="s">
        <v>214</v>
      </c>
      <c r="C618" s="71" t="s">
        <v>54</v>
      </c>
      <c r="D618" s="88">
        <v>46202.441736111097</v>
      </c>
      <c r="E618" s="89">
        <v>46202</v>
      </c>
      <c r="F618" s="71" t="s">
        <v>1339</v>
      </c>
      <c r="G618" s="71">
        <f t="shared" si="18"/>
        <v>6</v>
      </c>
      <c r="H618" s="71">
        <f t="shared" si="19"/>
        <v>28</v>
      </c>
    </row>
    <row r="619" spans="1:8" x14ac:dyDescent="0.2">
      <c r="A619" s="71" t="s">
        <v>213</v>
      </c>
      <c r="B619" s="71" t="s">
        <v>214</v>
      </c>
      <c r="C619" s="71" t="s">
        <v>54</v>
      </c>
      <c r="D619" s="88">
        <v>46205.555682870399</v>
      </c>
      <c r="E619" s="89">
        <v>46205</v>
      </c>
      <c r="F619" s="71" t="s">
        <v>1338</v>
      </c>
      <c r="G619" s="71">
        <f t="shared" si="18"/>
        <v>7</v>
      </c>
      <c r="H619" s="71">
        <f t="shared" si="19"/>
        <v>34</v>
      </c>
    </row>
    <row r="620" spans="1:8" x14ac:dyDescent="0.2">
      <c r="A620" s="71" t="s">
        <v>213</v>
      </c>
      <c r="B620" s="71" t="s">
        <v>214</v>
      </c>
      <c r="C620" s="71" t="s">
        <v>54</v>
      </c>
      <c r="D620" s="88">
        <v>46206.633842592601</v>
      </c>
      <c r="E620" s="89">
        <v>46206</v>
      </c>
      <c r="F620" s="71" t="s">
        <v>1340</v>
      </c>
      <c r="G620" s="71">
        <f t="shared" si="18"/>
        <v>7</v>
      </c>
      <c r="H620" s="71">
        <f t="shared" si="19"/>
        <v>34</v>
      </c>
    </row>
    <row r="621" spans="1:8" x14ac:dyDescent="0.2">
      <c r="A621" s="71" t="s">
        <v>213</v>
      </c>
      <c r="B621" s="71" t="s">
        <v>214</v>
      </c>
      <c r="C621" s="71" t="s">
        <v>54</v>
      </c>
      <c r="D621" s="88">
        <v>46209.644444444399</v>
      </c>
      <c r="E621" s="89">
        <v>46209</v>
      </c>
      <c r="F621" s="71" t="s">
        <v>1339</v>
      </c>
      <c r="G621" s="71">
        <f t="shared" si="18"/>
        <v>7</v>
      </c>
      <c r="H621" s="71">
        <f t="shared" si="19"/>
        <v>28</v>
      </c>
    </row>
    <row r="622" spans="1:8" x14ac:dyDescent="0.2">
      <c r="A622" s="71" t="s">
        <v>213</v>
      </c>
      <c r="B622" s="71" t="s">
        <v>214</v>
      </c>
      <c r="C622" s="71" t="s">
        <v>54</v>
      </c>
      <c r="D622" s="88">
        <v>46210.424780092602</v>
      </c>
      <c r="E622" s="89">
        <v>46210</v>
      </c>
      <c r="F622" s="71" t="s">
        <v>1341</v>
      </c>
      <c r="G622" s="71">
        <f t="shared" si="18"/>
        <v>7</v>
      </c>
      <c r="H622" s="71">
        <f t="shared" si="19"/>
        <v>18</v>
      </c>
    </row>
    <row r="623" spans="1:8" x14ac:dyDescent="0.2">
      <c r="A623" s="71" t="s">
        <v>213</v>
      </c>
      <c r="B623" s="71" t="s">
        <v>214</v>
      </c>
      <c r="C623" s="71" t="s">
        <v>54</v>
      </c>
      <c r="D623" s="88">
        <v>46210.448090277801</v>
      </c>
      <c r="E623" s="89">
        <v>46210</v>
      </c>
      <c r="F623" s="71" t="s">
        <v>1342</v>
      </c>
      <c r="G623" s="71">
        <f t="shared" si="18"/>
        <v>7</v>
      </c>
      <c r="H623" s="71">
        <f t="shared" si="19"/>
        <v>29</v>
      </c>
    </row>
    <row r="624" spans="1:8" x14ac:dyDescent="0.2">
      <c r="A624" s="71" t="s">
        <v>213</v>
      </c>
      <c r="B624" s="71" t="s">
        <v>214</v>
      </c>
      <c r="C624" s="71" t="s">
        <v>54</v>
      </c>
      <c r="D624" s="88">
        <v>46210.610428240703</v>
      </c>
      <c r="E624" s="89">
        <v>46210</v>
      </c>
      <c r="F624" s="71" t="s">
        <v>1338</v>
      </c>
      <c r="G624" s="71">
        <f t="shared" si="18"/>
        <v>7</v>
      </c>
      <c r="H624" s="71">
        <f t="shared" si="19"/>
        <v>34</v>
      </c>
    </row>
    <row r="625" spans="1:8" x14ac:dyDescent="0.2">
      <c r="A625" s="71" t="s">
        <v>213</v>
      </c>
      <c r="B625" s="71" t="s">
        <v>214</v>
      </c>
      <c r="C625" s="71" t="s">
        <v>54</v>
      </c>
      <c r="D625" s="88">
        <v>46212.359895833302</v>
      </c>
      <c r="E625" s="89">
        <v>46212</v>
      </c>
      <c r="F625" s="71" t="s">
        <v>1338</v>
      </c>
      <c r="G625" s="71">
        <f t="shared" si="18"/>
        <v>7</v>
      </c>
      <c r="H625" s="71">
        <f t="shared" si="19"/>
        <v>34</v>
      </c>
    </row>
    <row r="626" spans="1:8" x14ac:dyDescent="0.2">
      <c r="A626" s="71" t="s">
        <v>213</v>
      </c>
      <c r="B626" s="71" t="s">
        <v>214</v>
      </c>
      <c r="C626" s="71" t="s">
        <v>54</v>
      </c>
      <c r="D626" s="88">
        <v>46213.688460648198</v>
      </c>
      <c r="E626" s="89">
        <v>46213</v>
      </c>
      <c r="F626" s="71" t="s">
        <v>1343</v>
      </c>
      <c r="G626" s="71">
        <f t="shared" si="18"/>
        <v>7</v>
      </c>
      <c r="H626" s="71">
        <f t="shared" si="19"/>
        <v>28</v>
      </c>
    </row>
    <row r="627" spans="1:8" x14ac:dyDescent="0.2">
      <c r="A627" s="71" t="s">
        <v>213</v>
      </c>
      <c r="B627" s="71" t="s">
        <v>214</v>
      </c>
      <c r="C627" s="71" t="s">
        <v>54</v>
      </c>
      <c r="D627" s="88">
        <v>46216.365381944401</v>
      </c>
      <c r="E627" s="89">
        <v>46216</v>
      </c>
      <c r="F627" s="71" t="s">
        <v>1335</v>
      </c>
      <c r="G627" s="71">
        <f t="shared" si="18"/>
        <v>7</v>
      </c>
      <c r="H627" s="71">
        <f t="shared" si="19"/>
        <v>15</v>
      </c>
    </row>
    <row r="628" spans="1:8" x14ac:dyDescent="0.2">
      <c r="A628" s="71" t="s">
        <v>213</v>
      </c>
      <c r="B628" s="71" t="s">
        <v>214</v>
      </c>
      <c r="C628" s="71" t="s">
        <v>54</v>
      </c>
      <c r="D628" s="88">
        <v>46219.598229166702</v>
      </c>
      <c r="E628" s="89">
        <v>46219</v>
      </c>
      <c r="F628" s="71" t="s">
        <v>1344</v>
      </c>
      <c r="G628" s="71">
        <f t="shared" si="18"/>
        <v>7</v>
      </c>
      <c r="H628" s="71">
        <f t="shared" si="19"/>
        <v>28</v>
      </c>
    </row>
    <row r="629" spans="1:8" x14ac:dyDescent="0.2">
      <c r="A629" s="71" t="s">
        <v>213</v>
      </c>
      <c r="B629" s="71" t="s">
        <v>214</v>
      </c>
      <c r="C629" s="71" t="s">
        <v>54</v>
      </c>
      <c r="D629" s="88">
        <v>46220.424108796302</v>
      </c>
      <c r="E629" s="89">
        <v>46220</v>
      </c>
      <c r="F629" s="71" t="s">
        <v>1344</v>
      </c>
      <c r="G629" s="71">
        <f t="shared" si="18"/>
        <v>7</v>
      </c>
      <c r="H629" s="71">
        <f t="shared" si="19"/>
        <v>28</v>
      </c>
    </row>
    <row r="630" spans="1:8" x14ac:dyDescent="0.2">
      <c r="A630" s="71" t="s">
        <v>213</v>
      </c>
      <c r="B630" s="71" t="s">
        <v>214</v>
      </c>
      <c r="C630" s="71" t="s">
        <v>54</v>
      </c>
      <c r="D630" s="88">
        <v>46223.484710648198</v>
      </c>
      <c r="E630" s="89">
        <v>46223</v>
      </c>
      <c r="F630" s="71" t="s">
        <v>1345</v>
      </c>
      <c r="G630" s="71">
        <f t="shared" si="18"/>
        <v>7</v>
      </c>
      <c r="H630" s="71">
        <f t="shared" si="19"/>
        <v>28</v>
      </c>
    </row>
    <row r="631" spans="1:8" x14ac:dyDescent="0.2">
      <c r="A631" s="71" t="s">
        <v>213</v>
      </c>
      <c r="B631" s="71" t="s">
        <v>214</v>
      </c>
      <c r="C631" s="71" t="s">
        <v>54</v>
      </c>
      <c r="D631" s="88">
        <v>46224.419398148202</v>
      </c>
      <c r="E631" s="89">
        <v>46224</v>
      </c>
      <c r="F631" s="71" t="s">
        <v>1344</v>
      </c>
      <c r="G631" s="71">
        <f t="shared" si="18"/>
        <v>7</v>
      </c>
      <c r="H631" s="71">
        <f t="shared" si="19"/>
        <v>28</v>
      </c>
    </row>
    <row r="632" spans="1:8" x14ac:dyDescent="0.2">
      <c r="A632" s="71" t="s">
        <v>213</v>
      </c>
      <c r="B632" s="71" t="s">
        <v>214</v>
      </c>
      <c r="C632" s="71" t="s">
        <v>54</v>
      </c>
      <c r="D632" s="88">
        <v>46226.455127314803</v>
      </c>
      <c r="E632" s="89">
        <v>46226</v>
      </c>
      <c r="F632" s="71" t="s">
        <v>1344</v>
      </c>
      <c r="G632" s="71">
        <f t="shared" si="18"/>
        <v>7</v>
      </c>
      <c r="H632" s="71">
        <f t="shared" si="19"/>
        <v>28</v>
      </c>
    </row>
    <row r="633" spans="1:8" x14ac:dyDescent="0.2">
      <c r="A633" s="71" t="s">
        <v>213</v>
      </c>
      <c r="B633" s="71" t="s">
        <v>214</v>
      </c>
      <c r="C633" s="71" t="s">
        <v>54</v>
      </c>
      <c r="D633" s="88">
        <v>46227.590682870403</v>
      </c>
      <c r="E633" s="89">
        <v>46227</v>
      </c>
      <c r="F633" s="71" t="s">
        <v>1344</v>
      </c>
      <c r="G633" s="71">
        <f t="shared" si="18"/>
        <v>7</v>
      </c>
      <c r="H633" s="71">
        <f t="shared" si="19"/>
        <v>28</v>
      </c>
    </row>
    <row r="634" spans="1:8" x14ac:dyDescent="0.2">
      <c r="A634" s="71" t="s">
        <v>213</v>
      </c>
      <c r="B634" s="71" t="s">
        <v>214</v>
      </c>
      <c r="C634" s="71" t="s">
        <v>54</v>
      </c>
      <c r="D634" s="88">
        <v>46230.686539351896</v>
      </c>
      <c r="E634" s="89">
        <v>46230</v>
      </c>
      <c r="F634" s="71" t="s">
        <v>1344</v>
      </c>
      <c r="G634" s="71">
        <f t="shared" si="18"/>
        <v>7</v>
      </c>
      <c r="H634" s="71">
        <f t="shared" si="19"/>
        <v>28</v>
      </c>
    </row>
    <row r="635" spans="1:8" x14ac:dyDescent="0.2">
      <c r="A635" s="71" t="s">
        <v>213</v>
      </c>
      <c r="B635" s="71" t="s">
        <v>214</v>
      </c>
      <c r="C635" s="71" t="s">
        <v>54</v>
      </c>
      <c r="D635" s="88">
        <v>46231.728067129603</v>
      </c>
      <c r="E635" s="89">
        <v>46231</v>
      </c>
      <c r="F635" s="71" t="s">
        <v>1346</v>
      </c>
      <c r="G635" s="71">
        <f t="shared" si="18"/>
        <v>7</v>
      </c>
      <c r="H635" s="71">
        <f t="shared" si="19"/>
        <v>16</v>
      </c>
    </row>
    <row r="636" spans="1:8" x14ac:dyDescent="0.2">
      <c r="A636" s="71" t="s">
        <v>213</v>
      </c>
      <c r="B636" s="71" t="s">
        <v>214</v>
      </c>
      <c r="C636" s="71" t="s">
        <v>54</v>
      </c>
      <c r="D636" s="88">
        <v>46234.322175925903</v>
      </c>
      <c r="E636" s="89">
        <v>46234</v>
      </c>
      <c r="F636" s="71" t="s">
        <v>1347</v>
      </c>
      <c r="G636" s="71">
        <f t="shared" si="18"/>
        <v>7</v>
      </c>
      <c r="H636" s="71">
        <f t="shared" si="19"/>
        <v>15</v>
      </c>
    </row>
    <row r="637" spans="1:8" x14ac:dyDescent="0.2">
      <c r="A637" s="71" t="s">
        <v>213</v>
      </c>
      <c r="B637" s="71" t="s">
        <v>214</v>
      </c>
      <c r="C637" s="71" t="s">
        <v>54</v>
      </c>
      <c r="D637" s="88">
        <v>46238.413819444497</v>
      </c>
      <c r="E637" s="89">
        <v>46238</v>
      </c>
      <c r="F637" s="71" t="s">
        <v>1347</v>
      </c>
      <c r="G637" s="71">
        <f t="shared" si="18"/>
        <v>8</v>
      </c>
      <c r="H637" s="71">
        <f t="shared" si="19"/>
        <v>15</v>
      </c>
    </row>
    <row r="638" spans="1:8" x14ac:dyDescent="0.2">
      <c r="A638" s="71" t="s">
        <v>213</v>
      </c>
      <c r="B638" s="71" t="s">
        <v>214</v>
      </c>
      <c r="C638" s="71" t="s">
        <v>54</v>
      </c>
      <c r="D638" s="88">
        <v>46239.4663194444</v>
      </c>
      <c r="E638" s="89">
        <v>46239</v>
      </c>
      <c r="F638" s="71" t="s">
        <v>1346</v>
      </c>
      <c r="G638" s="71">
        <f t="shared" si="18"/>
        <v>8</v>
      </c>
      <c r="H638" s="71">
        <f t="shared" si="19"/>
        <v>16</v>
      </c>
    </row>
    <row r="639" spans="1:8" x14ac:dyDescent="0.2">
      <c r="A639" s="71" t="s">
        <v>213</v>
      </c>
      <c r="B639" s="71" t="s">
        <v>214</v>
      </c>
      <c r="C639" s="71" t="s">
        <v>54</v>
      </c>
      <c r="D639" s="88">
        <v>46240.487233796302</v>
      </c>
      <c r="E639" s="89">
        <v>46240</v>
      </c>
      <c r="F639" s="71" t="s">
        <v>1346</v>
      </c>
      <c r="G639" s="71">
        <f t="shared" si="18"/>
        <v>8</v>
      </c>
      <c r="H639" s="71">
        <f t="shared" si="19"/>
        <v>16</v>
      </c>
    </row>
    <row r="640" spans="1:8" x14ac:dyDescent="0.2">
      <c r="A640" s="71" t="s">
        <v>213</v>
      </c>
      <c r="B640" s="71" t="s">
        <v>214</v>
      </c>
      <c r="C640" s="71" t="s">
        <v>54</v>
      </c>
      <c r="D640" s="88">
        <v>46241.6962152778</v>
      </c>
      <c r="E640" s="89">
        <v>46241</v>
      </c>
      <c r="F640" s="71" t="s">
        <v>1348</v>
      </c>
      <c r="G640" s="71">
        <f t="shared" si="18"/>
        <v>8</v>
      </c>
      <c r="H640" s="71">
        <f t="shared" si="19"/>
        <v>22</v>
      </c>
    </row>
    <row r="641" spans="1:8" x14ac:dyDescent="0.2">
      <c r="A641" s="71" t="s">
        <v>213</v>
      </c>
      <c r="B641" s="71" t="s">
        <v>214</v>
      </c>
      <c r="C641" s="71" t="s">
        <v>54</v>
      </c>
      <c r="D641" s="88">
        <v>46244.535277777803</v>
      </c>
      <c r="E641" s="89">
        <v>46244</v>
      </c>
      <c r="F641" s="71" t="s">
        <v>1346</v>
      </c>
      <c r="G641" s="71">
        <f t="shared" si="18"/>
        <v>8</v>
      </c>
      <c r="H641" s="71">
        <f t="shared" si="19"/>
        <v>16</v>
      </c>
    </row>
    <row r="642" spans="1:8" x14ac:dyDescent="0.2">
      <c r="A642" s="71" t="s">
        <v>213</v>
      </c>
      <c r="B642" s="71" t="s">
        <v>214</v>
      </c>
      <c r="C642" s="71" t="s">
        <v>54</v>
      </c>
      <c r="D642" s="88">
        <v>46245.354282407403</v>
      </c>
      <c r="E642" s="89">
        <v>46245</v>
      </c>
      <c r="F642" s="71" t="s">
        <v>1346</v>
      </c>
      <c r="G642" s="71">
        <f t="shared" ref="G642:G705" si="20">MONTH(E642)</f>
        <v>8</v>
      </c>
      <c r="H642" s="71">
        <f t="shared" ref="H642:H705" si="21">LEN(F642)</f>
        <v>16</v>
      </c>
    </row>
    <row r="643" spans="1:8" x14ac:dyDescent="0.2">
      <c r="A643" s="71" t="s">
        <v>213</v>
      </c>
      <c r="B643" s="71" t="s">
        <v>214</v>
      </c>
      <c r="C643" s="71" t="s">
        <v>54</v>
      </c>
      <c r="D643" s="88">
        <v>46246.406956018502</v>
      </c>
      <c r="E643" s="89">
        <v>46246</v>
      </c>
      <c r="F643" s="71" t="s">
        <v>1346</v>
      </c>
      <c r="G643" s="71">
        <f t="shared" si="20"/>
        <v>8</v>
      </c>
      <c r="H643" s="71">
        <f t="shared" si="21"/>
        <v>16</v>
      </c>
    </row>
    <row r="644" spans="1:8" x14ac:dyDescent="0.2">
      <c r="A644" s="71" t="s">
        <v>213</v>
      </c>
      <c r="B644" s="71" t="s">
        <v>214</v>
      </c>
      <c r="C644" s="71" t="s">
        <v>54</v>
      </c>
      <c r="D644" s="88">
        <v>46247.432615740698</v>
      </c>
      <c r="E644" s="89">
        <v>46247</v>
      </c>
      <c r="F644" s="71" t="s">
        <v>1328</v>
      </c>
      <c r="G644" s="71">
        <f t="shared" si="20"/>
        <v>8</v>
      </c>
      <c r="H644" s="71">
        <f t="shared" si="21"/>
        <v>25</v>
      </c>
    </row>
    <row r="645" spans="1:8" x14ac:dyDescent="0.2">
      <c r="A645" s="71" t="s">
        <v>213</v>
      </c>
      <c r="B645" s="71" t="s">
        <v>214</v>
      </c>
      <c r="C645" s="71" t="s">
        <v>54</v>
      </c>
      <c r="D645" s="88">
        <v>46248.3682638889</v>
      </c>
      <c r="E645" s="89">
        <v>46248</v>
      </c>
      <c r="F645" s="71" t="s">
        <v>1346</v>
      </c>
      <c r="G645" s="71">
        <f t="shared" si="20"/>
        <v>8</v>
      </c>
      <c r="H645" s="71">
        <f t="shared" si="21"/>
        <v>16</v>
      </c>
    </row>
    <row r="646" spans="1:8" x14ac:dyDescent="0.2">
      <c r="A646" s="71" t="s">
        <v>213</v>
      </c>
      <c r="B646" s="71" t="s">
        <v>214</v>
      </c>
      <c r="C646" s="71" t="s">
        <v>54</v>
      </c>
      <c r="D646" s="88">
        <v>46252.446412037003</v>
      </c>
      <c r="E646" s="89">
        <v>46252</v>
      </c>
      <c r="F646" s="71" t="s">
        <v>1346</v>
      </c>
      <c r="G646" s="71">
        <f t="shared" si="20"/>
        <v>8</v>
      </c>
      <c r="H646" s="71">
        <f t="shared" si="21"/>
        <v>16</v>
      </c>
    </row>
    <row r="647" spans="1:8" x14ac:dyDescent="0.2">
      <c r="A647" s="71" t="s">
        <v>213</v>
      </c>
      <c r="B647" s="71" t="s">
        <v>214</v>
      </c>
      <c r="C647" s="71" t="s">
        <v>54</v>
      </c>
      <c r="D647" s="88">
        <v>46253.447210648199</v>
      </c>
      <c r="E647" s="89">
        <v>46253</v>
      </c>
      <c r="F647" s="71" t="s">
        <v>1346</v>
      </c>
      <c r="G647" s="71">
        <f t="shared" si="20"/>
        <v>8</v>
      </c>
      <c r="H647" s="71">
        <f t="shared" si="21"/>
        <v>16</v>
      </c>
    </row>
    <row r="648" spans="1:8" x14ac:dyDescent="0.2">
      <c r="A648" s="71" t="s">
        <v>213</v>
      </c>
      <c r="B648" s="71" t="s">
        <v>214</v>
      </c>
      <c r="C648" s="71" t="s">
        <v>54</v>
      </c>
      <c r="D648" s="88">
        <v>46254.559409722198</v>
      </c>
      <c r="E648" s="89">
        <v>46254</v>
      </c>
      <c r="F648" s="71" t="s">
        <v>1346</v>
      </c>
      <c r="G648" s="71">
        <f t="shared" si="20"/>
        <v>8</v>
      </c>
      <c r="H648" s="71">
        <f t="shared" si="21"/>
        <v>16</v>
      </c>
    </row>
    <row r="649" spans="1:8" x14ac:dyDescent="0.2">
      <c r="A649" s="71" t="s">
        <v>213</v>
      </c>
      <c r="B649" s="71" t="s">
        <v>214</v>
      </c>
      <c r="C649" s="71" t="s">
        <v>54</v>
      </c>
      <c r="D649" s="88">
        <v>46255.689560185201</v>
      </c>
      <c r="E649" s="89">
        <v>46255</v>
      </c>
      <c r="F649" s="71" t="s">
        <v>1346</v>
      </c>
      <c r="G649" s="71">
        <f t="shared" si="20"/>
        <v>8</v>
      </c>
      <c r="H649" s="71">
        <f t="shared" si="21"/>
        <v>16</v>
      </c>
    </row>
    <row r="650" spans="1:8" x14ac:dyDescent="0.2">
      <c r="A650" s="71" t="s">
        <v>213</v>
      </c>
      <c r="B650" s="71" t="s">
        <v>214</v>
      </c>
      <c r="C650" s="71" t="s">
        <v>54</v>
      </c>
      <c r="D650" s="88">
        <v>46258.373159722199</v>
      </c>
      <c r="E650" s="89">
        <v>46258</v>
      </c>
      <c r="F650" s="71" t="s">
        <v>1346</v>
      </c>
      <c r="G650" s="71">
        <f t="shared" si="20"/>
        <v>8</v>
      </c>
      <c r="H650" s="71">
        <f t="shared" si="21"/>
        <v>16</v>
      </c>
    </row>
    <row r="651" spans="1:8" x14ac:dyDescent="0.2">
      <c r="A651" s="71" t="s">
        <v>213</v>
      </c>
      <c r="B651" s="71" t="s">
        <v>214</v>
      </c>
      <c r="C651" s="71" t="s">
        <v>54</v>
      </c>
      <c r="D651" s="88">
        <v>46260.332743055602</v>
      </c>
      <c r="E651" s="89">
        <v>46260</v>
      </c>
      <c r="F651" s="71" t="s">
        <v>1346</v>
      </c>
      <c r="G651" s="71">
        <f t="shared" si="20"/>
        <v>8</v>
      </c>
      <c r="H651" s="71">
        <f t="shared" si="21"/>
        <v>16</v>
      </c>
    </row>
    <row r="652" spans="1:8" x14ac:dyDescent="0.2">
      <c r="A652" s="71" t="s">
        <v>213</v>
      </c>
      <c r="B652" s="71" t="s">
        <v>214</v>
      </c>
      <c r="C652" s="71" t="s">
        <v>54</v>
      </c>
      <c r="D652" s="88">
        <v>46261.543356481503</v>
      </c>
      <c r="E652" s="89">
        <v>46261</v>
      </c>
      <c r="F652" s="71" t="s">
        <v>1346</v>
      </c>
      <c r="G652" s="71">
        <f t="shared" si="20"/>
        <v>8</v>
      </c>
      <c r="H652" s="71">
        <f t="shared" si="21"/>
        <v>16</v>
      </c>
    </row>
    <row r="653" spans="1:8" x14ac:dyDescent="0.2">
      <c r="A653" s="71" t="s">
        <v>213</v>
      </c>
      <c r="B653" s="71" t="s">
        <v>214</v>
      </c>
      <c r="C653" s="71" t="s">
        <v>54</v>
      </c>
      <c r="D653" s="88">
        <v>46262.447523148199</v>
      </c>
      <c r="E653" s="89">
        <v>46262</v>
      </c>
      <c r="F653" s="71" t="s">
        <v>1349</v>
      </c>
      <c r="G653" s="71">
        <f t="shared" si="20"/>
        <v>8</v>
      </c>
      <c r="H653" s="71">
        <f t="shared" si="21"/>
        <v>48</v>
      </c>
    </row>
    <row r="654" spans="1:8" x14ac:dyDescent="0.2">
      <c r="A654" s="71" t="s">
        <v>213</v>
      </c>
      <c r="B654" s="71" t="s">
        <v>214</v>
      </c>
      <c r="C654" s="71" t="s">
        <v>54</v>
      </c>
      <c r="D654" s="88">
        <v>46265.641400462999</v>
      </c>
      <c r="E654" s="89">
        <v>46265</v>
      </c>
      <c r="F654" s="71" t="s">
        <v>1329</v>
      </c>
      <c r="G654" s="71">
        <f t="shared" si="20"/>
        <v>8</v>
      </c>
      <c r="H654" s="71">
        <f t="shared" si="21"/>
        <v>28</v>
      </c>
    </row>
    <row r="655" spans="1:8" x14ac:dyDescent="0.2">
      <c r="A655" s="71" t="s">
        <v>213</v>
      </c>
      <c r="B655" s="71" t="s">
        <v>214</v>
      </c>
      <c r="C655" s="71" t="s">
        <v>54</v>
      </c>
      <c r="D655" s="88">
        <v>46266.3335532407</v>
      </c>
      <c r="E655" s="89">
        <v>46266</v>
      </c>
      <c r="F655" s="71" t="s">
        <v>1350</v>
      </c>
      <c r="G655" s="71">
        <f t="shared" si="20"/>
        <v>9</v>
      </c>
      <c r="H655" s="71">
        <f t="shared" si="21"/>
        <v>27</v>
      </c>
    </row>
    <row r="656" spans="1:8" x14ac:dyDescent="0.2">
      <c r="A656" s="71" t="s">
        <v>213</v>
      </c>
      <c r="B656" s="71" t="s">
        <v>214</v>
      </c>
      <c r="C656" s="71" t="s">
        <v>54</v>
      </c>
      <c r="D656" s="88">
        <v>46267.351099537002</v>
      </c>
      <c r="E656" s="89">
        <v>46267</v>
      </c>
      <c r="F656" s="71" t="s">
        <v>1351</v>
      </c>
      <c r="G656" s="71">
        <f t="shared" si="20"/>
        <v>9</v>
      </c>
      <c r="H656" s="71">
        <f t="shared" si="21"/>
        <v>29</v>
      </c>
    </row>
    <row r="657" spans="1:8" x14ac:dyDescent="0.2">
      <c r="A657" s="71" t="s">
        <v>213</v>
      </c>
      <c r="B657" s="71" t="s">
        <v>214</v>
      </c>
      <c r="C657" s="71" t="s">
        <v>54</v>
      </c>
      <c r="D657" s="88">
        <v>46268.391423611101</v>
      </c>
      <c r="E657" s="89">
        <v>46268</v>
      </c>
      <c r="F657" s="71" t="s">
        <v>1352</v>
      </c>
      <c r="G657" s="71">
        <f t="shared" si="20"/>
        <v>9</v>
      </c>
      <c r="H657" s="71">
        <f t="shared" si="21"/>
        <v>27</v>
      </c>
    </row>
    <row r="658" spans="1:8" x14ac:dyDescent="0.2">
      <c r="A658" s="71" t="s">
        <v>213</v>
      </c>
      <c r="B658" s="71" t="s">
        <v>214</v>
      </c>
      <c r="C658" s="71" t="s">
        <v>54</v>
      </c>
      <c r="D658" s="88">
        <v>46269.499178240701</v>
      </c>
      <c r="E658" s="89">
        <v>46269</v>
      </c>
      <c r="F658" s="71" t="s">
        <v>1353</v>
      </c>
      <c r="G658" s="71">
        <f t="shared" si="20"/>
        <v>9</v>
      </c>
      <c r="H658" s="71">
        <f t="shared" si="21"/>
        <v>28</v>
      </c>
    </row>
    <row r="659" spans="1:8" x14ac:dyDescent="0.2">
      <c r="A659" s="71" t="s">
        <v>213</v>
      </c>
      <c r="B659" s="71" t="s">
        <v>214</v>
      </c>
      <c r="C659" s="71" t="s">
        <v>54</v>
      </c>
      <c r="D659" s="88">
        <v>46272.387465277803</v>
      </c>
      <c r="E659" s="89">
        <v>46272</v>
      </c>
      <c r="F659" s="71" t="s">
        <v>1346</v>
      </c>
      <c r="G659" s="71">
        <f t="shared" si="20"/>
        <v>9</v>
      </c>
      <c r="H659" s="71">
        <f t="shared" si="21"/>
        <v>16</v>
      </c>
    </row>
    <row r="660" spans="1:8" x14ac:dyDescent="0.2">
      <c r="A660" s="71" t="s">
        <v>213</v>
      </c>
      <c r="B660" s="71" t="s">
        <v>214</v>
      </c>
      <c r="C660" s="71" t="s">
        <v>54</v>
      </c>
      <c r="D660" s="88">
        <v>46273.390601851897</v>
      </c>
      <c r="E660" s="89">
        <v>46273</v>
      </c>
      <c r="F660" s="71" t="s">
        <v>1346</v>
      </c>
      <c r="G660" s="71">
        <f t="shared" si="20"/>
        <v>9</v>
      </c>
      <c r="H660" s="71">
        <f t="shared" si="21"/>
        <v>16</v>
      </c>
    </row>
    <row r="661" spans="1:8" x14ac:dyDescent="0.2">
      <c r="A661" s="71" t="s">
        <v>213</v>
      </c>
      <c r="B661" s="71" t="s">
        <v>214</v>
      </c>
      <c r="C661" s="71" t="s">
        <v>54</v>
      </c>
      <c r="D661" s="88">
        <v>46274.3540856482</v>
      </c>
      <c r="E661" s="89">
        <v>46274</v>
      </c>
      <c r="F661" s="71" t="s">
        <v>1346</v>
      </c>
      <c r="G661" s="71">
        <f t="shared" si="20"/>
        <v>9</v>
      </c>
      <c r="H661" s="71">
        <f t="shared" si="21"/>
        <v>16</v>
      </c>
    </row>
    <row r="662" spans="1:8" x14ac:dyDescent="0.2">
      <c r="A662" s="71" t="s">
        <v>213</v>
      </c>
      <c r="B662" s="71" t="s">
        <v>214</v>
      </c>
      <c r="C662" s="71" t="s">
        <v>54</v>
      </c>
      <c r="D662" s="88">
        <v>46275.328020833302</v>
      </c>
      <c r="E662" s="89">
        <v>46275</v>
      </c>
      <c r="F662" s="71" t="s">
        <v>1346</v>
      </c>
      <c r="G662" s="71">
        <f t="shared" si="20"/>
        <v>9</v>
      </c>
      <c r="H662" s="71">
        <f t="shared" si="21"/>
        <v>16</v>
      </c>
    </row>
    <row r="663" spans="1:8" x14ac:dyDescent="0.2">
      <c r="A663" s="71" t="s">
        <v>213</v>
      </c>
      <c r="B663" s="71" t="s">
        <v>214</v>
      </c>
      <c r="C663" s="71" t="s">
        <v>54</v>
      </c>
      <c r="D663" s="88">
        <v>46276.798645833303</v>
      </c>
      <c r="E663" s="89">
        <v>46276</v>
      </c>
      <c r="F663" s="71" t="s">
        <v>1346</v>
      </c>
      <c r="G663" s="71">
        <f t="shared" si="20"/>
        <v>9</v>
      </c>
      <c r="H663" s="71">
        <f t="shared" si="21"/>
        <v>16</v>
      </c>
    </row>
    <row r="664" spans="1:8" x14ac:dyDescent="0.2">
      <c r="A664" s="71" t="s">
        <v>213</v>
      </c>
      <c r="B664" s="71" t="s">
        <v>214</v>
      </c>
      <c r="C664" s="71" t="s">
        <v>54</v>
      </c>
      <c r="D664" s="88">
        <v>46279.450787037</v>
      </c>
      <c r="E664" s="89">
        <v>46279</v>
      </c>
      <c r="F664" s="71" t="s">
        <v>1346</v>
      </c>
      <c r="G664" s="71">
        <f t="shared" si="20"/>
        <v>9</v>
      </c>
      <c r="H664" s="71">
        <f t="shared" si="21"/>
        <v>16</v>
      </c>
    </row>
    <row r="665" spans="1:8" x14ac:dyDescent="0.2">
      <c r="A665" s="71" t="s">
        <v>213</v>
      </c>
      <c r="B665" s="71" t="s">
        <v>214</v>
      </c>
      <c r="C665" s="71" t="s">
        <v>54</v>
      </c>
      <c r="D665" s="88">
        <v>46280.596261574101</v>
      </c>
      <c r="E665" s="89">
        <v>46280</v>
      </c>
      <c r="F665" s="71" t="s">
        <v>1346</v>
      </c>
      <c r="G665" s="71">
        <f t="shared" si="20"/>
        <v>9</v>
      </c>
      <c r="H665" s="71">
        <f t="shared" si="21"/>
        <v>16</v>
      </c>
    </row>
    <row r="666" spans="1:8" x14ac:dyDescent="0.2">
      <c r="A666" s="71" t="s">
        <v>213</v>
      </c>
      <c r="B666" s="71" t="s">
        <v>214</v>
      </c>
      <c r="C666" s="71" t="s">
        <v>54</v>
      </c>
      <c r="D666" s="88">
        <v>46281.602476851898</v>
      </c>
      <c r="E666" s="89">
        <v>46281</v>
      </c>
      <c r="F666" s="71" t="s">
        <v>1346</v>
      </c>
      <c r="G666" s="71">
        <f t="shared" si="20"/>
        <v>9</v>
      </c>
      <c r="H666" s="71">
        <f t="shared" si="21"/>
        <v>16</v>
      </c>
    </row>
    <row r="667" spans="1:8" x14ac:dyDescent="0.2">
      <c r="A667" s="71" t="s">
        <v>213</v>
      </c>
      <c r="B667" s="71" t="s">
        <v>214</v>
      </c>
      <c r="C667" s="71" t="s">
        <v>54</v>
      </c>
      <c r="D667" s="88">
        <v>46282.394224536998</v>
      </c>
      <c r="E667" s="89">
        <v>46282</v>
      </c>
      <c r="F667" s="71" t="s">
        <v>1346</v>
      </c>
      <c r="G667" s="71">
        <f t="shared" si="20"/>
        <v>9</v>
      </c>
      <c r="H667" s="71">
        <f t="shared" si="21"/>
        <v>16</v>
      </c>
    </row>
    <row r="668" spans="1:8" x14ac:dyDescent="0.2">
      <c r="A668" s="71" t="s">
        <v>213</v>
      </c>
      <c r="B668" s="71" t="s">
        <v>214</v>
      </c>
      <c r="C668" s="71" t="s">
        <v>54</v>
      </c>
      <c r="D668" s="88">
        <v>46283.421701388899</v>
      </c>
      <c r="E668" s="89">
        <v>46283</v>
      </c>
      <c r="F668" s="71" t="s">
        <v>1346</v>
      </c>
      <c r="G668" s="71">
        <f t="shared" si="20"/>
        <v>9</v>
      </c>
      <c r="H668" s="71">
        <f t="shared" si="21"/>
        <v>16</v>
      </c>
    </row>
    <row r="669" spans="1:8" x14ac:dyDescent="0.2">
      <c r="A669" s="71" t="s">
        <v>213</v>
      </c>
      <c r="B669" s="71" t="s">
        <v>214</v>
      </c>
      <c r="C669" s="71" t="s">
        <v>54</v>
      </c>
      <c r="D669" s="88">
        <v>46286.358668981498</v>
      </c>
      <c r="E669" s="89">
        <v>46286</v>
      </c>
      <c r="F669" s="71" t="s">
        <v>1346</v>
      </c>
      <c r="G669" s="71">
        <f t="shared" si="20"/>
        <v>9</v>
      </c>
      <c r="H669" s="71">
        <f t="shared" si="21"/>
        <v>16</v>
      </c>
    </row>
    <row r="670" spans="1:8" x14ac:dyDescent="0.2">
      <c r="A670" s="71" t="s">
        <v>213</v>
      </c>
      <c r="B670" s="71" t="s">
        <v>214</v>
      </c>
      <c r="C670" s="71" t="s">
        <v>54</v>
      </c>
      <c r="D670" s="88">
        <v>46287.688101851898</v>
      </c>
      <c r="E670" s="89">
        <v>46287</v>
      </c>
      <c r="F670" s="71" t="s">
        <v>1346</v>
      </c>
      <c r="G670" s="71">
        <f t="shared" si="20"/>
        <v>9</v>
      </c>
      <c r="H670" s="71">
        <f t="shared" si="21"/>
        <v>16</v>
      </c>
    </row>
    <row r="671" spans="1:8" x14ac:dyDescent="0.2">
      <c r="A671" s="71" t="s">
        <v>213</v>
      </c>
      <c r="B671" s="71" t="s">
        <v>214</v>
      </c>
      <c r="C671" s="71" t="s">
        <v>54</v>
      </c>
      <c r="D671" s="88">
        <v>46289.333217592597</v>
      </c>
      <c r="E671" s="89">
        <v>46289</v>
      </c>
      <c r="F671" s="71" t="s">
        <v>1346</v>
      </c>
      <c r="G671" s="71">
        <f t="shared" si="20"/>
        <v>9</v>
      </c>
      <c r="H671" s="71">
        <f t="shared" si="21"/>
        <v>16</v>
      </c>
    </row>
    <row r="672" spans="1:8" x14ac:dyDescent="0.2">
      <c r="A672" s="71" t="s">
        <v>257</v>
      </c>
      <c r="B672" s="71" t="s">
        <v>258</v>
      </c>
      <c r="C672" s="71" t="s">
        <v>55</v>
      </c>
      <c r="D672" s="88">
        <v>46175.6227083333</v>
      </c>
      <c r="E672" s="89">
        <v>46175</v>
      </c>
      <c r="F672" s="71" t="s">
        <v>1354</v>
      </c>
      <c r="G672" s="71">
        <f t="shared" si="20"/>
        <v>6</v>
      </c>
      <c r="H672" s="71">
        <f t="shared" si="21"/>
        <v>178</v>
      </c>
    </row>
    <row r="673" spans="1:8" x14ac:dyDescent="0.2">
      <c r="A673" s="71" t="s">
        <v>257</v>
      </c>
      <c r="B673" s="71" t="s">
        <v>258</v>
      </c>
      <c r="C673" s="71" t="s">
        <v>55</v>
      </c>
      <c r="D673" s="88">
        <v>46177.682708333297</v>
      </c>
      <c r="E673" s="89">
        <v>46177</v>
      </c>
      <c r="F673" s="71" t="s">
        <v>1355</v>
      </c>
      <c r="G673" s="71">
        <f t="shared" si="20"/>
        <v>6</v>
      </c>
      <c r="H673" s="71">
        <f t="shared" si="21"/>
        <v>122</v>
      </c>
    </row>
    <row r="674" spans="1:8" x14ac:dyDescent="0.2">
      <c r="A674" s="71" t="s">
        <v>257</v>
      </c>
      <c r="B674" s="71" t="s">
        <v>258</v>
      </c>
      <c r="C674" s="71" t="s">
        <v>55</v>
      </c>
      <c r="D674" s="88">
        <v>46178.6160185185</v>
      </c>
      <c r="E674" s="89">
        <v>46178</v>
      </c>
      <c r="F674" s="71" t="s">
        <v>1356</v>
      </c>
      <c r="G674" s="71">
        <f t="shared" si="20"/>
        <v>6</v>
      </c>
      <c r="H674" s="71">
        <f t="shared" si="21"/>
        <v>136</v>
      </c>
    </row>
    <row r="675" spans="1:8" x14ac:dyDescent="0.2">
      <c r="A675" s="71" t="s">
        <v>257</v>
      </c>
      <c r="B675" s="71" t="s">
        <v>258</v>
      </c>
      <c r="C675" s="71" t="s">
        <v>55</v>
      </c>
      <c r="D675" s="88">
        <v>46181.625127314801</v>
      </c>
      <c r="E675" s="89">
        <v>46181</v>
      </c>
      <c r="F675" s="71" t="s">
        <v>1357</v>
      </c>
      <c r="G675" s="71">
        <f t="shared" si="20"/>
        <v>6</v>
      </c>
      <c r="H675" s="71">
        <f t="shared" si="21"/>
        <v>200</v>
      </c>
    </row>
    <row r="676" spans="1:8" x14ac:dyDescent="0.2">
      <c r="A676" s="71" t="s">
        <v>257</v>
      </c>
      <c r="B676" s="71" t="s">
        <v>258</v>
      </c>
      <c r="C676" s="71" t="s">
        <v>55</v>
      </c>
      <c r="D676" s="88">
        <v>46182.634259259299</v>
      </c>
      <c r="E676" s="89">
        <v>46182</v>
      </c>
      <c r="F676" s="71" t="s">
        <v>1358</v>
      </c>
      <c r="G676" s="71">
        <f t="shared" si="20"/>
        <v>6</v>
      </c>
      <c r="H676" s="71">
        <f t="shared" si="21"/>
        <v>126</v>
      </c>
    </row>
    <row r="677" spans="1:8" x14ac:dyDescent="0.2">
      <c r="A677" s="71" t="s">
        <v>257</v>
      </c>
      <c r="B677" s="71" t="s">
        <v>258</v>
      </c>
      <c r="C677" s="71" t="s">
        <v>55</v>
      </c>
      <c r="D677" s="88">
        <v>46184.604768518497</v>
      </c>
      <c r="E677" s="89">
        <v>46184</v>
      </c>
      <c r="F677" s="71" t="s">
        <v>1359</v>
      </c>
      <c r="G677" s="71">
        <f t="shared" si="20"/>
        <v>6</v>
      </c>
      <c r="H677" s="71">
        <f t="shared" si="21"/>
        <v>134</v>
      </c>
    </row>
    <row r="678" spans="1:8" x14ac:dyDescent="0.2">
      <c r="A678" s="71" t="s">
        <v>257</v>
      </c>
      <c r="B678" s="71" t="s">
        <v>258</v>
      </c>
      <c r="C678" s="71" t="s">
        <v>55</v>
      </c>
      <c r="D678" s="88">
        <v>46185.601585648197</v>
      </c>
      <c r="E678" s="89">
        <v>46185</v>
      </c>
      <c r="F678" s="71" t="s">
        <v>1360</v>
      </c>
      <c r="G678" s="71">
        <f t="shared" si="20"/>
        <v>6</v>
      </c>
      <c r="H678" s="71">
        <f t="shared" si="21"/>
        <v>103</v>
      </c>
    </row>
    <row r="679" spans="1:8" x14ac:dyDescent="0.2">
      <c r="A679" s="71" t="s">
        <v>257</v>
      </c>
      <c r="B679" s="71" t="s">
        <v>258</v>
      </c>
      <c r="C679" s="71" t="s">
        <v>55</v>
      </c>
      <c r="D679" s="88">
        <v>46188.611099537004</v>
      </c>
      <c r="E679" s="89">
        <v>46188</v>
      </c>
      <c r="F679" s="71" t="s">
        <v>1361</v>
      </c>
      <c r="G679" s="71">
        <f t="shared" si="20"/>
        <v>6</v>
      </c>
      <c r="H679" s="71">
        <f t="shared" si="21"/>
        <v>174</v>
      </c>
    </row>
    <row r="680" spans="1:8" x14ac:dyDescent="0.2">
      <c r="A680" s="71" t="s">
        <v>257</v>
      </c>
      <c r="B680" s="71" t="s">
        <v>258</v>
      </c>
      <c r="C680" s="71" t="s">
        <v>55</v>
      </c>
      <c r="D680" s="88">
        <v>46192.617164351897</v>
      </c>
      <c r="E680" s="89">
        <v>46192</v>
      </c>
      <c r="F680" s="71" t="s">
        <v>1362</v>
      </c>
      <c r="G680" s="71">
        <f t="shared" si="20"/>
        <v>6</v>
      </c>
      <c r="H680" s="71">
        <f t="shared" si="21"/>
        <v>99</v>
      </c>
    </row>
    <row r="681" spans="1:8" x14ac:dyDescent="0.2">
      <c r="A681" s="71" t="s">
        <v>257</v>
      </c>
      <c r="B681" s="71" t="s">
        <v>258</v>
      </c>
      <c r="C681" s="71" t="s">
        <v>55</v>
      </c>
      <c r="D681" s="88">
        <v>46195.6319560185</v>
      </c>
      <c r="E681" s="89">
        <v>46195</v>
      </c>
      <c r="F681" s="71" t="s">
        <v>1363</v>
      </c>
      <c r="G681" s="71">
        <f t="shared" si="20"/>
        <v>6</v>
      </c>
      <c r="H681" s="71">
        <f t="shared" si="21"/>
        <v>168</v>
      </c>
    </row>
    <row r="682" spans="1:8" x14ac:dyDescent="0.2">
      <c r="A682" s="71" t="s">
        <v>257</v>
      </c>
      <c r="B682" s="71" t="s">
        <v>258</v>
      </c>
      <c r="C682" s="71" t="s">
        <v>55</v>
      </c>
      <c r="D682" s="88">
        <v>46196.624351851897</v>
      </c>
      <c r="E682" s="89">
        <v>46196</v>
      </c>
      <c r="F682" s="71" t="s">
        <v>1364</v>
      </c>
      <c r="G682" s="71">
        <f t="shared" si="20"/>
        <v>6</v>
      </c>
      <c r="H682" s="71">
        <f t="shared" si="21"/>
        <v>144</v>
      </c>
    </row>
    <row r="683" spans="1:8" x14ac:dyDescent="0.2">
      <c r="A683" s="71" t="s">
        <v>257</v>
      </c>
      <c r="B683" s="71" t="s">
        <v>258</v>
      </c>
      <c r="C683" s="71" t="s">
        <v>55</v>
      </c>
      <c r="D683" s="88">
        <v>46198.640011574098</v>
      </c>
      <c r="E683" s="89">
        <v>46198</v>
      </c>
      <c r="F683" s="71" t="s">
        <v>1365</v>
      </c>
      <c r="G683" s="71">
        <f t="shared" si="20"/>
        <v>6</v>
      </c>
      <c r="H683" s="71">
        <f t="shared" si="21"/>
        <v>162</v>
      </c>
    </row>
    <row r="684" spans="1:8" x14ac:dyDescent="0.2">
      <c r="A684" s="71" t="s">
        <v>257</v>
      </c>
      <c r="B684" s="71" t="s">
        <v>258</v>
      </c>
      <c r="C684" s="71" t="s">
        <v>55</v>
      </c>
      <c r="D684" s="88">
        <v>46199.6120717593</v>
      </c>
      <c r="E684" s="89">
        <v>46199</v>
      </c>
      <c r="F684" s="71" t="s">
        <v>1366</v>
      </c>
      <c r="G684" s="71">
        <f t="shared" si="20"/>
        <v>6</v>
      </c>
      <c r="H684" s="71">
        <f t="shared" si="21"/>
        <v>107</v>
      </c>
    </row>
    <row r="685" spans="1:8" x14ac:dyDescent="0.2">
      <c r="A685" s="71" t="s">
        <v>257</v>
      </c>
      <c r="B685" s="71" t="s">
        <v>258</v>
      </c>
      <c r="C685" s="71" t="s">
        <v>55</v>
      </c>
      <c r="D685" s="88">
        <v>46202.675289351901</v>
      </c>
      <c r="E685" s="89">
        <v>46202</v>
      </c>
      <c r="F685" s="71" t="s">
        <v>1367</v>
      </c>
      <c r="G685" s="71">
        <f t="shared" si="20"/>
        <v>6</v>
      </c>
      <c r="H685" s="71">
        <f t="shared" si="21"/>
        <v>185</v>
      </c>
    </row>
    <row r="686" spans="1:8" x14ac:dyDescent="0.2">
      <c r="A686" s="71" t="s">
        <v>257</v>
      </c>
      <c r="B686" s="71" t="s">
        <v>258</v>
      </c>
      <c r="C686" s="71" t="s">
        <v>55</v>
      </c>
      <c r="D686" s="88">
        <v>46205.613009259301</v>
      </c>
      <c r="E686" s="89">
        <v>46205</v>
      </c>
      <c r="F686" s="71" t="s">
        <v>1368</v>
      </c>
      <c r="G686" s="71">
        <f t="shared" si="20"/>
        <v>7</v>
      </c>
      <c r="H686" s="71">
        <f t="shared" si="21"/>
        <v>172</v>
      </c>
    </row>
    <row r="687" spans="1:8" x14ac:dyDescent="0.2">
      <c r="A687" s="71" t="s">
        <v>257</v>
      </c>
      <c r="B687" s="71" t="s">
        <v>258</v>
      </c>
      <c r="C687" s="71" t="s">
        <v>55</v>
      </c>
      <c r="D687" s="88">
        <v>46206.604780092603</v>
      </c>
      <c r="E687" s="89">
        <v>46206</v>
      </c>
      <c r="F687" s="71" t="s">
        <v>1369</v>
      </c>
      <c r="G687" s="71">
        <f t="shared" si="20"/>
        <v>7</v>
      </c>
      <c r="H687" s="71">
        <f t="shared" si="21"/>
        <v>115</v>
      </c>
    </row>
    <row r="688" spans="1:8" x14ac:dyDescent="0.2">
      <c r="A688" s="71" t="s">
        <v>257</v>
      </c>
      <c r="B688" s="71" t="s">
        <v>258</v>
      </c>
      <c r="C688" s="71" t="s">
        <v>55</v>
      </c>
      <c r="D688" s="88">
        <v>46209.641377314802</v>
      </c>
      <c r="E688" s="89">
        <v>46209</v>
      </c>
      <c r="F688" s="71" t="s">
        <v>1370</v>
      </c>
      <c r="G688" s="71">
        <f t="shared" si="20"/>
        <v>7</v>
      </c>
      <c r="H688" s="71">
        <f t="shared" si="21"/>
        <v>153</v>
      </c>
    </row>
    <row r="689" spans="1:8" x14ac:dyDescent="0.2">
      <c r="A689" s="71" t="s">
        <v>257</v>
      </c>
      <c r="B689" s="71" t="s">
        <v>258</v>
      </c>
      <c r="C689" s="71" t="s">
        <v>55</v>
      </c>
      <c r="D689" s="88">
        <v>46210.643043981501</v>
      </c>
      <c r="E689" s="89">
        <v>46210</v>
      </c>
      <c r="F689" s="71" t="s">
        <v>1371</v>
      </c>
      <c r="G689" s="71">
        <f t="shared" si="20"/>
        <v>7</v>
      </c>
      <c r="H689" s="71">
        <f t="shared" si="21"/>
        <v>127</v>
      </c>
    </row>
    <row r="690" spans="1:8" x14ac:dyDescent="0.2">
      <c r="A690" s="71" t="s">
        <v>257</v>
      </c>
      <c r="B690" s="71" t="s">
        <v>258</v>
      </c>
      <c r="C690" s="71" t="s">
        <v>55</v>
      </c>
      <c r="D690" s="88">
        <v>46211.595902777801</v>
      </c>
      <c r="E690" s="89">
        <v>46211</v>
      </c>
      <c r="F690" s="71" t="s">
        <v>1372</v>
      </c>
      <c r="G690" s="71">
        <f t="shared" si="20"/>
        <v>7</v>
      </c>
      <c r="H690" s="71">
        <f t="shared" si="21"/>
        <v>39</v>
      </c>
    </row>
    <row r="691" spans="1:8" x14ac:dyDescent="0.2">
      <c r="A691" s="71" t="s">
        <v>257</v>
      </c>
      <c r="B691" s="71" t="s">
        <v>258</v>
      </c>
      <c r="C691" s="71" t="s">
        <v>55</v>
      </c>
      <c r="D691" s="88">
        <v>46213.625416666699</v>
      </c>
      <c r="E691" s="89">
        <v>46213</v>
      </c>
      <c r="F691" s="71" t="s">
        <v>1373</v>
      </c>
      <c r="G691" s="71">
        <f t="shared" si="20"/>
        <v>7</v>
      </c>
      <c r="H691" s="71">
        <f t="shared" si="21"/>
        <v>87</v>
      </c>
    </row>
    <row r="692" spans="1:8" x14ac:dyDescent="0.2">
      <c r="A692" s="71" t="s">
        <v>257</v>
      </c>
      <c r="B692" s="71" t="s">
        <v>258</v>
      </c>
      <c r="C692" s="71" t="s">
        <v>55</v>
      </c>
      <c r="D692" s="88">
        <v>46216.687569444497</v>
      </c>
      <c r="E692" s="89">
        <v>46216</v>
      </c>
      <c r="F692" s="71" t="s">
        <v>1374</v>
      </c>
      <c r="G692" s="71">
        <f t="shared" si="20"/>
        <v>7</v>
      </c>
      <c r="H692" s="71">
        <f t="shared" si="21"/>
        <v>129</v>
      </c>
    </row>
    <row r="693" spans="1:8" x14ac:dyDescent="0.2">
      <c r="A693" s="71" t="s">
        <v>257</v>
      </c>
      <c r="B693" s="71" t="s">
        <v>258</v>
      </c>
      <c r="C693" s="71" t="s">
        <v>55</v>
      </c>
      <c r="D693" s="88">
        <v>46217.641550925902</v>
      </c>
      <c r="E693" s="89">
        <v>46217</v>
      </c>
      <c r="F693" s="71" t="s">
        <v>1375</v>
      </c>
      <c r="G693" s="71">
        <f t="shared" si="20"/>
        <v>7</v>
      </c>
      <c r="H693" s="71">
        <f t="shared" si="21"/>
        <v>116</v>
      </c>
    </row>
    <row r="694" spans="1:8" x14ac:dyDescent="0.2">
      <c r="A694" s="71" t="s">
        <v>257</v>
      </c>
      <c r="B694" s="71" t="s">
        <v>258</v>
      </c>
      <c r="C694" s="71" t="s">
        <v>55</v>
      </c>
      <c r="D694" s="88">
        <v>46218.380046296297</v>
      </c>
      <c r="E694" s="89">
        <v>46218</v>
      </c>
      <c r="F694" s="71" t="s">
        <v>1376</v>
      </c>
      <c r="G694" s="71">
        <f t="shared" si="20"/>
        <v>7</v>
      </c>
      <c r="H694" s="71">
        <f t="shared" si="21"/>
        <v>40</v>
      </c>
    </row>
    <row r="695" spans="1:8" x14ac:dyDescent="0.2">
      <c r="A695" s="71" t="s">
        <v>257</v>
      </c>
      <c r="B695" s="71" t="s">
        <v>258</v>
      </c>
      <c r="C695" s="71" t="s">
        <v>55</v>
      </c>
      <c r="D695" s="88">
        <v>46219.637835648202</v>
      </c>
      <c r="E695" s="89">
        <v>46219</v>
      </c>
      <c r="F695" s="71" t="s">
        <v>1377</v>
      </c>
      <c r="G695" s="71">
        <f t="shared" si="20"/>
        <v>7</v>
      </c>
      <c r="H695" s="71">
        <f t="shared" si="21"/>
        <v>116</v>
      </c>
    </row>
    <row r="696" spans="1:8" x14ac:dyDescent="0.2">
      <c r="A696" s="71" t="s">
        <v>257</v>
      </c>
      <c r="B696" s="71" t="s">
        <v>258</v>
      </c>
      <c r="C696" s="71" t="s">
        <v>55</v>
      </c>
      <c r="D696" s="88">
        <v>46220.639895833301</v>
      </c>
      <c r="E696" s="89">
        <v>46220</v>
      </c>
      <c r="F696" s="71" t="s">
        <v>1378</v>
      </c>
      <c r="G696" s="71">
        <f t="shared" si="20"/>
        <v>7</v>
      </c>
      <c r="H696" s="71">
        <f t="shared" si="21"/>
        <v>104</v>
      </c>
    </row>
    <row r="697" spans="1:8" x14ac:dyDescent="0.2">
      <c r="A697" s="71" t="s">
        <v>257</v>
      </c>
      <c r="B697" s="71" t="s">
        <v>258</v>
      </c>
      <c r="C697" s="71" t="s">
        <v>55</v>
      </c>
      <c r="D697" s="88">
        <v>46223.647951388899</v>
      </c>
      <c r="E697" s="89">
        <v>46223</v>
      </c>
      <c r="F697" s="71" t="s">
        <v>1379</v>
      </c>
      <c r="G697" s="71">
        <f t="shared" si="20"/>
        <v>7</v>
      </c>
      <c r="H697" s="71">
        <f t="shared" si="21"/>
        <v>108</v>
      </c>
    </row>
    <row r="698" spans="1:8" x14ac:dyDescent="0.2">
      <c r="A698" s="71" t="s">
        <v>257</v>
      </c>
      <c r="B698" s="71" t="s">
        <v>258</v>
      </c>
      <c r="C698" s="71" t="s">
        <v>55</v>
      </c>
      <c r="D698" s="88">
        <v>46224.686099537001</v>
      </c>
      <c r="E698" s="89">
        <v>46224</v>
      </c>
      <c r="F698" s="71" t="s">
        <v>1380</v>
      </c>
      <c r="G698" s="71">
        <f t="shared" si="20"/>
        <v>7</v>
      </c>
      <c r="H698" s="71">
        <f t="shared" si="21"/>
        <v>129</v>
      </c>
    </row>
    <row r="699" spans="1:8" x14ac:dyDescent="0.2">
      <c r="A699" s="71" t="s">
        <v>257</v>
      </c>
      <c r="B699" s="71" t="s">
        <v>258</v>
      </c>
      <c r="C699" s="71" t="s">
        <v>55</v>
      </c>
      <c r="D699" s="88">
        <v>46225.522037037001</v>
      </c>
      <c r="E699" s="89">
        <v>46225</v>
      </c>
      <c r="F699" s="71" t="s">
        <v>1381</v>
      </c>
      <c r="G699" s="71">
        <f t="shared" si="20"/>
        <v>7</v>
      </c>
      <c r="H699" s="71">
        <f t="shared" si="21"/>
        <v>62</v>
      </c>
    </row>
    <row r="700" spans="1:8" x14ac:dyDescent="0.2">
      <c r="A700" s="71" t="s">
        <v>257</v>
      </c>
      <c r="B700" s="71" t="s">
        <v>258</v>
      </c>
      <c r="C700" s="71" t="s">
        <v>55</v>
      </c>
      <c r="D700" s="88">
        <v>46226.652372685203</v>
      </c>
      <c r="E700" s="89">
        <v>46226</v>
      </c>
      <c r="F700" s="71" t="s">
        <v>1382</v>
      </c>
      <c r="G700" s="71">
        <f t="shared" si="20"/>
        <v>7</v>
      </c>
      <c r="H700" s="71">
        <f t="shared" si="21"/>
        <v>99</v>
      </c>
    </row>
    <row r="701" spans="1:8" x14ac:dyDescent="0.2">
      <c r="A701" s="71" t="s">
        <v>257</v>
      </c>
      <c r="B701" s="71" t="s">
        <v>258</v>
      </c>
      <c r="C701" s="71" t="s">
        <v>55</v>
      </c>
      <c r="D701" s="88">
        <v>46227.687291666698</v>
      </c>
      <c r="E701" s="89">
        <v>46227</v>
      </c>
      <c r="F701" s="71" t="s">
        <v>1383</v>
      </c>
      <c r="G701" s="71">
        <f t="shared" si="20"/>
        <v>7</v>
      </c>
      <c r="H701" s="71">
        <f t="shared" si="21"/>
        <v>77</v>
      </c>
    </row>
    <row r="702" spans="1:8" x14ac:dyDescent="0.2">
      <c r="A702" s="71" t="s">
        <v>257</v>
      </c>
      <c r="B702" s="71" t="s">
        <v>258</v>
      </c>
      <c r="C702" s="71" t="s">
        <v>55</v>
      </c>
      <c r="D702" s="88">
        <v>46230.631770833301</v>
      </c>
      <c r="E702" s="89">
        <v>46230</v>
      </c>
      <c r="F702" s="71" t="s">
        <v>1384</v>
      </c>
      <c r="G702" s="71">
        <f t="shared" si="20"/>
        <v>7</v>
      </c>
      <c r="H702" s="71">
        <f t="shared" si="21"/>
        <v>133</v>
      </c>
    </row>
    <row r="703" spans="1:8" x14ac:dyDescent="0.2">
      <c r="A703" s="71" t="s">
        <v>257</v>
      </c>
      <c r="B703" s="71" t="s">
        <v>258</v>
      </c>
      <c r="C703" s="71" t="s">
        <v>55</v>
      </c>
      <c r="D703" s="88">
        <v>46231.6316898148</v>
      </c>
      <c r="E703" s="89">
        <v>46231</v>
      </c>
      <c r="F703" s="71" t="s">
        <v>1385</v>
      </c>
      <c r="G703" s="71">
        <f t="shared" si="20"/>
        <v>7</v>
      </c>
      <c r="H703" s="71">
        <f t="shared" si="21"/>
        <v>112</v>
      </c>
    </row>
    <row r="704" spans="1:8" x14ac:dyDescent="0.2">
      <c r="A704" s="71" t="s">
        <v>257</v>
      </c>
      <c r="B704" s="71" t="s">
        <v>258</v>
      </c>
      <c r="C704" s="71" t="s">
        <v>55</v>
      </c>
      <c r="D704" s="88">
        <v>46233.6695833333</v>
      </c>
      <c r="E704" s="89">
        <v>46233</v>
      </c>
      <c r="F704" s="71" t="s">
        <v>1386</v>
      </c>
      <c r="G704" s="71">
        <f t="shared" si="20"/>
        <v>7</v>
      </c>
      <c r="H704" s="71">
        <f t="shared" si="21"/>
        <v>163</v>
      </c>
    </row>
    <row r="705" spans="1:8" x14ac:dyDescent="0.2">
      <c r="A705" s="71" t="s">
        <v>257</v>
      </c>
      <c r="B705" s="71" t="s">
        <v>258</v>
      </c>
      <c r="C705" s="71" t="s">
        <v>55</v>
      </c>
      <c r="D705" s="88">
        <v>46234.612800925897</v>
      </c>
      <c r="E705" s="89">
        <v>46234</v>
      </c>
      <c r="F705" s="71" t="s">
        <v>1387</v>
      </c>
      <c r="G705" s="71">
        <f t="shared" si="20"/>
        <v>7</v>
      </c>
      <c r="H705" s="71">
        <f t="shared" si="21"/>
        <v>115</v>
      </c>
    </row>
    <row r="706" spans="1:8" x14ac:dyDescent="0.2">
      <c r="A706" s="71" t="s">
        <v>257</v>
      </c>
      <c r="B706" s="71" t="s">
        <v>258</v>
      </c>
      <c r="C706" s="71" t="s">
        <v>55</v>
      </c>
      <c r="D706" s="88">
        <v>46237.662152777797</v>
      </c>
      <c r="E706" s="89">
        <v>46237</v>
      </c>
      <c r="F706" s="71" t="s">
        <v>1388</v>
      </c>
      <c r="G706" s="71">
        <f t="shared" ref="G706:G769" si="22">MONTH(E706)</f>
        <v>8</v>
      </c>
      <c r="H706" s="71">
        <f t="shared" ref="H706:H769" si="23">LEN(F706)</f>
        <v>131</v>
      </c>
    </row>
    <row r="707" spans="1:8" x14ac:dyDescent="0.2">
      <c r="A707" s="71" t="s">
        <v>257</v>
      </c>
      <c r="B707" s="71" t="s">
        <v>258</v>
      </c>
      <c r="C707" s="71" t="s">
        <v>55</v>
      </c>
      <c r="D707" s="88">
        <v>46238.637905092597</v>
      </c>
      <c r="E707" s="89">
        <v>46238</v>
      </c>
      <c r="F707" s="71" t="s">
        <v>1389</v>
      </c>
      <c r="G707" s="71">
        <f t="shared" si="22"/>
        <v>8</v>
      </c>
      <c r="H707" s="71">
        <f t="shared" si="23"/>
        <v>183</v>
      </c>
    </row>
    <row r="708" spans="1:8" x14ac:dyDescent="0.2">
      <c r="A708" s="71" t="s">
        <v>257</v>
      </c>
      <c r="B708" s="71" t="s">
        <v>258</v>
      </c>
      <c r="C708" s="71" t="s">
        <v>55</v>
      </c>
      <c r="D708" s="88">
        <v>46239.650694444397</v>
      </c>
      <c r="E708" s="89">
        <v>46239</v>
      </c>
      <c r="F708" s="71" t="s">
        <v>1390</v>
      </c>
      <c r="G708" s="71">
        <f t="shared" si="22"/>
        <v>8</v>
      </c>
      <c r="H708" s="71">
        <f t="shared" si="23"/>
        <v>122</v>
      </c>
    </row>
    <row r="709" spans="1:8" x14ac:dyDescent="0.2">
      <c r="A709" s="71" t="s">
        <v>257</v>
      </c>
      <c r="B709" s="71" t="s">
        <v>258</v>
      </c>
      <c r="C709" s="71" t="s">
        <v>55</v>
      </c>
      <c r="D709" s="88">
        <v>46240.657939814802</v>
      </c>
      <c r="E709" s="89">
        <v>46240</v>
      </c>
      <c r="F709" s="71" t="s">
        <v>1391</v>
      </c>
      <c r="G709" s="71">
        <f t="shared" si="22"/>
        <v>8</v>
      </c>
      <c r="H709" s="71">
        <f t="shared" si="23"/>
        <v>111</v>
      </c>
    </row>
    <row r="710" spans="1:8" x14ac:dyDescent="0.2">
      <c r="A710" s="71" t="s">
        <v>257</v>
      </c>
      <c r="B710" s="71" t="s">
        <v>258</v>
      </c>
      <c r="C710" s="71" t="s">
        <v>55</v>
      </c>
      <c r="D710" s="88">
        <v>46241.649375000001</v>
      </c>
      <c r="E710" s="89">
        <v>46241</v>
      </c>
      <c r="F710" s="71" t="s">
        <v>1392</v>
      </c>
      <c r="G710" s="71">
        <f t="shared" si="22"/>
        <v>8</v>
      </c>
      <c r="H710" s="71">
        <f t="shared" si="23"/>
        <v>119</v>
      </c>
    </row>
    <row r="711" spans="1:8" x14ac:dyDescent="0.2">
      <c r="A711" s="71" t="s">
        <v>257</v>
      </c>
      <c r="B711" s="71" t="s">
        <v>258</v>
      </c>
      <c r="C711" s="71" t="s">
        <v>55</v>
      </c>
      <c r="D711" s="88">
        <v>46244.644710648201</v>
      </c>
      <c r="E711" s="89">
        <v>46244</v>
      </c>
      <c r="F711" s="71" t="s">
        <v>1393</v>
      </c>
      <c r="G711" s="71">
        <f t="shared" si="22"/>
        <v>8</v>
      </c>
      <c r="H711" s="71">
        <f t="shared" si="23"/>
        <v>133</v>
      </c>
    </row>
    <row r="712" spans="1:8" x14ac:dyDescent="0.2">
      <c r="A712" s="71" t="s">
        <v>257</v>
      </c>
      <c r="B712" s="71" t="s">
        <v>258</v>
      </c>
      <c r="C712" s="71" t="s">
        <v>55</v>
      </c>
      <c r="D712" s="88">
        <v>46245.681099537003</v>
      </c>
      <c r="E712" s="89">
        <v>46245</v>
      </c>
      <c r="F712" s="71" t="s">
        <v>1394</v>
      </c>
      <c r="G712" s="71">
        <f t="shared" si="22"/>
        <v>8</v>
      </c>
      <c r="H712" s="71">
        <f t="shared" si="23"/>
        <v>92</v>
      </c>
    </row>
    <row r="713" spans="1:8" x14ac:dyDescent="0.2">
      <c r="A713" s="71" t="s">
        <v>257</v>
      </c>
      <c r="B713" s="71" t="s">
        <v>258</v>
      </c>
      <c r="C713" s="71" t="s">
        <v>55</v>
      </c>
      <c r="D713" s="88">
        <v>46246.637824074103</v>
      </c>
      <c r="E713" s="89">
        <v>46246</v>
      </c>
      <c r="F713" s="71" t="s">
        <v>1395</v>
      </c>
      <c r="G713" s="71">
        <f t="shared" si="22"/>
        <v>8</v>
      </c>
      <c r="H713" s="71">
        <f t="shared" si="23"/>
        <v>93</v>
      </c>
    </row>
    <row r="714" spans="1:8" x14ac:dyDescent="0.2">
      <c r="A714" s="71" t="s">
        <v>257</v>
      </c>
      <c r="B714" s="71" t="s">
        <v>258</v>
      </c>
      <c r="C714" s="71" t="s">
        <v>55</v>
      </c>
      <c r="D714" s="88">
        <v>46247.667997685203</v>
      </c>
      <c r="E714" s="89">
        <v>46247</v>
      </c>
      <c r="F714" s="71" t="s">
        <v>1396</v>
      </c>
      <c r="G714" s="71">
        <f t="shared" si="22"/>
        <v>8</v>
      </c>
      <c r="H714" s="71">
        <f t="shared" si="23"/>
        <v>111</v>
      </c>
    </row>
    <row r="715" spans="1:8" x14ac:dyDescent="0.2">
      <c r="A715" s="71" t="s">
        <v>257</v>
      </c>
      <c r="B715" s="71" t="s">
        <v>258</v>
      </c>
      <c r="C715" s="71" t="s">
        <v>55</v>
      </c>
      <c r="D715" s="88">
        <v>46248.701701388898</v>
      </c>
      <c r="E715" s="89">
        <v>46248</v>
      </c>
      <c r="F715" s="71" t="s">
        <v>1397</v>
      </c>
      <c r="G715" s="71">
        <f t="shared" si="22"/>
        <v>8</v>
      </c>
      <c r="H715" s="71">
        <f t="shared" si="23"/>
        <v>99</v>
      </c>
    </row>
    <row r="716" spans="1:8" x14ac:dyDescent="0.2">
      <c r="A716" s="71" t="s">
        <v>257</v>
      </c>
      <c r="B716" s="71" t="s">
        <v>258</v>
      </c>
      <c r="C716" s="71" t="s">
        <v>55</v>
      </c>
      <c r="D716" s="88">
        <v>46252.638287037</v>
      </c>
      <c r="E716" s="89">
        <v>46252</v>
      </c>
      <c r="F716" s="71" t="s">
        <v>1398</v>
      </c>
      <c r="G716" s="71">
        <f t="shared" si="22"/>
        <v>8</v>
      </c>
      <c r="H716" s="71">
        <f t="shared" si="23"/>
        <v>113</v>
      </c>
    </row>
    <row r="717" spans="1:8" x14ac:dyDescent="0.2">
      <c r="A717" s="71" t="s">
        <v>257</v>
      </c>
      <c r="B717" s="71" t="s">
        <v>258</v>
      </c>
      <c r="C717" s="71" t="s">
        <v>55</v>
      </c>
      <c r="D717" s="88">
        <v>46253.649259259299</v>
      </c>
      <c r="E717" s="89">
        <v>46253</v>
      </c>
      <c r="F717" s="71" t="s">
        <v>1399</v>
      </c>
      <c r="G717" s="71">
        <f t="shared" si="22"/>
        <v>8</v>
      </c>
      <c r="H717" s="71">
        <f t="shared" si="23"/>
        <v>124</v>
      </c>
    </row>
    <row r="718" spans="1:8" x14ac:dyDescent="0.2">
      <c r="A718" s="71" t="s">
        <v>257</v>
      </c>
      <c r="B718" s="71" t="s">
        <v>258</v>
      </c>
      <c r="C718" s="71" t="s">
        <v>55</v>
      </c>
      <c r="D718" s="88">
        <v>46254.640034722201</v>
      </c>
      <c r="E718" s="89">
        <v>46254</v>
      </c>
      <c r="F718" s="71" t="s">
        <v>1400</v>
      </c>
      <c r="G718" s="71">
        <f t="shared" si="22"/>
        <v>8</v>
      </c>
      <c r="H718" s="71">
        <f t="shared" si="23"/>
        <v>82</v>
      </c>
    </row>
    <row r="719" spans="1:8" x14ac:dyDescent="0.2">
      <c r="A719" s="71" t="s">
        <v>257</v>
      </c>
      <c r="B719" s="71" t="s">
        <v>258</v>
      </c>
      <c r="C719" s="71" t="s">
        <v>55</v>
      </c>
      <c r="D719" s="88">
        <v>46255.621458333299</v>
      </c>
      <c r="E719" s="89">
        <v>46255</v>
      </c>
      <c r="F719" s="71" t="s">
        <v>1401</v>
      </c>
      <c r="G719" s="71">
        <f t="shared" si="22"/>
        <v>8</v>
      </c>
      <c r="H719" s="71">
        <f t="shared" si="23"/>
        <v>99</v>
      </c>
    </row>
    <row r="720" spans="1:8" x14ac:dyDescent="0.2">
      <c r="A720" s="71" t="s">
        <v>257</v>
      </c>
      <c r="B720" s="71" t="s">
        <v>258</v>
      </c>
      <c r="C720" s="71" t="s">
        <v>55</v>
      </c>
      <c r="D720" s="88">
        <v>46258.633518518502</v>
      </c>
      <c r="E720" s="89">
        <v>46258</v>
      </c>
      <c r="F720" s="71" t="s">
        <v>1402</v>
      </c>
      <c r="G720" s="71">
        <f t="shared" si="22"/>
        <v>8</v>
      </c>
      <c r="H720" s="71">
        <f t="shared" si="23"/>
        <v>97</v>
      </c>
    </row>
    <row r="721" spans="1:8" x14ac:dyDescent="0.2">
      <c r="A721" s="71" t="s">
        <v>257</v>
      </c>
      <c r="B721" s="71" t="s">
        <v>258</v>
      </c>
      <c r="C721" s="71" t="s">
        <v>55</v>
      </c>
      <c r="D721" s="88">
        <v>46260.630092592597</v>
      </c>
      <c r="E721" s="89">
        <v>46260</v>
      </c>
      <c r="F721" s="71" t="s">
        <v>1403</v>
      </c>
      <c r="G721" s="71">
        <f t="shared" si="22"/>
        <v>8</v>
      </c>
      <c r="H721" s="71">
        <f t="shared" si="23"/>
        <v>105</v>
      </c>
    </row>
    <row r="722" spans="1:8" x14ac:dyDescent="0.2">
      <c r="A722" s="71" t="s">
        <v>257</v>
      </c>
      <c r="B722" s="71" t="s">
        <v>258</v>
      </c>
      <c r="C722" s="71" t="s">
        <v>55</v>
      </c>
      <c r="D722" s="88">
        <v>46261.632372685199</v>
      </c>
      <c r="E722" s="89">
        <v>46261</v>
      </c>
      <c r="F722" s="71" t="s">
        <v>1404</v>
      </c>
      <c r="G722" s="71">
        <f t="shared" si="22"/>
        <v>8</v>
      </c>
      <c r="H722" s="71">
        <f t="shared" si="23"/>
        <v>99</v>
      </c>
    </row>
    <row r="723" spans="1:8" x14ac:dyDescent="0.2">
      <c r="A723" s="71" t="s">
        <v>257</v>
      </c>
      <c r="B723" s="71" t="s">
        <v>258</v>
      </c>
      <c r="C723" s="71" t="s">
        <v>55</v>
      </c>
      <c r="D723" s="88">
        <v>46262.608078703699</v>
      </c>
      <c r="E723" s="89">
        <v>46262</v>
      </c>
      <c r="F723" s="71" t="s">
        <v>1405</v>
      </c>
      <c r="G723" s="71">
        <f t="shared" si="22"/>
        <v>8</v>
      </c>
      <c r="H723" s="71">
        <f t="shared" si="23"/>
        <v>116</v>
      </c>
    </row>
    <row r="724" spans="1:8" x14ac:dyDescent="0.2">
      <c r="A724" s="71" t="s">
        <v>257</v>
      </c>
      <c r="B724" s="71" t="s">
        <v>258</v>
      </c>
      <c r="C724" s="71" t="s">
        <v>55</v>
      </c>
      <c r="D724" s="88">
        <v>46265.686041666697</v>
      </c>
      <c r="E724" s="89">
        <v>46265</v>
      </c>
      <c r="F724" s="71" t="s">
        <v>1406</v>
      </c>
      <c r="G724" s="71">
        <f t="shared" si="22"/>
        <v>8</v>
      </c>
      <c r="H724" s="71">
        <f t="shared" si="23"/>
        <v>127</v>
      </c>
    </row>
    <row r="725" spans="1:8" x14ac:dyDescent="0.2">
      <c r="A725" s="71" t="s">
        <v>257</v>
      </c>
      <c r="B725" s="71" t="s">
        <v>258</v>
      </c>
      <c r="C725" s="71" t="s">
        <v>55</v>
      </c>
      <c r="D725" s="88">
        <v>46266.630763888897</v>
      </c>
      <c r="E725" s="89">
        <v>46266</v>
      </c>
      <c r="F725" s="71" t="s">
        <v>1407</v>
      </c>
      <c r="G725" s="71">
        <f t="shared" si="22"/>
        <v>9</v>
      </c>
      <c r="H725" s="71">
        <f t="shared" si="23"/>
        <v>114</v>
      </c>
    </row>
    <row r="726" spans="1:8" x14ac:dyDescent="0.2">
      <c r="A726" s="71" t="s">
        <v>257</v>
      </c>
      <c r="B726" s="71" t="s">
        <v>258</v>
      </c>
      <c r="C726" s="71" t="s">
        <v>55</v>
      </c>
      <c r="D726" s="88">
        <v>46267.659652777802</v>
      </c>
      <c r="E726" s="89">
        <v>46267</v>
      </c>
      <c r="F726" s="71" t="s">
        <v>1408</v>
      </c>
      <c r="G726" s="71">
        <f t="shared" si="22"/>
        <v>9</v>
      </c>
      <c r="H726" s="71">
        <f t="shared" si="23"/>
        <v>112</v>
      </c>
    </row>
    <row r="727" spans="1:8" x14ac:dyDescent="0.2">
      <c r="A727" s="71" t="s">
        <v>257</v>
      </c>
      <c r="B727" s="71" t="s">
        <v>258</v>
      </c>
      <c r="C727" s="71" t="s">
        <v>55</v>
      </c>
      <c r="D727" s="88">
        <v>46268.633449074099</v>
      </c>
      <c r="E727" s="89">
        <v>46268</v>
      </c>
      <c r="F727" s="71" t="s">
        <v>1409</v>
      </c>
      <c r="G727" s="71">
        <f t="shared" si="22"/>
        <v>9</v>
      </c>
      <c r="H727" s="71">
        <f t="shared" si="23"/>
        <v>86</v>
      </c>
    </row>
    <row r="728" spans="1:8" x14ac:dyDescent="0.2">
      <c r="A728" s="71" t="s">
        <v>257</v>
      </c>
      <c r="B728" s="71" t="s">
        <v>258</v>
      </c>
      <c r="C728" s="71" t="s">
        <v>55</v>
      </c>
      <c r="D728" s="88">
        <v>46269.686215277798</v>
      </c>
      <c r="E728" s="89">
        <v>46269</v>
      </c>
      <c r="F728" s="71" t="s">
        <v>1410</v>
      </c>
      <c r="G728" s="71">
        <f t="shared" si="22"/>
        <v>9</v>
      </c>
      <c r="H728" s="71">
        <f t="shared" si="23"/>
        <v>117</v>
      </c>
    </row>
    <row r="729" spans="1:8" x14ac:dyDescent="0.2">
      <c r="A729" s="71" t="s">
        <v>257</v>
      </c>
      <c r="B729" s="71" t="s">
        <v>258</v>
      </c>
      <c r="C729" s="71" t="s">
        <v>55</v>
      </c>
      <c r="D729" s="88">
        <v>46272.627060185201</v>
      </c>
      <c r="E729" s="89">
        <v>46272</v>
      </c>
      <c r="F729" s="71" t="s">
        <v>1411</v>
      </c>
      <c r="G729" s="71">
        <f t="shared" si="22"/>
        <v>9</v>
      </c>
      <c r="H729" s="71">
        <f t="shared" si="23"/>
        <v>107</v>
      </c>
    </row>
    <row r="730" spans="1:8" x14ac:dyDescent="0.2">
      <c r="A730" s="71" t="s">
        <v>257</v>
      </c>
      <c r="B730" s="71" t="s">
        <v>258</v>
      </c>
      <c r="C730" s="71" t="s">
        <v>55</v>
      </c>
      <c r="D730" s="88">
        <v>46273.668761574103</v>
      </c>
      <c r="E730" s="89">
        <v>46273</v>
      </c>
      <c r="F730" s="71" t="s">
        <v>1412</v>
      </c>
      <c r="G730" s="71">
        <f t="shared" si="22"/>
        <v>9</v>
      </c>
      <c r="H730" s="71">
        <f t="shared" si="23"/>
        <v>93</v>
      </c>
    </row>
    <row r="731" spans="1:8" x14ac:dyDescent="0.2">
      <c r="A731" s="71" t="s">
        <v>257</v>
      </c>
      <c r="B731" s="71" t="s">
        <v>258</v>
      </c>
      <c r="C731" s="71" t="s">
        <v>55</v>
      </c>
      <c r="D731" s="88">
        <v>46274.682152777801</v>
      </c>
      <c r="E731" s="89">
        <v>46274</v>
      </c>
      <c r="F731" s="71" t="s">
        <v>1413</v>
      </c>
      <c r="G731" s="71">
        <f t="shared" si="22"/>
        <v>9</v>
      </c>
      <c r="H731" s="71">
        <f t="shared" si="23"/>
        <v>92</v>
      </c>
    </row>
    <row r="732" spans="1:8" x14ac:dyDescent="0.2">
      <c r="A732" s="71" t="s">
        <v>257</v>
      </c>
      <c r="B732" s="71" t="s">
        <v>258</v>
      </c>
      <c r="C732" s="71" t="s">
        <v>55</v>
      </c>
      <c r="D732" s="88">
        <v>46275.659745370402</v>
      </c>
      <c r="E732" s="89">
        <v>46275</v>
      </c>
      <c r="F732" s="71" t="s">
        <v>1414</v>
      </c>
      <c r="G732" s="71">
        <f t="shared" si="22"/>
        <v>9</v>
      </c>
      <c r="H732" s="71">
        <f t="shared" si="23"/>
        <v>74</v>
      </c>
    </row>
    <row r="733" spans="1:8" x14ac:dyDescent="0.2">
      <c r="A733" s="71" t="s">
        <v>257</v>
      </c>
      <c r="B733" s="71" t="s">
        <v>258</v>
      </c>
      <c r="C733" s="71" t="s">
        <v>55</v>
      </c>
      <c r="D733" s="88">
        <v>46279.664895833303</v>
      </c>
      <c r="E733" s="89">
        <v>46279</v>
      </c>
      <c r="F733" s="71" t="s">
        <v>1415</v>
      </c>
      <c r="G733" s="71">
        <f t="shared" si="22"/>
        <v>9</v>
      </c>
      <c r="H733" s="71">
        <f t="shared" si="23"/>
        <v>105</v>
      </c>
    </row>
    <row r="734" spans="1:8" x14ac:dyDescent="0.2">
      <c r="A734" s="71" t="s">
        <v>257</v>
      </c>
      <c r="B734" s="71" t="s">
        <v>258</v>
      </c>
      <c r="C734" s="71" t="s">
        <v>55</v>
      </c>
      <c r="D734" s="88">
        <v>46280.607685185198</v>
      </c>
      <c r="E734" s="89">
        <v>46280</v>
      </c>
      <c r="F734" s="71" t="s">
        <v>1416</v>
      </c>
      <c r="G734" s="71">
        <f t="shared" si="22"/>
        <v>9</v>
      </c>
      <c r="H734" s="71">
        <f t="shared" si="23"/>
        <v>80</v>
      </c>
    </row>
    <row r="735" spans="1:8" x14ac:dyDescent="0.2">
      <c r="A735" s="71" t="s">
        <v>257</v>
      </c>
      <c r="B735" s="71" t="s">
        <v>258</v>
      </c>
      <c r="C735" s="71" t="s">
        <v>55</v>
      </c>
      <c r="D735" s="88">
        <v>46281.611284722203</v>
      </c>
      <c r="E735" s="89">
        <v>46281</v>
      </c>
      <c r="F735" s="71" t="s">
        <v>1417</v>
      </c>
      <c r="G735" s="71">
        <f t="shared" si="22"/>
        <v>9</v>
      </c>
      <c r="H735" s="71">
        <f t="shared" si="23"/>
        <v>96</v>
      </c>
    </row>
    <row r="736" spans="1:8" x14ac:dyDescent="0.2">
      <c r="A736" s="71" t="s">
        <v>257</v>
      </c>
      <c r="B736" s="71" t="s">
        <v>258</v>
      </c>
      <c r="C736" s="71" t="s">
        <v>55</v>
      </c>
      <c r="D736" s="88">
        <v>46282.621145833298</v>
      </c>
      <c r="E736" s="89">
        <v>46282</v>
      </c>
      <c r="F736" s="71" t="s">
        <v>1418</v>
      </c>
      <c r="G736" s="71">
        <f t="shared" si="22"/>
        <v>9</v>
      </c>
      <c r="H736" s="71">
        <f t="shared" si="23"/>
        <v>86</v>
      </c>
    </row>
    <row r="737" spans="1:8" x14ac:dyDescent="0.2">
      <c r="A737" s="71" t="s">
        <v>257</v>
      </c>
      <c r="B737" s="71" t="s">
        <v>258</v>
      </c>
      <c r="C737" s="71" t="s">
        <v>55</v>
      </c>
      <c r="D737" s="88">
        <v>46283.710902777799</v>
      </c>
      <c r="E737" s="89">
        <v>46283</v>
      </c>
      <c r="F737" s="71" t="s">
        <v>1419</v>
      </c>
      <c r="G737" s="71">
        <f t="shared" si="22"/>
        <v>9</v>
      </c>
      <c r="H737" s="71">
        <f t="shared" si="23"/>
        <v>72</v>
      </c>
    </row>
    <row r="738" spans="1:8" x14ac:dyDescent="0.2">
      <c r="A738" s="71" t="s">
        <v>257</v>
      </c>
      <c r="B738" s="71" t="s">
        <v>258</v>
      </c>
      <c r="C738" s="71" t="s">
        <v>55</v>
      </c>
      <c r="D738" s="88">
        <v>46286.620451388902</v>
      </c>
      <c r="E738" s="89">
        <v>46286</v>
      </c>
      <c r="F738" s="71" t="s">
        <v>1420</v>
      </c>
      <c r="G738" s="71">
        <f t="shared" si="22"/>
        <v>9</v>
      </c>
      <c r="H738" s="71">
        <f t="shared" si="23"/>
        <v>96</v>
      </c>
    </row>
    <row r="739" spans="1:8" x14ac:dyDescent="0.2">
      <c r="A739" s="71" t="s">
        <v>257</v>
      </c>
      <c r="B739" s="71" t="s">
        <v>258</v>
      </c>
      <c r="C739" s="71" t="s">
        <v>55</v>
      </c>
      <c r="D739" s="88">
        <v>46287.6897453704</v>
      </c>
      <c r="E739" s="89">
        <v>46287</v>
      </c>
      <c r="F739" s="71" t="s">
        <v>1421</v>
      </c>
      <c r="G739" s="71">
        <f t="shared" si="22"/>
        <v>9</v>
      </c>
      <c r="H739" s="71">
        <f t="shared" si="23"/>
        <v>82</v>
      </c>
    </row>
    <row r="740" spans="1:8" x14ac:dyDescent="0.2">
      <c r="A740" s="71" t="s">
        <v>257</v>
      </c>
      <c r="B740" s="71" t="s">
        <v>258</v>
      </c>
      <c r="C740" s="71" t="s">
        <v>55</v>
      </c>
      <c r="D740" s="88">
        <v>46288.638182870403</v>
      </c>
      <c r="E740" s="89">
        <v>46288</v>
      </c>
      <c r="F740" s="71" t="s">
        <v>1422</v>
      </c>
      <c r="G740" s="71">
        <f t="shared" si="22"/>
        <v>9</v>
      </c>
      <c r="H740" s="71">
        <f t="shared" si="23"/>
        <v>88</v>
      </c>
    </row>
    <row r="741" spans="1:8" x14ac:dyDescent="0.2">
      <c r="A741" s="71" t="s">
        <v>257</v>
      </c>
      <c r="B741" s="71" t="s">
        <v>258</v>
      </c>
      <c r="C741" s="71" t="s">
        <v>55</v>
      </c>
      <c r="D741" s="88">
        <v>46289.6476273148</v>
      </c>
      <c r="E741" s="89">
        <v>46289</v>
      </c>
      <c r="F741" s="71" t="s">
        <v>1423</v>
      </c>
      <c r="G741" s="71">
        <f t="shared" si="22"/>
        <v>9</v>
      </c>
      <c r="H741" s="71">
        <f t="shared" si="23"/>
        <v>102</v>
      </c>
    </row>
    <row r="742" spans="1:8" x14ac:dyDescent="0.2">
      <c r="A742" s="71" t="s">
        <v>257</v>
      </c>
      <c r="B742" s="71" t="s">
        <v>258</v>
      </c>
      <c r="C742" s="71" t="s">
        <v>55</v>
      </c>
      <c r="D742" s="88">
        <v>46290.624780092599</v>
      </c>
      <c r="E742" s="89">
        <v>46290</v>
      </c>
      <c r="F742" s="71" t="s">
        <v>1424</v>
      </c>
      <c r="G742" s="71">
        <f t="shared" si="22"/>
        <v>9</v>
      </c>
      <c r="H742" s="71">
        <f t="shared" si="23"/>
        <v>24</v>
      </c>
    </row>
    <row r="743" spans="1:8" x14ac:dyDescent="0.2">
      <c r="A743" s="71" t="s">
        <v>235</v>
      </c>
      <c r="B743" s="71" t="s">
        <v>236</v>
      </c>
      <c r="C743" s="71" t="s">
        <v>40</v>
      </c>
      <c r="D743" s="88">
        <v>46175.340925925899</v>
      </c>
      <c r="E743" s="89">
        <v>46175</v>
      </c>
      <c r="F743" s="71" t="s">
        <v>1425</v>
      </c>
      <c r="G743" s="71">
        <f t="shared" si="22"/>
        <v>6</v>
      </c>
      <c r="H743" s="71">
        <f t="shared" si="23"/>
        <v>11</v>
      </c>
    </row>
    <row r="744" spans="1:8" x14ac:dyDescent="0.2">
      <c r="A744" s="71" t="s">
        <v>235</v>
      </c>
      <c r="B744" s="71" t="s">
        <v>236</v>
      </c>
      <c r="C744" s="71" t="s">
        <v>40</v>
      </c>
      <c r="D744" s="88">
        <v>46175.469074074099</v>
      </c>
      <c r="E744" s="89">
        <v>46175</v>
      </c>
      <c r="F744" s="71" t="s">
        <v>1426</v>
      </c>
      <c r="G744" s="71">
        <f t="shared" si="22"/>
        <v>6</v>
      </c>
      <c r="H744" s="71">
        <f t="shared" si="23"/>
        <v>24</v>
      </c>
    </row>
    <row r="745" spans="1:8" x14ac:dyDescent="0.2">
      <c r="A745" s="71" t="s">
        <v>235</v>
      </c>
      <c r="B745" s="71" t="s">
        <v>236</v>
      </c>
      <c r="C745" s="71" t="s">
        <v>40</v>
      </c>
      <c r="D745" s="88">
        <v>46177.690057870401</v>
      </c>
      <c r="E745" s="89">
        <v>46177</v>
      </c>
      <c r="F745" s="71" t="s">
        <v>1425</v>
      </c>
      <c r="G745" s="71">
        <f t="shared" si="22"/>
        <v>6</v>
      </c>
      <c r="H745" s="71">
        <f t="shared" si="23"/>
        <v>11</v>
      </c>
    </row>
    <row r="746" spans="1:8" x14ac:dyDescent="0.2">
      <c r="A746" s="71" t="s">
        <v>235</v>
      </c>
      <c r="B746" s="71" t="s">
        <v>236</v>
      </c>
      <c r="C746" s="71" t="s">
        <v>40</v>
      </c>
      <c r="D746" s="88">
        <v>46178.6890277778</v>
      </c>
      <c r="E746" s="89">
        <v>46178</v>
      </c>
      <c r="F746" s="71" t="s">
        <v>1426</v>
      </c>
      <c r="G746" s="71">
        <f t="shared" si="22"/>
        <v>6</v>
      </c>
      <c r="H746" s="71">
        <f t="shared" si="23"/>
        <v>24</v>
      </c>
    </row>
    <row r="747" spans="1:8" x14ac:dyDescent="0.2">
      <c r="A747" s="71" t="s">
        <v>235</v>
      </c>
      <c r="B747" s="71" t="s">
        <v>236</v>
      </c>
      <c r="C747" s="71" t="s">
        <v>40</v>
      </c>
      <c r="D747" s="88">
        <v>46181.369340277801</v>
      </c>
      <c r="E747" s="89">
        <v>46181</v>
      </c>
      <c r="F747" s="71" t="s">
        <v>1425</v>
      </c>
      <c r="G747" s="71">
        <f t="shared" si="22"/>
        <v>6</v>
      </c>
      <c r="H747" s="71">
        <f t="shared" si="23"/>
        <v>11</v>
      </c>
    </row>
    <row r="748" spans="1:8" x14ac:dyDescent="0.2">
      <c r="A748" s="71" t="s">
        <v>235</v>
      </c>
      <c r="B748" s="71" t="s">
        <v>236</v>
      </c>
      <c r="C748" s="71" t="s">
        <v>40</v>
      </c>
      <c r="D748" s="88">
        <v>46181.599965277797</v>
      </c>
      <c r="E748" s="89">
        <v>46181</v>
      </c>
      <c r="F748" s="71" t="s">
        <v>1426</v>
      </c>
      <c r="G748" s="71">
        <f t="shared" si="22"/>
        <v>6</v>
      </c>
      <c r="H748" s="71">
        <f t="shared" si="23"/>
        <v>24</v>
      </c>
    </row>
    <row r="749" spans="1:8" x14ac:dyDescent="0.2">
      <c r="A749" s="71" t="s">
        <v>235</v>
      </c>
      <c r="B749" s="71" t="s">
        <v>236</v>
      </c>
      <c r="C749" s="71" t="s">
        <v>40</v>
      </c>
      <c r="D749" s="88">
        <v>46182.656817129602</v>
      </c>
      <c r="E749" s="89">
        <v>46182</v>
      </c>
      <c r="F749" s="71" t="s">
        <v>1427</v>
      </c>
      <c r="G749" s="71">
        <f t="shared" si="22"/>
        <v>6</v>
      </c>
      <c r="H749" s="71">
        <f t="shared" si="23"/>
        <v>35</v>
      </c>
    </row>
    <row r="750" spans="1:8" x14ac:dyDescent="0.2">
      <c r="A750" s="71" t="s">
        <v>235</v>
      </c>
      <c r="B750" s="71" t="s">
        <v>236</v>
      </c>
      <c r="C750" s="71" t="s">
        <v>40</v>
      </c>
      <c r="D750" s="88">
        <v>46184.3769791667</v>
      </c>
      <c r="E750" s="89">
        <v>46184</v>
      </c>
      <c r="F750" s="71" t="s">
        <v>1425</v>
      </c>
      <c r="G750" s="71">
        <f t="shared" si="22"/>
        <v>6</v>
      </c>
      <c r="H750" s="71">
        <f t="shared" si="23"/>
        <v>11</v>
      </c>
    </row>
    <row r="751" spans="1:8" x14ac:dyDescent="0.2">
      <c r="A751" s="71" t="s">
        <v>235</v>
      </c>
      <c r="B751" s="71" t="s">
        <v>236</v>
      </c>
      <c r="C751" s="71" t="s">
        <v>40</v>
      </c>
      <c r="D751" s="88">
        <v>46184.689814814803</v>
      </c>
      <c r="E751" s="89">
        <v>46184</v>
      </c>
      <c r="F751" s="71" t="s">
        <v>1426</v>
      </c>
      <c r="G751" s="71">
        <f t="shared" si="22"/>
        <v>6</v>
      </c>
      <c r="H751" s="71">
        <f t="shared" si="23"/>
        <v>24</v>
      </c>
    </row>
    <row r="752" spans="1:8" x14ac:dyDescent="0.2">
      <c r="A752" s="71" t="s">
        <v>235</v>
      </c>
      <c r="B752" s="71" t="s">
        <v>236</v>
      </c>
      <c r="C752" s="71" t="s">
        <v>40</v>
      </c>
      <c r="D752" s="88">
        <v>46185.406319444497</v>
      </c>
      <c r="E752" s="89">
        <v>46185</v>
      </c>
      <c r="F752" s="71" t="s">
        <v>1426</v>
      </c>
      <c r="G752" s="71">
        <f t="shared" si="22"/>
        <v>6</v>
      </c>
      <c r="H752" s="71">
        <f t="shared" si="23"/>
        <v>24</v>
      </c>
    </row>
    <row r="753" spans="1:8" x14ac:dyDescent="0.2">
      <c r="A753" s="71" t="s">
        <v>235</v>
      </c>
      <c r="B753" s="71" t="s">
        <v>236</v>
      </c>
      <c r="C753" s="71" t="s">
        <v>40</v>
      </c>
      <c r="D753" s="88">
        <v>46185.649409722202</v>
      </c>
      <c r="E753" s="89">
        <v>46185</v>
      </c>
      <c r="F753" s="71" t="s">
        <v>1425</v>
      </c>
      <c r="G753" s="71">
        <f t="shared" si="22"/>
        <v>6</v>
      </c>
      <c r="H753" s="71">
        <f t="shared" si="23"/>
        <v>11</v>
      </c>
    </row>
    <row r="754" spans="1:8" x14ac:dyDescent="0.2">
      <c r="A754" s="71" t="s">
        <v>235</v>
      </c>
      <c r="B754" s="71" t="s">
        <v>236</v>
      </c>
      <c r="C754" s="71" t="s">
        <v>40</v>
      </c>
      <c r="D754" s="88">
        <v>46188.667222222197</v>
      </c>
      <c r="E754" s="89">
        <v>46188</v>
      </c>
      <c r="F754" s="71" t="s">
        <v>1426</v>
      </c>
      <c r="G754" s="71">
        <f t="shared" si="22"/>
        <v>6</v>
      </c>
      <c r="H754" s="71">
        <f t="shared" si="23"/>
        <v>24</v>
      </c>
    </row>
    <row r="755" spans="1:8" x14ac:dyDescent="0.2">
      <c r="A755" s="71" t="s">
        <v>235</v>
      </c>
      <c r="B755" s="71" t="s">
        <v>236</v>
      </c>
      <c r="C755" s="71" t="s">
        <v>40</v>
      </c>
      <c r="D755" s="88">
        <v>46192.4131597222</v>
      </c>
      <c r="E755" s="89">
        <v>46192</v>
      </c>
      <c r="F755" s="71" t="s">
        <v>1425</v>
      </c>
      <c r="G755" s="71">
        <f t="shared" si="22"/>
        <v>6</v>
      </c>
      <c r="H755" s="71">
        <f t="shared" si="23"/>
        <v>11</v>
      </c>
    </row>
    <row r="756" spans="1:8" x14ac:dyDescent="0.2">
      <c r="A756" s="71" t="s">
        <v>235</v>
      </c>
      <c r="B756" s="71" t="s">
        <v>236</v>
      </c>
      <c r="C756" s="71" t="s">
        <v>40</v>
      </c>
      <c r="D756" s="88">
        <v>46206.570844907401</v>
      </c>
      <c r="E756" s="89">
        <v>46206</v>
      </c>
      <c r="F756" s="71" t="s">
        <v>1428</v>
      </c>
      <c r="G756" s="71">
        <f t="shared" si="22"/>
        <v>7</v>
      </c>
      <c r="H756" s="71">
        <f t="shared" si="23"/>
        <v>26</v>
      </c>
    </row>
    <row r="757" spans="1:8" x14ac:dyDescent="0.2">
      <c r="A757" s="71" t="s">
        <v>235</v>
      </c>
      <c r="B757" s="71" t="s">
        <v>236</v>
      </c>
      <c r="C757" s="71" t="s">
        <v>40</v>
      </c>
      <c r="D757" s="88">
        <v>46209.3746412037</v>
      </c>
      <c r="E757" s="89">
        <v>46209</v>
      </c>
      <c r="F757" s="71" t="s">
        <v>1425</v>
      </c>
      <c r="G757" s="71">
        <f t="shared" si="22"/>
        <v>7</v>
      </c>
      <c r="H757" s="71">
        <f t="shared" si="23"/>
        <v>11</v>
      </c>
    </row>
    <row r="758" spans="1:8" x14ac:dyDescent="0.2">
      <c r="A758" s="71" t="s">
        <v>235</v>
      </c>
      <c r="B758" s="71" t="s">
        <v>236</v>
      </c>
      <c r="C758" s="71" t="s">
        <v>40</v>
      </c>
      <c r="D758" s="88">
        <v>46210.657361111102</v>
      </c>
      <c r="E758" s="89">
        <v>46210</v>
      </c>
      <c r="F758" s="71" t="s">
        <v>1425</v>
      </c>
      <c r="G758" s="71">
        <f t="shared" si="22"/>
        <v>7</v>
      </c>
      <c r="H758" s="71">
        <f t="shared" si="23"/>
        <v>11</v>
      </c>
    </row>
    <row r="759" spans="1:8" x14ac:dyDescent="0.2">
      <c r="A759" s="71" t="s">
        <v>235</v>
      </c>
      <c r="B759" s="71" t="s">
        <v>236</v>
      </c>
      <c r="C759" s="71" t="s">
        <v>40</v>
      </c>
      <c r="D759" s="88">
        <v>46216.591261574104</v>
      </c>
      <c r="E759" s="89">
        <v>46216</v>
      </c>
      <c r="F759" s="71" t="s">
        <v>1426</v>
      </c>
      <c r="G759" s="71">
        <f t="shared" si="22"/>
        <v>7</v>
      </c>
      <c r="H759" s="71">
        <f t="shared" si="23"/>
        <v>24</v>
      </c>
    </row>
    <row r="760" spans="1:8" x14ac:dyDescent="0.2">
      <c r="A760" s="71" t="s">
        <v>235</v>
      </c>
      <c r="B760" s="71" t="s">
        <v>236</v>
      </c>
      <c r="C760" s="71" t="s">
        <v>40</v>
      </c>
      <c r="D760" s="88">
        <v>46217.475787037001</v>
      </c>
      <c r="E760" s="89">
        <v>46217</v>
      </c>
      <c r="F760" s="71" t="s">
        <v>1429</v>
      </c>
      <c r="G760" s="71">
        <f t="shared" si="22"/>
        <v>7</v>
      </c>
      <c r="H760" s="71">
        <f t="shared" si="23"/>
        <v>24</v>
      </c>
    </row>
    <row r="761" spans="1:8" x14ac:dyDescent="0.2">
      <c r="A761" s="71" t="s">
        <v>235</v>
      </c>
      <c r="B761" s="71" t="s">
        <v>236</v>
      </c>
      <c r="C761" s="71" t="s">
        <v>40</v>
      </c>
      <c r="D761" s="88">
        <v>46218.571712962999</v>
      </c>
      <c r="E761" s="89">
        <v>46218</v>
      </c>
      <c r="F761" s="71" t="s">
        <v>1430</v>
      </c>
      <c r="G761" s="71">
        <f t="shared" si="22"/>
        <v>7</v>
      </c>
      <c r="H761" s="71">
        <f t="shared" si="23"/>
        <v>24</v>
      </c>
    </row>
    <row r="762" spans="1:8" x14ac:dyDescent="0.2">
      <c r="A762" s="71" t="s">
        <v>235</v>
      </c>
      <c r="B762" s="71" t="s">
        <v>236</v>
      </c>
      <c r="C762" s="71" t="s">
        <v>40</v>
      </c>
      <c r="D762" s="88">
        <v>46218.695949074099</v>
      </c>
      <c r="E762" s="89">
        <v>46218</v>
      </c>
      <c r="F762" s="71" t="s">
        <v>1425</v>
      </c>
      <c r="G762" s="71">
        <f t="shared" si="22"/>
        <v>7</v>
      </c>
      <c r="H762" s="71">
        <f t="shared" si="23"/>
        <v>11</v>
      </c>
    </row>
    <row r="763" spans="1:8" x14ac:dyDescent="0.2">
      <c r="A763" s="71" t="s">
        <v>235</v>
      </c>
      <c r="B763" s="71" t="s">
        <v>236</v>
      </c>
      <c r="C763" s="71" t="s">
        <v>40</v>
      </c>
      <c r="D763" s="88">
        <v>46219.682199074101</v>
      </c>
      <c r="E763" s="89">
        <v>46219</v>
      </c>
      <c r="F763" s="71" t="s">
        <v>1430</v>
      </c>
      <c r="G763" s="71">
        <f t="shared" si="22"/>
        <v>7</v>
      </c>
      <c r="H763" s="71">
        <f t="shared" si="23"/>
        <v>24</v>
      </c>
    </row>
    <row r="764" spans="1:8" x14ac:dyDescent="0.2">
      <c r="A764" s="71" t="s">
        <v>235</v>
      </c>
      <c r="B764" s="71" t="s">
        <v>236</v>
      </c>
      <c r="C764" s="71" t="s">
        <v>40</v>
      </c>
      <c r="D764" s="88">
        <v>46220.554305555597</v>
      </c>
      <c r="E764" s="89">
        <v>46220</v>
      </c>
      <c r="F764" s="71" t="s">
        <v>1430</v>
      </c>
      <c r="G764" s="71">
        <f t="shared" si="22"/>
        <v>7</v>
      </c>
      <c r="H764" s="71">
        <f t="shared" si="23"/>
        <v>24</v>
      </c>
    </row>
    <row r="765" spans="1:8" x14ac:dyDescent="0.2">
      <c r="A765" s="71" t="s">
        <v>235</v>
      </c>
      <c r="B765" s="71" t="s">
        <v>236</v>
      </c>
      <c r="C765" s="71" t="s">
        <v>40</v>
      </c>
      <c r="D765" s="88">
        <v>46220.646539351903</v>
      </c>
      <c r="E765" s="89">
        <v>46220</v>
      </c>
      <c r="F765" s="71" t="s">
        <v>1425</v>
      </c>
      <c r="G765" s="71">
        <f t="shared" si="22"/>
        <v>7</v>
      </c>
      <c r="H765" s="71">
        <f t="shared" si="23"/>
        <v>11</v>
      </c>
    </row>
    <row r="766" spans="1:8" x14ac:dyDescent="0.2">
      <c r="A766" s="71" t="s">
        <v>235</v>
      </c>
      <c r="B766" s="71" t="s">
        <v>236</v>
      </c>
      <c r="C766" s="71" t="s">
        <v>40</v>
      </c>
      <c r="D766" s="88">
        <v>46223.417627314797</v>
      </c>
      <c r="E766" s="89">
        <v>46223</v>
      </c>
      <c r="F766" s="71" t="s">
        <v>1431</v>
      </c>
      <c r="G766" s="71">
        <f t="shared" si="22"/>
        <v>7</v>
      </c>
      <c r="H766" s="71">
        <f t="shared" si="23"/>
        <v>8</v>
      </c>
    </row>
    <row r="767" spans="1:8" x14ac:dyDescent="0.2">
      <c r="A767" s="71" t="s">
        <v>235</v>
      </c>
      <c r="B767" s="71" t="s">
        <v>236</v>
      </c>
      <c r="C767" s="71" t="s">
        <v>40</v>
      </c>
      <c r="D767" s="88">
        <v>46224.622696759303</v>
      </c>
      <c r="E767" s="89">
        <v>46224</v>
      </c>
      <c r="F767" s="71" t="s">
        <v>1432</v>
      </c>
      <c r="G767" s="71">
        <f t="shared" si="22"/>
        <v>7</v>
      </c>
      <c r="H767" s="71">
        <f t="shared" si="23"/>
        <v>21</v>
      </c>
    </row>
    <row r="768" spans="1:8" x14ac:dyDescent="0.2">
      <c r="A768" s="71" t="s">
        <v>235</v>
      </c>
      <c r="B768" s="71" t="s">
        <v>236</v>
      </c>
      <c r="C768" s="71" t="s">
        <v>40</v>
      </c>
      <c r="D768" s="88">
        <v>46227.562268518501</v>
      </c>
      <c r="E768" s="89">
        <v>46227</v>
      </c>
      <c r="F768" s="71" t="s">
        <v>1425</v>
      </c>
      <c r="G768" s="71">
        <f t="shared" si="22"/>
        <v>7</v>
      </c>
      <c r="H768" s="71">
        <f t="shared" si="23"/>
        <v>11</v>
      </c>
    </row>
    <row r="769" spans="1:8" x14ac:dyDescent="0.2">
      <c r="A769" s="71" t="s">
        <v>235</v>
      </c>
      <c r="B769" s="71" t="s">
        <v>236</v>
      </c>
      <c r="C769" s="71" t="s">
        <v>40</v>
      </c>
      <c r="D769" s="88">
        <v>46227.668182870402</v>
      </c>
      <c r="E769" s="89">
        <v>46227</v>
      </c>
      <c r="F769" s="71" t="s">
        <v>1426</v>
      </c>
      <c r="G769" s="71">
        <f t="shared" si="22"/>
        <v>7</v>
      </c>
      <c r="H769" s="71">
        <f t="shared" si="23"/>
        <v>24</v>
      </c>
    </row>
    <row r="770" spans="1:8" x14ac:dyDescent="0.2">
      <c r="A770" s="71" t="s">
        <v>235</v>
      </c>
      <c r="B770" s="71" t="s">
        <v>236</v>
      </c>
      <c r="C770" s="71" t="s">
        <v>40</v>
      </c>
      <c r="D770" s="88">
        <v>46230.663078703699</v>
      </c>
      <c r="E770" s="89">
        <v>46230</v>
      </c>
      <c r="F770" s="71" t="s">
        <v>1433</v>
      </c>
      <c r="G770" s="71">
        <f t="shared" ref="G770:G833" si="24">MONTH(E770)</f>
        <v>7</v>
      </c>
      <c r="H770" s="71">
        <f t="shared" ref="H770:H833" si="25">LEN(F770)</f>
        <v>29</v>
      </c>
    </row>
    <row r="771" spans="1:8" x14ac:dyDescent="0.2">
      <c r="A771" s="71" t="s">
        <v>235</v>
      </c>
      <c r="B771" s="71" t="s">
        <v>236</v>
      </c>
      <c r="C771" s="71" t="s">
        <v>40</v>
      </c>
      <c r="D771" s="88">
        <v>46231.383402777799</v>
      </c>
      <c r="E771" s="89">
        <v>46231</v>
      </c>
      <c r="F771" s="71" t="s">
        <v>1426</v>
      </c>
      <c r="G771" s="71">
        <f t="shared" si="24"/>
        <v>7</v>
      </c>
      <c r="H771" s="71">
        <f t="shared" si="25"/>
        <v>24</v>
      </c>
    </row>
    <row r="772" spans="1:8" x14ac:dyDescent="0.2">
      <c r="A772" s="71" t="s">
        <v>235</v>
      </c>
      <c r="B772" s="71" t="s">
        <v>236</v>
      </c>
      <c r="C772" s="71" t="s">
        <v>40</v>
      </c>
      <c r="D772" s="88">
        <v>46231.481597222199</v>
      </c>
      <c r="E772" s="89">
        <v>46231</v>
      </c>
      <c r="F772" s="71" t="s">
        <v>1434</v>
      </c>
      <c r="G772" s="71">
        <f t="shared" si="24"/>
        <v>7</v>
      </c>
      <c r="H772" s="71">
        <f t="shared" si="25"/>
        <v>9</v>
      </c>
    </row>
    <row r="773" spans="1:8" x14ac:dyDescent="0.2">
      <c r="A773" s="71" t="s">
        <v>235</v>
      </c>
      <c r="B773" s="71" t="s">
        <v>236</v>
      </c>
      <c r="C773" s="71" t="s">
        <v>40</v>
      </c>
      <c r="D773" s="88">
        <v>46231.663425925901</v>
      </c>
      <c r="E773" s="89">
        <v>46231</v>
      </c>
      <c r="F773" s="71" t="s">
        <v>1435</v>
      </c>
      <c r="G773" s="71">
        <f t="shared" si="24"/>
        <v>7</v>
      </c>
      <c r="H773" s="71">
        <f t="shared" si="25"/>
        <v>12</v>
      </c>
    </row>
    <row r="774" spans="1:8" x14ac:dyDescent="0.2">
      <c r="A774" s="71" t="s">
        <v>235</v>
      </c>
      <c r="B774" s="71" t="s">
        <v>236</v>
      </c>
      <c r="C774" s="71" t="s">
        <v>40</v>
      </c>
      <c r="D774" s="88">
        <v>46233.345891203702</v>
      </c>
      <c r="E774" s="89">
        <v>46233</v>
      </c>
      <c r="F774" s="71" t="s">
        <v>1434</v>
      </c>
      <c r="G774" s="71">
        <f t="shared" si="24"/>
        <v>7</v>
      </c>
      <c r="H774" s="71">
        <f t="shared" si="25"/>
        <v>9</v>
      </c>
    </row>
    <row r="775" spans="1:8" x14ac:dyDescent="0.2">
      <c r="A775" s="71" t="s">
        <v>235</v>
      </c>
      <c r="B775" s="71" t="s">
        <v>236</v>
      </c>
      <c r="C775" s="71" t="s">
        <v>40</v>
      </c>
      <c r="D775" s="88">
        <v>46233.346250000002</v>
      </c>
      <c r="E775" s="89">
        <v>46233</v>
      </c>
      <c r="F775" s="71" t="s">
        <v>1425</v>
      </c>
      <c r="G775" s="71">
        <f t="shared" si="24"/>
        <v>7</v>
      </c>
      <c r="H775" s="71">
        <f t="shared" si="25"/>
        <v>11</v>
      </c>
    </row>
    <row r="776" spans="1:8" x14ac:dyDescent="0.2">
      <c r="A776" s="71" t="s">
        <v>235</v>
      </c>
      <c r="B776" s="71" t="s">
        <v>236</v>
      </c>
      <c r="C776" s="71" t="s">
        <v>40</v>
      </c>
      <c r="D776" s="88">
        <v>46234.413437499999</v>
      </c>
      <c r="E776" s="89">
        <v>46234</v>
      </c>
      <c r="F776" s="71" t="s">
        <v>1425</v>
      </c>
      <c r="G776" s="71">
        <f t="shared" si="24"/>
        <v>7</v>
      </c>
      <c r="H776" s="71">
        <f t="shared" si="25"/>
        <v>11</v>
      </c>
    </row>
    <row r="777" spans="1:8" x14ac:dyDescent="0.2">
      <c r="A777" s="71" t="s">
        <v>235</v>
      </c>
      <c r="B777" s="71" t="s">
        <v>236</v>
      </c>
      <c r="C777" s="71" t="s">
        <v>40</v>
      </c>
      <c r="D777" s="88">
        <v>46234.592245370397</v>
      </c>
      <c r="E777" s="89">
        <v>46234</v>
      </c>
      <c r="F777" s="71" t="s">
        <v>1436</v>
      </c>
      <c r="G777" s="71">
        <f t="shared" si="24"/>
        <v>7</v>
      </c>
      <c r="H777" s="71">
        <f t="shared" si="25"/>
        <v>14</v>
      </c>
    </row>
    <row r="778" spans="1:8" x14ac:dyDescent="0.2">
      <c r="A778" s="71" t="s">
        <v>235</v>
      </c>
      <c r="B778" s="71" t="s">
        <v>236</v>
      </c>
      <c r="C778" s="71" t="s">
        <v>40</v>
      </c>
      <c r="D778" s="88">
        <v>46237.411724537</v>
      </c>
      <c r="E778" s="89">
        <v>46237</v>
      </c>
      <c r="F778" s="71" t="s">
        <v>1437</v>
      </c>
      <c r="G778" s="71">
        <f t="shared" si="24"/>
        <v>8</v>
      </c>
      <c r="H778" s="71">
        <f t="shared" si="25"/>
        <v>21</v>
      </c>
    </row>
    <row r="779" spans="1:8" x14ac:dyDescent="0.2">
      <c r="A779" s="71" t="s">
        <v>235</v>
      </c>
      <c r="B779" s="71" t="s">
        <v>236</v>
      </c>
      <c r="C779" s="71" t="s">
        <v>40</v>
      </c>
      <c r="D779" s="88">
        <v>46237.465011574102</v>
      </c>
      <c r="E779" s="89">
        <v>46237</v>
      </c>
      <c r="F779" s="71" t="s">
        <v>1425</v>
      </c>
      <c r="G779" s="71">
        <f t="shared" si="24"/>
        <v>8</v>
      </c>
      <c r="H779" s="71">
        <f t="shared" si="25"/>
        <v>11</v>
      </c>
    </row>
    <row r="780" spans="1:8" x14ac:dyDescent="0.2">
      <c r="A780" s="71" t="s">
        <v>235</v>
      </c>
      <c r="B780" s="71" t="s">
        <v>236</v>
      </c>
      <c r="C780" s="71" t="s">
        <v>40</v>
      </c>
      <c r="D780" s="88">
        <v>46238.688125000001</v>
      </c>
      <c r="E780" s="89">
        <v>46238</v>
      </c>
      <c r="F780" s="71" t="s">
        <v>1438</v>
      </c>
      <c r="G780" s="71">
        <f t="shared" si="24"/>
        <v>8</v>
      </c>
      <c r="H780" s="71">
        <f t="shared" si="25"/>
        <v>16</v>
      </c>
    </row>
    <row r="781" spans="1:8" x14ac:dyDescent="0.2">
      <c r="A781" s="71" t="s">
        <v>235</v>
      </c>
      <c r="B781" s="71" t="s">
        <v>236</v>
      </c>
      <c r="C781" s="71" t="s">
        <v>40</v>
      </c>
      <c r="D781" s="88">
        <v>46238.6883101852</v>
      </c>
      <c r="E781" s="89">
        <v>46238</v>
      </c>
      <c r="F781" s="71" t="s">
        <v>1439</v>
      </c>
      <c r="G781" s="71">
        <f t="shared" si="24"/>
        <v>8</v>
      </c>
      <c r="H781" s="71">
        <f t="shared" si="25"/>
        <v>22</v>
      </c>
    </row>
    <row r="782" spans="1:8" x14ac:dyDescent="0.2">
      <c r="A782" s="71" t="s">
        <v>235</v>
      </c>
      <c r="B782" s="71" t="s">
        <v>236</v>
      </c>
      <c r="C782" s="71" t="s">
        <v>40</v>
      </c>
      <c r="D782" s="88">
        <v>46239.386111111096</v>
      </c>
      <c r="E782" s="89">
        <v>46239</v>
      </c>
      <c r="F782" s="71" t="s">
        <v>1425</v>
      </c>
      <c r="G782" s="71">
        <f t="shared" si="24"/>
        <v>8</v>
      </c>
      <c r="H782" s="71">
        <f t="shared" si="25"/>
        <v>11</v>
      </c>
    </row>
    <row r="783" spans="1:8" x14ac:dyDescent="0.2">
      <c r="A783" s="71" t="s">
        <v>235</v>
      </c>
      <c r="B783" s="71" t="s">
        <v>236</v>
      </c>
      <c r="C783" s="71" t="s">
        <v>40</v>
      </c>
      <c r="D783" s="88">
        <v>46239.684930555602</v>
      </c>
      <c r="E783" s="89">
        <v>46239</v>
      </c>
      <c r="F783" s="71" t="s">
        <v>1440</v>
      </c>
      <c r="G783" s="71">
        <f t="shared" si="24"/>
        <v>8</v>
      </c>
      <c r="H783" s="71">
        <f t="shared" si="25"/>
        <v>22</v>
      </c>
    </row>
    <row r="784" spans="1:8" x14ac:dyDescent="0.2">
      <c r="A784" s="71" t="s">
        <v>235</v>
      </c>
      <c r="B784" s="71" t="s">
        <v>236</v>
      </c>
      <c r="C784" s="71" t="s">
        <v>40</v>
      </c>
      <c r="D784" s="88">
        <v>46240.422627314802</v>
      </c>
      <c r="E784" s="89">
        <v>46240</v>
      </c>
      <c r="F784" s="71" t="s">
        <v>1425</v>
      </c>
      <c r="G784" s="71">
        <f t="shared" si="24"/>
        <v>8</v>
      </c>
      <c r="H784" s="71">
        <f t="shared" si="25"/>
        <v>11</v>
      </c>
    </row>
    <row r="785" spans="1:8" x14ac:dyDescent="0.2">
      <c r="A785" s="71" t="s">
        <v>235</v>
      </c>
      <c r="B785" s="71" t="s">
        <v>236</v>
      </c>
      <c r="C785" s="71" t="s">
        <v>40</v>
      </c>
      <c r="D785" s="88">
        <v>46240.651608796303</v>
      </c>
      <c r="E785" s="89">
        <v>46240</v>
      </c>
      <c r="F785" s="71" t="s">
        <v>1441</v>
      </c>
      <c r="G785" s="71">
        <f t="shared" si="24"/>
        <v>8</v>
      </c>
      <c r="H785" s="71">
        <f t="shared" si="25"/>
        <v>23</v>
      </c>
    </row>
    <row r="786" spans="1:8" x14ac:dyDescent="0.2">
      <c r="A786" s="71" t="s">
        <v>235</v>
      </c>
      <c r="B786" s="71" t="s">
        <v>236</v>
      </c>
      <c r="C786" s="71" t="s">
        <v>40</v>
      </c>
      <c r="D786" s="88">
        <v>46240.651886574102</v>
      </c>
      <c r="E786" s="89">
        <v>46240</v>
      </c>
      <c r="F786" s="71" t="s">
        <v>1439</v>
      </c>
      <c r="G786" s="71">
        <f t="shared" si="24"/>
        <v>8</v>
      </c>
      <c r="H786" s="71">
        <f t="shared" si="25"/>
        <v>22</v>
      </c>
    </row>
    <row r="787" spans="1:8" x14ac:dyDescent="0.2">
      <c r="A787" s="71" t="s">
        <v>235</v>
      </c>
      <c r="B787" s="71" t="s">
        <v>236</v>
      </c>
      <c r="C787" s="71" t="s">
        <v>40</v>
      </c>
      <c r="D787" s="88">
        <v>46241.454479166699</v>
      </c>
      <c r="E787" s="89">
        <v>46241</v>
      </c>
      <c r="F787" s="71" t="s">
        <v>1425</v>
      </c>
      <c r="G787" s="71">
        <f t="shared" si="24"/>
        <v>8</v>
      </c>
      <c r="H787" s="71">
        <f t="shared" si="25"/>
        <v>11</v>
      </c>
    </row>
    <row r="788" spans="1:8" x14ac:dyDescent="0.2">
      <c r="A788" s="71" t="s">
        <v>235</v>
      </c>
      <c r="B788" s="71" t="s">
        <v>236</v>
      </c>
      <c r="C788" s="71" t="s">
        <v>40</v>
      </c>
      <c r="D788" s="88">
        <v>46244.4849189815</v>
      </c>
      <c r="E788" s="89">
        <v>46244</v>
      </c>
      <c r="F788" s="71" t="s">
        <v>1442</v>
      </c>
      <c r="G788" s="71">
        <f t="shared" si="24"/>
        <v>8</v>
      </c>
      <c r="H788" s="71">
        <f t="shared" si="25"/>
        <v>23</v>
      </c>
    </row>
    <row r="789" spans="1:8" x14ac:dyDescent="0.2">
      <c r="A789" s="71" t="s">
        <v>235</v>
      </c>
      <c r="B789" s="71" t="s">
        <v>236</v>
      </c>
      <c r="C789" s="71" t="s">
        <v>40</v>
      </c>
      <c r="D789" s="88">
        <v>46244.6329513889</v>
      </c>
      <c r="E789" s="89">
        <v>46244</v>
      </c>
      <c r="F789" s="71" t="s">
        <v>1425</v>
      </c>
      <c r="G789" s="71">
        <f t="shared" si="24"/>
        <v>8</v>
      </c>
      <c r="H789" s="71">
        <f t="shared" si="25"/>
        <v>11</v>
      </c>
    </row>
    <row r="790" spans="1:8" x14ac:dyDescent="0.2">
      <c r="A790" s="71" t="s">
        <v>235</v>
      </c>
      <c r="B790" s="71" t="s">
        <v>236</v>
      </c>
      <c r="C790" s="71" t="s">
        <v>40</v>
      </c>
      <c r="D790" s="88">
        <v>46244.633587962999</v>
      </c>
      <c r="E790" s="89">
        <v>46244</v>
      </c>
      <c r="F790" s="71" t="s">
        <v>1443</v>
      </c>
      <c r="G790" s="71">
        <f t="shared" si="24"/>
        <v>8</v>
      </c>
      <c r="H790" s="71">
        <f t="shared" si="25"/>
        <v>31</v>
      </c>
    </row>
    <row r="791" spans="1:8" x14ac:dyDescent="0.2">
      <c r="A791" s="71" t="s">
        <v>235</v>
      </c>
      <c r="B791" s="71" t="s">
        <v>236</v>
      </c>
      <c r="C791" s="71" t="s">
        <v>40</v>
      </c>
      <c r="D791" s="88">
        <v>46246.6656828704</v>
      </c>
      <c r="E791" s="89">
        <v>46246</v>
      </c>
      <c r="F791" s="71" t="s">
        <v>1425</v>
      </c>
      <c r="G791" s="71">
        <f t="shared" si="24"/>
        <v>8</v>
      </c>
      <c r="H791" s="71">
        <f t="shared" si="25"/>
        <v>11</v>
      </c>
    </row>
    <row r="792" spans="1:8" x14ac:dyDescent="0.2">
      <c r="A792" s="71" t="s">
        <v>235</v>
      </c>
      <c r="B792" s="71" t="s">
        <v>236</v>
      </c>
      <c r="C792" s="71" t="s">
        <v>40</v>
      </c>
      <c r="D792" s="88">
        <v>46247.550601851901</v>
      </c>
      <c r="E792" s="89">
        <v>46247</v>
      </c>
      <c r="F792" s="71" t="s">
        <v>1425</v>
      </c>
      <c r="G792" s="71">
        <f t="shared" si="24"/>
        <v>8</v>
      </c>
      <c r="H792" s="71">
        <f t="shared" si="25"/>
        <v>11</v>
      </c>
    </row>
    <row r="793" spans="1:8" x14ac:dyDescent="0.2">
      <c r="A793" s="71" t="s">
        <v>235</v>
      </c>
      <c r="B793" s="71" t="s">
        <v>236</v>
      </c>
      <c r="C793" s="71" t="s">
        <v>40</v>
      </c>
      <c r="D793" s="88">
        <v>46248.650995370401</v>
      </c>
      <c r="E793" s="89">
        <v>46248</v>
      </c>
      <c r="F793" s="71" t="s">
        <v>1444</v>
      </c>
      <c r="G793" s="71">
        <f t="shared" si="24"/>
        <v>8</v>
      </c>
      <c r="H793" s="71">
        <f t="shared" si="25"/>
        <v>31</v>
      </c>
    </row>
    <row r="794" spans="1:8" x14ac:dyDescent="0.2">
      <c r="A794" s="71" t="s">
        <v>235</v>
      </c>
      <c r="B794" s="71" t="s">
        <v>236</v>
      </c>
      <c r="C794" s="71" t="s">
        <v>40</v>
      </c>
      <c r="D794" s="88">
        <v>46252.651770833298</v>
      </c>
      <c r="E794" s="89">
        <v>46252</v>
      </c>
      <c r="F794" s="71" t="s">
        <v>1425</v>
      </c>
      <c r="G794" s="71">
        <f t="shared" si="24"/>
        <v>8</v>
      </c>
      <c r="H794" s="71">
        <f t="shared" si="25"/>
        <v>11</v>
      </c>
    </row>
    <row r="795" spans="1:8" x14ac:dyDescent="0.2">
      <c r="A795" s="71" t="s">
        <v>235</v>
      </c>
      <c r="B795" s="71" t="s">
        <v>236</v>
      </c>
      <c r="C795" s="71" t="s">
        <v>40</v>
      </c>
      <c r="D795" s="88">
        <v>46254.3606365741</v>
      </c>
      <c r="E795" s="89">
        <v>46254</v>
      </c>
      <c r="F795" s="71" t="s">
        <v>1443</v>
      </c>
      <c r="G795" s="71">
        <f t="shared" si="24"/>
        <v>8</v>
      </c>
      <c r="H795" s="71">
        <f t="shared" si="25"/>
        <v>31</v>
      </c>
    </row>
    <row r="796" spans="1:8" x14ac:dyDescent="0.2">
      <c r="A796" s="71" t="s">
        <v>235</v>
      </c>
      <c r="B796" s="71" t="s">
        <v>236</v>
      </c>
      <c r="C796" s="71" t="s">
        <v>40</v>
      </c>
      <c r="D796" s="88">
        <v>46254.646585648101</v>
      </c>
      <c r="E796" s="89">
        <v>46254</v>
      </c>
      <c r="F796" s="71" t="s">
        <v>1425</v>
      </c>
      <c r="G796" s="71">
        <f t="shared" si="24"/>
        <v>8</v>
      </c>
      <c r="H796" s="71">
        <f t="shared" si="25"/>
        <v>11</v>
      </c>
    </row>
    <row r="797" spans="1:8" x14ac:dyDescent="0.2">
      <c r="A797" s="71" t="s">
        <v>235</v>
      </c>
      <c r="B797" s="71" t="s">
        <v>236</v>
      </c>
      <c r="C797" s="71" t="s">
        <v>40</v>
      </c>
      <c r="D797" s="88">
        <v>46255.452847222201</v>
      </c>
      <c r="E797" s="89">
        <v>46255</v>
      </c>
      <c r="F797" s="71" t="s">
        <v>1445</v>
      </c>
      <c r="G797" s="71">
        <f t="shared" si="24"/>
        <v>8</v>
      </c>
      <c r="H797" s="71">
        <f t="shared" si="25"/>
        <v>25</v>
      </c>
    </row>
    <row r="798" spans="1:8" x14ac:dyDescent="0.2">
      <c r="A798" s="71" t="s">
        <v>235</v>
      </c>
      <c r="B798" s="71" t="s">
        <v>236</v>
      </c>
      <c r="C798" s="71" t="s">
        <v>40</v>
      </c>
      <c r="D798" s="88">
        <v>46255.733449074098</v>
      </c>
      <c r="E798" s="89">
        <v>46255</v>
      </c>
      <c r="F798" s="71" t="s">
        <v>1446</v>
      </c>
      <c r="G798" s="71">
        <f t="shared" si="24"/>
        <v>8</v>
      </c>
      <c r="H798" s="71">
        <f t="shared" si="25"/>
        <v>19</v>
      </c>
    </row>
    <row r="799" spans="1:8" x14ac:dyDescent="0.2">
      <c r="A799" s="71" t="s">
        <v>235</v>
      </c>
      <c r="B799" s="71" t="s">
        <v>236</v>
      </c>
      <c r="C799" s="71" t="s">
        <v>40</v>
      </c>
      <c r="D799" s="88">
        <v>46258.658657407403</v>
      </c>
      <c r="E799" s="89">
        <v>46258</v>
      </c>
      <c r="F799" s="71" t="s">
        <v>1445</v>
      </c>
      <c r="G799" s="71">
        <f t="shared" si="24"/>
        <v>8</v>
      </c>
      <c r="H799" s="71">
        <f t="shared" si="25"/>
        <v>25</v>
      </c>
    </row>
    <row r="800" spans="1:8" x14ac:dyDescent="0.2">
      <c r="A800" s="71" t="s">
        <v>235</v>
      </c>
      <c r="B800" s="71" t="s">
        <v>236</v>
      </c>
      <c r="C800" s="71" t="s">
        <v>40</v>
      </c>
      <c r="D800" s="88">
        <v>46260.649490740703</v>
      </c>
      <c r="E800" s="89">
        <v>46260</v>
      </c>
      <c r="F800" s="71" t="s">
        <v>1425</v>
      </c>
      <c r="G800" s="71">
        <f t="shared" si="24"/>
        <v>8</v>
      </c>
      <c r="H800" s="71">
        <f t="shared" si="25"/>
        <v>11</v>
      </c>
    </row>
    <row r="801" spans="1:8" x14ac:dyDescent="0.2">
      <c r="A801" s="71" t="s">
        <v>235</v>
      </c>
      <c r="B801" s="71" t="s">
        <v>236</v>
      </c>
      <c r="C801" s="71" t="s">
        <v>40</v>
      </c>
      <c r="D801" s="88">
        <v>46261.633298611101</v>
      </c>
      <c r="E801" s="89">
        <v>46261</v>
      </c>
      <c r="F801" s="71" t="s">
        <v>1447</v>
      </c>
      <c r="G801" s="71">
        <f t="shared" si="24"/>
        <v>8</v>
      </c>
      <c r="H801" s="71">
        <f t="shared" si="25"/>
        <v>14</v>
      </c>
    </row>
    <row r="802" spans="1:8" x14ac:dyDescent="0.2">
      <c r="A802" s="71" t="s">
        <v>235</v>
      </c>
      <c r="B802" s="71" t="s">
        <v>236</v>
      </c>
      <c r="C802" s="71" t="s">
        <v>40</v>
      </c>
      <c r="D802" s="88">
        <v>46261.679849537002</v>
      </c>
      <c r="E802" s="89">
        <v>46261</v>
      </c>
      <c r="F802" s="71" t="s">
        <v>1425</v>
      </c>
      <c r="G802" s="71">
        <f t="shared" si="24"/>
        <v>8</v>
      </c>
      <c r="H802" s="71">
        <f t="shared" si="25"/>
        <v>11</v>
      </c>
    </row>
    <row r="803" spans="1:8" x14ac:dyDescent="0.2">
      <c r="A803" s="71" t="s">
        <v>235</v>
      </c>
      <c r="B803" s="71" t="s">
        <v>236</v>
      </c>
      <c r="C803" s="71" t="s">
        <v>40</v>
      </c>
      <c r="D803" s="88">
        <v>46262.453321759298</v>
      </c>
      <c r="E803" s="89">
        <v>46262</v>
      </c>
      <c r="F803" s="71" t="s">
        <v>1448</v>
      </c>
      <c r="G803" s="71">
        <f t="shared" si="24"/>
        <v>8</v>
      </c>
      <c r="H803" s="71">
        <f t="shared" si="25"/>
        <v>18</v>
      </c>
    </row>
    <row r="804" spans="1:8" x14ac:dyDescent="0.2">
      <c r="A804" s="71" t="s">
        <v>235</v>
      </c>
      <c r="B804" s="71" t="s">
        <v>236</v>
      </c>
      <c r="C804" s="71" t="s">
        <v>40</v>
      </c>
      <c r="D804" s="88">
        <v>46265.355231481502</v>
      </c>
      <c r="E804" s="89">
        <v>46265</v>
      </c>
      <c r="F804" s="71" t="s">
        <v>1447</v>
      </c>
      <c r="G804" s="71">
        <f t="shared" si="24"/>
        <v>8</v>
      </c>
      <c r="H804" s="71">
        <f t="shared" si="25"/>
        <v>14</v>
      </c>
    </row>
    <row r="805" spans="1:8" x14ac:dyDescent="0.2">
      <c r="A805" s="71" t="s">
        <v>235</v>
      </c>
      <c r="B805" s="71" t="s">
        <v>236</v>
      </c>
      <c r="C805" s="71" t="s">
        <v>40</v>
      </c>
      <c r="D805" s="88">
        <v>46265.410960648202</v>
      </c>
      <c r="E805" s="89">
        <v>46265</v>
      </c>
      <c r="F805" s="71" t="s">
        <v>1425</v>
      </c>
      <c r="G805" s="71">
        <f t="shared" si="24"/>
        <v>8</v>
      </c>
      <c r="H805" s="71">
        <f t="shared" si="25"/>
        <v>11</v>
      </c>
    </row>
    <row r="806" spans="1:8" x14ac:dyDescent="0.2">
      <c r="A806" s="71" t="s">
        <v>235</v>
      </c>
      <c r="B806" s="71" t="s">
        <v>236</v>
      </c>
      <c r="C806" s="71" t="s">
        <v>40</v>
      </c>
      <c r="D806" s="88">
        <v>46266.440393518496</v>
      </c>
      <c r="E806" s="89">
        <v>46266</v>
      </c>
      <c r="F806" s="71" t="s">
        <v>1425</v>
      </c>
      <c r="G806" s="71">
        <f t="shared" si="24"/>
        <v>9</v>
      </c>
      <c r="H806" s="71">
        <f t="shared" si="25"/>
        <v>11</v>
      </c>
    </row>
    <row r="807" spans="1:8" x14ac:dyDescent="0.2">
      <c r="A807" s="71" t="s">
        <v>235</v>
      </c>
      <c r="B807" s="71" t="s">
        <v>236</v>
      </c>
      <c r="C807" s="71" t="s">
        <v>40</v>
      </c>
      <c r="D807" s="88">
        <v>46266.440856481502</v>
      </c>
      <c r="E807" s="89">
        <v>46266</v>
      </c>
      <c r="F807" s="71" t="s">
        <v>1449</v>
      </c>
      <c r="G807" s="71">
        <f t="shared" si="24"/>
        <v>9</v>
      </c>
      <c r="H807" s="71">
        <f t="shared" si="25"/>
        <v>20</v>
      </c>
    </row>
    <row r="808" spans="1:8" x14ac:dyDescent="0.2">
      <c r="A808" s="71" t="s">
        <v>235</v>
      </c>
      <c r="B808" s="71" t="s">
        <v>236</v>
      </c>
      <c r="C808" s="71" t="s">
        <v>40</v>
      </c>
      <c r="D808" s="88">
        <v>46267.677025463003</v>
      </c>
      <c r="E808" s="89">
        <v>46267</v>
      </c>
      <c r="F808" s="71" t="s">
        <v>1450</v>
      </c>
      <c r="G808" s="71">
        <f t="shared" si="24"/>
        <v>9</v>
      </c>
      <c r="H808" s="71">
        <f t="shared" si="25"/>
        <v>29</v>
      </c>
    </row>
    <row r="809" spans="1:8" x14ac:dyDescent="0.2">
      <c r="A809" s="71" t="s">
        <v>235</v>
      </c>
      <c r="B809" s="71" t="s">
        <v>236</v>
      </c>
      <c r="C809" s="71" t="s">
        <v>40</v>
      </c>
      <c r="D809" s="88">
        <v>46267.677245370403</v>
      </c>
      <c r="E809" s="89">
        <v>46267</v>
      </c>
      <c r="F809" s="71" t="s">
        <v>1425</v>
      </c>
      <c r="G809" s="71">
        <f t="shared" si="24"/>
        <v>9</v>
      </c>
      <c r="H809" s="71">
        <f t="shared" si="25"/>
        <v>11</v>
      </c>
    </row>
    <row r="810" spans="1:8" x14ac:dyDescent="0.2">
      <c r="A810" s="71" t="s">
        <v>235</v>
      </c>
      <c r="B810" s="71" t="s">
        <v>236</v>
      </c>
      <c r="C810" s="71" t="s">
        <v>40</v>
      </c>
      <c r="D810" s="88">
        <v>46268.473877314798</v>
      </c>
      <c r="E810" s="89">
        <v>46268</v>
      </c>
      <c r="F810" s="71" t="s">
        <v>1445</v>
      </c>
      <c r="G810" s="71">
        <f t="shared" si="24"/>
        <v>9</v>
      </c>
      <c r="H810" s="71">
        <f t="shared" si="25"/>
        <v>25</v>
      </c>
    </row>
    <row r="811" spans="1:8" x14ac:dyDescent="0.2">
      <c r="A811" s="71" t="s">
        <v>235</v>
      </c>
      <c r="B811" s="71" t="s">
        <v>236</v>
      </c>
      <c r="C811" s="71" t="s">
        <v>40</v>
      </c>
      <c r="D811" s="88">
        <v>46268.693495370397</v>
      </c>
      <c r="E811" s="89">
        <v>46268</v>
      </c>
      <c r="F811" s="71" t="s">
        <v>1450</v>
      </c>
      <c r="G811" s="71">
        <f t="shared" si="24"/>
        <v>9</v>
      </c>
      <c r="H811" s="71">
        <f t="shared" si="25"/>
        <v>29</v>
      </c>
    </row>
    <row r="812" spans="1:8" x14ac:dyDescent="0.2">
      <c r="A812" s="71" t="s">
        <v>235</v>
      </c>
      <c r="B812" s="71" t="s">
        <v>236</v>
      </c>
      <c r="C812" s="71" t="s">
        <v>40</v>
      </c>
      <c r="D812" s="88">
        <v>46269.634548611102</v>
      </c>
      <c r="E812" s="89">
        <v>46269</v>
      </c>
      <c r="F812" s="71" t="s">
        <v>1425</v>
      </c>
      <c r="G812" s="71">
        <f t="shared" si="24"/>
        <v>9</v>
      </c>
      <c r="H812" s="71">
        <f t="shared" si="25"/>
        <v>11</v>
      </c>
    </row>
    <row r="813" spans="1:8" x14ac:dyDescent="0.2">
      <c r="A813" s="71" t="s">
        <v>235</v>
      </c>
      <c r="B813" s="71" t="s">
        <v>236</v>
      </c>
      <c r="C813" s="71" t="s">
        <v>40</v>
      </c>
      <c r="D813" s="88">
        <v>46272.573993055601</v>
      </c>
      <c r="E813" s="89">
        <v>46272</v>
      </c>
      <c r="F813" s="71" t="s">
        <v>1425</v>
      </c>
      <c r="G813" s="71">
        <f t="shared" si="24"/>
        <v>9</v>
      </c>
      <c r="H813" s="71">
        <f t="shared" si="25"/>
        <v>11</v>
      </c>
    </row>
    <row r="814" spans="1:8" x14ac:dyDescent="0.2">
      <c r="A814" s="71" t="s">
        <v>235</v>
      </c>
      <c r="B814" s="71" t="s">
        <v>236</v>
      </c>
      <c r="C814" s="71" t="s">
        <v>40</v>
      </c>
      <c r="D814" s="88">
        <v>46272.669953703698</v>
      </c>
      <c r="E814" s="89">
        <v>46272</v>
      </c>
      <c r="F814" s="71" t="s">
        <v>1451</v>
      </c>
      <c r="G814" s="71">
        <f t="shared" si="24"/>
        <v>9</v>
      </c>
      <c r="H814" s="71">
        <f t="shared" si="25"/>
        <v>17</v>
      </c>
    </row>
    <row r="815" spans="1:8" x14ac:dyDescent="0.2">
      <c r="A815" s="71" t="s">
        <v>235</v>
      </c>
      <c r="B815" s="71" t="s">
        <v>236</v>
      </c>
      <c r="C815" s="71" t="s">
        <v>40</v>
      </c>
      <c r="D815" s="88">
        <v>46273.5627662037</v>
      </c>
      <c r="E815" s="89">
        <v>46273</v>
      </c>
      <c r="F815" s="71" t="s">
        <v>1425</v>
      </c>
      <c r="G815" s="71">
        <f t="shared" si="24"/>
        <v>9</v>
      </c>
      <c r="H815" s="71">
        <f t="shared" si="25"/>
        <v>11</v>
      </c>
    </row>
    <row r="816" spans="1:8" x14ac:dyDescent="0.2">
      <c r="A816" s="71" t="s">
        <v>235</v>
      </c>
      <c r="B816" s="71" t="s">
        <v>236</v>
      </c>
      <c r="C816" s="71" t="s">
        <v>40</v>
      </c>
      <c r="D816" s="88">
        <v>46273.563194444498</v>
      </c>
      <c r="E816" s="89">
        <v>46273</v>
      </c>
      <c r="F816" s="71" t="s">
        <v>1451</v>
      </c>
      <c r="G816" s="71">
        <f t="shared" si="24"/>
        <v>9</v>
      </c>
      <c r="H816" s="71">
        <f t="shared" si="25"/>
        <v>17</v>
      </c>
    </row>
    <row r="817" spans="1:8" x14ac:dyDescent="0.2">
      <c r="A817" s="71" t="s">
        <v>235</v>
      </c>
      <c r="B817" s="71" t="s">
        <v>236</v>
      </c>
      <c r="C817" s="71" t="s">
        <v>40</v>
      </c>
      <c r="D817" s="88">
        <v>46274.638912037</v>
      </c>
      <c r="E817" s="89">
        <v>46274</v>
      </c>
      <c r="F817" s="71" t="s">
        <v>1451</v>
      </c>
      <c r="G817" s="71">
        <f t="shared" si="24"/>
        <v>9</v>
      </c>
      <c r="H817" s="71">
        <f t="shared" si="25"/>
        <v>17</v>
      </c>
    </row>
    <row r="818" spans="1:8" x14ac:dyDescent="0.2">
      <c r="A818" s="71" t="s">
        <v>235</v>
      </c>
      <c r="B818" s="71" t="s">
        <v>236</v>
      </c>
      <c r="C818" s="71" t="s">
        <v>40</v>
      </c>
      <c r="D818" s="88">
        <v>46274.639131944401</v>
      </c>
      <c r="E818" s="89">
        <v>46274</v>
      </c>
      <c r="F818" s="71" t="s">
        <v>1425</v>
      </c>
      <c r="G818" s="71">
        <f t="shared" si="24"/>
        <v>9</v>
      </c>
      <c r="H818" s="71">
        <f t="shared" si="25"/>
        <v>11</v>
      </c>
    </row>
    <row r="819" spans="1:8" x14ac:dyDescent="0.2">
      <c r="A819" s="71" t="s">
        <v>235</v>
      </c>
      <c r="B819" s="71" t="s">
        <v>236</v>
      </c>
      <c r="C819" s="71" t="s">
        <v>40</v>
      </c>
      <c r="D819" s="88">
        <v>46275.605428240699</v>
      </c>
      <c r="E819" s="89">
        <v>46275</v>
      </c>
      <c r="F819" s="71" t="s">
        <v>1451</v>
      </c>
      <c r="G819" s="71">
        <f t="shared" si="24"/>
        <v>9</v>
      </c>
      <c r="H819" s="71">
        <f t="shared" si="25"/>
        <v>17</v>
      </c>
    </row>
    <row r="820" spans="1:8" x14ac:dyDescent="0.2">
      <c r="A820" s="71" t="s">
        <v>235</v>
      </c>
      <c r="B820" s="71" t="s">
        <v>236</v>
      </c>
      <c r="C820" s="71" t="s">
        <v>40</v>
      </c>
      <c r="D820" s="88">
        <v>46275.656365740702</v>
      </c>
      <c r="E820" s="89">
        <v>46275</v>
      </c>
      <c r="F820" s="71" t="s">
        <v>1425</v>
      </c>
      <c r="G820" s="71">
        <f t="shared" si="24"/>
        <v>9</v>
      </c>
      <c r="H820" s="71">
        <f t="shared" si="25"/>
        <v>11</v>
      </c>
    </row>
    <row r="821" spans="1:8" x14ac:dyDescent="0.2">
      <c r="A821" s="71" t="s">
        <v>235</v>
      </c>
      <c r="B821" s="71" t="s">
        <v>236</v>
      </c>
      <c r="C821" s="71" t="s">
        <v>40</v>
      </c>
      <c r="D821" s="88">
        <v>46276.458067129599</v>
      </c>
      <c r="E821" s="89">
        <v>46276</v>
      </c>
      <c r="F821" s="71" t="s">
        <v>1451</v>
      </c>
      <c r="G821" s="71">
        <f t="shared" si="24"/>
        <v>9</v>
      </c>
      <c r="H821" s="71">
        <f t="shared" si="25"/>
        <v>17</v>
      </c>
    </row>
    <row r="822" spans="1:8" x14ac:dyDescent="0.2">
      <c r="A822" s="71" t="s">
        <v>235</v>
      </c>
      <c r="B822" s="71" t="s">
        <v>236</v>
      </c>
      <c r="C822" s="71" t="s">
        <v>40</v>
      </c>
      <c r="D822" s="88">
        <v>46276.672442129602</v>
      </c>
      <c r="E822" s="89">
        <v>46276</v>
      </c>
      <c r="F822" s="71" t="s">
        <v>1452</v>
      </c>
      <c r="G822" s="71">
        <f t="shared" si="24"/>
        <v>9</v>
      </c>
      <c r="H822" s="71">
        <f t="shared" si="25"/>
        <v>22</v>
      </c>
    </row>
    <row r="823" spans="1:8" x14ac:dyDescent="0.2">
      <c r="A823" s="71" t="s">
        <v>235</v>
      </c>
      <c r="B823" s="71" t="s">
        <v>236</v>
      </c>
      <c r="C823" s="71" t="s">
        <v>40</v>
      </c>
      <c r="D823" s="88">
        <v>46276.672615740703</v>
      </c>
      <c r="E823" s="89">
        <v>46276</v>
      </c>
      <c r="F823" s="71" t="s">
        <v>1425</v>
      </c>
      <c r="G823" s="71">
        <f t="shared" si="24"/>
        <v>9</v>
      </c>
      <c r="H823" s="71">
        <f t="shared" si="25"/>
        <v>11</v>
      </c>
    </row>
    <row r="824" spans="1:8" x14ac:dyDescent="0.2">
      <c r="A824" s="71" t="s">
        <v>235</v>
      </c>
      <c r="B824" s="71" t="s">
        <v>236</v>
      </c>
      <c r="C824" s="71" t="s">
        <v>40</v>
      </c>
      <c r="D824" s="88">
        <v>46279.674131944397</v>
      </c>
      <c r="E824" s="89">
        <v>46279</v>
      </c>
      <c r="F824" s="71" t="s">
        <v>1451</v>
      </c>
      <c r="G824" s="71">
        <f t="shared" si="24"/>
        <v>9</v>
      </c>
      <c r="H824" s="71">
        <f t="shared" si="25"/>
        <v>17</v>
      </c>
    </row>
    <row r="825" spans="1:8" x14ac:dyDescent="0.2">
      <c r="A825" s="71" t="s">
        <v>235</v>
      </c>
      <c r="B825" s="71" t="s">
        <v>236</v>
      </c>
      <c r="C825" s="71" t="s">
        <v>40</v>
      </c>
      <c r="D825" s="88">
        <v>46279.675277777802</v>
      </c>
      <c r="E825" s="89">
        <v>46279</v>
      </c>
      <c r="F825" s="71" t="s">
        <v>1452</v>
      </c>
      <c r="G825" s="71">
        <f t="shared" si="24"/>
        <v>9</v>
      </c>
      <c r="H825" s="71">
        <f t="shared" si="25"/>
        <v>22</v>
      </c>
    </row>
    <row r="826" spans="1:8" x14ac:dyDescent="0.2">
      <c r="A826" s="71" t="s">
        <v>235</v>
      </c>
      <c r="B826" s="71" t="s">
        <v>236</v>
      </c>
      <c r="C826" s="71" t="s">
        <v>40</v>
      </c>
      <c r="D826" s="88">
        <v>46279.675740740699</v>
      </c>
      <c r="E826" s="89">
        <v>46279</v>
      </c>
      <c r="F826" s="71" t="s">
        <v>1425</v>
      </c>
      <c r="G826" s="71">
        <f t="shared" si="24"/>
        <v>9</v>
      </c>
      <c r="H826" s="71">
        <f t="shared" si="25"/>
        <v>11</v>
      </c>
    </row>
    <row r="827" spans="1:8" x14ac:dyDescent="0.2">
      <c r="A827" s="71" t="s">
        <v>235</v>
      </c>
      <c r="B827" s="71" t="s">
        <v>236</v>
      </c>
      <c r="C827" s="71" t="s">
        <v>40</v>
      </c>
      <c r="D827" s="88">
        <v>46280.602002314801</v>
      </c>
      <c r="E827" s="89">
        <v>46280</v>
      </c>
      <c r="F827" s="71" t="s">
        <v>1452</v>
      </c>
      <c r="G827" s="71">
        <f t="shared" si="24"/>
        <v>9</v>
      </c>
      <c r="H827" s="71">
        <f t="shared" si="25"/>
        <v>22</v>
      </c>
    </row>
    <row r="828" spans="1:8" x14ac:dyDescent="0.2">
      <c r="A828" s="71" t="s">
        <v>235</v>
      </c>
      <c r="B828" s="71" t="s">
        <v>236</v>
      </c>
      <c r="C828" s="71" t="s">
        <v>40</v>
      </c>
      <c r="D828" s="88">
        <v>46280.677893518499</v>
      </c>
      <c r="E828" s="89">
        <v>46280</v>
      </c>
      <c r="F828" s="71" t="s">
        <v>1425</v>
      </c>
      <c r="G828" s="71">
        <f t="shared" si="24"/>
        <v>9</v>
      </c>
      <c r="H828" s="71">
        <f t="shared" si="25"/>
        <v>11</v>
      </c>
    </row>
    <row r="829" spans="1:8" x14ac:dyDescent="0.2">
      <c r="A829" s="71" t="s">
        <v>235</v>
      </c>
      <c r="B829" s="71" t="s">
        <v>236</v>
      </c>
      <c r="C829" s="71" t="s">
        <v>40</v>
      </c>
      <c r="D829" s="88">
        <v>46281.465995370403</v>
      </c>
      <c r="E829" s="89">
        <v>46281</v>
      </c>
      <c r="F829" s="71" t="s">
        <v>1452</v>
      </c>
      <c r="G829" s="71">
        <f t="shared" si="24"/>
        <v>9</v>
      </c>
      <c r="H829" s="71">
        <f t="shared" si="25"/>
        <v>22</v>
      </c>
    </row>
    <row r="830" spans="1:8" x14ac:dyDescent="0.2">
      <c r="A830" s="71" t="s">
        <v>235</v>
      </c>
      <c r="B830" s="71" t="s">
        <v>236</v>
      </c>
      <c r="C830" s="71" t="s">
        <v>40</v>
      </c>
      <c r="D830" s="88">
        <v>46281.657361111102</v>
      </c>
      <c r="E830" s="89">
        <v>46281</v>
      </c>
      <c r="F830" s="71" t="s">
        <v>1453</v>
      </c>
      <c r="G830" s="71">
        <f t="shared" si="24"/>
        <v>9</v>
      </c>
      <c r="H830" s="71">
        <f t="shared" si="25"/>
        <v>19</v>
      </c>
    </row>
    <row r="831" spans="1:8" x14ac:dyDescent="0.2">
      <c r="A831" s="71" t="s">
        <v>235</v>
      </c>
      <c r="B831" s="71" t="s">
        <v>236</v>
      </c>
      <c r="C831" s="71" t="s">
        <v>40</v>
      </c>
      <c r="D831" s="88">
        <v>46281.691770833299</v>
      </c>
      <c r="E831" s="89">
        <v>46281</v>
      </c>
      <c r="F831" s="71" t="s">
        <v>1425</v>
      </c>
      <c r="G831" s="71">
        <f t="shared" si="24"/>
        <v>9</v>
      </c>
      <c r="H831" s="71">
        <f t="shared" si="25"/>
        <v>11</v>
      </c>
    </row>
    <row r="832" spans="1:8" x14ac:dyDescent="0.2">
      <c r="A832" s="71" t="s">
        <v>235</v>
      </c>
      <c r="B832" s="71" t="s">
        <v>236</v>
      </c>
      <c r="C832" s="71" t="s">
        <v>40</v>
      </c>
      <c r="D832" s="88">
        <v>46282.542291666701</v>
      </c>
      <c r="E832" s="89">
        <v>46282</v>
      </c>
      <c r="F832" s="71" t="s">
        <v>1451</v>
      </c>
      <c r="G832" s="71">
        <f t="shared" si="24"/>
        <v>9</v>
      </c>
      <c r="H832" s="71">
        <f t="shared" si="25"/>
        <v>17</v>
      </c>
    </row>
    <row r="833" spans="1:8" x14ac:dyDescent="0.2">
      <c r="A833" s="71" t="s">
        <v>235</v>
      </c>
      <c r="B833" s="71" t="s">
        <v>236</v>
      </c>
      <c r="C833" s="71" t="s">
        <v>40</v>
      </c>
      <c r="D833" s="88">
        <v>46282.542500000003</v>
      </c>
      <c r="E833" s="89">
        <v>46282</v>
      </c>
      <c r="F833" s="71" t="s">
        <v>1445</v>
      </c>
      <c r="G833" s="71">
        <f t="shared" si="24"/>
        <v>9</v>
      </c>
      <c r="H833" s="71">
        <f t="shared" si="25"/>
        <v>25</v>
      </c>
    </row>
    <row r="834" spans="1:8" x14ac:dyDescent="0.2">
      <c r="A834" s="71" t="s">
        <v>235</v>
      </c>
      <c r="B834" s="71" t="s">
        <v>236</v>
      </c>
      <c r="C834" s="71" t="s">
        <v>40</v>
      </c>
      <c r="D834" s="88">
        <v>46282.605034722197</v>
      </c>
      <c r="E834" s="89">
        <v>46282</v>
      </c>
      <c r="F834" s="71" t="s">
        <v>1454</v>
      </c>
      <c r="G834" s="71">
        <f t="shared" ref="G834:G897" si="26">MONTH(E834)</f>
        <v>9</v>
      </c>
      <c r="H834" s="71">
        <f t="shared" ref="H834:H897" si="27">LEN(F834)</f>
        <v>22</v>
      </c>
    </row>
    <row r="835" spans="1:8" x14ac:dyDescent="0.2">
      <c r="A835" s="71" t="s">
        <v>235</v>
      </c>
      <c r="B835" s="71" t="s">
        <v>236</v>
      </c>
      <c r="C835" s="71" t="s">
        <v>40</v>
      </c>
      <c r="D835" s="88">
        <v>46282.683668981503</v>
      </c>
      <c r="E835" s="89">
        <v>46282</v>
      </c>
      <c r="F835" s="71" t="s">
        <v>1425</v>
      </c>
      <c r="G835" s="71">
        <f t="shared" si="26"/>
        <v>9</v>
      </c>
      <c r="H835" s="71">
        <f t="shared" si="27"/>
        <v>11</v>
      </c>
    </row>
    <row r="836" spans="1:8" x14ac:dyDescent="0.2">
      <c r="A836" s="71" t="s">
        <v>235</v>
      </c>
      <c r="B836" s="71" t="s">
        <v>236</v>
      </c>
      <c r="C836" s="71" t="s">
        <v>40</v>
      </c>
      <c r="D836" s="88">
        <v>46283.4298263889</v>
      </c>
      <c r="E836" s="89">
        <v>46283</v>
      </c>
      <c r="F836" s="71" t="s">
        <v>1451</v>
      </c>
      <c r="G836" s="71">
        <f t="shared" si="26"/>
        <v>9</v>
      </c>
      <c r="H836" s="71">
        <f t="shared" si="27"/>
        <v>17</v>
      </c>
    </row>
    <row r="837" spans="1:8" x14ac:dyDescent="0.2">
      <c r="A837" s="71" t="s">
        <v>235</v>
      </c>
      <c r="B837" s="71" t="s">
        <v>236</v>
      </c>
      <c r="C837" s="71" t="s">
        <v>40</v>
      </c>
      <c r="D837" s="88">
        <v>46283.627199074101</v>
      </c>
      <c r="E837" s="89">
        <v>46283</v>
      </c>
      <c r="F837" s="71" t="s">
        <v>1455</v>
      </c>
      <c r="G837" s="71">
        <f t="shared" si="26"/>
        <v>9</v>
      </c>
      <c r="H837" s="71">
        <f t="shared" si="27"/>
        <v>27</v>
      </c>
    </row>
    <row r="838" spans="1:8" x14ac:dyDescent="0.2">
      <c r="A838" s="71" t="s">
        <v>235</v>
      </c>
      <c r="B838" s="71" t="s">
        <v>236</v>
      </c>
      <c r="C838" s="71" t="s">
        <v>40</v>
      </c>
      <c r="D838" s="88">
        <v>46283.714166666701</v>
      </c>
      <c r="E838" s="89">
        <v>46283</v>
      </c>
      <c r="F838" s="71" t="s">
        <v>1456</v>
      </c>
      <c r="G838" s="71">
        <f t="shared" si="26"/>
        <v>9</v>
      </c>
      <c r="H838" s="71">
        <f t="shared" si="27"/>
        <v>19</v>
      </c>
    </row>
    <row r="839" spans="1:8" x14ac:dyDescent="0.2">
      <c r="A839" s="71" t="s">
        <v>235</v>
      </c>
      <c r="B839" s="71" t="s">
        <v>236</v>
      </c>
      <c r="C839" s="71" t="s">
        <v>40</v>
      </c>
      <c r="D839" s="88">
        <v>46286.677083333299</v>
      </c>
      <c r="E839" s="89">
        <v>46286</v>
      </c>
      <c r="F839" s="71" t="s">
        <v>1457</v>
      </c>
      <c r="G839" s="71">
        <f t="shared" si="26"/>
        <v>9</v>
      </c>
      <c r="H839" s="71">
        <f t="shared" si="27"/>
        <v>9</v>
      </c>
    </row>
    <row r="840" spans="1:8" x14ac:dyDescent="0.2">
      <c r="A840" s="71" t="s">
        <v>235</v>
      </c>
      <c r="B840" s="71" t="s">
        <v>236</v>
      </c>
      <c r="C840" s="71" t="s">
        <v>40</v>
      </c>
      <c r="D840" s="88">
        <v>46287.690208333297</v>
      </c>
      <c r="E840" s="89">
        <v>46287</v>
      </c>
      <c r="F840" s="71" t="s">
        <v>1457</v>
      </c>
      <c r="G840" s="71">
        <f t="shared" si="26"/>
        <v>9</v>
      </c>
      <c r="H840" s="71">
        <f t="shared" si="27"/>
        <v>9</v>
      </c>
    </row>
    <row r="841" spans="1:8" x14ac:dyDescent="0.2">
      <c r="A841" s="71" t="s">
        <v>235</v>
      </c>
      <c r="B841" s="71" t="s">
        <v>236</v>
      </c>
      <c r="C841" s="71" t="s">
        <v>40</v>
      </c>
      <c r="D841" s="88">
        <v>46288.687511574099</v>
      </c>
      <c r="E841" s="89">
        <v>46288</v>
      </c>
      <c r="F841" s="71" t="s">
        <v>1457</v>
      </c>
      <c r="G841" s="71">
        <f t="shared" si="26"/>
        <v>9</v>
      </c>
      <c r="H841" s="71">
        <f t="shared" si="27"/>
        <v>9</v>
      </c>
    </row>
    <row r="842" spans="1:8" x14ac:dyDescent="0.2">
      <c r="A842" s="71" t="s">
        <v>235</v>
      </c>
      <c r="B842" s="71" t="s">
        <v>236</v>
      </c>
      <c r="C842" s="71" t="s">
        <v>40</v>
      </c>
      <c r="D842" s="88">
        <v>46289.430648148198</v>
      </c>
      <c r="E842" s="89">
        <v>46289</v>
      </c>
      <c r="F842" s="71" t="s">
        <v>1458</v>
      </c>
      <c r="G842" s="71">
        <f t="shared" si="26"/>
        <v>9</v>
      </c>
      <c r="H842" s="71">
        <f t="shared" si="27"/>
        <v>20</v>
      </c>
    </row>
    <row r="843" spans="1:8" x14ac:dyDescent="0.2">
      <c r="A843" s="71" t="s">
        <v>235</v>
      </c>
      <c r="B843" s="71" t="s">
        <v>236</v>
      </c>
      <c r="C843" s="71" t="s">
        <v>40</v>
      </c>
      <c r="D843" s="88">
        <v>46289.609699074099</v>
      </c>
      <c r="E843" s="89">
        <v>46289</v>
      </c>
      <c r="F843" s="71" t="s">
        <v>1459</v>
      </c>
      <c r="G843" s="71">
        <f t="shared" si="26"/>
        <v>9</v>
      </c>
      <c r="H843" s="71">
        <f t="shared" si="27"/>
        <v>13</v>
      </c>
    </row>
    <row r="844" spans="1:8" x14ac:dyDescent="0.2">
      <c r="A844" s="71" t="s">
        <v>235</v>
      </c>
      <c r="B844" s="71" t="s">
        <v>236</v>
      </c>
      <c r="C844" s="71" t="s">
        <v>40</v>
      </c>
      <c r="D844" s="88">
        <v>46289.6281018519</v>
      </c>
      <c r="E844" s="89">
        <v>46289</v>
      </c>
      <c r="F844" s="71" t="s">
        <v>1457</v>
      </c>
      <c r="G844" s="71">
        <f t="shared" si="26"/>
        <v>9</v>
      </c>
      <c r="H844" s="71">
        <f t="shared" si="27"/>
        <v>9</v>
      </c>
    </row>
    <row r="845" spans="1:8" x14ac:dyDescent="0.2">
      <c r="A845" s="71" t="s">
        <v>235</v>
      </c>
      <c r="B845" s="71" t="s">
        <v>236</v>
      </c>
      <c r="C845" s="71" t="s">
        <v>40</v>
      </c>
      <c r="D845" s="88">
        <v>46290.452847222201</v>
      </c>
      <c r="E845" s="89">
        <v>46290</v>
      </c>
      <c r="F845" s="71" t="s">
        <v>1445</v>
      </c>
      <c r="G845" s="71">
        <f t="shared" si="26"/>
        <v>9</v>
      </c>
      <c r="H845" s="71">
        <f t="shared" si="27"/>
        <v>25</v>
      </c>
    </row>
    <row r="846" spans="1:8" x14ac:dyDescent="0.2">
      <c r="A846" s="71" t="s">
        <v>235</v>
      </c>
      <c r="B846" s="71" t="s">
        <v>236</v>
      </c>
      <c r="C846" s="71" t="s">
        <v>40</v>
      </c>
      <c r="D846" s="88">
        <v>46290.683692129598</v>
      </c>
      <c r="E846" s="89">
        <v>46290</v>
      </c>
      <c r="F846" s="71" t="s">
        <v>1457</v>
      </c>
      <c r="G846" s="71">
        <f t="shared" si="26"/>
        <v>9</v>
      </c>
      <c r="H846" s="71">
        <f t="shared" si="27"/>
        <v>9</v>
      </c>
    </row>
    <row r="847" spans="1:8" x14ac:dyDescent="0.2">
      <c r="A847" s="71" t="s">
        <v>235</v>
      </c>
      <c r="B847" s="71" t="s">
        <v>236</v>
      </c>
      <c r="C847" s="71" t="s">
        <v>40</v>
      </c>
      <c r="D847" s="88">
        <v>46293.674178240697</v>
      </c>
      <c r="E847" s="89">
        <v>46293</v>
      </c>
      <c r="F847" s="71" t="s">
        <v>1460</v>
      </c>
      <c r="G847" s="71">
        <f t="shared" si="26"/>
        <v>9</v>
      </c>
      <c r="H847" s="71">
        <f t="shared" si="27"/>
        <v>27</v>
      </c>
    </row>
    <row r="848" spans="1:8" x14ac:dyDescent="0.2">
      <c r="A848" s="71" t="s">
        <v>235</v>
      </c>
      <c r="B848" s="71" t="s">
        <v>236</v>
      </c>
      <c r="C848" s="71" t="s">
        <v>40</v>
      </c>
      <c r="D848" s="88">
        <v>46294.472488425898</v>
      </c>
      <c r="E848" s="89">
        <v>46294</v>
      </c>
      <c r="F848" s="71" t="s">
        <v>1451</v>
      </c>
      <c r="G848" s="71">
        <f t="shared" si="26"/>
        <v>9</v>
      </c>
      <c r="H848" s="71">
        <f t="shared" si="27"/>
        <v>17</v>
      </c>
    </row>
    <row r="849" spans="1:8" x14ac:dyDescent="0.2">
      <c r="A849" s="71" t="s">
        <v>235</v>
      </c>
      <c r="B849" s="71" t="s">
        <v>236</v>
      </c>
      <c r="C849" s="71" t="s">
        <v>40</v>
      </c>
      <c r="D849" s="88">
        <v>46294.680277777799</v>
      </c>
      <c r="E849" s="89">
        <v>46294</v>
      </c>
      <c r="F849" s="71" t="s">
        <v>1457</v>
      </c>
      <c r="G849" s="71">
        <f t="shared" si="26"/>
        <v>9</v>
      </c>
      <c r="H849" s="71">
        <f t="shared" si="27"/>
        <v>9</v>
      </c>
    </row>
    <row r="850" spans="1:8" x14ac:dyDescent="0.2">
      <c r="A850" s="71" t="s">
        <v>235</v>
      </c>
      <c r="B850" s="71" t="s">
        <v>236</v>
      </c>
      <c r="C850" s="71" t="s">
        <v>40</v>
      </c>
      <c r="D850" s="88">
        <v>46295.645150463002</v>
      </c>
      <c r="E850" s="89">
        <v>46295</v>
      </c>
      <c r="F850" s="71" t="s">
        <v>1457</v>
      </c>
      <c r="G850" s="71">
        <f t="shared" si="26"/>
        <v>9</v>
      </c>
      <c r="H850" s="71">
        <f t="shared" si="27"/>
        <v>9</v>
      </c>
    </row>
    <row r="851" spans="1:8" x14ac:dyDescent="0.2">
      <c r="A851" s="71" t="s">
        <v>218</v>
      </c>
      <c r="B851" s="71" t="s">
        <v>219</v>
      </c>
      <c r="C851" s="71" t="s">
        <v>44</v>
      </c>
      <c r="D851" s="88">
        <v>46179.235011574099</v>
      </c>
      <c r="E851" s="89">
        <v>46179</v>
      </c>
      <c r="F851" s="71" t="s">
        <v>1461</v>
      </c>
      <c r="G851" s="71">
        <f t="shared" si="26"/>
        <v>6</v>
      </c>
      <c r="H851" s="71">
        <f t="shared" si="27"/>
        <v>26</v>
      </c>
    </row>
    <row r="852" spans="1:8" x14ac:dyDescent="0.2">
      <c r="A852" s="71" t="s">
        <v>218</v>
      </c>
      <c r="B852" s="71" t="s">
        <v>219</v>
      </c>
      <c r="C852" s="71" t="s">
        <v>44</v>
      </c>
      <c r="D852" s="88">
        <v>46181.895138888904</v>
      </c>
      <c r="E852" s="89">
        <v>46181</v>
      </c>
      <c r="F852" s="71" t="s">
        <v>1462</v>
      </c>
      <c r="G852" s="71">
        <f t="shared" si="26"/>
        <v>6</v>
      </c>
      <c r="H852" s="71">
        <f t="shared" si="27"/>
        <v>38</v>
      </c>
    </row>
    <row r="853" spans="1:8" x14ac:dyDescent="0.2">
      <c r="A853" s="71" t="s">
        <v>218</v>
      </c>
      <c r="B853" s="71" t="s">
        <v>219</v>
      </c>
      <c r="C853" s="71" t="s">
        <v>44</v>
      </c>
      <c r="D853" s="88">
        <v>46181.8961458333</v>
      </c>
      <c r="E853" s="89">
        <v>46181</v>
      </c>
      <c r="F853" s="71" t="s">
        <v>1463</v>
      </c>
      <c r="G853" s="71">
        <f t="shared" si="26"/>
        <v>6</v>
      </c>
      <c r="H853" s="71">
        <f t="shared" si="27"/>
        <v>21</v>
      </c>
    </row>
    <row r="854" spans="1:8" x14ac:dyDescent="0.2">
      <c r="A854" s="71" t="s">
        <v>218</v>
      </c>
      <c r="B854" s="71" t="s">
        <v>219</v>
      </c>
      <c r="C854" s="71" t="s">
        <v>44</v>
      </c>
      <c r="D854" s="88">
        <v>46181.8979398148</v>
      </c>
      <c r="E854" s="89">
        <v>46181</v>
      </c>
      <c r="F854" s="71" t="s">
        <v>1461</v>
      </c>
      <c r="G854" s="71">
        <f t="shared" si="26"/>
        <v>6</v>
      </c>
      <c r="H854" s="71">
        <f t="shared" si="27"/>
        <v>26</v>
      </c>
    </row>
    <row r="855" spans="1:8" x14ac:dyDescent="0.2">
      <c r="A855" s="71" t="s">
        <v>218</v>
      </c>
      <c r="B855" s="71" t="s">
        <v>219</v>
      </c>
      <c r="C855" s="71" t="s">
        <v>44</v>
      </c>
      <c r="D855" s="88">
        <v>46182.939224537004</v>
      </c>
      <c r="E855" s="89">
        <v>46182</v>
      </c>
      <c r="F855" s="71" t="s">
        <v>1464</v>
      </c>
      <c r="G855" s="71">
        <f t="shared" si="26"/>
        <v>6</v>
      </c>
      <c r="H855" s="71">
        <f t="shared" si="27"/>
        <v>28</v>
      </c>
    </row>
    <row r="856" spans="1:8" x14ac:dyDescent="0.2">
      <c r="A856" s="71" t="s">
        <v>218</v>
      </c>
      <c r="B856" s="71" t="s">
        <v>219</v>
      </c>
      <c r="C856" s="71" t="s">
        <v>44</v>
      </c>
      <c r="D856" s="88">
        <v>46182.942060185203</v>
      </c>
      <c r="E856" s="89">
        <v>46182</v>
      </c>
      <c r="F856" s="71" t="s">
        <v>1461</v>
      </c>
      <c r="G856" s="71">
        <f t="shared" si="26"/>
        <v>6</v>
      </c>
      <c r="H856" s="71">
        <f t="shared" si="27"/>
        <v>26</v>
      </c>
    </row>
    <row r="857" spans="1:8" x14ac:dyDescent="0.2">
      <c r="A857" s="71" t="s">
        <v>218</v>
      </c>
      <c r="B857" s="71" t="s">
        <v>219</v>
      </c>
      <c r="C857" s="71" t="s">
        <v>44</v>
      </c>
      <c r="D857" s="88">
        <v>46183.8936805556</v>
      </c>
      <c r="E857" s="89">
        <v>46183</v>
      </c>
      <c r="F857" s="71" t="s">
        <v>1465</v>
      </c>
      <c r="G857" s="71">
        <f t="shared" si="26"/>
        <v>6</v>
      </c>
      <c r="H857" s="71">
        <f t="shared" si="27"/>
        <v>36</v>
      </c>
    </row>
    <row r="858" spans="1:8" x14ac:dyDescent="0.2">
      <c r="A858" s="71" t="s">
        <v>218</v>
      </c>
      <c r="B858" s="71" t="s">
        <v>219</v>
      </c>
      <c r="C858" s="71" t="s">
        <v>44</v>
      </c>
      <c r="D858" s="88">
        <v>46183.894918981503</v>
      </c>
      <c r="E858" s="89">
        <v>46183</v>
      </c>
      <c r="F858" s="71" t="s">
        <v>1461</v>
      </c>
      <c r="G858" s="71">
        <f t="shared" si="26"/>
        <v>6</v>
      </c>
      <c r="H858" s="71">
        <f t="shared" si="27"/>
        <v>26</v>
      </c>
    </row>
    <row r="859" spans="1:8" x14ac:dyDescent="0.2">
      <c r="A859" s="71" t="s">
        <v>218</v>
      </c>
      <c r="B859" s="71" t="s">
        <v>219</v>
      </c>
      <c r="C859" s="71" t="s">
        <v>44</v>
      </c>
      <c r="D859" s="88">
        <v>46183.9151851852</v>
      </c>
      <c r="E859" s="89">
        <v>46183</v>
      </c>
      <c r="F859" s="71" t="s">
        <v>1463</v>
      </c>
      <c r="G859" s="71">
        <f t="shared" si="26"/>
        <v>6</v>
      </c>
      <c r="H859" s="71">
        <f t="shared" si="27"/>
        <v>21</v>
      </c>
    </row>
    <row r="860" spans="1:8" x14ac:dyDescent="0.2">
      <c r="A860" s="71" t="s">
        <v>218</v>
      </c>
      <c r="B860" s="71" t="s">
        <v>219</v>
      </c>
      <c r="C860" s="71" t="s">
        <v>44</v>
      </c>
      <c r="D860" s="88">
        <v>46184.945543981499</v>
      </c>
      <c r="E860" s="89">
        <v>46184</v>
      </c>
      <c r="F860" s="71" t="s">
        <v>1466</v>
      </c>
      <c r="G860" s="71">
        <f t="shared" si="26"/>
        <v>6</v>
      </c>
      <c r="H860" s="71">
        <f t="shared" si="27"/>
        <v>22</v>
      </c>
    </row>
    <row r="861" spans="1:8" x14ac:dyDescent="0.2">
      <c r="A861" s="71" t="s">
        <v>218</v>
      </c>
      <c r="B861" s="71" t="s">
        <v>219</v>
      </c>
      <c r="C861" s="71" t="s">
        <v>44</v>
      </c>
      <c r="D861" s="88">
        <v>46184.946493055599</v>
      </c>
      <c r="E861" s="89">
        <v>46184</v>
      </c>
      <c r="F861" s="71" t="s">
        <v>1467</v>
      </c>
      <c r="G861" s="71">
        <f t="shared" si="26"/>
        <v>6</v>
      </c>
      <c r="H861" s="71">
        <f t="shared" si="27"/>
        <v>26</v>
      </c>
    </row>
    <row r="862" spans="1:8" x14ac:dyDescent="0.2">
      <c r="A862" s="71" t="s">
        <v>218</v>
      </c>
      <c r="B862" s="71" t="s">
        <v>219</v>
      </c>
      <c r="C862" s="71" t="s">
        <v>44</v>
      </c>
      <c r="D862" s="88">
        <v>46184.946828703702</v>
      </c>
      <c r="E862" s="89">
        <v>46184</v>
      </c>
      <c r="F862" s="71" t="s">
        <v>1461</v>
      </c>
      <c r="G862" s="71">
        <f t="shared" si="26"/>
        <v>6</v>
      </c>
      <c r="H862" s="71">
        <f t="shared" si="27"/>
        <v>26</v>
      </c>
    </row>
    <row r="863" spans="1:8" x14ac:dyDescent="0.2">
      <c r="A863" s="71" t="s">
        <v>218</v>
      </c>
      <c r="B863" s="71" t="s">
        <v>219</v>
      </c>
      <c r="C863" s="71" t="s">
        <v>44</v>
      </c>
      <c r="D863" s="88">
        <v>46185.923553240696</v>
      </c>
      <c r="E863" s="89">
        <v>46185</v>
      </c>
      <c r="F863" s="71" t="s">
        <v>1468</v>
      </c>
      <c r="G863" s="71">
        <f t="shared" si="26"/>
        <v>6</v>
      </c>
      <c r="H863" s="71">
        <f t="shared" si="27"/>
        <v>24</v>
      </c>
    </row>
    <row r="864" spans="1:8" x14ac:dyDescent="0.2">
      <c r="A864" s="71" t="s">
        <v>218</v>
      </c>
      <c r="B864" s="71" t="s">
        <v>219</v>
      </c>
      <c r="C864" s="71" t="s">
        <v>44</v>
      </c>
      <c r="D864" s="88">
        <v>46189.608425925901</v>
      </c>
      <c r="E864" s="89">
        <v>46189</v>
      </c>
      <c r="F864" s="71" t="s">
        <v>1469</v>
      </c>
      <c r="G864" s="71">
        <f t="shared" si="26"/>
        <v>6</v>
      </c>
      <c r="H864" s="71">
        <f t="shared" si="27"/>
        <v>38</v>
      </c>
    </row>
    <row r="865" spans="1:8" x14ac:dyDescent="0.2">
      <c r="A865" s="71" t="s">
        <v>218</v>
      </c>
      <c r="B865" s="71" t="s">
        <v>219</v>
      </c>
      <c r="C865" s="71" t="s">
        <v>44</v>
      </c>
      <c r="D865" s="88">
        <v>46189.609722222202</v>
      </c>
      <c r="E865" s="89">
        <v>46189</v>
      </c>
      <c r="F865" s="71" t="s">
        <v>1461</v>
      </c>
      <c r="G865" s="71">
        <f t="shared" si="26"/>
        <v>6</v>
      </c>
      <c r="H865" s="71">
        <f t="shared" si="27"/>
        <v>26</v>
      </c>
    </row>
    <row r="866" spans="1:8" x14ac:dyDescent="0.2">
      <c r="A866" s="71" t="s">
        <v>218</v>
      </c>
      <c r="B866" s="71" t="s">
        <v>219</v>
      </c>
      <c r="C866" s="71" t="s">
        <v>44</v>
      </c>
      <c r="D866" s="88">
        <v>46190.860162037003</v>
      </c>
      <c r="E866" s="89">
        <v>46190</v>
      </c>
      <c r="F866" s="71" t="s">
        <v>1468</v>
      </c>
      <c r="G866" s="71">
        <f t="shared" si="26"/>
        <v>6</v>
      </c>
      <c r="H866" s="71">
        <f t="shared" si="27"/>
        <v>24</v>
      </c>
    </row>
    <row r="867" spans="1:8" x14ac:dyDescent="0.2">
      <c r="A867" s="71" t="s">
        <v>218</v>
      </c>
      <c r="B867" s="71" t="s">
        <v>219</v>
      </c>
      <c r="C867" s="71" t="s">
        <v>44</v>
      </c>
      <c r="D867" s="88">
        <v>46190.861469907402</v>
      </c>
      <c r="E867" s="89">
        <v>46190</v>
      </c>
      <c r="F867" s="71" t="s">
        <v>1461</v>
      </c>
      <c r="G867" s="71">
        <f t="shared" si="26"/>
        <v>6</v>
      </c>
      <c r="H867" s="71">
        <f t="shared" si="27"/>
        <v>26</v>
      </c>
    </row>
    <row r="868" spans="1:8" x14ac:dyDescent="0.2">
      <c r="A868" s="71" t="s">
        <v>218</v>
      </c>
      <c r="B868" s="71" t="s">
        <v>219</v>
      </c>
      <c r="C868" s="71" t="s">
        <v>44</v>
      </c>
      <c r="D868" s="88">
        <v>46191.925046296303</v>
      </c>
      <c r="E868" s="89">
        <v>46191</v>
      </c>
      <c r="F868" s="71" t="s">
        <v>1468</v>
      </c>
      <c r="G868" s="71">
        <f t="shared" si="26"/>
        <v>6</v>
      </c>
      <c r="H868" s="71">
        <f t="shared" si="27"/>
        <v>24</v>
      </c>
    </row>
    <row r="869" spans="1:8" x14ac:dyDescent="0.2">
      <c r="A869" s="71" t="s">
        <v>218</v>
      </c>
      <c r="B869" s="71" t="s">
        <v>219</v>
      </c>
      <c r="C869" s="71" t="s">
        <v>44</v>
      </c>
      <c r="D869" s="88">
        <v>46192.908506944397</v>
      </c>
      <c r="E869" s="89">
        <v>46192</v>
      </c>
      <c r="F869" s="71" t="s">
        <v>1468</v>
      </c>
      <c r="G869" s="71">
        <f t="shared" si="26"/>
        <v>6</v>
      </c>
      <c r="H869" s="71">
        <f t="shared" si="27"/>
        <v>24</v>
      </c>
    </row>
    <row r="870" spans="1:8" x14ac:dyDescent="0.2">
      <c r="A870" s="71" t="s">
        <v>218</v>
      </c>
      <c r="B870" s="71" t="s">
        <v>219</v>
      </c>
      <c r="C870" s="71" t="s">
        <v>44</v>
      </c>
      <c r="D870" s="88">
        <v>46192.909328703703</v>
      </c>
      <c r="E870" s="89">
        <v>46192</v>
      </c>
      <c r="F870" s="71" t="s">
        <v>1470</v>
      </c>
      <c r="G870" s="71">
        <f t="shared" si="26"/>
        <v>6</v>
      </c>
      <c r="H870" s="71">
        <f t="shared" si="27"/>
        <v>34</v>
      </c>
    </row>
    <row r="871" spans="1:8" x14ac:dyDescent="0.2">
      <c r="A871" s="71" t="s">
        <v>218</v>
      </c>
      <c r="B871" s="71" t="s">
        <v>219</v>
      </c>
      <c r="C871" s="71" t="s">
        <v>44</v>
      </c>
      <c r="D871" s="88">
        <v>46195.865578703699</v>
      </c>
      <c r="E871" s="89">
        <v>46195</v>
      </c>
      <c r="F871" s="71" t="s">
        <v>1471</v>
      </c>
      <c r="G871" s="71">
        <f t="shared" si="26"/>
        <v>6</v>
      </c>
      <c r="H871" s="71">
        <f t="shared" si="27"/>
        <v>60</v>
      </c>
    </row>
    <row r="872" spans="1:8" x14ac:dyDescent="0.2">
      <c r="A872" s="71" t="s">
        <v>218</v>
      </c>
      <c r="B872" s="71" t="s">
        <v>219</v>
      </c>
      <c r="C872" s="71" t="s">
        <v>44</v>
      </c>
      <c r="D872" s="88">
        <v>46195.869317129604</v>
      </c>
      <c r="E872" s="89">
        <v>46195</v>
      </c>
      <c r="F872" s="71" t="s">
        <v>1461</v>
      </c>
      <c r="G872" s="71">
        <f t="shared" si="26"/>
        <v>6</v>
      </c>
      <c r="H872" s="71">
        <f t="shared" si="27"/>
        <v>26</v>
      </c>
    </row>
    <row r="873" spans="1:8" x14ac:dyDescent="0.2">
      <c r="A873" s="71" t="s">
        <v>218</v>
      </c>
      <c r="B873" s="71" t="s">
        <v>219</v>
      </c>
      <c r="C873" s="71" t="s">
        <v>44</v>
      </c>
      <c r="D873" s="88">
        <v>46196.862870370402</v>
      </c>
      <c r="E873" s="89">
        <v>46196</v>
      </c>
      <c r="F873" s="71" t="s">
        <v>1468</v>
      </c>
      <c r="G873" s="71">
        <f t="shared" si="26"/>
        <v>6</v>
      </c>
      <c r="H873" s="71">
        <f t="shared" si="27"/>
        <v>24</v>
      </c>
    </row>
    <row r="874" spans="1:8" x14ac:dyDescent="0.2">
      <c r="A874" s="71" t="s">
        <v>218</v>
      </c>
      <c r="B874" s="71" t="s">
        <v>219</v>
      </c>
      <c r="C874" s="71" t="s">
        <v>44</v>
      </c>
      <c r="D874" s="88">
        <v>46196.864849537</v>
      </c>
      <c r="E874" s="89">
        <v>46196</v>
      </c>
      <c r="F874" s="71" t="s">
        <v>1461</v>
      </c>
      <c r="G874" s="71">
        <f t="shared" si="26"/>
        <v>6</v>
      </c>
      <c r="H874" s="71">
        <f t="shared" si="27"/>
        <v>26</v>
      </c>
    </row>
    <row r="875" spans="1:8" x14ac:dyDescent="0.2">
      <c r="A875" s="71" t="s">
        <v>218</v>
      </c>
      <c r="B875" s="71" t="s">
        <v>219</v>
      </c>
      <c r="C875" s="71" t="s">
        <v>44</v>
      </c>
      <c r="D875" s="88">
        <v>46197.979942129597</v>
      </c>
      <c r="E875" s="89">
        <v>46197</v>
      </c>
      <c r="F875" s="71" t="s">
        <v>1472</v>
      </c>
      <c r="G875" s="71">
        <f t="shared" si="26"/>
        <v>6</v>
      </c>
      <c r="H875" s="71">
        <f t="shared" si="27"/>
        <v>23</v>
      </c>
    </row>
    <row r="876" spans="1:8" x14ac:dyDescent="0.2">
      <c r="A876" s="71" t="s">
        <v>218</v>
      </c>
      <c r="B876" s="71" t="s">
        <v>219</v>
      </c>
      <c r="C876" s="71" t="s">
        <v>44</v>
      </c>
      <c r="D876" s="88">
        <v>46197.980324074102</v>
      </c>
      <c r="E876" s="89">
        <v>46197</v>
      </c>
      <c r="F876" s="71" t="s">
        <v>1461</v>
      </c>
      <c r="G876" s="71">
        <f t="shared" si="26"/>
        <v>6</v>
      </c>
      <c r="H876" s="71">
        <f t="shared" si="27"/>
        <v>26</v>
      </c>
    </row>
    <row r="877" spans="1:8" x14ac:dyDescent="0.2">
      <c r="A877" s="71" t="s">
        <v>218</v>
      </c>
      <c r="B877" s="71" t="s">
        <v>219</v>
      </c>
      <c r="C877" s="71" t="s">
        <v>44</v>
      </c>
      <c r="D877" s="88">
        <v>46198.839120370401</v>
      </c>
      <c r="E877" s="89">
        <v>46198</v>
      </c>
      <c r="F877" s="71" t="s">
        <v>1473</v>
      </c>
      <c r="G877" s="71">
        <f t="shared" si="26"/>
        <v>6</v>
      </c>
      <c r="H877" s="71">
        <f t="shared" si="27"/>
        <v>36</v>
      </c>
    </row>
    <row r="878" spans="1:8" x14ac:dyDescent="0.2">
      <c r="A878" s="71" t="s">
        <v>218</v>
      </c>
      <c r="B878" s="71" t="s">
        <v>219</v>
      </c>
      <c r="C878" s="71" t="s">
        <v>44</v>
      </c>
      <c r="D878" s="88">
        <v>46198.839687500003</v>
      </c>
      <c r="E878" s="89">
        <v>46198</v>
      </c>
      <c r="F878" s="71" t="s">
        <v>1468</v>
      </c>
      <c r="G878" s="71">
        <f t="shared" si="26"/>
        <v>6</v>
      </c>
      <c r="H878" s="71">
        <f t="shared" si="27"/>
        <v>24</v>
      </c>
    </row>
    <row r="879" spans="1:8" x14ac:dyDescent="0.2">
      <c r="A879" s="71" t="s">
        <v>218</v>
      </c>
      <c r="B879" s="71" t="s">
        <v>219</v>
      </c>
      <c r="C879" s="71" t="s">
        <v>44</v>
      </c>
      <c r="D879" s="88">
        <v>46199.820925925902</v>
      </c>
      <c r="E879" s="89">
        <v>46199</v>
      </c>
      <c r="F879" s="71" t="s">
        <v>1474</v>
      </c>
      <c r="G879" s="71">
        <f t="shared" si="26"/>
        <v>6</v>
      </c>
      <c r="H879" s="71">
        <f t="shared" si="27"/>
        <v>62</v>
      </c>
    </row>
    <row r="880" spans="1:8" x14ac:dyDescent="0.2">
      <c r="A880" s="71" t="s">
        <v>218</v>
      </c>
      <c r="B880" s="71" t="s">
        <v>219</v>
      </c>
      <c r="C880" s="71" t="s">
        <v>44</v>
      </c>
      <c r="D880" s="88">
        <v>46199.8227430556</v>
      </c>
      <c r="E880" s="89">
        <v>46199</v>
      </c>
      <c r="F880" s="71" t="s">
        <v>1461</v>
      </c>
      <c r="G880" s="71">
        <f t="shared" si="26"/>
        <v>6</v>
      </c>
      <c r="H880" s="71">
        <f t="shared" si="27"/>
        <v>26</v>
      </c>
    </row>
    <row r="881" spans="1:8" x14ac:dyDescent="0.2">
      <c r="A881" s="71" t="s">
        <v>218</v>
      </c>
      <c r="B881" s="71" t="s">
        <v>219</v>
      </c>
      <c r="C881" s="71" t="s">
        <v>44</v>
      </c>
      <c r="D881" s="88">
        <v>46199.823564814797</v>
      </c>
      <c r="E881" s="89">
        <v>46199</v>
      </c>
      <c r="F881" s="71" t="s">
        <v>1468</v>
      </c>
      <c r="G881" s="71">
        <f t="shared" si="26"/>
        <v>6</v>
      </c>
      <c r="H881" s="71">
        <f t="shared" si="27"/>
        <v>24</v>
      </c>
    </row>
    <row r="882" spans="1:8" x14ac:dyDescent="0.2">
      <c r="A882" s="71" t="s">
        <v>218</v>
      </c>
      <c r="B882" s="71" t="s">
        <v>219</v>
      </c>
      <c r="C882" s="71" t="s">
        <v>44</v>
      </c>
      <c r="D882" s="88">
        <v>46200.857048611098</v>
      </c>
      <c r="E882" s="89">
        <v>46200</v>
      </c>
      <c r="F882" s="71" t="s">
        <v>1461</v>
      </c>
      <c r="G882" s="71">
        <f t="shared" si="26"/>
        <v>6</v>
      </c>
      <c r="H882" s="71">
        <f t="shared" si="27"/>
        <v>26</v>
      </c>
    </row>
    <row r="883" spans="1:8" x14ac:dyDescent="0.2">
      <c r="A883" s="71" t="s">
        <v>218</v>
      </c>
      <c r="B883" s="71" t="s">
        <v>219</v>
      </c>
      <c r="C883" s="71" t="s">
        <v>44</v>
      </c>
      <c r="D883" s="88">
        <v>46200.857615740701</v>
      </c>
      <c r="E883" s="89">
        <v>46200</v>
      </c>
      <c r="F883" s="71" t="s">
        <v>1475</v>
      </c>
      <c r="G883" s="71">
        <f t="shared" si="26"/>
        <v>6</v>
      </c>
      <c r="H883" s="71">
        <f t="shared" si="27"/>
        <v>25</v>
      </c>
    </row>
    <row r="884" spans="1:8" x14ac:dyDescent="0.2">
      <c r="A884" s="71" t="s">
        <v>218</v>
      </c>
      <c r="B884" s="71" t="s">
        <v>219</v>
      </c>
      <c r="C884" s="71" t="s">
        <v>44</v>
      </c>
      <c r="D884" s="88">
        <v>46202.823645833298</v>
      </c>
      <c r="E884" s="89">
        <v>46202</v>
      </c>
      <c r="F884" s="71" t="s">
        <v>1461</v>
      </c>
      <c r="G884" s="71">
        <f t="shared" si="26"/>
        <v>6</v>
      </c>
      <c r="H884" s="71">
        <f t="shared" si="27"/>
        <v>26</v>
      </c>
    </row>
    <row r="885" spans="1:8" x14ac:dyDescent="0.2">
      <c r="A885" s="71" t="s">
        <v>218</v>
      </c>
      <c r="B885" s="71" t="s">
        <v>219</v>
      </c>
      <c r="C885" s="71" t="s">
        <v>44</v>
      </c>
      <c r="D885" s="88">
        <v>46204.911574074104</v>
      </c>
      <c r="E885" s="89">
        <v>46204</v>
      </c>
      <c r="F885" s="71" t="s">
        <v>1476</v>
      </c>
      <c r="G885" s="71">
        <f t="shared" si="26"/>
        <v>7</v>
      </c>
      <c r="H885" s="71">
        <f t="shared" si="27"/>
        <v>18</v>
      </c>
    </row>
    <row r="886" spans="1:8" x14ac:dyDescent="0.2">
      <c r="A886" s="71" t="s">
        <v>218</v>
      </c>
      <c r="B886" s="71" t="s">
        <v>219</v>
      </c>
      <c r="C886" s="71" t="s">
        <v>44</v>
      </c>
      <c r="D886" s="88">
        <v>46204.913634259297</v>
      </c>
      <c r="E886" s="89">
        <v>46204</v>
      </c>
      <c r="F886" s="71" t="s">
        <v>1468</v>
      </c>
      <c r="G886" s="71">
        <f t="shared" si="26"/>
        <v>7</v>
      </c>
      <c r="H886" s="71">
        <f t="shared" si="27"/>
        <v>24</v>
      </c>
    </row>
    <row r="887" spans="1:8" x14ac:dyDescent="0.2">
      <c r="A887" s="71" t="s">
        <v>218</v>
      </c>
      <c r="B887" s="71" t="s">
        <v>219</v>
      </c>
      <c r="C887" s="71" t="s">
        <v>44</v>
      </c>
      <c r="D887" s="88">
        <v>46204.915069444498</v>
      </c>
      <c r="E887" s="89">
        <v>46204</v>
      </c>
      <c r="F887" s="71" t="s">
        <v>1461</v>
      </c>
      <c r="G887" s="71">
        <f t="shared" si="26"/>
        <v>7</v>
      </c>
      <c r="H887" s="71">
        <f t="shared" si="27"/>
        <v>26</v>
      </c>
    </row>
    <row r="888" spans="1:8" x14ac:dyDescent="0.2">
      <c r="A888" s="71" t="s">
        <v>218</v>
      </c>
      <c r="B888" s="71" t="s">
        <v>219</v>
      </c>
      <c r="C888" s="71" t="s">
        <v>44</v>
      </c>
      <c r="D888" s="88">
        <v>46204.915844907402</v>
      </c>
      <c r="E888" s="89">
        <v>46204</v>
      </c>
      <c r="F888" s="71" t="s">
        <v>1477</v>
      </c>
      <c r="G888" s="71">
        <f t="shared" si="26"/>
        <v>7</v>
      </c>
      <c r="H888" s="71">
        <f t="shared" si="27"/>
        <v>34</v>
      </c>
    </row>
    <row r="889" spans="1:8" x14ac:dyDescent="0.2">
      <c r="A889" s="71" t="s">
        <v>218</v>
      </c>
      <c r="B889" s="71" t="s">
        <v>219</v>
      </c>
      <c r="C889" s="71" t="s">
        <v>44</v>
      </c>
      <c r="D889" s="88">
        <v>46205.908101851899</v>
      </c>
      <c r="E889" s="89">
        <v>46205</v>
      </c>
      <c r="F889" s="71" t="s">
        <v>1468</v>
      </c>
      <c r="G889" s="71">
        <f t="shared" si="26"/>
        <v>7</v>
      </c>
      <c r="H889" s="71">
        <f t="shared" si="27"/>
        <v>24</v>
      </c>
    </row>
    <row r="890" spans="1:8" x14ac:dyDescent="0.2">
      <c r="A890" s="71" t="s">
        <v>218</v>
      </c>
      <c r="B890" s="71" t="s">
        <v>219</v>
      </c>
      <c r="C890" s="71" t="s">
        <v>44</v>
      </c>
      <c r="D890" s="88">
        <v>46205.910023148201</v>
      </c>
      <c r="E890" s="89">
        <v>46205</v>
      </c>
      <c r="F890" s="71" t="s">
        <v>1461</v>
      </c>
      <c r="G890" s="71">
        <f t="shared" si="26"/>
        <v>7</v>
      </c>
      <c r="H890" s="71">
        <f t="shared" si="27"/>
        <v>26</v>
      </c>
    </row>
    <row r="891" spans="1:8" x14ac:dyDescent="0.2">
      <c r="A891" s="71" t="s">
        <v>218</v>
      </c>
      <c r="B891" s="71" t="s">
        <v>219</v>
      </c>
      <c r="C891" s="71" t="s">
        <v>44</v>
      </c>
      <c r="D891" s="88">
        <v>46206.948923611097</v>
      </c>
      <c r="E891" s="89">
        <v>46206</v>
      </c>
      <c r="F891" s="71" t="s">
        <v>1461</v>
      </c>
      <c r="G891" s="71">
        <f t="shared" si="26"/>
        <v>7</v>
      </c>
      <c r="H891" s="71">
        <f t="shared" si="27"/>
        <v>26</v>
      </c>
    </row>
    <row r="892" spans="1:8" x14ac:dyDescent="0.2">
      <c r="A892" s="71" t="s">
        <v>218</v>
      </c>
      <c r="B892" s="71" t="s">
        <v>219</v>
      </c>
      <c r="C892" s="71" t="s">
        <v>44</v>
      </c>
      <c r="D892" s="88">
        <v>46206.949398148201</v>
      </c>
      <c r="E892" s="89">
        <v>46206</v>
      </c>
      <c r="F892" s="71" t="s">
        <v>1478</v>
      </c>
      <c r="G892" s="71">
        <f t="shared" si="26"/>
        <v>7</v>
      </c>
      <c r="H892" s="71">
        <f t="shared" si="27"/>
        <v>31</v>
      </c>
    </row>
    <row r="893" spans="1:8" x14ac:dyDescent="0.2">
      <c r="A893" s="71" t="s">
        <v>218</v>
      </c>
      <c r="B893" s="71" t="s">
        <v>219</v>
      </c>
      <c r="C893" s="71" t="s">
        <v>44</v>
      </c>
      <c r="D893" s="88">
        <v>46207.965219907397</v>
      </c>
      <c r="E893" s="89">
        <v>46207</v>
      </c>
      <c r="F893" s="71" t="s">
        <v>1461</v>
      </c>
      <c r="G893" s="71">
        <f t="shared" si="26"/>
        <v>7</v>
      </c>
      <c r="H893" s="71">
        <f t="shared" si="27"/>
        <v>26</v>
      </c>
    </row>
    <row r="894" spans="1:8" x14ac:dyDescent="0.2">
      <c r="A894" s="71" t="s">
        <v>218</v>
      </c>
      <c r="B894" s="71" t="s">
        <v>219</v>
      </c>
      <c r="C894" s="71" t="s">
        <v>44</v>
      </c>
      <c r="D894" s="88">
        <v>46207.965729166703</v>
      </c>
      <c r="E894" s="89">
        <v>46207</v>
      </c>
      <c r="F894" s="71" t="s">
        <v>1478</v>
      </c>
      <c r="G894" s="71">
        <f t="shared" si="26"/>
        <v>7</v>
      </c>
      <c r="H894" s="71">
        <f t="shared" si="27"/>
        <v>31</v>
      </c>
    </row>
    <row r="895" spans="1:8" x14ac:dyDescent="0.2">
      <c r="A895" s="71" t="s">
        <v>218</v>
      </c>
      <c r="B895" s="71" t="s">
        <v>219</v>
      </c>
      <c r="C895" s="71" t="s">
        <v>44</v>
      </c>
      <c r="D895" s="88">
        <v>46210.886493055601</v>
      </c>
      <c r="E895" s="89">
        <v>46210</v>
      </c>
      <c r="F895" s="71" t="s">
        <v>1461</v>
      </c>
      <c r="G895" s="71">
        <f t="shared" si="26"/>
        <v>7</v>
      </c>
      <c r="H895" s="71">
        <f t="shared" si="27"/>
        <v>26</v>
      </c>
    </row>
    <row r="896" spans="1:8" x14ac:dyDescent="0.2">
      <c r="A896" s="71" t="s">
        <v>218</v>
      </c>
      <c r="B896" s="71" t="s">
        <v>219</v>
      </c>
      <c r="C896" s="71" t="s">
        <v>44</v>
      </c>
      <c r="D896" s="88">
        <v>46211.882465277798</v>
      </c>
      <c r="E896" s="89">
        <v>46211</v>
      </c>
      <c r="F896" s="71" t="s">
        <v>1461</v>
      </c>
      <c r="G896" s="71">
        <f t="shared" si="26"/>
        <v>7</v>
      </c>
      <c r="H896" s="71">
        <f t="shared" si="27"/>
        <v>26</v>
      </c>
    </row>
    <row r="897" spans="1:8" x14ac:dyDescent="0.2">
      <c r="A897" s="71" t="s">
        <v>218</v>
      </c>
      <c r="B897" s="71" t="s">
        <v>219</v>
      </c>
      <c r="C897" s="71" t="s">
        <v>44</v>
      </c>
      <c r="D897" s="88">
        <v>46212.880439814799</v>
      </c>
      <c r="E897" s="89">
        <v>46212</v>
      </c>
      <c r="F897" s="71" t="s">
        <v>1461</v>
      </c>
      <c r="G897" s="71">
        <f t="shared" si="26"/>
        <v>7</v>
      </c>
      <c r="H897" s="71">
        <f t="shared" si="27"/>
        <v>26</v>
      </c>
    </row>
    <row r="898" spans="1:8" x14ac:dyDescent="0.2">
      <c r="A898" s="71" t="s">
        <v>218</v>
      </c>
      <c r="B898" s="71" t="s">
        <v>219</v>
      </c>
      <c r="C898" s="71" t="s">
        <v>44</v>
      </c>
      <c r="D898" s="88">
        <v>46213.898993055598</v>
      </c>
      <c r="E898" s="89">
        <v>46213</v>
      </c>
      <c r="F898" s="71" t="s">
        <v>1479</v>
      </c>
      <c r="G898" s="71">
        <f t="shared" ref="G898:G961" si="28">MONTH(E898)</f>
        <v>7</v>
      </c>
      <c r="H898" s="71">
        <f t="shared" ref="H898:H961" si="29">LEN(F898)</f>
        <v>51</v>
      </c>
    </row>
    <row r="899" spans="1:8" x14ac:dyDescent="0.2">
      <c r="A899" s="71" t="s">
        <v>218</v>
      </c>
      <c r="B899" s="71" t="s">
        <v>219</v>
      </c>
      <c r="C899" s="71" t="s">
        <v>44</v>
      </c>
      <c r="D899" s="88">
        <v>46213.901655092603</v>
      </c>
      <c r="E899" s="89">
        <v>46213</v>
      </c>
      <c r="F899" s="71" t="s">
        <v>1461</v>
      </c>
      <c r="G899" s="71">
        <f t="shared" si="28"/>
        <v>7</v>
      </c>
      <c r="H899" s="71">
        <f t="shared" si="29"/>
        <v>26</v>
      </c>
    </row>
    <row r="900" spans="1:8" x14ac:dyDescent="0.2">
      <c r="A900" s="71" t="s">
        <v>218</v>
      </c>
      <c r="B900" s="71" t="s">
        <v>219</v>
      </c>
      <c r="C900" s="71" t="s">
        <v>44</v>
      </c>
      <c r="D900" s="88">
        <v>46214.886145833298</v>
      </c>
      <c r="E900" s="89">
        <v>46214</v>
      </c>
      <c r="F900" s="71" t="s">
        <v>1461</v>
      </c>
      <c r="G900" s="71">
        <f t="shared" si="28"/>
        <v>7</v>
      </c>
      <c r="H900" s="71">
        <f t="shared" si="29"/>
        <v>26</v>
      </c>
    </row>
    <row r="901" spans="1:8" x14ac:dyDescent="0.2">
      <c r="A901" s="71" t="s">
        <v>218</v>
      </c>
      <c r="B901" s="71" t="s">
        <v>219</v>
      </c>
      <c r="C901" s="71" t="s">
        <v>44</v>
      </c>
      <c r="D901" s="88">
        <v>46214.886851851901</v>
      </c>
      <c r="E901" s="89">
        <v>46214</v>
      </c>
      <c r="F901" s="71" t="s">
        <v>1480</v>
      </c>
      <c r="G901" s="71">
        <f t="shared" si="28"/>
        <v>7</v>
      </c>
      <c r="H901" s="71">
        <f t="shared" si="29"/>
        <v>21</v>
      </c>
    </row>
    <row r="902" spans="1:8" x14ac:dyDescent="0.2">
      <c r="A902" s="71" t="s">
        <v>218</v>
      </c>
      <c r="B902" s="71" t="s">
        <v>219</v>
      </c>
      <c r="C902" s="71" t="s">
        <v>44</v>
      </c>
      <c r="D902" s="88">
        <v>46216.830717592602</v>
      </c>
      <c r="E902" s="89">
        <v>46216</v>
      </c>
      <c r="F902" s="71" t="s">
        <v>1481</v>
      </c>
      <c r="G902" s="71">
        <f t="shared" si="28"/>
        <v>7</v>
      </c>
      <c r="H902" s="71">
        <f t="shared" si="29"/>
        <v>10</v>
      </c>
    </row>
    <row r="903" spans="1:8" x14ac:dyDescent="0.2">
      <c r="A903" s="71" t="s">
        <v>218</v>
      </c>
      <c r="B903" s="71" t="s">
        <v>219</v>
      </c>
      <c r="C903" s="71" t="s">
        <v>44</v>
      </c>
      <c r="D903" s="88">
        <v>46216.831481481502</v>
      </c>
      <c r="E903" s="89">
        <v>46216</v>
      </c>
      <c r="F903" s="71" t="s">
        <v>1482</v>
      </c>
      <c r="G903" s="71">
        <f t="shared" si="28"/>
        <v>7</v>
      </c>
      <c r="H903" s="71">
        <f t="shared" si="29"/>
        <v>44</v>
      </c>
    </row>
    <row r="904" spans="1:8" x14ac:dyDescent="0.2">
      <c r="A904" s="71" t="s">
        <v>218</v>
      </c>
      <c r="B904" s="71" t="s">
        <v>219</v>
      </c>
      <c r="C904" s="71" t="s">
        <v>44</v>
      </c>
      <c r="D904" s="88">
        <v>46216.832696759302</v>
      </c>
      <c r="E904" s="89">
        <v>46216</v>
      </c>
      <c r="F904" s="71" t="s">
        <v>1461</v>
      </c>
      <c r="G904" s="71">
        <f t="shared" si="28"/>
        <v>7</v>
      </c>
      <c r="H904" s="71">
        <f t="shared" si="29"/>
        <v>26</v>
      </c>
    </row>
    <row r="905" spans="1:8" x14ac:dyDescent="0.2">
      <c r="A905" s="71" t="s">
        <v>218</v>
      </c>
      <c r="B905" s="71" t="s">
        <v>219</v>
      </c>
      <c r="C905" s="71" t="s">
        <v>44</v>
      </c>
      <c r="D905" s="88">
        <v>46217.674224536997</v>
      </c>
      <c r="E905" s="89">
        <v>46217</v>
      </c>
      <c r="F905" s="71" t="s">
        <v>1483</v>
      </c>
      <c r="G905" s="71">
        <f t="shared" si="28"/>
        <v>7</v>
      </c>
      <c r="H905" s="71">
        <f t="shared" si="29"/>
        <v>46</v>
      </c>
    </row>
    <row r="906" spans="1:8" x14ac:dyDescent="0.2">
      <c r="A906" s="71" t="s">
        <v>218</v>
      </c>
      <c r="B906" s="71" t="s">
        <v>219</v>
      </c>
      <c r="C906" s="71" t="s">
        <v>44</v>
      </c>
      <c r="D906" s="88">
        <v>46217.674629629597</v>
      </c>
      <c r="E906" s="89">
        <v>46217</v>
      </c>
      <c r="F906" s="71" t="s">
        <v>1484</v>
      </c>
      <c r="G906" s="71">
        <f t="shared" si="28"/>
        <v>7</v>
      </c>
      <c r="H906" s="71">
        <f t="shared" si="29"/>
        <v>21</v>
      </c>
    </row>
    <row r="907" spans="1:8" x14ac:dyDescent="0.2">
      <c r="A907" s="71" t="s">
        <v>218</v>
      </c>
      <c r="B907" s="71" t="s">
        <v>219</v>
      </c>
      <c r="C907" s="71" t="s">
        <v>44</v>
      </c>
      <c r="D907" s="88">
        <v>46217.675578703696</v>
      </c>
      <c r="E907" s="89">
        <v>46217</v>
      </c>
      <c r="F907" s="71" t="s">
        <v>1461</v>
      </c>
      <c r="G907" s="71">
        <f t="shared" si="28"/>
        <v>7</v>
      </c>
      <c r="H907" s="71">
        <f t="shared" si="29"/>
        <v>26</v>
      </c>
    </row>
    <row r="908" spans="1:8" x14ac:dyDescent="0.2">
      <c r="A908" s="71" t="s">
        <v>218</v>
      </c>
      <c r="B908" s="71" t="s">
        <v>219</v>
      </c>
      <c r="C908" s="71" t="s">
        <v>44</v>
      </c>
      <c r="D908" s="88">
        <v>46218.949699074103</v>
      </c>
      <c r="E908" s="89">
        <v>46218</v>
      </c>
      <c r="F908" s="71" t="s">
        <v>1484</v>
      </c>
      <c r="G908" s="71">
        <f t="shared" si="28"/>
        <v>7</v>
      </c>
      <c r="H908" s="71">
        <f t="shared" si="29"/>
        <v>21</v>
      </c>
    </row>
    <row r="909" spans="1:8" x14ac:dyDescent="0.2">
      <c r="A909" s="71" t="s">
        <v>218</v>
      </c>
      <c r="B909" s="71" t="s">
        <v>219</v>
      </c>
      <c r="C909" s="71" t="s">
        <v>44</v>
      </c>
      <c r="D909" s="88">
        <v>46218.950995370396</v>
      </c>
      <c r="E909" s="89">
        <v>46218</v>
      </c>
      <c r="F909" s="71" t="s">
        <v>1461</v>
      </c>
      <c r="G909" s="71">
        <f t="shared" si="28"/>
        <v>7</v>
      </c>
      <c r="H909" s="71">
        <f t="shared" si="29"/>
        <v>26</v>
      </c>
    </row>
    <row r="910" spans="1:8" x14ac:dyDescent="0.2">
      <c r="A910" s="71" t="s">
        <v>218</v>
      </c>
      <c r="B910" s="71" t="s">
        <v>219</v>
      </c>
      <c r="C910" s="71" t="s">
        <v>44</v>
      </c>
      <c r="D910" s="88">
        <v>46219.872465277796</v>
      </c>
      <c r="E910" s="89">
        <v>46219</v>
      </c>
      <c r="F910" s="71" t="s">
        <v>1461</v>
      </c>
      <c r="G910" s="71">
        <f t="shared" si="28"/>
        <v>7</v>
      </c>
      <c r="H910" s="71">
        <f t="shared" si="29"/>
        <v>26</v>
      </c>
    </row>
    <row r="911" spans="1:8" x14ac:dyDescent="0.2">
      <c r="A911" s="71" t="s">
        <v>218</v>
      </c>
      <c r="B911" s="71" t="s">
        <v>219</v>
      </c>
      <c r="C911" s="71" t="s">
        <v>44</v>
      </c>
      <c r="D911" s="88">
        <v>46220.932592592602</v>
      </c>
      <c r="E911" s="89">
        <v>46220</v>
      </c>
      <c r="F911" s="71" t="s">
        <v>1484</v>
      </c>
      <c r="G911" s="71">
        <f t="shared" si="28"/>
        <v>7</v>
      </c>
      <c r="H911" s="71">
        <f t="shared" si="29"/>
        <v>21</v>
      </c>
    </row>
    <row r="912" spans="1:8" x14ac:dyDescent="0.2">
      <c r="A912" s="71" t="s">
        <v>218</v>
      </c>
      <c r="B912" s="71" t="s">
        <v>219</v>
      </c>
      <c r="C912" s="71" t="s">
        <v>44</v>
      </c>
      <c r="D912" s="88">
        <v>46220.934432870403</v>
      </c>
      <c r="E912" s="89">
        <v>46220</v>
      </c>
      <c r="F912" s="71" t="s">
        <v>1461</v>
      </c>
      <c r="G912" s="71">
        <f t="shared" si="28"/>
        <v>7</v>
      </c>
      <c r="H912" s="71">
        <f t="shared" si="29"/>
        <v>26</v>
      </c>
    </row>
    <row r="913" spans="1:8" x14ac:dyDescent="0.2">
      <c r="A913" s="71" t="s">
        <v>218</v>
      </c>
      <c r="B913" s="71" t="s">
        <v>219</v>
      </c>
      <c r="C913" s="71" t="s">
        <v>44</v>
      </c>
      <c r="D913" s="88">
        <v>46221.955023148199</v>
      </c>
      <c r="E913" s="89">
        <v>46221</v>
      </c>
      <c r="F913" s="71" t="s">
        <v>1461</v>
      </c>
      <c r="G913" s="71">
        <f t="shared" si="28"/>
        <v>7</v>
      </c>
      <c r="H913" s="71">
        <f t="shared" si="29"/>
        <v>26</v>
      </c>
    </row>
    <row r="914" spans="1:8" x14ac:dyDescent="0.2">
      <c r="A914" s="71" t="s">
        <v>218</v>
      </c>
      <c r="B914" s="71" t="s">
        <v>219</v>
      </c>
      <c r="C914" s="71" t="s">
        <v>44</v>
      </c>
      <c r="D914" s="88">
        <v>46223.877442129597</v>
      </c>
      <c r="E914" s="89">
        <v>46223</v>
      </c>
      <c r="F914" s="71" t="s">
        <v>1485</v>
      </c>
      <c r="G914" s="71">
        <f t="shared" si="28"/>
        <v>7</v>
      </c>
      <c r="H914" s="71">
        <f t="shared" si="29"/>
        <v>46</v>
      </c>
    </row>
    <row r="915" spans="1:8" x14ac:dyDescent="0.2">
      <c r="A915" s="71" t="s">
        <v>218</v>
      </c>
      <c r="B915" s="71" t="s">
        <v>219</v>
      </c>
      <c r="C915" s="71" t="s">
        <v>44</v>
      </c>
      <c r="D915" s="88">
        <v>46223.8784606482</v>
      </c>
      <c r="E915" s="89">
        <v>46223</v>
      </c>
      <c r="F915" s="71" t="s">
        <v>1461</v>
      </c>
      <c r="G915" s="71">
        <f t="shared" si="28"/>
        <v>7</v>
      </c>
      <c r="H915" s="71">
        <f t="shared" si="29"/>
        <v>26</v>
      </c>
    </row>
    <row r="916" spans="1:8" x14ac:dyDescent="0.2">
      <c r="A916" s="71" t="s">
        <v>218</v>
      </c>
      <c r="B916" s="71" t="s">
        <v>219</v>
      </c>
      <c r="C916" s="71" t="s">
        <v>44</v>
      </c>
      <c r="D916" s="88">
        <v>46224.880162037</v>
      </c>
      <c r="E916" s="89">
        <v>46224</v>
      </c>
      <c r="F916" s="71" t="s">
        <v>1486</v>
      </c>
      <c r="G916" s="71">
        <f t="shared" si="28"/>
        <v>7</v>
      </c>
      <c r="H916" s="71">
        <f t="shared" si="29"/>
        <v>55</v>
      </c>
    </row>
    <row r="917" spans="1:8" x14ac:dyDescent="0.2">
      <c r="A917" s="71" t="s">
        <v>218</v>
      </c>
      <c r="B917" s="71" t="s">
        <v>219</v>
      </c>
      <c r="C917" s="71" t="s">
        <v>44</v>
      </c>
      <c r="D917" s="88">
        <v>46224.881180555603</v>
      </c>
      <c r="E917" s="89">
        <v>46224</v>
      </c>
      <c r="F917" s="71" t="s">
        <v>1461</v>
      </c>
      <c r="G917" s="71">
        <f t="shared" si="28"/>
        <v>7</v>
      </c>
      <c r="H917" s="71">
        <f t="shared" si="29"/>
        <v>26</v>
      </c>
    </row>
    <row r="918" spans="1:8" x14ac:dyDescent="0.2">
      <c r="A918" s="71" t="s">
        <v>218</v>
      </c>
      <c r="B918" s="71" t="s">
        <v>219</v>
      </c>
      <c r="C918" s="71" t="s">
        <v>44</v>
      </c>
      <c r="D918" s="88">
        <v>46225.781238425901</v>
      </c>
      <c r="E918" s="89">
        <v>46225</v>
      </c>
      <c r="F918" s="71" t="s">
        <v>1487</v>
      </c>
      <c r="G918" s="71">
        <f t="shared" si="28"/>
        <v>7</v>
      </c>
      <c r="H918" s="71">
        <f t="shared" si="29"/>
        <v>28</v>
      </c>
    </row>
    <row r="919" spans="1:8" x14ac:dyDescent="0.2">
      <c r="A919" s="71" t="s">
        <v>218</v>
      </c>
      <c r="B919" s="71" t="s">
        <v>219</v>
      </c>
      <c r="C919" s="71" t="s">
        <v>44</v>
      </c>
      <c r="D919" s="88">
        <v>46225.782673611102</v>
      </c>
      <c r="E919" s="89">
        <v>46225</v>
      </c>
      <c r="F919" s="71" t="s">
        <v>1488</v>
      </c>
      <c r="G919" s="71">
        <f t="shared" si="28"/>
        <v>7</v>
      </c>
      <c r="H919" s="71">
        <f t="shared" si="29"/>
        <v>27</v>
      </c>
    </row>
    <row r="920" spans="1:8" x14ac:dyDescent="0.2">
      <c r="A920" s="71" t="s">
        <v>218</v>
      </c>
      <c r="B920" s="71" t="s">
        <v>219</v>
      </c>
      <c r="C920" s="71" t="s">
        <v>44</v>
      </c>
      <c r="D920" s="88">
        <v>46225.784027777801</v>
      </c>
      <c r="E920" s="89">
        <v>46225</v>
      </c>
      <c r="F920" s="71" t="s">
        <v>1461</v>
      </c>
      <c r="G920" s="71">
        <f t="shared" si="28"/>
        <v>7</v>
      </c>
      <c r="H920" s="71">
        <f t="shared" si="29"/>
        <v>26</v>
      </c>
    </row>
    <row r="921" spans="1:8" x14ac:dyDescent="0.2">
      <c r="A921" s="71" t="s">
        <v>218</v>
      </c>
      <c r="B921" s="71" t="s">
        <v>219</v>
      </c>
      <c r="C921" s="71" t="s">
        <v>44</v>
      </c>
      <c r="D921" s="88">
        <v>46226.8461805556</v>
      </c>
      <c r="E921" s="89">
        <v>46226</v>
      </c>
      <c r="F921" s="71" t="s">
        <v>1489</v>
      </c>
      <c r="G921" s="71">
        <f t="shared" si="28"/>
        <v>7</v>
      </c>
      <c r="H921" s="71">
        <f t="shared" si="29"/>
        <v>36</v>
      </c>
    </row>
    <row r="922" spans="1:8" x14ac:dyDescent="0.2">
      <c r="A922" s="71" t="s">
        <v>218</v>
      </c>
      <c r="B922" s="71" t="s">
        <v>219</v>
      </c>
      <c r="C922" s="71" t="s">
        <v>44</v>
      </c>
      <c r="D922" s="88">
        <v>46226.846608796302</v>
      </c>
      <c r="E922" s="89">
        <v>46226</v>
      </c>
      <c r="F922" s="71" t="s">
        <v>1463</v>
      </c>
      <c r="G922" s="71">
        <f t="shared" si="28"/>
        <v>7</v>
      </c>
      <c r="H922" s="71">
        <f t="shared" si="29"/>
        <v>21</v>
      </c>
    </row>
    <row r="923" spans="1:8" x14ac:dyDescent="0.2">
      <c r="A923" s="71" t="s">
        <v>218</v>
      </c>
      <c r="B923" s="71" t="s">
        <v>219</v>
      </c>
      <c r="C923" s="71" t="s">
        <v>44</v>
      </c>
      <c r="D923" s="88">
        <v>46226.848310185203</v>
      </c>
      <c r="E923" s="89">
        <v>46226</v>
      </c>
      <c r="F923" s="71" t="s">
        <v>1461</v>
      </c>
      <c r="G923" s="71">
        <f t="shared" si="28"/>
        <v>7</v>
      </c>
      <c r="H923" s="71">
        <f t="shared" si="29"/>
        <v>26</v>
      </c>
    </row>
    <row r="924" spans="1:8" x14ac:dyDescent="0.2">
      <c r="A924" s="71" t="s">
        <v>218</v>
      </c>
      <c r="B924" s="71" t="s">
        <v>219</v>
      </c>
      <c r="C924" s="71" t="s">
        <v>44</v>
      </c>
      <c r="D924" s="88">
        <v>46227.860069444498</v>
      </c>
      <c r="E924" s="89">
        <v>46227</v>
      </c>
      <c r="F924" s="71" t="s">
        <v>1463</v>
      </c>
      <c r="G924" s="71">
        <f t="shared" si="28"/>
        <v>7</v>
      </c>
      <c r="H924" s="71">
        <f t="shared" si="29"/>
        <v>21</v>
      </c>
    </row>
    <row r="925" spans="1:8" x14ac:dyDescent="0.2">
      <c r="A925" s="71" t="s">
        <v>218</v>
      </c>
      <c r="B925" s="71" t="s">
        <v>219</v>
      </c>
      <c r="C925" s="71" t="s">
        <v>44</v>
      </c>
      <c r="D925" s="88">
        <v>46227.8609027778</v>
      </c>
      <c r="E925" s="89">
        <v>46227</v>
      </c>
      <c r="F925" s="71" t="s">
        <v>1461</v>
      </c>
      <c r="G925" s="71">
        <f t="shared" si="28"/>
        <v>7</v>
      </c>
      <c r="H925" s="71">
        <f t="shared" si="29"/>
        <v>26</v>
      </c>
    </row>
    <row r="926" spans="1:8" x14ac:dyDescent="0.2">
      <c r="A926" s="71" t="s">
        <v>218</v>
      </c>
      <c r="B926" s="71" t="s">
        <v>219</v>
      </c>
      <c r="C926" s="71" t="s">
        <v>44</v>
      </c>
      <c r="D926" s="88">
        <v>46230.879733796297</v>
      </c>
      <c r="E926" s="89">
        <v>46230</v>
      </c>
      <c r="F926" s="71" t="s">
        <v>1490</v>
      </c>
      <c r="G926" s="71">
        <f t="shared" si="28"/>
        <v>7</v>
      </c>
      <c r="H926" s="71">
        <f t="shared" si="29"/>
        <v>21</v>
      </c>
    </row>
    <row r="927" spans="1:8" x14ac:dyDescent="0.2">
      <c r="A927" s="71" t="s">
        <v>218</v>
      </c>
      <c r="B927" s="71" t="s">
        <v>219</v>
      </c>
      <c r="C927" s="71" t="s">
        <v>44</v>
      </c>
      <c r="D927" s="88">
        <v>46230.916562500002</v>
      </c>
      <c r="E927" s="89">
        <v>46230</v>
      </c>
      <c r="F927" s="71" t="s">
        <v>1491</v>
      </c>
      <c r="G927" s="71">
        <f t="shared" si="28"/>
        <v>7</v>
      </c>
      <c r="H927" s="71">
        <f t="shared" si="29"/>
        <v>29</v>
      </c>
    </row>
    <row r="928" spans="1:8" x14ac:dyDescent="0.2">
      <c r="A928" s="71" t="s">
        <v>218</v>
      </c>
      <c r="B928" s="71" t="s">
        <v>219</v>
      </c>
      <c r="C928" s="71" t="s">
        <v>44</v>
      </c>
      <c r="D928" s="88">
        <v>46230.917627314797</v>
      </c>
      <c r="E928" s="89">
        <v>46230</v>
      </c>
      <c r="F928" s="71" t="s">
        <v>1461</v>
      </c>
      <c r="G928" s="71">
        <f t="shared" si="28"/>
        <v>7</v>
      </c>
      <c r="H928" s="71">
        <f t="shared" si="29"/>
        <v>26</v>
      </c>
    </row>
    <row r="929" spans="1:8" x14ac:dyDescent="0.2">
      <c r="A929" s="71" t="s">
        <v>218</v>
      </c>
      <c r="B929" s="71" t="s">
        <v>219</v>
      </c>
      <c r="C929" s="71" t="s">
        <v>44</v>
      </c>
      <c r="D929" s="88">
        <v>46231.873298611099</v>
      </c>
      <c r="E929" s="89">
        <v>46231</v>
      </c>
      <c r="F929" s="71" t="s">
        <v>1492</v>
      </c>
      <c r="G929" s="71">
        <f t="shared" si="28"/>
        <v>7</v>
      </c>
      <c r="H929" s="71">
        <f t="shared" si="29"/>
        <v>35</v>
      </c>
    </row>
    <row r="930" spans="1:8" x14ac:dyDescent="0.2">
      <c r="A930" s="71" t="s">
        <v>218</v>
      </c>
      <c r="B930" s="71" t="s">
        <v>219</v>
      </c>
      <c r="C930" s="71" t="s">
        <v>44</v>
      </c>
      <c r="D930" s="88">
        <v>46231.8751388889</v>
      </c>
      <c r="E930" s="89">
        <v>46231</v>
      </c>
      <c r="F930" s="71" t="s">
        <v>1463</v>
      </c>
      <c r="G930" s="71">
        <f t="shared" si="28"/>
        <v>7</v>
      </c>
      <c r="H930" s="71">
        <f t="shared" si="29"/>
        <v>21</v>
      </c>
    </row>
    <row r="931" spans="1:8" x14ac:dyDescent="0.2">
      <c r="A931" s="71" t="s">
        <v>218</v>
      </c>
      <c r="B931" s="71" t="s">
        <v>219</v>
      </c>
      <c r="C931" s="71" t="s">
        <v>44</v>
      </c>
      <c r="D931" s="88">
        <v>46231.878993055601</v>
      </c>
      <c r="E931" s="89">
        <v>46231</v>
      </c>
      <c r="F931" s="71" t="s">
        <v>1493</v>
      </c>
      <c r="G931" s="71">
        <f t="shared" si="28"/>
        <v>7</v>
      </c>
      <c r="H931" s="71">
        <f t="shared" si="29"/>
        <v>44</v>
      </c>
    </row>
    <row r="932" spans="1:8" x14ac:dyDescent="0.2">
      <c r="A932" s="71" t="s">
        <v>218</v>
      </c>
      <c r="B932" s="71" t="s">
        <v>219</v>
      </c>
      <c r="C932" s="71" t="s">
        <v>44</v>
      </c>
      <c r="D932" s="88">
        <v>46231.885937500003</v>
      </c>
      <c r="E932" s="89">
        <v>46231</v>
      </c>
      <c r="F932" s="71" t="s">
        <v>1461</v>
      </c>
      <c r="G932" s="71">
        <f t="shared" si="28"/>
        <v>7</v>
      </c>
      <c r="H932" s="71">
        <f t="shared" si="29"/>
        <v>26</v>
      </c>
    </row>
    <row r="933" spans="1:8" x14ac:dyDescent="0.2">
      <c r="A933" s="71" t="s">
        <v>218</v>
      </c>
      <c r="B933" s="71" t="s">
        <v>219</v>
      </c>
      <c r="C933" s="71" t="s">
        <v>44</v>
      </c>
      <c r="D933" s="88">
        <v>46232.886805555601</v>
      </c>
      <c r="E933" s="89">
        <v>46232</v>
      </c>
      <c r="F933" s="71" t="s">
        <v>1463</v>
      </c>
      <c r="G933" s="71">
        <f t="shared" si="28"/>
        <v>7</v>
      </c>
      <c r="H933" s="71">
        <f t="shared" si="29"/>
        <v>21</v>
      </c>
    </row>
    <row r="934" spans="1:8" x14ac:dyDescent="0.2">
      <c r="A934" s="71" t="s">
        <v>218</v>
      </c>
      <c r="B934" s="71" t="s">
        <v>219</v>
      </c>
      <c r="C934" s="71" t="s">
        <v>44</v>
      </c>
      <c r="D934" s="88">
        <v>46232.887476851902</v>
      </c>
      <c r="E934" s="89">
        <v>46232</v>
      </c>
      <c r="F934" s="71" t="s">
        <v>1461</v>
      </c>
      <c r="G934" s="71">
        <f t="shared" si="28"/>
        <v>7</v>
      </c>
      <c r="H934" s="71">
        <f t="shared" si="29"/>
        <v>26</v>
      </c>
    </row>
    <row r="935" spans="1:8" x14ac:dyDescent="0.2">
      <c r="A935" s="71" t="s">
        <v>218</v>
      </c>
      <c r="B935" s="71" t="s">
        <v>219</v>
      </c>
      <c r="C935" s="71" t="s">
        <v>44</v>
      </c>
      <c r="D935" s="88">
        <v>46233.903923611098</v>
      </c>
      <c r="E935" s="89">
        <v>46233</v>
      </c>
      <c r="F935" s="71" t="s">
        <v>1461</v>
      </c>
      <c r="G935" s="71">
        <f t="shared" si="28"/>
        <v>7</v>
      </c>
      <c r="H935" s="71">
        <f t="shared" si="29"/>
        <v>26</v>
      </c>
    </row>
    <row r="936" spans="1:8" x14ac:dyDescent="0.2">
      <c r="A936" s="71" t="s">
        <v>218</v>
      </c>
      <c r="B936" s="71" t="s">
        <v>219</v>
      </c>
      <c r="C936" s="71" t="s">
        <v>44</v>
      </c>
      <c r="D936" s="88">
        <v>46233.929456018501</v>
      </c>
      <c r="E936" s="89">
        <v>46233</v>
      </c>
      <c r="F936" s="71" t="s">
        <v>1494</v>
      </c>
      <c r="G936" s="71">
        <f t="shared" si="28"/>
        <v>7</v>
      </c>
      <c r="H936" s="71">
        <f t="shared" si="29"/>
        <v>14</v>
      </c>
    </row>
    <row r="937" spans="1:8" x14ac:dyDescent="0.2">
      <c r="A937" s="71" t="s">
        <v>218</v>
      </c>
      <c r="B937" s="71" t="s">
        <v>219</v>
      </c>
      <c r="C937" s="71" t="s">
        <v>44</v>
      </c>
      <c r="D937" s="88">
        <v>46234.885659722197</v>
      </c>
      <c r="E937" s="89">
        <v>46234</v>
      </c>
      <c r="F937" s="71" t="s">
        <v>1461</v>
      </c>
      <c r="G937" s="71">
        <f t="shared" si="28"/>
        <v>7</v>
      </c>
      <c r="H937" s="71">
        <f t="shared" si="29"/>
        <v>26</v>
      </c>
    </row>
    <row r="938" spans="1:8" x14ac:dyDescent="0.2">
      <c r="A938" s="71" t="s">
        <v>218</v>
      </c>
      <c r="B938" s="71" t="s">
        <v>219</v>
      </c>
      <c r="C938" s="71" t="s">
        <v>44</v>
      </c>
      <c r="D938" s="88">
        <v>46235.699398148201</v>
      </c>
      <c r="E938" s="89">
        <v>46235</v>
      </c>
      <c r="F938" s="71" t="s">
        <v>1495</v>
      </c>
      <c r="G938" s="71">
        <f t="shared" si="28"/>
        <v>8</v>
      </c>
      <c r="H938" s="71">
        <f t="shared" si="29"/>
        <v>46</v>
      </c>
    </row>
    <row r="939" spans="1:8" x14ac:dyDescent="0.2">
      <c r="A939" s="71" t="s">
        <v>218</v>
      </c>
      <c r="B939" s="71" t="s">
        <v>219</v>
      </c>
      <c r="C939" s="71" t="s">
        <v>44</v>
      </c>
      <c r="D939" s="88">
        <v>46235.700636574104</v>
      </c>
      <c r="E939" s="89">
        <v>46235</v>
      </c>
      <c r="F939" s="71" t="s">
        <v>1461</v>
      </c>
      <c r="G939" s="71">
        <f t="shared" si="28"/>
        <v>8</v>
      </c>
      <c r="H939" s="71">
        <f t="shared" si="29"/>
        <v>26</v>
      </c>
    </row>
    <row r="940" spans="1:8" x14ac:dyDescent="0.2">
      <c r="A940" s="71" t="s">
        <v>218</v>
      </c>
      <c r="B940" s="71" t="s">
        <v>219</v>
      </c>
      <c r="C940" s="71" t="s">
        <v>44</v>
      </c>
      <c r="D940" s="88">
        <v>46237.853703703702</v>
      </c>
      <c r="E940" s="89">
        <v>46237</v>
      </c>
      <c r="F940" s="71" t="s">
        <v>1461</v>
      </c>
      <c r="G940" s="71">
        <f t="shared" si="28"/>
        <v>8</v>
      </c>
      <c r="H940" s="71">
        <f t="shared" si="29"/>
        <v>26</v>
      </c>
    </row>
    <row r="941" spans="1:8" x14ac:dyDescent="0.2">
      <c r="A941" s="71" t="s">
        <v>218</v>
      </c>
      <c r="B941" s="71" t="s">
        <v>219</v>
      </c>
      <c r="C941" s="71" t="s">
        <v>44</v>
      </c>
      <c r="D941" s="88">
        <v>46238.944398148204</v>
      </c>
      <c r="E941" s="89">
        <v>46238</v>
      </c>
      <c r="F941" s="71" t="s">
        <v>1461</v>
      </c>
      <c r="G941" s="71">
        <f t="shared" si="28"/>
        <v>8</v>
      </c>
      <c r="H941" s="71">
        <f t="shared" si="29"/>
        <v>26</v>
      </c>
    </row>
    <row r="942" spans="1:8" x14ac:dyDescent="0.2">
      <c r="A942" s="71" t="s">
        <v>218</v>
      </c>
      <c r="B942" s="71" t="s">
        <v>219</v>
      </c>
      <c r="C942" s="71" t="s">
        <v>44</v>
      </c>
      <c r="D942" s="88">
        <v>46239.919108796297</v>
      </c>
      <c r="E942" s="89">
        <v>46239</v>
      </c>
      <c r="F942" s="71" t="s">
        <v>1461</v>
      </c>
      <c r="G942" s="71">
        <f t="shared" si="28"/>
        <v>8</v>
      </c>
      <c r="H942" s="71">
        <f t="shared" si="29"/>
        <v>26</v>
      </c>
    </row>
    <row r="943" spans="1:8" x14ac:dyDescent="0.2">
      <c r="A943" s="71" t="s">
        <v>218</v>
      </c>
      <c r="B943" s="71" t="s">
        <v>219</v>
      </c>
      <c r="C943" s="71" t="s">
        <v>44</v>
      </c>
      <c r="D943" s="88">
        <v>46241.887314814798</v>
      </c>
      <c r="E943" s="89">
        <v>46241</v>
      </c>
      <c r="F943" s="71" t="s">
        <v>1496</v>
      </c>
      <c r="G943" s="71">
        <f t="shared" si="28"/>
        <v>8</v>
      </c>
      <c r="H943" s="71">
        <f t="shared" si="29"/>
        <v>42</v>
      </c>
    </row>
    <row r="944" spans="1:8" x14ac:dyDescent="0.2">
      <c r="A944" s="71" t="s">
        <v>218</v>
      </c>
      <c r="B944" s="71" t="s">
        <v>219</v>
      </c>
      <c r="C944" s="71" t="s">
        <v>44</v>
      </c>
      <c r="D944" s="88">
        <v>46241.891759259299</v>
      </c>
      <c r="E944" s="89">
        <v>46241</v>
      </c>
      <c r="F944" s="71" t="s">
        <v>1461</v>
      </c>
      <c r="G944" s="71">
        <f t="shared" si="28"/>
        <v>8</v>
      </c>
      <c r="H944" s="71">
        <f t="shared" si="29"/>
        <v>26</v>
      </c>
    </row>
    <row r="945" spans="1:8" x14ac:dyDescent="0.2">
      <c r="A945" s="71" t="s">
        <v>218</v>
      </c>
      <c r="B945" s="71" t="s">
        <v>219</v>
      </c>
      <c r="C945" s="71" t="s">
        <v>44</v>
      </c>
      <c r="D945" s="88">
        <v>46242.796539351897</v>
      </c>
      <c r="E945" s="89">
        <v>46242</v>
      </c>
      <c r="F945" s="71" t="s">
        <v>1497</v>
      </c>
      <c r="G945" s="71">
        <f t="shared" si="28"/>
        <v>8</v>
      </c>
      <c r="H945" s="71">
        <f t="shared" si="29"/>
        <v>45</v>
      </c>
    </row>
    <row r="946" spans="1:8" x14ac:dyDescent="0.2">
      <c r="A946" s="71" t="s">
        <v>218</v>
      </c>
      <c r="B946" s="71" t="s">
        <v>219</v>
      </c>
      <c r="C946" s="71" t="s">
        <v>44</v>
      </c>
      <c r="D946" s="88">
        <v>46242.797442129602</v>
      </c>
      <c r="E946" s="89">
        <v>46242</v>
      </c>
      <c r="F946" s="71" t="s">
        <v>1461</v>
      </c>
      <c r="G946" s="71">
        <f t="shared" si="28"/>
        <v>8</v>
      </c>
      <c r="H946" s="71">
        <f t="shared" si="29"/>
        <v>26</v>
      </c>
    </row>
    <row r="947" spans="1:8" x14ac:dyDescent="0.2">
      <c r="A947" s="71" t="s">
        <v>218</v>
      </c>
      <c r="B947" s="71" t="s">
        <v>219</v>
      </c>
      <c r="C947" s="71" t="s">
        <v>44</v>
      </c>
      <c r="D947" s="88">
        <v>46244.870231481502</v>
      </c>
      <c r="E947" s="89">
        <v>46244</v>
      </c>
      <c r="F947" s="71" t="s">
        <v>1463</v>
      </c>
      <c r="G947" s="71">
        <f t="shared" si="28"/>
        <v>8</v>
      </c>
      <c r="H947" s="71">
        <f t="shared" si="29"/>
        <v>21</v>
      </c>
    </row>
    <row r="948" spans="1:8" x14ac:dyDescent="0.2">
      <c r="A948" s="71" t="s">
        <v>218</v>
      </c>
      <c r="B948" s="71" t="s">
        <v>219</v>
      </c>
      <c r="C948" s="71" t="s">
        <v>44</v>
      </c>
      <c r="D948" s="88">
        <v>46244.872395833299</v>
      </c>
      <c r="E948" s="89">
        <v>46244</v>
      </c>
      <c r="F948" s="71" t="s">
        <v>1461</v>
      </c>
      <c r="G948" s="71">
        <f t="shared" si="28"/>
        <v>8</v>
      </c>
      <c r="H948" s="71">
        <f t="shared" si="29"/>
        <v>26</v>
      </c>
    </row>
    <row r="949" spans="1:8" x14ac:dyDescent="0.2">
      <c r="A949" s="71" t="s">
        <v>218</v>
      </c>
      <c r="B949" s="71" t="s">
        <v>219</v>
      </c>
      <c r="C949" s="71" t="s">
        <v>44</v>
      </c>
      <c r="D949" s="88">
        <v>46245.897395833301</v>
      </c>
      <c r="E949" s="89">
        <v>46245</v>
      </c>
      <c r="F949" s="71" t="s">
        <v>1461</v>
      </c>
      <c r="G949" s="71">
        <f t="shared" si="28"/>
        <v>8</v>
      </c>
      <c r="H949" s="71">
        <f t="shared" si="29"/>
        <v>26</v>
      </c>
    </row>
    <row r="950" spans="1:8" x14ac:dyDescent="0.2">
      <c r="A950" s="71" t="s">
        <v>218</v>
      </c>
      <c r="B950" s="71" t="s">
        <v>219</v>
      </c>
      <c r="C950" s="71" t="s">
        <v>44</v>
      </c>
      <c r="D950" s="88">
        <v>46246.821157407401</v>
      </c>
      <c r="E950" s="89">
        <v>46246</v>
      </c>
      <c r="F950" s="71" t="s">
        <v>1463</v>
      </c>
      <c r="G950" s="71">
        <f t="shared" si="28"/>
        <v>8</v>
      </c>
      <c r="H950" s="71">
        <f t="shared" si="29"/>
        <v>21</v>
      </c>
    </row>
    <row r="951" spans="1:8" x14ac:dyDescent="0.2">
      <c r="A951" s="71" t="s">
        <v>218</v>
      </c>
      <c r="B951" s="71" t="s">
        <v>219</v>
      </c>
      <c r="C951" s="71" t="s">
        <v>44</v>
      </c>
      <c r="D951" s="88">
        <v>46246.822418981501</v>
      </c>
      <c r="E951" s="89">
        <v>46246</v>
      </c>
      <c r="F951" s="71" t="s">
        <v>1461</v>
      </c>
      <c r="G951" s="71">
        <f t="shared" si="28"/>
        <v>8</v>
      </c>
      <c r="H951" s="71">
        <f t="shared" si="29"/>
        <v>26</v>
      </c>
    </row>
    <row r="952" spans="1:8" x14ac:dyDescent="0.2">
      <c r="A952" s="71" t="s">
        <v>218</v>
      </c>
      <c r="B952" s="71" t="s">
        <v>219</v>
      </c>
      <c r="C952" s="71" t="s">
        <v>44</v>
      </c>
      <c r="D952" s="88">
        <v>46247.947812500002</v>
      </c>
      <c r="E952" s="89">
        <v>46247</v>
      </c>
      <c r="F952" s="71" t="s">
        <v>1461</v>
      </c>
      <c r="G952" s="71">
        <f t="shared" si="28"/>
        <v>8</v>
      </c>
      <c r="H952" s="71">
        <f t="shared" si="29"/>
        <v>26</v>
      </c>
    </row>
    <row r="953" spans="1:8" x14ac:dyDescent="0.2">
      <c r="A953" s="71" t="s">
        <v>218</v>
      </c>
      <c r="B953" s="71" t="s">
        <v>219</v>
      </c>
      <c r="C953" s="71" t="s">
        <v>44</v>
      </c>
      <c r="D953" s="88">
        <v>46248.926828703698</v>
      </c>
      <c r="E953" s="89">
        <v>46248</v>
      </c>
      <c r="F953" s="71" t="s">
        <v>1498</v>
      </c>
      <c r="G953" s="71">
        <f t="shared" si="28"/>
        <v>8</v>
      </c>
      <c r="H953" s="71">
        <f t="shared" si="29"/>
        <v>35</v>
      </c>
    </row>
    <row r="954" spans="1:8" x14ac:dyDescent="0.2">
      <c r="A954" s="71" t="s">
        <v>218</v>
      </c>
      <c r="B954" s="71" t="s">
        <v>219</v>
      </c>
      <c r="C954" s="71" t="s">
        <v>44</v>
      </c>
      <c r="D954" s="88">
        <v>46248.928171296298</v>
      </c>
      <c r="E954" s="89">
        <v>46248</v>
      </c>
      <c r="F954" s="71" t="s">
        <v>1461</v>
      </c>
      <c r="G954" s="71">
        <f t="shared" si="28"/>
        <v>8</v>
      </c>
      <c r="H954" s="71">
        <f t="shared" si="29"/>
        <v>26</v>
      </c>
    </row>
    <row r="955" spans="1:8" x14ac:dyDescent="0.2">
      <c r="A955" s="71" t="s">
        <v>218</v>
      </c>
      <c r="B955" s="71" t="s">
        <v>219</v>
      </c>
      <c r="C955" s="71" t="s">
        <v>44</v>
      </c>
      <c r="D955" s="88">
        <v>46249.933981481503</v>
      </c>
      <c r="E955" s="89">
        <v>46249</v>
      </c>
      <c r="F955" s="71" t="s">
        <v>1461</v>
      </c>
      <c r="G955" s="71">
        <f t="shared" si="28"/>
        <v>8</v>
      </c>
      <c r="H955" s="71">
        <f t="shared" si="29"/>
        <v>26</v>
      </c>
    </row>
    <row r="956" spans="1:8" x14ac:dyDescent="0.2">
      <c r="A956" s="71" t="s">
        <v>218</v>
      </c>
      <c r="B956" s="71" t="s">
        <v>219</v>
      </c>
      <c r="C956" s="71" t="s">
        <v>44</v>
      </c>
      <c r="D956" s="88">
        <v>46252.936817129601</v>
      </c>
      <c r="E956" s="89">
        <v>46252</v>
      </c>
      <c r="F956" s="71" t="s">
        <v>1499</v>
      </c>
      <c r="G956" s="71">
        <f t="shared" si="28"/>
        <v>8</v>
      </c>
      <c r="H956" s="71">
        <f t="shared" si="29"/>
        <v>40</v>
      </c>
    </row>
    <row r="957" spans="1:8" x14ac:dyDescent="0.2">
      <c r="A957" s="71" t="s">
        <v>218</v>
      </c>
      <c r="B957" s="71" t="s">
        <v>219</v>
      </c>
      <c r="C957" s="71" t="s">
        <v>44</v>
      </c>
      <c r="D957" s="88">
        <v>46252.938194444498</v>
      </c>
      <c r="E957" s="89">
        <v>46252</v>
      </c>
      <c r="F957" s="71" t="s">
        <v>1461</v>
      </c>
      <c r="G957" s="71">
        <f t="shared" si="28"/>
        <v>8</v>
      </c>
      <c r="H957" s="71">
        <f t="shared" si="29"/>
        <v>26</v>
      </c>
    </row>
    <row r="958" spans="1:8" x14ac:dyDescent="0.2">
      <c r="A958" s="71" t="s">
        <v>218</v>
      </c>
      <c r="B958" s="71" t="s">
        <v>219</v>
      </c>
      <c r="C958" s="71" t="s">
        <v>44</v>
      </c>
      <c r="D958" s="88">
        <v>46253.918518518498</v>
      </c>
      <c r="E958" s="89">
        <v>46253</v>
      </c>
      <c r="F958" s="71" t="s">
        <v>1461</v>
      </c>
      <c r="G958" s="71">
        <f t="shared" si="28"/>
        <v>8</v>
      </c>
      <c r="H958" s="71">
        <f t="shared" si="29"/>
        <v>26</v>
      </c>
    </row>
    <row r="959" spans="1:8" x14ac:dyDescent="0.2">
      <c r="A959" s="71" t="s">
        <v>218</v>
      </c>
      <c r="B959" s="71" t="s">
        <v>219</v>
      </c>
      <c r="C959" s="71" t="s">
        <v>44</v>
      </c>
      <c r="D959" s="88">
        <v>46254.830358796302</v>
      </c>
      <c r="E959" s="89">
        <v>46254</v>
      </c>
      <c r="F959" s="71" t="s">
        <v>1500</v>
      </c>
      <c r="G959" s="71">
        <f t="shared" si="28"/>
        <v>8</v>
      </c>
      <c r="H959" s="71">
        <f t="shared" si="29"/>
        <v>11</v>
      </c>
    </row>
    <row r="960" spans="1:8" x14ac:dyDescent="0.2">
      <c r="A960" s="71" t="s">
        <v>218</v>
      </c>
      <c r="B960" s="71" t="s">
        <v>219</v>
      </c>
      <c r="C960" s="71" t="s">
        <v>44</v>
      </c>
      <c r="D960" s="88">
        <v>46254.833576388897</v>
      </c>
      <c r="E960" s="89">
        <v>46254</v>
      </c>
      <c r="F960" s="71" t="s">
        <v>1461</v>
      </c>
      <c r="G960" s="71">
        <f t="shared" si="28"/>
        <v>8</v>
      </c>
      <c r="H960" s="71">
        <f t="shared" si="29"/>
        <v>26</v>
      </c>
    </row>
    <row r="961" spans="1:8" x14ac:dyDescent="0.2">
      <c r="A961" s="71" t="s">
        <v>218</v>
      </c>
      <c r="B961" s="71" t="s">
        <v>219</v>
      </c>
      <c r="C961" s="71" t="s">
        <v>44</v>
      </c>
      <c r="D961" s="88">
        <v>46255.840706018498</v>
      </c>
      <c r="E961" s="89">
        <v>46255</v>
      </c>
      <c r="F961" s="71" t="s">
        <v>1461</v>
      </c>
      <c r="G961" s="71">
        <f t="shared" si="28"/>
        <v>8</v>
      </c>
      <c r="H961" s="71">
        <f t="shared" si="29"/>
        <v>26</v>
      </c>
    </row>
    <row r="962" spans="1:8" x14ac:dyDescent="0.2">
      <c r="A962" s="71" t="s">
        <v>218</v>
      </c>
      <c r="B962" s="71" t="s">
        <v>219</v>
      </c>
      <c r="C962" s="71" t="s">
        <v>44</v>
      </c>
      <c r="D962" s="88">
        <v>46256.8648032407</v>
      </c>
      <c r="E962" s="89">
        <v>46256</v>
      </c>
      <c r="F962" s="71" t="s">
        <v>1461</v>
      </c>
      <c r="G962" s="71">
        <f t="shared" ref="G962:G1025" si="30">MONTH(E962)</f>
        <v>8</v>
      </c>
      <c r="H962" s="71">
        <f t="shared" ref="H962:H1025" si="31">LEN(F962)</f>
        <v>26</v>
      </c>
    </row>
    <row r="963" spans="1:8" x14ac:dyDescent="0.2">
      <c r="A963" s="71" t="s">
        <v>218</v>
      </c>
      <c r="B963" s="71" t="s">
        <v>219</v>
      </c>
      <c r="C963" s="71" t="s">
        <v>44</v>
      </c>
      <c r="D963" s="88">
        <v>46258.824837963002</v>
      </c>
      <c r="E963" s="89">
        <v>46258</v>
      </c>
      <c r="F963" s="71" t="s">
        <v>1501</v>
      </c>
      <c r="G963" s="71">
        <f t="shared" si="30"/>
        <v>8</v>
      </c>
      <c r="H963" s="71">
        <f t="shared" si="31"/>
        <v>73</v>
      </c>
    </row>
    <row r="964" spans="1:8" x14ac:dyDescent="0.2">
      <c r="A964" s="71" t="s">
        <v>218</v>
      </c>
      <c r="B964" s="71" t="s">
        <v>219</v>
      </c>
      <c r="C964" s="71" t="s">
        <v>44</v>
      </c>
      <c r="D964" s="88">
        <v>46258.834907407399</v>
      </c>
      <c r="E964" s="89">
        <v>46258</v>
      </c>
      <c r="F964" s="71" t="s">
        <v>1502</v>
      </c>
      <c r="G964" s="71">
        <f t="shared" si="30"/>
        <v>8</v>
      </c>
      <c r="H964" s="71">
        <f t="shared" si="31"/>
        <v>50</v>
      </c>
    </row>
    <row r="965" spans="1:8" x14ac:dyDescent="0.2">
      <c r="A965" s="71" t="s">
        <v>218</v>
      </c>
      <c r="B965" s="71" t="s">
        <v>219</v>
      </c>
      <c r="C965" s="71" t="s">
        <v>44</v>
      </c>
      <c r="D965" s="88">
        <v>46258.835752314801</v>
      </c>
      <c r="E965" s="89">
        <v>46258</v>
      </c>
      <c r="F965" s="71" t="s">
        <v>1461</v>
      </c>
      <c r="G965" s="71">
        <f t="shared" si="30"/>
        <v>8</v>
      </c>
      <c r="H965" s="71">
        <f t="shared" si="31"/>
        <v>26</v>
      </c>
    </row>
    <row r="966" spans="1:8" x14ac:dyDescent="0.2">
      <c r="A966" s="71" t="s">
        <v>218</v>
      </c>
      <c r="B966" s="71" t="s">
        <v>219</v>
      </c>
      <c r="C966" s="71" t="s">
        <v>44</v>
      </c>
      <c r="D966" s="88">
        <v>46260.877928240698</v>
      </c>
      <c r="E966" s="89">
        <v>46260</v>
      </c>
      <c r="F966" s="71" t="s">
        <v>1461</v>
      </c>
      <c r="G966" s="71">
        <f t="shared" si="30"/>
        <v>8</v>
      </c>
      <c r="H966" s="71">
        <f t="shared" si="31"/>
        <v>26</v>
      </c>
    </row>
    <row r="967" spans="1:8" x14ac:dyDescent="0.2">
      <c r="A967" s="71" t="s">
        <v>218</v>
      </c>
      <c r="B967" s="71" t="s">
        <v>219</v>
      </c>
      <c r="C967" s="71" t="s">
        <v>44</v>
      </c>
      <c r="D967" s="88">
        <v>46261.886111111096</v>
      </c>
      <c r="E967" s="89">
        <v>46261</v>
      </c>
      <c r="F967" s="71" t="s">
        <v>1461</v>
      </c>
      <c r="G967" s="71">
        <f t="shared" si="30"/>
        <v>8</v>
      </c>
      <c r="H967" s="71">
        <f t="shared" si="31"/>
        <v>26</v>
      </c>
    </row>
    <row r="968" spans="1:8" x14ac:dyDescent="0.2">
      <c r="A968" s="71" t="s">
        <v>218</v>
      </c>
      <c r="B968" s="71" t="s">
        <v>219</v>
      </c>
      <c r="C968" s="71" t="s">
        <v>44</v>
      </c>
      <c r="D968" s="88">
        <v>46262.849814814799</v>
      </c>
      <c r="E968" s="89">
        <v>46262</v>
      </c>
      <c r="F968" s="71" t="s">
        <v>1461</v>
      </c>
      <c r="G968" s="71">
        <f t="shared" si="30"/>
        <v>8</v>
      </c>
      <c r="H968" s="71">
        <f t="shared" si="31"/>
        <v>26</v>
      </c>
    </row>
    <row r="969" spans="1:8" x14ac:dyDescent="0.2">
      <c r="A969" s="71" t="s">
        <v>218</v>
      </c>
      <c r="B969" s="71" t="s">
        <v>219</v>
      </c>
      <c r="C969" s="71" t="s">
        <v>44</v>
      </c>
      <c r="D969" s="88">
        <v>46265.878067129597</v>
      </c>
      <c r="E969" s="89">
        <v>46265</v>
      </c>
      <c r="F969" s="71" t="s">
        <v>1503</v>
      </c>
      <c r="G969" s="71">
        <f t="shared" si="30"/>
        <v>8</v>
      </c>
      <c r="H969" s="71">
        <f t="shared" si="31"/>
        <v>26</v>
      </c>
    </row>
    <row r="970" spans="1:8" x14ac:dyDescent="0.2">
      <c r="A970" s="71" t="s">
        <v>218</v>
      </c>
      <c r="B970" s="71" t="s">
        <v>219</v>
      </c>
      <c r="C970" s="71" t="s">
        <v>44</v>
      </c>
      <c r="D970" s="88">
        <v>46265.879363425898</v>
      </c>
      <c r="E970" s="89">
        <v>46265</v>
      </c>
      <c r="F970" s="71" t="s">
        <v>1461</v>
      </c>
      <c r="G970" s="71">
        <f t="shared" si="30"/>
        <v>8</v>
      </c>
      <c r="H970" s="71">
        <f t="shared" si="31"/>
        <v>26</v>
      </c>
    </row>
    <row r="971" spans="1:8" x14ac:dyDescent="0.2">
      <c r="A971" s="71" t="s">
        <v>218</v>
      </c>
      <c r="B971" s="71" t="s">
        <v>219</v>
      </c>
      <c r="C971" s="71" t="s">
        <v>44</v>
      </c>
      <c r="D971" s="88">
        <v>46266.940578703703</v>
      </c>
      <c r="E971" s="89">
        <v>46266</v>
      </c>
      <c r="F971" s="71" t="s">
        <v>1461</v>
      </c>
      <c r="G971" s="71">
        <f t="shared" si="30"/>
        <v>9</v>
      </c>
      <c r="H971" s="71">
        <f t="shared" si="31"/>
        <v>26</v>
      </c>
    </row>
    <row r="972" spans="1:8" x14ac:dyDescent="0.2">
      <c r="A972" s="71" t="s">
        <v>218</v>
      </c>
      <c r="B972" s="71" t="s">
        <v>219</v>
      </c>
      <c r="C972" s="71" t="s">
        <v>44</v>
      </c>
      <c r="D972" s="88">
        <v>46267.8418634259</v>
      </c>
      <c r="E972" s="89">
        <v>46267</v>
      </c>
      <c r="F972" s="71" t="s">
        <v>1504</v>
      </c>
      <c r="G972" s="71">
        <f t="shared" si="30"/>
        <v>9</v>
      </c>
      <c r="H972" s="71">
        <f t="shared" si="31"/>
        <v>68</v>
      </c>
    </row>
    <row r="973" spans="1:8" x14ac:dyDescent="0.2">
      <c r="A973" s="71" t="s">
        <v>218</v>
      </c>
      <c r="B973" s="71" t="s">
        <v>219</v>
      </c>
      <c r="C973" s="71" t="s">
        <v>44</v>
      </c>
      <c r="D973" s="88">
        <v>46267.843784722201</v>
      </c>
      <c r="E973" s="89">
        <v>46267</v>
      </c>
      <c r="F973" s="71" t="s">
        <v>1461</v>
      </c>
      <c r="G973" s="71">
        <f t="shared" si="30"/>
        <v>9</v>
      </c>
      <c r="H973" s="71">
        <f t="shared" si="31"/>
        <v>26</v>
      </c>
    </row>
    <row r="974" spans="1:8" x14ac:dyDescent="0.2">
      <c r="A974" s="71" t="s">
        <v>218</v>
      </c>
      <c r="B974" s="71" t="s">
        <v>219</v>
      </c>
      <c r="C974" s="71" t="s">
        <v>44</v>
      </c>
      <c r="D974" s="88">
        <v>46268.904606481497</v>
      </c>
      <c r="E974" s="89">
        <v>46268</v>
      </c>
      <c r="F974" s="71" t="s">
        <v>1461</v>
      </c>
      <c r="G974" s="71">
        <f t="shared" si="30"/>
        <v>9</v>
      </c>
      <c r="H974" s="71">
        <f t="shared" si="31"/>
        <v>26</v>
      </c>
    </row>
    <row r="975" spans="1:8" x14ac:dyDescent="0.2">
      <c r="A975" s="71" t="s">
        <v>218</v>
      </c>
      <c r="B975" s="71" t="s">
        <v>219</v>
      </c>
      <c r="C975" s="71" t="s">
        <v>44</v>
      </c>
      <c r="D975" s="88">
        <v>46269.893356481502</v>
      </c>
      <c r="E975" s="89">
        <v>46269</v>
      </c>
      <c r="F975" s="71" t="s">
        <v>1476</v>
      </c>
      <c r="G975" s="71">
        <f t="shared" si="30"/>
        <v>9</v>
      </c>
      <c r="H975" s="71">
        <f t="shared" si="31"/>
        <v>18</v>
      </c>
    </row>
    <row r="976" spans="1:8" x14ac:dyDescent="0.2">
      <c r="A976" s="71" t="s">
        <v>218</v>
      </c>
      <c r="B976" s="71" t="s">
        <v>219</v>
      </c>
      <c r="C976" s="71" t="s">
        <v>44</v>
      </c>
      <c r="D976" s="88">
        <v>46269.894340277802</v>
      </c>
      <c r="E976" s="89">
        <v>46269</v>
      </c>
      <c r="F976" s="71" t="s">
        <v>1505</v>
      </c>
      <c r="G976" s="71">
        <f t="shared" si="30"/>
        <v>9</v>
      </c>
      <c r="H976" s="71">
        <f t="shared" si="31"/>
        <v>18</v>
      </c>
    </row>
    <row r="977" spans="1:8" x14ac:dyDescent="0.2">
      <c r="A977" s="71" t="s">
        <v>218</v>
      </c>
      <c r="B977" s="71" t="s">
        <v>219</v>
      </c>
      <c r="C977" s="71" t="s">
        <v>44</v>
      </c>
      <c r="D977" s="88">
        <v>46269.895196759302</v>
      </c>
      <c r="E977" s="89">
        <v>46269</v>
      </c>
      <c r="F977" s="71" t="s">
        <v>1461</v>
      </c>
      <c r="G977" s="71">
        <f t="shared" si="30"/>
        <v>9</v>
      </c>
      <c r="H977" s="71">
        <f t="shared" si="31"/>
        <v>26</v>
      </c>
    </row>
    <row r="978" spans="1:8" x14ac:dyDescent="0.2">
      <c r="A978" s="71" t="s">
        <v>218</v>
      </c>
      <c r="B978" s="71" t="s">
        <v>219</v>
      </c>
      <c r="C978" s="71" t="s">
        <v>44</v>
      </c>
      <c r="D978" s="88">
        <v>46270.879722222198</v>
      </c>
      <c r="E978" s="89">
        <v>46270</v>
      </c>
      <c r="F978" s="71" t="s">
        <v>1481</v>
      </c>
      <c r="G978" s="71">
        <f t="shared" si="30"/>
        <v>9</v>
      </c>
      <c r="H978" s="71">
        <f t="shared" si="31"/>
        <v>10</v>
      </c>
    </row>
    <row r="979" spans="1:8" x14ac:dyDescent="0.2">
      <c r="A979" s="71" t="s">
        <v>218</v>
      </c>
      <c r="B979" s="71" t="s">
        <v>219</v>
      </c>
      <c r="C979" s="71" t="s">
        <v>44</v>
      </c>
      <c r="D979" s="88">
        <v>46270.880914351903</v>
      </c>
      <c r="E979" s="89">
        <v>46270</v>
      </c>
      <c r="F979" s="71" t="s">
        <v>1461</v>
      </c>
      <c r="G979" s="71">
        <f t="shared" si="30"/>
        <v>9</v>
      </c>
      <c r="H979" s="71">
        <f t="shared" si="31"/>
        <v>26</v>
      </c>
    </row>
    <row r="980" spans="1:8" x14ac:dyDescent="0.2">
      <c r="A980" s="71" t="s">
        <v>218</v>
      </c>
      <c r="B980" s="71" t="s">
        <v>219</v>
      </c>
      <c r="C980" s="71" t="s">
        <v>44</v>
      </c>
      <c r="D980" s="88">
        <v>46273.859571759298</v>
      </c>
      <c r="E980" s="89">
        <v>46273</v>
      </c>
      <c r="F980" s="71" t="s">
        <v>1506</v>
      </c>
      <c r="G980" s="71">
        <f t="shared" si="30"/>
        <v>9</v>
      </c>
      <c r="H980" s="71">
        <f t="shared" si="31"/>
        <v>12</v>
      </c>
    </row>
    <row r="981" spans="1:8" x14ac:dyDescent="0.2">
      <c r="A981" s="71" t="s">
        <v>218</v>
      </c>
      <c r="B981" s="71" t="s">
        <v>219</v>
      </c>
      <c r="C981" s="71" t="s">
        <v>44</v>
      </c>
      <c r="D981" s="88">
        <v>46273.860960648199</v>
      </c>
      <c r="E981" s="89">
        <v>46273</v>
      </c>
      <c r="F981" s="71" t="s">
        <v>1461</v>
      </c>
      <c r="G981" s="71">
        <f t="shared" si="30"/>
        <v>9</v>
      </c>
      <c r="H981" s="71">
        <f t="shared" si="31"/>
        <v>26</v>
      </c>
    </row>
    <row r="982" spans="1:8" x14ac:dyDescent="0.2">
      <c r="A982" s="71" t="s">
        <v>218</v>
      </c>
      <c r="B982" s="71" t="s">
        <v>219</v>
      </c>
      <c r="C982" s="71" t="s">
        <v>44</v>
      </c>
      <c r="D982" s="88">
        <v>46275.868506944498</v>
      </c>
      <c r="E982" s="89">
        <v>46275</v>
      </c>
      <c r="F982" s="71" t="s">
        <v>1461</v>
      </c>
      <c r="G982" s="71">
        <f t="shared" si="30"/>
        <v>9</v>
      </c>
      <c r="H982" s="71">
        <f t="shared" si="31"/>
        <v>26</v>
      </c>
    </row>
    <row r="983" spans="1:8" x14ac:dyDescent="0.2">
      <c r="A983" s="71" t="s">
        <v>218</v>
      </c>
      <c r="B983" s="71" t="s">
        <v>219</v>
      </c>
      <c r="C983" s="71" t="s">
        <v>44</v>
      </c>
      <c r="D983" s="88">
        <v>46276.7823263889</v>
      </c>
      <c r="E983" s="89">
        <v>46276</v>
      </c>
      <c r="F983" s="71" t="s">
        <v>1461</v>
      </c>
      <c r="G983" s="71">
        <f t="shared" si="30"/>
        <v>9</v>
      </c>
      <c r="H983" s="71">
        <f t="shared" si="31"/>
        <v>26</v>
      </c>
    </row>
    <row r="984" spans="1:8" x14ac:dyDescent="0.2">
      <c r="A984" s="71" t="s">
        <v>218</v>
      </c>
      <c r="B984" s="71" t="s">
        <v>219</v>
      </c>
      <c r="C984" s="71" t="s">
        <v>44</v>
      </c>
      <c r="D984" s="88">
        <v>46277.772083333301</v>
      </c>
      <c r="E984" s="89">
        <v>46277</v>
      </c>
      <c r="F984" s="71" t="s">
        <v>1507</v>
      </c>
      <c r="G984" s="71">
        <f t="shared" si="30"/>
        <v>9</v>
      </c>
      <c r="H984" s="71">
        <f t="shared" si="31"/>
        <v>28</v>
      </c>
    </row>
    <row r="985" spans="1:8" x14ac:dyDescent="0.2">
      <c r="A985" s="71" t="s">
        <v>218</v>
      </c>
      <c r="B985" s="71" t="s">
        <v>219</v>
      </c>
      <c r="C985" s="71" t="s">
        <v>44</v>
      </c>
      <c r="D985" s="88">
        <v>46277.772638888899</v>
      </c>
      <c r="E985" s="89">
        <v>46277</v>
      </c>
      <c r="F985" s="71" t="s">
        <v>1461</v>
      </c>
      <c r="G985" s="71">
        <f t="shared" si="30"/>
        <v>9</v>
      </c>
      <c r="H985" s="71">
        <f t="shared" si="31"/>
        <v>26</v>
      </c>
    </row>
    <row r="986" spans="1:8" x14ac:dyDescent="0.2">
      <c r="A986" s="71" t="s">
        <v>218</v>
      </c>
      <c r="B986" s="71" t="s">
        <v>219</v>
      </c>
      <c r="C986" s="71" t="s">
        <v>44</v>
      </c>
      <c r="D986" s="88">
        <v>46279.875972222202</v>
      </c>
      <c r="E986" s="89">
        <v>46279</v>
      </c>
      <c r="F986" s="71" t="s">
        <v>1508</v>
      </c>
      <c r="G986" s="71">
        <f t="shared" si="30"/>
        <v>9</v>
      </c>
      <c r="H986" s="71">
        <f t="shared" si="31"/>
        <v>30</v>
      </c>
    </row>
    <row r="987" spans="1:8" x14ac:dyDescent="0.2">
      <c r="A987" s="71" t="s">
        <v>218</v>
      </c>
      <c r="B987" s="71" t="s">
        <v>219</v>
      </c>
      <c r="C987" s="71" t="s">
        <v>44</v>
      </c>
      <c r="D987" s="88">
        <v>46279.878784722197</v>
      </c>
      <c r="E987" s="89">
        <v>46279</v>
      </c>
      <c r="F987" s="71" t="s">
        <v>1461</v>
      </c>
      <c r="G987" s="71">
        <f t="shared" si="30"/>
        <v>9</v>
      </c>
      <c r="H987" s="71">
        <f t="shared" si="31"/>
        <v>26</v>
      </c>
    </row>
    <row r="988" spans="1:8" x14ac:dyDescent="0.2">
      <c r="A988" s="71" t="s">
        <v>218</v>
      </c>
      <c r="B988" s="71" t="s">
        <v>219</v>
      </c>
      <c r="C988" s="71" t="s">
        <v>44</v>
      </c>
      <c r="D988" s="88">
        <v>46280.854733796303</v>
      </c>
      <c r="E988" s="89">
        <v>46280</v>
      </c>
      <c r="F988" s="71" t="s">
        <v>1461</v>
      </c>
      <c r="G988" s="71">
        <f t="shared" si="30"/>
        <v>9</v>
      </c>
      <c r="H988" s="71">
        <f t="shared" si="31"/>
        <v>26</v>
      </c>
    </row>
    <row r="989" spans="1:8" x14ac:dyDescent="0.2">
      <c r="A989" s="71" t="s">
        <v>218</v>
      </c>
      <c r="B989" s="71" t="s">
        <v>219</v>
      </c>
      <c r="C989" s="71" t="s">
        <v>44</v>
      </c>
      <c r="D989" s="88">
        <v>46281.814953703702</v>
      </c>
      <c r="E989" s="89">
        <v>46281</v>
      </c>
      <c r="F989" s="71" t="s">
        <v>1461</v>
      </c>
      <c r="G989" s="71">
        <f t="shared" si="30"/>
        <v>9</v>
      </c>
      <c r="H989" s="71">
        <f t="shared" si="31"/>
        <v>26</v>
      </c>
    </row>
    <row r="990" spans="1:8" x14ac:dyDescent="0.2">
      <c r="A990" s="71" t="s">
        <v>218</v>
      </c>
      <c r="B990" s="71" t="s">
        <v>219</v>
      </c>
      <c r="C990" s="71" t="s">
        <v>44</v>
      </c>
      <c r="D990" s="88">
        <v>46283.896388888897</v>
      </c>
      <c r="E990" s="89">
        <v>46283</v>
      </c>
      <c r="F990" s="71" t="s">
        <v>1461</v>
      </c>
      <c r="G990" s="71">
        <f t="shared" si="30"/>
        <v>9</v>
      </c>
      <c r="H990" s="71">
        <f t="shared" si="31"/>
        <v>26</v>
      </c>
    </row>
    <row r="991" spans="1:8" x14ac:dyDescent="0.2">
      <c r="A991" s="71" t="s">
        <v>218</v>
      </c>
      <c r="B991" s="71" t="s">
        <v>219</v>
      </c>
      <c r="C991" s="71" t="s">
        <v>44</v>
      </c>
      <c r="D991" s="88">
        <v>46284.842870370398</v>
      </c>
      <c r="E991" s="89">
        <v>46284</v>
      </c>
      <c r="F991" s="71" t="s">
        <v>1461</v>
      </c>
      <c r="G991" s="71">
        <f t="shared" si="30"/>
        <v>9</v>
      </c>
      <c r="H991" s="71">
        <f t="shared" si="31"/>
        <v>26</v>
      </c>
    </row>
    <row r="992" spans="1:8" x14ac:dyDescent="0.2">
      <c r="A992" s="71" t="s">
        <v>218</v>
      </c>
      <c r="B992" s="71" t="s">
        <v>219</v>
      </c>
      <c r="C992" s="71" t="s">
        <v>44</v>
      </c>
      <c r="D992" s="88">
        <v>46286.846817129597</v>
      </c>
      <c r="E992" s="89">
        <v>46286</v>
      </c>
      <c r="F992" s="71" t="s">
        <v>1461</v>
      </c>
      <c r="G992" s="71">
        <f t="shared" si="30"/>
        <v>9</v>
      </c>
      <c r="H992" s="71">
        <f t="shared" si="31"/>
        <v>26</v>
      </c>
    </row>
    <row r="993" spans="1:8" x14ac:dyDescent="0.2">
      <c r="A993" s="71" t="s">
        <v>218</v>
      </c>
      <c r="B993" s="71" t="s">
        <v>219</v>
      </c>
      <c r="C993" s="71" t="s">
        <v>44</v>
      </c>
      <c r="D993" s="88">
        <v>46287.899363425902</v>
      </c>
      <c r="E993" s="89">
        <v>46287</v>
      </c>
      <c r="F993" s="71" t="s">
        <v>1461</v>
      </c>
      <c r="G993" s="71">
        <f t="shared" si="30"/>
        <v>9</v>
      </c>
      <c r="H993" s="71">
        <f t="shared" si="31"/>
        <v>26</v>
      </c>
    </row>
    <row r="994" spans="1:8" x14ac:dyDescent="0.2">
      <c r="A994" s="71" t="s">
        <v>218</v>
      </c>
      <c r="B994" s="71" t="s">
        <v>219</v>
      </c>
      <c r="C994" s="71" t="s">
        <v>44</v>
      </c>
      <c r="D994" s="88">
        <v>46288.921168981498</v>
      </c>
      <c r="E994" s="89">
        <v>46288</v>
      </c>
      <c r="F994" s="71" t="s">
        <v>1461</v>
      </c>
      <c r="G994" s="71">
        <f t="shared" si="30"/>
        <v>9</v>
      </c>
      <c r="H994" s="71">
        <f t="shared" si="31"/>
        <v>26</v>
      </c>
    </row>
    <row r="995" spans="1:8" x14ac:dyDescent="0.2">
      <c r="A995" s="71" t="s">
        <v>218</v>
      </c>
      <c r="B995" s="71" t="s">
        <v>219</v>
      </c>
      <c r="C995" s="71" t="s">
        <v>44</v>
      </c>
      <c r="D995" s="88">
        <v>46289.857418981497</v>
      </c>
      <c r="E995" s="89">
        <v>46289</v>
      </c>
      <c r="F995" s="71" t="s">
        <v>1509</v>
      </c>
      <c r="G995" s="71">
        <f t="shared" si="30"/>
        <v>9</v>
      </c>
      <c r="H995" s="71">
        <f t="shared" si="31"/>
        <v>21</v>
      </c>
    </row>
    <row r="996" spans="1:8" x14ac:dyDescent="0.2">
      <c r="A996" s="71" t="s">
        <v>218</v>
      </c>
      <c r="B996" s="71" t="s">
        <v>219</v>
      </c>
      <c r="C996" s="71" t="s">
        <v>44</v>
      </c>
      <c r="D996" s="88">
        <v>46289.859525462998</v>
      </c>
      <c r="E996" s="89">
        <v>46289</v>
      </c>
      <c r="F996" s="71" t="s">
        <v>1461</v>
      </c>
      <c r="G996" s="71">
        <f t="shared" si="30"/>
        <v>9</v>
      </c>
      <c r="H996" s="71">
        <f t="shared" si="31"/>
        <v>26</v>
      </c>
    </row>
    <row r="997" spans="1:8" x14ac:dyDescent="0.2">
      <c r="A997" s="71" t="s">
        <v>218</v>
      </c>
      <c r="B997" s="71" t="s">
        <v>219</v>
      </c>
      <c r="C997" s="71" t="s">
        <v>44</v>
      </c>
      <c r="D997" s="88">
        <v>46290.9078703704</v>
      </c>
      <c r="E997" s="89">
        <v>46290</v>
      </c>
      <c r="F997" s="71" t="s">
        <v>1510</v>
      </c>
      <c r="G997" s="71">
        <f t="shared" si="30"/>
        <v>9</v>
      </c>
      <c r="H997" s="71">
        <f t="shared" si="31"/>
        <v>31</v>
      </c>
    </row>
    <row r="998" spans="1:8" x14ac:dyDescent="0.2">
      <c r="A998" s="71" t="s">
        <v>218</v>
      </c>
      <c r="B998" s="71" t="s">
        <v>219</v>
      </c>
      <c r="C998" s="71" t="s">
        <v>44</v>
      </c>
      <c r="D998" s="88">
        <v>46290.909212963001</v>
      </c>
      <c r="E998" s="89">
        <v>46290</v>
      </c>
      <c r="F998" s="71" t="s">
        <v>1461</v>
      </c>
      <c r="G998" s="71">
        <f t="shared" si="30"/>
        <v>9</v>
      </c>
      <c r="H998" s="71">
        <f t="shared" si="31"/>
        <v>26</v>
      </c>
    </row>
    <row r="999" spans="1:8" x14ac:dyDescent="0.2">
      <c r="A999" s="71" t="s">
        <v>218</v>
      </c>
      <c r="B999" s="71" t="s">
        <v>219</v>
      </c>
      <c r="C999" s="71" t="s">
        <v>44</v>
      </c>
      <c r="D999" s="88">
        <v>46291.753553240698</v>
      </c>
      <c r="E999" s="89">
        <v>46291</v>
      </c>
      <c r="F999" s="71" t="s">
        <v>1461</v>
      </c>
      <c r="G999" s="71">
        <f t="shared" si="30"/>
        <v>9</v>
      </c>
      <c r="H999" s="71">
        <f t="shared" si="31"/>
        <v>26</v>
      </c>
    </row>
    <row r="1000" spans="1:8" x14ac:dyDescent="0.2">
      <c r="A1000" s="71" t="s">
        <v>218</v>
      </c>
      <c r="B1000" s="71" t="s">
        <v>219</v>
      </c>
      <c r="C1000" s="71" t="s">
        <v>44</v>
      </c>
      <c r="D1000" s="88">
        <v>46293.887048611097</v>
      </c>
      <c r="E1000" s="89">
        <v>46293</v>
      </c>
      <c r="F1000" s="71" t="s">
        <v>1511</v>
      </c>
      <c r="G1000" s="71">
        <f t="shared" si="30"/>
        <v>9</v>
      </c>
      <c r="H1000" s="71">
        <f t="shared" si="31"/>
        <v>10</v>
      </c>
    </row>
    <row r="1001" spans="1:8" x14ac:dyDescent="0.2">
      <c r="A1001" s="71" t="s">
        <v>218</v>
      </c>
      <c r="B1001" s="71" t="s">
        <v>219</v>
      </c>
      <c r="C1001" s="71" t="s">
        <v>44</v>
      </c>
      <c r="D1001" s="88">
        <v>46293.887638888897</v>
      </c>
      <c r="E1001" s="89">
        <v>46293</v>
      </c>
      <c r="F1001" s="71" t="s">
        <v>1461</v>
      </c>
      <c r="G1001" s="71">
        <f t="shared" si="30"/>
        <v>9</v>
      </c>
      <c r="H1001" s="71">
        <f t="shared" si="31"/>
        <v>26</v>
      </c>
    </row>
    <row r="1002" spans="1:8" x14ac:dyDescent="0.2">
      <c r="A1002" s="71" t="s">
        <v>218</v>
      </c>
      <c r="B1002" s="71" t="s">
        <v>219</v>
      </c>
      <c r="C1002" s="71" t="s">
        <v>44</v>
      </c>
      <c r="D1002" s="88">
        <v>46294.758032407401</v>
      </c>
      <c r="E1002" s="89">
        <v>46294</v>
      </c>
      <c r="F1002" s="71" t="s">
        <v>1461</v>
      </c>
      <c r="G1002" s="71">
        <f t="shared" si="30"/>
        <v>9</v>
      </c>
      <c r="H1002" s="71">
        <f t="shared" si="31"/>
        <v>26</v>
      </c>
    </row>
    <row r="1003" spans="1:8" x14ac:dyDescent="0.2">
      <c r="A1003" s="71" t="s">
        <v>218</v>
      </c>
      <c r="B1003" s="71" t="s">
        <v>219</v>
      </c>
      <c r="C1003" s="71" t="s">
        <v>44</v>
      </c>
      <c r="D1003" s="88">
        <v>46294.758298611101</v>
      </c>
      <c r="E1003" s="89">
        <v>46294</v>
      </c>
      <c r="F1003" s="71" t="s">
        <v>1511</v>
      </c>
      <c r="G1003" s="71">
        <f t="shared" si="30"/>
        <v>9</v>
      </c>
      <c r="H1003" s="71">
        <f t="shared" si="31"/>
        <v>10</v>
      </c>
    </row>
    <row r="1004" spans="1:8" x14ac:dyDescent="0.2">
      <c r="A1004" s="71" t="s">
        <v>218</v>
      </c>
      <c r="B1004" s="71" t="s">
        <v>219</v>
      </c>
      <c r="C1004" s="71" t="s">
        <v>44</v>
      </c>
      <c r="D1004" s="88">
        <v>46295.897499999999</v>
      </c>
      <c r="E1004" s="89">
        <v>46295</v>
      </c>
      <c r="F1004" s="71" t="s">
        <v>1461</v>
      </c>
      <c r="G1004" s="71">
        <f t="shared" si="30"/>
        <v>9</v>
      </c>
      <c r="H1004" s="71">
        <f t="shared" si="31"/>
        <v>26</v>
      </c>
    </row>
    <row r="1005" spans="1:8" x14ac:dyDescent="0.2">
      <c r="A1005" s="71" t="s">
        <v>205</v>
      </c>
      <c r="B1005" s="71" t="s">
        <v>206</v>
      </c>
      <c r="C1005" s="71" t="s">
        <v>47</v>
      </c>
      <c r="D1005" s="88">
        <v>46175.689363425903</v>
      </c>
      <c r="E1005" s="89">
        <v>46175</v>
      </c>
      <c r="F1005" s="71" t="s">
        <v>1512</v>
      </c>
      <c r="G1005" s="71">
        <f t="shared" si="30"/>
        <v>6</v>
      </c>
      <c r="H1005" s="71">
        <f t="shared" si="31"/>
        <v>150</v>
      </c>
    </row>
    <row r="1006" spans="1:8" x14ac:dyDescent="0.2">
      <c r="A1006" s="71" t="s">
        <v>205</v>
      </c>
      <c r="B1006" s="71" t="s">
        <v>206</v>
      </c>
      <c r="C1006" s="71" t="s">
        <v>47</v>
      </c>
      <c r="D1006" s="88">
        <v>46176.769236111097</v>
      </c>
      <c r="E1006" s="89">
        <v>46176</v>
      </c>
      <c r="F1006" s="71" t="s">
        <v>1513</v>
      </c>
      <c r="G1006" s="71">
        <f t="shared" si="30"/>
        <v>6</v>
      </c>
      <c r="H1006" s="71">
        <f t="shared" si="31"/>
        <v>55</v>
      </c>
    </row>
    <row r="1007" spans="1:8" x14ac:dyDescent="0.2">
      <c r="A1007" s="71" t="s">
        <v>205</v>
      </c>
      <c r="B1007" s="71" t="s">
        <v>206</v>
      </c>
      <c r="C1007" s="71" t="s">
        <v>47</v>
      </c>
      <c r="D1007" s="88">
        <v>46177.682256944398</v>
      </c>
      <c r="E1007" s="89">
        <v>46177</v>
      </c>
      <c r="F1007" s="71" t="s">
        <v>1514</v>
      </c>
      <c r="G1007" s="71">
        <f t="shared" si="30"/>
        <v>6</v>
      </c>
      <c r="H1007" s="71">
        <f t="shared" si="31"/>
        <v>62</v>
      </c>
    </row>
    <row r="1008" spans="1:8" x14ac:dyDescent="0.2">
      <c r="A1008" s="71" t="s">
        <v>205</v>
      </c>
      <c r="B1008" s="71" t="s">
        <v>206</v>
      </c>
      <c r="C1008" s="71" t="s">
        <v>47</v>
      </c>
      <c r="D1008" s="88">
        <v>46178.690925925897</v>
      </c>
      <c r="E1008" s="89">
        <v>46178</v>
      </c>
      <c r="F1008" s="71" t="s">
        <v>1515</v>
      </c>
      <c r="G1008" s="71">
        <f t="shared" si="30"/>
        <v>6</v>
      </c>
      <c r="H1008" s="71">
        <f t="shared" si="31"/>
        <v>127</v>
      </c>
    </row>
    <row r="1009" spans="1:8" x14ac:dyDescent="0.2">
      <c r="A1009" s="71" t="s">
        <v>205</v>
      </c>
      <c r="B1009" s="71" t="s">
        <v>206</v>
      </c>
      <c r="C1009" s="71" t="s">
        <v>47</v>
      </c>
      <c r="D1009" s="88">
        <v>46181.6651388889</v>
      </c>
      <c r="E1009" s="89">
        <v>46181</v>
      </c>
      <c r="F1009" s="71" t="s">
        <v>1516</v>
      </c>
      <c r="G1009" s="71">
        <f t="shared" si="30"/>
        <v>6</v>
      </c>
      <c r="H1009" s="71">
        <f t="shared" si="31"/>
        <v>92</v>
      </c>
    </row>
    <row r="1010" spans="1:8" x14ac:dyDescent="0.2">
      <c r="A1010" s="71" t="s">
        <v>205</v>
      </c>
      <c r="B1010" s="71" t="s">
        <v>206</v>
      </c>
      <c r="C1010" s="71" t="s">
        <v>47</v>
      </c>
      <c r="D1010" s="88">
        <v>46182.684560185196</v>
      </c>
      <c r="E1010" s="89">
        <v>46182</v>
      </c>
      <c r="F1010" s="71" t="s">
        <v>1517</v>
      </c>
      <c r="G1010" s="71">
        <f t="shared" si="30"/>
        <v>6</v>
      </c>
      <c r="H1010" s="71">
        <f t="shared" si="31"/>
        <v>69</v>
      </c>
    </row>
    <row r="1011" spans="1:8" x14ac:dyDescent="0.2">
      <c r="A1011" s="71" t="s">
        <v>205</v>
      </c>
      <c r="B1011" s="71" t="s">
        <v>206</v>
      </c>
      <c r="C1011" s="71" t="s">
        <v>47</v>
      </c>
      <c r="D1011" s="88">
        <v>46183.880231481497</v>
      </c>
      <c r="E1011" s="89">
        <v>46183</v>
      </c>
      <c r="F1011" s="71" t="s">
        <v>1518</v>
      </c>
      <c r="G1011" s="71">
        <f t="shared" si="30"/>
        <v>6</v>
      </c>
      <c r="H1011" s="71">
        <f t="shared" si="31"/>
        <v>42</v>
      </c>
    </row>
    <row r="1012" spans="1:8" x14ac:dyDescent="0.2">
      <c r="A1012" s="71" t="s">
        <v>205</v>
      </c>
      <c r="B1012" s="71" t="s">
        <v>206</v>
      </c>
      <c r="C1012" s="71" t="s">
        <v>47</v>
      </c>
      <c r="D1012" s="88">
        <v>46184.610289351898</v>
      </c>
      <c r="E1012" s="89">
        <v>46184</v>
      </c>
      <c r="F1012" s="71" t="s">
        <v>1519</v>
      </c>
      <c r="G1012" s="71">
        <f t="shared" si="30"/>
        <v>6</v>
      </c>
      <c r="H1012" s="71">
        <f t="shared" si="31"/>
        <v>34</v>
      </c>
    </row>
    <row r="1013" spans="1:8" x14ac:dyDescent="0.2">
      <c r="A1013" s="71" t="s">
        <v>205</v>
      </c>
      <c r="B1013" s="71" t="s">
        <v>206</v>
      </c>
      <c r="C1013" s="71" t="s">
        <v>47</v>
      </c>
      <c r="D1013" s="88">
        <v>46184.611377314803</v>
      </c>
      <c r="E1013" s="89">
        <v>46184</v>
      </c>
      <c r="F1013" s="71" t="s">
        <v>1520</v>
      </c>
      <c r="G1013" s="71">
        <f t="shared" si="30"/>
        <v>6</v>
      </c>
      <c r="H1013" s="71">
        <f t="shared" si="31"/>
        <v>35</v>
      </c>
    </row>
    <row r="1014" spans="1:8" x14ac:dyDescent="0.2">
      <c r="A1014" s="71" t="s">
        <v>205</v>
      </c>
      <c r="B1014" s="71" t="s">
        <v>206</v>
      </c>
      <c r="C1014" s="71" t="s">
        <v>47</v>
      </c>
      <c r="D1014" s="88">
        <v>46184.672453703701</v>
      </c>
      <c r="E1014" s="89">
        <v>46184</v>
      </c>
      <c r="F1014" s="71" t="s">
        <v>1521</v>
      </c>
      <c r="G1014" s="71">
        <f t="shared" si="30"/>
        <v>6</v>
      </c>
      <c r="H1014" s="71">
        <f t="shared" si="31"/>
        <v>28</v>
      </c>
    </row>
    <row r="1015" spans="1:8" x14ac:dyDescent="0.2">
      <c r="A1015" s="71" t="s">
        <v>205</v>
      </c>
      <c r="B1015" s="71" t="s">
        <v>206</v>
      </c>
      <c r="C1015" s="71" t="s">
        <v>47</v>
      </c>
      <c r="D1015" s="88">
        <v>46185.683391203696</v>
      </c>
      <c r="E1015" s="89">
        <v>46185</v>
      </c>
      <c r="F1015" s="71" t="s">
        <v>1522</v>
      </c>
      <c r="G1015" s="71">
        <f t="shared" si="30"/>
        <v>6</v>
      </c>
      <c r="H1015" s="71">
        <f t="shared" si="31"/>
        <v>71</v>
      </c>
    </row>
    <row r="1016" spans="1:8" x14ac:dyDescent="0.2">
      <c r="A1016" s="71" t="s">
        <v>205</v>
      </c>
      <c r="B1016" s="71" t="s">
        <v>206</v>
      </c>
      <c r="C1016" s="71" t="s">
        <v>47</v>
      </c>
      <c r="D1016" s="88">
        <v>46188.696817129603</v>
      </c>
      <c r="E1016" s="89">
        <v>46188</v>
      </c>
      <c r="F1016" s="71" t="s">
        <v>1523</v>
      </c>
      <c r="G1016" s="71">
        <f t="shared" si="30"/>
        <v>6</v>
      </c>
      <c r="H1016" s="71">
        <f t="shared" si="31"/>
        <v>68</v>
      </c>
    </row>
    <row r="1017" spans="1:8" x14ac:dyDescent="0.2">
      <c r="A1017" s="71" t="s">
        <v>205</v>
      </c>
      <c r="B1017" s="71" t="s">
        <v>206</v>
      </c>
      <c r="C1017" s="71" t="s">
        <v>47</v>
      </c>
      <c r="D1017" s="88">
        <v>46190.816122685203</v>
      </c>
      <c r="E1017" s="89">
        <v>46190</v>
      </c>
      <c r="F1017" s="71" t="s">
        <v>1524</v>
      </c>
      <c r="G1017" s="71">
        <f t="shared" si="30"/>
        <v>6</v>
      </c>
      <c r="H1017" s="71">
        <f t="shared" si="31"/>
        <v>40</v>
      </c>
    </row>
    <row r="1018" spans="1:8" x14ac:dyDescent="0.2">
      <c r="A1018" s="71" t="s">
        <v>205</v>
      </c>
      <c r="B1018" s="71" t="s">
        <v>206</v>
      </c>
      <c r="C1018" s="71" t="s">
        <v>47</v>
      </c>
      <c r="D1018" s="88">
        <v>46191.681192129603</v>
      </c>
      <c r="E1018" s="89">
        <v>46191</v>
      </c>
      <c r="F1018" s="71" t="s">
        <v>1525</v>
      </c>
      <c r="G1018" s="71">
        <f t="shared" si="30"/>
        <v>6</v>
      </c>
      <c r="H1018" s="71">
        <f t="shared" si="31"/>
        <v>60</v>
      </c>
    </row>
    <row r="1019" spans="1:8" x14ac:dyDescent="0.2">
      <c r="A1019" s="71" t="s">
        <v>205</v>
      </c>
      <c r="B1019" s="71" t="s">
        <v>206</v>
      </c>
      <c r="C1019" s="71" t="s">
        <v>47</v>
      </c>
      <c r="D1019" s="88">
        <v>46191.682893518497</v>
      </c>
      <c r="E1019" s="89">
        <v>46191</v>
      </c>
      <c r="F1019" s="71" t="s">
        <v>1526</v>
      </c>
      <c r="G1019" s="71">
        <f t="shared" si="30"/>
        <v>6</v>
      </c>
      <c r="H1019" s="71">
        <f t="shared" si="31"/>
        <v>71</v>
      </c>
    </row>
    <row r="1020" spans="1:8" x14ac:dyDescent="0.2">
      <c r="A1020" s="71" t="s">
        <v>205</v>
      </c>
      <c r="B1020" s="71" t="s">
        <v>206</v>
      </c>
      <c r="C1020" s="71" t="s">
        <v>47</v>
      </c>
      <c r="D1020" s="88">
        <v>46191.684479166703</v>
      </c>
      <c r="E1020" s="89">
        <v>46191</v>
      </c>
      <c r="F1020" s="71" t="s">
        <v>1527</v>
      </c>
      <c r="G1020" s="71">
        <f t="shared" si="30"/>
        <v>6</v>
      </c>
      <c r="H1020" s="71">
        <f t="shared" si="31"/>
        <v>71</v>
      </c>
    </row>
    <row r="1021" spans="1:8" x14ac:dyDescent="0.2">
      <c r="A1021" s="71" t="s">
        <v>205</v>
      </c>
      <c r="B1021" s="71" t="s">
        <v>206</v>
      </c>
      <c r="C1021" s="71" t="s">
        <v>47</v>
      </c>
      <c r="D1021" s="88">
        <v>46192.676979166703</v>
      </c>
      <c r="E1021" s="89">
        <v>46192</v>
      </c>
      <c r="F1021" s="71" t="s">
        <v>1528</v>
      </c>
      <c r="G1021" s="71">
        <f t="shared" si="30"/>
        <v>6</v>
      </c>
      <c r="H1021" s="71">
        <f t="shared" si="31"/>
        <v>43</v>
      </c>
    </row>
    <row r="1022" spans="1:8" x14ac:dyDescent="0.2">
      <c r="A1022" s="71" t="s">
        <v>205</v>
      </c>
      <c r="B1022" s="71" t="s">
        <v>206</v>
      </c>
      <c r="C1022" s="71" t="s">
        <v>47</v>
      </c>
      <c r="D1022" s="88">
        <v>46192.682766203703</v>
      </c>
      <c r="E1022" s="89">
        <v>46192</v>
      </c>
      <c r="F1022" s="71" t="s">
        <v>1529</v>
      </c>
      <c r="G1022" s="71">
        <f t="shared" si="30"/>
        <v>6</v>
      </c>
      <c r="H1022" s="71">
        <f t="shared" si="31"/>
        <v>56</v>
      </c>
    </row>
    <row r="1023" spans="1:8" x14ac:dyDescent="0.2">
      <c r="A1023" s="71" t="s">
        <v>205</v>
      </c>
      <c r="B1023" s="71" t="s">
        <v>206</v>
      </c>
      <c r="C1023" s="71" t="s">
        <v>47</v>
      </c>
      <c r="D1023" s="88">
        <v>46195.651400463001</v>
      </c>
      <c r="E1023" s="89">
        <v>46195</v>
      </c>
      <c r="F1023" s="71" t="s">
        <v>1530</v>
      </c>
      <c r="G1023" s="71">
        <f t="shared" si="30"/>
        <v>6</v>
      </c>
      <c r="H1023" s="71">
        <f t="shared" si="31"/>
        <v>95</v>
      </c>
    </row>
    <row r="1024" spans="1:8" x14ac:dyDescent="0.2">
      <c r="A1024" s="71" t="s">
        <v>205</v>
      </c>
      <c r="B1024" s="71" t="s">
        <v>206</v>
      </c>
      <c r="C1024" s="71" t="s">
        <v>47</v>
      </c>
      <c r="D1024" s="88">
        <v>46196.672199074099</v>
      </c>
      <c r="E1024" s="89">
        <v>46196</v>
      </c>
      <c r="F1024" s="71" t="s">
        <v>1531</v>
      </c>
      <c r="G1024" s="71">
        <f t="shared" si="30"/>
        <v>6</v>
      </c>
      <c r="H1024" s="71">
        <f t="shared" si="31"/>
        <v>36</v>
      </c>
    </row>
    <row r="1025" spans="1:8" x14ac:dyDescent="0.2">
      <c r="A1025" s="71" t="s">
        <v>205</v>
      </c>
      <c r="B1025" s="71" t="s">
        <v>206</v>
      </c>
      <c r="C1025" s="71" t="s">
        <v>47</v>
      </c>
      <c r="D1025" s="88">
        <v>46196.672662037003</v>
      </c>
      <c r="E1025" s="89">
        <v>46196</v>
      </c>
      <c r="F1025" s="71" t="s">
        <v>1532</v>
      </c>
      <c r="G1025" s="71">
        <f t="shared" si="30"/>
        <v>6</v>
      </c>
      <c r="H1025" s="71">
        <f t="shared" si="31"/>
        <v>48</v>
      </c>
    </row>
    <row r="1026" spans="1:8" x14ac:dyDescent="0.2">
      <c r="A1026" s="71" t="s">
        <v>205</v>
      </c>
      <c r="B1026" s="71" t="s">
        <v>206</v>
      </c>
      <c r="C1026" s="71" t="s">
        <v>47</v>
      </c>
      <c r="D1026" s="88">
        <v>46196.673263888901</v>
      </c>
      <c r="E1026" s="89">
        <v>46196</v>
      </c>
      <c r="F1026" s="71" t="s">
        <v>1533</v>
      </c>
      <c r="G1026" s="71">
        <f t="shared" ref="G1026:G1089" si="32">MONTH(E1026)</f>
        <v>6</v>
      </c>
      <c r="H1026" s="71">
        <f t="shared" ref="H1026:H1089" si="33">LEN(F1026)</f>
        <v>85</v>
      </c>
    </row>
    <row r="1027" spans="1:8" x14ac:dyDescent="0.2">
      <c r="A1027" s="71" t="s">
        <v>205</v>
      </c>
      <c r="B1027" s="71" t="s">
        <v>206</v>
      </c>
      <c r="C1027" s="71" t="s">
        <v>47</v>
      </c>
      <c r="D1027" s="88">
        <v>46197.917465277802</v>
      </c>
      <c r="E1027" s="89">
        <v>46197</v>
      </c>
      <c r="F1027" s="71" t="s">
        <v>1534</v>
      </c>
      <c r="G1027" s="71">
        <f t="shared" si="32"/>
        <v>6</v>
      </c>
      <c r="H1027" s="71">
        <f t="shared" si="33"/>
        <v>60</v>
      </c>
    </row>
    <row r="1028" spans="1:8" x14ac:dyDescent="0.2">
      <c r="A1028" s="71" t="s">
        <v>205</v>
      </c>
      <c r="B1028" s="71" t="s">
        <v>206</v>
      </c>
      <c r="C1028" s="71" t="s">
        <v>47</v>
      </c>
      <c r="D1028" s="88">
        <v>46197.918043981503</v>
      </c>
      <c r="E1028" s="89">
        <v>46197</v>
      </c>
      <c r="F1028" s="71" t="s">
        <v>1535</v>
      </c>
      <c r="G1028" s="71">
        <f t="shared" si="32"/>
        <v>6</v>
      </c>
      <c r="H1028" s="71">
        <f t="shared" si="33"/>
        <v>61</v>
      </c>
    </row>
    <row r="1029" spans="1:8" x14ac:dyDescent="0.2">
      <c r="A1029" s="71" t="s">
        <v>205</v>
      </c>
      <c r="B1029" s="71" t="s">
        <v>206</v>
      </c>
      <c r="C1029" s="71" t="s">
        <v>47</v>
      </c>
      <c r="D1029" s="88">
        <v>46198.611689814803</v>
      </c>
      <c r="E1029" s="89">
        <v>46198</v>
      </c>
      <c r="F1029" s="71" t="s">
        <v>1524</v>
      </c>
      <c r="G1029" s="71">
        <f t="shared" si="32"/>
        <v>6</v>
      </c>
      <c r="H1029" s="71">
        <f t="shared" si="33"/>
        <v>40</v>
      </c>
    </row>
    <row r="1030" spans="1:8" x14ac:dyDescent="0.2">
      <c r="A1030" s="71" t="s">
        <v>205</v>
      </c>
      <c r="B1030" s="71" t="s">
        <v>206</v>
      </c>
      <c r="C1030" s="71" t="s">
        <v>47</v>
      </c>
      <c r="D1030" s="88">
        <v>46198.791944444398</v>
      </c>
      <c r="E1030" s="89">
        <v>46198</v>
      </c>
      <c r="F1030" s="71" t="s">
        <v>1536</v>
      </c>
      <c r="G1030" s="71">
        <f t="shared" si="32"/>
        <v>6</v>
      </c>
      <c r="H1030" s="71">
        <f t="shared" si="33"/>
        <v>49</v>
      </c>
    </row>
    <row r="1031" spans="1:8" x14ac:dyDescent="0.2">
      <c r="A1031" s="71" t="s">
        <v>205</v>
      </c>
      <c r="B1031" s="71" t="s">
        <v>206</v>
      </c>
      <c r="C1031" s="71" t="s">
        <v>47</v>
      </c>
      <c r="D1031" s="88">
        <v>46199.552488425899</v>
      </c>
      <c r="E1031" s="89">
        <v>46199</v>
      </c>
      <c r="F1031" s="71" t="s">
        <v>1524</v>
      </c>
      <c r="G1031" s="71">
        <f t="shared" si="32"/>
        <v>6</v>
      </c>
      <c r="H1031" s="71">
        <f t="shared" si="33"/>
        <v>40</v>
      </c>
    </row>
    <row r="1032" spans="1:8" x14ac:dyDescent="0.2">
      <c r="A1032" s="71" t="s">
        <v>205</v>
      </c>
      <c r="B1032" s="71" t="s">
        <v>206</v>
      </c>
      <c r="C1032" s="71" t="s">
        <v>47</v>
      </c>
      <c r="D1032" s="88">
        <v>46200.9735069444</v>
      </c>
      <c r="E1032" s="89">
        <v>46200</v>
      </c>
      <c r="F1032" s="71" t="s">
        <v>1537</v>
      </c>
      <c r="G1032" s="71">
        <f t="shared" si="32"/>
        <v>6</v>
      </c>
      <c r="H1032" s="71">
        <f t="shared" si="33"/>
        <v>75</v>
      </c>
    </row>
    <row r="1033" spans="1:8" x14ac:dyDescent="0.2">
      <c r="A1033" s="71" t="s">
        <v>205</v>
      </c>
      <c r="B1033" s="71" t="s">
        <v>206</v>
      </c>
      <c r="C1033" s="71" t="s">
        <v>47</v>
      </c>
      <c r="D1033" s="88">
        <v>46202.695185185199</v>
      </c>
      <c r="E1033" s="89">
        <v>46202</v>
      </c>
      <c r="F1033" s="71" t="s">
        <v>1538</v>
      </c>
      <c r="G1033" s="71">
        <f t="shared" si="32"/>
        <v>6</v>
      </c>
      <c r="H1033" s="71">
        <f t="shared" si="33"/>
        <v>57</v>
      </c>
    </row>
    <row r="1034" spans="1:8" x14ac:dyDescent="0.2">
      <c r="A1034" s="71" t="s">
        <v>205</v>
      </c>
      <c r="B1034" s="71" t="s">
        <v>206</v>
      </c>
      <c r="C1034" s="71" t="s">
        <v>47</v>
      </c>
      <c r="D1034" s="88">
        <v>46202.695601851898</v>
      </c>
      <c r="E1034" s="89">
        <v>46202</v>
      </c>
      <c r="F1034" s="71" t="s">
        <v>1539</v>
      </c>
      <c r="G1034" s="71">
        <f t="shared" si="32"/>
        <v>6</v>
      </c>
      <c r="H1034" s="71">
        <f t="shared" si="33"/>
        <v>47</v>
      </c>
    </row>
    <row r="1035" spans="1:8" x14ac:dyDescent="0.2">
      <c r="A1035" s="71" t="s">
        <v>205</v>
      </c>
      <c r="B1035" s="71" t="s">
        <v>206</v>
      </c>
      <c r="C1035" s="71" t="s">
        <v>47</v>
      </c>
      <c r="D1035" s="88">
        <v>46204.821956018503</v>
      </c>
      <c r="E1035" s="89">
        <v>46204</v>
      </c>
      <c r="F1035" s="71" t="s">
        <v>1540</v>
      </c>
      <c r="G1035" s="71">
        <f t="shared" si="32"/>
        <v>7</v>
      </c>
      <c r="H1035" s="71">
        <f t="shared" si="33"/>
        <v>61</v>
      </c>
    </row>
    <row r="1036" spans="1:8" x14ac:dyDescent="0.2">
      <c r="A1036" s="71" t="s">
        <v>205</v>
      </c>
      <c r="B1036" s="71" t="s">
        <v>206</v>
      </c>
      <c r="C1036" s="71" t="s">
        <v>47</v>
      </c>
      <c r="D1036" s="88">
        <v>46205.675775463002</v>
      </c>
      <c r="E1036" s="89">
        <v>46205</v>
      </c>
      <c r="F1036" s="71" t="s">
        <v>1541</v>
      </c>
      <c r="G1036" s="71">
        <f t="shared" si="32"/>
        <v>7</v>
      </c>
      <c r="H1036" s="71">
        <f t="shared" si="33"/>
        <v>60</v>
      </c>
    </row>
    <row r="1037" spans="1:8" x14ac:dyDescent="0.2">
      <c r="A1037" s="71" t="s">
        <v>205</v>
      </c>
      <c r="B1037" s="71" t="s">
        <v>206</v>
      </c>
      <c r="C1037" s="71" t="s">
        <v>47</v>
      </c>
      <c r="D1037" s="88">
        <v>46205.677048611098</v>
      </c>
      <c r="E1037" s="89">
        <v>46205</v>
      </c>
      <c r="F1037" s="71" t="s">
        <v>1542</v>
      </c>
      <c r="G1037" s="71">
        <f t="shared" si="32"/>
        <v>7</v>
      </c>
      <c r="H1037" s="71">
        <f t="shared" si="33"/>
        <v>75</v>
      </c>
    </row>
    <row r="1038" spans="1:8" x14ac:dyDescent="0.2">
      <c r="A1038" s="71" t="s">
        <v>205</v>
      </c>
      <c r="B1038" s="71" t="s">
        <v>206</v>
      </c>
      <c r="C1038" s="71" t="s">
        <v>47</v>
      </c>
      <c r="D1038" s="88">
        <v>46206.4046296296</v>
      </c>
      <c r="E1038" s="89">
        <v>46206</v>
      </c>
      <c r="F1038" s="71" t="s">
        <v>1543</v>
      </c>
      <c r="G1038" s="71">
        <f t="shared" si="32"/>
        <v>7</v>
      </c>
      <c r="H1038" s="71">
        <f t="shared" si="33"/>
        <v>65</v>
      </c>
    </row>
    <row r="1039" spans="1:8" x14ac:dyDescent="0.2">
      <c r="A1039" s="71" t="s">
        <v>205</v>
      </c>
      <c r="B1039" s="71" t="s">
        <v>206</v>
      </c>
      <c r="C1039" s="71" t="s">
        <v>47</v>
      </c>
      <c r="D1039" s="88">
        <v>46206.668321759302</v>
      </c>
      <c r="E1039" s="89">
        <v>46206</v>
      </c>
      <c r="F1039" s="71" t="s">
        <v>1544</v>
      </c>
      <c r="G1039" s="71">
        <f t="shared" si="32"/>
        <v>7</v>
      </c>
      <c r="H1039" s="71">
        <f t="shared" si="33"/>
        <v>35</v>
      </c>
    </row>
    <row r="1040" spans="1:8" x14ac:dyDescent="0.2">
      <c r="A1040" s="71" t="s">
        <v>205</v>
      </c>
      <c r="B1040" s="71" t="s">
        <v>206</v>
      </c>
      <c r="C1040" s="71" t="s">
        <v>47</v>
      </c>
      <c r="D1040" s="88">
        <v>46206.672708333303</v>
      </c>
      <c r="E1040" s="89">
        <v>46206</v>
      </c>
      <c r="F1040" s="71" t="s">
        <v>1545</v>
      </c>
      <c r="G1040" s="71">
        <f t="shared" si="32"/>
        <v>7</v>
      </c>
      <c r="H1040" s="71">
        <f t="shared" si="33"/>
        <v>46</v>
      </c>
    </row>
    <row r="1041" spans="1:8" x14ac:dyDescent="0.2">
      <c r="A1041" s="71" t="s">
        <v>205</v>
      </c>
      <c r="B1041" s="71" t="s">
        <v>206</v>
      </c>
      <c r="C1041" s="71" t="s">
        <v>47</v>
      </c>
      <c r="D1041" s="88">
        <v>46209.695960648198</v>
      </c>
      <c r="E1041" s="89">
        <v>46209</v>
      </c>
      <c r="F1041" s="71" t="s">
        <v>1546</v>
      </c>
      <c r="G1041" s="71">
        <f t="shared" si="32"/>
        <v>7</v>
      </c>
      <c r="H1041" s="71">
        <f t="shared" si="33"/>
        <v>34</v>
      </c>
    </row>
    <row r="1042" spans="1:8" x14ac:dyDescent="0.2">
      <c r="A1042" s="71" t="s">
        <v>205</v>
      </c>
      <c r="B1042" s="71" t="s">
        <v>206</v>
      </c>
      <c r="C1042" s="71" t="s">
        <v>47</v>
      </c>
      <c r="D1042" s="88">
        <v>46209.696759259299</v>
      </c>
      <c r="E1042" s="89">
        <v>46209</v>
      </c>
      <c r="F1042" s="71" t="s">
        <v>1547</v>
      </c>
      <c r="G1042" s="71">
        <f t="shared" si="32"/>
        <v>7</v>
      </c>
      <c r="H1042" s="71">
        <f t="shared" si="33"/>
        <v>91</v>
      </c>
    </row>
    <row r="1043" spans="1:8" x14ac:dyDescent="0.2">
      <c r="A1043" s="71" t="s">
        <v>205</v>
      </c>
      <c r="B1043" s="71" t="s">
        <v>206</v>
      </c>
      <c r="C1043" s="71" t="s">
        <v>47</v>
      </c>
      <c r="D1043" s="88">
        <v>46210.674652777801</v>
      </c>
      <c r="E1043" s="89">
        <v>46210</v>
      </c>
      <c r="F1043" s="71" t="s">
        <v>1548</v>
      </c>
      <c r="G1043" s="71">
        <f t="shared" si="32"/>
        <v>7</v>
      </c>
      <c r="H1043" s="71">
        <f t="shared" si="33"/>
        <v>57</v>
      </c>
    </row>
    <row r="1044" spans="1:8" x14ac:dyDescent="0.2">
      <c r="A1044" s="71" t="s">
        <v>205</v>
      </c>
      <c r="B1044" s="71" t="s">
        <v>206</v>
      </c>
      <c r="C1044" s="71" t="s">
        <v>47</v>
      </c>
      <c r="D1044" s="88">
        <v>46210.675254629597</v>
      </c>
      <c r="E1044" s="89">
        <v>46210</v>
      </c>
      <c r="F1044" s="71" t="s">
        <v>1549</v>
      </c>
      <c r="G1044" s="71">
        <f t="shared" si="32"/>
        <v>7</v>
      </c>
      <c r="H1044" s="71">
        <f t="shared" si="33"/>
        <v>51</v>
      </c>
    </row>
    <row r="1045" spans="1:8" x14ac:dyDescent="0.2">
      <c r="A1045" s="71" t="s">
        <v>205</v>
      </c>
      <c r="B1045" s="71" t="s">
        <v>206</v>
      </c>
      <c r="C1045" s="71" t="s">
        <v>47</v>
      </c>
      <c r="D1045" s="88">
        <v>46211.705451388902</v>
      </c>
      <c r="E1045" s="89">
        <v>46211</v>
      </c>
      <c r="F1045" s="71" t="s">
        <v>1550</v>
      </c>
      <c r="G1045" s="71">
        <f t="shared" si="32"/>
        <v>7</v>
      </c>
      <c r="H1045" s="71">
        <f t="shared" si="33"/>
        <v>52</v>
      </c>
    </row>
    <row r="1046" spans="1:8" x14ac:dyDescent="0.2">
      <c r="A1046" s="71" t="s">
        <v>205</v>
      </c>
      <c r="B1046" s="71" t="s">
        <v>206</v>
      </c>
      <c r="C1046" s="71" t="s">
        <v>47</v>
      </c>
      <c r="D1046" s="88">
        <v>46211.706377314797</v>
      </c>
      <c r="E1046" s="89">
        <v>46211</v>
      </c>
      <c r="F1046" s="71" t="s">
        <v>1551</v>
      </c>
      <c r="G1046" s="71">
        <f t="shared" si="32"/>
        <v>7</v>
      </c>
      <c r="H1046" s="71">
        <f t="shared" si="33"/>
        <v>84</v>
      </c>
    </row>
    <row r="1047" spans="1:8" x14ac:dyDescent="0.2">
      <c r="A1047" s="71" t="s">
        <v>205</v>
      </c>
      <c r="B1047" s="71" t="s">
        <v>206</v>
      </c>
      <c r="C1047" s="71" t="s">
        <v>47</v>
      </c>
      <c r="D1047" s="88">
        <v>46212.410949074103</v>
      </c>
      <c r="E1047" s="89">
        <v>46212</v>
      </c>
      <c r="F1047" s="71" t="s">
        <v>1552</v>
      </c>
      <c r="G1047" s="71">
        <f t="shared" si="32"/>
        <v>7</v>
      </c>
      <c r="H1047" s="71">
        <f t="shared" si="33"/>
        <v>61</v>
      </c>
    </row>
    <row r="1048" spans="1:8" x14ac:dyDescent="0.2">
      <c r="A1048" s="71" t="s">
        <v>205</v>
      </c>
      <c r="B1048" s="71" t="s">
        <v>206</v>
      </c>
      <c r="C1048" s="71" t="s">
        <v>47</v>
      </c>
      <c r="D1048" s="88">
        <v>46212.684097222198</v>
      </c>
      <c r="E1048" s="89">
        <v>46212</v>
      </c>
      <c r="F1048" s="71" t="s">
        <v>1553</v>
      </c>
      <c r="G1048" s="71">
        <f t="shared" si="32"/>
        <v>7</v>
      </c>
      <c r="H1048" s="71">
        <f t="shared" si="33"/>
        <v>32</v>
      </c>
    </row>
    <row r="1049" spans="1:8" x14ac:dyDescent="0.2">
      <c r="A1049" s="71" t="s">
        <v>205</v>
      </c>
      <c r="B1049" s="71" t="s">
        <v>206</v>
      </c>
      <c r="C1049" s="71" t="s">
        <v>47</v>
      </c>
      <c r="D1049" s="88">
        <v>46213.6320023148</v>
      </c>
      <c r="E1049" s="89">
        <v>46213</v>
      </c>
      <c r="F1049" s="71" t="s">
        <v>1554</v>
      </c>
      <c r="G1049" s="71">
        <f t="shared" si="32"/>
        <v>7</v>
      </c>
      <c r="H1049" s="71">
        <f t="shared" si="33"/>
        <v>52</v>
      </c>
    </row>
    <row r="1050" spans="1:8" x14ac:dyDescent="0.2">
      <c r="A1050" s="71" t="s">
        <v>205</v>
      </c>
      <c r="B1050" s="71" t="s">
        <v>206</v>
      </c>
      <c r="C1050" s="71" t="s">
        <v>47</v>
      </c>
      <c r="D1050" s="88">
        <v>46213.632939814801</v>
      </c>
      <c r="E1050" s="89">
        <v>46213</v>
      </c>
      <c r="F1050" s="71" t="s">
        <v>1555</v>
      </c>
      <c r="G1050" s="71">
        <f t="shared" si="32"/>
        <v>7</v>
      </c>
      <c r="H1050" s="71">
        <f t="shared" si="33"/>
        <v>81</v>
      </c>
    </row>
    <row r="1051" spans="1:8" x14ac:dyDescent="0.2">
      <c r="A1051" s="71" t="s">
        <v>205</v>
      </c>
      <c r="B1051" s="71" t="s">
        <v>206</v>
      </c>
      <c r="C1051" s="71" t="s">
        <v>47</v>
      </c>
      <c r="D1051" s="88">
        <v>46213.690509259301</v>
      </c>
      <c r="E1051" s="89">
        <v>46213</v>
      </c>
      <c r="F1051" s="71" t="s">
        <v>1556</v>
      </c>
      <c r="G1051" s="71">
        <f t="shared" si="32"/>
        <v>7</v>
      </c>
      <c r="H1051" s="71">
        <f t="shared" si="33"/>
        <v>80</v>
      </c>
    </row>
    <row r="1052" spans="1:8" x14ac:dyDescent="0.2">
      <c r="A1052" s="71" t="s">
        <v>205</v>
      </c>
      <c r="B1052" s="71" t="s">
        <v>206</v>
      </c>
      <c r="C1052" s="71" t="s">
        <v>47</v>
      </c>
      <c r="D1052" s="88">
        <v>46216.655995370398</v>
      </c>
      <c r="E1052" s="89">
        <v>46216</v>
      </c>
      <c r="F1052" s="71" t="s">
        <v>1557</v>
      </c>
      <c r="G1052" s="71">
        <f t="shared" si="32"/>
        <v>7</v>
      </c>
      <c r="H1052" s="71">
        <f t="shared" si="33"/>
        <v>91</v>
      </c>
    </row>
    <row r="1053" spans="1:8" x14ac:dyDescent="0.2">
      <c r="A1053" s="71" t="s">
        <v>205</v>
      </c>
      <c r="B1053" s="71" t="s">
        <v>206</v>
      </c>
      <c r="C1053" s="71" t="s">
        <v>47</v>
      </c>
      <c r="D1053" s="88">
        <v>46216.699398148201</v>
      </c>
      <c r="E1053" s="89">
        <v>46216</v>
      </c>
      <c r="F1053" s="71" t="s">
        <v>1534</v>
      </c>
      <c r="G1053" s="71">
        <f t="shared" si="32"/>
        <v>7</v>
      </c>
      <c r="H1053" s="71">
        <f t="shared" si="33"/>
        <v>60</v>
      </c>
    </row>
    <row r="1054" spans="1:8" x14ac:dyDescent="0.2">
      <c r="A1054" s="71" t="s">
        <v>205</v>
      </c>
      <c r="B1054" s="71" t="s">
        <v>206</v>
      </c>
      <c r="C1054" s="71" t="s">
        <v>47</v>
      </c>
      <c r="D1054" s="88">
        <v>46217.657094907401</v>
      </c>
      <c r="E1054" s="89">
        <v>46217</v>
      </c>
      <c r="F1054" s="71" t="s">
        <v>1558</v>
      </c>
      <c r="G1054" s="71">
        <f t="shared" si="32"/>
        <v>7</v>
      </c>
      <c r="H1054" s="71">
        <f t="shared" si="33"/>
        <v>79</v>
      </c>
    </row>
    <row r="1055" spans="1:8" x14ac:dyDescent="0.2">
      <c r="A1055" s="71" t="s">
        <v>205</v>
      </c>
      <c r="B1055" s="71" t="s">
        <v>206</v>
      </c>
      <c r="C1055" s="71" t="s">
        <v>47</v>
      </c>
      <c r="D1055" s="88">
        <v>46217.679050925901</v>
      </c>
      <c r="E1055" s="89">
        <v>46217</v>
      </c>
      <c r="F1055" s="71" t="s">
        <v>1559</v>
      </c>
      <c r="G1055" s="71">
        <f t="shared" si="32"/>
        <v>7</v>
      </c>
      <c r="H1055" s="71">
        <f t="shared" si="33"/>
        <v>68</v>
      </c>
    </row>
    <row r="1056" spans="1:8" x14ac:dyDescent="0.2">
      <c r="A1056" s="71" t="s">
        <v>205</v>
      </c>
      <c r="B1056" s="71" t="s">
        <v>206</v>
      </c>
      <c r="C1056" s="71" t="s">
        <v>47</v>
      </c>
      <c r="D1056" s="88">
        <v>46218.743657407402</v>
      </c>
      <c r="E1056" s="89">
        <v>46218</v>
      </c>
      <c r="F1056" s="71" t="s">
        <v>1560</v>
      </c>
      <c r="G1056" s="71">
        <f t="shared" si="32"/>
        <v>7</v>
      </c>
      <c r="H1056" s="71">
        <f t="shared" si="33"/>
        <v>65</v>
      </c>
    </row>
    <row r="1057" spans="1:8" x14ac:dyDescent="0.2">
      <c r="A1057" s="71" t="s">
        <v>205</v>
      </c>
      <c r="B1057" s="71" t="s">
        <v>206</v>
      </c>
      <c r="C1057" s="71" t="s">
        <v>47</v>
      </c>
      <c r="D1057" s="88">
        <v>46218.750787037003</v>
      </c>
      <c r="E1057" s="89">
        <v>46218</v>
      </c>
      <c r="F1057" s="71" t="s">
        <v>1561</v>
      </c>
      <c r="G1057" s="71">
        <f t="shared" si="32"/>
        <v>7</v>
      </c>
      <c r="H1057" s="71">
        <f t="shared" si="33"/>
        <v>121</v>
      </c>
    </row>
    <row r="1058" spans="1:8" x14ac:dyDescent="0.2">
      <c r="A1058" s="71" t="s">
        <v>205</v>
      </c>
      <c r="B1058" s="71" t="s">
        <v>206</v>
      </c>
      <c r="C1058" s="71" t="s">
        <v>47</v>
      </c>
      <c r="D1058" s="88">
        <v>46219.459374999999</v>
      </c>
      <c r="E1058" s="89">
        <v>46219</v>
      </c>
      <c r="F1058" s="71" t="s">
        <v>1541</v>
      </c>
      <c r="G1058" s="71">
        <f t="shared" si="32"/>
        <v>7</v>
      </c>
      <c r="H1058" s="71">
        <f t="shared" si="33"/>
        <v>60</v>
      </c>
    </row>
    <row r="1059" spans="1:8" x14ac:dyDescent="0.2">
      <c r="A1059" s="71" t="s">
        <v>205</v>
      </c>
      <c r="B1059" s="71" t="s">
        <v>206</v>
      </c>
      <c r="C1059" s="71" t="s">
        <v>47</v>
      </c>
      <c r="D1059" s="88">
        <v>46219.462939814803</v>
      </c>
      <c r="E1059" s="89">
        <v>46219</v>
      </c>
      <c r="F1059" s="71" t="s">
        <v>1544</v>
      </c>
      <c r="G1059" s="71">
        <f t="shared" si="32"/>
        <v>7</v>
      </c>
      <c r="H1059" s="71">
        <f t="shared" si="33"/>
        <v>35</v>
      </c>
    </row>
    <row r="1060" spans="1:8" x14ac:dyDescent="0.2">
      <c r="A1060" s="71" t="s">
        <v>205</v>
      </c>
      <c r="B1060" s="71" t="s">
        <v>206</v>
      </c>
      <c r="C1060" s="71" t="s">
        <v>47</v>
      </c>
      <c r="D1060" s="88">
        <v>46220.656134259298</v>
      </c>
      <c r="E1060" s="89">
        <v>46220</v>
      </c>
      <c r="F1060" s="71" t="s">
        <v>1562</v>
      </c>
      <c r="G1060" s="71">
        <f t="shared" si="32"/>
        <v>7</v>
      </c>
      <c r="H1060" s="71">
        <f t="shared" si="33"/>
        <v>27</v>
      </c>
    </row>
    <row r="1061" spans="1:8" x14ac:dyDescent="0.2">
      <c r="A1061" s="71" t="s">
        <v>205</v>
      </c>
      <c r="B1061" s="71" t="s">
        <v>206</v>
      </c>
      <c r="C1061" s="71" t="s">
        <v>47</v>
      </c>
      <c r="D1061" s="88">
        <v>46220.6586805556</v>
      </c>
      <c r="E1061" s="89">
        <v>46220</v>
      </c>
      <c r="F1061" s="71" t="s">
        <v>1563</v>
      </c>
      <c r="G1061" s="71">
        <f t="shared" si="32"/>
        <v>7</v>
      </c>
      <c r="H1061" s="71">
        <f t="shared" si="33"/>
        <v>42</v>
      </c>
    </row>
    <row r="1062" spans="1:8" x14ac:dyDescent="0.2">
      <c r="A1062" s="71" t="s">
        <v>205</v>
      </c>
      <c r="B1062" s="71" t="s">
        <v>206</v>
      </c>
      <c r="C1062" s="71" t="s">
        <v>47</v>
      </c>
      <c r="D1062" s="88">
        <v>46223.6878587963</v>
      </c>
      <c r="E1062" s="89">
        <v>46223</v>
      </c>
      <c r="F1062" s="71" t="s">
        <v>1564</v>
      </c>
      <c r="G1062" s="71">
        <f t="shared" si="32"/>
        <v>7</v>
      </c>
      <c r="H1062" s="71">
        <f t="shared" si="33"/>
        <v>35</v>
      </c>
    </row>
    <row r="1063" spans="1:8" x14ac:dyDescent="0.2">
      <c r="A1063" s="71" t="s">
        <v>205</v>
      </c>
      <c r="B1063" s="71" t="s">
        <v>206</v>
      </c>
      <c r="C1063" s="71" t="s">
        <v>47</v>
      </c>
      <c r="D1063" s="88">
        <v>46223.691527777803</v>
      </c>
      <c r="E1063" s="89">
        <v>46223</v>
      </c>
      <c r="F1063" s="71" t="s">
        <v>1565</v>
      </c>
      <c r="G1063" s="71">
        <f t="shared" si="32"/>
        <v>7</v>
      </c>
      <c r="H1063" s="71">
        <f t="shared" si="33"/>
        <v>14</v>
      </c>
    </row>
    <row r="1064" spans="1:8" x14ac:dyDescent="0.2">
      <c r="A1064" s="71" t="s">
        <v>205</v>
      </c>
      <c r="B1064" s="71" t="s">
        <v>206</v>
      </c>
      <c r="C1064" s="71" t="s">
        <v>47</v>
      </c>
      <c r="D1064" s="88">
        <v>46223.694166666697</v>
      </c>
      <c r="E1064" s="89">
        <v>46223</v>
      </c>
      <c r="F1064" s="71" t="s">
        <v>1566</v>
      </c>
      <c r="G1064" s="71">
        <f t="shared" si="32"/>
        <v>7</v>
      </c>
      <c r="H1064" s="71">
        <f t="shared" si="33"/>
        <v>23</v>
      </c>
    </row>
    <row r="1065" spans="1:8" x14ac:dyDescent="0.2">
      <c r="A1065" s="71" t="s">
        <v>205</v>
      </c>
      <c r="B1065" s="71" t="s">
        <v>206</v>
      </c>
      <c r="C1065" s="71" t="s">
        <v>47</v>
      </c>
      <c r="D1065" s="88">
        <v>46225.987997685203</v>
      </c>
      <c r="E1065" s="89">
        <v>46225</v>
      </c>
      <c r="F1065" s="71" t="s">
        <v>1567</v>
      </c>
      <c r="G1065" s="71">
        <f t="shared" si="32"/>
        <v>7</v>
      </c>
      <c r="H1065" s="71">
        <f t="shared" si="33"/>
        <v>72</v>
      </c>
    </row>
    <row r="1066" spans="1:8" x14ac:dyDescent="0.2">
      <c r="A1066" s="71" t="s">
        <v>205</v>
      </c>
      <c r="B1066" s="71" t="s">
        <v>206</v>
      </c>
      <c r="C1066" s="71" t="s">
        <v>47</v>
      </c>
      <c r="D1066" s="88">
        <v>46227.596597222197</v>
      </c>
      <c r="E1066" s="89">
        <v>46227</v>
      </c>
      <c r="F1066" s="71" t="s">
        <v>1568</v>
      </c>
      <c r="G1066" s="71">
        <f t="shared" si="32"/>
        <v>7</v>
      </c>
      <c r="H1066" s="71">
        <f t="shared" si="33"/>
        <v>61</v>
      </c>
    </row>
    <row r="1067" spans="1:8" x14ac:dyDescent="0.2">
      <c r="A1067" s="71" t="s">
        <v>205</v>
      </c>
      <c r="B1067" s="71" t="s">
        <v>206</v>
      </c>
      <c r="C1067" s="71" t="s">
        <v>47</v>
      </c>
      <c r="D1067" s="88">
        <v>46230.684212963002</v>
      </c>
      <c r="E1067" s="89">
        <v>46230</v>
      </c>
      <c r="F1067" s="71" t="s">
        <v>1569</v>
      </c>
      <c r="G1067" s="71">
        <f t="shared" si="32"/>
        <v>7</v>
      </c>
      <c r="H1067" s="71">
        <f t="shared" si="33"/>
        <v>63</v>
      </c>
    </row>
    <row r="1068" spans="1:8" x14ac:dyDescent="0.2">
      <c r="A1068" s="71" t="s">
        <v>205</v>
      </c>
      <c r="B1068" s="71" t="s">
        <v>206</v>
      </c>
      <c r="C1068" s="71" t="s">
        <v>47</v>
      </c>
      <c r="D1068" s="88">
        <v>46230.698159722197</v>
      </c>
      <c r="E1068" s="89">
        <v>46230</v>
      </c>
      <c r="F1068" s="71" t="s">
        <v>1541</v>
      </c>
      <c r="G1068" s="71">
        <f t="shared" si="32"/>
        <v>7</v>
      </c>
      <c r="H1068" s="71">
        <f t="shared" si="33"/>
        <v>60</v>
      </c>
    </row>
    <row r="1069" spans="1:8" x14ac:dyDescent="0.2">
      <c r="A1069" s="71" t="s">
        <v>205</v>
      </c>
      <c r="B1069" s="71" t="s">
        <v>206</v>
      </c>
      <c r="C1069" s="71" t="s">
        <v>47</v>
      </c>
      <c r="D1069" s="88">
        <v>46231.629687499997</v>
      </c>
      <c r="E1069" s="89">
        <v>46231</v>
      </c>
      <c r="F1069" s="71" t="s">
        <v>1570</v>
      </c>
      <c r="G1069" s="71">
        <f t="shared" si="32"/>
        <v>7</v>
      </c>
      <c r="H1069" s="71">
        <f t="shared" si="33"/>
        <v>67</v>
      </c>
    </row>
    <row r="1070" spans="1:8" x14ac:dyDescent="0.2">
      <c r="A1070" s="71" t="s">
        <v>205</v>
      </c>
      <c r="B1070" s="71" t="s">
        <v>206</v>
      </c>
      <c r="C1070" s="71" t="s">
        <v>47</v>
      </c>
      <c r="D1070" s="88">
        <v>46231.630150463003</v>
      </c>
      <c r="E1070" s="89">
        <v>46231</v>
      </c>
      <c r="F1070" s="71" t="s">
        <v>1571</v>
      </c>
      <c r="G1070" s="71">
        <f t="shared" si="32"/>
        <v>7</v>
      </c>
      <c r="H1070" s="71">
        <f t="shared" si="33"/>
        <v>70</v>
      </c>
    </row>
    <row r="1071" spans="1:8" x14ac:dyDescent="0.2">
      <c r="A1071" s="71" t="s">
        <v>205</v>
      </c>
      <c r="B1071" s="71" t="s">
        <v>206</v>
      </c>
      <c r="C1071" s="71" t="s">
        <v>47</v>
      </c>
      <c r="D1071" s="88">
        <v>46231.630810185197</v>
      </c>
      <c r="E1071" s="89">
        <v>46231</v>
      </c>
      <c r="F1071" s="71" t="s">
        <v>1572</v>
      </c>
      <c r="G1071" s="71">
        <f t="shared" si="32"/>
        <v>7</v>
      </c>
      <c r="H1071" s="71">
        <f t="shared" si="33"/>
        <v>65</v>
      </c>
    </row>
    <row r="1072" spans="1:8" x14ac:dyDescent="0.2">
      <c r="A1072" s="71" t="s">
        <v>205</v>
      </c>
      <c r="B1072" s="71" t="s">
        <v>206</v>
      </c>
      <c r="C1072" s="71" t="s">
        <v>47</v>
      </c>
      <c r="D1072" s="88">
        <v>46231.631539351903</v>
      </c>
      <c r="E1072" s="89">
        <v>46231</v>
      </c>
      <c r="F1072" s="71" t="s">
        <v>1573</v>
      </c>
      <c r="G1072" s="71">
        <f t="shared" si="32"/>
        <v>7</v>
      </c>
      <c r="H1072" s="71">
        <f t="shared" si="33"/>
        <v>59</v>
      </c>
    </row>
    <row r="1073" spans="1:8" x14ac:dyDescent="0.2">
      <c r="A1073" s="71" t="s">
        <v>205</v>
      </c>
      <c r="B1073" s="71" t="s">
        <v>206</v>
      </c>
      <c r="C1073" s="71" t="s">
        <v>47</v>
      </c>
      <c r="D1073" s="88">
        <v>46232.5803703704</v>
      </c>
      <c r="E1073" s="89">
        <v>46232</v>
      </c>
      <c r="F1073" s="71" t="s">
        <v>1574</v>
      </c>
      <c r="G1073" s="71">
        <f t="shared" si="32"/>
        <v>7</v>
      </c>
      <c r="H1073" s="71">
        <f t="shared" si="33"/>
        <v>85</v>
      </c>
    </row>
    <row r="1074" spans="1:8" x14ac:dyDescent="0.2">
      <c r="A1074" s="71" t="s">
        <v>205</v>
      </c>
      <c r="B1074" s="71" t="s">
        <v>206</v>
      </c>
      <c r="C1074" s="71" t="s">
        <v>47</v>
      </c>
      <c r="D1074" s="88">
        <v>46232.675578703696</v>
      </c>
      <c r="E1074" s="89">
        <v>46232</v>
      </c>
      <c r="F1074" s="71" t="s">
        <v>1575</v>
      </c>
      <c r="G1074" s="71">
        <f t="shared" si="32"/>
        <v>7</v>
      </c>
      <c r="H1074" s="71">
        <f t="shared" si="33"/>
        <v>71</v>
      </c>
    </row>
    <row r="1075" spans="1:8" x14ac:dyDescent="0.2">
      <c r="A1075" s="71" t="s">
        <v>205</v>
      </c>
      <c r="B1075" s="71" t="s">
        <v>206</v>
      </c>
      <c r="C1075" s="71" t="s">
        <v>47</v>
      </c>
      <c r="D1075" s="88">
        <v>46232.982094907398</v>
      </c>
      <c r="E1075" s="89">
        <v>46232</v>
      </c>
      <c r="F1075" s="71" t="s">
        <v>1576</v>
      </c>
      <c r="G1075" s="71">
        <f t="shared" si="32"/>
        <v>7</v>
      </c>
      <c r="H1075" s="71">
        <f t="shared" si="33"/>
        <v>34</v>
      </c>
    </row>
    <row r="1076" spans="1:8" x14ac:dyDescent="0.2">
      <c r="A1076" s="71" t="s">
        <v>205</v>
      </c>
      <c r="B1076" s="71" t="s">
        <v>206</v>
      </c>
      <c r="C1076" s="71" t="s">
        <v>47</v>
      </c>
      <c r="D1076" s="88">
        <v>46233.6503240741</v>
      </c>
      <c r="E1076" s="89">
        <v>46233</v>
      </c>
      <c r="F1076" s="71" t="s">
        <v>1577</v>
      </c>
      <c r="G1076" s="71">
        <f t="shared" si="32"/>
        <v>7</v>
      </c>
      <c r="H1076" s="71">
        <f t="shared" si="33"/>
        <v>17</v>
      </c>
    </row>
    <row r="1077" spans="1:8" x14ac:dyDescent="0.2">
      <c r="A1077" s="71" t="s">
        <v>205</v>
      </c>
      <c r="B1077" s="71" t="s">
        <v>206</v>
      </c>
      <c r="C1077" s="71" t="s">
        <v>47</v>
      </c>
      <c r="D1077" s="88">
        <v>46233.651076388902</v>
      </c>
      <c r="E1077" s="89">
        <v>46233</v>
      </c>
      <c r="F1077" s="71" t="s">
        <v>1564</v>
      </c>
      <c r="G1077" s="71">
        <f t="shared" si="32"/>
        <v>7</v>
      </c>
      <c r="H1077" s="71">
        <f t="shared" si="33"/>
        <v>35</v>
      </c>
    </row>
    <row r="1078" spans="1:8" x14ac:dyDescent="0.2">
      <c r="A1078" s="71" t="s">
        <v>205</v>
      </c>
      <c r="B1078" s="71" t="s">
        <v>206</v>
      </c>
      <c r="C1078" s="71" t="s">
        <v>47</v>
      </c>
      <c r="D1078" s="88">
        <v>46233.652430555601</v>
      </c>
      <c r="E1078" s="89">
        <v>46233</v>
      </c>
      <c r="F1078" s="71" t="s">
        <v>1578</v>
      </c>
      <c r="G1078" s="71">
        <f t="shared" si="32"/>
        <v>7</v>
      </c>
      <c r="H1078" s="71">
        <f t="shared" si="33"/>
        <v>98</v>
      </c>
    </row>
    <row r="1079" spans="1:8" x14ac:dyDescent="0.2">
      <c r="A1079" s="71" t="s">
        <v>205</v>
      </c>
      <c r="B1079" s="71" t="s">
        <v>206</v>
      </c>
      <c r="C1079" s="71" t="s">
        <v>47</v>
      </c>
      <c r="D1079" s="88">
        <v>46234.3847916667</v>
      </c>
      <c r="E1079" s="89">
        <v>46234</v>
      </c>
      <c r="F1079" s="71" t="s">
        <v>1570</v>
      </c>
      <c r="G1079" s="71">
        <f t="shared" si="32"/>
        <v>7</v>
      </c>
      <c r="H1079" s="71">
        <f t="shared" si="33"/>
        <v>67</v>
      </c>
    </row>
    <row r="1080" spans="1:8" x14ac:dyDescent="0.2">
      <c r="A1080" s="71" t="s">
        <v>205</v>
      </c>
      <c r="B1080" s="71" t="s">
        <v>206</v>
      </c>
      <c r="C1080" s="71" t="s">
        <v>47</v>
      </c>
      <c r="D1080" s="88">
        <v>46234.3851041667</v>
      </c>
      <c r="E1080" s="89">
        <v>46234</v>
      </c>
      <c r="F1080" s="71" t="s">
        <v>1579</v>
      </c>
      <c r="G1080" s="71">
        <f t="shared" si="32"/>
        <v>7</v>
      </c>
      <c r="H1080" s="71">
        <f t="shared" si="33"/>
        <v>28</v>
      </c>
    </row>
    <row r="1081" spans="1:8" x14ac:dyDescent="0.2">
      <c r="A1081" s="71" t="s">
        <v>205</v>
      </c>
      <c r="B1081" s="71" t="s">
        <v>206</v>
      </c>
      <c r="C1081" s="71" t="s">
        <v>47</v>
      </c>
      <c r="D1081" s="88">
        <v>46234.390601851897</v>
      </c>
      <c r="E1081" s="89">
        <v>46234</v>
      </c>
      <c r="F1081" s="71" t="s">
        <v>1580</v>
      </c>
      <c r="G1081" s="71">
        <f t="shared" si="32"/>
        <v>7</v>
      </c>
      <c r="H1081" s="71">
        <f t="shared" si="33"/>
        <v>34</v>
      </c>
    </row>
    <row r="1082" spans="1:8" x14ac:dyDescent="0.2">
      <c r="A1082" s="71" t="s">
        <v>205</v>
      </c>
      <c r="B1082" s="71" t="s">
        <v>206</v>
      </c>
      <c r="C1082" s="71" t="s">
        <v>47</v>
      </c>
      <c r="D1082" s="88">
        <v>46234.653645833299</v>
      </c>
      <c r="E1082" s="89">
        <v>46234</v>
      </c>
      <c r="F1082" s="71" t="s">
        <v>1581</v>
      </c>
      <c r="G1082" s="71">
        <f t="shared" si="32"/>
        <v>7</v>
      </c>
      <c r="H1082" s="71">
        <f t="shared" si="33"/>
        <v>77</v>
      </c>
    </row>
    <row r="1083" spans="1:8" x14ac:dyDescent="0.2">
      <c r="A1083" s="71" t="s">
        <v>205</v>
      </c>
      <c r="B1083" s="71" t="s">
        <v>206</v>
      </c>
      <c r="C1083" s="71" t="s">
        <v>47</v>
      </c>
      <c r="D1083" s="88">
        <v>46234.653969907398</v>
      </c>
      <c r="E1083" s="89">
        <v>46234</v>
      </c>
      <c r="F1083" s="71" t="s">
        <v>1582</v>
      </c>
      <c r="G1083" s="71">
        <f t="shared" si="32"/>
        <v>7</v>
      </c>
      <c r="H1083" s="71">
        <f t="shared" si="33"/>
        <v>20</v>
      </c>
    </row>
    <row r="1084" spans="1:8" x14ac:dyDescent="0.2">
      <c r="A1084" s="71" t="s">
        <v>205</v>
      </c>
      <c r="B1084" s="71" t="s">
        <v>206</v>
      </c>
      <c r="C1084" s="71" t="s">
        <v>47</v>
      </c>
      <c r="D1084" s="88">
        <v>46234.688645833303</v>
      </c>
      <c r="E1084" s="89">
        <v>46234</v>
      </c>
      <c r="F1084" s="71" t="s">
        <v>1583</v>
      </c>
      <c r="G1084" s="71">
        <f t="shared" si="32"/>
        <v>7</v>
      </c>
      <c r="H1084" s="71">
        <f t="shared" si="33"/>
        <v>48</v>
      </c>
    </row>
    <row r="1085" spans="1:8" x14ac:dyDescent="0.2">
      <c r="A1085" s="71" t="s">
        <v>205</v>
      </c>
      <c r="B1085" s="71" t="s">
        <v>206</v>
      </c>
      <c r="C1085" s="71" t="s">
        <v>47</v>
      </c>
      <c r="D1085" s="88">
        <v>46237.567905092597</v>
      </c>
      <c r="E1085" s="89">
        <v>46237</v>
      </c>
      <c r="F1085" s="71" t="s">
        <v>1564</v>
      </c>
      <c r="G1085" s="71">
        <f t="shared" si="32"/>
        <v>8</v>
      </c>
      <c r="H1085" s="71">
        <f t="shared" si="33"/>
        <v>35</v>
      </c>
    </row>
    <row r="1086" spans="1:8" x14ac:dyDescent="0.2">
      <c r="A1086" s="71" t="s">
        <v>205</v>
      </c>
      <c r="B1086" s="71" t="s">
        <v>206</v>
      </c>
      <c r="C1086" s="71" t="s">
        <v>47</v>
      </c>
      <c r="D1086" s="88">
        <v>46237.615671296298</v>
      </c>
      <c r="E1086" s="89">
        <v>46237</v>
      </c>
      <c r="F1086" s="71" t="s">
        <v>1584</v>
      </c>
      <c r="G1086" s="71">
        <f t="shared" si="32"/>
        <v>8</v>
      </c>
      <c r="H1086" s="71">
        <f t="shared" si="33"/>
        <v>56</v>
      </c>
    </row>
    <row r="1087" spans="1:8" x14ac:dyDescent="0.2">
      <c r="A1087" s="71" t="s">
        <v>205</v>
      </c>
      <c r="B1087" s="71" t="s">
        <v>206</v>
      </c>
      <c r="C1087" s="71" t="s">
        <v>47</v>
      </c>
      <c r="D1087" s="88">
        <v>46237.6819328704</v>
      </c>
      <c r="E1087" s="89">
        <v>46237</v>
      </c>
      <c r="F1087" s="71" t="s">
        <v>1585</v>
      </c>
      <c r="G1087" s="71">
        <f t="shared" si="32"/>
        <v>8</v>
      </c>
      <c r="H1087" s="71">
        <f t="shared" si="33"/>
        <v>40</v>
      </c>
    </row>
    <row r="1088" spans="1:8" x14ac:dyDescent="0.2">
      <c r="A1088" s="71" t="s">
        <v>205</v>
      </c>
      <c r="B1088" s="71" t="s">
        <v>206</v>
      </c>
      <c r="C1088" s="71" t="s">
        <v>47</v>
      </c>
      <c r="D1088" s="88">
        <v>46238.388576388897</v>
      </c>
      <c r="E1088" s="89">
        <v>46238</v>
      </c>
      <c r="F1088" s="71" t="s">
        <v>1586</v>
      </c>
      <c r="G1088" s="71">
        <f t="shared" si="32"/>
        <v>8</v>
      </c>
      <c r="H1088" s="71">
        <f t="shared" si="33"/>
        <v>48</v>
      </c>
    </row>
    <row r="1089" spans="1:8" x14ac:dyDescent="0.2">
      <c r="A1089" s="71" t="s">
        <v>205</v>
      </c>
      <c r="B1089" s="71" t="s">
        <v>206</v>
      </c>
      <c r="C1089" s="71" t="s">
        <v>47</v>
      </c>
      <c r="D1089" s="88">
        <v>46238.672025462998</v>
      </c>
      <c r="E1089" s="89">
        <v>46238</v>
      </c>
      <c r="F1089" s="71" t="s">
        <v>1587</v>
      </c>
      <c r="G1089" s="71">
        <f t="shared" si="32"/>
        <v>8</v>
      </c>
      <c r="H1089" s="71">
        <f t="shared" si="33"/>
        <v>36</v>
      </c>
    </row>
    <row r="1090" spans="1:8" x14ac:dyDescent="0.2">
      <c r="A1090" s="71" t="s">
        <v>205</v>
      </c>
      <c r="B1090" s="71" t="s">
        <v>206</v>
      </c>
      <c r="C1090" s="71" t="s">
        <v>47</v>
      </c>
      <c r="D1090" s="88">
        <v>46238.899837962999</v>
      </c>
      <c r="E1090" s="89">
        <v>46238</v>
      </c>
      <c r="F1090" s="71" t="s">
        <v>1564</v>
      </c>
      <c r="G1090" s="71">
        <f t="shared" ref="G1090:G1153" si="34">MONTH(E1090)</f>
        <v>8</v>
      </c>
      <c r="H1090" s="71">
        <f t="shared" ref="H1090:H1153" si="35">LEN(F1090)</f>
        <v>35</v>
      </c>
    </row>
    <row r="1091" spans="1:8" x14ac:dyDescent="0.2">
      <c r="A1091" s="71" t="s">
        <v>205</v>
      </c>
      <c r="B1091" s="71" t="s">
        <v>206</v>
      </c>
      <c r="C1091" s="71" t="s">
        <v>47</v>
      </c>
      <c r="D1091" s="88">
        <v>46239.658807870401</v>
      </c>
      <c r="E1091" s="89">
        <v>46239</v>
      </c>
      <c r="F1091" s="71" t="s">
        <v>1588</v>
      </c>
      <c r="G1091" s="71">
        <f t="shared" si="34"/>
        <v>8</v>
      </c>
      <c r="H1091" s="71">
        <f t="shared" si="35"/>
        <v>47</v>
      </c>
    </row>
    <row r="1092" spans="1:8" x14ac:dyDescent="0.2">
      <c r="A1092" s="71" t="s">
        <v>205</v>
      </c>
      <c r="B1092" s="71" t="s">
        <v>206</v>
      </c>
      <c r="C1092" s="71" t="s">
        <v>47</v>
      </c>
      <c r="D1092" s="88">
        <v>46239.7351388889</v>
      </c>
      <c r="E1092" s="89">
        <v>46239</v>
      </c>
      <c r="F1092" s="71" t="s">
        <v>1589</v>
      </c>
      <c r="G1092" s="71">
        <f t="shared" si="34"/>
        <v>8</v>
      </c>
      <c r="H1092" s="71">
        <f t="shared" si="35"/>
        <v>65</v>
      </c>
    </row>
    <row r="1093" spans="1:8" x14ac:dyDescent="0.2">
      <c r="A1093" s="71" t="s">
        <v>205</v>
      </c>
      <c r="B1093" s="71" t="s">
        <v>206</v>
      </c>
      <c r="C1093" s="71" t="s">
        <v>47</v>
      </c>
      <c r="D1093" s="88">
        <v>46239.956875000003</v>
      </c>
      <c r="E1093" s="89">
        <v>46239</v>
      </c>
      <c r="F1093" s="71" t="s">
        <v>1590</v>
      </c>
      <c r="G1093" s="71">
        <f t="shared" si="34"/>
        <v>8</v>
      </c>
      <c r="H1093" s="71">
        <f t="shared" si="35"/>
        <v>60</v>
      </c>
    </row>
    <row r="1094" spans="1:8" x14ac:dyDescent="0.2">
      <c r="A1094" s="71" t="s">
        <v>205</v>
      </c>
      <c r="B1094" s="71" t="s">
        <v>206</v>
      </c>
      <c r="C1094" s="71" t="s">
        <v>47</v>
      </c>
      <c r="D1094" s="88">
        <v>46240.3973611111</v>
      </c>
      <c r="E1094" s="89">
        <v>46240</v>
      </c>
      <c r="F1094" s="71" t="s">
        <v>1591</v>
      </c>
      <c r="G1094" s="71">
        <f t="shared" si="34"/>
        <v>8</v>
      </c>
      <c r="H1094" s="71">
        <f t="shared" si="35"/>
        <v>86</v>
      </c>
    </row>
    <row r="1095" spans="1:8" x14ac:dyDescent="0.2">
      <c r="A1095" s="71" t="s">
        <v>205</v>
      </c>
      <c r="B1095" s="71" t="s">
        <v>206</v>
      </c>
      <c r="C1095" s="71" t="s">
        <v>47</v>
      </c>
      <c r="D1095" s="88">
        <v>46240.4011805556</v>
      </c>
      <c r="E1095" s="89">
        <v>46240</v>
      </c>
      <c r="F1095" s="71" t="s">
        <v>1592</v>
      </c>
      <c r="G1095" s="71">
        <f t="shared" si="34"/>
        <v>8</v>
      </c>
      <c r="H1095" s="71">
        <f t="shared" si="35"/>
        <v>42</v>
      </c>
    </row>
    <row r="1096" spans="1:8" x14ac:dyDescent="0.2">
      <c r="A1096" s="71" t="s">
        <v>205</v>
      </c>
      <c r="B1096" s="71" t="s">
        <v>206</v>
      </c>
      <c r="C1096" s="71" t="s">
        <v>47</v>
      </c>
      <c r="D1096" s="88">
        <v>46240.484884259298</v>
      </c>
      <c r="E1096" s="89">
        <v>46240</v>
      </c>
      <c r="F1096" s="71" t="s">
        <v>1593</v>
      </c>
      <c r="G1096" s="71">
        <f t="shared" si="34"/>
        <v>8</v>
      </c>
      <c r="H1096" s="71">
        <f t="shared" si="35"/>
        <v>67</v>
      </c>
    </row>
    <row r="1097" spans="1:8" x14ac:dyDescent="0.2">
      <c r="A1097" s="71" t="s">
        <v>205</v>
      </c>
      <c r="B1097" s="71" t="s">
        <v>206</v>
      </c>
      <c r="C1097" s="71" t="s">
        <v>47</v>
      </c>
      <c r="D1097" s="88">
        <v>46240.659861111097</v>
      </c>
      <c r="E1097" s="89">
        <v>46240</v>
      </c>
      <c r="F1097" s="71" t="s">
        <v>1594</v>
      </c>
      <c r="G1097" s="71">
        <f t="shared" si="34"/>
        <v>8</v>
      </c>
      <c r="H1097" s="71">
        <f t="shared" si="35"/>
        <v>32</v>
      </c>
    </row>
    <row r="1098" spans="1:8" x14ac:dyDescent="0.2">
      <c r="A1098" s="71" t="s">
        <v>205</v>
      </c>
      <c r="B1098" s="71" t="s">
        <v>206</v>
      </c>
      <c r="C1098" s="71" t="s">
        <v>47</v>
      </c>
      <c r="D1098" s="88">
        <v>46241.3745486111</v>
      </c>
      <c r="E1098" s="89">
        <v>46241</v>
      </c>
      <c r="F1098" s="71" t="s">
        <v>1595</v>
      </c>
      <c r="G1098" s="71">
        <f t="shared" si="34"/>
        <v>8</v>
      </c>
      <c r="H1098" s="71">
        <f t="shared" si="35"/>
        <v>44</v>
      </c>
    </row>
    <row r="1099" spans="1:8" x14ac:dyDescent="0.2">
      <c r="A1099" s="71" t="s">
        <v>205</v>
      </c>
      <c r="B1099" s="71" t="s">
        <v>206</v>
      </c>
      <c r="C1099" s="71" t="s">
        <v>47</v>
      </c>
      <c r="D1099" s="88">
        <v>46241.377002314803</v>
      </c>
      <c r="E1099" s="89">
        <v>46241</v>
      </c>
      <c r="F1099" s="71" t="s">
        <v>1596</v>
      </c>
      <c r="G1099" s="71">
        <f t="shared" si="34"/>
        <v>8</v>
      </c>
      <c r="H1099" s="71">
        <f t="shared" si="35"/>
        <v>13</v>
      </c>
    </row>
    <row r="1100" spans="1:8" x14ac:dyDescent="0.2">
      <c r="A1100" s="71" t="s">
        <v>205</v>
      </c>
      <c r="B1100" s="71" t="s">
        <v>206</v>
      </c>
      <c r="C1100" s="71" t="s">
        <v>47</v>
      </c>
      <c r="D1100" s="88">
        <v>46241.654421296298</v>
      </c>
      <c r="E1100" s="89">
        <v>46241</v>
      </c>
      <c r="F1100" s="71" t="s">
        <v>1597</v>
      </c>
      <c r="G1100" s="71">
        <f t="shared" si="34"/>
        <v>8</v>
      </c>
      <c r="H1100" s="71">
        <f t="shared" si="35"/>
        <v>50</v>
      </c>
    </row>
    <row r="1101" spans="1:8" x14ac:dyDescent="0.2">
      <c r="A1101" s="71" t="s">
        <v>205</v>
      </c>
      <c r="B1101" s="71" t="s">
        <v>206</v>
      </c>
      <c r="C1101" s="71" t="s">
        <v>47</v>
      </c>
      <c r="D1101" s="88">
        <v>46241.6553935185</v>
      </c>
      <c r="E1101" s="89">
        <v>46241</v>
      </c>
      <c r="F1101" s="71" t="s">
        <v>1598</v>
      </c>
      <c r="G1101" s="71">
        <f t="shared" si="34"/>
        <v>8</v>
      </c>
      <c r="H1101" s="71">
        <f t="shared" si="35"/>
        <v>31</v>
      </c>
    </row>
    <row r="1102" spans="1:8" x14ac:dyDescent="0.2">
      <c r="A1102" s="71" t="s">
        <v>205</v>
      </c>
      <c r="B1102" s="71" t="s">
        <v>206</v>
      </c>
      <c r="C1102" s="71" t="s">
        <v>47</v>
      </c>
      <c r="D1102" s="88">
        <v>46244.331481481502</v>
      </c>
      <c r="E1102" s="89">
        <v>46244</v>
      </c>
      <c r="F1102" s="71" t="s">
        <v>1599</v>
      </c>
      <c r="G1102" s="71">
        <f t="shared" si="34"/>
        <v>8</v>
      </c>
      <c r="H1102" s="71">
        <f t="shared" si="35"/>
        <v>18</v>
      </c>
    </row>
    <row r="1103" spans="1:8" x14ac:dyDescent="0.2">
      <c r="A1103" s="71" t="s">
        <v>205</v>
      </c>
      <c r="B1103" s="71" t="s">
        <v>206</v>
      </c>
      <c r="C1103" s="71" t="s">
        <v>47</v>
      </c>
      <c r="D1103" s="88">
        <v>46244.336539351898</v>
      </c>
      <c r="E1103" s="89">
        <v>46244</v>
      </c>
      <c r="F1103" s="71" t="s">
        <v>1600</v>
      </c>
      <c r="G1103" s="71">
        <f t="shared" si="34"/>
        <v>8</v>
      </c>
      <c r="H1103" s="71">
        <f t="shared" si="35"/>
        <v>52</v>
      </c>
    </row>
    <row r="1104" spans="1:8" x14ac:dyDescent="0.2">
      <c r="A1104" s="71" t="s">
        <v>205</v>
      </c>
      <c r="B1104" s="71" t="s">
        <v>206</v>
      </c>
      <c r="C1104" s="71" t="s">
        <v>47</v>
      </c>
      <c r="D1104" s="88">
        <v>46244.420844907399</v>
      </c>
      <c r="E1104" s="89">
        <v>46244</v>
      </c>
      <c r="F1104" s="71" t="s">
        <v>1601</v>
      </c>
      <c r="G1104" s="71">
        <f t="shared" si="34"/>
        <v>8</v>
      </c>
      <c r="H1104" s="71">
        <f t="shared" si="35"/>
        <v>59</v>
      </c>
    </row>
    <row r="1105" spans="1:8" x14ac:dyDescent="0.2">
      <c r="A1105" s="71" t="s">
        <v>205</v>
      </c>
      <c r="B1105" s="71" t="s">
        <v>206</v>
      </c>
      <c r="C1105" s="71" t="s">
        <v>47</v>
      </c>
      <c r="D1105" s="88">
        <v>46244.425648148201</v>
      </c>
      <c r="E1105" s="89">
        <v>46244</v>
      </c>
      <c r="F1105" s="71" t="s">
        <v>1602</v>
      </c>
      <c r="G1105" s="71">
        <f t="shared" si="34"/>
        <v>8</v>
      </c>
      <c r="H1105" s="71">
        <f t="shared" si="35"/>
        <v>96</v>
      </c>
    </row>
    <row r="1106" spans="1:8" x14ac:dyDescent="0.2">
      <c r="A1106" s="71" t="s">
        <v>205</v>
      </c>
      <c r="B1106" s="71" t="s">
        <v>206</v>
      </c>
      <c r="C1106" s="71" t="s">
        <v>47</v>
      </c>
      <c r="D1106" s="88">
        <v>46244.454594907402</v>
      </c>
      <c r="E1106" s="89">
        <v>46244</v>
      </c>
      <c r="F1106" s="71" t="s">
        <v>1603</v>
      </c>
      <c r="G1106" s="71">
        <f t="shared" si="34"/>
        <v>8</v>
      </c>
      <c r="H1106" s="71">
        <f t="shared" si="35"/>
        <v>52</v>
      </c>
    </row>
    <row r="1107" spans="1:8" x14ac:dyDescent="0.2">
      <c r="A1107" s="71" t="s">
        <v>205</v>
      </c>
      <c r="B1107" s="71" t="s">
        <v>206</v>
      </c>
      <c r="C1107" s="71" t="s">
        <v>47</v>
      </c>
      <c r="D1107" s="88">
        <v>46244.460868055598</v>
      </c>
      <c r="E1107" s="89">
        <v>46244</v>
      </c>
      <c r="F1107" s="71" t="s">
        <v>1604</v>
      </c>
      <c r="G1107" s="71">
        <f t="shared" si="34"/>
        <v>8</v>
      </c>
      <c r="H1107" s="71">
        <f t="shared" si="35"/>
        <v>57</v>
      </c>
    </row>
    <row r="1108" spans="1:8" x14ac:dyDescent="0.2">
      <c r="A1108" s="71" t="s">
        <v>205</v>
      </c>
      <c r="B1108" s="71" t="s">
        <v>206</v>
      </c>
      <c r="C1108" s="71" t="s">
        <v>47</v>
      </c>
      <c r="D1108" s="88">
        <v>46244.6196643519</v>
      </c>
      <c r="E1108" s="89">
        <v>46244</v>
      </c>
      <c r="F1108" s="71" t="s">
        <v>1605</v>
      </c>
      <c r="G1108" s="71">
        <f t="shared" si="34"/>
        <v>8</v>
      </c>
      <c r="H1108" s="71">
        <f t="shared" si="35"/>
        <v>43</v>
      </c>
    </row>
    <row r="1109" spans="1:8" x14ac:dyDescent="0.2">
      <c r="A1109" s="71" t="s">
        <v>205</v>
      </c>
      <c r="B1109" s="71" t="s">
        <v>206</v>
      </c>
      <c r="C1109" s="71" t="s">
        <v>47</v>
      </c>
      <c r="D1109" s="88">
        <v>46244.663472222201</v>
      </c>
      <c r="E1109" s="89">
        <v>46244</v>
      </c>
      <c r="F1109" s="71" t="s">
        <v>1606</v>
      </c>
      <c r="G1109" s="71">
        <f t="shared" si="34"/>
        <v>8</v>
      </c>
      <c r="H1109" s="71">
        <f t="shared" si="35"/>
        <v>80</v>
      </c>
    </row>
    <row r="1110" spans="1:8" x14ac:dyDescent="0.2">
      <c r="A1110" s="71" t="s">
        <v>205</v>
      </c>
      <c r="B1110" s="71" t="s">
        <v>206</v>
      </c>
      <c r="C1110" s="71" t="s">
        <v>47</v>
      </c>
      <c r="D1110" s="88">
        <v>46245.4009143519</v>
      </c>
      <c r="E1110" s="89">
        <v>46245</v>
      </c>
      <c r="F1110" s="71" t="s">
        <v>1607</v>
      </c>
      <c r="G1110" s="71">
        <f t="shared" si="34"/>
        <v>8</v>
      </c>
      <c r="H1110" s="71">
        <f t="shared" si="35"/>
        <v>61</v>
      </c>
    </row>
    <row r="1111" spans="1:8" x14ac:dyDescent="0.2">
      <c r="A1111" s="71" t="s">
        <v>205</v>
      </c>
      <c r="B1111" s="71" t="s">
        <v>206</v>
      </c>
      <c r="C1111" s="71" t="s">
        <v>47</v>
      </c>
      <c r="D1111" s="88">
        <v>46245.6071296296</v>
      </c>
      <c r="E1111" s="89">
        <v>46245</v>
      </c>
      <c r="F1111" s="71" t="s">
        <v>1608</v>
      </c>
      <c r="G1111" s="71">
        <f t="shared" si="34"/>
        <v>8</v>
      </c>
      <c r="H1111" s="71">
        <f t="shared" si="35"/>
        <v>59</v>
      </c>
    </row>
    <row r="1112" spans="1:8" x14ac:dyDescent="0.2">
      <c r="A1112" s="71" t="s">
        <v>205</v>
      </c>
      <c r="B1112" s="71" t="s">
        <v>206</v>
      </c>
      <c r="C1112" s="71" t="s">
        <v>47</v>
      </c>
      <c r="D1112" s="88">
        <v>46245.608344907399</v>
      </c>
      <c r="E1112" s="89">
        <v>46245</v>
      </c>
      <c r="F1112" s="71" t="s">
        <v>1609</v>
      </c>
      <c r="G1112" s="71">
        <f t="shared" si="34"/>
        <v>8</v>
      </c>
      <c r="H1112" s="71">
        <f t="shared" si="35"/>
        <v>69</v>
      </c>
    </row>
    <row r="1113" spans="1:8" x14ac:dyDescent="0.2">
      <c r="A1113" s="71" t="s">
        <v>205</v>
      </c>
      <c r="B1113" s="71" t="s">
        <v>206</v>
      </c>
      <c r="C1113" s="71" t="s">
        <v>47</v>
      </c>
      <c r="D1113" s="88">
        <v>46245.621747685203</v>
      </c>
      <c r="E1113" s="89">
        <v>46245</v>
      </c>
      <c r="F1113" s="71" t="s">
        <v>1610</v>
      </c>
      <c r="G1113" s="71">
        <f t="shared" si="34"/>
        <v>8</v>
      </c>
      <c r="H1113" s="71">
        <f t="shared" si="35"/>
        <v>74</v>
      </c>
    </row>
    <row r="1114" spans="1:8" x14ac:dyDescent="0.2">
      <c r="A1114" s="71" t="s">
        <v>205</v>
      </c>
      <c r="B1114" s="71" t="s">
        <v>206</v>
      </c>
      <c r="C1114" s="71" t="s">
        <v>47</v>
      </c>
      <c r="D1114" s="88">
        <v>46246.378263888902</v>
      </c>
      <c r="E1114" s="89">
        <v>46246</v>
      </c>
      <c r="F1114" s="71" t="s">
        <v>1611</v>
      </c>
      <c r="G1114" s="71">
        <f t="shared" si="34"/>
        <v>8</v>
      </c>
      <c r="H1114" s="71">
        <f t="shared" si="35"/>
        <v>42</v>
      </c>
    </row>
    <row r="1115" spans="1:8" x14ac:dyDescent="0.2">
      <c r="A1115" s="71" t="s">
        <v>205</v>
      </c>
      <c r="B1115" s="71" t="s">
        <v>206</v>
      </c>
      <c r="C1115" s="71" t="s">
        <v>47</v>
      </c>
      <c r="D1115" s="88">
        <v>46246.432500000003</v>
      </c>
      <c r="E1115" s="89">
        <v>46246</v>
      </c>
      <c r="F1115" s="71" t="s">
        <v>1612</v>
      </c>
      <c r="G1115" s="71">
        <f t="shared" si="34"/>
        <v>8</v>
      </c>
      <c r="H1115" s="71">
        <f t="shared" si="35"/>
        <v>62</v>
      </c>
    </row>
    <row r="1116" spans="1:8" x14ac:dyDescent="0.2">
      <c r="A1116" s="71" t="s">
        <v>205</v>
      </c>
      <c r="B1116" s="71" t="s">
        <v>206</v>
      </c>
      <c r="C1116" s="71" t="s">
        <v>47</v>
      </c>
      <c r="D1116" s="88">
        <v>46246.455798611103</v>
      </c>
      <c r="E1116" s="89">
        <v>46246</v>
      </c>
      <c r="F1116" s="71" t="s">
        <v>1613</v>
      </c>
      <c r="G1116" s="71">
        <f t="shared" si="34"/>
        <v>8</v>
      </c>
      <c r="H1116" s="71">
        <f t="shared" si="35"/>
        <v>41</v>
      </c>
    </row>
    <row r="1117" spans="1:8" x14ac:dyDescent="0.2">
      <c r="A1117" s="71" t="s">
        <v>205</v>
      </c>
      <c r="B1117" s="71" t="s">
        <v>206</v>
      </c>
      <c r="C1117" s="71" t="s">
        <v>47</v>
      </c>
      <c r="D1117" s="88">
        <v>46246.628645833298</v>
      </c>
      <c r="E1117" s="89">
        <v>46246</v>
      </c>
      <c r="F1117" s="71" t="s">
        <v>1564</v>
      </c>
      <c r="G1117" s="71">
        <f t="shared" si="34"/>
        <v>8</v>
      </c>
      <c r="H1117" s="71">
        <f t="shared" si="35"/>
        <v>35</v>
      </c>
    </row>
    <row r="1118" spans="1:8" x14ac:dyDescent="0.2">
      <c r="A1118" s="71" t="s">
        <v>205</v>
      </c>
      <c r="B1118" s="71" t="s">
        <v>206</v>
      </c>
      <c r="C1118" s="71" t="s">
        <v>47</v>
      </c>
      <c r="D1118" s="88">
        <v>46247.655960648197</v>
      </c>
      <c r="E1118" s="89">
        <v>46247</v>
      </c>
      <c r="F1118" s="71" t="s">
        <v>1614</v>
      </c>
      <c r="G1118" s="71">
        <f t="shared" si="34"/>
        <v>8</v>
      </c>
      <c r="H1118" s="71">
        <f t="shared" si="35"/>
        <v>95</v>
      </c>
    </row>
    <row r="1119" spans="1:8" x14ac:dyDescent="0.2">
      <c r="A1119" s="71" t="s">
        <v>205</v>
      </c>
      <c r="B1119" s="71" t="s">
        <v>206</v>
      </c>
      <c r="C1119" s="71" t="s">
        <v>47</v>
      </c>
      <c r="D1119" s="88">
        <v>46247.658854166701</v>
      </c>
      <c r="E1119" s="89">
        <v>46247</v>
      </c>
      <c r="F1119" s="71" t="s">
        <v>1615</v>
      </c>
      <c r="G1119" s="71">
        <f t="shared" si="34"/>
        <v>8</v>
      </c>
      <c r="H1119" s="71">
        <f t="shared" si="35"/>
        <v>91</v>
      </c>
    </row>
    <row r="1120" spans="1:8" x14ac:dyDescent="0.2">
      <c r="A1120" s="71" t="s">
        <v>205</v>
      </c>
      <c r="B1120" s="71" t="s">
        <v>206</v>
      </c>
      <c r="C1120" s="71" t="s">
        <v>47</v>
      </c>
      <c r="D1120" s="88">
        <v>46247.715821759302</v>
      </c>
      <c r="E1120" s="89">
        <v>46247</v>
      </c>
      <c r="F1120" s="71" t="s">
        <v>1616</v>
      </c>
      <c r="G1120" s="71">
        <f t="shared" si="34"/>
        <v>8</v>
      </c>
      <c r="H1120" s="71">
        <f t="shared" si="35"/>
        <v>40</v>
      </c>
    </row>
    <row r="1121" spans="1:8" x14ac:dyDescent="0.2">
      <c r="A1121" s="71" t="s">
        <v>205</v>
      </c>
      <c r="B1121" s="71" t="s">
        <v>206</v>
      </c>
      <c r="C1121" s="71" t="s">
        <v>47</v>
      </c>
      <c r="D1121" s="88">
        <v>46248.667743055601</v>
      </c>
      <c r="E1121" s="89">
        <v>46248</v>
      </c>
      <c r="F1121" s="71" t="s">
        <v>1617</v>
      </c>
      <c r="G1121" s="71">
        <f t="shared" si="34"/>
        <v>8</v>
      </c>
      <c r="H1121" s="71">
        <f t="shared" si="35"/>
        <v>83</v>
      </c>
    </row>
    <row r="1122" spans="1:8" x14ac:dyDescent="0.2">
      <c r="A1122" s="71" t="s">
        <v>205</v>
      </c>
      <c r="B1122" s="71" t="s">
        <v>206</v>
      </c>
      <c r="C1122" s="71" t="s">
        <v>47</v>
      </c>
      <c r="D1122" s="88">
        <v>46248.668668981503</v>
      </c>
      <c r="E1122" s="89">
        <v>46248</v>
      </c>
      <c r="F1122" s="71" t="s">
        <v>1618</v>
      </c>
      <c r="G1122" s="71">
        <f t="shared" si="34"/>
        <v>8</v>
      </c>
      <c r="H1122" s="71">
        <f t="shared" si="35"/>
        <v>83</v>
      </c>
    </row>
    <row r="1123" spans="1:8" x14ac:dyDescent="0.2">
      <c r="A1123" s="71" t="s">
        <v>205</v>
      </c>
      <c r="B1123" s="71" t="s">
        <v>206</v>
      </c>
      <c r="C1123" s="71" t="s">
        <v>47</v>
      </c>
      <c r="D1123" s="88">
        <v>46248.670555555596</v>
      </c>
      <c r="E1123" s="89">
        <v>46248</v>
      </c>
      <c r="F1123" s="71" t="s">
        <v>1619</v>
      </c>
      <c r="G1123" s="71">
        <f t="shared" si="34"/>
        <v>8</v>
      </c>
      <c r="H1123" s="71">
        <f t="shared" si="35"/>
        <v>80</v>
      </c>
    </row>
    <row r="1124" spans="1:8" x14ac:dyDescent="0.2">
      <c r="A1124" s="71" t="s">
        <v>205</v>
      </c>
      <c r="B1124" s="71" t="s">
        <v>206</v>
      </c>
      <c r="C1124" s="71" t="s">
        <v>47</v>
      </c>
      <c r="D1124" s="88">
        <v>46248.7036226852</v>
      </c>
      <c r="E1124" s="89">
        <v>46248</v>
      </c>
      <c r="F1124" s="71" t="s">
        <v>1620</v>
      </c>
      <c r="G1124" s="71">
        <f t="shared" si="34"/>
        <v>8</v>
      </c>
      <c r="H1124" s="71">
        <f t="shared" si="35"/>
        <v>33</v>
      </c>
    </row>
    <row r="1125" spans="1:8" x14ac:dyDescent="0.2">
      <c r="A1125" s="71" t="s">
        <v>205</v>
      </c>
      <c r="B1125" s="71" t="s">
        <v>206</v>
      </c>
      <c r="C1125" s="71" t="s">
        <v>47</v>
      </c>
      <c r="D1125" s="88">
        <v>46252.566296296303</v>
      </c>
      <c r="E1125" s="89">
        <v>46252</v>
      </c>
      <c r="F1125" s="71" t="s">
        <v>1621</v>
      </c>
      <c r="G1125" s="71">
        <f t="shared" si="34"/>
        <v>8</v>
      </c>
      <c r="H1125" s="71">
        <f t="shared" si="35"/>
        <v>63</v>
      </c>
    </row>
    <row r="1126" spans="1:8" x14ac:dyDescent="0.2">
      <c r="A1126" s="71" t="s">
        <v>205</v>
      </c>
      <c r="B1126" s="71" t="s">
        <v>206</v>
      </c>
      <c r="C1126" s="71" t="s">
        <v>47</v>
      </c>
      <c r="D1126" s="88">
        <v>46252.567291666703</v>
      </c>
      <c r="E1126" s="89">
        <v>46252</v>
      </c>
      <c r="F1126" s="71" t="s">
        <v>1622</v>
      </c>
      <c r="G1126" s="71">
        <f t="shared" si="34"/>
        <v>8</v>
      </c>
      <c r="H1126" s="71">
        <f t="shared" si="35"/>
        <v>60</v>
      </c>
    </row>
    <row r="1127" spans="1:8" x14ac:dyDescent="0.2">
      <c r="A1127" s="71" t="s">
        <v>205</v>
      </c>
      <c r="B1127" s="71" t="s">
        <v>206</v>
      </c>
      <c r="C1127" s="71" t="s">
        <v>47</v>
      </c>
      <c r="D1127" s="88">
        <v>46252.6648726852</v>
      </c>
      <c r="E1127" s="89">
        <v>46252</v>
      </c>
      <c r="F1127" s="71" t="s">
        <v>1623</v>
      </c>
      <c r="G1127" s="71">
        <f t="shared" si="34"/>
        <v>8</v>
      </c>
      <c r="H1127" s="71">
        <f t="shared" si="35"/>
        <v>45</v>
      </c>
    </row>
    <row r="1128" spans="1:8" x14ac:dyDescent="0.2">
      <c r="A1128" s="71" t="s">
        <v>205</v>
      </c>
      <c r="B1128" s="71" t="s">
        <v>206</v>
      </c>
      <c r="C1128" s="71" t="s">
        <v>47</v>
      </c>
      <c r="D1128" s="88">
        <v>46253.593449074098</v>
      </c>
      <c r="E1128" s="89">
        <v>46253</v>
      </c>
      <c r="F1128" s="71" t="s">
        <v>1624</v>
      </c>
      <c r="G1128" s="71">
        <f t="shared" si="34"/>
        <v>8</v>
      </c>
      <c r="H1128" s="71">
        <f t="shared" si="35"/>
        <v>68</v>
      </c>
    </row>
    <row r="1129" spans="1:8" x14ac:dyDescent="0.2">
      <c r="A1129" s="71" t="s">
        <v>205</v>
      </c>
      <c r="B1129" s="71" t="s">
        <v>206</v>
      </c>
      <c r="C1129" s="71" t="s">
        <v>47</v>
      </c>
      <c r="D1129" s="88">
        <v>46253.645185185203</v>
      </c>
      <c r="E1129" s="89">
        <v>46253</v>
      </c>
      <c r="F1129" s="71" t="s">
        <v>1625</v>
      </c>
      <c r="G1129" s="71">
        <f t="shared" si="34"/>
        <v>8</v>
      </c>
      <c r="H1129" s="71">
        <f t="shared" si="35"/>
        <v>38</v>
      </c>
    </row>
    <row r="1130" spans="1:8" x14ac:dyDescent="0.2">
      <c r="A1130" s="71" t="s">
        <v>205</v>
      </c>
      <c r="B1130" s="71" t="s">
        <v>206</v>
      </c>
      <c r="C1130" s="71" t="s">
        <v>47</v>
      </c>
      <c r="D1130" s="88">
        <v>46253.646840277797</v>
      </c>
      <c r="E1130" s="89">
        <v>46253</v>
      </c>
      <c r="F1130" s="71" t="s">
        <v>1626</v>
      </c>
      <c r="G1130" s="71">
        <f t="shared" si="34"/>
        <v>8</v>
      </c>
      <c r="H1130" s="71">
        <f t="shared" si="35"/>
        <v>59</v>
      </c>
    </row>
    <row r="1131" spans="1:8" x14ac:dyDescent="0.2">
      <c r="A1131" s="71" t="s">
        <v>205</v>
      </c>
      <c r="B1131" s="71" t="s">
        <v>206</v>
      </c>
      <c r="C1131" s="71" t="s">
        <v>47</v>
      </c>
      <c r="D1131" s="88">
        <v>46254.3428935185</v>
      </c>
      <c r="E1131" s="89">
        <v>46254</v>
      </c>
      <c r="F1131" s="71" t="s">
        <v>1627</v>
      </c>
      <c r="G1131" s="71">
        <f t="shared" si="34"/>
        <v>8</v>
      </c>
      <c r="H1131" s="71">
        <f t="shared" si="35"/>
        <v>47</v>
      </c>
    </row>
    <row r="1132" spans="1:8" x14ac:dyDescent="0.2">
      <c r="A1132" s="71" t="s">
        <v>205</v>
      </c>
      <c r="B1132" s="71" t="s">
        <v>206</v>
      </c>
      <c r="C1132" s="71" t="s">
        <v>47</v>
      </c>
      <c r="D1132" s="88">
        <v>46254.552847222199</v>
      </c>
      <c r="E1132" s="89">
        <v>46254</v>
      </c>
      <c r="F1132" s="71" t="s">
        <v>1628</v>
      </c>
      <c r="G1132" s="71">
        <f t="shared" si="34"/>
        <v>8</v>
      </c>
      <c r="H1132" s="71">
        <f t="shared" si="35"/>
        <v>65</v>
      </c>
    </row>
    <row r="1133" spans="1:8" x14ac:dyDescent="0.2">
      <c r="A1133" s="71" t="s">
        <v>205</v>
      </c>
      <c r="B1133" s="71" t="s">
        <v>206</v>
      </c>
      <c r="C1133" s="71" t="s">
        <v>47</v>
      </c>
      <c r="D1133" s="88">
        <v>46254.655023148203</v>
      </c>
      <c r="E1133" s="89">
        <v>46254</v>
      </c>
      <c r="F1133" s="71" t="s">
        <v>1629</v>
      </c>
      <c r="G1133" s="71">
        <f t="shared" si="34"/>
        <v>8</v>
      </c>
      <c r="H1133" s="71">
        <f t="shared" si="35"/>
        <v>41</v>
      </c>
    </row>
    <row r="1134" spans="1:8" x14ac:dyDescent="0.2">
      <c r="A1134" s="71" t="s">
        <v>205</v>
      </c>
      <c r="B1134" s="71" t="s">
        <v>206</v>
      </c>
      <c r="C1134" s="71" t="s">
        <v>47</v>
      </c>
      <c r="D1134" s="88">
        <v>46254.656180555598</v>
      </c>
      <c r="E1134" s="89">
        <v>46254</v>
      </c>
      <c r="F1134" s="71" t="s">
        <v>1630</v>
      </c>
      <c r="G1134" s="71">
        <f t="shared" si="34"/>
        <v>8</v>
      </c>
      <c r="H1134" s="71">
        <f t="shared" si="35"/>
        <v>91</v>
      </c>
    </row>
    <row r="1135" spans="1:8" x14ac:dyDescent="0.2">
      <c r="A1135" s="71" t="s">
        <v>205</v>
      </c>
      <c r="B1135" s="71" t="s">
        <v>206</v>
      </c>
      <c r="C1135" s="71" t="s">
        <v>47</v>
      </c>
      <c r="D1135" s="88">
        <v>46254.679120370398</v>
      </c>
      <c r="E1135" s="89">
        <v>46254</v>
      </c>
      <c r="F1135" s="71" t="s">
        <v>1564</v>
      </c>
      <c r="G1135" s="71">
        <f t="shared" si="34"/>
        <v>8</v>
      </c>
      <c r="H1135" s="71">
        <f t="shared" si="35"/>
        <v>35</v>
      </c>
    </row>
    <row r="1136" spans="1:8" x14ac:dyDescent="0.2">
      <c r="A1136" s="71" t="s">
        <v>205</v>
      </c>
      <c r="B1136" s="71" t="s">
        <v>206</v>
      </c>
      <c r="C1136" s="71" t="s">
        <v>47</v>
      </c>
      <c r="D1136" s="88">
        <v>46255.650972222204</v>
      </c>
      <c r="E1136" s="89">
        <v>46255</v>
      </c>
      <c r="F1136" s="71" t="s">
        <v>1631</v>
      </c>
      <c r="G1136" s="71">
        <f t="shared" si="34"/>
        <v>8</v>
      </c>
      <c r="H1136" s="71">
        <f t="shared" si="35"/>
        <v>54</v>
      </c>
    </row>
    <row r="1137" spans="1:8" x14ac:dyDescent="0.2">
      <c r="A1137" s="71" t="s">
        <v>205</v>
      </c>
      <c r="B1137" s="71" t="s">
        <v>206</v>
      </c>
      <c r="C1137" s="71" t="s">
        <v>47</v>
      </c>
      <c r="D1137" s="88">
        <v>46255.671435185199</v>
      </c>
      <c r="E1137" s="89">
        <v>46255</v>
      </c>
      <c r="F1137" s="71" t="s">
        <v>1564</v>
      </c>
      <c r="G1137" s="71">
        <f t="shared" si="34"/>
        <v>8</v>
      </c>
      <c r="H1137" s="71">
        <f t="shared" si="35"/>
        <v>35</v>
      </c>
    </row>
    <row r="1138" spans="1:8" x14ac:dyDescent="0.2">
      <c r="A1138" s="71" t="s">
        <v>205</v>
      </c>
      <c r="B1138" s="71" t="s">
        <v>206</v>
      </c>
      <c r="C1138" s="71" t="s">
        <v>47</v>
      </c>
      <c r="D1138" s="88">
        <v>46258.331122685202</v>
      </c>
      <c r="E1138" s="89">
        <v>46258</v>
      </c>
      <c r="F1138" s="71" t="s">
        <v>1632</v>
      </c>
      <c r="G1138" s="71">
        <f t="shared" si="34"/>
        <v>8</v>
      </c>
      <c r="H1138" s="71">
        <f t="shared" si="35"/>
        <v>65</v>
      </c>
    </row>
    <row r="1139" spans="1:8" x14ac:dyDescent="0.2">
      <c r="A1139" s="71" t="s">
        <v>205</v>
      </c>
      <c r="B1139" s="71" t="s">
        <v>206</v>
      </c>
      <c r="C1139" s="71" t="s">
        <v>47</v>
      </c>
      <c r="D1139" s="88">
        <v>46258.701064814799</v>
      </c>
      <c r="E1139" s="89">
        <v>46258</v>
      </c>
      <c r="F1139" s="71" t="s">
        <v>1633</v>
      </c>
      <c r="G1139" s="71">
        <f t="shared" si="34"/>
        <v>8</v>
      </c>
      <c r="H1139" s="71">
        <f t="shared" si="35"/>
        <v>30</v>
      </c>
    </row>
    <row r="1140" spans="1:8" x14ac:dyDescent="0.2">
      <c r="A1140" s="71" t="s">
        <v>205</v>
      </c>
      <c r="B1140" s="71" t="s">
        <v>206</v>
      </c>
      <c r="C1140" s="71" t="s">
        <v>47</v>
      </c>
      <c r="D1140" s="88">
        <v>46260.724699074097</v>
      </c>
      <c r="E1140" s="89">
        <v>46260</v>
      </c>
      <c r="F1140" s="71" t="s">
        <v>1634</v>
      </c>
      <c r="G1140" s="71">
        <f t="shared" si="34"/>
        <v>8</v>
      </c>
      <c r="H1140" s="71">
        <f t="shared" si="35"/>
        <v>18</v>
      </c>
    </row>
    <row r="1141" spans="1:8" x14ac:dyDescent="0.2">
      <c r="A1141" s="71" t="s">
        <v>205</v>
      </c>
      <c r="B1141" s="71" t="s">
        <v>206</v>
      </c>
      <c r="C1141" s="71" t="s">
        <v>47</v>
      </c>
      <c r="D1141" s="88">
        <v>46261.372997685197</v>
      </c>
      <c r="E1141" s="89">
        <v>46261</v>
      </c>
      <c r="F1141" s="71" t="s">
        <v>1635</v>
      </c>
      <c r="G1141" s="71">
        <f t="shared" si="34"/>
        <v>8</v>
      </c>
      <c r="H1141" s="71">
        <f t="shared" si="35"/>
        <v>25</v>
      </c>
    </row>
    <row r="1142" spans="1:8" x14ac:dyDescent="0.2">
      <c r="A1142" s="71" t="s">
        <v>205</v>
      </c>
      <c r="B1142" s="71" t="s">
        <v>206</v>
      </c>
      <c r="C1142" s="71" t="s">
        <v>47</v>
      </c>
      <c r="D1142" s="88">
        <v>46261.4234490741</v>
      </c>
      <c r="E1142" s="89">
        <v>46261</v>
      </c>
      <c r="F1142" s="71" t="s">
        <v>1636</v>
      </c>
      <c r="G1142" s="71">
        <f t="shared" si="34"/>
        <v>8</v>
      </c>
      <c r="H1142" s="71">
        <f t="shared" si="35"/>
        <v>65</v>
      </c>
    </row>
    <row r="1143" spans="1:8" x14ac:dyDescent="0.2">
      <c r="A1143" s="71" t="s">
        <v>205</v>
      </c>
      <c r="B1143" s="71" t="s">
        <v>206</v>
      </c>
      <c r="C1143" s="71" t="s">
        <v>47</v>
      </c>
      <c r="D1143" s="88">
        <v>46261.480289351901</v>
      </c>
      <c r="E1143" s="89">
        <v>46261</v>
      </c>
      <c r="F1143" s="71" t="s">
        <v>1637</v>
      </c>
      <c r="G1143" s="71">
        <f t="shared" si="34"/>
        <v>8</v>
      </c>
      <c r="H1143" s="71">
        <f t="shared" si="35"/>
        <v>60</v>
      </c>
    </row>
    <row r="1144" spans="1:8" x14ac:dyDescent="0.2">
      <c r="A1144" s="71" t="s">
        <v>205</v>
      </c>
      <c r="B1144" s="71" t="s">
        <v>206</v>
      </c>
      <c r="C1144" s="71" t="s">
        <v>47</v>
      </c>
      <c r="D1144" s="88">
        <v>46262.415891203702</v>
      </c>
      <c r="E1144" s="89">
        <v>46262</v>
      </c>
      <c r="F1144" s="71" t="s">
        <v>1638</v>
      </c>
      <c r="G1144" s="71">
        <f t="shared" si="34"/>
        <v>8</v>
      </c>
      <c r="H1144" s="71">
        <f t="shared" si="35"/>
        <v>44</v>
      </c>
    </row>
    <row r="1145" spans="1:8" x14ac:dyDescent="0.2">
      <c r="A1145" s="71" t="s">
        <v>205</v>
      </c>
      <c r="B1145" s="71" t="s">
        <v>206</v>
      </c>
      <c r="C1145" s="71" t="s">
        <v>47</v>
      </c>
      <c r="D1145" s="88">
        <v>46262.420243055603</v>
      </c>
      <c r="E1145" s="89">
        <v>46262</v>
      </c>
      <c r="F1145" s="71" t="s">
        <v>1639</v>
      </c>
      <c r="G1145" s="71">
        <f t="shared" si="34"/>
        <v>8</v>
      </c>
      <c r="H1145" s="71">
        <f t="shared" si="35"/>
        <v>61</v>
      </c>
    </row>
    <row r="1146" spans="1:8" x14ac:dyDescent="0.2">
      <c r="A1146" s="71" t="s">
        <v>205</v>
      </c>
      <c r="B1146" s="71" t="s">
        <v>206</v>
      </c>
      <c r="C1146" s="71" t="s">
        <v>47</v>
      </c>
      <c r="D1146" s="88">
        <v>46262.5846296296</v>
      </c>
      <c r="E1146" s="89">
        <v>46262</v>
      </c>
      <c r="F1146" s="71" t="s">
        <v>1640</v>
      </c>
      <c r="G1146" s="71">
        <f t="shared" si="34"/>
        <v>8</v>
      </c>
      <c r="H1146" s="71">
        <f t="shared" si="35"/>
        <v>72</v>
      </c>
    </row>
    <row r="1147" spans="1:8" x14ac:dyDescent="0.2">
      <c r="A1147" s="71" t="s">
        <v>205</v>
      </c>
      <c r="B1147" s="71" t="s">
        <v>206</v>
      </c>
      <c r="C1147" s="71" t="s">
        <v>47</v>
      </c>
      <c r="D1147" s="88">
        <v>46262.649212962999</v>
      </c>
      <c r="E1147" s="89">
        <v>46262</v>
      </c>
      <c r="F1147" s="71" t="s">
        <v>1592</v>
      </c>
      <c r="G1147" s="71">
        <f t="shared" si="34"/>
        <v>8</v>
      </c>
      <c r="H1147" s="71">
        <f t="shared" si="35"/>
        <v>42</v>
      </c>
    </row>
    <row r="1148" spans="1:8" x14ac:dyDescent="0.2">
      <c r="A1148" s="71" t="s">
        <v>205</v>
      </c>
      <c r="B1148" s="71" t="s">
        <v>206</v>
      </c>
      <c r="C1148" s="71" t="s">
        <v>47</v>
      </c>
      <c r="D1148" s="88">
        <v>46265.369837963</v>
      </c>
      <c r="E1148" s="89">
        <v>46265</v>
      </c>
      <c r="F1148" s="71" t="s">
        <v>1564</v>
      </c>
      <c r="G1148" s="71">
        <f t="shared" si="34"/>
        <v>8</v>
      </c>
      <c r="H1148" s="71">
        <f t="shared" si="35"/>
        <v>35</v>
      </c>
    </row>
    <row r="1149" spans="1:8" x14ac:dyDescent="0.2">
      <c r="A1149" s="71" t="s">
        <v>205</v>
      </c>
      <c r="B1149" s="71" t="s">
        <v>206</v>
      </c>
      <c r="C1149" s="71" t="s">
        <v>47</v>
      </c>
      <c r="D1149" s="88">
        <v>46265.559409722198</v>
      </c>
      <c r="E1149" s="89">
        <v>46265</v>
      </c>
      <c r="F1149" s="71" t="s">
        <v>1641</v>
      </c>
      <c r="G1149" s="71">
        <f t="shared" si="34"/>
        <v>8</v>
      </c>
      <c r="H1149" s="71">
        <f t="shared" si="35"/>
        <v>82</v>
      </c>
    </row>
    <row r="1150" spans="1:8" x14ac:dyDescent="0.2">
      <c r="A1150" s="71" t="s">
        <v>205</v>
      </c>
      <c r="B1150" s="71" t="s">
        <v>206</v>
      </c>
      <c r="C1150" s="71" t="s">
        <v>47</v>
      </c>
      <c r="D1150" s="88">
        <v>46265.569756944496</v>
      </c>
      <c r="E1150" s="89">
        <v>46265</v>
      </c>
      <c r="F1150" s="71" t="s">
        <v>1642</v>
      </c>
      <c r="G1150" s="71">
        <f t="shared" si="34"/>
        <v>8</v>
      </c>
      <c r="H1150" s="71">
        <f t="shared" si="35"/>
        <v>72</v>
      </c>
    </row>
    <row r="1151" spans="1:8" x14ac:dyDescent="0.2">
      <c r="A1151" s="71" t="s">
        <v>205</v>
      </c>
      <c r="B1151" s="71" t="s">
        <v>206</v>
      </c>
      <c r="C1151" s="71" t="s">
        <v>47</v>
      </c>
      <c r="D1151" s="88">
        <v>46265.5950578704</v>
      </c>
      <c r="E1151" s="89">
        <v>46265</v>
      </c>
      <c r="F1151" s="71" t="s">
        <v>1643</v>
      </c>
      <c r="G1151" s="71">
        <f t="shared" si="34"/>
        <v>8</v>
      </c>
      <c r="H1151" s="71">
        <f t="shared" si="35"/>
        <v>101</v>
      </c>
    </row>
    <row r="1152" spans="1:8" x14ac:dyDescent="0.2">
      <c r="A1152" s="71" t="s">
        <v>205</v>
      </c>
      <c r="B1152" s="71" t="s">
        <v>206</v>
      </c>
      <c r="C1152" s="71" t="s">
        <v>47</v>
      </c>
      <c r="D1152" s="88">
        <v>46266.627858796302</v>
      </c>
      <c r="E1152" s="89">
        <v>46266</v>
      </c>
      <c r="F1152" s="71" t="s">
        <v>1644</v>
      </c>
      <c r="G1152" s="71">
        <f t="shared" si="34"/>
        <v>9</v>
      </c>
      <c r="H1152" s="71">
        <f t="shared" si="35"/>
        <v>51</v>
      </c>
    </row>
    <row r="1153" spans="1:8" x14ac:dyDescent="0.2">
      <c r="A1153" s="71" t="s">
        <v>205</v>
      </c>
      <c r="B1153" s="71" t="s">
        <v>206</v>
      </c>
      <c r="C1153" s="71" t="s">
        <v>47</v>
      </c>
      <c r="D1153" s="88">
        <v>46266.628483796303</v>
      </c>
      <c r="E1153" s="89">
        <v>46266</v>
      </c>
      <c r="F1153" s="71" t="s">
        <v>1645</v>
      </c>
      <c r="G1153" s="71">
        <f t="shared" si="34"/>
        <v>9</v>
      </c>
      <c r="H1153" s="71">
        <f t="shared" si="35"/>
        <v>56</v>
      </c>
    </row>
    <row r="1154" spans="1:8" x14ac:dyDescent="0.2">
      <c r="A1154" s="71" t="s">
        <v>205</v>
      </c>
      <c r="B1154" s="71" t="s">
        <v>206</v>
      </c>
      <c r="C1154" s="71" t="s">
        <v>47</v>
      </c>
      <c r="D1154" s="88">
        <v>46266.689965277801</v>
      </c>
      <c r="E1154" s="89">
        <v>46266</v>
      </c>
      <c r="F1154" s="71" t="s">
        <v>1564</v>
      </c>
      <c r="G1154" s="71">
        <f t="shared" ref="G1154:G1217" si="36">MONTH(E1154)</f>
        <v>9</v>
      </c>
      <c r="H1154" s="71">
        <f t="shared" ref="H1154:H1217" si="37">LEN(F1154)</f>
        <v>35</v>
      </c>
    </row>
    <row r="1155" spans="1:8" x14ac:dyDescent="0.2">
      <c r="A1155" s="71" t="s">
        <v>205</v>
      </c>
      <c r="B1155" s="71" t="s">
        <v>206</v>
      </c>
      <c r="C1155" s="71" t="s">
        <v>47</v>
      </c>
      <c r="D1155" s="88">
        <v>46267.4059375</v>
      </c>
      <c r="E1155" s="89">
        <v>46267</v>
      </c>
      <c r="F1155" s="71" t="s">
        <v>1564</v>
      </c>
      <c r="G1155" s="71">
        <f t="shared" si="36"/>
        <v>9</v>
      </c>
      <c r="H1155" s="71">
        <f t="shared" si="37"/>
        <v>35</v>
      </c>
    </row>
    <row r="1156" spans="1:8" x14ac:dyDescent="0.2">
      <c r="A1156" s="71" t="s">
        <v>205</v>
      </c>
      <c r="B1156" s="71" t="s">
        <v>206</v>
      </c>
      <c r="C1156" s="71" t="s">
        <v>47</v>
      </c>
      <c r="D1156" s="88">
        <v>46267.698599536998</v>
      </c>
      <c r="E1156" s="89">
        <v>46267</v>
      </c>
      <c r="F1156" s="71" t="s">
        <v>1646</v>
      </c>
      <c r="G1156" s="71">
        <f t="shared" si="36"/>
        <v>9</v>
      </c>
      <c r="H1156" s="71">
        <f t="shared" si="37"/>
        <v>54</v>
      </c>
    </row>
    <row r="1157" spans="1:8" x14ac:dyDescent="0.2">
      <c r="A1157" s="71" t="s">
        <v>205</v>
      </c>
      <c r="B1157" s="71" t="s">
        <v>206</v>
      </c>
      <c r="C1157" s="71" t="s">
        <v>47</v>
      </c>
      <c r="D1157" s="88">
        <v>46268.382060185198</v>
      </c>
      <c r="E1157" s="89">
        <v>46268</v>
      </c>
      <c r="F1157" s="71" t="s">
        <v>1647</v>
      </c>
      <c r="G1157" s="71">
        <f t="shared" si="36"/>
        <v>9</v>
      </c>
      <c r="H1157" s="71">
        <f t="shared" si="37"/>
        <v>79</v>
      </c>
    </row>
    <row r="1158" spans="1:8" x14ac:dyDescent="0.2">
      <c r="A1158" s="71" t="s">
        <v>205</v>
      </c>
      <c r="B1158" s="71" t="s">
        <v>206</v>
      </c>
      <c r="C1158" s="71" t="s">
        <v>47</v>
      </c>
      <c r="D1158" s="88">
        <v>46268.405729166698</v>
      </c>
      <c r="E1158" s="89">
        <v>46268</v>
      </c>
      <c r="F1158" s="71" t="s">
        <v>1648</v>
      </c>
      <c r="G1158" s="71">
        <f t="shared" si="36"/>
        <v>9</v>
      </c>
      <c r="H1158" s="71">
        <f t="shared" si="37"/>
        <v>59</v>
      </c>
    </row>
    <row r="1159" spans="1:8" x14ac:dyDescent="0.2">
      <c r="A1159" s="71" t="s">
        <v>205</v>
      </c>
      <c r="B1159" s="71" t="s">
        <v>206</v>
      </c>
      <c r="C1159" s="71" t="s">
        <v>47</v>
      </c>
      <c r="D1159" s="88">
        <v>46268.661041666703</v>
      </c>
      <c r="E1159" s="89">
        <v>46268</v>
      </c>
      <c r="F1159" s="71" t="s">
        <v>1564</v>
      </c>
      <c r="G1159" s="71">
        <f t="shared" si="36"/>
        <v>9</v>
      </c>
      <c r="H1159" s="71">
        <f t="shared" si="37"/>
        <v>35</v>
      </c>
    </row>
    <row r="1160" spans="1:8" x14ac:dyDescent="0.2">
      <c r="A1160" s="71" t="s">
        <v>205</v>
      </c>
      <c r="B1160" s="71" t="s">
        <v>206</v>
      </c>
      <c r="C1160" s="71" t="s">
        <v>47</v>
      </c>
      <c r="D1160" s="88">
        <v>46269.605000000003</v>
      </c>
      <c r="E1160" s="89">
        <v>46269</v>
      </c>
      <c r="F1160" s="71" t="s">
        <v>1649</v>
      </c>
      <c r="G1160" s="71">
        <f t="shared" si="36"/>
        <v>9</v>
      </c>
      <c r="H1160" s="71">
        <f t="shared" si="37"/>
        <v>62</v>
      </c>
    </row>
    <row r="1161" spans="1:8" x14ac:dyDescent="0.2">
      <c r="A1161" s="71" t="s">
        <v>205</v>
      </c>
      <c r="B1161" s="71" t="s">
        <v>206</v>
      </c>
      <c r="C1161" s="71" t="s">
        <v>47</v>
      </c>
      <c r="D1161" s="88">
        <v>46269.6074884259</v>
      </c>
      <c r="E1161" s="89">
        <v>46269</v>
      </c>
      <c r="F1161" s="71" t="s">
        <v>1650</v>
      </c>
      <c r="G1161" s="71">
        <f t="shared" si="36"/>
        <v>9</v>
      </c>
      <c r="H1161" s="71">
        <f t="shared" si="37"/>
        <v>92</v>
      </c>
    </row>
    <row r="1162" spans="1:8" x14ac:dyDescent="0.2">
      <c r="A1162" s="71" t="s">
        <v>205</v>
      </c>
      <c r="B1162" s="71" t="s">
        <v>206</v>
      </c>
      <c r="C1162" s="71" t="s">
        <v>47</v>
      </c>
      <c r="D1162" s="88">
        <v>46269.629525463002</v>
      </c>
      <c r="E1162" s="89">
        <v>46269</v>
      </c>
      <c r="F1162" s="71" t="s">
        <v>1651</v>
      </c>
      <c r="G1162" s="71">
        <f t="shared" si="36"/>
        <v>9</v>
      </c>
      <c r="H1162" s="71">
        <f t="shared" si="37"/>
        <v>94</v>
      </c>
    </row>
    <row r="1163" spans="1:8" x14ac:dyDescent="0.2">
      <c r="A1163" s="71" t="s">
        <v>205</v>
      </c>
      <c r="B1163" s="71" t="s">
        <v>206</v>
      </c>
      <c r="C1163" s="71" t="s">
        <v>47</v>
      </c>
      <c r="D1163" s="88">
        <v>46269.645011574103</v>
      </c>
      <c r="E1163" s="89">
        <v>46269</v>
      </c>
      <c r="F1163" s="71" t="s">
        <v>1652</v>
      </c>
      <c r="G1163" s="71">
        <f t="shared" si="36"/>
        <v>9</v>
      </c>
      <c r="H1163" s="71">
        <f t="shared" si="37"/>
        <v>85</v>
      </c>
    </row>
    <row r="1164" spans="1:8" x14ac:dyDescent="0.2">
      <c r="A1164" s="71" t="s">
        <v>205</v>
      </c>
      <c r="B1164" s="71" t="s">
        <v>206</v>
      </c>
      <c r="C1164" s="71" t="s">
        <v>47</v>
      </c>
      <c r="D1164" s="88">
        <v>46272.326493055603</v>
      </c>
      <c r="E1164" s="89">
        <v>46272</v>
      </c>
      <c r="F1164" s="71" t="s">
        <v>1653</v>
      </c>
      <c r="G1164" s="71">
        <f t="shared" si="36"/>
        <v>9</v>
      </c>
      <c r="H1164" s="71">
        <f t="shared" si="37"/>
        <v>44</v>
      </c>
    </row>
    <row r="1165" spans="1:8" x14ac:dyDescent="0.2">
      <c r="A1165" s="71" t="s">
        <v>205</v>
      </c>
      <c r="B1165" s="71" t="s">
        <v>206</v>
      </c>
      <c r="C1165" s="71" t="s">
        <v>47</v>
      </c>
      <c r="D1165" s="88">
        <v>46272.672337962998</v>
      </c>
      <c r="E1165" s="89">
        <v>46272</v>
      </c>
      <c r="F1165" s="71" t="s">
        <v>1654</v>
      </c>
      <c r="G1165" s="71">
        <f t="shared" si="36"/>
        <v>9</v>
      </c>
      <c r="H1165" s="71">
        <f t="shared" si="37"/>
        <v>127</v>
      </c>
    </row>
    <row r="1166" spans="1:8" x14ac:dyDescent="0.2">
      <c r="A1166" s="71" t="s">
        <v>205</v>
      </c>
      <c r="B1166" s="71" t="s">
        <v>206</v>
      </c>
      <c r="C1166" s="71" t="s">
        <v>47</v>
      </c>
      <c r="D1166" s="88">
        <v>46272.682326388902</v>
      </c>
      <c r="E1166" s="89">
        <v>46272</v>
      </c>
      <c r="F1166" s="71" t="s">
        <v>1655</v>
      </c>
      <c r="G1166" s="71">
        <f t="shared" si="36"/>
        <v>9</v>
      </c>
      <c r="H1166" s="71">
        <f t="shared" si="37"/>
        <v>56</v>
      </c>
    </row>
    <row r="1167" spans="1:8" x14ac:dyDescent="0.2">
      <c r="A1167" s="71" t="s">
        <v>205</v>
      </c>
      <c r="B1167" s="71" t="s">
        <v>206</v>
      </c>
      <c r="C1167" s="71" t="s">
        <v>47</v>
      </c>
      <c r="D1167" s="88">
        <v>46273.622800925899</v>
      </c>
      <c r="E1167" s="89">
        <v>46273</v>
      </c>
      <c r="F1167" s="71" t="s">
        <v>1656</v>
      </c>
      <c r="G1167" s="71">
        <f t="shared" si="36"/>
        <v>9</v>
      </c>
      <c r="H1167" s="71">
        <f t="shared" si="37"/>
        <v>46</v>
      </c>
    </row>
    <row r="1168" spans="1:8" x14ac:dyDescent="0.2">
      <c r="A1168" s="71" t="s">
        <v>205</v>
      </c>
      <c r="B1168" s="71" t="s">
        <v>206</v>
      </c>
      <c r="C1168" s="71" t="s">
        <v>47</v>
      </c>
      <c r="D1168" s="88">
        <v>46273.922719907401</v>
      </c>
      <c r="E1168" s="89">
        <v>46273</v>
      </c>
      <c r="F1168" s="71" t="s">
        <v>1592</v>
      </c>
      <c r="G1168" s="71">
        <f t="shared" si="36"/>
        <v>9</v>
      </c>
      <c r="H1168" s="71">
        <f t="shared" si="37"/>
        <v>42</v>
      </c>
    </row>
    <row r="1169" spans="1:8" x14ac:dyDescent="0.2">
      <c r="A1169" s="71" t="s">
        <v>205</v>
      </c>
      <c r="B1169" s="71" t="s">
        <v>206</v>
      </c>
      <c r="C1169" s="71" t="s">
        <v>47</v>
      </c>
      <c r="D1169" s="88">
        <v>46273.923333333303</v>
      </c>
      <c r="E1169" s="89">
        <v>46273</v>
      </c>
      <c r="F1169" s="71" t="s">
        <v>1657</v>
      </c>
      <c r="G1169" s="71">
        <f t="shared" si="36"/>
        <v>9</v>
      </c>
      <c r="H1169" s="71">
        <f t="shared" si="37"/>
        <v>25</v>
      </c>
    </row>
    <row r="1170" spans="1:8" x14ac:dyDescent="0.2">
      <c r="A1170" s="71" t="s">
        <v>205</v>
      </c>
      <c r="B1170" s="71" t="s">
        <v>206</v>
      </c>
      <c r="C1170" s="71" t="s">
        <v>47</v>
      </c>
      <c r="D1170" s="88">
        <v>46274.450706018499</v>
      </c>
      <c r="E1170" s="89">
        <v>46274</v>
      </c>
      <c r="F1170" s="71" t="s">
        <v>1658</v>
      </c>
      <c r="G1170" s="71">
        <f t="shared" si="36"/>
        <v>9</v>
      </c>
      <c r="H1170" s="71">
        <f t="shared" si="37"/>
        <v>74</v>
      </c>
    </row>
    <row r="1171" spans="1:8" x14ac:dyDescent="0.2">
      <c r="A1171" s="71" t="s">
        <v>205</v>
      </c>
      <c r="B1171" s="71" t="s">
        <v>206</v>
      </c>
      <c r="C1171" s="71" t="s">
        <v>47</v>
      </c>
      <c r="D1171" s="88">
        <v>46274.605543981503</v>
      </c>
      <c r="E1171" s="89">
        <v>46274</v>
      </c>
      <c r="F1171" s="71" t="s">
        <v>1659</v>
      </c>
      <c r="G1171" s="71">
        <f t="shared" si="36"/>
        <v>9</v>
      </c>
      <c r="H1171" s="71">
        <f t="shared" si="37"/>
        <v>65</v>
      </c>
    </row>
    <row r="1172" spans="1:8" x14ac:dyDescent="0.2">
      <c r="A1172" s="71" t="s">
        <v>205</v>
      </c>
      <c r="B1172" s="71" t="s">
        <v>206</v>
      </c>
      <c r="C1172" s="71" t="s">
        <v>47</v>
      </c>
      <c r="D1172" s="88">
        <v>46274.623483796298</v>
      </c>
      <c r="E1172" s="89">
        <v>46274</v>
      </c>
      <c r="F1172" s="71" t="s">
        <v>1660</v>
      </c>
      <c r="G1172" s="71">
        <f t="shared" si="36"/>
        <v>9</v>
      </c>
      <c r="H1172" s="71">
        <f t="shared" si="37"/>
        <v>74</v>
      </c>
    </row>
    <row r="1173" spans="1:8" x14ac:dyDescent="0.2">
      <c r="A1173" s="71" t="s">
        <v>205</v>
      </c>
      <c r="B1173" s="71" t="s">
        <v>206</v>
      </c>
      <c r="C1173" s="71" t="s">
        <v>47</v>
      </c>
      <c r="D1173" s="88">
        <v>46274.655555555597</v>
      </c>
      <c r="E1173" s="89">
        <v>46274</v>
      </c>
      <c r="F1173" s="71" t="s">
        <v>1590</v>
      </c>
      <c r="G1173" s="71">
        <f t="shared" si="36"/>
        <v>9</v>
      </c>
      <c r="H1173" s="71">
        <f t="shared" si="37"/>
        <v>60</v>
      </c>
    </row>
    <row r="1174" spans="1:8" x14ac:dyDescent="0.2">
      <c r="A1174" s="71" t="s">
        <v>205</v>
      </c>
      <c r="B1174" s="71" t="s">
        <v>206</v>
      </c>
      <c r="C1174" s="71" t="s">
        <v>47</v>
      </c>
      <c r="D1174" s="88">
        <v>46275.3594212963</v>
      </c>
      <c r="E1174" s="89">
        <v>46275</v>
      </c>
      <c r="F1174" s="71" t="s">
        <v>1661</v>
      </c>
      <c r="G1174" s="71">
        <f t="shared" si="36"/>
        <v>9</v>
      </c>
      <c r="H1174" s="71">
        <f t="shared" si="37"/>
        <v>55</v>
      </c>
    </row>
    <row r="1175" spans="1:8" x14ac:dyDescent="0.2">
      <c r="A1175" s="71" t="s">
        <v>205</v>
      </c>
      <c r="B1175" s="71" t="s">
        <v>206</v>
      </c>
      <c r="C1175" s="71" t="s">
        <v>47</v>
      </c>
      <c r="D1175" s="88">
        <v>46275.416909722197</v>
      </c>
      <c r="E1175" s="89">
        <v>46275</v>
      </c>
      <c r="F1175" s="71" t="s">
        <v>1662</v>
      </c>
      <c r="G1175" s="71">
        <f t="shared" si="36"/>
        <v>9</v>
      </c>
      <c r="H1175" s="71">
        <f t="shared" si="37"/>
        <v>57</v>
      </c>
    </row>
    <row r="1176" spans="1:8" x14ac:dyDescent="0.2">
      <c r="A1176" s="71" t="s">
        <v>205</v>
      </c>
      <c r="B1176" s="71" t="s">
        <v>206</v>
      </c>
      <c r="C1176" s="71" t="s">
        <v>47</v>
      </c>
      <c r="D1176" s="88">
        <v>46275.626562500001</v>
      </c>
      <c r="E1176" s="89">
        <v>46275</v>
      </c>
      <c r="F1176" s="71" t="s">
        <v>1663</v>
      </c>
      <c r="G1176" s="71">
        <f t="shared" si="36"/>
        <v>9</v>
      </c>
      <c r="H1176" s="71">
        <f t="shared" si="37"/>
        <v>30</v>
      </c>
    </row>
    <row r="1177" spans="1:8" x14ac:dyDescent="0.2">
      <c r="A1177" s="71" t="s">
        <v>205</v>
      </c>
      <c r="B1177" s="71" t="s">
        <v>206</v>
      </c>
      <c r="C1177" s="71" t="s">
        <v>47</v>
      </c>
      <c r="D1177" s="88">
        <v>46275.627407407403</v>
      </c>
      <c r="E1177" s="89">
        <v>46275</v>
      </c>
      <c r="F1177" s="71" t="s">
        <v>1664</v>
      </c>
      <c r="G1177" s="71">
        <f t="shared" si="36"/>
        <v>9</v>
      </c>
      <c r="H1177" s="71">
        <f t="shared" si="37"/>
        <v>48</v>
      </c>
    </row>
    <row r="1178" spans="1:8" x14ac:dyDescent="0.2">
      <c r="A1178" s="71" t="s">
        <v>205</v>
      </c>
      <c r="B1178" s="71" t="s">
        <v>206</v>
      </c>
      <c r="C1178" s="71" t="s">
        <v>47</v>
      </c>
      <c r="D1178" s="88">
        <v>46276.651724536998</v>
      </c>
      <c r="E1178" s="89">
        <v>46276</v>
      </c>
      <c r="F1178" s="71" t="s">
        <v>1665</v>
      </c>
      <c r="G1178" s="71">
        <f t="shared" si="36"/>
        <v>9</v>
      </c>
      <c r="H1178" s="71">
        <f t="shared" si="37"/>
        <v>40</v>
      </c>
    </row>
    <row r="1179" spans="1:8" x14ac:dyDescent="0.2">
      <c r="A1179" s="71" t="s">
        <v>205</v>
      </c>
      <c r="B1179" s="71" t="s">
        <v>206</v>
      </c>
      <c r="C1179" s="71" t="s">
        <v>47</v>
      </c>
      <c r="D1179" s="88">
        <v>46276.653009259302</v>
      </c>
      <c r="E1179" s="89">
        <v>46276</v>
      </c>
      <c r="F1179" s="71" t="s">
        <v>1666</v>
      </c>
      <c r="G1179" s="71">
        <f t="shared" si="36"/>
        <v>9</v>
      </c>
      <c r="H1179" s="71">
        <f t="shared" si="37"/>
        <v>51</v>
      </c>
    </row>
    <row r="1180" spans="1:8" x14ac:dyDescent="0.2">
      <c r="A1180" s="71" t="s">
        <v>205</v>
      </c>
      <c r="B1180" s="71" t="s">
        <v>206</v>
      </c>
      <c r="C1180" s="71" t="s">
        <v>47</v>
      </c>
      <c r="D1180" s="88">
        <v>46279.423750000002</v>
      </c>
      <c r="E1180" s="89">
        <v>46279</v>
      </c>
      <c r="F1180" s="71" t="s">
        <v>1667</v>
      </c>
      <c r="G1180" s="71">
        <f t="shared" si="36"/>
        <v>9</v>
      </c>
      <c r="H1180" s="71">
        <f t="shared" si="37"/>
        <v>62</v>
      </c>
    </row>
    <row r="1181" spans="1:8" x14ac:dyDescent="0.2">
      <c r="A1181" s="71" t="s">
        <v>205</v>
      </c>
      <c r="B1181" s="71" t="s">
        <v>206</v>
      </c>
      <c r="C1181" s="71" t="s">
        <v>47</v>
      </c>
      <c r="D1181" s="88">
        <v>46279.6008449074</v>
      </c>
      <c r="E1181" s="89">
        <v>46279</v>
      </c>
      <c r="F1181" s="71" t="s">
        <v>1668</v>
      </c>
      <c r="G1181" s="71">
        <f t="shared" si="36"/>
        <v>9</v>
      </c>
      <c r="H1181" s="71">
        <f t="shared" si="37"/>
        <v>51</v>
      </c>
    </row>
    <row r="1182" spans="1:8" x14ac:dyDescent="0.2">
      <c r="A1182" s="71" t="s">
        <v>205</v>
      </c>
      <c r="B1182" s="71" t="s">
        <v>206</v>
      </c>
      <c r="C1182" s="71" t="s">
        <v>47</v>
      </c>
      <c r="D1182" s="88">
        <v>46279.704976851899</v>
      </c>
      <c r="E1182" s="89">
        <v>46279</v>
      </c>
      <c r="F1182" s="71" t="s">
        <v>1669</v>
      </c>
      <c r="G1182" s="71">
        <f t="shared" si="36"/>
        <v>9</v>
      </c>
      <c r="H1182" s="71">
        <f t="shared" si="37"/>
        <v>29</v>
      </c>
    </row>
    <row r="1183" spans="1:8" x14ac:dyDescent="0.2">
      <c r="A1183" s="71" t="s">
        <v>205</v>
      </c>
      <c r="B1183" s="71" t="s">
        <v>206</v>
      </c>
      <c r="C1183" s="71" t="s">
        <v>47</v>
      </c>
      <c r="D1183" s="88">
        <v>46280.389872685198</v>
      </c>
      <c r="E1183" s="89">
        <v>46280</v>
      </c>
      <c r="F1183" s="71" t="s">
        <v>1670</v>
      </c>
      <c r="G1183" s="71">
        <f t="shared" si="36"/>
        <v>9</v>
      </c>
      <c r="H1183" s="71">
        <f t="shared" si="37"/>
        <v>60</v>
      </c>
    </row>
    <row r="1184" spans="1:8" x14ac:dyDescent="0.2">
      <c r="A1184" s="71" t="s">
        <v>205</v>
      </c>
      <c r="B1184" s="71" t="s">
        <v>206</v>
      </c>
      <c r="C1184" s="71" t="s">
        <v>47</v>
      </c>
      <c r="D1184" s="88">
        <v>46280.671990740702</v>
      </c>
      <c r="E1184" s="89">
        <v>46280</v>
      </c>
      <c r="F1184" s="71" t="s">
        <v>1671</v>
      </c>
      <c r="G1184" s="71">
        <f t="shared" si="36"/>
        <v>9</v>
      </c>
      <c r="H1184" s="71">
        <f t="shared" si="37"/>
        <v>34</v>
      </c>
    </row>
    <row r="1185" spans="1:8" x14ac:dyDescent="0.2">
      <c r="A1185" s="71" t="s">
        <v>205</v>
      </c>
      <c r="B1185" s="71" t="s">
        <v>206</v>
      </c>
      <c r="C1185" s="71" t="s">
        <v>47</v>
      </c>
      <c r="D1185" s="88">
        <v>46281.658437500002</v>
      </c>
      <c r="E1185" s="89">
        <v>46281</v>
      </c>
      <c r="F1185" s="71" t="s">
        <v>1672</v>
      </c>
      <c r="G1185" s="71">
        <f t="shared" si="36"/>
        <v>9</v>
      </c>
      <c r="H1185" s="71">
        <f t="shared" si="37"/>
        <v>67</v>
      </c>
    </row>
    <row r="1186" spans="1:8" x14ac:dyDescent="0.2">
      <c r="A1186" s="71" t="s">
        <v>205</v>
      </c>
      <c r="B1186" s="71" t="s">
        <v>206</v>
      </c>
      <c r="C1186" s="71" t="s">
        <v>47</v>
      </c>
      <c r="D1186" s="88">
        <v>46281.662523148101</v>
      </c>
      <c r="E1186" s="89">
        <v>46281</v>
      </c>
      <c r="F1186" s="71" t="s">
        <v>1673</v>
      </c>
      <c r="G1186" s="71">
        <f t="shared" si="36"/>
        <v>9</v>
      </c>
      <c r="H1186" s="71">
        <f t="shared" si="37"/>
        <v>65</v>
      </c>
    </row>
    <row r="1187" spans="1:8" x14ac:dyDescent="0.2">
      <c r="A1187" s="71" t="s">
        <v>205</v>
      </c>
      <c r="B1187" s="71" t="s">
        <v>206</v>
      </c>
      <c r="C1187" s="71" t="s">
        <v>47</v>
      </c>
      <c r="D1187" s="88">
        <v>46283.363402777803</v>
      </c>
      <c r="E1187" s="89">
        <v>46283</v>
      </c>
      <c r="F1187" s="71" t="s">
        <v>1674</v>
      </c>
      <c r="G1187" s="71">
        <f t="shared" si="36"/>
        <v>9</v>
      </c>
      <c r="H1187" s="71">
        <f t="shared" si="37"/>
        <v>51</v>
      </c>
    </row>
    <row r="1188" spans="1:8" x14ac:dyDescent="0.2">
      <c r="A1188" s="71" t="s">
        <v>205</v>
      </c>
      <c r="B1188" s="71" t="s">
        <v>206</v>
      </c>
      <c r="C1188" s="71" t="s">
        <v>47</v>
      </c>
      <c r="D1188" s="88">
        <v>46283.421446759297</v>
      </c>
      <c r="E1188" s="89">
        <v>46283</v>
      </c>
      <c r="F1188" s="71" t="s">
        <v>1675</v>
      </c>
      <c r="G1188" s="71">
        <f t="shared" si="36"/>
        <v>9</v>
      </c>
      <c r="H1188" s="71">
        <f t="shared" si="37"/>
        <v>66</v>
      </c>
    </row>
    <row r="1189" spans="1:8" x14ac:dyDescent="0.2">
      <c r="A1189" s="71" t="s">
        <v>205</v>
      </c>
      <c r="B1189" s="71" t="s">
        <v>206</v>
      </c>
      <c r="C1189" s="71" t="s">
        <v>47</v>
      </c>
      <c r="D1189" s="88">
        <v>46283.645636574103</v>
      </c>
      <c r="E1189" s="89">
        <v>46283</v>
      </c>
      <c r="F1189" s="71" t="s">
        <v>1676</v>
      </c>
      <c r="G1189" s="71">
        <f t="shared" si="36"/>
        <v>9</v>
      </c>
      <c r="H1189" s="71">
        <f t="shared" si="37"/>
        <v>61</v>
      </c>
    </row>
    <row r="1190" spans="1:8" x14ac:dyDescent="0.2">
      <c r="A1190" s="71" t="s">
        <v>205</v>
      </c>
      <c r="B1190" s="71" t="s">
        <v>206</v>
      </c>
      <c r="C1190" s="71" t="s">
        <v>47</v>
      </c>
      <c r="D1190" s="88">
        <v>46283.675000000003</v>
      </c>
      <c r="E1190" s="89">
        <v>46283</v>
      </c>
      <c r="F1190" s="71" t="s">
        <v>1677</v>
      </c>
      <c r="G1190" s="71">
        <f t="shared" si="36"/>
        <v>9</v>
      </c>
      <c r="H1190" s="71">
        <f t="shared" si="37"/>
        <v>84</v>
      </c>
    </row>
    <row r="1191" spans="1:8" x14ac:dyDescent="0.2">
      <c r="A1191" s="71" t="s">
        <v>205</v>
      </c>
      <c r="B1191" s="71" t="s">
        <v>206</v>
      </c>
      <c r="C1191" s="71" t="s">
        <v>47</v>
      </c>
      <c r="D1191" s="88">
        <v>46286.350856481498</v>
      </c>
      <c r="E1191" s="89">
        <v>46286</v>
      </c>
      <c r="F1191" s="71" t="s">
        <v>1577</v>
      </c>
      <c r="G1191" s="71">
        <f t="shared" si="36"/>
        <v>9</v>
      </c>
      <c r="H1191" s="71">
        <f t="shared" si="37"/>
        <v>17</v>
      </c>
    </row>
    <row r="1192" spans="1:8" x14ac:dyDescent="0.2">
      <c r="A1192" s="71" t="s">
        <v>205</v>
      </c>
      <c r="B1192" s="71" t="s">
        <v>206</v>
      </c>
      <c r="C1192" s="71" t="s">
        <v>47</v>
      </c>
      <c r="D1192" s="88">
        <v>46286.438553240703</v>
      </c>
      <c r="E1192" s="89">
        <v>46286</v>
      </c>
      <c r="F1192" s="71" t="s">
        <v>1564</v>
      </c>
      <c r="G1192" s="71">
        <f t="shared" si="36"/>
        <v>9</v>
      </c>
      <c r="H1192" s="71">
        <f t="shared" si="37"/>
        <v>35</v>
      </c>
    </row>
    <row r="1193" spans="1:8" x14ac:dyDescent="0.2">
      <c r="A1193" s="71" t="s">
        <v>205</v>
      </c>
      <c r="B1193" s="71" t="s">
        <v>206</v>
      </c>
      <c r="C1193" s="71" t="s">
        <v>47</v>
      </c>
      <c r="D1193" s="88">
        <v>46286.619803240697</v>
      </c>
      <c r="E1193" s="89">
        <v>46286</v>
      </c>
      <c r="F1193" s="71" t="s">
        <v>1678</v>
      </c>
      <c r="G1193" s="71">
        <f t="shared" si="36"/>
        <v>9</v>
      </c>
      <c r="H1193" s="71">
        <f t="shared" si="37"/>
        <v>71</v>
      </c>
    </row>
    <row r="1194" spans="1:8" x14ac:dyDescent="0.2">
      <c r="A1194" s="71" t="s">
        <v>205</v>
      </c>
      <c r="B1194" s="71" t="s">
        <v>206</v>
      </c>
      <c r="C1194" s="71" t="s">
        <v>47</v>
      </c>
      <c r="D1194" s="88">
        <v>46287.446284722202</v>
      </c>
      <c r="E1194" s="89">
        <v>46287</v>
      </c>
      <c r="F1194" s="71" t="s">
        <v>1679</v>
      </c>
      <c r="G1194" s="71">
        <f t="shared" si="36"/>
        <v>9</v>
      </c>
      <c r="H1194" s="71">
        <f t="shared" si="37"/>
        <v>56</v>
      </c>
    </row>
    <row r="1195" spans="1:8" x14ac:dyDescent="0.2">
      <c r="A1195" s="71" t="s">
        <v>205</v>
      </c>
      <c r="B1195" s="71" t="s">
        <v>206</v>
      </c>
      <c r="C1195" s="71" t="s">
        <v>47</v>
      </c>
      <c r="D1195" s="88">
        <v>46287.473958333299</v>
      </c>
      <c r="E1195" s="89">
        <v>46287</v>
      </c>
      <c r="F1195" s="71" t="s">
        <v>1680</v>
      </c>
      <c r="G1195" s="71">
        <f t="shared" si="36"/>
        <v>9</v>
      </c>
      <c r="H1195" s="71">
        <f t="shared" si="37"/>
        <v>45</v>
      </c>
    </row>
    <row r="1196" spans="1:8" x14ac:dyDescent="0.2">
      <c r="A1196" s="71" t="s">
        <v>205</v>
      </c>
      <c r="B1196" s="71" t="s">
        <v>206</v>
      </c>
      <c r="C1196" s="71" t="s">
        <v>47</v>
      </c>
      <c r="D1196" s="88">
        <v>46287.629247685203</v>
      </c>
      <c r="E1196" s="89">
        <v>46287</v>
      </c>
      <c r="F1196" s="71" t="s">
        <v>1681</v>
      </c>
      <c r="G1196" s="71">
        <f t="shared" si="36"/>
        <v>9</v>
      </c>
      <c r="H1196" s="71">
        <f t="shared" si="37"/>
        <v>40</v>
      </c>
    </row>
    <row r="1197" spans="1:8" x14ac:dyDescent="0.2">
      <c r="A1197" s="71" t="s">
        <v>205</v>
      </c>
      <c r="B1197" s="71" t="s">
        <v>206</v>
      </c>
      <c r="C1197" s="71" t="s">
        <v>47</v>
      </c>
      <c r="D1197" s="88">
        <v>46288.388101851902</v>
      </c>
      <c r="E1197" s="89">
        <v>46288</v>
      </c>
      <c r="F1197" s="71" t="s">
        <v>1682</v>
      </c>
      <c r="G1197" s="71">
        <f t="shared" si="36"/>
        <v>9</v>
      </c>
      <c r="H1197" s="71">
        <f t="shared" si="37"/>
        <v>82</v>
      </c>
    </row>
    <row r="1198" spans="1:8" x14ac:dyDescent="0.2">
      <c r="A1198" s="71" t="s">
        <v>205</v>
      </c>
      <c r="B1198" s="71" t="s">
        <v>206</v>
      </c>
      <c r="C1198" s="71" t="s">
        <v>47</v>
      </c>
      <c r="D1198" s="88">
        <v>46288.552673611099</v>
      </c>
      <c r="E1198" s="89">
        <v>46288</v>
      </c>
      <c r="F1198" s="71" t="s">
        <v>1564</v>
      </c>
      <c r="G1198" s="71">
        <f t="shared" si="36"/>
        <v>9</v>
      </c>
      <c r="H1198" s="71">
        <f t="shared" si="37"/>
        <v>35</v>
      </c>
    </row>
    <row r="1199" spans="1:8" x14ac:dyDescent="0.2">
      <c r="A1199" s="71" t="s">
        <v>205</v>
      </c>
      <c r="B1199" s="71" t="s">
        <v>206</v>
      </c>
      <c r="C1199" s="71" t="s">
        <v>47</v>
      </c>
      <c r="D1199" s="88">
        <v>46288.638425925899</v>
      </c>
      <c r="E1199" s="89">
        <v>46288</v>
      </c>
      <c r="F1199" s="71" t="s">
        <v>1683</v>
      </c>
      <c r="G1199" s="71">
        <f t="shared" si="36"/>
        <v>9</v>
      </c>
      <c r="H1199" s="71">
        <f t="shared" si="37"/>
        <v>61</v>
      </c>
    </row>
    <row r="1200" spans="1:8" x14ac:dyDescent="0.2">
      <c r="A1200" s="71" t="s">
        <v>205</v>
      </c>
      <c r="B1200" s="71" t="s">
        <v>206</v>
      </c>
      <c r="C1200" s="71" t="s">
        <v>47</v>
      </c>
      <c r="D1200" s="88">
        <v>46288.672361111101</v>
      </c>
      <c r="E1200" s="89">
        <v>46288</v>
      </c>
      <c r="F1200" s="71" t="s">
        <v>1684</v>
      </c>
      <c r="G1200" s="71">
        <f t="shared" si="36"/>
        <v>9</v>
      </c>
      <c r="H1200" s="71">
        <f t="shared" si="37"/>
        <v>43</v>
      </c>
    </row>
    <row r="1201" spans="1:8" x14ac:dyDescent="0.2">
      <c r="A1201" s="71" t="s">
        <v>205</v>
      </c>
      <c r="B1201" s="71" t="s">
        <v>206</v>
      </c>
      <c r="C1201" s="71" t="s">
        <v>47</v>
      </c>
      <c r="D1201" s="88">
        <v>46289.346886574102</v>
      </c>
      <c r="E1201" s="89">
        <v>46289</v>
      </c>
      <c r="F1201" s="71" t="s">
        <v>1685</v>
      </c>
      <c r="G1201" s="71">
        <f t="shared" si="36"/>
        <v>9</v>
      </c>
      <c r="H1201" s="71">
        <f t="shared" si="37"/>
        <v>62</v>
      </c>
    </row>
    <row r="1202" spans="1:8" x14ac:dyDescent="0.2">
      <c r="A1202" s="71" t="s">
        <v>205</v>
      </c>
      <c r="B1202" s="71" t="s">
        <v>206</v>
      </c>
      <c r="C1202" s="71" t="s">
        <v>47</v>
      </c>
      <c r="D1202" s="88">
        <v>46289.700810185197</v>
      </c>
      <c r="E1202" s="89">
        <v>46289</v>
      </c>
      <c r="F1202" s="71" t="s">
        <v>1686</v>
      </c>
      <c r="G1202" s="71">
        <f t="shared" si="36"/>
        <v>9</v>
      </c>
      <c r="H1202" s="71">
        <f t="shared" si="37"/>
        <v>37</v>
      </c>
    </row>
    <row r="1203" spans="1:8" x14ac:dyDescent="0.2">
      <c r="A1203" s="71" t="s">
        <v>205</v>
      </c>
      <c r="B1203" s="71" t="s">
        <v>206</v>
      </c>
      <c r="C1203" s="71" t="s">
        <v>47</v>
      </c>
      <c r="D1203" s="88">
        <v>46290.709062499998</v>
      </c>
      <c r="E1203" s="89">
        <v>46290</v>
      </c>
      <c r="F1203" s="71" t="s">
        <v>1687</v>
      </c>
      <c r="G1203" s="71">
        <f t="shared" si="36"/>
        <v>9</v>
      </c>
      <c r="H1203" s="71">
        <f t="shared" si="37"/>
        <v>30</v>
      </c>
    </row>
    <row r="1204" spans="1:8" x14ac:dyDescent="0.2">
      <c r="A1204" s="71" t="s">
        <v>205</v>
      </c>
      <c r="B1204" s="71" t="s">
        <v>206</v>
      </c>
      <c r="C1204" s="71" t="s">
        <v>47</v>
      </c>
      <c r="D1204" s="88">
        <v>46290.760393518503</v>
      </c>
      <c r="E1204" s="89">
        <v>46290</v>
      </c>
      <c r="F1204" s="71" t="s">
        <v>1649</v>
      </c>
      <c r="G1204" s="71">
        <f t="shared" si="36"/>
        <v>9</v>
      </c>
      <c r="H1204" s="71">
        <f t="shared" si="37"/>
        <v>62</v>
      </c>
    </row>
    <row r="1205" spans="1:8" x14ac:dyDescent="0.2">
      <c r="A1205" s="71" t="s">
        <v>205</v>
      </c>
      <c r="B1205" s="71" t="s">
        <v>206</v>
      </c>
      <c r="C1205" s="71" t="s">
        <v>47</v>
      </c>
      <c r="D1205" s="88">
        <v>46293.6255439815</v>
      </c>
      <c r="E1205" s="89">
        <v>46293</v>
      </c>
      <c r="F1205" s="71" t="s">
        <v>1592</v>
      </c>
      <c r="G1205" s="71">
        <f t="shared" si="36"/>
        <v>9</v>
      </c>
      <c r="H1205" s="71">
        <f t="shared" si="37"/>
        <v>42</v>
      </c>
    </row>
    <row r="1206" spans="1:8" x14ac:dyDescent="0.2">
      <c r="A1206" s="71" t="s">
        <v>205</v>
      </c>
      <c r="B1206" s="71" t="s">
        <v>206</v>
      </c>
      <c r="C1206" s="71" t="s">
        <v>47</v>
      </c>
      <c r="D1206" s="88">
        <v>46293.643831018497</v>
      </c>
      <c r="E1206" s="89">
        <v>46293</v>
      </c>
      <c r="F1206" s="71" t="s">
        <v>1688</v>
      </c>
      <c r="G1206" s="71">
        <f t="shared" si="36"/>
        <v>9</v>
      </c>
      <c r="H1206" s="71">
        <f t="shared" si="37"/>
        <v>32</v>
      </c>
    </row>
    <row r="1207" spans="1:8" x14ac:dyDescent="0.2">
      <c r="A1207" s="71" t="s">
        <v>205</v>
      </c>
      <c r="B1207" s="71" t="s">
        <v>206</v>
      </c>
      <c r="C1207" s="71" t="s">
        <v>47</v>
      </c>
      <c r="D1207" s="88">
        <v>46294.5709837963</v>
      </c>
      <c r="E1207" s="89">
        <v>46294</v>
      </c>
      <c r="F1207" s="71" t="s">
        <v>1689</v>
      </c>
      <c r="G1207" s="71">
        <f t="shared" si="36"/>
        <v>9</v>
      </c>
      <c r="H1207" s="71">
        <f t="shared" si="37"/>
        <v>54</v>
      </c>
    </row>
    <row r="1208" spans="1:8" x14ac:dyDescent="0.2">
      <c r="A1208" s="71" t="s">
        <v>205</v>
      </c>
      <c r="B1208" s="71" t="s">
        <v>206</v>
      </c>
      <c r="C1208" s="71" t="s">
        <v>47</v>
      </c>
      <c r="D1208" s="88">
        <v>46294.683634259301</v>
      </c>
      <c r="E1208" s="89">
        <v>46294</v>
      </c>
      <c r="F1208" s="71" t="s">
        <v>1690</v>
      </c>
      <c r="G1208" s="71">
        <f t="shared" si="36"/>
        <v>9</v>
      </c>
      <c r="H1208" s="71">
        <f t="shared" si="37"/>
        <v>41</v>
      </c>
    </row>
    <row r="1209" spans="1:8" x14ac:dyDescent="0.2">
      <c r="A1209" s="71" t="s">
        <v>205</v>
      </c>
      <c r="B1209" s="71" t="s">
        <v>206</v>
      </c>
      <c r="C1209" s="71" t="s">
        <v>47</v>
      </c>
      <c r="D1209" s="88">
        <v>46294.684884259303</v>
      </c>
      <c r="E1209" s="89">
        <v>46294</v>
      </c>
      <c r="F1209" s="71" t="s">
        <v>1691</v>
      </c>
      <c r="G1209" s="71">
        <f t="shared" si="36"/>
        <v>9</v>
      </c>
      <c r="H1209" s="71">
        <f t="shared" si="37"/>
        <v>66</v>
      </c>
    </row>
    <row r="1210" spans="1:8" x14ac:dyDescent="0.2">
      <c r="A1210" s="71" t="s">
        <v>205</v>
      </c>
      <c r="B1210" s="71" t="s">
        <v>206</v>
      </c>
      <c r="C1210" s="71" t="s">
        <v>47</v>
      </c>
      <c r="D1210" s="88">
        <v>46295.691805555602</v>
      </c>
      <c r="E1210" s="89">
        <v>46295</v>
      </c>
      <c r="F1210" s="71" t="s">
        <v>1692</v>
      </c>
      <c r="G1210" s="71">
        <f t="shared" si="36"/>
        <v>9</v>
      </c>
      <c r="H1210" s="71">
        <f t="shared" si="37"/>
        <v>38</v>
      </c>
    </row>
    <row r="1211" spans="1:8" x14ac:dyDescent="0.2">
      <c r="A1211" s="71" t="s">
        <v>205</v>
      </c>
      <c r="B1211" s="71" t="s">
        <v>206</v>
      </c>
      <c r="C1211" s="71" t="s">
        <v>47</v>
      </c>
      <c r="D1211" s="88">
        <v>46295.730474536998</v>
      </c>
      <c r="E1211" s="89">
        <v>46295</v>
      </c>
      <c r="F1211" s="71" t="s">
        <v>1693</v>
      </c>
      <c r="G1211" s="71">
        <f t="shared" si="36"/>
        <v>9</v>
      </c>
      <c r="H1211" s="71">
        <f t="shared" si="37"/>
        <v>54</v>
      </c>
    </row>
    <row r="1212" spans="1:8" x14ac:dyDescent="0.2">
      <c r="A1212" s="71" t="s">
        <v>246</v>
      </c>
      <c r="B1212" s="71" t="s">
        <v>247</v>
      </c>
      <c r="C1212" s="71" t="s">
        <v>45</v>
      </c>
      <c r="D1212" s="88">
        <v>46175.680578703701</v>
      </c>
      <c r="E1212" s="89">
        <v>46175</v>
      </c>
      <c r="F1212" s="71" t="s">
        <v>1694</v>
      </c>
      <c r="G1212" s="71">
        <f t="shared" si="36"/>
        <v>6</v>
      </c>
      <c r="H1212" s="71">
        <f t="shared" si="37"/>
        <v>52</v>
      </c>
    </row>
    <row r="1213" spans="1:8" x14ac:dyDescent="0.2">
      <c r="A1213" s="71" t="s">
        <v>246</v>
      </c>
      <c r="B1213" s="71" t="s">
        <v>247</v>
      </c>
      <c r="C1213" s="71" t="s">
        <v>45</v>
      </c>
      <c r="D1213" s="88">
        <v>46175.6815740741</v>
      </c>
      <c r="E1213" s="89">
        <v>46175</v>
      </c>
      <c r="F1213" s="71" t="s">
        <v>1695</v>
      </c>
      <c r="G1213" s="71">
        <f t="shared" si="36"/>
        <v>6</v>
      </c>
      <c r="H1213" s="71">
        <f t="shared" si="37"/>
        <v>39</v>
      </c>
    </row>
    <row r="1214" spans="1:8" x14ac:dyDescent="0.2">
      <c r="A1214" s="71" t="s">
        <v>246</v>
      </c>
      <c r="B1214" s="71" t="s">
        <v>247</v>
      </c>
      <c r="C1214" s="71" t="s">
        <v>45</v>
      </c>
      <c r="D1214" s="88">
        <v>46175.6819791667</v>
      </c>
      <c r="E1214" s="89">
        <v>46175</v>
      </c>
      <c r="F1214" s="71" t="s">
        <v>1696</v>
      </c>
      <c r="G1214" s="71">
        <f t="shared" si="36"/>
        <v>6</v>
      </c>
      <c r="H1214" s="71">
        <f t="shared" si="37"/>
        <v>15</v>
      </c>
    </row>
    <row r="1215" spans="1:8" x14ac:dyDescent="0.2">
      <c r="A1215" s="71" t="s">
        <v>246</v>
      </c>
      <c r="B1215" s="71" t="s">
        <v>247</v>
      </c>
      <c r="C1215" s="71" t="s">
        <v>45</v>
      </c>
      <c r="D1215" s="88">
        <v>46176.662569444401</v>
      </c>
      <c r="E1215" s="89">
        <v>46176</v>
      </c>
      <c r="F1215" s="71" t="s">
        <v>1697</v>
      </c>
      <c r="G1215" s="71">
        <f t="shared" si="36"/>
        <v>6</v>
      </c>
      <c r="H1215" s="71">
        <f t="shared" si="37"/>
        <v>29</v>
      </c>
    </row>
    <row r="1216" spans="1:8" x14ac:dyDescent="0.2">
      <c r="A1216" s="71" t="s">
        <v>246</v>
      </c>
      <c r="B1216" s="71" t="s">
        <v>247</v>
      </c>
      <c r="C1216" s="71" t="s">
        <v>45</v>
      </c>
      <c r="D1216" s="88">
        <v>46176.662928240701</v>
      </c>
      <c r="E1216" s="89">
        <v>46176</v>
      </c>
      <c r="F1216" s="71" t="s">
        <v>1696</v>
      </c>
      <c r="G1216" s="71">
        <f t="shared" si="36"/>
        <v>6</v>
      </c>
      <c r="H1216" s="71">
        <f t="shared" si="37"/>
        <v>15</v>
      </c>
    </row>
    <row r="1217" spans="1:8" x14ac:dyDescent="0.2">
      <c r="A1217" s="71" t="s">
        <v>246</v>
      </c>
      <c r="B1217" s="71" t="s">
        <v>247</v>
      </c>
      <c r="C1217" s="71" t="s">
        <v>45</v>
      </c>
      <c r="D1217" s="88">
        <v>46176.663379629601</v>
      </c>
      <c r="E1217" s="89">
        <v>46176</v>
      </c>
      <c r="F1217" s="71" t="s">
        <v>1698</v>
      </c>
      <c r="G1217" s="71">
        <f t="shared" si="36"/>
        <v>6</v>
      </c>
      <c r="H1217" s="71">
        <f t="shared" si="37"/>
        <v>80</v>
      </c>
    </row>
    <row r="1218" spans="1:8" x14ac:dyDescent="0.2">
      <c r="A1218" s="71" t="s">
        <v>246</v>
      </c>
      <c r="B1218" s="71" t="s">
        <v>247</v>
      </c>
      <c r="C1218" s="71" t="s">
        <v>45</v>
      </c>
      <c r="D1218" s="88">
        <v>46177.687152777798</v>
      </c>
      <c r="E1218" s="89">
        <v>46177</v>
      </c>
      <c r="F1218" s="71" t="s">
        <v>1699</v>
      </c>
      <c r="G1218" s="71">
        <f t="shared" ref="G1218:G1281" si="38">MONTH(E1218)</f>
        <v>6</v>
      </c>
      <c r="H1218" s="71">
        <f t="shared" ref="H1218:H1281" si="39">LEN(F1218)</f>
        <v>48</v>
      </c>
    </row>
    <row r="1219" spans="1:8" x14ac:dyDescent="0.2">
      <c r="A1219" s="71" t="s">
        <v>246</v>
      </c>
      <c r="B1219" s="71" t="s">
        <v>247</v>
      </c>
      <c r="C1219" s="71" t="s">
        <v>45</v>
      </c>
      <c r="D1219" s="88">
        <v>46177.687604166698</v>
      </c>
      <c r="E1219" s="89">
        <v>46177</v>
      </c>
      <c r="F1219" s="71" t="s">
        <v>1700</v>
      </c>
      <c r="G1219" s="71">
        <f t="shared" si="38"/>
        <v>6</v>
      </c>
      <c r="H1219" s="71">
        <f t="shared" si="39"/>
        <v>39</v>
      </c>
    </row>
    <row r="1220" spans="1:8" x14ac:dyDescent="0.2">
      <c r="A1220" s="71" t="s">
        <v>246</v>
      </c>
      <c r="B1220" s="71" t="s">
        <v>247</v>
      </c>
      <c r="C1220" s="71" t="s">
        <v>45</v>
      </c>
      <c r="D1220" s="88">
        <v>46177.687893518501</v>
      </c>
      <c r="E1220" s="89">
        <v>46177</v>
      </c>
      <c r="F1220" s="71" t="s">
        <v>1696</v>
      </c>
      <c r="G1220" s="71">
        <f t="shared" si="38"/>
        <v>6</v>
      </c>
      <c r="H1220" s="71">
        <f t="shared" si="39"/>
        <v>15</v>
      </c>
    </row>
    <row r="1221" spans="1:8" x14ac:dyDescent="0.2">
      <c r="A1221" s="71" t="s">
        <v>246</v>
      </c>
      <c r="B1221" s="71" t="s">
        <v>247</v>
      </c>
      <c r="C1221" s="71" t="s">
        <v>45</v>
      </c>
      <c r="D1221" s="88">
        <v>46178.753935185203</v>
      </c>
      <c r="E1221" s="89">
        <v>46178</v>
      </c>
      <c r="F1221" s="71" t="s">
        <v>1701</v>
      </c>
      <c r="G1221" s="71">
        <f t="shared" si="38"/>
        <v>6</v>
      </c>
      <c r="H1221" s="71">
        <f t="shared" si="39"/>
        <v>61</v>
      </c>
    </row>
    <row r="1222" spans="1:8" x14ac:dyDescent="0.2">
      <c r="A1222" s="71" t="s">
        <v>246</v>
      </c>
      <c r="B1222" s="71" t="s">
        <v>247</v>
      </c>
      <c r="C1222" s="71" t="s">
        <v>45</v>
      </c>
      <c r="D1222" s="88">
        <v>46178.754907407398</v>
      </c>
      <c r="E1222" s="89">
        <v>46178</v>
      </c>
      <c r="F1222" s="71" t="s">
        <v>1702</v>
      </c>
      <c r="G1222" s="71">
        <f t="shared" si="38"/>
        <v>6</v>
      </c>
      <c r="H1222" s="71">
        <f t="shared" si="39"/>
        <v>55</v>
      </c>
    </row>
    <row r="1223" spans="1:8" x14ac:dyDescent="0.2">
      <c r="A1223" s="71" t="s">
        <v>246</v>
      </c>
      <c r="B1223" s="71" t="s">
        <v>247</v>
      </c>
      <c r="C1223" s="71" t="s">
        <v>45</v>
      </c>
      <c r="D1223" s="88">
        <v>46181.687083333301</v>
      </c>
      <c r="E1223" s="89">
        <v>46181</v>
      </c>
      <c r="F1223" s="71" t="s">
        <v>1703</v>
      </c>
      <c r="G1223" s="71">
        <f t="shared" si="38"/>
        <v>6</v>
      </c>
      <c r="H1223" s="71">
        <f t="shared" si="39"/>
        <v>81</v>
      </c>
    </row>
    <row r="1224" spans="1:8" x14ac:dyDescent="0.2">
      <c r="A1224" s="71" t="s">
        <v>246</v>
      </c>
      <c r="B1224" s="71" t="s">
        <v>247</v>
      </c>
      <c r="C1224" s="71" t="s">
        <v>45</v>
      </c>
      <c r="D1224" s="88">
        <v>46181.687708333302</v>
      </c>
      <c r="E1224" s="89">
        <v>46181</v>
      </c>
      <c r="F1224" s="71" t="s">
        <v>1704</v>
      </c>
      <c r="G1224" s="71">
        <f t="shared" si="38"/>
        <v>6</v>
      </c>
      <c r="H1224" s="71">
        <f t="shared" si="39"/>
        <v>55</v>
      </c>
    </row>
    <row r="1225" spans="1:8" x14ac:dyDescent="0.2">
      <c r="A1225" s="71" t="s">
        <v>246</v>
      </c>
      <c r="B1225" s="71" t="s">
        <v>247</v>
      </c>
      <c r="C1225" s="71" t="s">
        <v>45</v>
      </c>
      <c r="D1225" s="88">
        <v>46181.688252314802</v>
      </c>
      <c r="E1225" s="89">
        <v>46181</v>
      </c>
      <c r="F1225" s="71" t="s">
        <v>1705</v>
      </c>
      <c r="G1225" s="71">
        <f t="shared" si="38"/>
        <v>6</v>
      </c>
      <c r="H1225" s="71">
        <f t="shared" si="39"/>
        <v>66</v>
      </c>
    </row>
    <row r="1226" spans="1:8" x14ac:dyDescent="0.2">
      <c r="A1226" s="71" t="s">
        <v>246</v>
      </c>
      <c r="B1226" s="71" t="s">
        <v>247</v>
      </c>
      <c r="C1226" s="71" t="s">
        <v>45</v>
      </c>
      <c r="D1226" s="88">
        <v>46182.629004629598</v>
      </c>
      <c r="E1226" s="89">
        <v>46182</v>
      </c>
      <c r="F1226" s="71" t="s">
        <v>1706</v>
      </c>
      <c r="G1226" s="71">
        <f t="shared" si="38"/>
        <v>6</v>
      </c>
      <c r="H1226" s="71">
        <f t="shared" si="39"/>
        <v>93</v>
      </c>
    </row>
    <row r="1227" spans="1:8" x14ac:dyDescent="0.2">
      <c r="A1227" s="71" t="s">
        <v>246</v>
      </c>
      <c r="B1227" s="71" t="s">
        <v>247</v>
      </c>
      <c r="C1227" s="71" t="s">
        <v>45</v>
      </c>
      <c r="D1227" s="88">
        <v>46182.631053240701</v>
      </c>
      <c r="E1227" s="89">
        <v>46182</v>
      </c>
      <c r="F1227" s="71" t="s">
        <v>1707</v>
      </c>
      <c r="G1227" s="71">
        <f t="shared" si="38"/>
        <v>6</v>
      </c>
      <c r="H1227" s="71">
        <f t="shared" si="39"/>
        <v>111</v>
      </c>
    </row>
    <row r="1228" spans="1:8" x14ac:dyDescent="0.2">
      <c r="A1228" s="71" t="s">
        <v>246</v>
      </c>
      <c r="B1228" s="71" t="s">
        <v>247</v>
      </c>
      <c r="C1228" s="71" t="s">
        <v>45</v>
      </c>
      <c r="D1228" s="88">
        <v>46182.6407638889</v>
      </c>
      <c r="E1228" s="89">
        <v>46182</v>
      </c>
      <c r="F1228" s="71" t="s">
        <v>1708</v>
      </c>
      <c r="G1228" s="71">
        <f t="shared" si="38"/>
        <v>6</v>
      </c>
      <c r="H1228" s="71">
        <f t="shared" si="39"/>
        <v>64</v>
      </c>
    </row>
    <row r="1229" spans="1:8" x14ac:dyDescent="0.2">
      <c r="A1229" s="71" t="s">
        <v>246</v>
      </c>
      <c r="B1229" s="71" t="s">
        <v>247</v>
      </c>
      <c r="C1229" s="71" t="s">
        <v>45</v>
      </c>
      <c r="D1229" s="88">
        <v>46183.669155092597</v>
      </c>
      <c r="E1229" s="89">
        <v>46183</v>
      </c>
      <c r="F1229" s="71" t="s">
        <v>1709</v>
      </c>
      <c r="G1229" s="71">
        <f t="shared" si="38"/>
        <v>6</v>
      </c>
      <c r="H1229" s="71">
        <f t="shared" si="39"/>
        <v>95</v>
      </c>
    </row>
    <row r="1230" spans="1:8" x14ac:dyDescent="0.2">
      <c r="A1230" s="71" t="s">
        <v>246</v>
      </c>
      <c r="B1230" s="71" t="s">
        <v>247</v>
      </c>
      <c r="C1230" s="71" t="s">
        <v>45</v>
      </c>
      <c r="D1230" s="88">
        <v>46183.669918981497</v>
      </c>
      <c r="E1230" s="89">
        <v>46183</v>
      </c>
      <c r="F1230" s="71" t="s">
        <v>1710</v>
      </c>
      <c r="G1230" s="71">
        <f t="shared" si="38"/>
        <v>6</v>
      </c>
      <c r="H1230" s="71">
        <f t="shared" si="39"/>
        <v>81</v>
      </c>
    </row>
    <row r="1231" spans="1:8" x14ac:dyDescent="0.2">
      <c r="A1231" s="71" t="s">
        <v>246</v>
      </c>
      <c r="B1231" s="71" t="s">
        <v>247</v>
      </c>
      <c r="C1231" s="71" t="s">
        <v>45</v>
      </c>
      <c r="D1231" s="88">
        <v>46184.653912037</v>
      </c>
      <c r="E1231" s="89">
        <v>46184</v>
      </c>
      <c r="F1231" s="71" t="s">
        <v>1711</v>
      </c>
      <c r="G1231" s="71">
        <f t="shared" si="38"/>
        <v>6</v>
      </c>
      <c r="H1231" s="71">
        <f t="shared" si="39"/>
        <v>68</v>
      </c>
    </row>
    <row r="1232" spans="1:8" x14ac:dyDescent="0.2">
      <c r="A1232" s="71" t="s">
        <v>246</v>
      </c>
      <c r="B1232" s="71" t="s">
        <v>247</v>
      </c>
      <c r="C1232" s="71" t="s">
        <v>45</v>
      </c>
      <c r="D1232" s="88">
        <v>46184.654884259297</v>
      </c>
      <c r="E1232" s="89">
        <v>46184</v>
      </c>
      <c r="F1232" s="71" t="s">
        <v>1712</v>
      </c>
      <c r="G1232" s="71">
        <f t="shared" si="38"/>
        <v>6</v>
      </c>
      <c r="H1232" s="71">
        <f t="shared" si="39"/>
        <v>65</v>
      </c>
    </row>
    <row r="1233" spans="1:8" x14ac:dyDescent="0.2">
      <c r="A1233" s="71" t="s">
        <v>246</v>
      </c>
      <c r="B1233" s="71" t="s">
        <v>247</v>
      </c>
      <c r="C1233" s="71" t="s">
        <v>45</v>
      </c>
      <c r="D1233" s="88">
        <v>46184.655590277798</v>
      </c>
      <c r="E1233" s="89">
        <v>46184</v>
      </c>
      <c r="F1233" s="71" t="s">
        <v>1713</v>
      </c>
      <c r="G1233" s="71">
        <f t="shared" si="38"/>
        <v>6</v>
      </c>
      <c r="H1233" s="71">
        <f t="shared" si="39"/>
        <v>76</v>
      </c>
    </row>
    <row r="1234" spans="1:8" x14ac:dyDescent="0.2">
      <c r="A1234" s="71" t="s">
        <v>246</v>
      </c>
      <c r="B1234" s="71" t="s">
        <v>247</v>
      </c>
      <c r="C1234" s="71" t="s">
        <v>45</v>
      </c>
      <c r="D1234" s="88">
        <v>46185.649085648198</v>
      </c>
      <c r="E1234" s="89">
        <v>46185</v>
      </c>
      <c r="F1234" s="71" t="s">
        <v>1714</v>
      </c>
      <c r="G1234" s="71">
        <f t="shared" si="38"/>
        <v>6</v>
      </c>
      <c r="H1234" s="71">
        <f t="shared" si="39"/>
        <v>81</v>
      </c>
    </row>
    <row r="1235" spans="1:8" x14ac:dyDescent="0.2">
      <c r="A1235" s="71" t="s">
        <v>246</v>
      </c>
      <c r="B1235" s="71" t="s">
        <v>247</v>
      </c>
      <c r="C1235" s="71" t="s">
        <v>45</v>
      </c>
      <c r="D1235" s="88">
        <v>46185.649849537003</v>
      </c>
      <c r="E1235" s="89">
        <v>46185</v>
      </c>
      <c r="F1235" s="71" t="s">
        <v>1715</v>
      </c>
      <c r="G1235" s="71">
        <f t="shared" si="38"/>
        <v>6</v>
      </c>
      <c r="H1235" s="71">
        <f t="shared" si="39"/>
        <v>81</v>
      </c>
    </row>
    <row r="1236" spans="1:8" x14ac:dyDescent="0.2">
      <c r="A1236" s="71" t="s">
        <v>246</v>
      </c>
      <c r="B1236" s="71" t="s">
        <v>247</v>
      </c>
      <c r="C1236" s="71" t="s">
        <v>45</v>
      </c>
      <c r="D1236" s="88">
        <v>46185.650810185201</v>
      </c>
      <c r="E1236" s="89">
        <v>46185</v>
      </c>
      <c r="F1236" s="71" t="s">
        <v>1716</v>
      </c>
      <c r="G1236" s="71">
        <f t="shared" si="38"/>
        <v>6</v>
      </c>
      <c r="H1236" s="71">
        <f t="shared" si="39"/>
        <v>58</v>
      </c>
    </row>
    <row r="1237" spans="1:8" x14ac:dyDescent="0.2">
      <c r="A1237" s="71" t="s">
        <v>246</v>
      </c>
      <c r="B1237" s="71" t="s">
        <v>247</v>
      </c>
      <c r="C1237" s="71" t="s">
        <v>45</v>
      </c>
      <c r="D1237" s="88">
        <v>46188.6663541667</v>
      </c>
      <c r="E1237" s="89">
        <v>46188</v>
      </c>
      <c r="F1237" s="71" t="s">
        <v>1717</v>
      </c>
      <c r="G1237" s="71">
        <f t="shared" si="38"/>
        <v>6</v>
      </c>
      <c r="H1237" s="71">
        <f t="shared" si="39"/>
        <v>41</v>
      </c>
    </row>
    <row r="1238" spans="1:8" x14ac:dyDescent="0.2">
      <c r="A1238" s="71" t="s">
        <v>246</v>
      </c>
      <c r="B1238" s="71" t="s">
        <v>247</v>
      </c>
      <c r="C1238" s="71" t="s">
        <v>45</v>
      </c>
      <c r="D1238" s="88">
        <v>46188.667476851901</v>
      </c>
      <c r="E1238" s="89">
        <v>46188</v>
      </c>
      <c r="F1238" s="71" t="s">
        <v>1718</v>
      </c>
      <c r="G1238" s="71">
        <f t="shared" si="38"/>
        <v>6</v>
      </c>
      <c r="H1238" s="71">
        <f t="shared" si="39"/>
        <v>55</v>
      </c>
    </row>
    <row r="1239" spans="1:8" x14ac:dyDescent="0.2">
      <c r="A1239" s="71" t="s">
        <v>246</v>
      </c>
      <c r="B1239" s="71" t="s">
        <v>247</v>
      </c>
      <c r="C1239" s="71" t="s">
        <v>45</v>
      </c>
      <c r="D1239" s="88">
        <v>46190.677685185197</v>
      </c>
      <c r="E1239" s="89">
        <v>46190</v>
      </c>
      <c r="F1239" s="71" t="s">
        <v>1719</v>
      </c>
      <c r="G1239" s="71">
        <f t="shared" si="38"/>
        <v>6</v>
      </c>
      <c r="H1239" s="71">
        <f t="shared" si="39"/>
        <v>75</v>
      </c>
    </row>
    <row r="1240" spans="1:8" x14ac:dyDescent="0.2">
      <c r="A1240" s="71" t="s">
        <v>246</v>
      </c>
      <c r="B1240" s="71" t="s">
        <v>247</v>
      </c>
      <c r="C1240" s="71" t="s">
        <v>45</v>
      </c>
      <c r="D1240" s="88">
        <v>46190.678541666697</v>
      </c>
      <c r="E1240" s="89">
        <v>46190</v>
      </c>
      <c r="F1240" s="71" t="s">
        <v>1720</v>
      </c>
      <c r="G1240" s="71">
        <f t="shared" si="38"/>
        <v>6</v>
      </c>
      <c r="H1240" s="71">
        <f t="shared" si="39"/>
        <v>42</v>
      </c>
    </row>
    <row r="1241" spans="1:8" x14ac:dyDescent="0.2">
      <c r="A1241" s="71" t="s">
        <v>246</v>
      </c>
      <c r="B1241" s="71" t="s">
        <v>247</v>
      </c>
      <c r="C1241" s="71" t="s">
        <v>45</v>
      </c>
      <c r="D1241" s="88">
        <v>46190.679525462998</v>
      </c>
      <c r="E1241" s="89">
        <v>46190</v>
      </c>
      <c r="F1241" s="71" t="s">
        <v>1721</v>
      </c>
      <c r="G1241" s="71">
        <f t="shared" si="38"/>
        <v>6</v>
      </c>
      <c r="H1241" s="71">
        <f t="shared" si="39"/>
        <v>75</v>
      </c>
    </row>
    <row r="1242" spans="1:8" x14ac:dyDescent="0.2">
      <c r="A1242" s="71" t="s">
        <v>246</v>
      </c>
      <c r="B1242" s="71" t="s">
        <v>247</v>
      </c>
      <c r="C1242" s="71" t="s">
        <v>45</v>
      </c>
      <c r="D1242" s="88">
        <v>46191.487337963001</v>
      </c>
      <c r="E1242" s="89">
        <v>46191</v>
      </c>
      <c r="F1242" s="71" t="s">
        <v>1722</v>
      </c>
      <c r="G1242" s="71">
        <f t="shared" si="38"/>
        <v>6</v>
      </c>
      <c r="H1242" s="71">
        <f t="shared" si="39"/>
        <v>42</v>
      </c>
    </row>
    <row r="1243" spans="1:8" x14ac:dyDescent="0.2">
      <c r="A1243" s="71" t="s">
        <v>246</v>
      </c>
      <c r="B1243" s="71" t="s">
        <v>247</v>
      </c>
      <c r="C1243" s="71" t="s">
        <v>45</v>
      </c>
      <c r="D1243" s="88">
        <v>46191.488263888903</v>
      </c>
      <c r="E1243" s="89">
        <v>46191</v>
      </c>
      <c r="F1243" s="71" t="s">
        <v>1723</v>
      </c>
      <c r="G1243" s="71">
        <f t="shared" si="38"/>
        <v>6</v>
      </c>
      <c r="H1243" s="71">
        <f t="shared" si="39"/>
        <v>66</v>
      </c>
    </row>
    <row r="1244" spans="1:8" x14ac:dyDescent="0.2">
      <c r="A1244" s="71" t="s">
        <v>246</v>
      </c>
      <c r="B1244" s="71" t="s">
        <v>247</v>
      </c>
      <c r="C1244" s="71" t="s">
        <v>45</v>
      </c>
      <c r="D1244" s="88">
        <v>46191.489085648202</v>
      </c>
      <c r="E1244" s="89">
        <v>46191</v>
      </c>
      <c r="F1244" s="71" t="s">
        <v>1724</v>
      </c>
      <c r="G1244" s="71">
        <f t="shared" si="38"/>
        <v>6</v>
      </c>
      <c r="H1244" s="71">
        <f t="shared" si="39"/>
        <v>54</v>
      </c>
    </row>
    <row r="1245" spans="1:8" x14ac:dyDescent="0.2">
      <c r="A1245" s="71" t="s">
        <v>246</v>
      </c>
      <c r="B1245" s="71" t="s">
        <v>247</v>
      </c>
      <c r="C1245" s="71" t="s">
        <v>45</v>
      </c>
      <c r="D1245" s="88">
        <v>46191.683541666702</v>
      </c>
      <c r="E1245" s="89">
        <v>46191</v>
      </c>
      <c r="F1245" s="71" t="s">
        <v>1725</v>
      </c>
      <c r="G1245" s="71">
        <f t="shared" si="38"/>
        <v>6</v>
      </c>
      <c r="H1245" s="71">
        <f t="shared" si="39"/>
        <v>68</v>
      </c>
    </row>
    <row r="1246" spans="1:8" x14ac:dyDescent="0.2">
      <c r="A1246" s="71" t="s">
        <v>246</v>
      </c>
      <c r="B1246" s="71" t="s">
        <v>247</v>
      </c>
      <c r="C1246" s="71" t="s">
        <v>45</v>
      </c>
      <c r="D1246" s="88">
        <v>46192.6706134259</v>
      </c>
      <c r="E1246" s="89">
        <v>46192</v>
      </c>
      <c r="F1246" s="71" t="s">
        <v>1726</v>
      </c>
      <c r="G1246" s="71">
        <f t="shared" si="38"/>
        <v>6</v>
      </c>
      <c r="H1246" s="71">
        <f t="shared" si="39"/>
        <v>70</v>
      </c>
    </row>
    <row r="1247" spans="1:8" x14ac:dyDescent="0.2">
      <c r="A1247" s="71" t="s">
        <v>246</v>
      </c>
      <c r="B1247" s="71" t="s">
        <v>247</v>
      </c>
      <c r="C1247" s="71" t="s">
        <v>45</v>
      </c>
      <c r="D1247" s="88">
        <v>46192.671574074098</v>
      </c>
      <c r="E1247" s="89">
        <v>46192</v>
      </c>
      <c r="F1247" s="71" t="s">
        <v>1700</v>
      </c>
      <c r="G1247" s="71">
        <f t="shared" si="38"/>
        <v>6</v>
      </c>
      <c r="H1247" s="71">
        <f t="shared" si="39"/>
        <v>39</v>
      </c>
    </row>
    <row r="1248" spans="1:8" x14ac:dyDescent="0.2">
      <c r="A1248" s="71" t="s">
        <v>246</v>
      </c>
      <c r="B1248" s="71" t="s">
        <v>247</v>
      </c>
      <c r="C1248" s="71" t="s">
        <v>45</v>
      </c>
      <c r="D1248" s="88">
        <v>46192.672604166699</v>
      </c>
      <c r="E1248" s="89">
        <v>46192</v>
      </c>
      <c r="F1248" s="71" t="s">
        <v>1727</v>
      </c>
      <c r="G1248" s="71">
        <f t="shared" si="38"/>
        <v>6</v>
      </c>
      <c r="H1248" s="71">
        <f t="shared" si="39"/>
        <v>63</v>
      </c>
    </row>
    <row r="1249" spans="1:8" x14ac:dyDescent="0.2">
      <c r="A1249" s="71" t="s">
        <v>246</v>
      </c>
      <c r="B1249" s="71" t="s">
        <v>247</v>
      </c>
      <c r="C1249" s="71" t="s">
        <v>45</v>
      </c>
      <c r="D1249" s="88">
        <v>46195.6706597222</v>
      </c>
      <c r="E1249" s="89">
        <v>46195</v>
      </c>
      <c r="F1249" s="71" t="s">
        <v>1728</v>
      </c>
      <c r="G1249" s="71">
        <f t="shared" si="38"/>
        <v>6</v>
      </c>
      <c r="H1249" s="71">
        <f t="shared" si="39"/>
        <v>63</v>
      </c>
    </row>
    <row r="1250" spans="1:8" x14ac:dyDescent="0.2">
      <c r="A1250" s="71" t="s">
        <v>246</v>
      </c>
      <c r="B1250" s="71" t="s">
        <v>247</v>
      </c>
      <c r="C1250" s="71" t="s">
        <v>45</v>
      </c>
      <c r="D1250" s="88">
        <v>46195.671435185199</v>
      </c>
      <c r="E1250" s="89">
        <v>46195</v>
      </c>
      <c r="F1250" s="71" t="s">
        <v>1729</v>
      </c>
      <c r="G1250" s="71">
        <f t="shared" si="38"/>
        <v>6</v>
      </c>
      <c r="H1250" s="71">
        <f t="shared" si="39"/>
        <v>111</v>
      </c>
    </row>
    <row r="1251" spans="1:8" x14ac:dyDescent="0.2">
      <c r="A1251" s="71" t="s">
        <v>246</v>
      </c>
      <c r="B1251" s="71" t="s">
        <v>247</v>
      </c>
      <c r="C1251" s="71" t="s">
        <v>45</v>
      </c>
      <c r="D1251" s="88">
        <v>46196.681331018503</v>
      </c>
      <c r="E1251" s="89">
        <v>46196</v>
      </c>
      <c r="F1251" s="71" t="s">
        <v>1724</v>
      </c>
      <c r="G1251" s="71">
        <f t="shared" si="38"/>
        <v>6</v>
      </c>
      <c r="H1251" s="71">
        <f t="shared" si="39"/>
        <v>54</v>
      </c>
    </row>
    <row r="1252" spans="1:8" x14ac:dyDescent="0.2">
      <c r="A1252" s="71" t="s">
        <v>246</v>
      </c>
      <c r="B1252" s="71" t="s">
        <v>247</v>
      </c>
      <c r="C1252" s="71" t="s">
        <v>45</v>
      </c>
      <c r="D1252" s="88">
        <v>46196.683356481502</v>
      </c>
      <c r="E1252" s="89">
        <v>46196</v>
      </c>
      <c r="F1252" s="71" t="s">
        <v>1697</v>
      </c>
      <c r="G1252" s="71">
        <f t="shared" si="38"/>
        <v>6</v>
      </c>
      <c r="H1252" s="71">
        <f t="shared" si="39"/>
        <v>29</v>
      </c>
    </row>
    <row r="1253" spans="1:8" x14ac:dyDescent="0.2">
      <c r="A1253" s="71" t="s">
        <v>246</v>
      </c>
      <c r="B1253" s="71" t="s">
        <v>247</v>
      </c>
      <c r="C1253" s="71" t="s">
        <v>45</v>
      </c>
      <c r="D1253" s="88">
        <v>46196.684699074103</v>
      </c>
      <c r="E1253" s="89">
        <v>46196</v>
      </c>
      <c r="F1253" s="71" t="s">
        <v>1730</v>
      </c>
      <c r="G1253" s="71">
        <f t="shared" si="38"/>
        <v>6</v>
      </c>
      <c r="H1253" s="71">
        <f t="shared" si="39"/>
        <v>63</v>
      </c>
    </row>
    <row r="1254" spans="1:8" x14ac:dyDescent="0.2">
      <c r="A1254" s="71" t="s">
        <v>246</v>
      </c>
      <c r="B1254" s="71" t="s">
        <v>247</v>
      </c>
      <c r="C1254" s="71" t="s">
        <v>45</v>
      </c>
      <c r="D1254" s="88">
        <v>46197.6640625</v>
      </c>
      <c r="E1254" s="89">
        <v>46197</v>
      </c>
      <c r="F1254" s="71" t="s">
        <v>1731</v>
      </c>
      <c r="G1254" s="71">
        <f t="shared" si="38"/>
        <v>6</v>
      </c>
      <c r="H1254" s="71">
        <f t="shared" si="39"/>
        <v>46</v>
      </c>
    </row>
    <row r="1255" spans="1:8" x14ac:dyDescent="0.2">
      <c r="A1255" s="71" t="s">
        <v>246</v>
      </c>
      <c r="B1255" s="71" t="s">
        <v>247</v>
      </c>
      <c r="C1255" s="71" t="s">
        <v>45</v>
      </c>
      <c r="D1255" s="88">
        <v>46197.664768518502</v>
      </c>
      <c r="E1255" s="89">
        <v>46197</v>
      </c>
      <c r="F1255" s="71" t="s">
        <v>1732</v>
      </c>
      <c r="G1255" s="71">
        <f t="shared" si="38"/>
        <v>6</v>
      </c>
      <c r="H1255" s="71">
        <f t="shared" si="39"/>
        <v>68</v>
      </c>
    </row>
    <row r="1256" spans="1:8" x14ac:dyDescent="0.2">
      <c r="A1256" s="71" t="s">
        <v>246</v>
      </c>
      <c r="B1256" s="71" t="s">
        <v>247</v>
      </c>
      <c r="C1256" s="71" t="s">
        <v>45</v>
      </c>
      <c r="D1256" s="88">
        <v>46198.657685185201</v>
      </c>
      <c r="E1256" s="89">
        <v>46198</v>
      </c>
      <c r="F1256" s="71" t="s">
        <v>1733</v>
      </c>
      <c r="G1256" s="71">
        <f t="shared" si="38"/>
        <v>6</v>
      </c>
      <c r="H1256" s="71">
        <f t="shared" si="39"/>
        <v>59</v>
      </c>
    </row>
    <row r="1257" spans="1:8" x14ac:dyDescent="0.2">
      <c r="A1257" s="71" t="s">
        <v>246</v>
      </c>
      <c r="B1257" s="71" t="s">
        <v>247</v>
      </c>
      <c r="C1257" s="71" t="s">
        <v>45</v>
      </c>
      <c r="D1257" s="88">
        <v>46198.660474536999</v>
      </c>
      <c r="E1257" s="89">
        <v>46198</v>
      </c>
      <c r="F1257" s="71" t="s">
        <v>1717</v>
      </c>
      <c r="G1257" s="71">
        <f t="shared" si="38"/>
        <v>6</v>
      </c>
      <c r="H1257" s="71">
        <f t="shared" si="39"/>
        <v>41</v>
      </c>
    </row>
    <row r="1258" spans="1:8" x14ac:dyDescent="0.2">
      <c r="A1258" s="71" t="s">
        <v>246</v>
      </c>
      <c r="B1258" s="71" t="s">
        <v>247</v>
      </c>
      <c r="C1258" s="71" t="s">
        <v>45</v>
      </c>
      <c r="D1258" s="88">
        <v>46198.661701388897</v>
      </c>
      <c r="E1258" s="89">
        <v>46198</v>
      </c>
      <c r="F1258" s="71" t="s">
        <v>1734</v>
      </c>
      <c r="G1258" s="71">
        <f t="shared" si="38"/>
        <v>6</v>
      </c>
      <c r="H1258" s="71">
        <f t="shared" si="39"/>
        <v>72</v>
      </c>
    </row>
    <row r="1259" spans="1:8" x14ac:dyDescent="0.2">
      <c r="A1259" s="71" t="s">
        <v>246</v>
      </c>
      <c r="B1259" s="71" t="s">
        <v>247</v>
      </c>
      <c r="C1259" s="71" t="s">
        <v>45</v>
      </c>
      <c r="D1259" s="88">
        <v>46199.684386574103</v>
      </c>
      <c r="E1259" s="89">
        <v>46199</v>
      </c>
      <c r="F1259" s="71" t="s">
        <v>1735</v>
      </c>
      <c r="G1259" s="71">
        <f t="shared" si="38"/>
        <v>6</v>
      </c>
      <c r="H1259" s="71">
        <f t="shared" si="39"/>
        <v>46</v>
      </c>
    </row>
    <row r="1260" spans="1:8" x14ac:dyDescent="0.2">
      <c r="A1260" s="71" t="s">
        <v>246</v>
      </c>
      <c r="B1260" s="71" t="s">
        <v>247</v>
      </c>
      <c r="C1260" s="71" t="s">
        <v>45</v>
      </c>
      <c r="D1260" s="88">
        <v>46199.684872685197</v>
      </c>
      <c r="E1260" s="89">
        <v>46199</v>
      </c>
      <c r="F1260" s="71" t="s">
        <v>1700</v>
      </c>
      <c r="G1260" s="71">
        <f t="shared" si="38"/>
        <v>6</v>
      </c>
      <c r="H1260" s="71">
        <f t="shared" si="39"/>
        <v>39</v>
      </c>
    </row>
    <row r="1261" spans="1:8" x14ac:dyDescent="0.2">
      <c r="A1261" s="71" t="s">
        <v>246</v>
      </c>
      <c r="B1261" s="71" t="s">
        <v>247</v>
      </c>
      <c r="C1261" s="71" t="s">
        <v>45</v>
      </c>
      <c r="D1261" s="88">
        <v>46202.697326388901</v>
      </c>
      <c r="E1261" s="89">
        <v>46202</v>
      </c>
      <c r="F1261" s="71" t="s">
        <v>1736</v>
      </c>
      <c r="G1261" s="71">
        <f t="shared" si="38"/>
        <v>6</v>
      </c>
      <c r="H1261" s="71">
        <f t="shared" si="39"/>
        <v>81</v>
      </c>
    </row>
    <row r="1262" spans="1:8" x14ac:dyDescent="0.2">
      <c r="A1262" s="71" t="s">
        <v>246</v>
      </c>
      <c r="B1262" s="71" t="s">
        <v>247</v>
      </c>
      <c r="C1262" s="71" t="s">
        <v>45</v>
      </c>
      <c r="D1262" s="88">
        <v>46202.698113425897</v>
      </c>
      <c r="E1262" s="89">
        <v>46202</v>
      </c>
      <c r="F1262" s="71" t="s">
        <v>1737</v>
      </c>
      <c r="G1262" s="71">
        <f t="shared" si="38"/>
        <v>6</v>
      </c>
      <c r="H1262" s="71">
        <f t="shared" si="39"/>
        <v>47</v>
      </c>
    </row>
    <row r="1263" spans="1:8" x14ac:dyDescent="0.2">
      <c r="A1263" s="71" t="s">
        <v>246</v>
      </c>
      <c r="B1263" s="71" t="s">
        <v>247</v>
      </c>
      <c r="C1263" s="71" t="s">
        <v>45</v>
      </c>
      <c r="D1263" s="88">
        <v>46202.700196759302</v>
      </c>
      <c r="E1263" s="89">
        <v>46202</v>
      </c>
      <c r="F1263" s="71" t="s">
        <v>1738</v>
      </c>
      <c r="G1263" s="71">
        <f t="shared" si="38"/>
        <v>6</v>
      </c>
      <c r="H1263" s="71">
        <f t="shared" si="39"/>
        <v>87</v>
      </c>
    </row>
    <row r="1264" spans="1:8" x14ac:dyDescent="0.2">
      <c r="A1264" s="71" t="s">
        <v>246</v>
      </c>
      <c r="B1264" s="71" t="s">
        <v>247</v>
      </c>
      <c r="C1264" s="71" t="s">
        <v>45</v>
      </c>
      <c r="D1264" s="88">
        <v>46204.658217592601</v>
      </c>
      <c r="E1264" s="89">
        <v>46204</v>
      </c>
      <c r="F1264" s="71" t="s">
        <v>1739</v>
      </c>
      <c r="G1264" s="71">
        <f t="shared" si="38"/>
        <v>7</v>
      </c>
      <c r="H1264" s="71">
        <f t="shared" si="39"/>
        <v>62</v>
      </c>
    </row>
    <row r="1265" spans="1:8" x14ac:dyDescent="0.2">
      <c r="A1265" s="71" t="s">
        <v>246</v>
      </c>
      <c r="B1265" s="71" t="s">
        <v>247</v>
      </c>
      <c r="C1265" s="71" t="s">
        <v>45</v>
      </c>
      <c r="D1265" s="88">
        <v>46204.6590393519</v>
      </c>
      <c r="E1265" s="89">
        <v>46204</v>
      </c>
      <c r="F1265" s="71" t="s">
        <v>1740</v>
      </c>
      <c r="G1265" s="71">
        <f t="shared" si="38"/>
        <v>7</v>
      </c>
      <c r="H1265" s="71">
        <f t="shared" si="39"/>
        <v>90</v>
      </c>
    </row>
    <row r="1266" spans="1:8" x14ac:dyDescent="0.2">
      <c r="A1266" s="71" t="s">
        <v>246</v>
      </c>
      <c r="B1266" s="71" t="s">
        <v>247</v>
      </c>
      <c r="C1266" s="71" t="s">
        <v>45</v>
      </c>
      <c r="D1266" s="88">
        <v>46204.660219907397</v>
      </c>
      <c r="E1266" s="89">
        <v>46204</v>
      </c>
      <c r="F1266" s="71" t="s">
        <v>1741</v>
      </c>
      <c r="G1266" s="71">
        <f t="shared" si="38"/>
        <v>7</v>
      </c>
      <c r="H1266" s="71">
        <f t="shared" si="39"/>
        <v>69</v>
      </c>
    </row>
    <row r="1267" spans="1:8" x14ac:dyDescent="0.2">
      <c r="A1267" s="71" t="s">
        <v>246</v>
      </c>
      <c r="B1267" s="71" t="s">
        <v>247</v>
      </c>
      <c r="C1267" s="71" t="s">
        <v>45</v>
      </c>
      <c r="D1267" s="88">
        <v>46204.661701388897</v>
      </c>
      <c r="E1267" s="89">
        <v>46204</v>
      </c>
      <c r="F1267" s="71" t="s">
        <v>1742</v>
      </c>
      <c r="G1267" s="71">
        <f t="shared" si="38"/>
        <v>7</v>
      </c>
      <c r="H1267" s="71">
        <f t="shared" si="39"/>
        <v>52</v>
      </c>
    </row>
    <row r="1268" spans="1:8" x14ac:dyDescent="0.2">
      <c r="A1268" s="71" t="s">
        <v>246</v>
      </c>
      <c r="B1268" s="71" t="s">
        <v>247</v>
      </c>
      <c r="C1268" s="71" t="s">
        <v>45</v>
      </c>
      <c r="D1268" s="88">
        <v>46205.690393518496</v>
      </c>
      <c r="E1268" s="89">
        <v>46205</v>
      </c>
      <c r="F1268" s="71" t="s">
        <v>1743</v>
      </c>
      <c r="G1268" s="71">
        <f t="shared" si="38"/>
        <v>7</v>
      </c>
      <c r="H1268" s="71">
        <f t="shared" si="39"/>
        <v>58</v>
      </c>
    </row>
    <row r="1269" spans="1:8" x14ac:dyDescent="0.2">
      <c r="A1269" s="71" t="s">
        <v>246</v>
      </c>
      <c r="B1269" s="71" t="s">
        <v>247</v>
      </c>
      <c r="C1269" s="71" t="s">
        <v>45</v>
      </c>
      <c r="D1269" s="88">
        <v>46205.691238425898</v>
      </c>
      <c r="E1269" s="89">
        <v>46205</v>
      </c>
      <c r="F1269" s="71" t="s">
        <v>1744</v>
      </c>
      <c r="G1269" s="71">
        <f t="shared" si="38"/>
        <v>7</v>
      </c>
      <c r="H1269" s="71">
        <f t="shared" si="39"/>
        <v>49</v>
      </c>
    </row>
    <row r="1270" spans="1:8" x14ac:dyDescent="0.2">
      <c r="A1270" s="71" t="s">
        <v>246</v>
      </c>
      <c r="B1270" s="71" t="s">
        <v>247</v>
      </c>
      <c r="C1270" s="71" t="s">
        <v>45</v>
      </c>
      <c r="D1270" s="88">
        <v>46205.692326388897</v>
      </c>
      <c r="E1270" s="89">
        <v>46205</v>
      </c>
      <c r="F1270" s="71" t="s">
        <v>1700</v>
      </c>
      <c r="G1270" s="71">
        <f t="shared" si="38"/>
        <v>7</v>
      </c>
      <c r="H1270" s="71">
        <f t="shared" si="39"/>
        <v>39</v>
      </c>
    </row>
    <row r="1271" spans="1:8" x14ac:dyDescent="0.2">
      <c r="A1271" s="71" t="s">
        <v>246</v>
      </c>
      <c r="B1271" s="71" t="s">
        <v>247</v>
      </c>
      <c r="C1271" s="71" t="s">
        <v>45</v>
      </c>
      <c r="D1271" s="88">
        <v>46205.693124999998</v>
      </c>
      <c r="E1271" s="89">
        <v>46205</v>
      </c>
      <c r="F1271" s="71" t="s">
        <v>1745</v>
      </c>
      <c r="G1271" s="71">
        <f t="shared" si="38"/>
        <v>7</v>
      </c>
      <c r="H1271" s="71">
        <f t="shared" si="39"/>
        <v>57</v>
      </c>
    </row>
    <row r="1272" spans="1:8" x14ac:dyDescent="0.2">
      <c r="A1272" s="71" t="s">
        <v>246</v>
      </c>
      <c r="B1272" s="71" t="s">
        <v>247</v>
      </c>
      <c r="C1272" s="71" t="s">
        <v>45</v>
      </c>
      <c r="D1272" s="88">
        <v>46206.676354166702</v>
      </c>
      <c r="E1272" s="89">
        <v>46206</v>
      </c>
      <c r="F1272" s="71" t="s">
        <v>1746</v>
      </c>
      <c r="G1272" s="71">
        <f t="shared" si="38"/>
        <v>7</v>
      </c>
      <c r="H1272" s="71">
        <f t="shared" si="39"/>
        <v>84</v>
      </c>
    </row>
    <row r="1273" spans="1:8" x14ac:dyDescent="0.2">
      <c r="A1273" s="71" t="s">
        <v>246</v>
      </c>
      <c r="B1273" s="71" t="s">
        <v>247</v>
      </c>
      <c r="C1273" s="71" t="s">
        <v>45</v>
      </c>
      <c r="D1273" s="88">
        <v>46206.677777777797</v>
      </c>
      <c r="E1273" s="89">
        <v>46206</v>
      </c>
      <c r="F1273" s="71" t="s">
        <v>1700</v>
      </c>
      <c r="G1273" s="71">
        <f t="shared" si="38"/>
        <v>7</v>
      </c>
      <c r="H1273" s="71">
        <f t="shared" si="39"/>
        <v>39</v>
      </c>
    </row>
    <row r="1274" spans="1:8" x14ac:dyDescent="0.2">
      <c r="A1274" s="71" t="s">
        <v>246</v>
      </c>
      <c r="B1274" s="71" t="s">
        <v>247</v>
      </c>
      <c r="C1274" s="71" t="s">
        <v>45</v>
      </c>
      <c r="D1274" s="88">
        <v>46206.678634259297</v>
      </c>
      <c r="E1274" s="89">
        <v>46206</v>
      </c>
      <c r="F1274" s="71" t="s">
        <v>1747</v>
      </c>
      <c r="G1274" s="71">
        <f t="shared" si="38"/>
        <v>7</v>
      </c>
      <c r="H1274" s="71">
        <f t="shared" si="39"/>
        <v>70</v>
      </c>
    </row>
    <row r="1275" spans="1:8" x14ac:dyDescent="0.2">
      <c r="A1275" s="71" t="s">
        <v>246</v>
      </c>
      <c r="B1275" s="71" t="s">
        <v>247</v>
      </c>
      <c r="C1275" s="71" t="s">
        <v>45</v>
      </c>
      <c r="D1275" s="88">
        <v>46209.664745370399</v>
      </c>
      <c r="E1275" s="89">
        <v>46209</v>
      </c>
      <c r="F1275" s="71" t="s">
        <v>1748</v>
      </c>
      <c r="G1275" s="71">
        <f t="shared" si="38"/>
        <v>7</v>
      </c>
      <c r="H1275" s="71">
        <f t="shared" si="39"/>
        <v>61</v>
      </c>
    </row>
    <row r="1276" spans="1:8" x14ac:dyDescent="0.2">
      <c r="A1276" s="71" t="s">
        <v>246</v>
      </c>
      <c r="B1276" s="71" t="s">
        <v>247</v>
      </c>
      <c r="C1276" s="71" t="s">
        <v>45</v>
      </c>
      <c r="D1276" s="88">
        <v>46209.665648148199</v>
      </c>
      <c r="E1276" s="89">
        <v>46209</v>
      </c>
      <c r="F1276" s="71" t="s">
        <v>1749</v>
      </c>
      <c r="G1276" s="71">
        <f t="shared" si="38"/>
        <v>7</v>
      </c>
      <c r="H1276" s="71">
        <f t="shared" si="39"/>
        <v>102</v>
      </c>
    </row>
    <row r="1277" spans="1:8" x14ac:dyDescent="0.2">
      <c r="A1277" s="71" t="s">
        <v>246</v>
      </c>
      <c r="B1277" s="71" t="s">
        <v>247</v>
      </c>
      <c r="C1277" s="71" t="s">
        <v>45</v>
      </c>
      <c r="D1277" s="88">
        <v>46209.666770833297</v>
      </c>
      <c r="E1277" s="89">
        <v>46209</v>
      </c>
      <c r="F1277" s="71" t="s">
        <v>1750</v>
      </c>
      <c r="G1277" s="71">
        <f t="shared" si="38"/>
        <v>7</v>
      </c>
      <c r="H1277" s="71">
        <f t="shared" si="39"/>
        <v>63</v>
      </c>
    </row>
    <row r="1278" spans="1:8" x14ac:dyDescent="0.2">
      <c r="A1278" s="71" t="s">
        <v>246</v>
      </c>
      <c r="B1278" s="71" t="s">
        <v>247</v>
      </c>
      <c r="C1278" s="71" t="s">
        <v>45</v>
      </c>
      <c r="D1278" s="88">
        <v>46211.468020833301</v>
      </c>
      <c r="E1278" s="89">
        <v>46211</v>
      </c>
      <c r="F1278" s="71" t="s">
        <v>1751</v>
      </c>
      <c r="G1278" s="71">
        <f t="shared" si="38"/>
        <v>7</v>
      </c>
      <c r="H1278" s="71">
        <f t="shared" si="39"/>
        <v>93</v>
      </c>
    </row>
    <row r="1279" spans="1:8" x14ac:dyDescent="0.2">
      <c r="A1279" s="71" t="s">
        <v>246</v>
      </c>
      <c r="B1279" s="71" t="s">
        <v>247</v>
      </c>
      <c r="C1279" s="71" t="s">
        <v>45</v>
      </c>
      <c r="D1279" s="88">
        <v>46211.468715277799</v>
      </c>
      <c r="E1279" s="89">
        <v>46211</v>
      </c>
      <c r="F1279" s="71" t="s">
        <v>1752</v>
      </c>
      <c r="G1279" s="71">
        <f t="shared" si="38"/>
        <v>7</v>
      </c>
      <c r="H1279" s="71">
        <f t="shared" si="39"/>
        <v>52</v>
      </c>
    </row>
    <row r="1280" spans="1:8" x14ac:dyDescent="0.2">
      <c r="A1280" s="71" t="s">
        <v>246</v>
      </c>
      <c r="B1280" s="71" t="s">
        <v>247</v>
      </c>
      <c r="C1280" s="71" t="s">
        <v>45</v>
      </c>
      <c r="D1280" s="88">
        <v>46212.670844907399</v>
      </c>
      <c r="E1280" s="89">
        <v>46212</v>
      </c>
      <c r="F1280" s="71" t="s">
        <v>1753</v>
      </c>
      <c r="G1280" s="71">
        <f t="shared" si="38"/>
        <v>7</v>
      </c>
      <c r="H1280" s="71">
        <f t="shared" si="39"/>
        <v>93</v>
      </c>
    </row>
    <row r="1281" spans="1:8" x14ac:dyDescent="0.2">
      <c r="A1281" s="71" t="s">
        <v>246</v>
      </c>
      <c r="B1281" s="71" t="s">
        <v>247</v>
      </c>
      <c r="C1281" s="71" t="s">
        <v>45</v>
      </c>
      <c r="D1281" s="88">
        <v>46212.672337962998</v>
      </c>
      <c r="E1281" s="89">
        <v>46212</v>
      </c>
      <c r="F1281" s="71" t="s">
        <v>1700</v>
      </c>
      <c r="G1281" s="71">
        <f t="shared" si="38"/>
        <v>7</v>
      </c>
      <c r="H1281" s="71">
        <f t="shared" si="39"/>
        <v>39</v>
      </c>
    </row>
    <row r="1282" spans="1:8" x14ac:dyDescent="0.2">
      <c r="A1282" s="71" t="s">
        <v>246</v>
      </c>
      <c r="B1282" s="71" t="s">
        <v>247</v>
      </c>
      <c r="C1282" s="71" t="s">
        <v>45</v>
      </c>
      <c r="D1282" s="88">
        <v>46212.672986111102</v>
      </c>
      <c r="E1282" s="89">
        <v>46212</v>
      </c>
      <c r="F1282" s="71" t="s">
        <v>1754</v>
      </c>
      <c r="G1282" s="71">
        <f t="shared" ref="G1282:G1345" si="40">MONTH(E1282)</f>
        <v>7</v>
      </c>
      <c r="H1282" s="71">
        <f t="shared" ref="H1282:H1345" si="41">LEN(F1282)</f>
        <v>53</v>
      </c>
    </row>
    <row r="1283" spans="1:8" x14ac:dyDescent="0.2">
      <c r="A1283" s="71" t="s">
        <v>246</v>
      </c>
      <c r="B1283" s="71" t="s">
        <v>247</v>
      </c>
      <c r="C1283" s="71" t="s">
        <v>45</v>
      </c>
      <c r="D1283" s="88">
        <v>46212.673842592601</v>
      </c>
      <c r="E1283" s="89">
        <v>46212</v>
      </c>
      <c r="F1283" s="71" t="s">
        <v>1755</v>
      </c>
      <c r="G1283" s="71">
        <f t="shared" si="40"/>
        <v>7</v>
      </c>
      <c r="H1283" s="71">
        <f t="shared" si="41"/>
        <v>46</v>
      </c>
    </row>
    <row r="1284" spans="1:8" x14ac:dyDescent="0.2">
      <c r="A1284" s="71" t="s">
        <v>246</v>
      </c>
      <c r="B1284" s="71" t="s">
        <v>247</v>
      </c>
      <c r="C1284" s="71" t="s">
        <v>45</v>
      </c>
      <c r="D1284" s="88">
        <v>46213.659733796303</v>
      </c>
      <c r="E1284" s="89">
        <v>46213</v>
      </c>
      <c r="F1284" s="71" t="s">
        <v>1700</v>
      </c>
      <c r="G1284" s="71">
        <f t="shared" si="40"/>
        <v>7</v>
      </c>
      <c r="H1284" s="71">
        <f t="shared" si="41"/>
        <v>39</v>
      </c>
    </row>
    <row r="1285" spans="1:8" x14ac:dyDescent="0.2">
      <c r="A1285" s="71" t="s">
        <v>246</v>
      </c>
      <c r="B1285" s="71" t="s">
        <v>247</v>
      </c>
      <c r="C1285" s="71" t="s">
        <v>45</v>
      </c>
      <c r="D1285" s="88">
        <v>46213.662407407399</v>
      </c>
      <c r="E1285" s="89">
        <v>46213</v>
      </c>
      <c r="F1285" s="71" t="s">
        <v>1756</v>
      </c>
      <c r="G1285" s="71">
        <f t="shared" si="40"/>
        <v>7</v>
      </c>
      <c r="H1285" s="71">
        <f t="shared" si="41"/>
        <v>86</v>
      </c>
    </row>
    <row r="1286" spans="1:8" x14ac:dyDescent="0.2">
      <c r="A1286" s="71" t="s">
        <v>246</v>
      </c>
      <c r="B1286" s="71" t="s">
        <v>247</v>
      </c>
      <c r="C1286" s="71" t="s">
        <v>45</v>
      </c>
      <c r="D1286" s="88">
        <v>46213.6632523148</v>
      </c>
      <c r="E1286" s="89">
        <v>46213</v>
      </c>
      <c r="F1286" s="71" t="s">
        <v>1757</v>
      </c>
      <c r="G1286" s="71">
        <f t="shared" si="40"/>
        <v>7</v>
      </c>
      <c r="H1286" s="71">
        <f t="shared" si="41"/>
        <v>29</v>
      </c>
    </row>
    <row r="1287" spans="1:8" x14ac:dyDescent="0.2">
      <c r="A1287" s="71" t="s">
        <v>246</v>
      </c>
      <c r="B1287" s="71" t="s">
        <v>247</v>
      </c>
      <c r="C1287" s="71" t="s">
        <v>45</v>
      </c>
      <c r="D1287" s="88">
        <v>46218.5928935185</v>
      </c>
      <c r="E1287" s="89">
        <v>46218</v>
      </c>
      <c r="F1287" s="71" t="s">
        <v>1758</v>
      </c>
      <c r="G1287" s="71">
        <f t="shared" si="40"/>
        <v>7</v>
      </c>
      <c r="H1287" s="71">
        <f t="shared" si="41"/>
        <v>63</v>
      </c>
    </row>
    <row r="1288" spans="1:8" x14ac:dyDescent="0.2">
      <c r="A1288" s="71" t="s">
        <v>246</v>
      </c>
      <c r="B1288" s="71" t="s">
        <v>247</v>
      </c>
      <c r="C1288" s="71" t="s">
        <v>45</v>
      </c>
      <c r="D1288" s="88">
        <v>46218.6011111111</v>
      </c>
      <c r="E1288" s="89">
        <v>46218</v>
      </c>
      <c r="F1288" s="71" t="s">
        <v>1759</v>
      </c>
      <c r="G1288" s="71">
        <f t="shared" si="40"/>
        <v>7</v>
      </c>
      <c r="H1288" s="71">
        <f t="shared" si="41"/>
        <v>69</v>
      </c>
    </row>
    <row r="1289" spans="1:8" x14ac:dyDescent="0.2">
      <c r="A1289" s="71" t="s">
        <v>246</v>
      </c>
      <c r="B1289" s="71" t="s">
        <v>247</v>
      </c>
      <c r="C1289" s="71" t="s">
        <v>45</v>
      </c>
      <c r="D1289" s="88">
        <v>46219.605798611097</v>
      </c>
      <c r="E1289" s="89">
        <v>46219</v>
      </c>
      <c r="F1289" s="71" t="s">
        <v>1760</v>
      </c>
      <c r="G1289" s="71">
        <f t="shared" si="40"/>
        <v>7</v>
      </c>
      <c r="H1289" s="71">
        <f t="shared" si="41"/>
        <v>54</v>
      </c>
    </row>
    <row r="1290" spans="1:8" x14ac:dyDescent="0.2">
      <c r="A1290" s="71" t="s">
        <v>246</v>
      </c>
      <c r="B1290" s="71" t="s">
        <v>247</v>
      </c>
      <c r="C1290" s="71" t="s">
        <v>45</v>
      </c>
      <c r="D1290" s="88">
        <v>46219.606249999997</v>
      </c>
      <c r="E1290" s="89">
        <v>46219</v>
      </c>
      <c r="F1290" s="71" t="s">
        <v>1761</v>
      </c>
      <c r="G1290" s="71">
        <f t="shared" si="40"/>
        <v>7</v>
      </c>
      <c r="H1290" s="71">
        <f t="shared" si="41"/>
        <v>47</v>
      </c>
    </row>
    <row r="1291" spans="1:8" x14ac:dyDescent="0.2">
      <c r="A1291" s="71" t="s">
        <v>246</v>
      </c>
      <c r="B1291" s="71" t="s">
        <v>247</v>
      </c>
      <c r="C1291" s="71" t="s">
        <v>45</v>
      </c>
      <c r="D1291" s="88">
        <v>46219.607314814799</v>
      </c>
      <c r="E1291" s="89">
        <v>46219</v>
      </c>
      <c r="F1291" s="71" t="s">
        <v>1762</v>
      </c>
      <c r="G1291" s="71">
        <f t="shared" si="40"/>
        <v>7</v>
      </c>
      <c r="H1291" s="71">
        <f t="shared" si="41"/>
        <v>76</v>
      </c>
    </row>
    <row r="1292" spans="1:8" x14ac:dyDescent="0.2">
      <c r="A1292" s="71" t="s">
        <v>246</v>
      </c>
      <c r="B1292" s="71" t="s">
        <v>247</v>
      </c>
      <c r="C1292" s="71" t="s">
        <v>45</v>
      </c>
      <c r="D1292" s="88">
        <v>46220.450219907398</v>
      </c>
      <c r="E1292" s="89">
        <v>46220</v>
      </c>
      <c r="F1292" s="71" t="s">
        <v>1763</v>
      </c>
      <c r="G1292" s="71">
        <f t="shared" si="40"/>
        <v>7</v>
      </c>
      <c r="H1292" s="71">
        <f t="shared" si="41"/>
        <v>91</v>
      </c>
    </row>
    <row r="1293" spans="1:8" x14ac:dyDescent="0.2">
      <c r="A1293" s="71" t="s">
        <v>246</v>
      </c>
      <c r="B1293" s="71" t="s">
        <v>247</v>
      </c>
      <c r="C1293" s="71" t="s">
        <v>45</v>
      </c>
      <c r="D1293" s="88">
        <v>46220.451469907399</v>
      </c>
      <c r="E1293" s="89">
        <v>46220</v>
      </c>
      <c r="F1293" s="71" t="s">
        <v>1764</v>
      </c>
      <c r="G1293" s="71">
        <f t="shared" si="40"/>
        <v>7</v>
      </c>
      <c r="H1293" s="71">
        <f t="shared" si="41"/>
        <v>104</v>
      </c>
    </row>
    <row r="1294" spans="1:8" x14ac:dyDescent="0.2">
      <c r="A1294" s="71" t="s">
        <v>246</v>
      </c>
      <c r="B1294" s="71" t="s">
        <v>247</v>
      </c>
      <c r="C1294" s="71" t="s">
        <v>45</v>
      </c>
      <c r="D1294" s="88">
        <v>46220.660277777803</v>
      </c>
      <c r="E1294" s="89">
        <v>46220</v>
      </c>
      <c r="F1294" s="71" t="s">
        <v>1765</v>
      </c>
      <c r="G1294" s="71">
        <f t="shared" si="40"/>
        <v>7</v>
      </c>
      <c r="H1294" s="71">
        <f t="shared" si="41"/>
        <v>44</v>
      </c>
    </row>
    <row r="1295" spans="1:8" x14ac:dyDescent="0.2">
      <c r="A1295" s="71" t="s">
        <v>246</v>
      </c>
      <c r="B1295" s="71" t="s">
        <v>247</v>
      </c>
      <c r="C1295" s="71" t="s">
        <v>45</v>
      </c>
      <c r="D1295" s="88">
        <v>46223.678715277798</v>
      </c>
      <c r="E1295" s="89">
        <v>46223</v>
      </c>
      <c r="F1295" s="71" t="s">
        <v>1766</v>
      </c>
      <c r="G1295" s="71">
        <f t="shared" si="40"/>
        <v>7</v>
      </c>
      <c r="H1295" s="71">
        <f t="shared" si="41"/>
        <v>37</v>
      </c>
    </row>
    <row r="1296" spans="1:8" x14ac:dyDescent="0.2">
      <c r="A1296" s="71" t="s">
        <v>246</v>
      </c>
      <c r="B1296" s="71" t="s">
        <v>247</v>
      </c>
      <c r="C1296" s="71" t="s">
        <v>45</v>
      </c>
      <c r="D1296" s="88">
        <v>46223.6792361111</v>
      </c>
      <c r="E1296" s="89">
        <v>46223</v>
      </c>
      <c r="F1296" s="71" t="s">
        <v>1767</v>
      </c>
      <c r="G1296" s="71">
        <f t="shared" si="40"/>
        <v>7</v>
      </c>
      <c r="H1296" s="71">
        <f t="shared" si="41"/>
        <v>65</v>
      </c>
    </row>
    <row r="1297" spans="1:8" x14ac:dyDescent="0.2">
      <c r="A1297" s="71" t="s">
        <v>246</v>
      </c>
      <c r="B1297" s="71" t="s">
        <v>247</v>
      </c>
      <c r="C1297" s="71" t="s">
        <v>45</v>
      </c>
      <c r="D1297" s="88">
        <v>46223.679675925901</v>
      </c>
      <c r="E1297" s="89">
        <v>46223</v>
      </c>
      <c r="F1297" s="71" t="s">
        <v>1768</v>
      </c>
      <c r="G1297" s="71">
        <f t="shared" si="40"/>
        <v>7</v>
      </c>
      <c r="H1297" s="71">
        <f t="shared" si="41"/>
        <v>43</v>
      </c>
    </row>
    <row r="1298" spans="1:8" x14ac:dyDescent="0.2">
      <c r="A1298" s="71" t="s">
        <v>246</v>
      </c>
      <c r="B1298" s="71" t="s">
        <v>247</v>
      </c>
      <c r="C1298" s="71" t="s">
        <v>45</v>
      </c>
      <c r="D1298" s="88">
        <v>46223.680208333302</v>
      </c>
      <c r="E1298" s="89">
        <v>46223</v>
      </c>
      <c r="F1298" s="71" t="s">
        <v>1769</v>
      </c>
      <c r="G1298" s="71">
        <f t="shared" si="40"/>
        <v>7</v>
      </c>
      <c r="H1298" s="71">
        <f t="shared" si="41"/>
        <v>74</v>
      </c>
    </row>
    <row r="1299" spans="1:8" x14ac:dyDescent="0.2">
      <c r="A1299" s="71" t="s">
        <v>246</v>
      </c>
      <c r="B1299" s="71" t="s">
        <v>247</v>
      </c>
      <c r="C1299" s="71" t="s">
        <v>45</v>
      </c>
      <c r="D1299" s="88">
        <v>46224.414641203701</v>
      </c>
      <c r="E1299" s="89">
        <v>46224</v>
      </c>
      <c r="F1299" s="71" t="s">
        <v>1770</v>
      </c>
      <c r="G1299" s="71">
        <f t="shared" si="40"/>
        <v>7</v>
      </c>
      <c r="H1299" s="71">
        <f t="shared" si="41"/>
        <v>95</v>
      </c>
    </row>
    <row r="1300" spans="1:8" x14ac:dyDescent="0.2">
      <c r="A1300" s="71" t="s">
        <v>246</v>
      </c>
      <c r="B1300" s="71" t="s">
        <v>247</v>
      </c>
      <c r="C1300" s="71" t="s">
        <v>45</v>
      </c>
      <c r="D1300" s="88">
        <v>46224.573113425897</v>
      </c>
      <c r="E1300" s="89">
        <v>46224</v>
      </c>
      <c r="F1300" s="71" t="s">
        <v>1771</v>
      </c>
      <c r="G1300" s="71">
        <f t="shared" si="40"/>
        <v>7</v>
      </c>
      <c r="H1300" s="71">
        <f t="shared" si="41"/>
        <v>51</v>
      </c>
    </row>
    <row r="1301" spans="1:8" x14ac:dyDescent="0.2">
      <c r="A1301" s="71" t="s">
        <v>246</v>
      </c>
      <c r="B1301" s="71" t="s">
        <v>247</v>
      </c>
      <c r="C1301" s="71" t="s">
        <v>45</v>
      </c>
      <c r="D1301" s="88">
        <v>46224.687962962998</v>
      </c>
      <c r="E1301" s="89">
        <v>46224</v>
      </c>
      <c r="F1301" s="71" t="s">
        <v>1772</v>
      </c>
      <c r="G1301" s="71">
        <f t="shared" si="40"/>
        <v>7</v>
      </c>
      <c r="H1301" s="71">
        <f t="shared" si="41"/>
        <v>43</v>
      </c>
    </row>
    <row r="1302" spans="1:8" x14ac:dyDescent="0.2">
      <c r="A1302" s="71" t="s">
        <v>246</v>
      </c>
      <c r="B1302" s="71" t="s">
        <v>247</v>
      </c>
      <c r="C1302" s="71" t="s">
        <v>45</v>
      </c>
      <c r="D1302" s="88">
        <v>46225.691122685203</v>
      </c>
      <c r="E1302" s="89">
        <v>46225</v>
      </c>
      <c r="F1302" s="71" t="s">
        <v>1773</v>
      </c>
      <c r="G1302" s="71">
        <f t="shared" si="40"/>
        <v>7</v>
      </c>
      <c r="H1302" s="71">
        <f t="shared" si="41"/>
        <v>42</v>
      </c>
    </row>
    <row r="1303" spans="1:8" x14ac:dyDescent="0.2">
      <c r="A1303" s="71" t="s">
        <v>246</v>
      </c>
      <c r="B1303" s="71" t="s">
        <v>247</v>
      </c>
      <c r="C1303" s="71" t="s">
        <v>45</v>
      </c>
      <c r="D1303" s="88">
        <v>46225.692743055602</v>
      </c>
      <c r="E1303" s="89">
        <v>46225</v>
      </c>
      <c r="F1303" s="71" t="s">
        <v>1774</v>
      </c>
      <c r="G1303" s="71">
        <f t="shared" si="40"/>
        <v>7</v>
      </c>
      <c r="H1303" s="71">
        <f t="shared" si="41"/>
        <v>52</v>
      </c>
    </row>
    <row r="1304" spans="1:8" x14ac:dyDescent="0.2">
      <c r="A1304" s="71" t="s">
        <v>246</v>
      </c>
      <c r="B1304" s="71" t="s">
        <v>247</v>
      </c>
      <c r="C1304" s="71" t="s">
        <v>45</v>
      </c>
      <c r="D1304" s="88">
        <v>46225.709421296298</v>
      </c>
      <c r="E1304" s="89">
        <v>46225</v>
      </c>
      <c r="F1304" s="71" t="s">
        <v>1775</v>
      </c>
      <c r="G1304" s="71">
        <f t="shared" si="40"/>
        <v>7</v>
      </c>
      <c r="H1304" s="71">
        <f t="shared" si="41"/>
        <v>98</v>
      </c>
    </row>
    <row r="1305" spans="1:8" x14ac:dyDescent="0.2">
      <c r="A1305" s="71" t="s">
        <v>246</v>
      </c>
      <c r="B1305" s="71" t="s">
        <v>247</v>
      </c>
      <c r="C1305" s="71" t="s">
        <v>45</v>
      </c>
      <c r="D1305" s="88">
        <v>46226.614675925899</v>
      </c>
      <c r="E1305" s="89">
        <v>46226</v>
      </c>
      <c r="F1305" s="71" t="s">
        <v>1776</v>
      </c>
      <c r="G1305" s="71">
        <f t="shared" si="40"/>
        <v>7</v>
      </c>
      <c r="H1305" s="71">
        <f t="shared" si="41"/>
        <v>100</v>
      </c>
    </row>
    <row r="1306" spans="1:8" x14ac:dyDescent="0.2">
      <c r="A1306" s="71" t="s">
        <v>246</v>
      </c>
      <c r="B1306" s="71" t="s">
        <v>247</v>
      </c>
      <c r="C1306" s="71" t="s">
        <v>45</v>
      </c>
      <c r="D1306" s="88">
        <v>46226.616597222201</v>
      </c>
      <c r="E1306" s="89">
        <v>46226</v>
      </c>
      <c r="F1306" s="71" t="s">
        <v>1777</v>
      </c>
      <c r="G1306" s="71">
        <f t="shared" si="40"/>
        <v>7</v>
      </c>
      <c r="H1306" s="71">
        <f t="shared" si="41"/>
        <v>120</v>
      </c>
    </row>
    <row r="1307" spans="1:8" x14ac:dyDescent="0.2">
      <c r="A1307" s="71" t="s">
        <v>246</v>
      </c>
      <c r="B1307" s="71" t="s">
        <v>247</v>
      </c>
      <c r="C1307" s="71" t="s">
        <v>45</v>
      </c>
      <c r="D1307" s="88">
        <v>46226.674895833297</v>
      </c>
      <c r="E1307" s="89">
        <v>46226</v>
      </c>
      <c r="F1307" s="71" t="s">
        <v>1778</v>
      </c>
      <c r="G1307" s="71">
        <f t="shared" si="40"/>
        <v>7</v>
      </c>
      <c r="H1307" s="71">
        <f t="shared" si="41"/>
        <v>60</v>
      </c>
    </row>
    <row r="1308" spans="1:8" x14ac:dyDescent="0.2">
      <c r="A1308" s="71" t="s">
        <v>246</v>
      </c>
      <c r="B1308" s="71" t="s">
        <v>247</v>
      </c>
      <c r="C1308" s="71" t="s">
        <v>45</v>
      </c>
      <c r="D1308" s="88">
        <v>46227.572222222203</v>
      </c>
      <c r="E1308" s="89">
        <v>46227</v>
      </c>
      <c r="F1308" s="71" t="s">
        <v>1700</v>
      </c>
      <c r="G1308" s="71">
        <f t="shared" si="40"/>
        <v>7</v>
      </c>
      <c r="H1308" s="71">
        <f t="shared" si="41"/>
        <v>39</v>
      </c>
    </row>
    <row r="1309" spans="1:8" x14ac:dyDescent="0.2">
      <c r="A1309" s="71" t="s">
        <v>246</v>
      </c>
      <c r="B1309" s="71" t="s">
        <v>247</v>
      </c>
      <c r="C1309" s="71" t="s">
        <v>45</v>
      </c>
      <c r="D1309" s="88">
        <v>46227.5734606482</v>
      </c>
      <c r="E1309" s="89">
        <v>46227</v>
      </c>
      <c r="F1309" s="71" t="s">
        <v>1779</v>
      </c>
      <c r="G1309" s="71">
        <f t="shared" si="40"/>
        <v>7</v>
      </c>
      <c r="H1309" s="71">
        <f t="shared" si="41"/>
        <v>79</v>
      </c>
    </row>
    <row r="1310" spans="1:8" x14ac:dyDescent="0.2">
      <c r="A1310" s="71" t="s">
        <v>246</v>
      </c>
      <c r="B1310" s="71" t="s">
        <v>247</v>
      </c>
      <c r="C1310" s="71" t="s">
        <v>45</v>
      </c>
      <c r="D1310" s="88">
        <v>46227.695625</v>
      </c>
      <c r="E1310" s="89">
        <v>46227</v>
      </c>
      <c r="F1310" s="71" t="s">
        <v>1780</v>
      </c>
      <c r="G1310" s="71">
        <f t="shared" si="40"/>
        <v>7</v>
      </c>
      <c r="H1310" s="71">
        <f t="shared" si="41"/>
        <v>22</v>
      </c>
    </row>
    <row r="1311" spans="1:8" x14ac:dyDescent="0.2">
      <c r="A1311" s="71" t="s">
        <v>246</v>
      </c>
      <c r="B1311" s="71" t="s">
        <v>247</v>
      </c>
      <c r="C1311" s="71" t="s">
        <v>45</v>
      </c>
      <c r="D1311" s="88">
        <v>46230.673020833303</v>
      </c>
      <c r="E1311" s="89">
        <v>46230</v>
      </c>
      <c r="F1311" s="71" t="s">
        <v>1781</v>
      </c>
      <c r="G1311" s="71">
        <f t="shared" si="40"/>
        <v>7</v>
      </c>
      <c r="H1311" s="71">
        <f t="shared" si="41"/>
        <v>40</v>
      </c>
    </row>
    <row r="1312" spans="1:8" x14ac:dyDescent="0.2">
      <c r="A1312" s="71" t="s">
        <v>246</v>
      </c>
      <c r="B1312" s="71" t="s">
        <v>247</v>
      </c>
      <c r="C1312" s="71" t="s">
        <v>45</v>
      </c>
      <c r="D1312" s="88">
        <v>46230.673831018503</v>
      </c>
      <c r="E1312" s="89">
        <v>46230</v>
      </c>
      <c r="F1312" s="71" t="s">
        <v>1782</v>
      </c>
      <c r="G1312" s="71">
        <f t="shared" si="40"/>
        <v>7</v>
      </c>
      <c r="H1312" s="71">
        <f t="shared" si="41"/>
        <v>103</v>
      </c>
    </row>
    <row r="1313" spans="1:8" x14ac:dyDescent="0.2">
      <c r="A1313" s="71" t="s">
        <v>246</v>
      </c>
      <c r="B1313" s="71" t="s">
        <v>247</v>
      </c>
      <c r="C1313" s="71" t="s">
        <v>45</v>
      </c>
      <c r="D1313" s="88">
        <v>46230.676643518498</v>
      </c>
      <c r="E1313" s="89">
        <v>46230</v>
      </c>
      <c r="F1313" s="71" t="s">
        <v>1783</v>
      </c>
      <c r="G1313" s="71">
        <f t="shared" si="40"/>
        <v>7</v>
      </c>
      <c r="H1313" s="71">
        <f t="shared" si="41"/>
        <v>74</v>
      </c>
    </row>
    <row r="1314" spans="1:8" x14ac:dyDescent="0.2">
      <c r="A1314" s="71" t="s">
        <v>246</v>
      </c>
      <c r="B1314" s="71" t="s">
        <v>247</v>
      </c>
      <c r="C1314" s="71" t="s">
        <v>45</v>
      </c>
      <c r="D1314" s="88">
        <v>46231.672708333303</v>
      </c>
      <c r="E1314" s="89">
        <v>46231</v>
      </c>
      <c r="F1314" s="71" t="s">
        <v>1784</v>
      </c>
      <c r="G1314" s="71">
        <f t="shared" si="40"/>
        <v>7</v>
      </c>
      <c r="H1314" s="71">
        <f t="shared" si="41"/>
        <v>47</v>
      </c>
    </row>
    <row r="1315" spans="1:8" x14ac:dyDescent="0.2">
      <c r="A1315" s="71" t="s">
        <v>246</v>
      </c>
      <c r="B1315" s="71" t="s">
        <v>247</v>
      </c>
      <c r="C1315" s="71" t="s">
        <v>45</v>
      </c>
      <c r="D1315" s="88">
        <v>46231.673634259299</v>
      </c>
      <c r="E1315" s="89">
        <v>46231</v>
      </c>
      <c r="F1315" s="71" t="s">
        <v>1785</v>
      </c>
      <c r="G1315" s="71">
        <f t="shared" si="40"/>
        <v>7</v>
      </c>
      <c r="H1315" s="71">
        <f t="shared" si="41"/>
        <v>61</v>
      </c>
    </row>
    <row r="1316" spans="1:8" x14ac:dyDescent="0.2">
      <c r="A1316" s="71" t="s">
        <v>246</v>
      </c>
      <c r="B1316" s="71" t="s">
        <v>247</v>
      </c>
      <c r="C1316" s="71" t="s">
        <v>45</v>
      </c>
      <c r="D1316" s="88">
        <v>46231.674189814803</v>
      </c>
      <c r="E1316" s="89">
        <v>46231</v>
      </c>
      <c r="F1316" s="71" t="s">
        <v>1786</v>
      </c>
      <c r="G1316" s="71">
        <f t="shared" si="40"/>
        <v>7</v>
      </c>
      <c r="H1316" s="71">
        <f t="shared" si="41"/>
        <v>51</v>
      </c>
    </row>
    <row r="1317" spans="1:8" x14ac:dyDescent="0.2">
      <c r="A1317" s="71" t="s">
        <v>246</v>
      </c>
      <c r="B1317" s="71" t="s">
        <v>247</v>
      </c>
      <c r="C1317" s="71" t="s">
        <v>45</v>
      </c>
      <c r="D1317" s="88">
        <v>46231.687164351897</v>
      </c>
      <c r="E1317" s="89">
        <v>46231</v>
      </c>
      <c r="F1317" s="71" t="s">
        <v>1787</v>
      </c>
      <c r="G1317" s="71">
        <f t="shared" si="40"/>
        <v>7</v>
      </c>
      <c r="H1317" s="71">
        <f t="shared" si="41"/>
        <v>65</v>
      </c>
    </row>
    <row r="1318" spans="1:8" x14ac:dyDescent="0.2">
      <c r="A1318" s="71" t="s">
        <v>246</v>
      </c>
      <c r="B1318" s="71" t="s">
        <v>247</v>
      </c>
      <c r="C1318" s="71" t="s">
        <v>45</v>
      </c>
      <c r="D1318" s="88">
        <v>46232.663414351897</v>
      </c>
      <c r="E1318" s="89">
        <v>46232</v>
      </c>
      <c r="F1318" s="71" t="s">
        <v>1788</v>
      </c>
      <c r="G1318" s="71">
        <f t="shared" si="40"/>
        <v>7</v>
      </c>
      <c r="H1318" s="71">
        <f t="shared" si="41"/>
        <v>63</v>
      </c>
    </row>
    <row r="1319" spans="1:8" x14ac:dyDescent="0.2">
      <c r="A1319" s="71" t="s">
        <v>246</v>
      </c>
      <c r="B1319" s="71" t="s">
        <v>247</v>
      </c>
      <c r="C1319" s="71" t="s">
        <v>45</v>
      </c>
      <c r="D1319" s="88">
        <v>46232.663854166698</v>
      </c>
      <c r="E1319" s="89">
        <v>46232</v>
      </c>
      <c r="F1319" s="71" t="s">
        <v>1789</v>
      </c>
      <c r="G1319" s="71">
        <f t="shared" si="40"/>
        <v>7</v>
      </c>
      <c r="H1319" s="71">
        <f t="shared" si="41"/>
        <v>41</v>
      </c>
    </row>
    <row r="1320" spans="1:8" x14ac:dyDescent="0.2">
      <c r="A1320" s="71" t="s">
        <v>246</v>
      </c>
      <c r="B1320" s="71" t="s">
        <v>247</v>
      </c>
      <c r="C1320" s="71" t="s">
        <v>45</v>
      </c>
      <c r="D1320" s="88">
        <v>46232.664618055598</v>
      </c>
      <c r="E1320" s="89">
        <v>46232</v>
      </c>
      <c r="F1320" s="71" t="s">
        <v>1790</v>
      </c>
      <c r="G1320" s="71">
        <f t="shared" si="40"/>
        <v>7</v>
      </c>
      <c r="H1320" s="71">
        <f t="shared" si="41"/>
        <v>83</v>
      </c>
    </row>
    <row r="1321" spans="1:8" x14ac:dyDescent="0.2">
      <c r="A1321" s="71" t="s">
        <v>246</v>
      </c>
      <c r="B1321" s="71" t="s">
        <v>247</v>
      </c>
      <c r="C1321" s="71" t="s">
        <v>45</v>
      </c>
      <c r="D1321" s="88">
        <v>46233.417812500003</v>
      </c>
      <c r="E1321" s="89">
        <v>46233</v>
      </c>
      <c r="F1321" s="71" t="s">
        <v>1791</v>
      </c>
      <c r="G1321" s="71">
        <f t="shared" si="40"/>
        <v>7</v>
      </c>
      <c r="H1321" s="71">
        <f t="shared" si="41"/>
        <v>48</v>
      </c>
    </row>
    <row r="1322" spans="1:8" x14ac:dyDescent="0.2">
      <c r="A1322" s="71" t="s">
        <v>246</v>
      </c>
      <c r="B1322" s="71" t="s">
        <v>247</v>
      </c>
      <c r="C1322" s="71" t="s">
        <v>45</v>
      </c>
      <c r="D1322" s="88">
        <v>46233.664456018501</v>
      </c>
      <c r="E1322" s="89">
        <v>46233</v>
      </c>
      <c r="F1322" s="71" t="s">
        <v>1700</v>
      </c>
      <c r="G1322" s="71">
        <f t="shared" si="40"/>
        <v>7</v>
      </c>
      <c r="H1322" s="71">
        <f t="shared" si="41"/>
        <v>39</v>
      </c>
    </row>
    <row r="1323" spans="1:8" x14ac:dyDescent="0.2">
      <c r="A1323" s="71" t="s">
        <v>246</v>
      </c>
      <c r="B1323" s="71" t="s">
        <v>247</v>
      </c>
      <c r="C1323" s="71" t="s">
        <v>45</v>
      </c>
      <c r="D1323" s="88">
        <v>46233.6651851852</v>
      </c>
      <c r="E1323" s="89">
        <v>46233</v>
      </c>
      <c r="F1323" s="71" t="s">
        <v>1792</v>
      </c>
      <c r="G1323" s="71">
        <f t="shared" si="40"/>
        <v>7</v>
      </c>
      <c r="H1323" s="71">
        <f t="shared" si="41"/>
        <v>51</v>
      </c>
    </row>
    <row r="1324" spans="1:8" x14ac:dyDescent="0.2">
      <c r="A1324" s="71" t="s">
        <v>246</v>
      </c>
      <c r="B1324" s="71" t="s">
        <v>247</v>
      </c>
      <c r="C1324" s="71" t="s">
        <v>45</v>
      </c>
      <c r="D1324" s="88">
        <v>46234.684317129599</v>
      </c>
      <c r="E1324" s="89">
        <v>46234</v>
      </c>
      <c r="F1324" s="71" t="s">
        <v>1793</v>
      </c>
      <c r="G1324" s="71">
        <f t="shared" si="40"/>
        <v>7</v>
      </c>
      <c r="H1324" s="71">
        <f t="shared" si="41"/>
        <v>69</v>
      </c>
    </row>
    <row r="1325" spans="1:8" x14ac:dyDescent="0.2">
      <c r="A1325" s="71" t="s">
        <v>246</v>
      </c>
      <c r="B1325" s="71" t="s">
        <v>247</v>
      </c>
      <c r="C1325" s="71" t="s">
        <v>45</v>
      </c>
      <c r="D1325" s="88">
        <v>46234.685196759303</v>
      </c>
      <c r="E1325" s="89">
        <v>46234</v>
      </c>
      <c r="F1325" s="71" t="s">
        <v>1794</v>
      </c>
      <c r="G1325" s="71">
        <f t="shared" si="40"/>
        <v>7</v>
      </c>
      <c r="H1325" s="71">
        <f t="shared" si="41"/>
        <v>97</v>
      </c>
    </row>
    <row r="1326" spans="1:8" x14ac:dyDescent="0.2">
      <c r="A1326" s="71" t="s">
        <v>246</v>
      </c>
      <c r="B1326" s="71" t="s">
        <v>247</v>
      </c>
      <c r="C1326" s="71" t="s">
        <v>45</v>
      </c>
      <c r="D1326" s="88">
        <v>46234.685891203699</v>
      </c>
      <c r="E1326" s="89">
        <v>46234</v>
      </c>
      <c r="F1326" s="71" t="s">
        <v>1697</v>
      </c>
      <c r="G1326" s="71">
        <f t="shared" si="40"/>
        <v>7</v>
      </c>
      <c r="H1326" s="71">
        <f t="shared" si="41"/>
        <v>29</v>
      </c>
    </row>
    <row r="1327" spans="1:8" x14ac:dyDescent="0.2">
      <c r="A1327" s="71" t="s">
        <v>246</v>
      </c>
      <c r="B1327" s="71" t="s">
        <v>247</v>
      </c>
      <c r="C1327" s="71" t="s">
        <v>45</v>
      </c>
      <c r="D1327" s="88">
        <v>46237.686863425901</v>
      </c>
      <c r="E1327" s="89">
        <v>46237</v>
      </c>
      <c r="F1327" s="71" t="s">
        <v>1795</v>
      </c>
      <c r="G1327" s="71">
        <f t="shared" si="40"/>
        <v>8</v>
      </c>
      <c r="H1327" s="71">
        <f t="shared" si="41"/>
        <v>52</v>
      </c>
    </row>
    <row r="1328" spans="1:8" x14ac:dyDescent="0.2">
      <c r="A1328" s="71" t="s">
        <v>246</v>
      </c>
      <c r="B1328" s="71" t="s">
        <v>247</v>
      </c>
      <c r="C1328" s="71" t="s">
        <v>45</v>
      </c>
      <c r="D1328" s="88">
        <v>46237.687962962998</v>
      </c>
      <c r="E1328" s="89">
        <v>46237</v>
      </c>
      <c r="F1328" s="71" t="s">
        <v>1796</v>
      </c>
      <c r="G1328" s="71">
        <f t="shared" si="40"/>
        <v>8</v>
      </c>
      <c r="H1328" s="71">
        <f t="shared" si="41"/>
        <v>75</v>
      </c>
    </row>
    <row r="1329" spans="1:8" x14ac:dyDescent="0.2">
      <c r="A1329" s="71" t="s">
        <v>246</v>
      </c>
      <c r="B1329" s="71" t="s">
        <v>247</v>
      </c>
      <c r="C1329" s="71" t="s">
        <v>45</v>
      </c>
      <c r="D1329" s="88">
        <v>46237.688726851899</v>
      </c>
      <c r="E1329" s="89">
        <v>46237</v>
      </c>
      <c r="F1329" s="71" t="s">
        <v>1797</v>
      </c>
      <c r="G1329" s="71">
        <f t="shared" si="40"/>
        <v>8</v>
      </c>
      <c r="H1329" s="71">
        <f t="shared" si="41"/>
        <v>93</v>
      </c>
    </row>
    <row r="1330" spans="1:8" x14ac:dyDescent="0.2">
      <c r="A1330" s="71" t="s">
        <v>246</v>
      </c>
      <c r="B1330" s="71" t="s">
        <v>247</v>
      </c>
      <c r="C1330" s="71" t="s">
        <v>45</v>
      </c>
      <c r="D1330" s="88">
        <v>46238.686516203699</v>
      </c>
      <c r="E1330" s="89">
        <v>46238</v>
      </c>
      <c r="F1330" s="71" t="s">
        <v>1773</v>
      </c>
      <c r="G1330" s="71">
        <f t="shared" si="40"/>
        <v>8</v>
      </c>
      <c r="H1330" s="71">
        <f t="shared" si="41"/>
        <v>42</v>
      </c>
    </row>
    <row r="1331" spans="1:8" x14ac:dyDescent="0.2">
      <c r="A1331" s="71" t="s">
        <v>246</v>
      </c>
      <c r="B1331" s="71" t="s">
        <v>247</v>
      </c>
      <c r="C1331" s="71" t="s">
        <v>45</v>
      </c>
      <c r="D1331" s="88">
        <v>46238.686874999999</v>
      </c>
      <c r="E1331" s="89">
        <v>46238</v>
      </c>
      <c r="F1331" s="71" t="s">
        <v>1798</v>
      </c>
      <c r="G1331" s="71">
        <f t="shared" si="40"/>
        <v>8</v>
      </c>
      <c r="H1331" s="71">
        <f t="shared" si="41"/>
        <v>24</v>
      </c>
    </row>
    <row r="1332" spans="1:8" x14ac:dyDescent="0.2">
      <c r="A1332" s="71" t="s">
        <v>246</v>
      </c>
      <c r="B1332" s="71" t="s">
        <v>247</v>
      </c>
      <c r="C1332" s="71" t="s">
        <v>45</v>
      </c>
      <c r="D1332" s="88">
        <v>46238.687442129602</v>
      </c>
      <c r="E1332" s="89">
        <v>46238</v>
      </c>
      <c r="F1332" s="71" t="s">
        <v>1799</v>
      </c>
      <c r="G1332" s="71">
        <f t="shared" si="40"/>
        <v>8</v>
      </c>
      <c r="H1332" s="71">
        <f t="shared" si="41"/>
        <v>63</v>
      </c>
    </row>
    <row r="1333" spans="1:8" x14ac:dyDescent="0.2">
      <c r="A1333" s="71" t="s">
        <v>246</v>
      </c>
      <c r="B1333" s="71" t="s">
        <v>247</v>
      </c>
      <c r="C1333" s="71" t="s">
        <v>45</v>
      </c>
      <c r="D1333" s="88">
        <v>46239.609675925902</v>
      </c>
      <c r="E1333" s="89">
        <v>46239</v>
      </c>
      <c r="F1333" s="71" t="s">
        <v>1800</v>
      </c>
      <c r="G1333" s="71">
        <f t="shared" si="40"/>
        <v>8</v>
      </c>
      <c r="H1333" s="71">
        <f t="shared" si="41"/>
        <v>149</v>
      </c>
    </row>
    <row r="1334" spans="1:8" x14ac:dyDescent="0.2">
      <c r="A1334" s="71" t="s">
        <v>246</v>
      </c>
      <c r="B1334" s="71" t="s">
        <v>247</v>
      </c>
      <c r="C1334" s="71" t="s">
        <v>45</v>
      </c>
      <c r="D1334" s="88">
        <v>46239.610509259299</v>
      </c>
      <c r="E1334" s="89">
        <v>46239</v>
      </c>
      <c r="F1334" s="71" t="s">
        <v>1801</v>
      </c>
      <c r="G1334" s="71">
        <f t="shared" si="40"/>
        <v>8</v>
      </c>
      <c r="H1334" s="71">
        <f t="shared" si="41"/>
        <v>50</v>
      </c>
    </row>
    <row r="1335" spans="1:8" x14ac:dyDescent="0.2">
      <c r="A1335" s="71" t="s">
        <v>246</v>
      </c>
      <c r="B1335" s="71" t="s">
        <v>247</v>
      </c>
      <c r="C1335" s="71" t="s">
        <v>45</v>
      </c>
      <c r="D1335" s="88">
        <v>46239.667905092603</v>
      </c>
      <c r="E1335" s="89">
        <v>46239</v>
      </c>
      <c r="F1335" s="71" t="s">
        <v>1802</v>
      </c>
      <c r="G1335" s="71">
        <f t="shared" si="40"/>
        <v>8</v>
      </c>
      <c r="H1335" s="71">
        <f t="shared" si="41"/>
        <v>104</v>
      </c>
    </row>
    <row r="1336" spans="1:8" x14ac:dyDescent="0.2">
      <c r="A1336" s="71" t="s">
        <v>246</v>
      </c>
      <c r="B1336" s="71" t="s">
        <v>247</v>
      </c>
      <c r="C1336" s="71" t="s">
        <v>45</v>
      </c>
      <c r="D1336" s="88">
        <v>46240.475787037001</v>
      </c>
      <c r="E1336" s="89">
        <v>46240</v>
      </c>
      <c r="F1336" s="71" t="s">
        <v>1803</v>
      </c>
      <c r="G1336" s="71">
        <f t="shared" si="40"/>
        <v>8</v>
      </c>
      <c r="H1336" s="71">
        <f t="shared" si="41"/>
        <v>97</v>
      </c>
    </row>
    <row r="1337" spans="1:8" x14ac:dyDescent="0.2">
      <c r="A1337" s="71" t="s">
        <v>246</v>
      </c>
      <c r="B1337" s="71" t="s">
        <v>247</v>
      </c>
      <c r="C1337" s="71" t="s">
        <v>45</v>
      </c>
      <c r="D1337" s="88">
        <v>46240.476678240702</v>
      </c>
      <c r="E1337" s="89">
        <v>46240</v>
      </c>
      <c r="F1337" s="71" t="s">
        <v>1804</v>
      </c>
      <c r="G1337" s="71">
        <f t="shared" si="40"/>
        <v>8</v>
      </c>
      <c r="H1337" s="71">
        <f t="shared" si="41"/>
        <v>81</v>
      </c>
    </row>
    <row r="1338" spans="1:8" x14ac:dyDescent="0.2">
      <c r="A1338" s="71" t="s">
        <v>246</v>
      </c>
      <c r="B1338" s="71" t="s">
        <v>247</v>
      </c>
      <c r="C1338" s="71" t="s">
        <v>45</v>
      </c>
      <c r="D1338" s="88">
        <v>46240.667974536998</v>
      </c>
      <c r="E1338" s="89">
        <v>46240</v>
      </c>
      <c r="F1338" s="71" t="s">
        <v>1805</v>
      </c>
      <c r="G1338" s="71">
        <f t="shared" si="40"/>
        <v>8</v>
      </c>
      <c r="H1338" s="71">
        <f t="shared" si="41"/>
        <v>42</v>
      </c>
    </row>
    <row r="1339" spans="1:8" x14ac:dyDescent="0.2">
      <c r="A1339" s="71" t="s">
        <v>246</v>
      </c>
      <c r="B1339" s="71" t="s">
        <v>247</v>
      </c>
      <c r="C1339" s="71" t="s">
        <v>45</v>
      </c>
      <c r="D1339" s="88">
        <v>46241.683379629598</v>
      </c>
      <c r="E1339" s="89">
        <v>46241</v>
      </c>
      <c r="F1339" s="71" t="s">
        <v>1806</v>
      </c>
      <c r="G1339" s="71">
        <f t="shared" si="40"/>
        <v>8</v>
      </c>
      <c r="H1339" s="71">
        <f t="shared" si="41"/>
        <v>69</v>
      </c>
    </row>
    <row r="1340" spans="1:8" x14ac:dyDescent="0.2">
      <c r="A1340" s="71" t="s">
        <v>246</v>
      </c>
      <c r="B1340" s="71" t="s">
        <v>247</v>
      </c>
      <c r="C1340" s="71" t="s">
        <v>45</v>
      </c>
      <c r="D1340" s="88">
        <v>46241.683969907397</v>
      </c>
      <c r="E1340" s="89">
        <v>46241</v>
      </c>
      <c r="F1340" s="71" t="s">
        <v>1807</v>
      </c>
      <c r="G1340" s="71">
        <f t="shared" si="40"/>
        <v>8</v>
      </c>
      <c r="H1340" s="71">
        <f t="shared" si="41"/>
        <v>41</v>
      </c>
    </row>
    <row r="1341" spans="1:8" x14ac:dyDescent="0.2">
      <c r="A1341" s="71" t="s">
        <v>246</v>
      </c>
      <c r="B1341" s="71" t="s">
        <v>247</v>
      </c>
      <c r="C1341" s="71" t="s">
        <v>45</v>
      </c>
      <c r="D1341" s="88">
        <v>46241.684629629599</v>
      </c>
      <c r="E1341" s="89">
        <v>46241</v>
      </c>
      <c r="F1341" s="71" t="s">
        <v>1808</v>
      </c>
      <c r="G1341" s="71">
        <f t="shared" si="40"/>
        <v>8</v>
      </c>
      <c r="H1341" s="71">
        <f t="shared" si="41"/>
        <v>68</v>
      </c>
    </row>
    <row r="1342" spans="1:8" x14ac:dyDescent="0.2">
      <c r="A1342" s="71" t="s">
        <v>246</v>
      </c>
      <c r="B1342" s="71" t="s">
        <v>247</v>
      </c>
      <c r="C1342" s="71" t="s">
        <v>45</v>
      </c>
      <c r="D1342" s="88">
        <v>46244.488310185203</v>
      </c>
      <c r="E1342" s="89">
        <v>46244</v>
      </c>
      <c r="F1342" s="71" t="s">
        <v>1809</v>
      </c>
      <c r="G1342" s="71">
        <f t="shared" si="40"/>
        <v>8</v>
      </c>
      <c r="H1342" s="71">
        <f t="shared" si="41"/>
        <v>41</v>
      </c>
    </row>
    <row r="1343" spans="1:8" x14ac:dyDescent="0.2">
      <c r="A1343" s="71" t="s">
        <v>246</v>
      </c>
      <c r="B1343" s="71" t="s">
        <v>247</v>
      </c>
      <c r="C1343" s="71" t="s">
        <v>45</v>
      </c>
      <c r="D1343" s="88">
        <v>46244.490532407399</v>
      </c>
      <c r="E1343" s="89">
        <v>46244</v>
      </c>
      <c r="F1343" s="71" t="s">
        <v>1810</v>
      </c>
      <c r="G1343" s="71">
        <f t="shared" si="40"/>
        <v>8</v>
      </c>
      <c r="H1343" s="71">
        <f t="shared" si="41"/>
        <v>109</v>
      </c>
    </row>
    <row r="1344" spans="1:8" x14ac:dyDescent="0.2">
      <c r="A1344" s="71" t="s">
        <v>246</v>
      </c>
      <c r="B1344" s="71" t="s">
        <v>247</v>
      </c>
      <c r="C1344" s="71" t="s">
        <v>45</v>
      </c>
      <c r="D1344" s="88">
        <v>46244.674143518503</v>
      </c>
      <c r="E1344" s="89">
        <v>46244</v>
      </c>
      <c r="F1344" s="71" t="s">
        <v>1811</v>
      </c>
      <c r="G1344" s="71">
        <f t="shared" si="40"/>
        <v>8</v>
      </c>
      <c r="H1344" s="71">
        <f t="shared" si="41"/>
        <v>56</v>
      </c>
    </row>
    <row r="1345" spans="1:8" x14ac:dyDescent="0.2">
      <c r="A1345" s="71" t="s">
        <v>246</v>
      </c>
      <c r="B1345" s="71" t="s">
        <v>247</v>
      </c>
      <c r="C1345" s="71" t="s">
        <v>45</v>
      </c>
      <c r="D1345" s="88">
        <v>46245.423969907402</v>
      </c>
      <c r="E1345" s="89">
        <v>46245</v>
      </c>
      <c r="F1345" s="71" t="s">
        <v>1812</v>
      </c>
      <c r="G1345" s="71">
        <f t="shared" si="40"/>
        <v>8</v>
      </c>
      <c r="H1345" s="71">
        <f t="shared" si="41"/>
        <v>94</v>
      </c>
    </row>
    <row r="1346" spans="1:8" x14ac:dyDescent="0.2">
      <c r="A1346" s="71" t="s">
        <v>246</v>
      </c>
      <c r="B1346" s="71" t="s">
        <v>247</v>
      </c>
      <c r="C1346" s="71" t="s">
        <v>45</v>
      </c>
      <c r="D1346" s="88">
        <v>46245.627604166701</v>
      </c>
      <c r="E1346" s="89">
        <v>46245</v>
      </c>
      <c r="F1346" s="71" t="s">
        <v>1813</v>
      </c>
      <c r="G1346" s="71">
        <f t="shared" ref="G1346:G1409" si="42">MONTH(E1346)</f>
        <v>8</v>
      </c>
      <c r="H1346" s="71">
        <f t="shared" ref="H1346:H1409" si="43">LEN(F1346)</f>
        <v>89</v>
      </c>
    </row>
    <row r="1347" spans="1:8" x14ac:dyDescent="0.2">
      <c r="A1347" s="71" t="s">
        <v>246</v>
      </c>
      <c r="B1347" s="71" t="s">
        <v>247</v>
      </c>
      <c r="C1347" s="71" t="s">
        <v>45</v>
      </c>
      <c r="D1347" s="88">
        <v>46245.6742592593</v>
      </c>
      <c r="E1347" s="89">
        <v>46245</v>
      </c>
      <c r="F1347" s="71" t="s">
        <v>1814</v>
      </c>
      <c r="G1347" s="71">
        <f t="shared" si="42"/>
        <v>8</v>
      </c>
      <c r="H1347" s="71">
        <f t="shared" si="43"/>
        <v>60</v>
      </c>
    </row>
    <row r="1348" spans="1:8" x14ac:dyDescent="0.2">
      <c r="A1348" s="71" t="s">
        <v>246</v>
      </c>
      <c r="B1348" s="71" t="s">
        <v>247</v>
      </c>
      <c r="C1348" s="71" t="s">
        <v>45</v>
      </c>
      <c r="D1348" s="88">
        <v>46245.692465277803</v>
      </c>
      <c r="E1348" s="89">
        <v>46245</v>
      </c>
      <c r="F1348" s="71" t="s">
        <v>1815</v>
      </c>
      <c r="G1348" s="71">
        <f t="shared" si="42"/>
        <v>8</v>
      </c>
      <c r="H1348" s="71">
        <f t="shared" si="43"/>
        <v>131</v>
      </c>
    </row>
    <row r="1349" spans="1:8" x14ac:dyDescent="0.2">
      <c r="A1349" s="71" t="s">
        <v>246</v>
      </c>
      <c r="B1349" s="71" t="s">
        <v>247</v>
      </c>
      <c r="C1349" s="71" t="s">
        <v>45</v>
      </c>
      <c r="D1349" s="88">
        <v>46246.632175925901</v>
      </c>
      <c r="E1349" s="89">
        <v>46246</v>
      </c>
      <c r="F1349" s="71" t="s">
        <v>1816</v>
      </c>
      <c r="G1349" s="71">
        <f t="shared" si="42"/>
        <v>8</v>
      </c>
      <c r="H1349" s="71">
        <f t="shared" si="43"/>
        <v>104</v>
      </c>
    </row>
    <row r="1350" spans="1:8" x14ac:dyDescent="0.2">
      <c r="A1350" s="71" t="s">
        <v>246</v>
      </c>
      <c r="B1350" s="71" t="s">
        <v>247</v>
      </c>
      <c r="C1350" s="71" t="s">
        <v>45</v>
      </c>
      <c r="D1350" s="88">
        <v>46246.633240740703</v>
      </c>
      <c r="E1350" s="89">
        <v>46246</v>
      </c>
      <c r="F1350" s="71" t="s">
        <v>1700</v>
      </c>
      <c r="G1350" s="71">
        <f t="shared" si="42"/>
        <v>8</v>
      </c>
      <c r="H1350" s="71">
        <f t="shared" si="43"/>
        <v>39</v>
      </c>
    </row>
    <row r="1351" spans="1:8" x14ac:dyDescent="0.2">
      <c r="A1351" s="71" t="s">
        <v>246</v>
      </c>
      <c r="B1351" s="71" t="s">
        <v>247</v>
      </c>
      <c r="C1351" s="71" t="s">
        <v>45</v>
      </c>
      <c r="D1351" s="88">
        <v>46246.634594907402</v>
      </c>
      <c r="E1351" s="89">
        <v>46246</v>
      </c>
      <c r="F1351" s="71" t="s">
        <v>1817</v>
      </c>
      <c r="G1351" s="71">
        <f t="shared" si="42"/>
        <v>8</v>
      </c>
      <c r="H1351" s="71">
        <f t="shared" si="43"/>
        <v>150</v>
      </c>
    </row>
    <row r="1352" spans="1:8" x14ac:dyDescent="0.2">
      <c r="A1352" s="71" t="s">
        <v>246</v>
      </c>
      <c r="B1352" s="71" t="s">
        <v>247</v>
      </c>
      <c r="C1352" s="71" t="s">
        <v>45</v>
      </c>
      <c r="D1352" s="88">
        <v>46246.635625000003</v>
      </c>
      <c r="E1352" s="89">
        <v>46246</v>
      </c>
      <c r="F1352" s="71" t="s">
        <v>1818</v>
      </c>
      <c r="G1352" s="71">
        <f t="shared" si="42"/>
        <v>8</v>
      </c>
      <c r="H1352" s="71">
        <f t="shared" si="43"/>
        <v>58</v>
      </c>
    </row>
    <row r="1353" spans="1:8" x14ac:dyDescent="0.2">
      <c r="A1353" s="71" t="s">
        <v>246</v>
      </c>
      <c r="B1353" s="71" t="s">
        <v>247</v>
      </c>
      <c r="C1353" s="71" t="s">
        <v>45</v>
      </c>
      <c r="D1353" s="88">
        <v>46247.6569675926</v>
      </c>
      <c r="E1353" s="89">
        <v>46247</v>
      </c>
      <c r="F1353" s="71" t="s">
        <v>1819</v>
      </c>
      <c r="G1353" s="71">
        <f t="shared" si="42"/>
        <v>8</v>
      </c>
      <c r="H1353" s="71">
        <f t="shared" si="43"/>
        <v>66</v>
      </c>
    </row>
    <row r="1354" spans="1:8" x14ac:dyDescent="0.2">
      <c r="A1354" s="71" t="s">
        <v>246</v>
      </c>
      <c r="B1354" s="71" t="s">
        <v>247</v>
      </c>
      <c r="C1354" s="71" t="s">
        <v>45</v>
      </c>
      <c r="D1354" s="88">
        <v>46247.658391203702</v>
      </c>
      <c r="E1354" s="89">
        <v>46247</v>
      </c>
      <c r="F1354" s="71" t="s">
        <v>1820</v>
      </c>
      <c r="G1354" s="71">
        <f t="shared" si="42"/>
        <v>8</v>
      </c>
      <c r="H1354" s="71">
        <f t="shared" si="43"/>
        <v>36</v>
      </c>
    </row>
    <row r="1355" spans="1:8" x14ac:dyDescent="0.2">
      <c r="A1355" s="71" t="s">
        <v>246</v>
      </c>
      <c r="B1355" s="71" t="s">
        <v>247</v>
      </c>
      <c r="C1355" s="71" t="s">
        <v>45</v>
      </c>
      <c r="D1355" s="88">
        <v>46247.692696759303</v>
      </c>
      <c r="E1355" s="89">
        <v>46247</v>
      </c>
      <c r="F1355" s="71" t="s">
        <v>1821</v>
      </c>
      <c r="G1355" s="71">
        <f t="shared" si="42"/>
        <v>8</v>
      </c>
      <c r="H1355" s="71">
        <f t="shared" si="43"/>
        <v>75</v>
      </c>
    </row>
    <row r="1356" spans="1:8" x14ac:dyDescent="0.2">
      <c r="A1356" s="71" t="s">
        <v>246</v>
      </c>
      <c r="B1356" s="71" t="s">
        <v>247</v>
      </c>
      <c r="C1356" s="71" t="s">
        <v>45</v>
      </c>
      <c r="D1356" s="88">
        <v>46248.574768518498</v>
      </c>
      <c r="E1356" s="89">
        <v>46248</v>
      </c>
      <c r="F1356" s="71" t="s">
        <v>1822</v>
      </c>
      <c r="G1356" s="71">
        <f t="shared" si="42"/>
        <v>8</v>
      </c>
      <c r="H1356" s="71">
        <f t="shared" si="43"/>
        <v>107</v>
      </c>
    </row>
    <row r="1357" spans="1:8" x14ac:dyDescent="0.2">
      <c r="A1357" s="71" t="s">
        <v>246</v>
      </c>
      <c r="B1357" s="71" t="s">
        <v>247</v>
      </c>
      <c r="C1357" s="71" t="s">
        <v>45</v>
      </c>
      <c r="D1357" s="88">
        <v>46248.575775463003</v>
      </c>
      <c r="E1357" s="89">
        <v>46248</v>
      </c>
      <c r="F1357" s="71" t="s">
        <v>1823</v>
      </c>
      <c r="G1357" s="71">
        <f t="shared" si="42"/>
        <v>8</v>
      </c>
      <c r="H1357" s="71">
        <f t="shared" si="43"/>
        <v>42</v>
      </c>
    </row>
    <row r="1358" spans="1:8" x14ac:dyDescent="0.2">
      <c r="A1358" s="71" t="s">
        <v>246</v>
      </c>
      <c r="B1358" s="71" t="s">
        <v>247</v>
      </c>
      <c r="C1358" s="71" t="s">
        <v>45</v>
      </c>
      <c r="D1358" s="88">
        <v>46248.668379629598</v>
      </c>
      <c r="E1358" s="89">
        <v>46248</v>
      </c>
      <c r="F1358" s="71" t="s">
        <v>1824</v>
      </c>
      <c r="G1358" s="71">
        <f t="shared" si="42"/>
        <v>8</v>
      </c>
      <c r="H1358" s="71">
        <f t="shared" si="43"/>
        <v>48</v>
      </c>
    </row>
    <row r="1359" spans="1:8" x14ac:dyDescent="0.2">
      <c r="A1359" s="71" t="s">
        <v>246</v>
      </c>
      <c r="B1359" s="71" t="s">
        <v>247</v>
      </c>
      <c r="C1359" s="71" t="s">
        <v>45</v>
      </c>
      <c r="D1359" s="88">
        <v>46252.653518518498</v>
      </c>
      <c r="E1359" s="89">
        <v>46252</v>
      </c>
      <c r="F1359" s="71" t="s">
        <v>1825</v>
      </c>
      <c r="G1359" s="71">
        <f t="shared" si="42"/>
        <v>8</v>
      </c>
      <c r="H1359" s="71">
        <f t="shared" si="43"/>
        <v>108</v>
      </c>
    </row>
    <row r="1360" spans="1:8" x14ac:dyDescent="0.2">
      <c r="A1360" s="71" t="s">
        <v>246</v>
      </c>
      <c r="B1360" s="71" t="s">
        <v>247</v>
      </c>
      <c r="C1360" s="71" t="s">
        <v>45</v>
      </c>
      <c r="D1360" s="88">
        <v>46252.654224537</v>
      </c>
      <c r="E1360" s="89">
        <v>46252</v>
      </c>
      <c r="F1360" s="71" t="s">
        <v>1826</v>
      </c>
      <c r="G1360" s="71">
        <f t="shared" si="42"/>
        <v>8</v>
      </c>
      <c r="H1360" s="71">
        <f t="shared" si="43"/>
        <v>41</v>
      </c>
    </row>
    <row r="1361" spans="1:8" x14ac:dyDescent="0.2">
      <c r="A1361" s="71" t="s">
        <v>246</v>
      </c>
      <c r="B1361" s="71" t="s">
        <v>247</v>
      </c>
      <c r="C1361" s="71" t="s">
        <v>45</v>
      </c>
      <c r="D1361" s="88">
        <v>46252.676076388903</v>
      </c>
      <c r="E1361" s="89">
        <v>46252</v>
      </c>
      <c r="F1361" s="71" t="s">
        <v>1827</v>
      </c>
      <c r="G1361" s="71">
        <f t="shared" si="42"/>
        <v>8</v>
      </c>
      <c r="H1361" s="71">
        <f t="shared" si="43"/>
        <v>53</v>
      </c>
    </row>
    <row r="1362" spans="1:8" x14ac:dyDescent="0.2">
      <c r="A1362" s="71" t="s">
        <v>246</v>
      </c>
      <c r="B1362" s="71" t="s">
        <v>247</v>
      </c>
      <c r="C1362" s="71" t="s">
        <v>45</v>
      </c>
      <c r="D1362" s="88">
        <v>46252.6783796296</v>
      </c>
      <c r="E1362" s="89">
        <v>46252</v>
      </c>
      <c r="F1362" s="71" t="s">
        <v>1828</v>
      </c>
      <c r="G1362" s="71">
        <f t="shared" si="42"/>
        <v>8</v>
      </c>
      <c r="H1362" s="71">
        <f t="shared" si="43"/>
        <v>60</v>
      </c>
    </row>
    <row r="1363" spans="1:8" x14ac:dyDescent="0.2">
      <c r="A1363" s="71" t="s">
        <v>246</v>
      </c>
      <c r="B1363" s="71" t="s">
        <v>247</v>
      </c>
      <c r="C1363" s="71" t="s">
        <v>45</v>
      </c>
      <c r="D1363" s="88">
        <v>46253.422962962999</v>
      </c>
      <c r="E1363" s="89">
        <v>46253</v>
      </c>
      <c r="F1363" s="71" t="s">
        <v>1829</v>
      </c>
      <c r="G1363" s="71">
        <f t="shared" si="42"/>
        <v>8</v>
      </c>
      <c r="H1363" s="71">
        <f t="shared" si="43"/>
        <v>118</v>
      </c>
    </row>
    <row r="1364" spans="1:8" x14ac:dyDescent="0.2">
      <c r="A1364" s="71" t="s">
        <v>246</v>
      </c>
      <c r="B1364" s="71" t="s">
        <v>247</v>
      </c>
      <c r="C1364" s="71" t="s">
        <v>45</v>
      </c>
      <c r="D1364" s="88">
        <v>46253.548020833303</v>
      </c>
      <c r="E1364" s="89">
        <v>46253</v>
      </c>
      <c r="F1364" s="71" t="s">
        <v>1830</v>
      </c>
      <c r="G1364" s="71">
        <f t="shared" si="42"/>
        <v>8</v>
      </c>
      <c r="H1364" s="71">
        <f t="shared" si="43"/>
        <v>97</v>
      </c>
    </row>
    <row r="1365" spans="1:8" x14ac:dyDescent="0.2">
      <c r="A1365" s="71" t="s">
        <v>246</v>
      </c>
      <c r="B1365" s="71" t="s">
        <v>247</v>
      </c>
      <c r="C1365" s="71" t="s">
        <v>45</v>
      </c>
      <c r="D1365" s="88">
        <v>46253.649525462999</v>
      </c>
      <c r="E1365" s="89">
        <v>46253</v>
      </c>
      <c r="F1365" s="71" t="s">
        <v>1831</v>
      </c>
      <c r="G1365" s="71">
        <f t="shared" si="42"/>
        <v>8</v>
      </c>
      <c r="H1365" s="71">
        <f t="shared" si="43"/>
        <v>45</v>
      </c>
    </row>
    <row r="1366" spans="1:8" x14ac:dyDescent="0.2">
      <c r="A1366" s="71" t="s">
        <v>246</v>
      </c>
      <c r="B1366" s="71" t="s">
        <v>247</v>
      </c>
      <c r="C1366" s="71" t="s">
        <v>45</v>
      </c>
      <c r="D1366" s="88">
        <v>46254.667893518497</v>
      </c>
      <c r="E1366" s="89">
        <v>46254</v>
      </c>
      <c r="F1366" s="71" t="s">
        <v>1832</v>
      </c>
      <c r="G1366" s="71">
        <f t="shared" si="42"/>
        <v>8</v>
      </c>
      <c r="H1366" s="71">
        <f t="shared" si="43"/>
        <v>56</v>
      </c>
    </row>
    <row r="1367" spans="1:8" x14ac:dyDescent="0.2">
      <c r="A1367" s="71" t="s">
        <v>246</v>
      </c>
      <c r="B1367" s="71" t="s">
        <v>247</v>
      </c>
      <c r="C1367" s="71" t="s">
        <v>45</v>
      </c>
      <c r="D1367" s="88">
        <v>46254.668460648201</v>
      </c>
      <c r="E1367" s="89">
        <v>46254</v>
      </c>
      <c r="F1367" s="71" t="s">
        <v>1833</v>
      </c>
      <c r="G1367" s="71">
        <f t="shared" si="42"/>
        <v>8</v>
      </c>
      <c r="H1367" s="71">
        <f t="shared" si="43"/>
        <v>41</v>
      </c>
    </row>
    <row r="1368" spans="1:8" x14ac:dyDescent="0.2">
      <c r="A1368" s="71" t="s">
        <v>246</v>
      </c>
      <c r="B1368" s="71" t="s">
        <v>247</v>
      </c>
      <c r="C1368" s="71" t="s">
        <v>45</v>
      </c>
      <c r="D1368" s="88">
        <v>46254.669351851902</v>
      </c>
      <c r="E1368" s="89">
        <v>46254</v>
      </c>
      <c r="F1368" s="71" t="s">
        <v>1834</v>
      </c>
      <c r="G1368" s="71">
        <f t="shared" si="42"/>
        <v>8</v>
      </c>
      <c r="H1368" s="71">
        <f t="shared" si="43"/>
        <v>94</v>
      </c>
    </row>
    <row r="1369" spans="1:8" x14ac:dyDescent="0.2">
      <c r="A1369" s="71" t="s">
        <v>246</v>
      </c>
      <c r="B1369" s="71" t="s">
        <v>247</v>
      </c>
      <c r="C1369" s="71" t="s">
        <v>45</v>
      </c>
      <c r="D1369" s="88">
        <v>46254.683819444399</v>
      </c>
      <c r="E1369" s="89">
        <v>46254</v>
      </c>
      <c r="F1369" s="71" t="s">
        <v>1835</v>
      </c>
      <c r="G1369" s="71">
        <f t="shared" si="42"/>
        <v>8</v>
      </c>
      <c r="H1369" s="71">
        <f t="shared" si="43"/>
        <v>105</v>
      </c>
    </row>
    <row r="1370" spans="1:8" x14ac:dyDescent="0.2">
      <c r="A1370" s="71" t="s">
        <v>246</v>
      </c>
      <c r="B1370" s="71" t="s">
        <v>247</v>
      </c>
      <c r="C1370" s="71" t="s">
        <v>45</v>
      </c>
      <c r="D1370" s="88">
        <v>46255.653263888897</v>
      </c>
      <c r="E1370" s="89">
        <v>46255</v>
      </c>
      <c r="F1370" s="71" t="s">
        <v>1836</v>
      </c>
      <c r="G1370" s="71">
        <f t="shared" si="42"/>
        <v>8</v>
      </c>
      <c r="H1370" s="71">
        <f t="shared" si="43"/>
        <v>78</v>
      </c>
    </row>
    <row r="1371" spans="1:8" x14ac:dyDescent="0.2">
      <c r="A1371" s="71" t="s">
        <v>246</v>
      </c>
      <c r="B1371" s="71" t="s">
        <v>247</v>
      </c>
      <c r="C1371" s="71" t="s">
        <v>45</v>
      </c>
      <c r="D1371" s="88">
        <v>46255.653946759303</v>
      </c>
      <c r="E1371" s="89">
        <v>46255</v>
      </c>
      <c r="F1371" s="71" t="s">
        <v>1837</v>
      </c>
      <c r="G1371" s="71">
        <f t="shared" si="42"/>
        <v>8</v>
      </c>
      <c r="H1371" s="71">
        <f t="shared" si="43"/>
        <v>51</v>
      </c>
    </row>
    <row r="1372" spans="1:8" x14ac:dyDescent="0.2">
      <c r="A1372" s="71" t="s">
        <v>246</v>
      </c>
      <c r="B1372" s="71" t="s">
        <v>247</v>
      </c>
      <c r="C1372" s="71" t="s">
        <v>45</v>
      </c>
      <c r="D1372" s="88">
        <v>46255.654618055603</v>
      </c>
      <c r="E1372" s="89">
        <v>46255</v>
      </c>
      <c r="F1372" s="71" t="s">
        <v>1838</v>
      </c>
      <c r="G1372" s="71">
        <f t="shared" si="42"/>
        <v>8</v>
      </c>
      <c r="H1372" s="71">
        <f t="shared" si="43"/>
        <v>70</v>
      </c>
    </row>
    <row r="1373" spans="1:8" x14ac:dyDescent="0.2">
      <c r="A1373" s="71" t="s">
        <v>246</v>
      </c>
      <c r="B1373" s="71" t="s">
        <v>247</v>
      </c>
      <c r="C1373" s="71" t="s">
        <v>45</v>
      </c>
      <c r="D1373" s="88">
        <v>46258.684317129599</v>
      </c>
      <c r="E1373" s="89">
        <v>46258</v>
      </c>
      <c r="F1373" s="71" t="s">
        <v>1839</v>
      </c>
      <c r="G1373" s="71">
        <f t="shared" si="42"/>
        <v>8</v>
      </c>
      <c r="H1373" s="71">
        <f t="shared" si="43"/>
        <v>68</v>
      </c>
    </row>
    <row r="1374" spans="1:8" x14ac:dyDescent="0.2">
      <c r="A1374" s="71" t="s">
        <v>246</v>
      </c>
      <c r="B1374" s="71" t="s">
        <v>247</v>
      </c>
      <c r="C1374" s="71" t="s">
        <v>45</v>
      </c>
      <c r="D1374" s="88">
        <v>46258.685046296298</v>
      </c>
      <c r="E1374" s="89">
        <v>46258</v>
      </c>
      <c r="F1374" s="71" t="s">
        <v>1840</v>
      </c>
      <c r="G1374" s="71">
        <f t="shared" si="42"/>
        <v>8</v>
      </c>
      <c r="H1374" s="71">
        <f t="shared" si="43"/>
        <v>42</v>
      </c>
    </row>
    <row r="1375" spans="1:8" x14ac:dyDescent="0.2">
      <c r="A1375" s="71" t="s">
        <v>246</v>
      </c>
      <c r="B1375" s="71" t="s">
        <v>247</v>
      </c>
      <c r="C1375" s="71" t="s">
        <v>45</v>
      </c>
      <c r="D1375" s="88">
        <v>46258.685474537</v>
      </c>
      <c r="E1375" s="89">
        <v>46258</v>
      </c>
      <c r="F1375" s="71" t="s">
        <v>1841</v>
      </c>
      <c r="G1375" s="71">
        <f t="shared" si="42"/>
        <v>8</v>
      </c>
      <c r="H1375" s="71">
        <f t="shared" si="43"/>
        <v>26</v>
      </c>
    </row>
    <row r="1376" spans="1:8" x14ac:dyDescent="0.2">
      <c r="A1376" s="71" t="s">
        <v>246</v>
      </c>
      <c r="B1376" s="71" t="s">
        <v>247</v>
      </c>
      <c r="C1376" s="71" t="s">
        <v>45</v>
      </c>
      <c r="D1376" s="88">
        <v>46258.686053240701</v>
      </c>
      <c r="E1376" s="89">
        <v>46258</v>
      </c>
      <c r="F1376" s="71" t="s">
        <v>1842</v>
      </c>
      <c r="G1376" s="71">
        <f t="shared" si="42"/>
        <v>8</v>
      </c>
      <c r="H1376" s="71">
        <f t="shared" si="43"/>
        <v>62</v>
      </c>
    </row>
    <row r="1377" spans="1:8" x14ac:dyDescent="0.2">
      <c r="A1377" s="71" t="s">
        <v>246</v>
      </c>
      <c r="B1377" s="71" t="s">
        <v>247</v>
      </c>
      <c r="C1377" s="71" t="s">
        <v>45</v>
      </c>
      <c r="D1377" s="88">
        <v>46260.664525462998</v>
      </c>
      <c r="E1377" s="89">
        <v>46260</v>
      </c>
      <c r="F1377" s="71" t="s">
        <v>1839</v>
      </c>
      <c r="G1377" s="71">
        <f t="shared" si="42"/>
        <v>8</v>
      </c>
      <c r="H1377" s="71">
        <f t="shared" si="43"/>
        <v>68</v>
      </c>
    </row>
    <row r="1378" spans="1:8" x14ac:dyDescent="0.2">
      <c r="A1378" s="71" t="s">
        <v>246</v>
      </c>
      <c r="B1378" s="71" t="s">
        <v>247</v>
      </c>
      <c r="C1378" s="71" t="s">
        <v>45</v>
      </c>
      <c r="D1378" s="88">
        <v>46260.666574074101</v>
      </c>
      <c r="E1378" s="89">
        <v>46260</v>
      </c>
      <c r="F1378" s="71" t="s">
        <v>1843</v>
      </c>
      <c r="G1378" s="71">
        <f t="shared" si="42"/>
        <v>8</v>
      </c>
      <c r="H1378" s="71">
        <f t="shared" si="43"/>
        <v>54</v>
      </c>
    </row>
    <row r="1379" spans="1:8" x14ac:dyDescent="0.2">
      <c r="A1379" s="71" t="s">
        <v>246</v>
      </c>
      <c r="B1379" s="71" t="s">
        <v>247</v>
      </c>
      <c r="C1379" s="71" t="s">
        <v>45</v>
      </c>
      <c r="D1379" s="88">
        <v>46261.390960648198</v>
      </c>
      <c r="E1379" s="89">
        <v>46261</v>
      </c>
      <c r="F1379" s="71" t="s">
        <v>1844</v>
      </c>
      <c r="G1379" s="71">
        <f t="shared" si="42"/>
        <v>8</v>
      </c>
      <c r="H1379" s="71">
        <f t="shared" si="43"/>
        <v>46</v>
      </c>
    </row>
    <row r="1380" spans="1:8" x14ac:dyDescent="0.2">
      <c r="A1380" s="71" t="s">
        <v>246</v>
      </c>
      <c r="B1380" s="71" t="s">
        <v>247</v>
      </c>
      <c r="C1380" s="71" t="s">
        <v>45</v>
      </c>
      <c r="D1380" s="88">
        <v>46261.6610069444</v>
      </c>
      <c r="E1380" s="89">
        <v>46261</v>
      </c>
      <c r="F1380" s="71" t="s">
        <v>1845</v>
      </c>
      <c r="G1380" s="71">
        <f t="shared" si="42"/>
        <v>8</v>
      </c>
      <c r="H1380" s="71">
        <f t="shared" si="43"/>
        <v>64</v>
      </c>
    </row>
    <row r="1381" spans="1:8" x14ac:dyDescent="0.2">
      <c r="A1381" s="71" t="s">
        <v>246</v>
      </c>
      <c r="B1381" s="71" t="s">
        <v>247</v>
      </c>
      <c r="C1381" s="71" t="s">
        <v>45</v>
      </c>
      <c r="D1381" s="88">
        <v>46261.661921296298</v>
      </c>
      <c r="E1381" s="89">
        <v>46261</v>
      </c>
      <c r="F1381" s="71" t="s">
        <v>1846</v>
      </c>
      <c r="G1381" s="71">
        <f t="shared" si="42"/>
        <v>8</v>
      </c>
      <c r="H1381" s="71">
        <f t="shared" si="43"/>
        <v>69</v>
      </c>
    </row>
    <row r="1382" spans="1:8" x14ac:dyDescent="0.2">
      <c r="A1382" s="71" t="s">
        <v>246</v>
      </c>
      <c r="B1382" s="71" t="s">
        <v>247</v>
      </c>
      <c r="C1382" s="71" t="s">
        <v>45</v>
      </c>
      <c r="D1382" s="88">
        <v>46262.622986111099</v>
      </c>
      <c r="E1382" s="89">
        <v>46262</v>
      </c>
      <c r="F1382" s="71" t="s">
        <v>1847</v>
      </c>
      <c r="G1382" s="71">
        <f t="shared" si="42"/>
        <v>8</v>
      </c>
      <c r="H1382" s="71">
        <f t="shared" si="43"/>
        <v>92</v>
      </c>
    </row>
    <row r="1383" spans="1:8" x14ac:dyDescent="0.2">
      <c r="A1383" s="71" t="s">
        <v>246</v>
      </c>
      <c r="B1383" s="71" t="s">
        <v>247</v>
      </c>
      <c r="C1383" s="71" t="s">
        <v>45</v>
      </c>
      <c r="D1383" s="88">
        <v>46262.623993055597</v>
      </c>
      <c r="E1383" s="89">
        <v>46262</v>
      </c>
      <c r="F1383" s="71" t="s">
        <v>1848</v>
      </c>
      <c r="G1383" s="71">
        <f t="shared" si="42"/>
        <v>8</v>
      </c>
      <c r="H1383" s="71">
        <f t="shared" si="43"/>
        <v>31</v>
      </c>
    </row>
    <row r="1384" spans="1:8" x14ac:dyDescent="0.2">
      <c r="A1384" s="71" t="s">
        <v>246</v>
      </c>
      <c r="B1384" s="71" t="s">
        <v>247</v>
      </c>
      <c r="C1384" s="71" t="s">
        <v>45</v>
      </c>
      <c r="D1384" s="88">
        <v>46262.652361111097</v>
      </c>
      <c r="E1384" s="89">
        <v>46262</v>
      </c>
      <c r="F1384" s="71" t="s">
        <v>1849</v>
      </c>
      <c r="G1384" s="71">
        <f t="shared" si="42"/>
        <v>8</v>
      </c>
      <c r="H1384" s="71">
        <f t="shared" si="43"/>
        <v>66</v>
      </c>
    </row>
    <row r="1385" spans="1:8" x14ac:dyDescent="0.2">
      <c r="A1385" s="71" t="s">
        <v>246</v>
      </c>
      <c r="B1385" s="71" t="s">
        <v>247</v>
      </c>
      <c r="C1385" s="71" t="s">
        <v>45</v>
      </c>
      <c r="D1385" s="88">
        <v>46265.679525462998</v>
      </c>
      <c r="E1385" s="89">
        <v>46265</v>
      </c>
      <c r="F1385" s="71" t="s">
        <v>1850</v>
      </c>
      <c r="G1385" s="71">
        <f t="shared" si="42"/>
        <v>8</v>
      </c>
      <c r="H1385" s="71">
        <f t="shared" si="43"/>
        <v>62</v>
      </c>
    </row>
    <row r="1386" spans="1:8" x14ac:dyDescent="0.2">
      <c r="A1386" s="71" t="s">
        <v>246</v>
      </c>
      <c r="B1386" s="71" t="s">
        <v>247</v>
      </c>
      <c r="C1386" s="71" t="s">
        <v>45</v>
      </c>
      <c r="D1386" s="88">
        <v>46265.6804050926</v>
      </c>
      <c r="E1386" s="89">
        <v>46265</v>
      </c>
      <c r="F1386" s="71" t="s">
        <v>1851</v>
      </c>
      <c r="G1386" s="71">
        <f t="shared" si="42"/>
        <v>8</v>
      </c>
      <c r="H1386" s="71">
        <f t="shared" si="43"/>
        <v>92</v>
      </c>
    </row>
    <row r="1387" spans="1:8" x14ac:dyDescent="0.2">
      <c r="A1387" s="71" t="s">
        <v>246</v>
      </c>
      <c r="B1387" s="71" t="s">
        <v>247</v>
      </c>
      <c r="C1387" s="71" t="s">
        <v>45</v>
      </c>
      <c r="D1387" s="88">
        <v>46265.6817592593</v>
      </c>
      <c r="E1387" s="89">
        <v>46265</v>
      </c>
      <c r="F1387" s="71" t="s">
        <v>1852</v>
      </c>
      <c r="G1387" s="71">
        <f t="shared" si="42"/>
        <v>8</v>
      </c>
      <c r="H1387" s="71">
        <f t="shared" si="43"/>
        <v>88</v>
      </c>
    </row>
    <row r="1388" spans="1:8" x14ac:dyDescent="0.2">
      <c r="A1388" s="71" t="s">
        <v>246</v>
      </c>
      <c r="B1388" s="71" t="s">
        <v>247</v>
      </c>
      <c r="C1388" s="71" t="s">
        <v>45</v>
      </c>
      <c r="D1388" s="88">
        <v>46265.682453703703</v>
      </c>
      <c r="E1388" s="89">
        <v>46265</v>
      </c>
      <c r="F1388" s="71" t="s">
        <v>1853</v>
      </c>
      <c r="G1388" s="71">
        <f t="shared" si="42"/>
        <v>8</v>
      </c>
      <c r="H1388" s="71">
        <f t="shared" si="43"/>
        <v>69</v>
      </c>
    </row>
    <row r="1389" spans="1:8" x14ac:dyDescent="0.2">
      <c r="A1389" s="71" t="s">
        <v>246</v>
      </c>
      <c r="B1389" s="71" t="s">
        <v>247</v>
      </c>
      <c r="C1389" s="71" t="s">
        <v>45</v>
      </c>
      <c r="D1389" s="88">
        <v>46266.482905092598</v>
      </c>
      <c r="E1389" s="89">
        <v>46266</v>
      </c>
      <c r="F1389" s="71" t="s">
        <v>1854</v>
      </c>
      <c r="G1389" s="71">
        <f t="shared" si="42"/>
        <v>9</v>
      </c>
      <c r="H1389" s="71">
        <f t="shared" si="43"/>
        <v>102</v>
      </c>
    </row>
    <row r="1390" spans="1:8" x14ac:dyDescent="0.2">
      <c r="A1390" s="71" t="s">
        <v>246</v>
      </c>
      <c r="B1390" s="71" t="s">
        <v>247</v>
      </c>
      <c r="C1390" s="71" t="s">
        <v>45</v>
      </c>
      <c r="D1390" s="88">
        <v>46266.485000000001</v>
      </c>
      <c r="E1390" s="89">
        <v>46266</v>
      </c>
      <c r="F1390" s="71" t="s">
        <v>1855</v>
      </c>
      <c r="G1390" s="71">
        <f t="shared" si="42"/>
        <v>9</v>
      </c>
      <c r="H1390" s="71">
        <f t="shared" si="43"/>
        <v>42</v>
      </c>
    </row>
    <row r="1391" spans="1:8" x14ac:dyDescent="0.2">
      <c r="A1391" s="71" t="s">
        <v>246</v>
      </c>
      <c r="B1391" s="71" t="s">
        <v>247</v>
      </c>
      <c r="C1391" s="71" t="s">
        <v>45</v>
      </c>
      <c r="D1391" s="88">
        <v>46266.678460648203</v>
      </c>
      <c r="E1391" s="89">
        <v>46266</v>
      </c>
      <c r="F1391" s="71" t="s">
        <v>1856</v>
      </c>
      <c r="G1391" s="71">
        <f t="shared" si="42"/>
        <v>9</v>
      </c>
      <c r="H1391" s="71">
        <f t="shared" si="43"/>
        <v>68</v>
      </c>
    </row>
    <row r="1392" spans="1:8" x14ac:dyDescent="0.2">
      <c r="A1392" s="71" t="s">
        <v>246</v>
      </c>
      <c r="B1392" s="71" t="s">
        <v>247</v>
      </c>
      <c r="C1392" s="71" t="s">
        <v>45</v>
      </c>
      <c r="D1392" s="88">
        <v>46267.687256944497</v>
      </c>
      <c r="E1392" s="89">
        <v>46267</v>
      </c>
      <c r="F1392" s="71" t="s">
        <v>1857</v>
      </c>
      <c r="G1392" s="71">
        <f t="shared" si="42"/>
        <v>9</v>
      </c>
      <c r="H1392" s="71">
        <f t="shared" si="43"/>
        <v>47</v>
      </c>
    </row>
    <row r="1393" spans="1:8" x14ac:dyDescent="0.2">
      <c r="A1393" s="71" t="s">
        <v>246</v>
      </c>
      <c r="B1393" s="71" t="s">
        <v>247</v>
      </c>
      <c r="C1393" s="71" t="s">
        <v>45</v>
      </c>
      <c r="D1393" s="88">
        <v>46267.687754629602</v>
      </c>
      <c r="E1393" s="89">
        <v>46267</v>
      </c>
      <c r="F1393" s="71" t="s">
        <v>1858</v>
      </c>
      <c r="G1393" s="71">
        <f t="shared" si="42"/>
        <v>9</v>
      </c>
      <c r="H1393" s="71">
        <f t="shared" si="43"/>
        <v>112</v>
      </c>
    </row>
    <row r="1394" spans="1:8" x14ac:dyDescent="0.2">
      <c r="A1394" s="71" t="s">
        <v>246</v>
      </c>
      <c r="B1394" s="71" t="s">
        <v>247</v>
      </c>
      <c r="C1394" s="71" t="s">
        <v>45</v>
      </c>
      <c r="D1394" s="88">
        <v>46268.663935185199</v>
      </c>
      <c r="E1394" s="89">
        <v>46268</v>
      </c>
      <c r="F1394" s="71" t="s">
        <v>1859</v>
      </c>
      <c r="G1394" s="71">
        <f t="shared" si="42"/>
        <v>9</v>
      </c>
      <c r="H1394" s="71">
        <f t="shared" si="43"/>
        <v>49</v>
      </c>
    </row>
    <row r="1395" spans="1:8" x14ac:dyDescent="0.2">
      <c r="A1395" s="71" t="s">
        <v>246</v>
      </c>
      <c r="B1395" s="71" t="s">
        <v>247</v>
      </c>
      <c r="C1395" s="71" t="s">
        <v>45</v>
      </c>
      <c r="D1395" s="88">
        <v>46268.664537037002</v>
      </c>
      <c r="E1395" s="89">
        <v>46268</v>
      </c>
      <c r="F1395" s="71" t="s">
        <v>1700</v>
      </c>
      <c r="G1395" s="71">
        <f t="shared" si="42"/>
        <v>9</v>
      </c>
      <c r="H1395" s="71">
        <f t="shared" si="43"/>
        <v>39</v>
      </c>
    </row>
    <row r="1396" spans="1:8" x14ac:dyDescent="0.2">
      <c r="A1396" s="71" t="s">
        <v>246</v>
      </c>
      <c r="B1396" s="71" t="s">
        <v>247</v>
      </c>
      <c r="C1396" s="71" t="s">
        <v>45</v>
      </c>
      <c r="D1396" s="88">
        <v>46268.665150462999</v>
      </c>
      <c r="E1396" s="89">
        <v>46268</v>
      </c>
      <c r="F1396" s="71" t="s">
        <v>1860</v>
      </c>
      <c r="G1396" s="71">
        <f t="shared" si="42"/>
        <v>9</v>
      </c>
      <c r="H1396" s="71">
        <f t="shared" si="43"/>
        <v>51</v>
      </c>
    </row>
    <row r="1397" spans="1:8" x14ac:dyDescent="0.2">
      <c r="A1397" s="71" t="s">
        <v>246</v>
      </c>
      <c r="B1397" s="71" t="s">
        <v>247</v>
      </c>
      <c r="C1397" s="71" t="s">
        <v>45</v>
      </c>
      <c r="D1397" s="88">
        <v>46269.678368055596</v>
      </c>
      <c r="E1397" s="89">
        <v>46269</v>
      </c>
      <c r="F1397" s="71" t="s">
        <v>1724</v>
      </c>
      <c r="G1397" s="71">
        <f t="shared" si="42"/>
        <v>9</v>
      </c>
      <c r="H1397" s="71">
        <f t="shared" si="43"/>
        <v>54</v>
      </c>
    </row>
    <row r="1398" spans="1:8" x14ac:dyDescent="0.2">
      <c r="A1398" s="71" t="s">
        <v>246</v>
      </c>
      <c r="B1398" s="71" t="s">
        <v>247</v>
      </c>
      <c r="C1398" s="71" t="s">
        <v>45</v>
      </c>
      <c r="D1398" s="88">
        <v>46269.678888888899</v>
      </c>
      <c r="E1398" s="89">
        <v>46269</v>
      </c>
      <c r="F1398" s="71" t="s">
        <v>1700</v>
      </c>
      <c r="G1398" s="71">
        <f t="shared" si="42"/>
        <v>9</v>
      </c>
      <c r="H1398" s="71">
        <f t="shared" si="43"/>
        <v>39</v>
      </c>
    </row>
    <row r="1399" spans="1:8" x14ac:dyDescent="0.2">
      <c r="A1399" s="71" t="s">
        <v>246</v>
      </c>
      <c r="B1399" s="71" t="s">
        <v>247</v>
      </c>
      <c r="C1399" s="71" t="s">
        <v>45</v>
      </c>
      <c r="D1399" s="88">
        <v>46269.679791666698</v>
      </c>
      <c r="E1399" s="89">
        <v>46269</v>
      </c>
      <c r="F1399" s="71" t="s">
        <v>1861</v>
      </c>
      <c r="G1399" s="71">
        <f t="shared" si="42"/>
        <v>9</v>
      </c>
      <c r="H1399" s="71">
        <f t="shared" si="43"/>
        <v>62</v>
      </c>
    </row>
    <row r="1400" spans="1:8" x14ac:dyDescent="0.2">
      <c r="A1400" s="71" t="s">
        <v>246</v>
      </c>
      <c r="B1400" s="71" t="s">
        <v>247</v>
      </c>
      <c r="C1400" s="71" t="s">
        <v>45</v>
      </c>
      <c r="D1400" s="88">
        <v>46272.670775462997</v>
      </c>
      <c r="E1400" s="89">
        <v>46272</v>
      </c>
      <c r="F1400" s="71" t="s">
        <v>1862</v>
      </c>
      <c r="G1400" s="71">
        <f t="shared" si="42"/>
        <v>9</v>
      </c>
      <c r="H1400" s="71">
        <f t="shared" si="43"/>
        <v>97</v>
      </c>
    </row>
    <row r="1401" spans="1:8" x14ac:dyDescent="0.2">
      <c r="A1401" s="71" t="s">
        <v>246</v>
      </c>
      <c r="B1401" s="71" t="s">
        <v>247</v>
      </c>
      <c r="C1401" s="71" t="s">
        <v>45</v>
      </c>
      <c r="D1401" s="88">
        <v>46272.671412037002</v>
      </c>
      <c r="E1401" s="89">
        <v>46272</v>
      </c>
      <c r="F1401" s="71" t="s">
        <v>1700</v>
      </c>
      <c r="G1401" s="71">
        <f t="shared" si="42"/>
        <v>9</v>
      </c>
      <c r="H1401" s="71">
        <f t="shared" si="43"/>
        <v>39</v>
      </c>
    </row>
    <row r="1402" spans="1:8" x14ac:dyDescent="0.2">
      <c r="A1402" s="71" t="s">
        <v>246</v>
      </c>
      <c r="B1402" s="71" t="s">
        <v>247</v>
      </c>
      <c r="C1402" s="71" t="s">
        <v>45</v>
      </c>
      <c r="D1402" s="88">
        <v>46272.685324074097</v>
      </c>
      <c r="E1402" s="89">
        <v>46272</v>
      </c>
      <c r="F1402" s="71" t="s">
        <v>1863</v>
      </c>
      <c r="G1402" s="71">
        <f t="shared" si="42"/>
        <v>9</v>
      </c>
      <c r="H1402" s="71">
        <f t="shared" si="43"/>
        <v>51</v>
      </c>
    </row>
    <row r="1403" spans="1:8" x14ac:dyDescent="0.2">
      <c r="A1403" s="71" t="s">
        <v>246</v>
      </c>
      <c r="B1403" s="71" t="s">
        <v>247</v>
      </c>
      <c r="C1403" s="71" t="s">
        <v>45</v>
      </c>
      <c r="D1403" s="88">
        <v>46273.656018518501</v>
      </c>
      <c r="E1403" s="89">
        <v>46273</v>
      </c>
      <c r="F1403" s="71" t="s">
        <v>1724</v>
      </c>
      <c r="G1403" s="71">
        <f t="shared" si="42"/>
        <v>9</v>
      </c>
      <c r="H1403" s="71">
        <f t="shared" si="43"/>
        <v>54</v>
      </c>
    </row>
    <row r="1404" spans="1:8" x14ac:dyDescent="0.2">
      <c r="A1404" s="71" t="s">
        <v>246</v>
      </c>
      <c r="B1404" s="71" t="s">
        <v>247</v>
      </c>
      <c r="C1404" s="71" t="s">
        <v>45</v>
      </c>
      <c r="D1404" s="88">
        <v>46273.656759259298</v>
      </c>
      <c r="E1404" s="89">
        <v>46273</v>
      </c>
      <c r="F1404" s="71" t="s">
        <v>1864</v>
      </c>
      <c r="G1404" s="71">
        <f t="shared" si="42"/>
        <v>9</v>
      </c>
      <c r="H1404" s="71">
        <f t="shared" si="43"/>
        <v>49</v>
      </c>
    </row>
    <row r="1405" spans="1:8" x14ac:dyDescent="0.2">
      <c r="A1405" s="71" t="s">
        <v>246</v>
      </c>
      <c r="B1405" s="71" t="s">
        <v>247</v>
      </c>
      <c r="C1405" s="71" t="s">
        <v>45</v>
      </c>
      <c r="D1405" s="88">
        <v>46273.657476851899</v>
      </c>
      <c r="E1405" s="89">
        <v>46273</v>
      </c>
      <c r="F1405" s="71" t="s">
        <v>1865</v>
      </c>
      <c r="G1405" s="71">
        <f t="shared" si="42"/>
        <v>9</v>
      </c>
      <c r="H1405" s="71">
        <f t="shared" si="43"/>
        <v>54</v>
      </c>
    </row>
    <row r="1406" spans="1:8" x14ac:dyDescent="0.2">
      <c r="A1406" s="71" t="s">
        <v>246</v>
      </c>
      <c r="B1406" s="71" t="s">
        <v>247</v>
      </c>
      <c r="C1406" s="71" t="s">
        <v>45</v>
      </c>
      <c r="D1406" s="88">
        <v>46274.65625</v>
      </c>
      <c r="E1406" s="89">
        <v>46274</v>
      </c>
      <c r="F1406" s="71" t="s">
        <v>1866</v>
      </c>
      <c r="G1406" s="71">
        <f t="shared" si="42"/>
        <v>9</v>
      </c>
      <c r="H1406" s="71">
        <f t="shared" si="43"/>
        <v>102</v>
      </c>
    </row>
    <row r="1407" spans="1:8" x14ac:dyDescent="0.2">
      <c r="A1407" s="71" t="s">
        <v>246</v>
      </c>
      <c r="B1407" s="71" t="s">
        <v>247</v>
      </c>
      <c r="C1407" s="71" t="s">
        <v>45</v>
      </c>
      <c r="D1407" s="88">
        <v>46274.657118055598</v>
      </c>
      <c r="E1407" s="89">
        <v>46274</v>
      </c>
      <c r="F1407" s="71" t="s">
        <v>1867</v>
      </c>
      <c r="G1407" s="71">
        <f t="shared" si="42"/>
        <v>9</v>
      </c>
      <c r="H1407" s="71">
        <f t="shared" si="43"/>
        <v>114</v>
      </c>
    </row>
    <row r="1408" spans="1:8" x14ac:dyDescent="0.2">
      <c r="A1408" s="71" t="s">
        <v>246</v>
      </c>
      <c r="B1408" s="71" t="s">
        <v>247</v>
      </c>
      <c r="C1408" s="71" t="s">
        <v>45</v>
      </c>
      <c r="D1408" s="88">
        <v>46274.680891203701</v>
      </c>
      <c r="E1408" s="89">
        <v>46274</v>
      </c>
      <c r="F1408" s="71" t="s">
        <v>1868</v>
      </c>
      <c r="G1408" s="71">
        <f t="shared" si="42"/>
        <v>9</v>
      </c>
      <c r="H1408" s="71">
        <f t="shared" si="43"/>
        <v>54</v>
      </c>
    </row>
    <row r="1409" spans="1:8" x14ac:dyDescent="0.2">
      <c r="A1409" s="71" t="s">
        <v>246</v>
      </c>
      <c r="B1409" s="71" t="s">
        <v>247</v>
      </c>
      <c r="C1409" s="71" t="s">
        <v>45</v>
      </c>
      <c r="D1409" s="88">
        <v>46275.671261574098</v>
      </c>
      <c r="E1409" s="89">
        <v>46275</v>
      </c>
      <c r="F1409" s="71" t="s">
        <v>1700</v>
      </c>
      <c r="G1409" s="71">
        <f t="shared" si="42"/>
        <v>9</v>
      </c>
      <c r="H1409" s="71">
        <f t="shared" si="43"/>
        <v>39</v>
      </c>
    </row>
    <row r="1410" spans="1:8" x14ac:dyDescent="0.2">
      <c r="A1410" s="71" t="s">
        <v>246</v>
      </c>
      <c r="B1410" s="71" t="s">
        <v>247</v>
      </c>
      <c r="C1410" s="71" t="s">
        <v>45</v>
      </c>
      <c r="D1410" s="88">
        <v>46275.672569444498</v>
      </c>
      <c r="E1410" s="89">
        <v>46275</v>
      </c>
      <c r="F1410" s="71" t="s">
        <v>1869</v>
      </c>
      <c r="G1410" s="71">
        <f t="shared" ref="G1410:G1473" si="44">MONTH(E1410)</f>
        <v>9</v>
      </c>
      <c r="H1410" s="71">
        <f t="shared" ref="H1410:H1473" si="45">LEN(F1410)</f>
        <v>66</v>
      </c>
    </row>
    <row r="1411" spans="1:8" x14ac:dyDescent="0.2">
      <c r="A1411" s="71" t="s">
        <v>246</v>
      </c>
      <c r="B1411" s="71" t="s">
        <v>247</v>
      </c>
      <c r="C1411" s="71" t="s">
        <v>45</v>
      </c>
      <c r="D1411" s="88">
        <v>46275.676481481503</v>
      </c>
      <c r="E1411" s="89">
        <v>46275</v>
      </c>
      <c r="F1411" s="71" t="s">
        <v>1870</v>
      </c>
      <c r="G1411" s="71">
        <f t="shared" si="44"/>
        <v>9</v>
      </c>
      <c r="H1411" s="71">
        <f t="shared" si="45"/>
        <v>85</v>
      </c>
    </row>
    <row r="1412" spans="1:8" x14ac:dyDescent="0.2">
      <c r="A1412" s="71" t="s">
        <v>246</v>
      </c>
      <c r="B1412" s="71" t="s">
        <v>247</v>
      </c>
      <c r="C1412" s="71" t="s">
        <v>45</v>
      </c>
      <c r="D1412" s="88">
        <v>46275.677719907399</v>
      </c>
      <c r="E1412" s="89">
        <v>46275</v>
      </c>
      <c r="F1412" s="71" t="s">
        <v>1871</v>
      </c>
      <c r="G1412" s="71">
        <f t="shared" si="44"/>
        <v>9</v>
      </c>
      <c r="H1412" s="71">
        <f t="shared" si="45"/>
        <v>48</v>
      </c>
    </row>
    <row r="1413" spans="1:8" x14ac:dyDescent="0.2">
      <c r="A1413" s="71" t="s">
        <v>246</v>
      </c>
      <c r="B1413" s="71" t="s">
        <v>247</v>
      </c>
      <c r="C1413" s="71" t="s">
        <v>45</v>
      </c>
      <c r="D1413" s="88">
        <v>46276.6721875</v>
      </c>
      <c r="E1413" s="89">
        <v>46276</v>
      </c>
      <c r="F1413" s="71" t="s">
        <v>1700</v>
      </c>
      <c r="G1413" s="71">
        <f t="shared" si="44"/>
        <v>9</v>
      </c>
      <c r="H1413" s="71">
        <f t="shared" si="45"/>
        <v>39</v>
      </c>
    </row>
    <row r="1414" spans="1:8" x14ac:dyDescent="0.2">
      <c r="A1414" s="71" t="s">
        <v>246</v>
      </c>
      <c r="B1414" s="71" t="s">
        <v>247</v>
      </c>
      <c r="C1414" s="71" t="s">
        <v>45</v>
      </c>
      <c r="D1414" s="88">
        <v>46276.673425925903</v>
      </c>
      <c r="E1414" s="89">
        <v>46276</v>
      </c>
      <c r="F1414" s="71" t="s">
        <v>1872</v>
      </c>
      <c r="G1414" s="71">
        <f t="shared" si="44"/>
        <v>9</v>
      </c>
      <c r="H1414" s="71">
        <f t="shared" si="45"/>
        <v>40</v>
      </c>
    </row>
    <row r="1415" spans="1:8" x14ac:dyDescent="0.2">
      <c r="A1415" s="71" t="s">
        <v>246</v>
      </c>
      <c r="B1415" s="71" t="s">
        <v>247</v>
      </c>
      <c r="C1415" s="71" t="s">
        <v>45</v>
      </c>
      <c r="D1415" s="88">
        <v>46276.675219907404</v>
      </c>
      <c r="E1415" s="89">
        <v>46276</v>
      </c>
      <c r="F1415" s="71" t="s">
        <v>1873</v>
      </c>
      <c r="G1415" s="71">
        <f t="shared" si="44"/>
        <v>9</v>
      </c>
      <c r="H1415" s="71">
        <f t="shared" si="45"/>
        <v>86</v>
      </c>
    </row>
    <row r="1416" spans="1:8" x14ac:dyDescent="0.2">
      <c r="A1416" s="71" t="s">
        <v>246</v>
      </c>
      <c r="B1416" s="71" t="s">
        <v>247</v>
      </c>
      <c r="C1416" s="71" t="s">
        <v>45</v>
      </c>
      <c r="D1416" s="88">
        <v>46279.6855671296</v>
      </c>
      <c r="E1416" s="89">
        <v>46279</v>
      </c>
      <c r="F1416" s="71" t="s">
        <v>1700</v>
      </c>
      <c r="G1416" s="71">
        <f t="shared" si="44"/>
        <v>9</v>
      </c>
      <c r="H1416" s="71">
        <f t="shared" si="45"/>
        <v>39</v>
      </c>
    </row>
    <row r="1417" spans="1:8" x14ac:dyDescent="0.2">
      <c r="A1417" s="71" t="s">
        <v>246</v>
      </c>
      <c r="B1417" s="71" t="s">
        <v>247</v>
      </c>
      <c r="C1417" s="71" t="s">
        <v>45</v>
      </c>
      <c r="D1417" s="88">
        <v>46279.687326388899</v>
      </c>
      <c r="E1417" s="89">
        <v>46279</v>
      </c>
      <c r="F1417" s="71" t="s">
        <v>1873</v>
      </c>
      <c r="G1417" s="71">
        <f t="shared" si="44"/>
        <v>9</v>
      </c>
      <c r="H1417" s="71">
        <f t="shared" si="45"/>
        <v>86</v>
      </c>
    </row>
    <row r="1418" spans="1:8" x14ac:dyDescent="0.2">
      <c r="A1418" s="71" t="s">
        <v>246</v>
      </c>
      <c r="B1418" s="71" t="s">
        <v>247</v>
      </c>
      <c r="C1418" s="71" t="s">
        <v>45</v>
      </c>
      <c r="D1418" s="88">
        <v>46279.688078703701</v>
      </c>
      <c r="E1418" s="89">
        <v>46279</v>
      </c>
      <c r="F1418" s="71" t="s">
        <v>1874</v>
      </c>
      <c r="G1418" s="71">
        <f t="shared" si="44"/>
        <v>9</v>
      </c>
      <c r="H1418" s="71">
        <f t="shared" si="45"/>
        <v>66</v>
      </c>
    </row>
    <row r="1419" spans="1:8" x14ac:dyDescent="0.2">
      <c r="A1419" s="71" t="s">
        <v>246</v>
      </c>
      <c r="B1419" s="71" t="s">
        <v>247</v>
      </c>
      <c r="C1419" s="71" t="s">
        <v>45</v>
      </c>
      <c r="D1419" s="88">
        <v>46280.613287036998</v>
      </c>
      <c r="E1419" s="89">
        <v>46280</v>
      </c>
      <c r="F1419" s="71" t="s">
        <v>1700</v>
      </c>
      <c r="G1419" s="71">
        <f t="shared" si="44"/>
        <v>9</v>
      </c>
      <c r="H1419" s="71">
        <f t="shared" si="45"/>
        <v>39</v>
      </c>
    </row>
    <row r="1420" spans="1:8" x14ac:dyDescent="0.2">
      <c r="A1420" s="71" t="s">
        <v>246</v>
      </c>
      <c r="B1420" s="71" t="s">
        <v>247</v>
      </c>
      <c r="C1420" s="71" t="s">
        <v>45</v>
      </c>
      <c r="D1420" s="88">
        <v>46280.614270833299</v>
      </c>
      <c r="E1420" s="89">
        <v>46280</v>
      </c>
      <c r="F1420" s="71" t="s">
        <v>1873</v>
      </c>
      <c r="G1420" s="71">
        <f t="shared" si="44"/>
        <v>9</v>
      </c>
      <c r="H1420" s="71">
        <f t="shared" si="45"/>
        <v>86</v>
      </c>
    </row>
    <row r="1421" spans="1:8" x14ac:dyDescent="0.2">
      <c r="A1421" s="71" t="s">
        <v>246</v>
      </c>
      <c r="B1421" s="71" t="s">
        <v>247</v>
      </c>
      <c r="C1421" s="71" t="s">
        <v>45</v>
      </c>
      <c r="D1421" s="88">
        <v>46280.6152083333</v>
      </c>
      <c r="E1421" s="89">
        <v>46280</v>
      </c>
      <c r="F1421" s="71" t="s">
        <v>1875</v>
      </c>
      <c r="G1421" s="71">
        <f t="shared" si="44"/>
        <v>9</v>
      </c>
      <c r="H1421" s="71">
        <f t="shared" si="45"/>
        <v>115</v>
      </c>
    </row>
    <row r="1422" spans="1:8" x14ac:dyDescent="0.2">
      <c r="A1422" s="71" t="s">
        <v>246</v>
      </c>
      <c r="B1422" s="71" t="s">
        <v>247</v>
      </c>
      <c r="C1422" s="71" t="s">
        <v>45</v>
      </c>
      <c r="D1422" s="88">
        <v>46280.674074074101</v>
      </c>
      <c r="E1422" s="89">
        <v>46280</v>
      </c>
      <c r="F1422" s="71" t="s">
        <v>1876</v>
      </c>
      <c r="G1422" s="71">
        <f t="shared" si="44"/>
        <v>9</v>
      </c>
      <c r="H1422" s="71">
        <f t="shared" si="45"/>
        <v>76</v>
      </c>
    </row>
    <row r="1423" spans="1:8" x14ac:dyDescent="0.2">
      <c r="A1423" s="71" t="s">
        <v>246</v>
      </c>
      <c r="B1423" s="71" t="s">
        <v>247</v>
      </c>
      <c r="C1423" s="71" t="s">
        <v>45</v>
      </c>
      <c r="D1423" s="88">
        <v>46281.678726851896</v>
      </c>
      <c r="E1423" s="89">
        <v>46281</v>
      </c>
      <c r="F1423" s="71" t="s">
        <v>1877</v>
      </c>
      <c r="G1423" s="71">
        <f t="shared" si="44"/>
        <v>9</v>
      </c>
      <c r="H1423" s="71">
        <f t="shared" si="45"/>
        <v>113</v>
      </c>
    </row>
    <row r="1424" spans="1:8" x14ac:dyDescent="0.2">
      <c r="A1424" s="71" t="s">
        <v>246</v>
      </c>
      <c r="B1424" s="71" t="s">
        <v>247</v>
      </c>
      <c r="C1424" s="71" t="s">
        <v>45</v>
      </c>
      <c r="D1424" s="88">
        <v>46281.6793287037</v>
      </c>
      <c r="E1424" s="89">
        <v>46281</v>
      </c>
      <c r="F1424" s="71" t="s">
        <v>1878</v>
      </c>
      <c r="G1424" s="71">
        <f t="shared" si="44"/>
        <v>9</v>
      </c>
      <c r="H1424" s="71">
        <f t="shared" si="45"/>
        <v>67</v>
      </c>
    </row>
    <row r="1425" spans="1:8" x14ac:dyDescent="0.2">
      <c r="A1425" s="71" t="s">
        <v>246</v>
      </c>
      <c r="B1425" s="71" t="s">
        <v>247</v>
      </c>
      <c r="C1425" s="71" t="s">
        <v>45</v>
      </c>
      <c r="D1425" s="88">
        <v>46281.6803587963</v>
      </c>
      <c r="E1425" s="89">
        <v>46281</v>
      </c>
      <c r="F1425" s="71" t="s">
        <v>1879</v>
      </c>
      <c r="G1425" s="71">
        <f t="shared" si="44"/>
        <v>9</v>
      </c>
      <c r="H1425" s="71">
        <f t="shared" si="45"/>
        <v>90</v>
      </c>
    </row>
    <row r="1426" spans="1:8" x14ac:dyDescent="0.2">
      <c r="A1426" s="71" t="s">
        <v>246</v>
      </c>
      <c r="B1426" s="71" t="s">
        <v>247</v>
      </c>
      <c r="C1426" s="71" t="s">
        <v>45</v>
      </c>
      <c r="D1426" s="88">
        <v>46282.582175925898</v>
      </c>
      <c r="E1426" s="89">
        <v>46282</v>
      </c>
      <c r="F1426" s="71" t="s">
        <v>1880</v>
      </c>
      <c r="G1426" s="71">
        <f t="shared" si="44"/>
        <v>9</v>
      </c>
      <c r="H1426" s="71">
        <f t="shared" si="45"/>
        <v>70</v>
      </c>
    </row>
    <row r="1427" spans="1:8" x14ac:dyDescent="0.2">
      <c r="A1427" s="71" t="s">
        <v>246</v>
      </c>
      <c r="B1427" s="71" t="s">
        <v>247</v>
      </c>
      <c r="C1427" s="71" t="s">
        <v>45</v>
      </c>
      <c r="D1427" s="88">
        <v>46282.583043981504</v>
      </c>
      <c r="E1427" s="89">
        <v>46282</v>
      </c>
      <c r="F1427" s="71" t="s">
        <v>1881</v>
      </c>
      <c r="G1427" s="71">
        <f t="shared" si="44"/>
        <v>9</v>
      </c>
      <c r="H1427" s="71">
        <f t="shared" si="45"/>
        <v>83</v>
      </c>
    </row>
    <row r="1428" spans="1:8" x14ac:dyDescent="0.2">
      <c r="A1428" s="71" t="s">
        <v>246</v>
      </c>
      <c r="B1428" s="71" t="s">
        <v>247</v>
      </c>
      <c r="C1428" s="71" t="s">
        <v>45</v>
      </c>
      <c r="D1428" s="88">
        <v>46282.583657407398</v>
      </c>
      <c r="E1428" s="89">
        <v>46282</v>
      </c>
      <c r="F1428" s="71" t="s">
        <v>1882</v>
      </c>
      <c r="G1428" s="71">
        <f t="shared" si="44"/>
        <v>9</v>
      </c>
      <c r="H1428" s="71">
        <f t="shared" si="45"/>
        <v>85</v>
      </c>
    </row>
    <row r="1429" spans="1:8" x14ac:dyDescent="0.2">
      <c r="A1429" s="71" t="s">
        <v>246</v>
      </c>
      <c r="B1429" s="71" t="s">
        <v>247</v>
      </c>
      <c r="C1429" s="71" t="s">
        <v>45</v>
      </c>
      <c r="D1429" s="88">
        <v>46282.612881944398</v>
      </c>
      <c r="E1429" s="89">
        <v>46282</v>
      </c>
      <c r="F1429" s="71" t="s">
        <v>1883</v>
      </c>
      <c r="G1429" s="71">
        <f t="shared" si="44"/>
        <v>9</v>
      </c>
      <c r="H1429" s="71">
        <f t="shared" si="45"/>
        <v>71</v>
      </c>
    </row>
    <row r="1430" spans="1:8" x14ac:dyDescent="0.2">
      <c r="A1430" s="71" t="s">
        <v>246</v>
      </c>
      <c r="B1430" s="71" t="s">
        <v>247</v>
      </c>
      <c r="C1430" s="71" t="s">
        <v>45</v>
      </c>
      <c r="D1430" s="88">
        <v>46282.6651851852</v>
      </c>
      <c r="E1430" s="89">
        <v>46282</v>
      </c>
      <c r="F1430" s="71" t="s">
        <v>1884</v>
      </c>
      <c r="G1430" s="71">
        <f t="shared" si="44"/>
        <v>9</v>
      </c>
      <c r="H1430" s="71">
        <f t="shared" si="45"/>
        <v>68</v>
      </c>
    </row>
    <row r="1431" spans="1:8" x14ac:dyDescent="0.2">
      <c r="A1431" s="71" t="s">
        <v>246</v>
      </c>
      <c r="B1431" s="71" t="s">
        <v>247</v>
      </c>
      <c r="C1431" s="71" t="s">
        <v>45</v>
      </c>
      <c r="D1431" s="88">
        <v>46283.664710648198</v>
      </c>
      <c r="E1431" s="89">
        <v>46283</v>
      </c>
      <c r="F1431" s="71" t="s">
        <v>1700</v>
      </c>
      <c r="G1431" s="71">
        <f t="shared" si="44"/>
        <v>9</v>
      </c>
      <c r="H1431" s="71">
        <f t="shared" si="45"/>
        <v>39</v>
      </c>
    </row>
    <row r="1432" spans="1:8" x14ac:dyDescent="0.2">
      <c r="A1432" s="71" t="s">
        <v>246</v>
      </c>
      <c r="B1432" s="71" t="s">
        <v>247</v>
      </c>
      <c r="C1432" s="71" t="s">
        <v>45</v>
      </c>
      <c r="D1432" s="88">
        <v>46283.665613425903</v>
      </c>
      <c r="E1432" s="89">
        <v>46283</v>
      </c>
      <c r="F1432" s="71" t="s">
        <v>1885</v>
      </c>
      <c r="G1432" s="71">
        <f t="shared" si="44"/>
        <v>9</v>
      </c>
      <c r="H1432" s="71">
        <f t="shared" si="45"/>
        <v>70</v>
      </c>
    </row>
    <row r="1433" spans="1:8" x14ac:dyDescent="0.2">
      <c r="A1433" s="71" t="s">
        <v>246</v>
      </c>
      <c r="B1433" s="71" t="s">
        <v>247</v>
      </c>
      <c r="C1433" s="71" t="s">
        <v>45</v>
      </c>
      <c r="D1433" s="88">
        <v>46283.668055555601</v>
      </c>
      <c r="E1433" s="89">
        <v>46283</v>
      </c>
      <c r="F1433" s="71" t="s">
        <v>1886</v>
      </c>
      <c r="G1433" s="71">
        <f t="shared" si="44"/>
        <v>9</v>
      </c>
      <c r="H1433" s="71">
        <f t="shared" si="45"/>
        <v>60</v>
      </c>
    </row>
    <row r="1434" spans="1:8" x14ac:dyDescent="0.2">
      <c r="A1434" s="71" t="s">
        <v>246</v>
      </c>
      <c r="B1434" s="71" t="s">
        <v>247</v>
      </c>
      <c r="C1434" s="71" t="s">
        <v>45</v>
      </c>
      <c r="D1434" s="88">
        <v>46286.671458333301</v>
      </c>
      <c r="E1434" s="89">
        <v>46286</v>
      </c>
      <c r="F1434" s="71" t="s">
        <v>1887</v>
      </c>
      <c r="G1434" s="71">
        <f t="shared" si="44"/>
        <v>9</v>
      </c>
      <c r="H1434" s="71">
        <f t="shared" si="45"/>
        <v>87</v>
      </c>
    </row>
    <row r="1435" spans="1:8" x14ac:dyDescent="0.2">
      <c r="A1435" s="71" t="s">
        <v>246</v>
      </c>
      <c r="B1435" s="71" t="s">
        <v>247</v>
      </c>
      <c r="C1435" s="71" t="s">
        <v>45</v>
      </c>
      <c r="D1435" s="88">
        <v>46286.6722800926</v>
      </c>
      <c r="E1435" s="89">
        <v>46286</v>
      </c>
      <c r="F1435" s="71" t="s">
        <v>1888</v>
      </c>
      <c r="G1435" s="71">
        <f t="shared" si="44"/>
        <v>9</v>
      </c>
      <c r="H1435" s="71">
        <f t="shared" si="45"/>
        <v>64</v>
      </c>
    </row>
    <row r="1436" spans="1:8" x14ac:dyDescent="0.2">
      <c r="A1436" s="71" t="s">
        <v>246</v>
      </c>
      <c r="B1436" s="71" t="s">
        <v>247</v>
      </c>
      <c r="C1436" s="71" t="s">
        <v>45</v>
      </c>
      <c r="D1436" s="88">
        <v>46286.673333333303</v>
      </c>
      <c r="E1436" s="89">
        <v>46286</v>
      </c>
      <c r="F1436" s="71" t="s">
        <v>1889</v>
      </c>
      <c r="G1436" s="71">
        <f t="shared" si="44"/>
        <v>9</v>
      </c>
      <c r="H1436" s="71">
        <f t="shared" si="45"/>
        <v>87</v>
      </c>
    </row>
    <row r="1437" spans="1:8" x14ac:dyDescent="0.2">
      <c r="A1437" s="71" t="s">
        <v>246</v>
      </c>
      <c r="B1437" s="71" t="s">
        <v>247</v>
      </c>
      <c r="C1437" s="71" t="s">
        <v>45</v>
      </c>
      <c r="D1437" s="88">
        <v>46287.661284722199</v>
      </c>
      <c r="E1437" s="89">
        <v>46287</v>
      </c>
      <c r="F1437" s="71" t="s">
        <v>1700</v>
      </c>
      <c r="G1437" s="71">
        <f t="shared" si="44"/>
        <v>9</v>
      </c>
      <c r="H1437" s="71">
        <f t="shared" si="45"/>
        <v>39</v>
      </c>
    </row>
    <row r="1438" spans="1:8" x14ac:dyDescent="0.2">
      <c r="A1438" s="71" t="s">
        <v>246</v>
      </c>
      <c r="B1438" s="71" t="s">
        <v>247</v>
      </c>
      <c r="C1438" s="71" t="s">
        <v>45</v>
      </c>
      <c r="D1438" s="88">
        <v>46287.662256944401</v>
      </c>
      <c r="E1438" s="89">
        <v>46287</v>
      </c>
      <c r="F1438" s="71" t="s">
        <v>1890</v>
      </c>
      <c r="G1438" s="71">
        <f t="shared" si="44"/>
        <v>9</v>
      </c>
      <c r="H1438" s="71">
        <f t="shared" si="45"/>
        <v>96</v>
      </c>
    </row>
    <row r="1439" spans="1:8" x14ac:dyDescent="0.2">
      <c r="A1439" s="71" t="s">
        <v>246</v>
      </c>
      <c r="B1439" s="71" t="s">
        <v>247</v>
      </c>
      <c r="C1439" s="71" t="s">
        <v>45</v>
      </c>
      <c r="D1439" s="88">
        <v>46287.664803240703</v>
      </c>
      <c r="E1439" s="89">
        <v>46287</v>
      </c>
      <c r="F1439" s="71" t="s">
        <v>1891</v>
      </c>
      <c r="G1439" s="71">
        <f t="shared" si="44"/>
        <v>9</v>
      </c>
      <c r="H1439" s="71">
        <f t="shared" si="45"/>
        <v>43</v>
      </c>
    </row>
    <row r="1440" spans="1:8" x14ac:dyDescent="0.2">
      <c r="A1440" s="71" t="s">
        <v>246</v>
      </c>
      <c r="B1440" s="71" t="s">
        <v>247</v>
      </c>
      <c r="C1440" s="71" t="s">
        <v>45</v>
      </c>
      <c r="D1440" s="88">
        <v>46288.865127314799</v>
      </c>
      <c r="E1440" s="89">
        <v>46288</v>
      </c>
      <c r="F1440" s="71" t="s">
        <v>1700</v>
      </c>
      <c r="G1440" s="71">
        <f t="shared" si="44"/>
        <v>9</v>
      </c>
      <c r="H1440" s="71">
        <f t="shared" si="45"/>
        <v>39</v>
      </c>
    </row>
    <row r="1441" spans="1:8" x14ac:dyDescent="0.2">
      <c r="A1441" s="71" t="s">
        <v>246</v>
      </c>
      <c r="B1441" s="71" t="s">
        <v>247</v>
      </c>
      <c r="C1441" s="71" t="s">
        <v>45</v>
      </c>
      <c r="D1441" s="88">
        <v>46288.867256944497</v>
      </c>
      <c r="E1441" s="89">
        <v>46288</v>
      </c>
      <c r="F1441" s="71" t="s">
        <v>1892</v>
      </c>
      <c r="G1441" s="71">
        <f t="shared" si="44"/>
        <v>9</v>
      </c>
      <c r="H1441" s="71">
        <f t="shared" si="45"/>
        <v>47</v>
      </c>
    </row>
    <row r="1442" spans="1:8" x14ac:dyDescent="0.2">
      <c r="A1442" s="71" t="s">
        <v>246</v>
      </c>
      <c r="B1442" s="71" t="s">
        <v>247</v>
      </c>
      <c r="C1442" s="71" t="s">
        <v>45</v>
      </c>
      <c r="D1442" s="88">
        <v>46288.868275462999</v>
      </c>
      <c r="E1442" s="89">
        <v>46288</v>
      </c>
      <c r="F1442" s="71" t="s">
        <v>1893</v>
      </c>
      <c r="G1442" s="71">
        <f t="shared" si="44"/>
        <v>9</v>
      </c>
      <c r="H1442" s="71">
        <f t="shared" si="45"/>
        <v>69</v>
      </c>
    </row>
    <row r="1443" spans="1:8" x14ac:dyDescent="0.2">
      <c r="A1443" s="71" t="s">
        <v>246</v>
      </c>
      <c r="B1443" s="71" t="s">
        <v>247</v>
      </c>
      <c r="C1443" s="71" t="s">
        <v>45</v>
      </c>
      <c r="D1443" s="88">
        <v>46289.652569444399</v>
      </c>
      <c r="E1443" s="89">
        <v>46289</v>
      </c>
      <c r="F1443" s="71" t="s">
        <v>1864</v>
      </c>
      <c r="G1443" s="71">
        <f t="shared" si="44"/>
        <v>9</v>
      </c>
      <c r="H1443" s="71">
        <f t="shared" si="45"/>
        <v>49</v>
      </c>
    </row>
    <row r="1444" spans="1:8" x14ac:dyDescent="0.2">
      <c r="A1444" s="71" t="s">
        <v>246</v>
      </c>
      <c r="B1444" s="71" t="s">
        <v>247</v>
      </c>
      <c r="C1444" s="71" t="s">
        <v>45</v>
      </c>
      <c r="D1444" s="88">
        <v>46289.653310185196</v>
      </c>
      <c r="E1444" s="89">
        <v>46289</v>
      </c>
      <c r="F1444" s="71" t="s">
        <v>1894</v>
      </c>
      <c r="G1444" s="71">
        <f t="shared" si="44"/>
        <v>9</v>
      </c>
      <c r="H1444" s="71">
        <f t="shared" si="45"/>
        <v>100</v>
      </c>
    </row>
    <row r="1445" spans="1:8" x14ac:dyDescent="0.2">
      <c r="A1445" s="71" t="s">
        <v>246</v>
      </c>
      <c r="B1445" s="71" t="s">
        <v>247</v>
      </c>
      <c r="C1445" s="71" t="s">
        <v>45</v>
      </c>
      <c r="D1445" s="88">
        <v>46289.654513888898</v>
      </c>
      <c r="E1445" s="89">
        <v>46289</v>
      </c>
      <c r="F1445" s="71" t="s">
        <v>1895</v>
      </c>
      <c r="G1445" s="71">
        <f t="shared" si="44"/>
        <v>9</v>
      </c>
      <c r="H1445" s="71">
        <f t="shared" si="45"/>
        <v>77</v>
      </c>
    </row>
    <row r="1446" spans="1:8" x14ac:dyDescent="0.2">
      <c r="A1446" s="71" t="s">
        <v>246</v>
      </c>
      <c r="B1446" s="71" t="s">
        <v>247</v>
      </c>
      <c r="C1446" s="71" t="s">
        <v>45</v>
      </c>
      <c r="D1446" s="88">
        <v>46289.657407407401</v>
      </c>
      <c r="E1446" s="89">
        <v>46289</v>
      </c>
      <c r="F1446" s="71" t="s">
        <v>1896</v>
      </c>
      <c r="G1446" s="71">
        <f t="shared" si="44"/>
        <v>9</v>
      </c>
      <c r="H1446" s="71">
        <f t="shared" si="45"/>
        <v>84</v>
      </c>
    </row>
    <row r="1447" spans="1:8" x14ac:dyDescent="0.2">
      <c r="A1447" s="71" t="s">
        <v>246</v>
      </c>
      <c r="B1447" s="71" t="s">
        <v>247</v>
      </c>
      <c r="C1447" s="71" t="s">
        <v>45</v>
      </c>
      <c r="D1447" s="88">
        <v>46290.675439814797</v>
      </c>
      <c r="E1447" s="89">
        <v>46290</v>
      </c>
      <c r="F1447" s="71" t="s">
        <v>1700</v>
      </c>
      <c r="G1447" s="71">
        <f t="shared" si="44"/>
        <v>9</v>
      </c>
      <c r="H1447" s="71">
        <f t="shared" si="45"/>
        <v>39</v>
      </c>
    </row>
    <row r="1448" spans="1:8" x14ac:dyDescent="0.2">
      <c r="A1448" s="71" t="s">
        <v>246</v>
      </c>
      <c r="B1448" s="71" t="s">
        <v>247</v>
      </c>
      <c r="C1448" s="71" t="s">
        <v>45</v>
      </c>
      <c r="D1448" s="88">
        <v>46290.675833333298</v>
      </c>
      <c r="E1448" s="89">
        <v>46290</v>
      </c>
      <c r="F1448" s="71" t="s">
        <v>1897</v>
      </c>
      <c r="G1448" s="71">
        <f t="shared" si="44"/>
        <v>9</v>
      </c>
      <c r="H1448" s="71">
        <f t="shared" si="45"/>
        <v>30</v>
      </c>
    </row>
    <row r="1449" spans="1:8" x14ac:dyDescent="0.2">
      <c r="A1449" s="71" t="s">
        <v>246</v>
      </c>
      <c r="B1449" s="71" t="s">
        <v>247</v>
      </c>
      <c r="C1449" s="71" t="s">
        <v>45</v>
      </c>
      <c r="D1449" s="88">
        <v>46290.676851851902</v>
      </c>
      <c r="E1449" s="89">
        <v>46290</v>
      </c>
      <c r="F1449" s="71" t="s">
        <v>1898</v>
      </c>
      <c r="G1449" s="71">
        <f t="shared" si="44"/>
        <v>9</v>
      </c>
      <c r="H1449" s="71">
        <f t="shared" si="45"/>
        <v>72</v>
      </c>
    </row>
    <row r="1450" spans="1:8" x14ac:dyDescent="0.2">
      <c r="A1450" s="71" t="s">
        <v>246</v>
      </c>
      <c r="B1450" s="71" t="s">
        <v>247</v>
      </c>
      <c r="C1450" s="71" t="s">
        <v>45</v>
      </c>
      <c r="D1450" s="88">
        <v>46293.678888888899</v>
      </c>
      <c r="E1450" s="89">
        <v>46293</v>
      </c>
      <c r="F1450" s="71" t="s">
        <v>1700</v>
      </c>
      <c r="G1450" s="71">
        <f t="shared" si="44"/>
        <v>9</v>
      </c>
      <c r="H1450" s="71">
        <f t="shared" si="45"/>
        <v>39</v>
      </c>
    </row>
    <row r="1451" spans="1:8" x14ac:dyDescent="0.2">
      <c r="A1451" s="71" t="s">
        <v>246</v>
      </c>
      <c r="B1451" s="71" t="s">
        <v>247</v>
      </c>
      <c r="C1451" s="71" t="s">
        <v>45</v>
      </c>
      <c r="D1451" s="88">
        <v>46293.6804050926</v>
      </c>
      <c r="E1451" s="89">
        <v>46293</v>
      </c>
      <c r="F1451" s="71" t="s">
        <v>1899</v>
      </c>
      <c r="G1451" s="71">
        <f t="shared" si="44"/>
        <v>9</v>
      </c>
      <c r="H1451" s="71">
        <f t="shared" si="45"/>
        <v>101</v>
      </c>
    </row>
    <row r="1452" spans="1:8" x14ac:dyDescent="0.2">
      <c r="A1452" s="71" t="s">
        <v>246</v>
      </c>
      <c r="B1452" s="71" t="s">
        <v>247</v>
      </c>
      <c r="C1452" s="71" t="s">
        <v>45</v>
      </c>
      <c r="D1452" s="88">
        <v>46293.681180555599</v>
      </c>
      <c r="E1452" s="89">
        <v>46293</v>
      </c>
      <c r="F1452" s="71" t="s">
        <v>1900</v>
      </c>
      <c r="G1452" s="71">
        <f t="shared" si="44"/>
        <v>9</v>
      </c>
      <c r="H1452" s="71">
        <f t="shared" si="45"/>
        <v>57</v>
      </c>
    </row>
    <row r="1453" spans="1:8" x14ac:dyDescent="0.2">
      <c r="A1453" s="71" t="s">
        <v>246</v>
      </c>
      <c r="B1453" s="71" t="s">
        <v>247</v>
      </c>
      <c r="C1453" s="71" t="s">
        <v>45</v>
      </c>
      <c r="D1453" s="88">
        <v>46294.643113425896</v>
      </c>
      <c r="E1453" s="89">
        <v>46294</v>
      </c>
      <c r="F1453" s="71" t="s">
        <v>1700</v>
      </c>
      <c r="G1453" s="71">
        <f t="shared" si="44"/>
        <v>9</v>
      </c>
      <c r="H1453" s="71">
        <f t="shared" si="45"/>
        <v>39</v>
      </c>
    </row>
    <row r="1454" spans="1:8" x14ac:dyDescent="0.2">
      <c r="A1454" s="71" t="s">
        <v>246</v>
      </c>
      <c r="B1454" s="71" t="s">
        <v>247</v>
      </c>
      <c r="C1454" s="71" t="s">
        <v>45</v>
      </c>
      <c r="D1454" s="88">
        <v>46294.6436805556</v>
      </c>
      <c r="E1454" s="89">
        <v>46294</v>
      </c>
      <c r="F1454" s="71" t="s">
        <v>1901</v>
      </c>
      <c r="G1454" s="71">
        <f t="shared" si="44"/>
        <v>9</v>
      </c>
      <c r="H1454" s="71">
        <f t="shared" si="45"/>
        <v>56</v>
      </c>
    </row>
    <row r="1455" spans="1:8" x14ac:dyDescent="0.2">
      <c r="A1455" s="71" t="s">
        <v>246</v>
      </c>
      <c r="B1455" s="71" t="s">
        <v>247</v>
      </c>
      <c r="C1455" s="71" t="s">
        <v>45</v>
      </c>
      <c r="D1455" s="88">
        <v>46294.644710648201</v>
      </c>
      <c r="E1455" s="89">
        <v>46294</v>
      </c>
      <c r="F1455" s="71" t="s">
        <v>1902</v>
      </c>
      <c r="G1455" s="71">
        <f t="shared" si="44"/>
        <v>9</v>
      </c>
      <c r="H1455" s="71">
        <f t="shared" si="45"/>
        <v>109</v>
      </c>
    </row>
    <row r="1456" spans="1:8" x14ac:dyDescent="0.2">
      <c r="A1456" s="71" t="s">
        <v>246</v>
      </c>
      <c r="B1456" s="71" t="s">
        <v>247</v>
      </c>
      <c r="C1456" s="71" t="s">
        <v>45</v>
      </c>
      <c r="D1456" s="88">
        <v>46295.657233796301</v>
      </c>
      <c r="E1456" s="89">
        <v>46295</v>
      </c>
      <c r="F1456" s="71" t="s">
        <v>1700</v>
      </c>
      <c r="G1456" s="71">
        <f t="shared" si="44"/>
        <v>9</v>
      </c>
      <c r="H1456" s="71">
        <f t="shared" si="45"/>
        <v>39</v>
      </c>
    </row>
    <row r="1457" spans="1:8" x14ac:dyDescent="0.2">
      <c r="A1457" s="71" t="s">
        <v>246</v>
      </c>
      <c r="B1457" s="71" t="s">
        <v>247</v>
      </c>
      <c r="C1457" s="71" t="s">
        <v>45</v>
      </c>
      <c r="D1457" s="88">
        <v>46295.657581018502</v>
      </c>
      <c r="E1457" s="89">
        <v>46295</v>
      </c>
      <c r="F1457" s="71" t="s">
        <v>1903</v>
      </c>
      <c r="G1457" s="71">
        <f t="shared" si="44"/>
        <v>9</v>
      </c>
      <c r="H1457" s="71">
        <f t="shared" si="45"/>
        <v>45</v>
      </c>
    </row>
    <row r="1458" spans="1:8" x14ac:dyDescent="0.2">
      <c r="A1458" s="71" t="s">
        <v>246</v>
      </c>
      <c r="B1458" s="71" t="s">
        <v>247</v>
      </c>
      <c r="C1458" s="71" t="s">
        <v>45</v>
      </c>
      <c r="D1458" s="88">
        <v>46295.658032407402</v>
      </c>
      <c r="E1458" s="89">
        <v>46295</v>
      </c>
      <c r="F1458" s="71" t="s">
        <v>1904</v>
      </c>
      <c r="G1458" s="71">
        <f t="shared" si="44"/>
        <v>9</v>
      </c>
      <c r="H1458" s="71">
        <f t="shared" si="45"/>
        <v>92</v>
      </c>
    </row>
    <row r="1459" spans="1:8" x14ac:dyDescent="0.2">
      <c r="A1459" s="71" t="s">
        <v>246</v>
      </c>
      <c r="B1459" s="71" t="s">
        <v>247</v>
      </c>
      <c r="C1459" s="71" t="s">
        <v>45</v>
      </c>
      <c r="D1459" s="88">
        <v>46295.658611111103</v>
      </c>
      <c r="E1459" s="89">
        <v>46295</v>
      </c>
      <c r="F1459" s="71" t="s">
        <v>1905</v>
      </c>
      <c r="G1459" s="71">
        <f t="shared" si="44"/>
        <v>9</v>
      </c>
      <c r="H1459" s="71">
        <f t="shared" si="45"/>
        <v>92</v>
      </c>
    </row>
    <row r="1460" spans="1:8" x14ac:dyDescent="0.2">
      <c r="A1460" s="71" t="s">
        <v>252</v>
      </c>
      <c r="B1460" s="71" t="s">
        <v>253</v>
      </c>
      <c r="C1460" s="71" t="s">
        <v>42</v>
      </c>
      <c r="D1460" s="88">
        <v>46205.492962962999</v>
      </c>
      <c r="E1460" s="89">
        <v>46205</v>
      </c>
      <c r="F1460" s="71" t="s">
        <v>1906</v>
      </c>
      <c r="G1460" s="71">
        <f t="shared" si="44"/>
        <v>7</v>
      </c>
      <c r="H1460" s="71">
        <f t="shared" si="45"/>
        <v>41</v>
      </c>
    </row>
    <row r="1461" spans="1:8" x14ac:dyDescent="0.2">
      <c r="A1461" s="71" t="s">
        <v>252</v>
      </c>
      <c r="B1461" s="71" t="s">
        <v>253</v>
      </c>
      <c r="C1461" s="71" t="s">
        <v>42</v>
      </c>
      <c r="D1461" s="88">
        <v>46206.581724536998</v>
      </c>
      <c r="E1461" s="89">
        <v>46206</v>
      </c>
      <c r="F1461" s="71" t="s">
        <v>1907</v>
      </c>
      <c r="G1461" s="71">
        <f t="shared" si="44"/>
        <v>7</v>
      </c>
      <c r="H1461" s="71">
        <f t="shared" si="45"/>
        <v>38</v>
      </c>
    </row>
    <row r="1462" spans="1:8" x14ac:dyDescent="0.2">
      <c r="A1462" s="71" t="s">
        <v>252</v>
      </c>
      <c r="B1462" s="71" t="s">
        <v>253</v>
      </c>
      <c r="C1462" s="71" t="s">
        <v>42</v>
      </c>
      <c r="D1462" s="88">
        <v>46209.386967592603</v>
      </c>
      <c r="E1462" s="89">
        <v>46209</v>
      </c>
      <c r="F1462" s="71" t="s">
        <v>1908</v>
      </c>
      <c r="G1462" s="71">
        <f t="shared" si="44"/>
        <v>7</v>
      </c>
      <c r="H1462" s="71">
        <f t="shared" si="45"/>
        <v>20</v>
      </c>
    </row>
    <row r="1463" spans="1:8" x14ac:dyDescent="0.2">
      <c r="A1463" s="71" t="s">
        <v>252</v>
      </c>
      <c r="B1463" s="71" t="s">
        <v>253</v>
      </c>
      <c r="C1463" s="71" t="s">
        <v>42</v>
      </c>
      <c r="D1463" s="88">
        <v>46209.563738425903</v>
      </c>
      <c r="E1463" s="89">
        <v>46209</v>
      </c>
      <c r="F1463" s="71" t="s">
        <v>1909</v>
      </c>
      <c r="G1463" s="71">
        <f t="shared" si="44"/>
        <v>7</v>
      </c>
      <c r="H1463" s="71">
        <f t="shared" si="45"/>
        <v>36</v>
      </c>
    </row>
    <row r="1464" spans="1:8" x14ac:dyDescent="0.2">
      <c r="A1464" s="71" t="s">
        <v>252</v>
      </c>
      <c r="B1464" s="71" t="s">
        <v>253</v>
      </c>
      <c r="C1464" s="71" t="s">
        <v>42</v>
      </c>
      <c r="D1464" s="88">
        <v>46210.464467592603</v>
      </c>
      <c r="E1464" s="89">
        <v>46210</v>
      </c>
      <c r="F1464" s="71" t="s">
        <v>1910</v>
      </c>
      <c r="G1464" s="71">
        <f t="shared" si="44"/>
        <v>7</v>
      </c>
      <c r="H1464" s="71">
        <f t="shared" si="45"/>
        <v>36</v>
      </c>
    </row>
    <row r="1465" spans="1:8" x14ac:dyDescent="0.2">
      <c r="A1465" s="71" t="s">
        <v>252</v>
      </c>
      <c r="B1465" s="71" t="s">
        <v>253</v>
      </c>
      <c r="C1465" s="71" t="s">
        <v>42</v>
      </c>
      <c r="D1465" s="88">
        <v>46212.416111111103</v>
      </c>
      <c r="E1465" s="89">
        <v>46212</v>
      </c>
      <c r="F1465" s="71" t="s">
        <v>1910</v>
      </c>
      <c r="G1465" s="71">
        <f t="shared" si="44"/>
        <v>7</v>
      </c>
      <c r="H1465" s="71">
        <f t="shared" si="45"/>
        <v>36</v>
      </c>
    </row>
    <row r="1466" spans="1:8" x14ac:dyDescent="0.2">
      <c r="A1466" s="71" t="s">
        <v>252</v>
      </c>
      <c r="B1466" s="71" t="s">
        <v>253</v>
      </c>
      <c r="C1466" s="71" t="s">
        <v>42</v>
      </c>
      <c r="D1466" s="88">
        <v>46212.590787036999</v>
      </c>
      <c r="E1466" s="89">
        <v>46212</v>
      </c>
      <c r="F1466" s="71" t="s">
        <v>1911</v>
      </c>
      <c r="G1466" s="71">
        <f t="shared" si="44"/>
        <v>7</v>
      </c>
      <c r="H1466" s="71">
        <f t="shared" si="45"/>
        <v>34</v>
      </c>
    </row>
    <row r="1467" spans="1:8" x14ac:dyDescent="0.2">
      <c r="A1467" s="71" t="s">
        <v>252</v>
      </c>
      <c r="B1467" s="71" t="s">
        <v>253</v>
      </c>
      <c r="C1467" s="71" t="s">
        <v>42</v>
      </c>
      <c r="D1467" s="88">
        <v>46213.360196759299</v>
      </c>
      <c r="E1467" s="89">
        <v>46213</v>
      </c>
      <c r="F1467" s="71" t="s">
        <v>1912</v>
      </c>
      <c r="G1467" s="71">
        <f t="shared" si="44"/>
        <v>7</v>
      </c>
      <c r="H1467" s="71">
        <f t="shared" si="45"/>
        <v>23</v>
      </c>
    </row>
    <row r="1468" spans="1:8" x14ac:dyDescent="0.2">
      <c r="A1468" s="71" t="s">
        <v>252</v>
      </c>
      <c r="B1468" s="71" t="s">
        <v>253</v>
      </c>
      <c r="C1468" s="71" t="s">
        <v>42</v>
      </c>
      <c r="D1468" s="88">
        <v>46216.401319444398</v>
      </c>
      <c r="E1468" s="89">
        <v>46216</v>
      </c>
      <c r="F1468" s="71" t="s">
        <v>1913</v>
      </c>
      <c r="G1468" s="71">
        <f t="shared" si="44"/>
        <v>7</v>
      </c>
      <c r="H1468" s="71">
        <f t="shared" si="45"/>
        <v>41</v>
      </c>
    </row>
    <row r="1469" spans="1:8" x14ac:dyDescent="0.2">
      <c r="A1469" s="71" t="s">
        <v>252</v>
      </c>
      <c r="B1469" s="71" t="s">
        <v>253</v>
      </c>
      <c r="C1469" s="71" t="s">
        <v>42</v>
      </c>
      <c r="D1469" s="88">
        <v>46216.671400462998</v>
      </c>
      <c r="E1469" s="89">
        <v>46216</v>
      </c>
      <c r="F1469" s="71" t="s">
        <v>1914</v>
      </c>
      <c r="G1469" s="71">
        <f t="shared" si="44"/>
        <v>7</v>
      </c>
      <c r="H1469" s="71">
        <f t="shared" si="45"/>
        <v>47</v>
      </c>
    </row>
    <row r="1470" spans="1:8" x14ac:dyDescent="0.2">
      <c r="A1470" s="71" t="s">
        <v>252</v>
      </c>
      <c r="B1470" s="71" t="s">
        <v>253</v>
      </c>
      <c r="C1470" s="71" t="s">
        <v>42</v>
      </c>
      <c r="D1470" s="88">
        <v>46217.442719907398</v>
      </c>
      <c r="E1470" s="89">
        <v>46217</v>
      </c>
      <c r="F1470" s="71" t="s">
        <v>1915</v>
      </c>
      <c r="G1470" s="71">
        <f t="shared" si="44"/>
        <v>7</v>
      </c>
      <c r="H1470" s="71">
        <f t="shared" si="45"/>
        <v>35</v>
      </c>
    </row>
    <row r="1471" spans="1:8" x14ac:dyDescent="0.2">
      <c r="A1471" s="71" t="s">
        <v>252</v>
      </c>
      <c r="B1471" s="71" t="s">
        <v>253</v>
      </c>
      <c r="C1471" s="71" t="s">
        <v>42</v>
      </c>
      <c r="D1471" s="88">
        <v>46219.397847222201</v>
      </c>
      <c r="E1471" s="89">
        <v>46219</v>
      </c>
      <c r="F1471" s="71" t="s">
        <v>1916</v>
      </c>
      <c r="G1471" s="71">
        <f t="shared" si="44"/>
        <v>7</v>
      </c>
      <c r="H1471" s="71">
        <f t="shared" si="45"/>
        <v>11</v>
      </c>
    </row>
    <row r="1472" spans="1:8" x14ac:dyDescent="0.2">
      <c r="A1472" s="71" t="s">
        <v>252</v>
      </c>
      <c r="B1472" s="71" t="s">
        <v>253</v>
      </c>
      <c r="C1472" s="71" t="s">
        <v>42</v>
      </c>
      <c r="D1472" s="88">
        <v>46219.5774537037</v>
      </c>
      <c r="E1472" s="89">
        <v>46219</v>
      </c>
      <c r="F1472" s="71" t="s">
        <v>1917</v>
      </c>
      <c r="G1472" s="71">
        <f t="shared" si="44"/>
        <v>7</v>
      </c>
      <c r="H1472" s="71">
        <f t="shared" si="45"/>
        <v>21</v>
      </c>
    </row>
    <row r="1473" spans="1:8" x14ac:dyDescent="0.2">
      <c r="A1473" s="71" t="s">
        <v>252</v>
      </c>
      <c r="B1473" s="71" t="s">
        <v>253</v>
      </c>
      <c r="C1473" s="71" t="s">
        <v>42</v>
      </c>
      <c r="D1473" s="88">
        <v>46220.597754629598</v>
      </c>
      <c r="E1473" s="89">
        <v>46220</v>
      </c>
      <c r="F1473" s="71" t="s">
        <v>1918</v>
      </c>
      <c r="G1473" s="71">
        <f t="shared" si="44"/>
        <v>7</v>
      </c>
      <c r="H1473" s="71">
        <f t="shared" si="45"/>
        <v>33</v>
      </c>
    </row>
    <row r="1474" spans="1:8" x14ac:dyDescent="0.2">
      <c r="A1474" s="71" t="s">
        <v>252</v>
      </c>
      <c r="B1474" s="71" t="s">
        <v>253</v>
      </c>
      <c r="C1474" s="71" t="s">
        <v>42</v>
      </c>
      <c r="D1474" s="88">
        <v>46223.3971759259</v>
      </c>
      <c r="E1474" s="89">
        <v>46223</v>
      </c>
      <c r="F1474" s="71" t="s">
        <v>1919</v>
      </c>
      <c r="G1474" s="71">
        <f t="shared" ref="G1474:G1537" si="46">MONTH(E1474)</f>
        <v>7</v>
      </c>
      <c r="H1474" s="71">
        <f t="shared" ref="H1474:H1537" si="47">LEN(F1474)</f>
        <v>33</v>
      </c>
    </row>
    <row r="1475" spans="1:8" x14ac:dyDescent="0.2">
      <c r="A1475" s="71" t="s">
        <v>252</v>
      </c>
      <c r="B1475" s="71" t="s">
        <v>253</v>
      </c>
      <c r="C1475" s="71" t="s">
        <v>42</v>
      </c>
      <c r="D1475" s="88">
        <v>46223.582997685196</v>
      </c>
      <c r="E1475" s="89">
        <v>46223</v>
      </c>
      <c r="F1475" s="71" t="s">
        <v>1920</v>
      </c>
      <c r="G1475" s="71">
        <f t="shared" si="46"/>
        <v>7</v>
      </c>
      <c r="H1475" s="71">
        <f t="shared" si="47"/>
        <v>30</v>
      </c>
    </row>
    <row r="1476" spans="1:8" x14ac:dyDescent="0.2">
      <c r="A1476" s="71" t="s">
        <v>252</v>
      </c>
      <c r="B1476" s="71" t="s">
        <v>253</v>
      </c>
      <c r="C1476" s="71" t="s">
        <v>42</v>
      </c>
      <c r="D1476" s="88">
        <v>46224.386134259301</v>
      </c>
      <c r="E1476" s="89">
        <v>46224</v>
      </c>
      <c r="F1476" s="71" t="s">
        <v>1921</v>
      </c>
      <c r="G1476" s="71">
        <f t="shared" si="46"/>
        <v>7</v>
      </c>
      <c r="H1476" s="71">
        <f t="shared" si="47"/>
        <v>28</v>
      </c>
    </row>
    <row r="1477" spans="1:8" x14ac:dyDescent="0.2">
      <c r="A1477" s="71" t="s">
        <v>252</v>
      </c>
      <c r="B1477" s="71" t="s">
        <v>253</v>
      </c>
      <c r="C1477" s="71" t="s">
        <v>42</v>
      </c>
      <c r="D1477" s="88">
        <v>46226.439652777801</v>
      </c>
      <c r="E1477" s="89">
        <v>46226</v>
      </c>
      <c r="F1477" s="71" t="s">
        <v>1915</v>
      </c>
      <c r="G1477" s="71">
        <f t="shared" si="46"/>
        <v>7</v>
      </c>
      <c r="H1477" s="71">
        <f t="shared" si="47"/>
        <v>35</v>
      </c>
    </row>
    <row r="1478" spans="1:8" x14ac:dyDescent="0.2">
      <c r="A1478" s="71" t="s">
        <v>252</v>
      </c>
      <c r="B1478" s="71" t="s">
        <v>253</v>
      </c>
      <c r="C1478" s="71" t="s">
        <v>42</v>
      </c>
      <c r="D1478" s="88">
        <v>46226.574305555601</v>
      </c>
      <c r="E1478" s="89">
        <v>46226</v>
      </c>
      <c r="F1478" s="71" t="s">
        <v>1922</v>
      </c>
      <c r="G1478" s="71">
        <f t="shared" si="46"/>
        <v>7</v>
      </c>
      <c r="H1478" s="71">
        <f t="shared" si="47"/>
        <v>13</v>
      </c>
    </row>
    <row r="1479" spans="1:8" x14ac:dyDescent="0.2">
      <c r="A1479" s="71" t="s">
        <v>252</v>
      </c>
      <c r="B1479" s="71" t="s">
        <v>253</v>
      </c>
      <c r="C1479" s="71" t="s">
        <v>42</v>
      </c>
      <c r="D1479" s="88">
        <v>46227.576631944401</v>
      </c>
      <c r="E1479" s="89">
        <v>46227</v>
      </c>
      <c r="F1479" s="71" t="s">
        <v>1915</v>
      </c>
      <c r="G1479" s="71">
        <f t="shared" si="46"/>
        <v>7</v>
      </c>
      <c r="H1479" s="71">
        <f t="shared" si="47"/>
        <v>35</v>
      </c>
    </row>
    <row r="1480" spans="1:8" x14ac:dyDescent="0.2">
      <c r="A1480" s="71" t="s">
        <v>252</v>
      </c>
      <c r="B1480" s="71" t="s">
        <v>253</v>
      </c>
      <c r="C1480" s="71" t="s">
        <v>42</v>
      </c>
      <c r="D1480" s="88">
        <v>46230.468761574099</v>
      </c>
      <c r="E1480" s="89">
        <v>46230</v>
      </c>
      <c r="F1480" s="71" t="s">
        <v>1923</v>
      </c>
      <c r="G1480" s="71">
        <f t="shared" si="46"/>
        <v>7</v>
      </c>
      <c r="H1480" s="71">
        <f t="shared" si="47"/>
        <v>28</v>
      </c>
    </row>
    <row r="1481" spans="1:8" x14ac:dyDescent="0.2">
      <c r="A1481" s="71" t="s">
        <v>252</v>
      </c>
      <c r="B1481" s="71" t="s">
        <v>253</v>
      </c>
      <c r="C1481" s="71" t="s">
        <v>42</v>
      </c>
      <c r="D1481" s="88">
        <v>46231.5690046296</v>
      </c>
      <c r="E1481" s="89">
        <v>46231</v>
      </c>
      <c r="F1481" s="71" t="s">
        <v>1924</v>
      </c>
      <c r="G1481" s="71">
        <f t="shared" si="46"/>
        <v>7</v>
      </c>
      <c r="H1481" s="71">
        <f t="shared" si="47"/>
        <v>9</v>
      </c>
    </row>
    <row r="1482" spans="1:8" x14ac:dyDescent="0.2">
      <c r="A1482" s="71" t="s">
        <v>252</v>
      </c>
      <c r="B1482" s="71" t="s">
        <v>253</v>
      </c>
      <c r="C1482" s="71" t="s">
        <v>42</v>
      </c>
      <c r="D1482" s="88">
        <v>46233.5697685185</v>
      </c>
      <c r="E1482" s="89">
        <v>46233</v>
      </c>
      <c r="F1482" s="71" t="s">
        <v>1925</v>
      </c>
      <c r="G1482" s="71">
        <f t="shared" si="46"/>
        <v>7</v>
      </c>
      <c r="H1482" s="71">
        <f t="shared" si="47"/>
        <v>25</v>
      </c>
    </row>
    <row r="1483" spans="1:8" x14ac:dyDescent="0.2">
      <c r="A1483" s="71" t="s">
        <v>252</v>
      </c>
      <c r="B1483" s="71" t="s">
        <v>253</v>
      </c>
      <c r="C1483" s="71" t="s">
        <v>42</v>
      </c>
      <c r="D1483" s="88">
        <v>46233.626041666699</v>
      </c>
      <c r="E1483" s="89">
        <v>46233</v>
      </c>
      <c r="F1483" s="71" t="s">
        <v>1926</v>
      </c>
      <c r="G1483" s="71">
        <f t="shared" si="46"/>
        <v>7</v>
      </c>
      <c r="H1483" s="71">
        <f t="shared" si="47"/>
        <v>30</v>
      </c>
    </row>
    <row r="1484" spans="1:8" x14ac:dyDescent="0.2">
      <c r="A1484" s="71" t="s">
        <v>252</v>
      </c>
      <c r="B1484" s="71" t="s">
        <v>253</v>
      </c>
      <c r="C1484" s="71" t="s">
        <v>42</v>
      </c>
      <c r="D1484" s="88">
        <v>46233.650266203702</v>
      </c>
      <c r="E1484" s="89">
        <v>46233</v>
      </c>
      <c r="F1484" s="71" t="s">
        <v>1927</v>
      </c>
      <c r="G1484" s="71">
        <f t="shared" si="46"/>
        <v>7</v>
      </c>
      <c r="H1484" s="71">
        <f t="shared" si="47"/>
        <v>25</v>
      </c>
    </row>
    <row r="1485" spans="1:8" x14ac:dyDescent="0.2">
      <c r="A1485" s="71" t="s">
        <v>252</v>
      </c>
      <c r="B1485" s="71" t="s">
        <v>253</v>
      </c>
      <c r="C1485" s="71" t="s">
        <v>42</v>
      </c>
      <c r="D1485" s="88">
        <v>46234.612372685202</v>
      </c>
      <c r="E1485" s="89">
        <v>46234</v>
      </c>
      <c r="F1485" s="71" t="s">
        <v>1928</v>
      </c>
      <c r="G1485" s="71">
        <f t="shared" si="46"/>
        <v>7</v>
      </c>
      <c r="H1485" s="71">
        <f t="shared" si="47"/>
        <v>35</v>
      </c>
    </row>
    <row r="1486" spans="1:8" x14ac:dyDescent="0.2">
      <c r="A1486" s="71" t="s">
        <v>252</v>
      </c>
      <c r="B1486" s="71" t="s">
        <v>253</v>
      </c>
      <c r="C1486" s="71" t="s">
        <v>42</v>
      </c>
      <c r="D1486" s="88">
        <v>46237.451724537001</v>
      </c>
      <c r="E1486" s="89">
        <v>46237</v>
      </c>
      <c r="F1486" s="71" t="s">
        <v>1929</v>
      </c>
      <c r="G1486" s="71">
        <f t="shared" si="46"/>
        <v>8</v>
      </c>
      <c r="H1486" s="71">
        <f t="shared" si="47"/>
        <v>32</v>
      </c>
    </row>
    <row r="1487" spans="1:8" x14ac:dyDescent="0.2">
      <c r="A1487" s="71" t="s">
        <v>252</v>
      </c>
      <c r="B1487" s="71" t="s">
        <v>253</v>
      </c>
      <c r="C1487" s="71" t="s">
        <v>42</v>
      </c>
      <c r="D1487" s="88">
        <v>46237.604525463001</v>
      </c>
      <c r="E1487" s="89">
        <v>46237</v>
      </c>
      <c r="F1487" s="71" t="s">
        <v>1930</v>
      </c>
      <c r="G1487" s="71">
        <f t="shared" si="46"/>
        <v>8</v>
      </c>
      <c r="H1487" s="71">
        <f t="shared" si="47"/>
        <v>26</v>
      </c>
    </row>
    <row r="1488" spans="1:8" x14ac:dyDescent="0.2">
      <c r="A1488" s="71" t="s">
        <v>252</v>
      </c>
      <c r="B1488" s="71" t="s">
        <v>253</v>
      </c>
      <c r="C1488" s="71" t="s">
        <v>42</v>
      </c>
      <c r="D1488" s="88">
        <v>46237.616701388899</v>
      </c>
      <c r="E1488" s="89">
        <v>46237</v>
      </c>
      <c r="F1488" s="71" t="s">
        <v>1926</v>
      </c>
      <c r="G1488" s="71">
        <f t="shared" si="46"/>
        <v>8</v>
      </c>
      <c r="H1488" s="71">
        <f t="shared" si="47"/>
        <v>30</v>
      </c>
    </row>
    <row r="1489" spans="1:8" x14ac:dyDescent="0.2">
      <c r="A1489" s="71" t="s">
        <v>252</v>
      </c>
      <c r="B1489" s="71" t="s">
        <v>253</v>
      </c>
      <c r="C1489" s="71" t="s">
        <v>42</v>
      </c>
      <c r="D1489" s="88">
        <v>46238.362731481502</v>
      </c>
      <c r="E1489" s="89">
        <v>46238</v>
      </c>
      <c r="F1489" s="71" t="s">
        <v>1931</v>
      </c>
      <c r="G1489" s="71">
        <f t="shared" si="46"/>
        <v>8</v>
      </c>
      <c r="H1489" s="71">
        <f t="shared" si="47"/>
        <v>38</v>
      </c>
    </row>
    <row r="1490" spans="1:8" x14ac:dyDescent="0.2">
      <c r="A1490" s="71" t="s">
        <v>252</v>
      </c>
      <c r="B1490" s="71" t="s">
        <v>253</v>
      </c>
      <c r="C1490" s="71" t="s">
        <v>42</v>
      </c>
      <c r="D1490" s="88">
        <v>46239.426527777803</v>
      </c>
      <c r="E1490" s="89">
        <v>46239</v>
      </c>
      <c r="F1490" s="71" t="s">
        <v>1932</v>
      </c>
      <c r="G1490" s="71">
        <f t="shared" si="46"/>
        <v>8</v>
      </c>
      <c r="H1490" s="71">
        <f t="shared" si="47"/>
        <v>72</v>
      </c>
    </row>
    <row r="1491" spans="1:8" x14ac:dyDescent="0.2">
      <c r="A1491" s="71" t="s">
        <v>252</v>
      </c>
      <c r="B1491" s="71" t="s">
        <v>253</v>
      </c>
      <c r="C1491" s="71" t="s">
        <v>42</v>
      </c>
      <c r="D1491" s="88">
        <v>46239.618368055599</v>
      </c>
      <c r="E1491" s="89">
        <v>46239</v>
      </c>
      <c r="F1491" s="71" t="s">
        <v>1933</v>
      </c>
      <c r="G1491" s="71">
        <f t="shared" si="46"/>
        <v>8</v>
      </c>
      <c r="H1491" s="71">
        <f t="shared" si="47"/>
        <v>33</v>
      </c>
    </row>
    <row r="1492" spans="1:8" x14ac:dyDescent="0.2">
      <c r="A1492" s="71" t="s">
        <v>252</v>
      </c>
      <c r="B1492" s="71" t="s">
        <v>253</v>
      </c>
      <c r="C1492" s="71" t="s">
        <v>42</v>
      </c>
      <c r="D1492" s="88">
        <v>46240.430150462998</v>
      </c>
      <c r="E1492" s="89">
        <v>46240</v>
      </c>
      <c r="F1492" s="71" t="s">
        <v>1925</v>
      </c>
      <c r="G1492" s="71">
        <f t="shared" si="46"/>
        <v>8</v>
      </c>
      <c r="H1492" s="71">
        <f t="shared" si="47"/>
        <v>25</v>
      </c>
    </row>
    <row r="1493" spans="1:8" x14ac:dyDescent="0.2">
      <c r="A1493" s="71" t="s">
        <v>252</v>
      </c>
      <c r="B1493" s="71" t="s">
        <v>253</v>
      </c>
      <c r="C1493" s="71" t="s">
        <v>42</v>
      </c>
      <c r="D1493" s="88">
        <v>46241.414618055598</v>
      </c>
      <c r="E1493" s="89">
        <v>46241</v>
      </c>
      <c r="F1493" s="71" t="s">
        <v>1934</v>
      </c>
      <c r="G1493" s="71">
        <f t="shared" si="46"/>
        <v>8</v>
      </c>
      <c r="H1493" s="71">
        <f t="shared" si="47"/>
        <v>25</v>
      </c>
    </row>
    <row r="1494" spans="1:8" x14ac:dyDescent="0.2">
      <c r="A1494" s="71" t="s">
        <v>252</v>
      </c>
      <c r="B1494" s="71" t="s">
        <v>253</v>
      </c>
      <c r="C1494" s="71" t="s">
        <v>42</v>
      </c>
      <c r="D1494" s="88">
        <v>46241.652870370403</v>
      </c>
      <c r="E1494" s="89">
        <v>46241</v>
      </c>
      <c r="F1494" s="71" t="s">
        <v>1935</v>
      </c>
      <c r="G1494" s="71">
        <f t="shared" si="46"/>
        <v>8</v>
      </c>
      <c r="H1494" s="71">
        <f t="shared" si="47"/>
        <v>41</v>
      </c>
    </row>
    <row r="1495" spans="1:8" x14ac:dyDescent="0.2">
      <c r="A1495" s="71" t="s">
        <v>252</v>
      </c>
      <c r="B1495" s="71" t="s">
        <v>253</v>
      </c>
      <c r="C1495" s="71" t="s">
        <v>42</v>
      </c>
      <c r="D1495" s="88">
        <v>46244.420532407399</v>
      </c>
      <c r="E1495" s="89">
        <v>46244</v>
      </c>
      <c r="F1495" s="71" t="s">
        <v>1925</v>
      </c>
      <c r="G1495" s="71">
        <f t="shared" si="46"/>
        <v>8</v>
      </c>
      <c r="H1495" s="71">
        <f t="shared" si="47"/>
        <v>25</v>
      </c>
    </row>
    <row r="1496" spans="1:8" x14ac:dyDescent="0.2">
      <c r="A1496" s="71" t="s">
        <v>252</v>
      </c>
      <c r="B1496" s="71" t="s">
        <v>253</v>
      </c>
      <c r="C1496" s="71" t="s">
        <v>42</v>
      </c>
      <c r="D1496" s="88">
        <v>46245.414247685199</v>
      </c>
      <c r="E1496" s="89">
        <v>46245</v>
      </c>
      <c r="F1496" s="71" t="s">
        <v>1925</v>
      </c>
      <c r="G1496" s="71">
        <f t="shared" si="46"/>
        <v>8</v>
      </c>
      <c r="H1496" s="71">
        <f t="shared" si="47"/>
        <v>25</v>
      </c>
    </row>
    <row r="1497" spans="1:8" x14ac:dyDescent="0.2">
      <c r="A1497" s="71" t="s">
        <v>252</v>
      </c>
      <c r="B1497" s="71" t="s">
        <v>253</v>
      </c>
      <c r="C1497" s="71" t="s">
        <v>42</v>
      </c>
      <c r="D1497" s="88">
        <v>46245.5768171296</v>
      </c>
      <c r="E1497" s="89">
        <v>46245</v>
      </c>
      <c r="F1497" s="71" t="s">
        <v>1936</v>
      </c>
      <c r="G1497" s="71">
        <f t="shared" si="46"/>
        <v>8</v>
      </c>
      <c r="H1497" s="71">
        <f t="shared" si="47"/>
        <v>27</v>
      </c>
    </row>
    <row r="1498" spans="1:8" x14ac:dyDescent="0.2">
      <c r="A1498" s="71" t="s">
        <v>252</v>
      </c>
      <c r="B1498" s="71" t="s">
        <v>253</v>
      </c>
      <c r="C1498" s="71" t="s">
        <v>42</v>
      </c>
      <c r="D1498" s="88">
        <v>46245.584224537</v>
      </c>
      <c r="E1498" s="89">
        <v>46245</v>
      </c>
      <c r="F1498" s="71" t="s">
        <v>1937</v>
      </c>
      <c r="G1498" s="71">
        <f t="shared" si="46"/>
        <v>8</v>
      </c>
      <c r="H1498" s="71">
        <f t="shared" si="47"/>
        <v>28</v>
      </c>
    </row>
    <row r="1499" spans="1:8" x14ac:dyDescent="0.2">
      <c r="A1499" s="71" t="s">
        <v>252</v>
      </c>
      <c r="B1499" s="71" t="s">
        <v>253</v>
      </c>
      <c r="C1499" s="71" t="s">
        <v>42</v>
      </c>
      <c r="D1499" s="88">
        <v>46246.461828703701</v>
      </c>
      <c r="E1499" s="89">
        <v>46246</v>
      </c>
      <c r="F1499" s="71" t="s">
        <v>1934</v>
      </c>
      <c r="G1499" s="71">
        <f t="shared" si="46"/>
        <v>8</v>
      </c>
      <c r="H1499" s="71">
        <f t="shared" si="47"/>
        <v>25</v>
      </c>
    </row>
    <row r="1500" spans="1:8" x14ac:dyDescent="0.2">
      <c r="A1500" s="71" t="s">
        <v>252</v>
      </c>
      <c r="B1500" s="71" t="s">
        <v>253</v>
      </c>
      <c r="C1500" s="71" t="s">
        <v>42</v>
      </c>
      <c r="D1500" s="88">
        <v>46247.475868055597</v>
      </c>
      <c r="E1500" s="89">
        <v>46247</v>
      </c>
      <c r="F1500" s="71" t="s">
        <v>1925</v>
      </c>
      <c r="G1500" s="71">
        <f t="shared" si="46"/>
        <v>8</v>
      </c>
      <c r="H1500" s="71">
        <f t="shared" si="47"/>
        <v>25</v>
      </c>
    </row>
    <row r="1501" spans="1:8" x14ac:dyDescent="0.2">
      <c r="A1501" s="71" t="s">
        <v>252</v>
      </c>
      <c r="B1501" s="71" t="s">
        <v>253</v>
      </c>
      <c r="C1501" s="71" t="s">
        <v>42</v>
      </c>
      <c r="D1501" s="88">
        <v>46252.354224536997</v>
      </c>
      <c r="E1501" s="89">
        <v>46252</v>
      </c>
      <c r="F1501" s="71" t="s">
        <v>1938</v>
      </c>
      <c r="G1501" s="71">
        <f t="shared" si="46"/>
        <v>8</v>
      </c>
      <c r="H1501" s="71">
        <f t="shared" si="47"/>
        <v>32</v>
      </c>
    </row>
    <row r="1502" spans="1:8" x14ac:dyDescent="0.2">
      <c r="A1502" s="71" t="s">
        <v>252</v>
      </c>
      <c r="B1502" s="71" t="s">
        <v>253</v>
      </c>
      <c r="C1502" s="71" t="s">
        <v>42</v>
      </c>
      <c r="D1502" s="88">
        <v>46252.364930555603</v>
      </c>
      <c r="E1502" s="89">
        <v>46252</v>
      </c>
      <c r="F1502" s="71" t="s">
        <v>1939</v>
      </c>
      <c r="G1502" s="71">
        <f t="shared" si="46"/>
        <v>8</v>
      </c>
      <c r="H1502" s="71">
        <f t="shared" si="47"/>
        <v>32</v>
      </c>
    </row>
    <row r="1503" spans="1:8" x14ac:dyDescent="0.2">
      <c r="A1503" s="71" t="s">
        <v>252</v>
      </c>
      <c r="B1503" s="71" t="s">
        <v>253</v>
      </c>
      <c r="C1503" s="71" t="s">
        <v>42</v>
      </c>
      <c r="D1503" s="88">
        <v>46254.603460648199</v>
      </c>
      <c r="E1503" s="89">
        <v>46254</v>
      </c>
      <c r="F1503" s="71" t="s">
        <v>1940</v>
      </c>
      <c r="G1503" s="71">
        <f t="shared" si="46"/>
        <v>8</v>
      </c>
      <c r="H1503" s="71">
        <f t="shared" si="47"/>
        <v>25</v>
      </c>
    </row>
    <row r="1504" spans="1:8" x14ac:dyDescent="0.2">
      <c r="A1504" s="71" t="s">
        <v>252</v>
      </c>
      <c r="B1504" s="71" t="s">
        <v>253</v>
      </c>
      <c r="C1504" s="71" t="s">
        <v>42</v>
      </c>
      <c r="D1504" s="88">
        <v>46255.4141087963</v>
      </c>
      <c r="E1504" s="89">
        <v>46255</v>
      </c>
      <c r="F1504" s="71" t="s">
        <v>1925</v>
      </c>
      <c r="G1504" s="71">
        <f t="shared" si="46"/>
        <v>8</v>
      </c>
      <c r="H1504" s="71">
        <f t="shared" si="47"/>
        <v>25</v>
      </c>
    </row>
    <row r="1505" spans="1:8" x14ac:dyDescent="0.2">
      <c r="A1505" s="71" t="s">
        <v>252</v>
      </c>
      <c r="B1505" s="71" t="s">
        <v>253</v>
      </c>
      <c r="C1505" s="71" t="s">
        <v>42</v>
      </c>
      <c r="D1505" s="88">
        <v>46258.3494907407</v>
      </c>
      <c r="E1505" s="89">
        <v>46258</v>
      </c>
      <c r="F1505" s="71" t="s">
        <v>1941</v>
      </c>
      <c r="G1505" s="71">
        <f t="shared" si="46"/>
        <v>8</v>
      </c>
      <c r="H1505" s="71">
        <f t="shared" si="47"/>
        <v>19</v>
      </c>
    </row>
    <row r="1506" spans="1:8" x14ac:dyDescent="0.2">
      <c r="A1506" s="71" t="s">
        <v>252</v>
      </c>
      <c r="B1506" s="71" t="s">
        <v>253</v>
      </c>
      <c r="C1506" s="71" t="s">
        <v>42</v>
      </c>
      <c r="D1506" s="88">
        <v>46258.373124999998</v>
      </c>
      <c r="E1506" s="89">
        <v>46258</v>
      </c>
      <c r="F1506" s="71" t="s">
        <v>1942</v>
      </c>
      <c r="G1506" s="71">
        <f t="shared" si="46"/>
        <v>8</v>
      </c>
      <c r="H1506" s="71">
        <f t="shared" si="47"/>
        <v>26</v>
      </c>
    </row>
    <row r="1507" spans="1:8" x14ac:dyDescent="0.2">
      <c r="A1507" s="71" t="s">
        <v>252</v>
      </c>
      <c r="B1507" s="71" t="s">
        <v>253</v>
      </c>
      <c r="C1507" s="71" t="s">
        <v>42</v>
      </c>
      <c r="D1507" s="88">
        <v>46258.387372685203</v>
      </c>
      <c r="E1507" s="89">
        <v>46258</v>
      </c>
      <c r="F1507" s="71" t="s">
        <v>1943</v>
      </c>
      <c r="G1507" s="71">
        <f t="shared" si="46"/>
        <v>8</v>
      </c>
      <c r="H1507" s="71">
        <f t="shared" si="47"/>
        <v>30</v>
      </c>
    </row>
    <row r="1508" spans="1:8" x14ac:dyDescent="0.2">
      <c r="A1508" s="71" t="s">
        <v>252</v>
      </c>
      <c r="B1508" s="71" t="s">
        <v>253</v>
      </c>
      <c r="C1508" s="71" t="s">
        <v>42</v>
      </c>
      <c r="D1508" s="88">
        <v>46258.387870370403</v>
      </c>
      <c r="E1508" s="89">
        <v>46258</v>
      </c>
      <c r="F1508" s="71" t="s">
        <v>1944</v>
      </c>
      <c r="G1508" s="71">
        <f t="shared" si="46"/>
        <v>8</v>
      </c>
      <c r="H1508" s="71">
        <f t="shared" si="47"/>
        <v>24</v>
      </c>
    </row>
    <row r="1509" spans="1:8" x14ac:dyDescent="0.2">
      <c r="A1509" s="71" t="s">
        <v>252</v>
      </c>
      <c r="B1509" s="71" t="s">
        <v>253</v>
      </c>
      <c r="C1509" s="71" t="s">
        <v>42</v>
      </c>
      <c r="D1509" s="88">
        <v>46260.426111111097</v>
      </c>
      <c r="E1509" s="89">
        <v>46260</v>
      </c>
      <c r="F1509" s="71" t="s">
        <v>1925</v>
      </c>
      <c r="G1509" s="71">
        <f t="shared" si="46"/>
        <v>8</v>
      </c>
      <c r="H1509" s="71">
        <f t="shared" si="47"/>
        <v>25</v>
      </c>
    </row>
    <row r="1510" spans="1:8" x14ac:dyDescent="0.2">
      <c r="A1510" s="71" t="s">
        <v>252</v>
      </c>
      <c r="B1510" s="71" t="s">
        <v>253</v>
      </c>
      <c r="C1510" s="71" t="s">
        <v>42</v>
      </c>
      <c r="D1510" s="88">
        <v>46262.582928240699</v>
      </c>
      <c r="E1510" s="89">
        <v>46262</v>
      </c>
      <c r="F1510" s="71" t="s">
        <v>1925</v>
      </c>
      <c r="G1510" s="71">
        <f t="shared" si="46"/>
        <v>8</v>
      </c>
      <c r="H1510" s="71">
        <f t="shared" si="47"/>
        <v>25</v>
      </c>
    </row>
    <row r="1511" spans="1:8" x14ac:dyDescent="0.2">
      <c r="A1511" s="71" t="s">
        <v>252</v>
      </c>
      <c r="B1511" s="71" t="s">
        <v>253</v>
      </c>
      <c r="C1511" s="71" t="s">
        <v>42</v>
      </c>
      <c r="D1511" s="88">
        <v>46265.409803240698</v>
      </c>
      <c r="E1511" s="89">
        <v>46265</v>
      </c>
      <c r="F1511" s="71" t="s">
        <v>1945</v>
      </c>
      <c r="G1511" s="71">
        <f t="shared" si="46"/>
        <v>8</v>
      </c>
      <c r="H1511" s="71">
        <f t="shared" si="47"/>
        <v>53</v>
      </c>
    </row>
    <row r="1512" spans="1:8" x14ac:dyDescent="0.2">
      <c r="A1512" s="71" t="s">
        <v>252</v>
      </c>
      <c r="B1512" s="71" t="s">
        <v>253</v>
      </c>
      <c r="C1512" s="71" t="s">
        <v>42</v>
      </c>
      <c r="D1512" s="88">
        <v>46265.5889930556</v>
      </c>
      <c r="E1512" s="89">
        <v>46265</v>
      </c>
      <c r="F1512" s="71" t="s">
        <v>1942</v>
      </c>
      <c r="G1512" s="71">
        <f t="shared" si="46"/>
        <v>8</v>
      </c>
      <c r="H1512" s="71">
        <f t="shared" si="47"/>
        <v>26</v>
      </c>
    </row>
    <row r="1513" spans="1:8" x14ac:dyDescent="0.2">
      <c r="A1513" s="71" t="s">
        <v>252</v>
      </c>
      <c r="B1513" s="71" t="s">
        <v>253</v>
      </c>
      <c r="C1513" s="71" t="s">
        <v>42</v>
      </c>
      <c r="D1513" s="88">
        <v>46266.442743055602</v>
      </c>
      <c r="E1513" s="89">
        <v>46266</v>
      </c>
      <c r="F1513" s="71" t="s">
        <v>1944</v>
      </c>
      <c r="G1513" s="71">
        <f t="shared" si="46"/>
        <v>9</v>
      </c>
      <c r="H1513" s="71">
        <f t="shared" si="47"/>
        <v>24</v>
      </c>
    </row>
    <row r="1514" spans="1:8" x14ac:dyDescent="0.2">
      <c r="A1514" s="71" t="s">
        <v>252</v>
      </c>
      <c r="B1514" s="71" t="s">
        <v>253</v>
      </c>
      <c r="C1514" s="71" t="s">
        <v>42</v>
      </c>
      <c r="D1514" s="88">
        <v>46267.456782407397</v>
      </c>
      <c r="E1514" s="89">
        <v>46267</v>
      </c>
      <c r="F1514" s="71" t="s">
        <v>1941</v>
      </c>
      <c r="G1514" s="71">
        <f t="shared" si="46"/>
        <v>9</v>
      </c>
      <c r="H1514" s="71">
        <f t="shared" si="47"/>
        <v>19</v>
      </c>
    </row>
    <row r="1515" spans="1:8" x14ac:dyDescent="0.2">
      <c r="A1515" s="71" t="s">
        <v>252</v>
      </c>
      <c r="B1515" s="71" t="s">
        <v>253</v>
      </c>
      <c r="C1515" s="71" t="s">
        <v>42</v>
      </c>
      <c r="D1515" s="88">
        <v>46268.403229166703</v>
      </c>
      <c r="E1515" s="89">
        <v>46268</v>
      </c>
      <c r="F1515" s="71" t="s">
        <v>1943</v>
      </c>
      <c r="G1515" s="71">
        <f t="shared" si="46"/>
        <v>9</v>
      </c>
      <c r="H1515" s="71">
        <f t="shared" si="47"/>
        <v>30</v>
      </c>
    </row>
    <row r="1516" spans="1:8" x14ac:dyDescent="0.2">
      <c r="A1516" s="71" t="s">
        <v>252</v>
      </c>
      <c r="B1516" s="71" t="s">
        <v>253</v>
      </c>
      <c r="C1516" s="71" t="s">
        <v>42</v>
      </c>
      <c r="D1516" s="88">
        <v>46268.447847222204</v>
      </c>
      <c r="E1516" s="89">
        <v>46268</v>
      </c>
      <c r="F1516" s="71" t="s">
        <v>1946</v>
      </c>
      <c r="G1516" s="71">
        <f t="shared" si="46"/>
        <v>9</v>
      </c>
      <c r="H1516" s="71">
        <f t="shared" si="47"/>
        <v>33</v>
      </c>
    </row>
    <row r="1517" spans="1:8" x14ac:dyDescent="0.2">
      <c r="A1517" s="71" t="s">
        <v>252</v>
      </c>
      <c r="B1517" s="71" t="s">
        <v>253</v>
      </c>
      <c r="C1517" s="71" t="s">
        <v>42</v>
      </c>
      <c r="D1517" s="88">
        <v>46269.552418981497</v>
      </c>
      <c r="E1517" s="89">
        <v>46269</v>
      </c>
      <c r="F1517" s="71" t="s">
        <v>1947</v>
      </c>
      <c r="G1517" s="71">
        <f t="shared" si="46"/>
        <v>9</v>
      </c>
      <c r="H1517" s="71">
        <f t="shared" si="47"/>
        <v>32</v>
      </c>
    </row>
    <row r="1518" spans="1:8" x14ac:dyDescent="0.2">
      <c r="A1518" s="71" t="s">
        <v>252</v>
      </c>
      <c r="B1518" s="71" t="s">
        <v>253</v>
      </c>
      <c r="C1518" s="71" t="s">
        <v>42</v>
      </c>
      <c r="D1518" s="88">
        <v>46269.642546296302</v>
      </c>
      <c r="E1518" s="89">
        <v>46269</v>
      </c>
      <c r="F1518" s="71" t="s">
        <v>1948</v>
      </c>
      <c r="G1518" s="71">
        <f t="shared" si="46"/>
        <v>9</v>
      </c>
      <c r="H1518" s="71">
        <f t="shared" si="47"/>
        <v>34</v>
      </c>
    </row>
    <row r="1519" spans="1:8" x14ac:dyDescent="0.2">
      <c r="A1519" s="71" t="s">
        <v>252</v>
      </c>
      <c r="B1519" s="71" t="s">
        <v>253</v>
      </c>
      <c r="C1519" s="71" t="s">
        <v>42</v>
      </c>
      <c r="D1519" s="88">
        <v>46273.3922453704</v>
      </c>
      <c r="E1519" s="89">
        <v>46273</v>
      </c>
      <c r="F1519" s="71" t="s">
        <v>1944</v>
      </c>
      <c r="G1519" s="71">
        <f t="shared" si="46"/>
        <v>9</v>
      </c>
      <c r="H1519" s="71">
        <f t="shared" si="47"/>
        <v>24</v>
      </c>
    </row>
    <row r="1520" spans="1:8" x14ac:dyDescent="0.2">
      <c r="A1520" s="71" t="s">
        <v>252</v>
      </c>
      <c r="B1520" s="71" t="s">
        <v>253</v>
      </c>
      <c r="C1520" s="71" t="s">
        <v>42</v>
      </c>
      <c r="D1520" s="88">
        <v>46273.4640856482</v>
      </c>
      <c r="E1520" s="89">
        <v>46273</v>
      </c>
      <c r="F1520" s="71" t="s">
        <v>1941</v>
      </c>
      <c r="G1520" s="71">
        <f t="shared" si="46"/>
        <v>9</v>
      </c>
      <c r="H1520" s="71">
        <f t="shared" si="47"/>
        <v>19</v>
      </c>
    </row>
    <row r="1521" spans="1:8" x14ac:dyDescent="0.2">
      <c r="A1521" s="71" t="s">
        <v>252</v>
      </c>
      <c r="B1521" s="71" t="s">
        <v>253</v>
      </c>
      <c r="C1521" s="71" t="s">
        <v>42</v>
      </c>
      <c r="D1521" s="88">
        <v>46274.389270833301</v>
      </c>
      <c r="E1521" s="89">
        <v>46274</v>
      </c>
      <c r="F1521" s="71" t="s">
        <v>1949</v>
      </c>
      <c r="G1521" s="71">
        <f t="shared" si="46"/>
        <v>9</v>
      </c>
      <c r="H1521" s="71">
        <f t="shared" si="47"/>
        <v>31</v>
      </c>
    </row>
    <row r="1522" spans="1:8" x14ac:dyDescent="0.2">
      <c r="A1522" s="71" t="s">
        <v>252</v>
      </c>
      <c r="B1522" s="71" t="s">
        <v>253</v>
      </c>
      <c r="C1522" s="71" t="s">
        <v>42</v>
      </c>
      <c r="D1522" s="88">
        <v>46275.581238425897</v>
      </c>
      <c r="E1522" s="89">
        <v>46275</v>
      </c>
      <c r="F1522" s="71" t="s">
        <v>1950</v>
      </c>
      <c r="G1522" s="71">
        <f t="shared" si="46"/>
        <v>9</v>
      </c>
      <c r="H1522" s="71">
        <f t="shared" si="47"/>
        <v>26</v>
      </c>
    </row>
    <row r="1523" spans="1:8" x14ac:dyDescent="0.2">
      <c r="A1523" s="71" t="s">
        <v>252</v>
      </c>
      <c r="B1523" s="71" t="s">
        <v>253</v>
      </c>
      <c r="C1523" s="71" t="s">
        <v>42</v>
      </c>
      <c r="D1523" s="88">
        <v>46276.411400463003</v>
      </c>
      <c r="E1523" s="89">
        <v>46276</v>
      </c>
      <c r="F1523" s="71" t="s">
        <v>1951</v>
      </c>
      <c r="G1523" s="71">
        <f t="shared" si="46"/>
        <v>9</v>
      </c>
      <c r="H1523" s="71">
        <f t="shared" si="47"/>
        <v>33</v>
      </c>
    </row>
    <row r="1524" spans="1:8" x14ac:dyDescent="0.2">
      <c r="A1524" s="71" t="s">
        <v>252</v>
      </c>
      <c r="B1524" s="71" t="s">
        <v>253</v>
      </c>
      <c r="C1524" s="71" t="s">
        <v>42</v>
      </c>
      <c r="D1524" s="88">
        <v>46276.443518518499</v>
      </c>
      <c r="E1524" s="89">
        <v>46276</v>
      </c>
      <c r="F1524" s="71" t="s">
        <v>1926</v>
      </c>
      <c r="G1524" s="71">
        <f t="shared" si="46"/>
        <v>9</v>
      </c>
      <c r="H1524" s="71">
        <f t="shared" si="47"/>
        <v>30</v>
      </c>
    </row>
    <row r="1525" spans="1:8" x14ac:dyDescent="0.2">
      <c r="A1525" s="71" t="s">
        <v>252</v>
      </c>
      <c r="B1525" s="71" t="s">
        <v>253</v>
      </c>
      <c r="C1525" s="71" t="s">
        <v>42</v>
      </c>
      <c r="D1525" s="88">
        <v>46279.411504629599</v>
      </c>
      <c r="E1525" s="89">
        <v>46279</v>
      </c>
      <c r="F1525" s="71" t="s">
        <v>1952</v>
      </c>
      <c r="G1525" s="71">
        <f t="shared" si="46"/>
        <v>9</v>
      </c>
      <c r="H1525" s="71">
        <f t="shared" si="47"/>
        <v>28</v>
      </c>
    </row>
    <row r="1526" spans="1:8" x14ac:dyDescent="0.2">
      <c r="A1526" s="71" t="s">
        <v>252</v>
      </c>
      <c r="B1526" s="71" t="s">
        <v>253</v>
      </c>
      <c r="C1526" s="71" t="s">
        <v>42</v>
      </c>
      <c r="D1526" s="88">
        <v>46280.567870370403</v>
      </c>
      <c r="E1526" s="89">
        <v>46280</v>
      </c>
      <c r="F1526" s="71" t="s">
        <v>1953</v>
      </c>
      <c r="G1526" s="71">
        <f t="shared" si="46"/>
        <v>9</v>
      </c>
      <c r="H1526" s="71">
        <f t="shared" si="47"/>
        <v>19</v>
      </c>
    </row>
    <row r="1527" spans="1:8" x14ac:dyDescent="0.2">
      <c r="A1527" s="71" t="s">
        <v>252</v>
      </c>
      <c r="B1527" s="71" t="s">
        <v>253</v>
      </c>
      <c r="C1527" s="71" t="s">
        <v>42</v>
      </c>
      <c r="D1527" s="88">
        <v>46281.680162037002</v>
      </c>
      <c r="E1527" s="89">
        <v>46281</v>
      </c>
      <c r="F1527" s="71" t="s">
        <v>1954</v>
      </c>
      <c r="G1527" s="71">
        <f t="shared" si="46"/>
        <v>9</v>
      </c>
      <c r="H1527" s="71">
        <f t="shared" si="47"/>
        <v>30</v>
      </c>
    </row>
    <row r="1528" spans="1:8" x14ac:dyDescent="0.2">
      <c r="A1528" s="71" t="s">
        <v>252</v>
      </c>
      <c r="B1528" s="71" t="s">
        <v>253</v>
      </c>
      <c r="C1528" s="71" t="s">
        <v>42</v>
      </c>
      <c r="D1528" s="88">
        <v>46282.469861111102</v>
      </c>
      <c r="E1528" s="89">
        <v>46282</v>
      </c>
      <c r="F1528" s="71" t="s">
        <v>1944</v>
      </c>
      <c r="G1528" s="71">
        <f t="shared" si="46"/>
        <v>9</v>
      </c>
      <c r="H1528" s="71">
        <f t="shared" si="47"/>
        <v>24</v>
      </c>
    </row>
    <row r="1529" spans="1:8" x14ac:dyDescent="0.2">
      <c r="A1529" s="71" t="s">
        <v>252</v>
      </c>
      <c r="B1529" s="71" t="s">
        <v>253</v>
      </c>
      <c r="C1529" s="71" t="s">
        <v>42</v>
      </c>
      <c r="D1529" s="88">
        <v>46283.627777777801</v>
      </c>
      <c r="E1529" s="89">
        <v>46283</v>
      </c>
      <c r="F1529" s="71" t="s">
        <v>1941</v>
      </c>
      <c r="G1529" s="71">
        <f t="shared" si="46"/>
        <v>9</v>
      </c>
      <c r="H1529" s="71">
        <f t="shared" si="47"/>
        <v>19</v>
      </c>
    </row>
    <row r="1530" spans="1:8" x14ac:dyDescent="0.2">
      <c r="A1530" s="71" t="s">
        <v>252</v>
      </c>
      <c r="B1530" s="71" t="s">
        <v>253</v>
      </c>
      <c r="C1530" s="71" t="s">
        <v>42</v>
      </c>
      <c r="D1530" s="88">
        <v>46286.395312499997</v>
      </c>
      <c r="E1530" s="89">
        <v>46286</v>
      </c>
      <c r="F1530" s="71" t="s">
        <v>1955</v>
      </c>
      <c r="G1530" s="71">
        <f t="shared" si="46"/>
        <v>9</v>
      </c>
      <c r="H1530" s="71">
        <f t="shared" si="47"/>
        <v>28</v>
      </c>
    </row>
    <row r="1531" spans="1:8" x14ac:dyDescent="0.2">
      <c r="A1531" s="71" t="s">
        <v>252</v>
      </c>
      <c r="B1531" s="71" t="s">
        <v>253</v>
      </c>
      <c r="C1531" s="71" t="s">
        <v>42</v>
      </c>
      <c r="D1531" s="88">
        <v>46286.677638888897</v>
      </c>
      <c r="E1531" s="89">
        <v>46286</v>
      </c>
      <c r="F1531" s="71" t="s">
        <v>1944</v>
      </c>
      <c r="G1531" s="71">
        <f t="shared" si="46"/>
        <v>9</v>
      </c>
      <c r="H1531" s="71">
        <f t="shared" si="47"/>
        <v>24</v>
      </c>
    </row>
    <row r="1532" spans="1:8" x14ac:dyDescent="0.2">
      <c r="A1532" s="71" t="s">
        <v>252</v>
      </c>
      <c r="B1532" s="71" t="s">
        <v>253</v>
      </c>
      <c r="C1532" s="71" t="s">
        <v>42</v>
      </c>
      <c r="D1532" s="88">
        <v>46287.6783796296</v>
      </c>
      <c r="E1532" s="89">
        <v>46287</v>
      </c>
      <c r="F1532" s="71" t="s">
        <v>1926</v>
      </c>
      <c r="G1532" s="71">
        <f t="shared" si="46"/>
        <v>9</v>
      </c>
      <c r="H1532" s="71">
        <f t="shared" si="47"/>
        <v>30</v>
      </c>
    </row>
    <row r="1533" spans="1:8" x14ac:dyDescent="0.2">
      <c r="A1533" s="71" t="s">
        <v>252</v>
      </c>
      <c r="B1533" s="71" t="s">
        <v>253</v>
      </c>
      <c r="C1533" s="71" t="s">
        <v>42</v>
      </c>
      <c r="D1533" s="88">
        <v>46288.643611111103</v>
      </c>
      <c r="E1533" s="89">
        <v>46288</v>
      </c>
      <c r="F1533" s="71" t="s">
        <v>1941</v>
      </c>
      <c r="G1533" s="71">
        <f t="shared" si="46"/>
        <v>9</v>
      </c>
      <c r="H1533" s="71">
        <f t="shared" si="47"/>
        <v>19</v>
      </c>
    </row>
    <row r="1534" spans="1:8" x14ac:dyDescent="0.2">
      <c r="A1534" s="71" t="s">
        <v>252</v>
      </c>
      <c r="B1534" s="71" t="s">
        <v>253</v>
      </c>
      <c r="C1534" s="71" t="s">
        <v>42</v>
      </c>
      <c r="D1534" s="88">
        <v>46289.6812152778</v>
      </c>
      <c r="E1534" s="89">
        <v>46289</v>
      </c>
      <c r="F1534" s="71" t="s">
        <v>1956</v>
      </c>
      <c r="G1534" s="71">
        <f t="shared" si="46"/>
        <v>9</v>
      </c>
      <c r="H1534" s="71">
        <f t="shared" si="47"/>
        <v>37</v>
      </c>
    </row>
    <row r="1535" spans="1:8" x14ac:dyDescent="0.2">
      <c r="A1535" s="71" t="s">
        <v>252</v>
      </c>
      <c r="B1535" s="71" t="s">
        <v>253</v>
      </c>
      <c r="C1535" s="71" t="s">
        <v>42</v>
      </c>
      <c r="D1535" s="88">
        <v>46290.6488888889</v>
      </c>
      <c r="E1535" s="89">
        <v>46290</v>
      </c>
      <c r="F1535" s="71" t="s">
        <v>1957</v>
      </c>
      <c r="G1535" s="71">
        <f t="shared" si="46"/>
        <v>9</v>
      </c>
      <c r="H1535" s="71">
        <f t="shared" si="47"/>
        <v>43</v>
      </c>
    </row>
    <row r="1536" spans="1:8" x14ac:dyDescent="0.2">
      <c r="A1536" s="71" t="s">
        <v>252</v>
      </c>
      <c r="B1536" s="71" t="s">
        <v>253</v>
      </c>
      <c r="C1536" s="71" t="s">
        <v>42</v>
      </c>
      <c r="D1536" s="88">
        <v>46293.608229166697</v>
      </c>
      <c r="E1536" s="89">
        <v>46293</v>
      </c>
      <c r="F1536" s="71" t="s">
        <v>1958</v>
      </c>
      <c r="G1536" s="71">
        <f t="shared" si="46"/>
        <v>9</v>
      </c>
      <c r="H1536" s="71">
        <f t="shared" si="47"/>
        <v>58</v>
      </c>
    </row>
    <row r="1537" spans="1:8" x14ac:dyDescent="0.2">
      <c r="A1537" s="71" t="s">
        <v>252</v>
      </c>
      <c r="B1537" s="71" t="s">
        <v>253</v>
      </c>
      <c r="C1537" s="71" t="s">
        <v>42</v>
      </c>
      <c r="D1537" s="88">
        <v>46294.564988425896</v>
      </c>
      <c r="E1537" s="89">
        <v>46294</v>
      </c>
      <c r="F1537" s="71" t="s">
        <v>1959</v>
      </c>
      <c r="G1537" s="71">
        <f t="shared" si="46"/>
        <v>9</v>
      </c>
      <c r="H1537" s="71">
        <f t="shared" si="47"/>
        <v>49</v>
      </c>
    </row>
    <row r="1538" spans="1:8" x14ac:dyDescent="0.2">
      <c r="A1538" s="71" t="s">
        <v>252</v>
      </c>
      <c r="B1538" s="71" t="s">
        <v>253</v>
      </c>
      <c r="C1538" s="71" t="s">
        <v>42</v>
      </c>
      <c r="D1538" s="88">
        <v>46295.588541666701</v>
      </c>
      <c r="E1538" s="89">
        <v>46295</v>
      </c>
      <c r="F1538" s="71" t="s">
        <v>1960</v>
      </c>
      <c r="G1538" s="71">
        <f t="shared" ref="G1538:G1601" si="48">MONTH(E1538)</f>
        <v>9</v>
      </c>
      <c r="H1538" s="71">
        <f t="shared" ref="H1538:H1601" si="49">LEN(F1538)</f>
        <v>28</v>
      </c>
    </row>
    <row r="1539" spans="1:8" x14ac:dyDescent="0.2">
      <c r="A1539" s="71" t="s">
        <v>275</v>
      </c>
      <c r="B1539" s="71" t="s">
        <v>276</v>
      </c>
      <c r="C1539" s="71" t="s">
        <v>41</v>
      </c>
      <c r="D1539" s="88">
        <v>46245.340763888897</v>
      </c>
      <c r="E1539" s="89">
        <v>46245</v>
      </c>
      <c r="F1539" s="71" t="s">
        <v>1961</v>
      </c>
      <c r="G1539" s="71">
        <f t="shared" si="48"/>
        <v>8</v>
      </c>
      <c r="H1539" s="71">
        <f t="shared" si="49"/>
        <v>60</v>
      </c>
    </row>
    <row r="1540" spans="1:8" x14ac:dyDescent="0.2">
      <c r="A1540" s="71" t="s">
        <v>275</v>
      </c>
      <c r="B1540" s="71" t="s">
        <v>276</v>
      </c>
      <c r="C1540" s="71" t="s">
        <v>41</v>
      </c>
      <c r="D1540" s="88">
        <v>46245.668657407397</v>
      </c>
      <c r="E1540" s="89">
        <v>46245</v>
      </c>
      <c r="F1540" s="71" t="s">
        <v>1962</v>
      </c>
      <c r="G1540" s="71">
        <f t="shared" si="48"/>
        <v>8</v>
      </c>
      <c r="H1540" s="71">
        <f t="shared" si="49"/>
        <v>91</v>
      </c>
    </row>
    <row r="1541" spans="1:8" x14ac:dyDescent="0.2">
      <c r="A1541" s="71" t="s">
        <v>275</v>
      </c>
      <c r="B1541" s="71" t="s">
        <v>276</v>
      </c>
      <c r="C1541" s="71" t="s">
        <v>41</v>
      </c>
      <c r="D1541" s="88">
        <v>46248.546701388899</v>
      </c>
      <c r="E1541" s="89">
        <v>46248</v>
      </c>
      <c r="F1541" s="71" t="s">
        <v>1963</v>
      </c>
      <c r="G1541" s="71">
        <f t="shared" si="48"/>
        <v>8</v>
      </c>
      <c r="H1541" s="71">
        <f t="shared" si="49"/>
        <v>58</v>
      </c>
    </row>
    <row r="1542" spans="1:8" x14ac:dyDescent="0.2">
      <c r="A1542" s="71" t="s">
        <v>275</v>
      </c>
      <c r="B1542" s="71" t="s">
        <v>276</v>
      </c>
      <c r="C1542" s="71" t="s">
        <v>41</v>
      </c>
      <c r="D1542" s="88">
        <v>46252.399456018502</v>
      </c>
      <c r="E1542" s="89">
        <v>46252</v>
      </c>
      <c r="F1542" s="71" t="s">
        <v>1964</v>
      </c>
      <c r="G1542" s="71">
        <f t="shared" si="48"/>
        <v>8</v>
      </c>
      <c r="H1542" s="71">
        <f t="shared" si="49"/>
        <v>68</v>
      </c>
    </row>
    <row r="1543" spans="1:8" x14ac:dyDescent="0.2">
      <c r="A1543" s="71" t="s">
        <v>275</v>
      </c>
      <c r="B1543" s="71" t="s">
        <v>276</v>
      </c>
      <c r="C1543" s="71" t="s">
        <v>41</v>
      </c>
      <c r="D1543" s="88">
        <v>46252.408020833303</v>
      </c>
      <c r="E1543" s="89">
        <v>46252</v>
      </c>
      <c r="F1543" s="71" t="s">
        <v>1965</v>
      </c>
      <c r="G1543" s="71">
        <f t="shared" si="48"/>
        <v>8</v>
      </c>
      <c r="H1543" s="71">
        <f t="shared" si="49"/>
        <v>54</v>
      </c>
    </row>
    <row r="1544" spans="1:8" x14ac:dyDescent="0.2">
      <c r="A1544" s="71" t="s">
        <v>275</v>
      </c>
      <c r="B1544" s="71" t="s">
        <v>276</v>
      </c>
      <c r="C1544" s="71" t="s">
        <v>41</v>
      </c>
      <c r="D1544" s="88">
        <v>46252.453182870398</v>
      </c>
      <c r="E1544" s="89">
        <v>46252</v>
      </c>
      <c r="F1544" s="71" t="s">
        <v>1966</v>
      </c>
      <c r="G1544" s="71">
        <f t="shared" si="48"/>
        <v>8</v>
      </c>
      <c r="H1544" s="71">
        <f t="shared" si="49"/>
        <v>110</v>
      </c>
    </row>
    <row r="1545" spans="1:8" x14ac:dyDescent="0.2">
      <c r="A1545" s="71" t="s">
        <v>275</v>
      </c>
      <c r="B1545" s="71" t="s">
        <v>276</v>
      </c>
      <c r="C1545" s="71" t="s">
        <v>41</v>
      </c>
      <c r="D1545" s="88">
        <v>46253.491875</v>
      </c>
      <c r="E1545" s="89">
        <v>46253</v>
      </c>
      <c r="F1545" s="71" t="s">
        <v>1967</v>
      </c>
      <c r="G1545" s="71">
        <f t="shared" si="48"/>
        <v>8</v>
      </c>
      <c r="H1545" s="71">
        <f t="shared" si="49"/>
        <v>99</v>
      </c>
    </row>
    <row r="1546" spans="1:8" x14ac:dyDescent="0.2">
      <c r="A1546" s="71" t="s">
        <v>275</v>
      </c>
      <c r="B1546" s="71" t="s">
        <v>276</v>
      </c>
      <c r="C1546" s="71" t="s">
        <v>41</v>
      </c>
      <c r="D1546" s="88">
        <v>46253.684421296297</v>
      </c>
      <c r="E1546" s="89">
        <v>46253</v>
      </c>
      <c r="F1546" s="71" t="s">
        <v>1968</v>
      </c>
      <c r="G1546" s="71">
        <f t="shared" si="48"/>
        <v>8</v>
      </c>
      <c r="H1546" s="71">
        <f t="shared" si="49"/>
        <v>65</v>
      </c>
    </row>
    <row r="1547" spans="1:8" x14ac:dyDescent="0.2">
      <c r="A1547" s="71" t="s">
        <v>275</v>
      </c>
      <c r="B1547" s="71" t="s">
        <v>276</v>
      </c>
      <c r="C1547" s="71" t="s">
        <v>41</v>
      </c>
      <c r="D1547" s="88">
        <v>46255.3655671296</v>
      </c>
      <c r="E1547" s="89">
        <v>46255</v>
      </c>
      <c r="F1547" s="71" t="s">
        <v>1969</v>
      </c>
      <c r="G1547" s="71">
        <f t="shared" si="48"/>
        <v>8</v>
      </c>
      <c r="H1547" s="71">
        <f t="shared" si="49"/>
        <v>98</v>
      </c>
    </row>
    <row r="1548" spans="1:8" x14ac:dyDescent="0.2">
      <c r="A1548" s="71" t="s">
        <v>275</v>
      </c>
      <c r="B1548" s="71" t="s">
        <v>276</v>
      </c>
      <c r="C1548" s="71" t="s">
        <v>41</v>
      </c>
      <c r="D1548" s="88">
        <v>46255.689560185201</v>
      </c>
      <c r="E1548" s="89">
        <v>46255</v>
      </c>
      <c r="F1548" s="71" t="s">
        <v>1970</v>
      </c>
      <c r="G1548" s="71">
        <f t="shared" si="48"/>
        <v>8</v>
      </c>
      <c r="H1548" s="71">
        <f t="shared" si="49"/>
        <v>79</v>
      </c>
    </row>
    <row r="1549" spans="1:8" x14ac:dyDescent="0.2">
      <c r="A1549" s="71" t="s">
        <v>275</v>
      </c>
      <c r="B1549" s="71" t="s">
        <v>276</v>
      </c>
      <c r="C1549" s="71" t="s">
        <v>41</v>
      </c>
      <c r="D1549" s="88">
        <v>46258.4830671296</v>
      </c>
      <c r="E1549" s="89">
        <v>46258</v>
      </c>
      <c r="F1549" s="71" t="s">
        <v>1971</v>
      </c>
      <c r="G1549" s="71">
        <f t="shared" si="48"/>
        <v>8</v>
      </c>
      <c r="H1549" s="71">
        <f t="shared" si="49"/>
        <v>78</v>
      </c>
    </row>
    <row r="1550" spans="1:8" x14ac:dyDescent="0.2">
      <c r="A1550" s="71" t="s">
        <v>275</v>
      </c>
      <c r="B1550" s="71" t="s">
        <v>276</v>
      </c>
      <c r="C1550" s="71" t="s">
        <v>41</v>
      </c>
      <c r="D1550" s="88">
        <v>46258.4860416667</v>
      </c>
      <c r="E1550" s="89">
        <v>46258</v>
      </c>
      <c r="F1550" s="71" t="s">
        <v>1972</v>
      </c>
      <c r="G1550" s="71">
        <f t="shared" si="48"/>
        <v>8</v>
      </c>
      <c r="H1550" s="71">
        <f t="shared" si="49"/>
        <v>87</v>
      </c>
    </row>
    <row r="1551" spans="1:8" x14ac:dyDescent="0.2">
      <c r="A1551" s="71" t="s">
        <v>275</v>
      </c>
      <c r="B1551" s="71" t="s">
        <v>276</v>
      </c>
      <c r="C1551" s="71" t="s">
        <v>41</v>
      </c>
      <c r="D1551" s="88">
        <v>46258.671932870398</v>
      </c>
      <c r="E1551" s="89">
        <v>46258</v>
      </c>
      <c r="F1551" s="71" t="s">
        <v>1973</v>
      </c>
      <c r="G1551" s="71">
        <f t="shared" si="48"/>
        <v>8</v>
      </c>
      <c r="H1551" s="71">
        <f t="shared" si="49"/>
        <v>147</v>
      </c>
    </row>
    <row r="1552" spans="1:8" x14ac:dyDescent="0.2">
      <c r="A1552" s="71" t="s">
        <v>275</v>
      </c>
      <c r="B1552" s="71" t="s">
        <v>276</v>
      </c>
      <c r="C1552" s="71" t="s">
        <v>41</v>
      </c>
      <c r="D1552" s="88">
        <v>46260.676157407397</v>
      </c>
      <c r="E1552" s="89">
        <v>46260</v>
      </c>
      <c r="F1552" s="71" t="s">
        <v>1974</v>
      </c>
      <c r="G1552" s="71">
        <f t="shared" si="48"/>
        <v>8</v>
      </c>
      <c r="H1552" s="71">
        <f t="shared" si="49"/>
        <v>136</v>
      </c>
    </row>
    <row r="1553" spans="1:8" x14ac:dyDescent="0.2">
      <c r="A1553" s="71" t="s">
        <v>275</v>
      </c>
      <c r="B1553" s="71" t="s">
        <v>276</v>
      </c>
      <c r="C1553" s="71" t="s">
        <v>41</v>
      </c>
      <c r="D1553" s="88">
        <v>46261.477488425902</v>
      </c>
      <c r="E1553" s="89">
        <v>46261</v>
      </c>
      <c r="F1553" s="71" t="s">
        <v>1975</v>
      </c>
      <c r="G1553" s="71">
        <f t="shared" si="48"/>
        <v>8</v>
      </c>
      <c r="H1553" s="71">
        <f t="shared" si="49"/>
        <v>106</v>
      </c>
    </row>
    <row r="1554" spans="1:8" x14ac:dyDescent="0.2">
      <c r="A1554" s="71" t="s">
        <v>275</v>
      </c>
      <c r="B1554" s="71" t="s">
        <v>276</v>
      </c>
      <c r="C1554" s="71" t="s">
        <v>41</v>
      </c>
      <c r="D1554" s="88">
        <v>46261.6312384259</v>
      </c>
      <c r="E1554" s="89">
        <v>46261</v>
      </c>
      <c r="F1554" s="71" t="s">
        <v>1976</v>
      </c>
      <c r="G1554" s="71">
        <f t="shared" si="48"/>
        <v>8</v>
      </c>
      <c r="H1554" s="71">
        <f t="shared" si="49"/>
        <v>89</v>
      </c>
    </row>
    <row r="1555" spans="1:8" x14ac:dyDescent="0.2">
      <c r="A1555" s="71" t="s">
        <v>275</v>
      </c>
      <c r="B1555" s="71" t="s">
        <v>276</v>
      </c>
      <c r="C1555" s="71" t="s">
        <v>41</v>
      </c>
      <c r="D1555" s="88">
        <v>46262.400451388901</v>
      </c>
      <c r="E1555" s="89">
        <v>46262</v>
      </c>
      <c r="F1555" s="71" t="s">
        <v>1977</v>
      </c>
      <c r="G1555" s="71">
        <f t="shared" si="48"/>
        <v>8</v>
      </c>
      <c r="H1555" s="71">
        <f t="shared" si="49"/>
        <v>129</v>
      </c>
    </row>
    <row r="1556" spans="1:8" x14ac:dyDescent="0.2">
      <c r="A1556" s="71" t="s">
        <v>275</v>
      </c>
      <c r="B1556" s="71" t="s">
        <v>276</v>
      </c>
      <c r="C1556" s="71" t="s">
        <v>41</v>
      </c>
      <c r="D1556" s="88">
        <v>46265.402916666702</v>
      </c>
      <c r="E1556" s="89">
        <v>46265</v>
      </c>
      <c r="F1556" s="71" t="s">
        <v>1978</v>
      </c>
      <c r="G1556" s="71">
        <f t="shared" si="48"/>
        <v>8</v>
      </c>
      <c r="H1556" s="71">
        <f t="shared" si="49"/>
        <v>108</v>
      </c>
    </row>
    <row r="1557" spans="1:8" x14ac:dyDescent="0.2">
      <c r="A1557" s="71" t="s">
        <v>275</v>
      </c>
      <c r="B1557" s="71" t="s">
        <v>276</v>
      </c>
      <c r="C1557" s="71" t="s">
        <v>41</v>
      </c>
      <c r="D1557" s="88">
        <v>46266.433101851901</v>
      </c>
      <c r="E1557" s="89">
        <v>46266</v>
      </c>
      <c r="F1557" s="71" t="s">
        <v>1979</v>
      </c>
      <c r="G1557" s="71">
        <f t="shared" si="48"/>
        <v>9</v>
      </c>
      <c r="H1557" s="71">
        <f t="shared" si="49"/>
        <v>114</v>
      </c>
    </row>
    <row r="1558" spans="1:8" x14ac:dyDescent="0.2">
      <c r="A1558" s="71" t="s">
        <v>275</v>
      </c>
      <c r="B1558" s="71" t="s">
        <v>276</v>
      </c>
      <c r="C1558" s="71" t="s">
        <v>41</v>
      </c>
      <c r="D1558" s="88">
        <v>46266.459641203699</v>
      </c>
      <c r="E1558" s="89">
        <v>46266</v>
      </c>
      <c r="F1558" s="71" t="s">
        <v>1980</v>
      </c>
      <c r="G1558" s="71">
        <f t="shared" si="48"/>
        <v>9</v>
      </c>
      <c r="H1558" s="71">
        <f t="shared" si="49"/>
        <v>132</v>
      </c>
    </row>
    <row r="1559" spans="1:8" x14ac:dyDescent="0.2">
      <c r="A1559" s="71" t="s">
        <v>275</v>
      </c>
      <c r="B1559" s="71" t="s">
        <v>276</v>
      </c>
      <c r="C1559" s="71" t="s">
        <v>41</v>
      </c>
      <c r="D1559" s="88">
        <v>46267.436550925901</v>
      </c>
      <c r="E1559" s="89">
        <v>46267</v>
      </c>
      <c r="F1559" s="71" t="s">
        <v>1981</v>
      </c>
      <c r="G1559" s="71">
        <f t="shared" si="48"/>
        <v>9</v>
      </c>
      <c r="H1559" s="71">
        <f t="shared" si="49"/>
        <v>145</v>
      </c>
    </row>
    <row r="1560" spans="1:8" x14ac:dyDescent="0.2">
      <c r="A1560" s="71" t="s">
        <v>275</v>
      </c>
      <c r="B1560" s="71" t="s">
        <v>276</v>
      </c>
      <c r="C1560" s="71" t="s">
        <v>41</v>
      </c>
      <c r="D1560" s="88">
        <v>46267.6259027778</v>
      </c>
      <c r="E1560" s="89">
        <v>46267</v>
      </c>
      <c r="F1560" s="71" t="s">
        <v>1982</v>
      </c>
      <c r="G1560" s="71">
        <f t="shared" si="48"/>
        <v>9</v>
      </c>
      <c r="H1560" s="71">
        <f t="shared" si="49"/>
        <v>115</v>
      </c>
    </row>
    <row r="1561" spans="1:8" x14ac:dyDescent="0.2">
      <c r="A1561" s="71" t="s">
        <v>275</v>
      </c>
      <c r="B1561" s="71" t="s">
        <v>276</v>
      </c>
      <c r="C1561" s="71" t="s">
        <v>41</v>
      </c>
      <c r="D1561" s="88">
        <v>46268.4519560185</v>
      </c>
      <c r="E1561" s="89">
        <v>46268</v>
      </c>
      <c r="F1561" s="71" t="s">
        <v>1983</v>
      </c>
      <c r="G1561" s="71">
        <f t="shared" si="48"/>
        <v>9</v>
      </c>
      <c r="H1561" s="71">
        <f t="shared" si="49"/>
        <v>113</v>
      </c>
    </row>
    <row r="1562" spans="1:8" x14ac:dyDescent="0.2">
      <c r="A1562" s="71" t="s">
        <v>275</v>
      </c>
      <c r="B1562" s="71" t="s">
        <v>276</v>
      </c>
      <c r="C1562" s="71" t="s">
        <v>41</v>
      </c>
      <c r="D1562" s="88">
        <v>46268.676111111097</v>
      </c>
      <c r="E1562" s="89">
        <v>46268</v>
      </c>
      <c r="F1562" s="71" t="s">
        <v>1984</v>
      </c>
      <c r="G1562" s="71">
        <f t="shared" si="48"/>
        <v>9</v>
      </c>
      <c r="H1562" s="71">
        <f t="shared" si="49"/>
        <v>136</v>
      </c>
    </row>
    <row r="1563" spans="1:8" x14ac:dyDescent="0.2">
      <c r="A1563" s="71" t="s">
        <v>275</v>
      </c>
      <c r="B1563" s="71" t="s">
        <v>276</v>
      </c>
      <c r="C1563" s="71" t="s">
        <v>41</v>
      </c>
      <c r="D1563" s="88">
        <v>46272.551111111097</v>
      </c>
      <c r="E1563" s="89">
        <v>46272</v>
      </c>
      <c r="F1563" s="71" t="s">
        <v>1985</v>
      </c>
      <c r="G1563" s="71">
        <f t="shared" si="48"/>
        <v>9</v>
      </c>
      <c r="H1563" s="71">
        <f t="shared" si="49"/>
        <v>124</v>
      </c>
    </row>
    <row r="1564" spans="1:8" x14ac:dyDescent="0.2">
      <c r="A1564" s="71" t="s">
        <v>275</v>
      </c>
      <c r="B1564" s="71" t="s">
        <v>276</v>
      </c>
      <c r="C1564" s="71" t="s">
        <v>41</v>
      </c>
      <c r="D1564" s="88">
        <v>46272.680162037002</v>
      </c>
      <c r="E1564" s="89">
        <v>46272</v>
      </c>
      <c r="F1564" s="71" t="s">
        <v>1986</v>
      </c>
      <c r="G1564" s="71">
        <f t="shared" si="48"/>
        <v>9</v>
      </c>
      <c r="H1564" s="71">
        <f t="shared" si="49"/>
        <v>95</v>
      </c>
    </row>
    <row r="1565" spans="1:8" x14ac:dyDescent="0.2">
      <c r="A1565" s="71" t="s">
        <v>275</v>
      </c>
      <c r="B1565" s="71" t="s">
        <v>276</v>
      </c>
      <c r="C1565" s="71" t="s">
        <v>41</v>
      </c>
      <c r="D1565" s="88">
        <v>46274.345833333296</v>
      </c>
      <c r="E1565" s="89">
        <v>46274</v>
      </c>
      <c r="F1565" s="71" t="s">
        <v>1987</v>
      </c>
      <c r="G1565" s="71">
        <f t="shared" si="48"/>
        <v>9</v>
      </c>
      <c r="H1565" s="71">
        <f t="shared" si="49"/>
        <v>90</v>
      </c>
    </row>
    <row r="1566" spans="1:8" x14ac:dyDescent="0.2">
      <c r="A1566" s="71" t="s">
        <v>275</v>
      </c>
      <c r="B1566" s="71" t="s">
        <v>276</v>
      </c>
      <c r="C1566" s="71" t="s">
        <v>41</v>
      </c>
      <c r="D1566" s="88">
        <v>46274.595023148198</v>
      </c>
      <c r="E1566" s="89">
        <v>46274</v>
      </c>
      <c r="F1566" s="71" t="s">
        <v>1988</v>
      </c>
      <c r="G1566" s="71">
        <f t="shared" si="48"/>
        <v>9</v>
      </c>
      <c r="H1566" s="71">
        <f t="shared" si="49"/>
        <v>125</v>
      </c>
    </row>
    <row r="1567" spans="1:8" x14ac:dyDescent="0.2">
      <c r="A1567" s="71" t="s">
        <v>275</v>
      </c>
      <c r="B1567" s="71" t="s">
        <v>276</v>
      </c>
      <c r="C1567" s="71" t="s">
        <v>41</v>
      </c>
      <c r="D1567" s="88">
        <v>46275.450972222199</v>
      </c>
      <c r="E1567" s="89">
        <v>46275</v>
      </c>
      <c r="F1567" s="71" t="s">
        <v>1989</v>
      </c>
      <c r="G1567" s="71">
        <f t="shared" si="48"/>
        <v>9</v>
      </c>
      <c r="H1567" s="71">
        <f t="shared" si="49"/>
        <v>74</v>
      </c>
    </row>
    <row r="1568" spans="1:8" x14ac:dyDescent="0.2">
      <c r="A1568" s="71" t="s">
        <v>275</v>
      </c>
      <c r="B1568" s="71" t="s">
        <v>276</v>
      </c>
      <c r="C1568" s="71" t="s">
        <v>41</v>
      </c>
      <c r="D1568" s="88">
        <v>46276.458900463003</v>
      </c>
      <c r="E1568" s="89">
        <v>46276</v>
      </c>
      <c r="F1568" s="71" t="s">
        <v>1990</v>
      </c>
      <c r="G1568" s="71">
        <f t="shared" si="48"/>
        <v>9</v>
      </c>
      <c r="H1568" s="71">
        <f t="shared" si="49"/>
        <v>110</v>
      </c>
    </row>
    <row r="1569" spans="1:8" x14ac:dyDescent="0.2">
      <c r="A1569" s="71" t="s">
        <v>275</v>
      </c>
      <c r="B1569" s="71" t="s">
        <v>276</v>
      </c>
      <c r="C1569" s="71" t="s">
        <v>41</v>
      </c>
      <c r="D1569" s="88">
        <v>46276.679768518501</v>
      </c>
      <c r="E1569" s="89">
        <v>46276</v>
      </c>
      <c r="F1569" s="71" t="s">
        <v>1991</v>
      </c>
      <c r="G1569" s="71">
        <f t="shared" si="48"/>
        <v>9</v>
      </c>
      <c r="H1569" s="71">
        <f t="shared" si="49"/>
        <v>140</v>
      </c>
    </row>
    <row r="1570" spans="1:8" x14ac:dyDescent="0.2">
      <c r="A1570" s="71" t="s">
        <v>275</v>
      </c>
      <c r="B1570" s="71" t="s">
        <v>276</v>
      </c>
      <c r="C1570" s="71" t="s">
        <v>41</v>
      </c>
      <c r="D1570" s="88">
        <v>46279.679513888899</v>
      </c>
      <c r="E1570" s="89">
        <v>46279</v>
      </c>
      <c r="F1570" s="71" t="s">
        <v>1992</v>
      </c>
      <c r="G1570" s="71">
        <f t="shared" si="48"/>
        <v>9</v>
      </c>
      <c r="H1570" s="71">
        <f t="shared" si="49"/>
        <v>77</v>
      </c>
    </row>
    <row r="1571" spans="1:8" x14ac:dyDescent="0.2">
      <c r="A1571" s="71" t="s">
        <v>275</v>
      </c>
      <c r="B1571" s="71" t="s">
        <v>276</v>
      </c>
      <c r="C1571" s="71" t="s">
        <v>41</v>
      </c>
      <c r="D1571" s="88">
        <v>46279.681122685201</v>
      </c>
      <c r="E1571" s="89">
        <v>46279</v>
      </c>
      <c r="F1571" s="71" t="s">
        <v>1993</v>
      </c>
      <c r="G1571" s="71">
        <f t="shared" si="48"/>
        <v>9</v>
      </c>
      <c r="H1571" s="71">
        <f t="shared" si="49"/>
        <v>142</v>
      </c>
    </row>
    <row r="1572" spans="1:8" x14ac:dyDescent="0.2">
      <c r="A1572" s="71" t="s">
        <v>275</v>
      </c>
      <c r="B1572" s="71" t="s">
        <v>276</v>
      </c>
      <c r="C1572" s="71" t="s">
        <v>41</v>
      </c>
      <c r="D1572" s="88">
        <v>46280.361956018503</v>
      </c>
      <c r="E1572" s="89">
        <v>46280</v>
      </c>
      <c r="F1572" s="71" t="s">
        <v>1994</v>
      </c>
      <c r="G1572" s="71">
        <f t="shared" si="48"/>
        <v>9</v>
      </c>
      <c r="H1572" s="71">
        <f t="shared" si="49"/>
        <v>67</v>
      </c>
    </row>
    <row r="1573" spans="1:8" x14ac:dyDescent="0.2">
      <c r="A1573" s="71" t="s">
        <v>275</v>
      </c>
      <c r="B1573" s="71" t="s">
        <v>276</v>
      </c>
      <c r="C1573" s="71" t="s">
        <v>41</v>
      </c>
      <c r="D1573" s="88">
        <v>46280.364282407398</v>
      </c>
      <c r="E1573" s="89">
        <v>46280</v>
      </c>
      <c r="F1573" s="71" t="s">
        <v>1995</v>
      </c>
      <c r="G1573" s="71">
        <f t="shared" si="48"/>
        <v>9</v>
      </c>
      <c r="H1573" s="71">
        <f t="shared" si="49"/>
        <v>137</v>
      </c>
    </row>
    <row r="1574" spans="1:8" x14ac:dyDescent="0.2">
      <c r="A1574" s="71" t="s">
        <v>275</v>
      </c>
      <c r="B1574" s="71" t="s">
        <v>276</v>
      </c>
      <c r="C1574" s="71" t="s">
        <v>41</v>
      </c>
      <c r="D1574" s="88">
        <v>46281.478240740696</v>
      </c>
      <c r="E1574" s="89">
        <v>46281</v>
      </c>
      <c r="F1574" s="71" t="s">
        <v>1996</v>
      </c>
      <c r="G1574" s="71">
        <f t="shared" si="48"/>
        <v>9</v>
      </c>
      <c r="H1574" s="71">
        <f t="shared" si="49"/>
        <v>108</v>
      </c>
    </row>
    <row r="1575" spans="1:8" x14ac:dyDescent="0.2">
      <c r="A1575" s="71" t="s">
        <v>275</v>
      </c>
      <c r="B1575" s="71" t="s">
        <v>276</v>
      </c>
      <c r="C1575" s="71" t="s">
        <v>41</v>
      </c>
      <c r="D1575" s="88">
        <v>46281.690543981502</v>
      </c>
      <c r="E1575" s="89">
        <v>46281</v>
      </c>
      <c r="F1575" s="71" t="s">
        <v>1997</v>
      </c>
      <c r="G1575" s="71">
        <f t="shared" si="48"/>
        <v>9</v>
      </c>
      <c r="H1575" s="71">
        <f t="shared" si="49"/>
        <v>144</v>
      </c>
    </row>
    <row r="1576" spans="1:8" x14ac:dyDescent="0.2">
      <c r="A1576" s="71" t="s">
        <v>275</v>
      </c>
      <c r="B1576" s="71" t="s">
        <v>276</v>
      </c>
      <c r="C1576" s="71" t="s">
        <v>41</v>
      </c>
      <c r="D1576" s="88">
        <v>46282.574444444399</v>
      </c>
      <c r="E1576" s="89">
        <v>46282</v>
      </c>
      <c r="F1576" s="71" t="s">
        <v>1998</v>
      </c>
      <c r="G1576" s="71">
        <f t="shared" si="48"/>
        <v>9</v>
      </c>
      <c r="H1576" s="71">
        <f t="shared" si="49"/>
        <v>102</v>
      </c>
    </row>
    <row r="1577" spans="1:8" x14ac:dyDescent="0.2">
      <c r="A1577" s="71" t="s">
        <v>275</v>
      </c>
      <c r="B1577" s="71" t="s">
        <v>276</v>
      </c>
      <c r="C1577" s="71" t="s">
        <v>41</v>
      </c>
      <c r="D1577" s="88">
        <v>46283.726620370398</v>
      </c>
      <c r="E1577" s="89">
        <v>46283</v>
      </c>
      <c r="F1577" s="71" t="s">
        <v>1999</v>
      </c>
      <c r="G1577" s="71">
        <f t="shared" si="48"/>
        <v>9</v>
      </c>
      <c r="H1577" s="71">
        <f t="shared" si="49"/>
        <v>103</v>
      </c>
    </row>
    <row r="1578" spans="1:8" x14ac:dyDescent="0.2">
      <c r="A1578" s="71" t="s">
        <v>275</v>
      </c>
      <c r="B1578" s="71" t="s">
        <v>276</v>
      </c>
      <c r="C1578" s="71" t="s">
        <v>41</v>
      </c>
      <c r="D1578" s="88">
        <v>46286.482951388898</v>
      </c>
      <c r="E1578" s="89">
        <v>46286</v>
      </c>
      <c r="F1578" s="71" t="s">
        <v>2000</v>
      </c>
      <c r="G1578" s="71">
        <f t="shared" si="48"/>
        <v>9</v>
      </c>
      <c r="H1578" s="71">
        <f t="shared" si="49"/>
        <v>92</v>
      </c>
    </row>
    <row r="1579" spans="1:8" x14ac:dyDescent="0.2">
      <c r="A1579" s="71" t="s">
        <v>275</v>
      </c>
      <c r="B1579" s="71" t="s">
        <v>276</v>
      </c>
      <c r="C1579" s="71" t="s">
        <v>41</v>
      </c>
      <c r="D1579" s="88">
        <v>46286.682442129597</v>
      </c>
      <c r="E1579" s="89">
        <v>46286</v>
      </c>
      <c r="F1579" s="71" t="s">
        <v>2001</v>
      </c>
      <c r="G1579" s="71">
        <f t="shared" si="48"/>
        <v>9</v>
      </c>
      <c r="H1579" s="71">
        <f t="shared" si="49"/>
        <v>88</v>
      </c>
    </row>
    <row r="1580" spans="1:8" x14ac:dyDescent="0.2">
      <c r="A1580" s="71" t="s">
        <v>275</v>
      </c>
      <c r="B1580" s="71" t="s">
        <v>276</v>
      </c>
      <c r="C1580" s="71" t="s">
        <v>41</v>
      </c>
      <c r="D1580" s="88">
        <v>46287.457638888904</v>
      </c>
      <c r="E1580" s="89">
        <v>46287</v>
      </c>
      <c r="F1580" s="71" t="s">
        <v>2002</v>
      </c>
      <c r="G1580" s="71">
        <f t="shared" si="48"/>
        <v>9</v>
      </c>
      <c r="H1580" s="71">
        <f t="shared" si="49"/>
        <v>125</v>
      </c>
    </row>
    <row r="1581" spans="1:8" x14ac:dyDescent="0.2">
      <c r="A1581" s="71" t="s">
        <v>275</v>
      </c>
      <c r="B1581" s="71" t="s">
        <v>276</v>
      </c>
      <c r="C1581" s="71" t="s">
        <v>41</v>
      </c>
      <c r="D1581" s="88">
        <v>46288.588136574101</v>
      </c>
      <c r="E1581" s="89">
        <v>46288</v>
      </c>
      <c r="F1581" s="71" t="s">
        <v>2003</v>
      </c>
      <c r="G1581" s="71">
        <f t="shared" si="48"/>
        <v>9</v>
      </c>
      <c r="H1581" s="71">
        <f t="shared" si="49"/>
        <v>142</v>
      </c>
    </row>
    <row r="1582" spans="1:8" x14ac:dyDescent="0.2">
      <c r="A1582" s="71" t="s">
        <v>275</v>
      </c>
      <c r="B1582" s="71" t="s">
        <v>276</v>
      </c>
      <c r="C1582" s="71" t="s">
        <v>41</v>
      </c>
      <c r="D1582" s="88">
        <v>46289.427187499998</v>
      </c>
      <c r="E1582" s="89">
        <v>46289</v>
      </c>
      <c r="F1582" s="71" t="s">
        <v>2004</v>
      </c>
      <c r="G1582" s="71">
        <f t="shared" si="48"/>
        <v>9</v>
      </c>
      <c r="H1582" s="71">
        <f t="shared" si="49"/>
        <v>109</v>
      </c>
    </row>
    <row r="1583" spans="1:8" x14ac:dyDescent="0.2">
      <c r="A1583" s="71" t="s">
        <v>275</v>
      </c>
      <c r="B1583" s="71" t="s">
        <v>276</v>
      </c>
      <c r="C1583" s="71" t="s">
        <v>41</v>
      </c>
      <c r="D1583" s="88">
        <v>46289.5858912037</v>
      </c>
      <c r="E1583" s="89">
        <v>46289</v>
      </c>
      <c r="F1583" s="71" t="s">
        <v>2005</v>
      </c>
      <c r="G1583" s="71">
        <f t="shared" si="48"/>
        <v>9</v>
      </c>
      <c r="H1583" s="71">
        <f t="shared" si="49"/>
        <v>142</v>
      </c>
    </row>
    <row r="1584" spans="1:8" x14ac:dyDescent="0.2">
      <c r="A1584" s="71" t="s">
        <v>275</v>
      </c>
      <c r="B1584" s="71" t="s">
        <v>276</v>
      </c>
      <c r="C1584" s="71" t="s">
        <v>41</v>
      </c>
      <c r="D1584" s="88">
        <v>46290.669467592597</v>
      </c>
      <c r="E1584" s="89">
        <v>46290</v>
      </c>
      <c r="F1584" s="71" t="s">
        <v>2006</v>
      </c>
      <c r="G1584" s="71">
        <f t="shared" si="48"/>
        <v>9</v>
      </c>
      <c r="H1584" s="71">
        <f t="shared" si="49"/>
        <v>96</v>
      </c>
    </row>
    <row r="1585" spans="1:8" x14ac:dyDescent="0.2">
      <c r="A1585" s="71" t="s">
        <v>275</v>
      </c>
      <c r="B1585" s="71" t="s">
        <v>276</v>
      </c>
      <c r="C1585" s="71" t="s">
        <v>41</v>
      </c>
      <c r="D1585" s="88">
        <v>46293.582974536999</v>
      </c>
      <c r="E1585" s="89">
        <v>46293</v>
      </c>
      <c r="F1585" s="71" t="s">
        <v>2007</v>
      </c>
      <c r="G1585" s="71">
        <f t="shared" si="48"/>
        <v>9</v>
      </c>
      <c r="H1585" s="71">
        <f t="shared" si="49"/>
        <v>126</v>
      </c>
    </row>
    <row r="1586" spans="1:8" x14ac:dyDescent="0.2">
      <c r="A1586" s="71" t="s">
        <v>275</v>
      </c>
      <c r="B1586" s="71" t="s">
        <v>276</v>
      </c>
      <c r="C1586" s="71" t="s">
        <v>41</v>
      </c>
      <c r="D1586" s="88">
        <v>46294.6799537037</v>
      </c>
      <c r="E1586" s="89">
        <v>46294</v>
      </c>
      <c r="F1586" s="71" t="s">
        <v>2008</v>
      </c>
      <c r="G1586" s="71">
        <f t="shared" si="48"/>
        <v>9</v>
      </c>
      <c r="H1586" s="71">
        <f t="shared" si="49"/>
        <v>76</v>
      </c>
    </row>
    <row r="1587" spans="1:8" x14ac:dyDescent="0.2">
      <c r="A1587" s="71" t="s">
        <v>275</v>
      </c>
      <c r="B1587" s="71" t="s">
        <v>276</v>
      </c>
      <c r="C1587" s="71" t="s">
        <v>41</v>
      </c>
      <c r="D1587" s="88">
        <v>46295.658090277801</v>
      </c>
      <c r="E1587" s="89">
        <v>46295</v>
      </c>
      <c r="F1587" s="71" t="s">
        <v>2009</v>
      </c>
      <c r="G1587" s="71">
        <f t="shared" si="48"/>
        <v>9</v>
      </c>
      <c r="H1587" s="71">
        <f t="shared" si="49"/>
        <v>109</v>
      </c>
    </row>
    <row r="1588" spans="1:8" x14ac:dyDescent="0.2">
      <c r="A1588" s="71" t="s">
        <v>216</v>
      </c>
      <c r="B1588" s="71" t="s">
        <v>217</v>
      </c>
      <c r="C1588" s="71" t="s">
        <v>54</v>
      </c>
      <c r="D1588" s="88">
        <v>46178.687916666699</v>
      </c>
      <c r="E1588" s="89">
        <v>46178</v>
      </c>
      <c r="F1588" s="71" t="s">
        <v>2010</v>
      </c>
      <c r="G1588" s="71">
        <f t="shared" si="48"/>
        <v>6</v>
      </c>
      <c r="H1588" s="71">
        <f t="shared" si="49"/>
        <v>19</v>
      </c>
    </row>
    <row r="1589" spans="1:8" x14ac:dyDescent="0.2">
      <c r="A1589" s="71" t="s">
        <v>216</v>
      </c>
      <c r="B1589" s="71" t="s">
        <v>217</v>
      </c>
      <c r="C1589" s="71" t="s">
        <v>54</v>
      </c>
      <c r="D1589" s="88">
        <v>46181.487962963001</v>
      </c>
      <c r="E1589" s="89">
        <v>46181</v>
      </c>
      <c r="F1589" s="71" t="s">
        <v>2011</v>
      </c>
      <c r="G1589" s="71">
        <f t="shared" si="48"/>
        <v>6</v>
      </c>
      <c r="H1589" s="71">
        <f t="shared" si="49"/>
        <v>15</v>
      </c>
    </row>
    <row r="1590" spans="1:8" x14ac:dyDescent="0.2">
      <c r="A1590" s="71" t="s">
        <v>216</v>
      </c>
      <c r="B1590" s="71" t="s">
        <v>217</v>
      </c>
      <c r="C1590" s="71" t="s">
        <v>54</v>
      </c>
      <c r="D1590" s="88">
        <v>46182.319074074097</v>
      </c>
      <c r="E1590" s="89">
        <v>46182</v>
      </c>
      <c r="F1590" s="71" t="s">
        <v>2011</v>
      </c>
      <c r="G1590" s="71">
        <f t="shared" si="48"/>
        <v>6</v>
      </c>
      <c r="H1590" s="71">
        <f t="shared" si="49"/>
        <v>15</v>
      </c>
    </row>
    <row r="1591" spans="1:8" x14ac:dyDescent="0.2">
      <c r="A1591" s="71" t="s">
        <v>216</v>
      </c>
      <c r="B1591" s="71" t="s">
        <v>217</v>
      </c>
      <c r="C1591" s="71" t="s">
        <v>54</v>
      </c>
      <c r="D1591" s="88">
        <v>46182.412731481498</v>
      </c>
      <c r="E1591" s="89">
        <v>46182</v>
      </c>
      <c r="F1591" s="71" t="s">
        <v>2012</v>
      </c>
      <c r="G1591" s="71">
        <f t="shared" si="48"/>
        <v>6</v>
      </c>
      <c r="H1591" s="71">
        <f t="shared" si="49"/>
        <v>23</v>
      </c>
    </row>
    <row r="1592" spans="1:8" x14ac:dyDescent="0.2">
      <c r="A1592" s="71" t="s">
        <v>216</v>
      </c>
      <c r="B1592" s="71" t="s">
        <v>217</v>
      </c>
      <c r="C1592" s="71" t="s">
        <v>54</v>
      </c>
      <c r="D1592" s="88">
        <v>46184.327916666698</v>
      </c>
      <c r="E1592" s="89">
        <v>46184</v>
      </c>
      <c r="F1592" s="71" t="s">
        <v>2013</v>
      </c>
      <c r="G1592" s="71">
        <f t="shared" si="48"/>
        <v>6</v>
      </c>
      <c r="H1592" s="71">
        <f t="shared" si="49"/>
        <v>23</v>
      </c>
    </row>
    <row r="1593" spans="1:8" x14ac:dyDescent="0.2">
      <c r="A1593" s="71" t="s">
        <v>216</v>
      </c>
      <c r="B1593" s="71" t="s">
        <v>217</v>
      </c>
      <c r="C1593" s="71" t="s">
        <v>54</v>
      </c>
      <c r="D1593" s="88">
        <v>46185.569780092599</v>
      </c>
      <c r="E1593" s="89">
        <v>46185</v>
      </c>
      <c r="F1593" s="71" t="s">
        <v>2013</v>
      </c>
      <c r="G1593" s="71">
        <f t="shared" si="48"/>
        <v>6</v>
      </c>
      <c r="H1593" s="71">
        <f t="shared" si="49"/>
        <v>23</v>
      </c>
    </row>
    <row r="1594" spans="1:8" x14ac:dyDescent="0.2">
      <c r="A1594" s="71" t="s">
        <v>216</v>
      </c>
      <c r="B1594" s="71" t="s">
        <v>217</v>
      </c>
      <c r="C1594" s="71" t="s">
        <v>54</v>
      </c>
      <c r="D1594" s="88">
        <v>46185.659363425897</v>
      </c>
      <c r="E1594" s="89">
        <v>46185</v>
      </c>
      <c r="F1594" s="71" t="s">
        <v>2014</v>
      </c>
      <c r="G1594" s="71">
        <f t="shared" si="48"/>
        <v>6</v>
      </c>
      <c r="H1594" s="71">
        <f t="shared" si="49"/>
        <v>26</v>
      </c>
    </row>
    <row r="1595" spans="1:8" x14ac:dyDescent="0.2">
      <c r="A1595" s="71" t="s">
        <v>216</v>
      </c>
      <c r="B1595" s="71" t="s">
        <v>217</v>
      </c>
      <c r="C1595" s="71" t="s">
        <v>54</v>
      </c>
      <c r="D1595" s="88">
        <v>46188.325543981497</v>
      </c>
      <c r="E1595" s="89">
        <v>46188</v>
      </c>
      <c r="F1595" s="71" t="s">
        <v>2015</v>
      </c>
      <c r="G1595" s="71">
        <f t="shared" si="48"/>
        <v>6</v>
      </c>
      <c r="H1595" s="71">
        <f t="shared" si="49"/>
        <v>35</v>
      </c>
    </row>
    <row r="1596" spans="1:8" x14ac:dyDescent="0.2">
      <c r="A1596" s="71" t="s">
        <v>216</v>
      </c>
      <c r="B1596" s="71" t="s">
        <v>217</v>
      </c>
      <c r="C1596" s="71" t="s">
        <v>54</v>
      </c>
      <c r="D1596" s="88">
        <v>46191.322349536997</v>
      </c>
      <c r="E1596" s="89">
        <v>46191</v>
      </c>
      <c r="F1596" s="71" t="s">
        <v>2016</v>
      </c>
      <c r="G1596" s="71">
        <f t="shared" si="48"/>
        <v>6</v>
      </c>
      <c r="H1596" s="71">
        <f t="shared" si="49"/>
        <v>37</v>
      </c>
    </row>
    <row r="1597" spans="1:8" x14ac:dyDescent="0.2">
      <c r="A1597" s="71" t="s">
        <v>216</v>
      </c>
      <c r="B1597" s="71" t="s">
        <v>217</v>
      </c>
      <c r="C1597" s="71" t="s">
        <v>54</v>
      </c>
      <c r="D1597" s="88">
        <v>46192.404050925899</v>
      </c>
      <c r="E1597" s="89">
        <v>46192</v>
      </c>
      <c r="F1597" s="71" t="s">
        <v>2017</v>
      </c>
      <c r="G1597" s="71">
        <f t="shared" si="48"/>
        <v>6</v>
      </c>
      <c r="H1597" s="71">
        <f t="shared" si="49"/>
        <v>41</v>
      </c>
    </row>
    <row r="1598" spans="1:8" x14ac:dyDescent="0.2">
      <c r="A1598" s="71" t="s">
        <v>216</v>
      </c>
      <c r="B1598" s="71" t="s">
        <v>217</v>
      </c>
      <c r="C1598" s="71" t="s">
        <v>54</v>
      </c>
      <c r="D1598" s="88">
        <v>46195.336643518502</v>
      </c>
      <c r="E1598" s="89">
        <v>46195</v>
      </c>
      <c r="F1598" s="71" t="s">
        <v>2018</v>
      </c>
      <c r="G1598" s="71">
        <f t="shared" si="48"/>
        <v>6</v>
      </c>
      <c r="H1598" s="71">
        <f t="shared" si="49"/>
        <v>74</v>
      </c>
    </row>
    <row r="1599" spans="1:8" x14ac:dyDescent="0.2">
      <c r="A1599" s="71" t="s">
        <v>216</v>
      </c>
      <c r="B1599" s="71" t="s">
        <v>217</v>
      </c>
      <c r="C1599" s="71" t="s">
        <v>54</v>
      </c>
      <c r="D1599" s="88">
        <v>46196.328657407401</v>
      </c>
      <c r="E1599" s="89">
        <v>46196</v>
      </c>
      <c r="F1599" s="71" t="s">
        <v>2019</v>
      </c>
      <c r="G1599" s="71">
        <f t="shared" si="48"/>
        <v>6</v>
      </c>
      <c r="H1599" s="71">
        <f t="shared" si="49"/>
        <v>32</v>
      </c>
    </row>
    <row r="1600" spans="1:8" x14ac:dyDescent="0.2">
      <c r="A1600" s="71" t="s">
        <v>216</v>
      </c>
      <c r="B1600" s="71" t="s">
        <v>217</v>
      </c>
      <c r="C1600" s="71" t="s">
        <v>54</v>
      </c>
      <c r="D1600" s="88">
        <v>46198.344756944498</v>
      </c>
      <c r="E1600" s="89">
        <v>46198</v>
      </c>
      <c r="F1600" s="71" t="s">
        <v>2020</v>
      </c>
      <c r="G1600" s="71">
        <f t="shared" si="48"/>
        <v>6</v>
      </c>
      <c r="H1600" s="71">
        <f t="shared" si="49"/>
        <v>41</v>
      </c>
    </row>
    <row r="1601" spans="1:8" x14ac:dyDescent="0.2">
      <c r="A1601" s="71" t="s">
        <v>216</v>
      </c>
      <c r="B1601" s="71" t="s">
        <v>217</v>
      </c>
      <c r="C1601" s="71" t="s">
        <v>54</v>
      </c>
      <c r="D1601" s="88">
        <v>46199.339444444398</v>
      </c>
      <c r="E1601" s="89">
        <v>46199</v>
      </c>
      <c r="F1601" s="71" t="s">
        <v>2021</v>
      </c>
      <c r="G1601" s="71">
        <f t="shared" si="48"/>
        <v>6</v>
      </c>
      <c r="H1601" s="71">
        <f t="shared" si="49"/>
        <v>35</v>
      </c>
    </row>
    <row r="1602" spans="1:8" x14ac:dyDescent="0.2">
      <c r="A1602" s="71" t="s">
        <v>216</v>
      </c>
      <c r="B1602" s="71" t="s">
        <v>217</v>
      </c>
      <c r="C1602" s="71" t="s">
        <v>54</v>
      </c>
      <c r="D1602" s="88">
        <v>46202.315370370401</v>
      </c>
      <c r="E1602" s="89">
        <v>46202</v>
      </c>
      <c r="F1602" s="71" t="s">
        <v>2022</v>
      </c>
      <c r="G1602" s="71">
        <f t="shared" ref="G1602:G1665" si="50">MONTH(E1602)</f>
        <v>6</v>
      </c>
      <c r="H1602" s="71">
        <f t="shared" ref="H1602:H1665" si="51">LEN(F1602)</f>
        <v>33</v>
      </c>
    </row>
    <row r="1603" spans="1:8" x14ac:dyDescent="0.2">
      <c r="A1603" s="71" t="s">
        <v>216</v>
      </c>
      <c r="B1603" s="71" t="s">
        <v>217</v>
      </c>
      <c r="C1603" s="71" t="s">
        <v>54</v>
      </c>
      <c r="D1603" s="88">
        <v>46205.333078703698</v>
      </c>
      <c r="E1603" s="89">
        <v>46205</v>
      </c>
      <c r="F1603" s="71" t="s">
        <v>2023</v>
      </c>
      <c r="G1603" s="71">
        <f t="shared" si="50"/>
        <v>7</v>
      </c>
      <c r="H1603" s="71">
        <f t="shared" si="51"/>
        <v>32</v>
      </c>
    </row>
    <row r="1604" spans="1:8" x14ac:dyDescent="0.2">
      <c r="A1604" s="71" t="s">
        <v>216</v>
      </c>
      <c r="B1604" s="71" t="s">
        <v>217</v>
      </c>
      <c r="C1604" s="71" t="s">
        <v>54</v>
      </c>
      <c r="D1604" s="88">
        <v>46206.690150463</v>
      </c>
      <c r="E1604" s="89">
        <v>46206</v>
      </c>
      <c r="F1604" s="71" t="s">
        <v>2024</v>
      </c>
      <c r="G1604" s="71">
        <f t="shared" si="50"/>
        <v>7</v>
      </c>
      <c r="H1604" s="71">
        <f t="shared" si="51"/>
        <v>34</v>
      </c>
    </row>
    <row r="1605" spans="1:8" x14ac:dyDescent="0.2">
      <c r="A1605" s="71" t="s">
        <v>216</v>
      </c>
      <c r="B1605" s="71" t="s">
        <v>217</v>
      </c>
      <c r="C1605" s="71" t="s">
        <v>54</v>
      </c>
      <c r="D1605" s="88">
        <v>46209.323715277802</v>
      </c>
      <c r="E1605" s="89">
        <v>46209</v>
      </c>
      <c r="F1605" s="71" t="s">
        <v>2025</v>
      </c>
      <c r="G1605" s="71">
        <f t="shared" si="50"/>
        <v>7</v>
      </c>
      <c r="H1605" s="71">
        <f t="shared" si="51"/>
        <v>39</v>
      </c>
    </row>
    <row r="1606" spans="1:8" x14ac:dyDescent="0.2">
      <c r="A1606" s="71" t="s">
        <v>216</v>
      </c>
      <c r="B1606" s="71" t="s">
        <v>217</v>
      </c>
      <c r="C1606" s="71" t="s">
        <v>54</v>
      </c>
      <c r="D1606" s="88">
        <v>46210.369108796302</v>
      </c>
      <c r="E1606" s="89">
        <v>46210</v>
      </c>
      <c r="F1606" s="71" t="s">
        <v>2026</v>
      </c>
      <c r="G1606" s="71">
        <f t="shared" si="50"/>
        <v>7</v>
      </c>
      <c r="H1606" s="71">
        <f t="shared" si="51"/>
        <v>20</v>
      </c>
    </row>
    <row r="1607" spans="1:8" x14ac:dyDescent="0.2">
      <c r="A1607" s="71" t="s">
        <v>216</v>
      </c>
      <c r="B1607" s="71" t="s">
        <v>217</v>
      </c>
      <c r="C1607" s="71" t="s">
        <v>54</v>
      </c>
      <c r="D1607" s="88">
        <v>46210.609456018501</v>
      </c>
      <c r="E1607" s="89">
        <v>46210</v>
      </c>
      <c r="F1607" s="71" t="s">
        <v>2027</v>
      </c>
      <c r="G1607" s="71">
        <f t="shared" si="50"/>
        <v>7</v>
      </c>
      <c r="H1607" s="71">
        <f t="shared" si="51"/>
        <v>36</v>
      </c>
    </row>
    <row r="1608" spans="1:8" x14ac:dyDescent="0.2">
      <c r="A1608" s="71" t="s">
        <v>216</v>
      </c>
      <c r="B1608" s="71" t="s">
        <v>217</v>
      </c>
      <c r="C1608" s="71" t="s">
        <v>54</v>
      </c>
      <c r="D1608" s="88">
        <v>46212.337175925903</v>
      </c>
      <c r="E1608" s="89">
        <v>46212</v>
      </c>
      <c r="F1608" s="71" t="s">
        <v>2028</v>
      </c>
      <c r="G1608" s="71">
        <f t="shared" si="50"/>
        <v>7</v>
      </c>
      <c r="H1608" s="71">
        <f t="shared" si="51"/>
        <v>37</v>
      </c>
    </row>
    <row r="1609" spans="1:8" x14ac:dyDescent="0.2">
      <c r="A1609" s="71" t="s">
        <v>216</v>
      </c>
      <c r="B1609" s="71" t="s">
        <v>217</v>
      </c>
      <c r="C1609" s="71" t="s">
        <v>54</v>
      </c>
      <c r="D1609" s="88">
        <v>46213.311840277798</v>
      </c>
      <c r="E1609" s="89">
        <v>46213</v>
      </c>
      <c r="F1609" s="71" t="s">
        <v>2029</v>
      </c>
      <c r="G1609" s="71">
        <f t="shared" si="50"/>
        <v>7</v>
      </c>
      <c r="H1609" s="71">
        <f t="shared" si="51"/>
        <v>28</v>
      </c>
    </row>
    <row r="1610" spans="1:8" x14ac:dyDescent="0.2">
      <c r="A1610" s="71" t="s">
        <v>216</v>
      </c>
      <c r="B1610" s="71" t="s">
        <v>217</v>
      </c>
      <c r="C1610" s="71" t="s">
        <v>54</v>
      </c>
      <c r="D1610" s="88">
        <v>46216.315578703703</v>
      </c>
      <c r="E1610" s="89">
        <v>46216</v>
      </c>
      <c r="F1610" s="71" t="s">
        <v>2030</v>
      </c>
      <c r="G1610" s="71">
        <f t="shared" si="50"/>
        <v>7</v>
      </c>
      <c r="H1610" s="71">
        <f t="shared" si="51"/>
        <v>37</v>
      </c>
    </row>
    <row r="1611" spans="1:8" x14ac:dyDescent="0.2">
      <c r="A1611" s="71" t="s">
        <v>216</v>
      </c>
      <c r="B1611" s="71" t="s">
        <v>217</v>
      </c>
      <c r="C1611" s="71" t="s">
        <v>54</v>
      </c>
      <c r="D1611" s="88">
        <v>46217.326412037</v>
      </c>
      <c r="E1611" s="89">
        <v>46217</v>
      </c>
      <c r="F1611" s="71" t="s">
        <v>2031</v>
      </c>
      <c r="G1611" s="71">
        <f t="shared" si="50"/>
        <v>7</v>
      </c>
      <c r="H1611" s="71">
        <f t="shared" si="51"/>
        <v>33</v>
      </c>
    </row>
    <row r="1612" spans="1:8" x14ac:dyDescent="0.2">
      <c r="A1612" s="71" t="s">
        <v>216</v>
      </c>
      <c r="B1612" s="71" t="s">
        <v>217</v>
      </c>
      <c r="C1612" s="71" t="s">
        <v>54</v>
      </c>
      <c r="D1612" s="88">
        <v>46219.3253819444</v>
      </c>
      <c r="E1612" s="89">
        <v>46219</v>
      </c>
      <c r="F1612" s="71" t="s">
        <v>2032</v>
      </c>
      <c r="G1612" s="71">
        <f t="shared" si="50"/>
        <v>7</v>
      </c>
      <c r="H1612" s="71">
        <f t="shared" si="51"/>
        <v>39</v>
      </c>
    </row>
    <row r="1613" spans="1:8" x14ac:dyDescent="0.2">
      <c r="A1613" s="71" t="s">
        <v>216</v>
      </c>
      <c r="B1613" s="71" t="s">
        <v>217</v>
      </c>
      <c r="C1613" s="71" t="s">
        <v>54</v>
      </c>
      <c r="D1613" s="88">
        <v>46220.398958333302</v>
      </c>
      <c r="E1613" s="89">
        <v>46220</v>
      </c>
      <c r="F1613" s="71" t="s">
        <v>2032</v>
      </c>
      <c r="G1613" s="71">
        <f t="shared" si="50"/>
        <v>7</v>
      </c>
      <c r="H1613" s="71">
        <f t="shared" si="51"/>
        <v>39</v>
      </c>
    </row>
    <row r="1614" spans="1:8" x14ac:dyDescent="0.2">
      <c r="A1614" s="71" t="s">
        <v>216</v>
      </c>
      <c r="B1614" s="71" t="s">
        <v>217</v>
      </c>
      <c r="C1614" s="71" t="s">
        <v>54</v>
      </c>
      <c r="D1614" s="88">
        <v>46223.400937500002</v>
      </c>
      <c r="E1614" s="89">
        <v>46223</v>
      </c>
      <c r="F1614" s="71" t="s">
        <v>2033</v>
      </c>
      <c r="G1614" s="71">
        <f t="shared" si="50"/>
        <v>7</v>
      </c>
      <c r="H1614" s="71">
        <f t="shared" si="51"/>
        <v>38</v>
      </c>
    </row>
    <row r="1615" spans="1:8" x14ac:dyDescent="0.2">
      <c r="A1615" s="71" t="s">
        <v>216</v>
      </c>
      <c r="B1615" s="71" t="s">
        <v>217</v>
      </c>
      <c r="C1615" s="71" t="s">
        <v>54</v>
      </c>
      <c r="D1615" s="88">
        <v>46223.582997685196</v>
      </c>
      <c r="E1615" s="89">
        <v>46223</v>
      </c>
      <c r="F1615" s="71" t="s">
        <v>2034</v>
      </c>
      <c r="G1615" s="71">
        <f t="shared" si="50"/>
        <v>7</v>
      </c>
      <c r="H1615" s="71">
        <f t="shared" si="51"/>
        <v>39</v>
      </c>
    </row>
    <row r="1616" spans="1:8" x14ac:dyDescent="0.2">
      <c r="A1616" s="71" t="s">
        <v>216</v>
      </c>
      <c r="B1616" s="71" t="s">
        <v>217</v>
      </c>
      <c r="C1616" s="71" t="s">
        <v>54</v>
      </c>
      <c r="D1616" s="88">
        <v>46226.570081018501</v>
      </c>
      <c r="E1616" s="89">
        <v>46226</v>
      </c>
      <c r="F1616" s="71" t="s">
        <v>2035</v>
      </c>
      <c r="G1616" s="71">
        <f t="shared" si="50"/>
        <v>7</v>
      </c>
      <c r="H1616" s="71">
        <f t="shared" si="51"/>
        <v>108</v>
      </c>
    </row>
    <row r="1617" spans="1:8" x14ac:dyDescent="0.2">
      <c r="A1617" s="71" t="s">
        <v>216</v>
      </c>
      <c r="B1617" s="71" t="s">
        <v>217</v>
      </c>
      <c r="C1617" s="71" t="s">
        <v>54</v>
      </c>
      <c r="D1617" s="88">
        <v>46227.6820717593</v>
      </c>
      <c r="E1617" s="89">
        <v>46227</v>
      </c>
      <c r="F1617" s="71" t="s">
        <v>2036</v>
      </c>
      <c r="G1617" s="71">
        <f t="shared" si="50"/>
        <v>7</v>
      </c>
      <c r="H1617" s="71">
        <f t="shared" si="51"/>
        <v>71</v>
      </c>
    </row>
    <row r="1618" spans="1:8" x14ac:dyDescent="0.2">
      <c r="A1618" s="71" t="s">
        <v>216</v>
      </c>
      <c r="B1618" s="71" t="s">
        <v>217</v>
      </c>
      <c r="C1618" s="71" t="s">
        <v>54</v>
      </c>
      <c r="D1618" s="88">
        <v>46227.688518518502</v>
      </c>
      <c r="E1618" s="89">
        <v>46227</v>
      </c>
      <c r="F1618" s="71" t="s">
        <v>2037</v>
      </c>
      <c r="G1618" s="71">
        <f t="shared" si="50"/>
        <v>7</v>
      </c>
      <c r="H1618" s="71">
        <f t="shared" si="51"/>
        <v>36</v>
      </c>
    </row>
    <row r="1619" spans="1:8" x14ac:dyDescent="0.2">
      <c r="A1619" s="71" t="s">
        <v>216</v>
      </c>
      <c r="B1619" s="71" t="s">
        <v>217</v>
      </c>
      <c r="C1619" s="71" t="s">
        <v>54</v>
      </c>
      <c r="D1619" s="88">
        <v>46230.690405092602</v>
      </c>
      <c r="E1619" s="89">
        <v>46230</v>
      </c>
      <c r="F1619" s="71" t="s">
        <v>2038</v>
      </c>
      <c r="G1619" s="71">
        <f t="shared" si="50"/>
        <v>7</v>
      </c>
      <c r="H1619" s="71">
        <f t="shared" si="51"/>
        <v>47</v>
      </c>
    </row>
    <row r="1620" spans="1:8" x14ac:dyDescent="0.2">
      <c r="A1620" s="71" t="s">
        <v>216</v>
      </c>
      <c r="B1620" s="71" t="s">
        <v>217</v>
      </c>
      <c r="C1620" s="71" t="s">
        <v>54</v>
      </c>
      <c r="D1620" s="88">
        <v>46231.499224537001</v>
      </c>
      <c r="E1620" s="89">
        <v>46231</v>
      </c>
      <c r="F1620" s="71" t="s">
        <v>2039</v>
      </c>
      <c r="G1620" s="71">
        <f t="shared" si="50"/>
        <v>7</v>
      </c>
      <c r="H1620" s="71">
        <f t="shared" si="51"/>
        <v>26</v>
      </c>
    </row>
    <row r="1621" spans="1:8" x14ac:dyDescent="0.2">
      <c r="A1621" s="71" t="s">
        <v>216</v>
      </c>
      <c r="B1621" s="71" t="s">
        <v>217</v>
      </c>
      <c r="C1621" s="71" t="s">
        <v>54</v>
      </c>
      <c r="D1621" s="88">
        <v>46233.633437500001</v>
      </c>
      <c r="E1621" s="89">
        <v>46233</v>
      </c>
      <c r="F1621" s="71" t="s">
        <v>2039</v>
      </c>
      <c r="G1621" s="71">
        <f t="shared" si="50"/>
        <v>7</v>
      </c>
      <c r="H1621" s="71">
        <f t="shared" si="51"/>
        <v>26</v>
      </c>
    </row>
    <row r="1622" spans="1:8" x14ac:dyDescent="0.2">
      <c r="A1622" s="71" t="s">
        <v>216</v>
      </c>
      <c r="B1622" s="71" t="s">
        <v>217</v>
      </c>
      <c r="C1622" s="71" t="s">
        <v>54</v>
      </c>
      <c r="D1622" s="88">
        <v>46234.551493055602</v>
      </c>
      <c r="E1622" s="89">
        <v>46234</v>
      </c>
      <c r="F1622" s="71" t="s">
        <v>2039</v>
      </c>
      <c r="G1622" s="71">
        <f t="shared" si="50"/>
        <v>7</v>
      </c>
      <c r="H1622" s="71">
        <f t="shared" si="51"/>
        <v>26</v>
      </c>
    </row>
    <row r="1623" spans="1:8" x14ac:dyDescent="0.2">
      <c r="A1623" s="71" t="s">
        <v>216</v>
      </c>
      <c r="B1623" s="71" t="s">
        <v>217</v>
      </c>
      <c r="C1623" s="71" t="s">
        <v>54</v>
      </c>
      <c r="D1623" s="88">
        <v>46237.568657407399</v>
      </c>
      <c r="E1623" s="89">
        <v>46237</v>
      </c>
      <c r="F1623" s="71" t="s">
        <v>2039</v>
      </c>
      <c r="G1623" s="71">
        <f t="shared" si="50"/>
        <v>8</v>
      </c>
      <c r="H1623" s="71">
        <f t="shared" si="51"/>
        <v>26</v>
      </c>
    </row>
    <row r="1624" spans="1:8" x14ac:dyDescent="0.2">
      <c r="A1624" s="71" t="s">
        <v>216</v>
      </c>
      <c r="B1624" s="71" t="s">
        <v>217</v>
      </c>
      <c r="C1624" s="71" t="s">
        <v>54</v>
      </c>
      <c r="D1624" s="88">
        <v>46238.3927430556</v>
      </c>
      <c r="E1624" s="89">
        <v>46238</v>
      </c>
      <c r="F1624" s="71" t="s">
        <v>2040</v>
      </c>
      <c r="G1624" s="71">
        <f t="shared" si="50"/>
        <v>8</v>
      </c>
      <c r="H1624" s="71">
        <f t="shared" si="51"/>
        <v>36</v>
      </c>
    </row>
    <row r="1625" spans="1:8" x14ac:dyDescent="0.2">
      <c r="A1625" s="71" t="s">
        <v>216</v>
      </c>
      <c r="B1625" s="71" t="s">
        <v>217</v>
      </c>
      <c r="C1625" s="71" t="s">
        <v>54</v>
      </c>
      <c r="D1625" s="88">
        <v>46239.470358796301</v>
      </c>
      <c r="E1625" s="89">
        <v>46239</v>
      </c>
      <c r="F1625" s="71" t="s">
        <v>2041</v>
      </c>
      <c r="G1625" s="71">
        <f t="shared" si="50"/>
        <v>8</v>
      </c>
      <c r="H1625" s="71">
        <f t="shared" si="51"/>
        <v>41</v>
      </c>
    </row>
    <row r="1626" spans="1:8" x14ac:dyDescent="0.2">
      <c r="A1626" s="71" t="s">
        <v>216</v>
      </c>
      <c r="B1626" s="71" t="s">
        <v>217</v>
      </c>
      <c r="C1626" s="71" t="s">
        <v>54</v>
      </c>
      <c r="D1626" s="88">
        <v>46240.485752314802</v>
      </c>
      <c r="E1626" s="89">
        <v>46240</v>
      </c>
      <c r="F1626" s="71" t="s">
        <v>2041</v>
      </c>
      <c r="G1626" s="71">
        <f t="shared" si="50"/>
        <v>8</v>
      </c>
      <c r="H1626" s="71">
        <f t="shared" si="51"/>
        <v>41</v>
      </c>
    </row>
    <row r="1627" spans="1:8" x14ac:dyDescent="0.2">
      <c r="A1627" s="71" t="s">
        <v>216</v>
      </c>
      <c r="B1627" s="71" t="s">
        <v>217</v>
      </c>
      <c r="C1627" s="71" t="s">
        <v>54</v>
      </c>
      <c r="D1627" s="88">
        <v>46241.335312499999</v>
      </c>
      <c r="E1627" s="89">
        <v>46241</v>
      </c>
      <c r="F1627" s="71" t="s">
        <v>2042</v>
      </c>
      <c r="G1627" s="71">
        <f t="shared" si="50"/>
        <v>8</v>
      </c>
      <c r="H1627" s="71">
        <f t="shared" si="51"/>
        <v>34</v>
      </c>
    </row>
    <row r="1628" spans="1:8" x14ac:dyDescent="0.2">
      <c r="A1628" s="71" t="s">
        <v>216</v>
      </c>
      <c r="B1628" s="71" t="s">
        <v>217</v>
      </c>
      <c r="C1628" s="71" t="s">
        <v>54</v>
      </c>
      <c r="D1628" s="88">
        <v>46241.598587963003</v>
      </c>
      <c r="E1628" s="89">
        <v>46241</v>
      </c>
      <c r="F1628" s="71" t="s">
        <v>2043</v>
      </c>
      <c r="G1628" s="71">
        <f t="shared" si="50"/>
        <v>8</v>
      </c>
      <c r="H1628" s="71">
        <f t="shared" si="51"/>
        <v>27</v>
      </c>
    </row>
    <row r="1629" spans="1:8" x14ac:dyDescent="0.2">
      <c r="A1629" s="71" t="s">
        <v>216</v>
      </c>
      <c r="B1629" s="71" t="s">
        <v>217</v>
      </c>
      <c r="C1629" s="71" t="s">
        <v>54</v>
      </c>
      <c r="D1629" s="88">
        <v>46244.397812499999</v>
      </c>
      <c r="E1629" s="89">
        <v>46244</v>
      </c>
      <c r="F1629" s="71" t="s">
        <v>2044</v>
      </c>
      <c r="G1629" s="71">
        <f t="shared" si="50"/>
        <v>8</v>
      </c>
      <c r="H1629" s="71">
        <f t="shared" si="51"/>
        <v>33</v>
      </c>
    </row>
    <row r="1630" spans="1:8" x14ac:dyDescent="0.2">
      <c r="A1630" s="71" t="s">
        <v>216</v>
      </c>
      <c r="B1630" s="71" t="s">
        <v>217</v>
      </c>
      <c r="C1630" s="71" t="s">
        <v>54</v>
      </c>
      <c r="D1630" s="88">
        <v>46245.330891203703</v>
      </c>
      <c r="E1630" s="89">
        <v>46245</v>
      </c>
      <c r="F1630" s="71" t="s">
        <v>2045</v>
      </c>
      <c r="G1630" s="71">
        <f t="shared" si="50"/>
        <v>8</v>
      </c>
      <c r="H1630" s="71">
        <f t="shared" si="51"/>
        <v>42</v>
      </c>
    </row>
    <row r="1631" spans="1:8" x14ac:dyDescent="0.2">
      <c r="A1631" s="71" t="s">
        <v>216</v>
      </c>
      <c r="B1631" s="71" t="s">
        <v>217</v>
      </c>
      <c r="C1631" s="71" t="s">
        <v>54</v>
      </c>
      <c r="D1631" s="88">
        <v>46245.741504629601</v>
      </c>
      <c r="E1631" s="89">
        <v>46245</v>
      </c>
      <c r="F1631" s="71" t="s">
        <v>2046</v>
      </c>
      <c r="G1631" s="71">
        <f t="shared" si="50"/>
        <v>8</v>
      </c>
      <c r="H1631" s="71">
        <f t="shared" si="51"/>
        <v>37</v>
      </c>
    </row>
    <row r="1632" spans="1:8" x14ac:dyDescent="0.2">
      <c r="A1632" s="71" t="s">
        <v>216</v>
      </c>
      <c r="B1632" s="71" t="s">
        <v>217</v>
      </c>
      <c r="C1632" s="71" t="s">
        <v>54</v>
      </c>
      <c r="D1632" s="88">
        <v>46246.478263888901</v>
      </c>
      <c r="E1632" s="89">
        <v>46246</v>
      </c>
      <c r="F1632" s="71" t="s">
        <v>2047</v>
      </c>
      <c r="G1632" s="71">
        <f t="shared" si="50"/>
        <v>8</v>
      </c>
      <c r="H1632" s="71">
        <f t="shared" si="51"/>
        <v>40</v>
      </c>
    </row>
    <row r="1633" spans="1:8" x14ac:dyDescent="0.2">
      <c r="A1633" s="71" t="s">
        <v>216</v>
      </c>
      <c r="B1633" s="71" t="s">
        <v>217</v>
      </c>
      <c r="C1633" s="71" t="s">
        <v>54</v>
      </c>
      <c r="D1633" s="88">
        <v>46247.415393518502</v>
      </c>
      <c r="E1633" s="89">
        <v>46247</v>
      </c>
      <c r="F1633" s="71" t="s">
        <v>2048</v>
      </c>
      <c r="G1633" s="71">
        <f t="shared" si="50"/>
        <v>8</v>
      </c>
      <c r="H1633" s="71">
        <f t="shared" si="51"/>
        <v>28</v>
      </c>
    </row>
    <row r="1634" spans="1:8" x14ac:dyDescent="0.2">
      <c r="A1634" s="71" t="s">
        <v>216</v>
      </c>
      <c r="B1634" s="71" t="s">
        <v>217</v>
      </c>
      <c r="C1634" s="71" t="s">
        <v>54</v>
      </c>
      <c r="D1634" s="88">
        <v>46248.3662847222</v>
      </c>
      <c r="E1634" s="89">
        <v>46248</v>
      </c>
      <c r="F1634" s="71" t="s">
        <v>2049</v>
      </c>
      <c r="G1634" s="71">
        <f t="shared" si="50"/>
        <v>8</v>
      </c>
      <c r="H1634" s="71">
        <f t="shared" si="51"/>
        <v>32</v>
      </c>
    </row>
    <row r="1635" spans="1:8" x14ac:dyDescent="0.2">
      <c r="A1635" s="71" t="s">
        <v>216</v>
      </c>
      <c r="B1635" s="71" t="s">
        <v>217</v>
      </c>
      <c r="C1635" s="71" t="s">
        <v>54</v>
      </c>
      <c r="D1635" s="88">
        <v>46252.323043981502</v>
      </c>
      <c r="E1635" s="89">
        <v>46252</v>
      </c>
      <c r="F1635" s="71" t="s">
        <v>2050</v>
      </c>
      <c r="G1635" s="71">
        <f t="shared" si="50"/>
        <v>8</v>
      </c>
      <c r="H1635" s="71">
        <f t="shared" si="51"/>
        <v>40</v>
      </c>
    </row>
    <row r="1636" spans="1:8" x14ac:dyDescent="0.2">
      <c r="A1636" s="71" t="s">
        <v>216</v>
      </c>
      <c r="B1636" s="71" t="s">
        <v>217</v>
      </c>
      <c r="C1636" s="71" t="s">
        <v>54</v>
      </c>
      <c r="D1636" s="88">
        <v>46253.318252314799</v>
      </c>
      <c r="E1636" s="89">
        <v>46253</v>
      </c>
      <c r="F1636" s="71" t="s">
        <v>2051</v>
      </c>
      <c r="G1636" s="71">
        <f t="shared" si="50"/>
        <v>8</v>
      </c>
      <c r="H1636" s="71">
        <f t="shared" si="51"/>
        <v>51</v>
      </c>
    </row>
    <row r="1637" spans="1:8" x14ac:dyDescent="0.2">
      <c r="A1637" s="71" t="s">
        <v>216</v>
      </c>
      <c r="B1637" s="71" t="s">
        <v>217</v>
      </c>
      <c r="C1637" s="71" t="s">
        <v>54</v>
      </c>
      <c r="D1637" s="88">
        <v>46254.334548611099</v>
      </c>
      <c r="E1637" s="89">
        <v>46254</v>
      </c>
      <c r="F1637" s="71" t="s">
        <v>2044</v>
      </c>
      <c r="G1637" s="71">
        <f t="shared" si="50"/>
        <v>8</v>
      </c>
      <c r="H1637" s="71">
        <f t="shared" si="51"/>
        <v>33</v>
      </c>
    </row>
    <row r="1638" spans="1:8" x14ac:dyDescent="0.2">
      <c r="A1638" s="71" t="s">
        <v>216</v>
      </c>
      <c r="B1638" s="71" t="s">
        <v>217</v>
      </c>
      <c r="C1638" s="71" t="s">
        <v>54</v>
      </c>
      <c r="D1638" s="88">
        <v>46255.689513888901</v>
      </c>
      <c r="E1638" s="89">
        <v>46255</v>
      </c>
      <c r="F1638" s="71" t="s">
        <v>2044</v>
      </c>
      <c r="G1638" s="71">
        <f t="shared" si="50"/>
        <v>8</v>
      </c>
      <c r="H1638" s="71">
        <f t="shared" si="51"/>
        <v>33</v>
      </c>
    </row>
    <row r="1639" spans="1:8" x14ac:dyDescent="0.2">
      <c r="A1639" s="71" t="s">
        <v>216</v>
      </c>
      <c r="B1639" s="71" t="s">
        <v>217</v>
      </c>
      <c r="C1639" s="71" t="s">
        <v>54</v>
      </c>
      <c r="D1639" s="88">
        <v>46258.413136574098</v>
      </c>
      <c r="E1639" s="89">
        <v>46258</v>
      </c>
      <c r="F1639" s="71" t="s">
        <v>2052</v>
      </c>
      <c r="G1639" s="71">
        <f t="shared" si="50"/>
        <v>8</v>
      </c>
      <c r="H1639" s="71">
        <f t="shared" si="51"/>
        <v>32</v>
      </c>
    </row>
    <row r="1640" spans="1:8" x14ac:dyDescent="0.2">
      <c r="A1640" s="71" t="s">
        <v>216</v>
      </c>
      <c r="B1640" s="71" t="s">
        <v>217</v>
      </c>
      <c r="C1640" s="71" t="s">
        <v>54</v>
      </c>
      <c r="D1640" s="88">
        <v>46260.3217939815</v>
      </c>
      <c r="E1640" s="89">
        <v>46260</v>
      </c>
      <c r="F1640" s="71" t="s">
        <v>2044</v>
      </c>
      <c r="G1640" s="71">
        <f t="shared" si="50"/>
        <v>8</v>
      </c>
      <c r="H1640" s="71">
        <f t="shared" si="51"/>
        <v>33</v>
      </c>
    </row>
    <row r="1641" spans="1:8" x14ac:dyDescent="0.2">
      <c r="A1641" s="71" t="s">
        <v>216</v>
      </c>
      <c r="B1641" s="71" t="s">
        <v>217</v>
      </c>
      <c r="C1641" s="71" t="s">
        <v>54</v>
      </c>
      <c r="D1641" s="88">
        <v>46261.325636574104</v>
      </c>
      <c r="E1641" s="89">
        <v>46261</v>
      </c>
      <c r="F1641" s="71" t="s">
        <v>2053</v>
      </c>
      <c r="G1641" s="71">
        <f t="shared" si="50"/>
        <v>8</v>
      </c>
      <c r="H1641" s="71">
        <f t="shared" si="51"/>
        <v>38</v>
      </c>
    </row>
    <row r="1642" spans="1:8" x14ac:dyDescent="0.2">
      <c r="A1642" s="71" t="s">
        <v>216</v>
      </c>
      <c r="B1642" s="71" t="s">
        <v>217</v>
      </c>
      <c r="C1642" s="71" t="s">
        <v>54</v>
      </c>
      <c r="D1642" s="88">
        <v>46262.414814814802</v>
      </c>
      <c r="E1642" s="89">
        <v>46262</v>
      </c>
      <c r="F1642" s="71" t="s">
        <v>2054</v>
      </c>
      <c r="G1642" s="71">
        <f t="shared" si="50"/>
        <v>8</v>
      </c>
      <c r="H1642" s="71">
        <f t="shared" si="51"/>
        <v>36</v>
      </c>
    </row>
    <row r="1643" spans="1:8" x14ac:dyDescent="0.2">
      <c r="A1643" s="71" t="s">
        <v>216</v>
      </c>
      <c r="B1643" s="71" t="s">
        <v>217</v>
      </c>
      <c r="C1643" s="71" t="s">
        <v>54</v>
      </c>
      <c r="D1643" s="88">
        <v>46262.585381944496</v>
      </c>
      <c r="E1643" s="89">
        <v>46262</v>
      </c>
      <c r="F1643" s="71" t="s">
        <v>2055</v>
      </c>
      <c r="G1643" s="71">
        <f t="shared" si="50"/>
        <v>8</v>
      </c>
      <c r="H1643" s="71">
        <f t="shared" si="51"/>
        <v>31</v>
      </c>
    </row>
    <row r="1644" spans="1:8" x14ac:dyDescent="0.2">
      <c r="A1644" s="71" t="s">
        <v>216</v>
      </c>
      <c r="B1644" s="71" t="s">
        <v>217</v>
      </c>
      <c r="C1644" s="71" t="s">
        <v>54</v>
      </c>
      <c r="D1644" s="88">
        <v>46265.312731481499</v>
      </c>
      <c r="E1644" s="89">
        <v>46265</v>
      </c>
      <c r="F1644" s="71" t="s">
        <v>2056</v>
      </c>
      <c r="G1644" s="71">
        <f t="shared" si="50"/>
        <v>8</v>
      </c>
      <c r="H1644" s="71">
        <f t="shared" si="51"/>
        <v>37</v>
      </c>
    </row>
    <row r="1645" spans="1:8" x14ac:dyDescent="0.2">
      <c r="A1645" s="71" t="s">
        <v>216</v>
      </c>
      <c r="B1645" s="71" t="s">
        <v>217</v>
      </c>
      <c r="C1645" s="71" t="s">
        <v>54</v>
      </c>
      <c r="D1645" s="88">
        <v>46265.493321759299</v>
      </c>
      <c r="E1645" s="89">
        <v>46265</v>
      </c>
      <c r="F1645" s="71" t="s">
        <v>2057</v>
      </c>
      <c r="G1645" s="71">
        <f t="shared" si="50"/>
        <v>8</v>
      </c>
      <c r="H1645" s="71">
        <f t="shared" si="51"/>
        <v>29</v>
      </c>
    </row>
    <row r="1646" spans="1:8" x14ac:dyDescent="0.2">
      <c r="A1646" s="71" t="s">
        <v>216</v>
      </c>
      <c r="B1646" s="71" t="s">
        <v>217</v>
      </c>
      <c r="C1646" s="71" t="s">
        <v>54</v>
      </c>
      <c r="D1646" s="88">
        <v>46265.689421296302</v>
      </c>
      <c r="E1646" s="89">
        <v>46265</v>
      </c>
      <c r="F1646" s="71" t="s">
        <v>2058</v>
      </c>
      <c r="G1646" s="71">
        <f t="shared" si="50"/>
        <v>8</v>
      </c>
      <c r="H1646" s="71">
        <f t="shared" si="51"/>
        <v>31</v>
      </c>
    </row>
    <row r="1647" spans="1:8" x14ac:dyDescent="0.2">
      <c r="A1647" s="71" t="s">
        <v>216</v>
      </c>
      <c r="B1647" s="71" t="s">
        <v>217</v>
      </c>
      <c r="C1647" s="71" t="s">
        <v>54</v>
      </c>
      <c r="D1647" s="88">
        <v>46266.326620370397</v>
      </c>
      <c r="E1647" s="89">
        <v>46266</v>
      </c>
      <c r="F1647" s="71" t="s">
        <v>2059</v>
      </c>
      <c r="G1647" s="71">
        <f t="shared" si="50"/>
        <v>9</v>
      </c>
      <c r="H1647" s="71">
        <f t="shared" si="51"/>
        <v>34</v>
      </c>
    </row>
    <row r="1648" spans="1:8" x14ac:dyDescent="0.2">
      <c r="A1648" s="71" t="s">
        <v>216</v>
      </c>
      <c r="B1648" s="71" t="s">
        <v>217</v>
      </c>
      <c r="C1648" s="71" t="s">
        <v>54</v>
      </c>
      <c r="D1648" s="88">
        <v>46266.481226851902</v>
      </c>
      <c r="E1648" s="89">
        <v>46266</v>
      </c>
      <c r="F1648" s="71" t="s">
        <v>2060</v>
      </c>
      <c r="G1648" s="71">
        <f t="shared" si="50"/>
        <v>9</v>
      </c>
      <c r="H1648" s="71">
        <f t="shared" si="51"/>
        <v>35</v>
      </c>
    </row>
    <row r="1649" spans="1:8" x14ac:dyDescent="0.2">
      <c r="A1649" s="71" t="s">
        <v>216</v>
      </c>
      <c r="B1649" s="71" t="s">
        <v>217</v>
      </c>
      <c r="C1649" s="71" t="s">
        <v>54</v>
      </c>
      <c r="D1649" s="88">
        <v>46266.612199074101</v>
      </c>
      <c r="E1649" s="89">
        <v>46266</v>
      </c>
      <c r="F1649" s="71" t="s">
        <v>2061</v>
      </c>
      <c r="G1649" s="71">
        <f t="shared" si="50"/>
        <v>9</v>
      </c>
      <c r="H1649" s="71">
        <f t="shared" si="51"/>
        <v>31</v>
      </c>
    </row>
    <row r="1650" spans="1:8" x14ac:dyDescent="0.2">
      <c r="A1650" s="71" t="s">
        <v>216</v>
      </c>
      <c r="B1650" s="71" t="s">
        <v>217</v>
      </c>
      <c r="C1650" s="71" t="s">
        <v>54</v>
      </c>
      <c r="D1650" s="88">
        <v>46267.326979166697</v>
      </c>
      <c r="E1650" s="89">
        <v>46267</v>
      </c>
      <c r="F1650" s="71" t="s">
        <v>2062</v>
      </c>
      <c r="G1650" s="71">
        <f t="shared" si="50"/>
        <v>9</v>
      </c>
      <c r="H1650" s="71">
        <f t="shared" si="51"/>
        <v>43</v>
      </c>
    </row>
    <row r="1651" spans="1:8" x14ac:dyDescent="0.2">
      <c r="A1651" s="71" t="s">
        <v>216</v>
      </c>
      <c r="B1651" s="71" t="s">
        <v>217</v>
      </c>
      <c r="C1651" s="71" t="s">
        <v>54</v>
      </c>
      <c r="D1651" s="88">
        <v>46268.448761574102</v>
      </c>
      <c r="E1651" s="89">
        <v>46268</v>
      </c>
      <c r="F1651" s="71" t="s">
        <v>2063</v>
      </c>
      <c r="G1651" s="71">
        <f t="shared" si="50"/>
        <v>9</v>
      </c>
      <c r="H1651" s="71">
        <f t="shared" si="51"/>
        <v>30</v>
      </c>
    </row>
    <row r="1652" spans="1:8" x14ac:dyDescent="0.2">
      <c r="A1652" s="71" t="s">
        <v>216</v>
      </c>
      <c r="B1652" s="71" t="s">
        <v>217</v>
      </c>
      <c r="C1652" s="71" t="s">
        <v>54</v>
      </c>
      <c r="D1652" s="88">
        <v>46269.363831018498</v>
      </c>
      <c r="E1652" s="89">
        <v>46269</v>
      </c>
      <c r="F1652" s="71" t="s">
        <v>2064</v>
      </c>
      <c r="G1652" s="71">
        <f t="shared" si="50"/>
        <v>9</v>
      </c>
      <c r="H1652" s="71">
        <f t="shared" si="51"/>
        <v>43</v>
      </c>
    </row>
    <row r="1653" spans="1:8" x14ac:dyDescent="0.2">
      <c r="A1653" s="71" t="s">
        <v>216</v>
      </c>
      <c r="B1653" s="71" t="s">
        <v>217</v>
      </c>
      <c r="C1653" s="71" t="s">
        <v>54</v>
      </c>
      <c r="D1653" s="88">
        <v>46269.686180555596</v>
      </c>
      <c r="E1653" s="89">
        <v>46269</v>
      </c>
      <c r="F1653" s="71" t="s">
        <v>2065</v>
      </c>
      <c r="G1653" s="71">
        <f t="shared" si="50"/>
        <v>9</v>
      </c>
      <c r="H1653" s="71">
        <f t="shared" si="51"/>
        <v>36</v>
      </c>
    </row>
    <row r="1654" spans="1:8" x14ac:dyDescent="0.2">
      <c r="A1654" s="71" t="s">
        <v>216</v>
      </c>
      <c r="B1654" s="71" t="s">
        <v>217</v>
      </c>
      <c r="C1654" s="71" t="s">
        <v>54</v>
      </c>
      <c r="D1654" s="88">
        <v>46272.379745370403</v>
      </c>
      <c r="E1654" s="89">
        <v>46272</v>
      </c>
      <c r="F1654" s="71" t="s">
        <v>2063</v>
      </c>
      <c r="G1654" s="71">
        <f t="shared" si="50"/>
        <v>9</v>
      </c>
      <c r="H1654" s="71">
        <f t="shared" si="51"/>
        <v>30</v>
      </c>
    </row>
    <row r="1655" spans="1:8" x14ac:dyDescent="0.2">
      <c r="A1655" s="71" t="s">
        <v>216</v>
      </c>
      <c r="B1655" s="71" t="s">
        <v>217</v>
      </c>
      <c r="C1655" s="71" t="s">
        <v>54</v>
      </c>
      <c r="D1655" s="88">
        <v>46273.385925925897</v>
      </c>
      <c r="E1655" s="89">
        <v>46273</v>
      </c>
      <c r="F1655" s="71" t="s">
        <v>2063</v>
      </c>
      <c r="G1655" s="71">
        <f t="shared" si="50"/>
        <v>9</v>
      </c>
      <c r="H1655" s="71">
        <f t="shared" si="51"/>
        <v>30</v>
      </c>
    </row>
    <row r="1656" spans="1:8" x14ac:dyDescent="0.2">
      <c r="A1656" s="71" t="s">
        <v>216</v>
      </c>
      <c r="B1656" s="71" t="s">
        <v>217</v>
      </c>
      <c r="C1656" s="71" t="s">
        <v>54</v>
      </c>
      <c r="D1656" s="88">
        <v>46274.329861111102</v>
      </c>
      <c r="E1656" s="89">
        <v>46274</v>
      </c>
      <c r="F1656" s="71" t="s">
        <v>2063</v>
      </c>
      <c r="G1656" s="71">
        <f t="shared" si="50"/>
        <v>9</v>
      </c>
      <c r="H1656" s="71">
        <f t="shared" si="51"/>
        <v>30</v>
      </c>
    </row>
    <row r="1657" spans="1:8" x14ac:dyDescent="0.2">
      <c r="A1657" s="71" t="s">
        <v>216</v>
      </c>
      <c r="B1657" s="71" t="s">
        <v>217</v>
      </c>
      <c r="C1657" s="71" t="s">
        <v>54</v>
      </c>
      <c r="D1657" s="88">
        <v>46275.299062500002</v>
      </c>
      <c r="E1657" s="89">
        <v>46275</v>
      </c>
      <c r="F1657" s="71" t="s">
        <v>2063</v>
      </c>
      <c r="G1657" s="71">
        <f t="shared" si="50"/>
        <v>9</v>
      </c>
      <c r="H1657" s="71">
        <f t="shared" si="51"/>
        <v>30</v>
      </c>
    </row>
    <row r="1658" spans="1:8" x14ac:dyDescent="0.2">
      <c r="A1658" s="71" t="s">
        <v>216</v>
      </c>
      <c r="B1658" s="71" t="s">
        <v>217</v>
      </c>
      <c r="C1658" s="71" t="s">
        <v>54</v>
      </c>
      <c r="D1658" s="88">
        <v>46276.364710648202</v>
      </c>
      <c r="E1658" s="89">
        <v>46276</v>
      </c>
      <c r="F1658" s="71" t="s">
        <v>2066</v>
      </c>
      <c r="G1658" s="71">
        <f t="shared" si="50"/>
        <v>9</v>
      </c>
      <c r="H1658" s="71">
        <f t="shared" si="51"/>
        <v>33</v>
      </c>
    </row>
    <row r="1659" spans="1:8" x14ac:dyDescent="0.2">
      <c r="A1659" s="71" t="s">
        <v>216</v>
      </c>
      <c r="B1659" s="71" t="s">
        <v>217</v>
      </c>
      <c r="C1659" s="71" t="s">
        <v>54</v>
      </c>
      <c r="D1659" s="88">
        <v>46279.326064814799</v>
      </c>
      <c r="E1659" s="89">
        <v>46279</v>
      </c>
      <c r="F1659" s="71" t="s">
        <v>2067</v>
      </c>
      <c r="G1659" s="71">
        <f t="shared" si="50"/>
        <v>9</v>
      </c>
      <c r="H1659" s="71">
        <f t="shared" si="51"/>
        <v>31</v>
      </c>
    </row>
    <row r="1660" spans="1:8" x14ac:dyDescent="0.2">
      <c r="A1660" s="71" t="s">
        <v>216</v>
      </c>
      <c r="B1660" s="71" t="s">
        <v>217</v>
      </c>
      <c r="C1660" s="71" t="s">
        <v>54</v>
      </c>
      <c r="D1660" s="88">
        <v>46280.334340277797</v>
      </c>
      <c r="E1660" s="89">
        <v>46280</v>
      </c>
      <c r="F1660" s="71" t="s">
        <v>2067</v>
      </c>
      <c r="G1660" s="71">
        <f t="shared" si="50"/>
        <v>9</v>
      </c>
      <c r="H1660" s="71">
        <f t="shared" si="51"/>
        <v>31</v>
      </c>
    </row>
    <row r="1661" spans="1:8" x14ac:dyDescent="0.2">
      <c r="A1661" s="71" t="s">
        <v>216</v>
      </c>
      <c r="B1661" s="71" t="s">
        <v>217</v>
      </c>
      <c r="C1661" s="71" t="s">
        <v>54</v>
      </c>
      <c r="D1661" s="88">
        <v>46281.330520833297</v>
      </c>
      <c r="E1661" s="89">
        <v>46281</v>
      </c>
      <c r="F1661" s="71" t="s">
        <v>2067</v>
      </c>
      <c r="G1661" s="71">
        <f t="shared" si="50"/>
        <v>9</v>
      </c>
      <c r="H1661" s="71">
        <f t="shared" si="51"/>
        <v>31</v>
      </c>
    </row>
    <row r="1662" spans="1:8" x14ac:dyDescent="0.2">
      <c r="A1662" s="71" t="s">
        <v>216</v>
      </c>
      <c r="B1662" s="71" t="s">
        <v>217</v>
      </c>
      <c r="C1662" s="71" t="s">
        <v>54</v>
      </c>
      <c r="D1662" s="88">
        <v>46282.394861111097</v>
      </c>
      <c r="E1662" s="89">
        <v>46282</v>
      </c>
      <c r="F1662" s="71" t="s">
        <v>2067</v>
      </c>
      <c r="G1662" s="71">
        <f t="shared" si="50"/>
        <v>9</v>
      </c>
      <c r="H1662" s="71">
        <f t="shared" si="51"/>
        <v>31</v>
      </c>
    </row>
    <row r="1663" spans="1:8" x14ac:dyDescent="0.2">
      <c r="A1663" s="71" t="s">
        <v>216</v>
      </c>
      <c r="B1663" s="71" t="s">
        <v>217</v>
      </c>
      <c r="C1663" s="71" t="s">
        <v>54</v>
      </c>
      <c r="D1663" s="88">
        <v>46283.3440625</v>
      </c>
      <c r="E1663" s="89">
        <v>46283</v>
      </c>
      <c r="F1663" s="71" t="s">
        <v>2067</v>
      </c>
      <c r="G1663" s="71">
        <f t="shared" si="50"/>
        <v>9</v>
      </c>
      <c r="H1663" s="71">
        <f t="shared" si="51"/>
        <v>31</v>
      </c>
    </row>
    <row r="1664" spans="1:8" x14ac:dyDescent="0.2">
      <c r="A1664" s="71" t="s">
        <v>216</v>
      </c>
      <c r="B1664" s="71" t="s">
        <v>217</v>
      </c>
      <c r="C1664" s="71" t="s">
        <v>54</v>
      </c>
      <c r="D1664" s="88">
        <v>46286.336331018501</v>
      </c>
      <c r="E1664" s="89">
        <v>46286</v>
      </c>
      <c r="F1664" s="71" t="s">
        <v>2067</v>
      </c>
      <c r="G1664" s="71">
        <f t="shared" si="50"/>
        <v>9</v>
      </c>
      <c r="H1664" s="71">
        <f t="shared" si="51"/>
        <v>31</v>
      </c>
    </row>
    <row r="1665" spans="1:8" x14ac:dyDescent="0.2">
      <c r="A1665" s="71" t="s">
        <v>216</v>
      </c>
      <c r="B1665" s="71" t="s">
        <v>217</v>
      </c>
      <c r="C1665" s="71" t="s">
        <v>54</v>
      </c>
      <c r="D1665" s="88">
        <v>46287.347303240698</v>
      </c>
      <c r="E1665" s="89">
        <v>46287</v>
      </c>
      <c r="F1665" s="71" t="s">
        <v>2068</v>
      </c>
      <c r="G1665" s="71">
        <f t="shared" si="50"/>
        <v>9</v>
      </c>
      <c r="H1665" s="71">
        <f t="shared" si="51"/>
        <v>34</v>
      </c>
    </row>
    <row r="1666" spans="1:8" x14ac:dyDescent="0.2">
      <c r="A1666" s="71" t="s">
        <v>216</v>
      </c>
      <c r="B1666" s="71" t="s">
        <v>217</v>
      </c>
      <c r="C1666" s="71" t="s">
        <v>54</v>
      </c>
      <c r="D1666" s="88">
        <v>46287.438877314802</v>
      </c>
      <c r="E1666" s="89">
        <v>46287</v>
      </c>
      <c r="F1666" s="71" t="s">
        <v>2069</v>
      </c>
      <c r="G1666" s="71">
        <f t="shared" ref="G1666:G1729" si="52">MONTH(E1666)</f>
        <v>9</v>
      </c>
      <c r="H1666" s="71">
        <f t="shared" ref="H1666:H1729" si="53">LEN(F1666)</f>
        <v>31</v>
      </c>
    </row>
    <row r="1667" spans="1:8" x14ac:dyDescent="0.2">
      <c r="A1667" s="71" t="s">
        <v>216</v>
      </c>
      <c r="B1667" s="71" t="s">
        <v>217</v>
      </c>
      <c r="C1667" s="71" t="s">
        <v>54</v>
      </c>
      <c r="D1667" s="88">
        <v>46288.3421296296</v>
      </c>
      <c r="E1667" s="89">
        <v>46288</v>
      </c>
      <c r="F1667" s="71" t="s">
        <v>2069</v>
      </c>
      <c r="G1667" s="71">
        <f t="shared" si="52"/>
        <v>9</v>
      </c>
      <c r="H1667" s="71">
        <f t="shared" si="53"/>
        <v>31</v>
      </c>
    </row>
    <row r="1668" spans="1:8" x14ac:dyDescent="0.2">
      <c r="A1668" s="71" t="s">
        <v>216</v>
      </c>
      <c r="B1668" s="71" t="s">
        <v>217</v>
      </c>
      <c r="C1668" s="71" t="s">
        <v>54</v>
      </c>
      <c r="D1668" s="88">
        <v>46289.3851967593</v>
      </c>
      <c r="E1668" s="89">
        <v>46289</v>
      </c>
      <c r="F1668" s="71" t="s">
        <v>2070</v>
      </c>
      <c r="G1668" s="71">
        <f t="shared" si="52"/>
        <v>9</v>
      </c>
      <c r="H1668" s="71">
        <f t="shared" si="53"/>
        <v>32</v>
      </c>
    </row>
    <row r="1669" spans="1:8" x14ac:dyDescent="0.2">
      <c r="A1669" s="71" t="s">
        <v>216</v>
      </c>
      <c r="B1669" s="71" t="s">
        <v>217</v>
      </c>
      <c r="C1669" s="71" t="s">
        <v>54</v>
      </c>
      <c r="D1669" s="88">
        <v>46290.321284722202</v>
      </c>
      <c r="E1669" s="89">
        <v>46290</v>
      </c>
      <c r="F1669" s="71" t="s">
        <v>2071</v>
      </c>
      <c r="G1669" s="71">
        <f t="shared" si="52"/>
        <v>9</v>
      </c>
      <c r="H1669" s="71">
        <f t="shared" si="53"/>
        <v>39</v>
      </c>
    </row>
    <row r="1670" spans="1:8" x14ac:dyDescent="0.2">
      <c r="A1670" s="71" t="s">
        <v>216</v>
      </c>
      <c r="B1670" s="71" t="s">
        <v>217</v>
      </c>
      <c r="C1670" s="71" t="s">
        <v>54</v>
      </c>
      <c r="D1670" s="88">
        <v>46290.398784722202</v>
      </c>
      <c r="E1670" s="89">
        <v>46290</v>
      </c>
      <c r="F1670" s="71" t="s">
        <v>2069</v>
      </c>
      <c r="G1670" s="71">
        <f t="shared" si="52"/>
        <v>9</v>
      </c>
      <c r="H1670" s="71">
        <f t="shared" si="53"/>
        <v>31</v>
      </c>
    </row>
    <row r="1671" spans="1:8" x14ac:dyDescent="0.2">
      <c r="A1671" s="71" t="s">
        <v>193</v>
      </c>
      <c r="B1671" s="71" t="s">
        <v>194</v>
      </c>
      <c r="C1671" s="71" t="s">
        <v>47</v>
      </c>
      <c r="D1671" s="88">
        <v>46175.665937500002</v>
      </c>
      <c r="E1671" s="89">
        <v>46175</v>
      </c>
      <c r="F1671" s="71" t="s">
        <v>2072</v>
      </c>
      <c r="G1671" s="71">
        <f t="shared" si="52"/>
        <v>6</v>
      </c>
      <c r="H1671" s="71">
        <f t="shared" si="53"/>
        <v>11</v>
      </c>
    </row>
    <row r="1672" spans="1:8" x14ac:dyDescent="0.2">
      <c r="A1672" s="71" t="s">
        <v>193</v>
      </c>
      <c r="B1672" s="71" t="s">
        <v>194</v>
      </c>
      <c r="C1672" s="71" t="s">
        <v>47</v>
      </c>
      <c r="D1672" s="88">
        <v>46175.666597222204</v>
      </c>
      <c r="E1672" s="89">
        <v>46175</v>
      </c>
      <c r="F1672" s="71" t="s">
        <v>2073</v>
      </c>
      <c r="G1672" s="71">
        <f t="shared" si="52"/>
        <v>6</v>
      </c>
      <c r="H1672" s="71">
        <f t="shared" si="53"/>
        <v>4</v>
      </c>
    </row>
    <row r="1673" spans="1:8" x14ac:dyDescent="0.2">
      <c r="A1673" s="71" t="s">
        <v>193</v>
      </c>
      <c r="B1673" s="71" t="s">
        <v>194</v>
      </c>
      <c r="C1673" s="71" t="s">
        <v>47</v>
      </c>
      <c r="D1673" s="88">
        <v>46176.557025463</v>
      </c>
      <c r="E1673" s="89">
        <v>46176</v>
      </c>
      <c r="F1673" s="71" t="s">
        <v>2073</v>
      </c>
      <c r="G1673" s="71">
        <f t="shared" si="52"/>
        <v>6</v>
      </c>
      <c r="H1673" s="71">
        <f t="shared" si="53"/>
        <v>4</v>
      </c>
    </row>
    <row r="1674" spans="1:8" x14ac:dyDescent="0.2">
      <c r="A1674" s="71" t="s">
        <v>193</v>
      </c>
      <c r="B1674" s="71" t="s">
        <v>194</v>
      </c>
      <c r="C1674" s="71" t="s">
        <v>47</v>
      </c>
      <c r="D1674" s="88">
        <v>46176.682465277801</v>
      </c>
      <c r="E1674" s="89">
        <v>46176</v>
      </c>
      <c r="F1674" s="71" t="s">
        <v>2074</v>
      </c>
      <c r="G1674" s="71">
        <f t="shared" si="52"/>
        <v>6</v>
      </c>
      <c r="H1674" s="71">
        <f t="shared" si="53"/>
        <v>12</v>
      </c>
    </row>
    <row r="1675" spans="1:8" x14ac:dyDescent="0.2">
      <c r="A1675" s="71" t="s">
        <v>193</v>
      </c>
      <c r="B1675" s="71" t="s">
        <v>194</v>
      </c>
      <c r="C1675" s="71" t="s">
        <v>47</v>
      </c>
      <c r="D1675" s="88">
        <v>46177.684687499997</v>
      </c>
      <c r="E1675" s="89">
        <v>46177</v>
      </c>
      <c r="F1675" s="71" t="s">
        <v>2073</v>
      </c>
      <c r="G1675" s="71">
        <f t="shared" si="52"/>
        <v>6</v>
      </c>
      <c r="H1675" s="71">
        <f t="shared" si="53"/>
        <v>4</v>
      </c>
    </row>
    <row r="1676" spans="1:8" x14ac:dyDescent="0.2">
      <c r="A1676" s="71" t="s">
        <v>193</v>
      </c>
      <c r="B1676" s="71" t="s">
        <v>194</v>
      </c>
      <c r="C1676" s="71" t="s">
        <v>47</v>
      </c>
      <c r="D1676" s="88">
        <v>46177.685011574104</v>
      </c>
      <c r="E1676" s="89">
        <v>46177</v>
      </c>
      <c r="F1676" s="71" t="s">
        <v>2072</v>
      </c>
      <c r="G1676" s="71">
        <f t="shared" si="52"/>
        <v>6</v>
      </c>
      <c r="H1676" s="71">
        <f t="shared" si="53"/>
        <v>11</v>
      </c>
    </row>
    <row r="1677" spans="1:8" x14ac:dyDescent="0.2">
      <c r="A1677" s="71" t="s">
        <v>193</v>
      </c>
      <c r="B1677" s="71" t="s">
        <v>194</v>
      </c>
      <c r="C1677" s="71" t="s">
        <v>47</v>
      </c>
      <c r="D1677" s="88">
        <v>46178.628229166701</v>
      </c>
      <c r="E1677" s="89">
        <v>46178</v>
      </c>
      <c r="F1677" s="71" t="s">
        <v>2073</v>
      </c>
      <c r="G1677" s="71">
        <f t="shared" si="52"/>
        <v>6</v>
      </c>
      <c r="H1677" s="71">
        <f t="shared" si="53"/>
        <v>4</v>
      </c>
    </row>
    <row r="1678" spans="1:8" x14ac:dyDescent="0.2">
      <c r="A1678" s="71" t="s">
        <v>193</v>
      </c>
      <c r="B1678" s="71" t="s">
        <v>194</v>
      </c>
      <c r="C1678" s="71" t="s">
        <v>47</v>
      </c>
      <c r="D1678" s="88">
        <v>46178.628645833298</v>
      </c>
      <c r="E1678" s="89">
        <v>46178</v>
      </c>
      <c r="F1678" s="71" t="s">
        <v>2072</v>
      </c>
      <c r="G1678" s="71">
        <f t="shared" si="52"/>
        <v>6</v>
      </c>
      <c r="H1678" s="71">
        <f t="shared" si="53"/>
        <v>11</v>
      </c>
    </row>
    <row r="1679" spans="1:8" x14ac:dyDescent="0.2">
      <c r="A1679" s="71" t="s">
        <v>193</v>
      </c>
      <c r="B1679" s="71" t="s">
        <v>194</v>
      </c>
      <c r="C1679" s="71" t="s">
        <v>47</v>
      </c>
      <c r="D1679" s="88">
        <v>46181.585185185198</v>
      </c>
      <c r="E1679" s="89">
        <v>46181</v>
      </c>
      <c r="F1679" s="71" t="s">
        <v>2073</v>
      </c>
      <c r="G1679" s="71">
        <f t="shared" si="52"/>
        <v>6</v>
      </c>
      <c r="H1679" s="71">
        <f t="shared" si="53"/>
        <v>4</v>
      </c>
    </row>
    <row r="1680" spans="1:8" x14ac:dyDescent="0.2">
      <c r="A1680" s="71" t="s">
        <v>193</v>
      </c>
      <c r="B1680" s="71" t="s">
        <v>194</v>
      </c>
      <c r="C1680" s="71" t="s">
        <v>47</v>
      </c>
      <c r="D1680" s="88">
        <v>46181.585682870398</v>
      </c>
      <c r="E1680" s="89">
        <v>46181</v>
      </c>
      <c r="F1680" s="71" t="s">
        <v>2072</v>
      </c>
      <c r="G1680" s="71">
        <f t="shared" si="52"/>
        <v>6</v>
      </c>
      <c r="H1680" s="71">
        <f t="shared" si="53"/>
        <v>11</v>
      </c>
    </row>
    <row r="1681" spans="1:8" x14ac:dyDescent="0.2">
      <c r="A1681" s="71" t="s">
        <v>193</v>
      </c>
      <c r="B1681" s="71" t="s">
        <v>194</v>
      </c>
      <c r="C1681" s="71" t="s">
        <v>47</v>
      </c>
      <c r="D1681" s="88">
        <v>46182.621724536999</v>
      </c>
      <c r="E1681" s="89">
        <v>46182</v>
      </c>
      <c r="F1681" s="71" t="s">
        <v>2073</v>
      </c>
      <c r="G1681" s="71">
        <f t="shared" si="52"/>
        <v>6</v>
      </c>
      <c r="H1681" s="71">
        <f t="shared" si="53"/>
        <v>4</v>
      </c>
    </row>
    <row r="1682" spans="1:8" x14ac:dyDescent="0.2">
      <c r="A1682" s="71" t="s">
        <v>193</v>
      </c>
      <c r="B1682" s="71" t="s">
        <v>194</v>
      </c>
      <c r="C1682" s="71" t="s">
        <v>47</v>
      </c>
      <c r="D1682" s="88">
        <v>46182.622627314799</v>
      </c>
      <c r="E1682" s="89">
        <v>46182</v>
      </c>
      <c r="F1682" s="71" t="s">
        <v>2072</v>
      </c>
      <c r="G1682" s="71">
        <f t="shared" si="52"/>
        <v>6</v>
      </c>
      <c r="H1682" s="71">
        <f t="shared" si="53"/>
        <v>11</v>
      </c>
    </row>
    <row r="1683" spans="1:8" x14ac:dyDescent="0.2">
      <c r="A1683" s="71" t="s">
        <v>193</v>
      </c>
      <c r="B1683" s="71" t="s">
        <v>194</v>
      </c>
      <c r="C1683" s="71" t="s">
        <v>47</v>
      </c>
      <c r="D1683" s="88">
        <v>46183.624374999999</v>
      </c>
      <c r="E1683" s="89">
        <v>46183</v>
      </c>
      <c r="F1683" s="71" t="s">
        <v>2073</v>
      </c>
      <c r="G1683" s="71">
        <f t="shared" si="52"/>
        <v>6</v>
      </c>
      <c r="H1683" s="71">
        <f t="shared" si="53"/>
        <v>4</v>
      </c>
    </row>
    <row r="1684" spans="1:8" x14ac:dyDescent="0.2">
      <c r="A1684" s="71" t="s">
        <v>193</v>
      </c>
      <c r="B1684" s="71" t="s">
        <v>194</v>
      </c>
      <c r="C1684" s="71" t="s">
        <v>47</v>
      </c>
      <c r="D1684" s="88">
        <v>46183.624930555598</v>
      </c>
      <c r="E1684" s="89">
        <v>46183</v>
      </c>
      <c r="F1684" s="71" t="s">
        <v>2072</v>
      </c>
      <c r="G1684" s="71">
        <f t="shared" si="52"/>
        <v>6</v>
      </c>
      <c r="H1684" s="71">
        <f t="shared" si="53"/>
        <v>11</v>
      </c>
    </row>
    <row r="1685" spans="1:8" x14ac:dyDescent="0.2">
      <c r="A1685" s="71" t="s">
        <v>193</v>
      </c>
      <c r="B1685" s="71" t="s">
        <v>194</v>
      </c>
      <c r="C1685" s="71" t="s">
        <v>47</v>
      </c>
      <c r="D1685" s="88">
        <v>46184.613726851901</v>
      </c>
      <c r="E1685" s="89">
        <v>46184</v>
      </c>
      <c r="F1685" s="71" t="s">
        <v>2073</v>
      </c>
      <c r="G1685" s="71">
        <f t="shared" si="52"/>
        <v>6</v>
      </c>
      <c r="H1685" s="71">
        <f t="shared" si="53"/>
        <v>4</v>
      </c>
    </row>
    <row r="1686" spans="1:8" x14ac:dyDescent="0.2">
      <c r="A1686" s="71" t="s">
        <v>193</v>
      </c>
      <c r="B1686" s="71" t="s">
        <v>194</v>
      </c>
      <c r="C1686" s="71" t="s">
        <v>47</v>
      </c>
      <c r="D1686" s="88">
        <v>46184.614872685197</v>
      </c>
      <c r="E1686" s="89">
        <v>46184</v>
      </c>
      <c r="F1686" s="71" t="s">
        <v>2072</v>
      </c>
      <c r="G1686" s="71">
        <f t="shared" si="52"/>
        <v>6</v>
      </c>
      <c r="H1686" s="71">
        <f t="shared" si="53"/>
        <v>11</v>
      </c>
    </row>
    <row r="1687" spans="1:8" x14ac:dyDescent="0.2">
      <c r="A1687" s="71" t="s">
        <v>193</v>
      </c>
      <c r="B1687" s="71" t="s">
        <v>194</v>
      </c>
      <c r="C1687" s="71" t="s">
        <v>47</v>
      </c>
      <c r="D1687" s="88">
        <v>46185.622025463003</v>
      </c>
      <c r="E1687" s="89">
        <v>46185</v>
      </c>
      <c r="F1687" s="71" t="s">
        <v>2073</v>
      </c>
      <c r="G1687" s="71">
        <f t="shared" si="52"/>
        <v>6</v>
      </c>
      <c r="H1687" s="71">
        <f t="shared" si="53"/>
        <v>4</v>
      </c>
    </row>
    <row r="1688" spans="1:8" x14ac:dyDescent="0.2">
      <c r="A1688" s="71" t="s">
        <v>193</v>
      </c>
      <c r="B1688" s="71" t="s">
        <v>194</v>
      </c>
      <c r="C1688" s="71" t="s">
        <v>47</v>
      </c>
      <c r="D1688" s="88">
        <v>46185.622789351903</v>
      </c>
      <c r="E1688" s="89">
        <v>46185</v>
      </c>
      <c r="F1688" s="71" t="s">
        <v>2072</v>
      </c>
      <c r="G1688" s="71">
        <f t="shared" si="52"/>
        <v>6</v>
      </c>
      <c r="H1688" s="71">
        <f t="shared" si="53"/>
        <v>11</v>
      </c>
    </row>
    <row r="1689" spans="1:8" x14ac:dyDescent="0.2">
      <c r="A1689" s="71" t="s">
        <v>193</v>
      </c>
      <c r="B1689" s="71" t="s">
        <v>194</v>
      </c>
      <c r="C1689" s="71" t="s">
        <v>47</v>
      </c>
      <c r="D1689" s="88">
        <v>46185.623726851903</v>
      </c>
      <c r="E1689" s="89">
        <v>46185</v>
      </c>
      <c r="F1689" s="71" t="s">
        <v>2074</v>
      </c>
      <c r="G1689" s="71">
        <f t="shared" si="52"/>
        <v>6</v>
      </c>
      <c r="H1689" s="71">
        <f t="shared" si="53"/>
        <v>12</v>
      </c>
    </row>
    <row r="1690" spans="1:8" x14ac:dyDescent="0.2">
      <c r="A1690" s="71" t="s">
        <v>193</v>
      </c>
      <c r="B1690" s="71" t="s">
        <v>194</v>
      </c>
      <c r="C1690" s="71" t="s">
        <v>47</v>
      </c>
      <c r="D1690" s="88">
        <v>46188.623622685198</v>
      </c>
      <c r="E1690" s="89">
        <v>46188</v>
      </c>
      <c r="F1690" s="71" t="s">
        <v>2073</v>
      </c>
      <c r="G1690" s="71">
        <f t="shared" si="52"/>
        <v>6</v>
      </c>
      <c r="H1690" s="71">
        <f t="shared" si="53"/>
        <v>4</v>
      </c>
    </row>
    <row r="1691" spans="1:8" x14ac:dyDescent="0.2">
      <c r="A1691" s="71" t="s">
        <v>193</v>
      </c>
      <c r="B1691" s="71" t="s">
        <v>194</v>
      </c>
      <c r="C1691" s="71" t="s">
        <v>47</v>
      </c>
      <c r="D1691" s="88">
        <v>46188.624224537001</v>
      </c>
      <c r="E1691" s="89">
        <v>46188</v>
      </c>
      <c r="F1691" s="71" t="s">
        <v>2072</v>
      </c>
      <c r="G1691" s="71">
        <f t="shared" si="52"/>
        <v>6</v>
      </c>
      <c r="H1691" s="71">
        <f t="shared" si="53"/>
        <v>11</v>
      </c>
    </row>
    <row r="1692" spans="1:8" x14ac:dyDescent="0.2">
      <c r="A1692" s="71" t="s">
        <v>193</v>
      </c>
      <c r="B1692" s="71" t="s">
        <v>194</v>
      </c>
      <c r="C1692" s="71" t="s">
        <v>47</v>
      </c>
      <c r="D1692" s="88">
        <v>46190.596192129597</v>
      </c>
      <c r="E1692" s="89">
        <v>46190</v>
      </c>
      <c r="F1692" s="71" t="s">
        <v>2073</v>
      </c>
      <c r="G1692" s="71">
        <f t="shared" si="52"/>
        <v>6</v>
      </c>
      <c r="H1692" s="71">
        <f t="shared" si="53"/>
        <v>4</v>
      </c>
    </row>
    <row r="1693" spans="1:8" x14ac:dyDescent="0.2">
      <c r="A1693" s="71" t="s">
        <v>193</v>
      </c>
      <c r="B1693" s="71" t="s">
        <v>194</v>
      </c>
      <c r="C1693" s="71" t="s">
        <v>47</v>
      </c>
      <c r="D1693" s="88">
        <v>46190.596701388902</v>
      </c>
      <c r="E1693" s="89">
        <v>46190</v>
      </c>
      <c r="F1693" s="71" t="s">
        <v>2072</v>
      </c>
      <c r="G1693" s="71">
        <f t="shared" si="52"/>
        <v>6</v>
      </c>
      <c r="H1693" s="71">
        <f t="shared" si="53"/>
        <v>11</v>
      </c>
    </row>
    <row r="1694" spans="1:8" x14ac:dyDescent="0.2">
      <c r="A1694" s="71" t="s">
        <v>193</v>
      </c>
      <c r="B1694" s="71" t="s">
        <v>194</v>
      </c>
      <c r="C1694" s="71" t="s">
        <v>47</v>
      </c>
      <c r="D1694" s="88">
        <v>46191.621516203697</v>
      </c>
      <c r="E1694" s="89">
        <v>46191</v>
      </c>
      <c r="F1694" s="71" t="s">
        <v>2073</v>
      </c>
      <c r="G1694" s="71">
        <f t="shared" si="52"/>
        <v>6</v>
      </c>
      <c r="H1694" s="71">
        <f t="shared" si="53"/>
        <v>4</v>
      </c>
    </row>
    <row r="1695" spans="1:8" x14ac:dyDescent="0.2">
      <c r="A1695" s="71" t="s">
        <v>193</v>
      </c>
      <c r="B1695" s="71" t="s">
        <v>194</v>
      </c>
      <c r="C1695" s="71" t="s">
        <v>47</v>
      </c>
      <c r="D1695" s="88">
        <v>46191.621909722198</v>
      </c>
      <c r="E1695" s="89">
        <v>46191</v>
      </c>
      <c r="F1695" s="71" t="s">
        <v>2072</v>
      </c>
      <c r="G1695" s="71">
        <f t="shared" si="52"/>
        <v>6</v>
      </c>
      <c r="H1695" s="71">
        <f t="shared" si="53"/>
        <v>11</v>
      </c>
    </row>
    <row r="1696" spans="1:8" x14ac:dyDescent="0.2">
      <c r="A1696" s="71" t="s">
        <v>193</v>
      </c>
      <c r="B1696" s="71" t="s">
        <v>194</v>
      </c>
      <c r="C1696" s="71" t="s">
        <v>47</v>
      </c>
      <c r="D1696" s="88">
        <v>46192.623182870397</v>
      </c>
      <c r="E1696" s="89">
        <v>46192</v>
      </c>
      <c r="F1696" s="71" t="s">
        <v>2073</v>
      </c>
      <c r="G1696" s="71">
        <f t="shared" si="52"/>
        <v>6</v>
      </c>
      <c r="H1696" s="71">
        <f t="shared" si="53"/>
        <v>4</v>
      </c>
    </row>
    <row r="1697" spans="1:8" x14ac:dyDescent="0.2">
      <c r="A1697" s="71" t="s">
        <v>193</v>
      </c>
      <c r="B1697" s="71" t="s">
        <v>194</v>
      </c>
      <c r="C1697" s="71" t="s">
        <v>47</v>
      </c>
      <c r="D1697" s="88">
        <v>46192.623993055597</v>
      </c>
      <c r="E1697" s="89">
        <v>46192</v>
      </c>
      <c r="F1697" s="71" t="s">
        <v>2072</v>
      </c>
      <c r="G1697" s="71">
        <f t="shared" si="52"/>
        <v>6</v>
      </c>
      <c r="H1697" s="71">
        <f t="shared" si="53"/>
        <v>11</v>
      </c>
    </row>
    <row r="1698" spans="1:8" x14ac:dyDescent="0.2">
      <c r="A1698" s="71" t="s">
        <v>193</v>
      </c>
      <c r="B1698" s="71" t="s">
        <v>194</v>
      </c>
      <c r="C1698" s="71" t="s">
        <v>47</v>
      </c>
      <c r="D1698" s="88">
        <v>46195.625393518501</v>
      </c>
      <c r="E1698" s="89">
        <v>46195</v>
      </c>
      <c r="F1698" s="71" t="s">
        <v>2073</v>
      </c>
      <c r="G1698" s="71">
        <f t="shared" si="52"/>
        <v>6</v>
      </c>
      <c r="H1698" s="71">
        <f t="shared" si="53"/>
        <v>4</v>
      </c>
    </row>
    <row r="1699" spans="1:8" x14ac:dyDescent="0.2">
      <c r="A1699" s="71" t="s">
        <v>193</v>
      </c>
      <c r="B1699" s="71" t="s">
        <v>194</v>
      </c>
      <c r="C1699" s="71" t="s">
        <v>47</v>
      </c>
      <c r="D1699" s="88">
        <v>46195.626099537003</v>
      </c>
      <c r="E1699" s="89">
        <v>46195</v>
      </c>
      <c r="F1699" s="71" t="s">
        <v>2072</v>
      </c>
      <c r="G1699" s="71">
        <f t="shared" si="52"/>
        <v>6</v>
      </c>
      <c r="H1699" s="71">
        <f t="shared" si="53"/>
        <v>11</v>
      </c>
    </row>
    <row r="1700" spans="1:8" x14ac:dyDescent="0.2">
      <c r="A1700" s="71" t="s">
        <v>193</v>
      </c>
      <c r="B1700" s="71" t="s">
        <v>194</v>
      </c>
      <c r="C1700" s="71" t="s">
        <v>47</v>
      </c>
      <c r="D1700" s="88">
        <v>46196.609247685199</v>
      </c>
      <c r="E1700" s="89">
        <v>46196</v>
      </c>
      <c r="F1700" s="71" t="s">
        <v>2073</v>
      </c>
      <c r="G1700" s="71">
        <f t="shared" si="52"/>
        <v>6</v>
      </c>
      <c r="H1700" s="71">
        <f t="shared" si="53"/>
        <v>4</v>
      </c>
    </row>
    <row r="1701" spans="1:8" x14ac:dyDescent="0.2">
      <c r="A1701" s="71" t="s">
        <v>193</v>
      </c>
      <c r="B1701" s="71" t="s">
        <v>194</v>
      </c>
      <c r="C1701" s="71" t="s">
        <v>47</v>
      </c>
      <c r="D1701" s="88">
        <v>46196.6096412037</v>
      </c>
      <c r="E1701" s="89">
        <v>46196</v>
      </c>
      <c r="F1701" s="71" t="s">
        <v>2072</v>
      </c>
      <c r="G1701" s="71">
        <f t="shared" si="52"/>
        <v>6</v>
      </c>
      <c r="H1701" s="71">
        <f t="shared" si="53"/>
        <v>11</v>
      </c>
    </row>
    <row r="1702" spans="1:8" x14ac:dyDescent="0.2">
      <c r="A1702" s="71" t="s">
        <v>193</v>
      </c>
      <c r="B1702" s="71" t="s">
        <v>194</v>
      </c>
      <c r="C1702" s="71" t="s">
        <v>47</v>
      </c>
      <c r="D1702" s="88">
        <v>46197.392858796302</v>
      </c>
      <c r="E1702" s="89">
        <v>46197</v>
      </c>
      <c r="F1702" s="71" t="s">
        <v>2073</v>
      </c>
      <c r="G1702" s="71">
        <f t="shared" si="52"/>
        <v>6</v>
      </c>
      <c r="H1702" s="71">
        <f t="shared" si="53"/>
        <v>4</v>
      </c>
    </row>
    <row r="1703" spans="1:8" x14ac:dyDescent="0.2">
      <c r="A1703" s="71" t="s">
        <v>193</v>
      </c>
      <c r="B1703" s="71" t="s">
        <v>194</v>
      </c>
      <c r="C1703" s="71" t="s">
        <v>47</v>
      </c>
      <c r="D1703" s="88">
        <v>46197.457546296297</v>
      </c>
      <c r="E1703" s="89">
        <v>46197</v>
      </c>
      <c r="F1703" s="71" t="s">
        <v>2072</v>
      </c>
      <c r="G1703" s="71">
        <f t="shared" si="52"/>
        <v>6</v>
      </c>
      <c r="H1703" s="71">
        <f t="shared" si="53"/>
        <v>11</v>
      </c>
    </row>
    <row r="1704" spans="1:8" x14ac:dyDescent="0.2">
      <c r="A1704" s="71" t="s">
        <v>193</v>
      </c>
      <c r="B1704" s="71" t="s">
        <v>194</v>
      </c>
      <c r="C1704" s="71" t="s">
        <v>47</v>
      </c>
      <c r="D1704" s="88">
        <v>46198.624050925901</v>
      </c>
      <c r="E1704" s="89">
        <v>46198</v>
      </c>
      <c r="F1704" s="71" t="s">
        <v>2073</v>
      </c>
      <c r="G1704" s="71">
        <f t="shared" si="52"/>
        <v>6</v>
      </c>
      <c r="H1704" s="71">
        <f t="shared" si="53"/>
        <v>4</v>
      </c>
    </row>
    <row r="1705" spans="1:8" x14ac:dyDescent="0.2">
      <c r="A1705" s="71" t="s">
        <v>193</v>
      </c>
      <c r="B1705" s="71" t="s">
        <v>194</v>
      </c>
      <c r="C1705" s="71" t="s">
        <v>47</v>
      </c>
      <c r="D1705" s="88">
        <v>46198.624652777798</v>
      </c>
      <c r="E1705" s="89">
        <v>46198</v>
      </c>
      <c r="F1705" s="71" t="s">
        <v>2072</v>
      </c>
      <c r="G1705" s="71">
        <f t="shared" si="52"/>
        <v>6</v>
      </c>
      <c r="H1705" s="71">
        <f t="shared" si="53"/>
        <v>11</v>
      </c>
    </row>
    <row r="1706" spans="1:8" x14ac:dyDescent="0.2">
      <c r="A1706" s="71" t="s">
        <v>193</v>
      </c>
      <c r="B1706" s="71" t="s">
        <v>194</v>
      </c>
      <c r="C1706" s="71" t="s">
        <v>47</v>
      </c>
      <c r="D1706" s="88">
        <v>46199.418935185196</v>
      </c>
      <c r="E1706" s="89">
        <v>46199</v>
      </c>
      <c r="F1706" s="71" t="s">
        <v>2073</v>
      </c>
      <c r="G1706" s="71">
        <f t="shared" si="52"/>
        <v>6</v>
      </c>
      <c r="H1706" s="71">
        <f t="shared" si="53"/>
        <v>4</v>
      </c>
    </row>
    <row r="1707" spans="1:8" x14ac:dyDescent="0.2">
      <c r="A1707" s="71" t="s">
        <v>193</v>
      </c>
      <c r="B1707" s="71" t="s">
        <v>194</v>
      </c>
      <c r="C1707" s="71" t="s">
        <v>47</v>
      </c>
      <c r="D1707" s="88">
        <v>46199.419305555602</v>
      </c>
      <c r="E1707" s="89">
        <v>46199</v>
      </c>
      <c r="F1707" s="71" t="s">
        <v>2072</v>
      </c>
      <c r="G1707" s="71">
        <f t="shared" si="52"/>
        <v>6</v>
      </c>
      <c r="H1707" s="71">
        <f t="shared" si="53"/>
        <v>11</v>
      </c>
    </row>
    <row r="1708" spans="1:8" x14ac:dyDescent="0.2">
      <c r="A1708" s="71" t="s">
        <v>193</v>
      </c>
      <c r="B1708" s="71" t="s">
        <v>194</v>
      </c>
      <c r="C1708" s="71" t="s">
        <v>47</v>
      </c>
      <c r="D1708" s="88">
        <v>46202.624050925901</v>
      </c>
      <c r="E1708" s="89">
        <v>46202</v>
      </c>
      <c r="F1708" s="71" t="s">
        <v>2073</v>
      </c>
      <c r="G1708" s="71">
        <f t="shared" si="52"/>
        <v>6</v>
      </c>
      <c r="H1708" s="71">
        <f t="shared" si="53"/>
        <v>4</v>
      </c>
    </row>
    <row r="1709" spans="1:8" x14ac:dyDescent="0.2">
      <c r="A1709" s="71" t="s">
        <v>193</v>
      </c>
      <c r="B1709" s="71" t="s">
        <v>194</v>
      </c>
      <c r="C1709" s="71" t="s">
        <v>47</v>
      </c>
      <c r="D1709" s="88">
        <v>46202.624606481499</v>
      </c>
      <c r="E1709" s="89">
        <v>46202</v>
      </c>
      <c r="F1709" s="71" t="s">
        <v>2072</v>
      </c>
      <c r="G1709" s="71">
        <f t="shared" si="52"/>
        <v>6</v>
      </c>
      <c r="H1709" s="71">
        <f t="shared" si="53"/>
        <v>11</v>
      </c>
    </row>
    <row r="1710" spans="1:8" x14ac:dyDescent="0.2">
      <c r="A1710" s="71" t="s">
        <v>193</v>
      </c>
      <c r="B1710" s="71" t="s">
        <v>194</v>
      </c>
      <c r="C1710" s="71" t="s">
        <v>47</v>
      </c>
      <c r="D1710" s="88">
        <v>46204.418344907397</v>
      </c>
      <c r="E1710" s="89">
        <v>46204</v>
      </c>
      <c r="F1710" s="71" t="s">
        <v>2073</v>
      </c>
      <c r="G1710" s="71">
        <f t="shared" si="52"/>
        <v>7</v>
      </c>
      <c r="H1710" s="71">
        <f t="shared" si="53"/>
        <v>4</v>
      </c>
    </row>
    <row r="1711" spans="1:8" x14ac:dyDescent="0.2">
      <c r="A1711" s="71" t="s">
        <v>193</v>
      </c>
      <c r="B1711" s="71" t="s">
        <v>194</v>
      </c>
      <c r="C1711" s="71" t="s">
        <v>47</v>
      </c>
      <c r="D1711" s="88">
        <v>46204.661724537</v>
      </c>
      <c r="E1711" s="89">
        <v>46204</v>
      </c>
      <c r="F1711" s="71" t="s">
        <v>2072</v>
      </c>
      <c r="G1711" s="71">
        <f t="shared" si="52"/>
        <v>7</v>
      </c>
      <c r="H1711" s="71">
        <f t="shared" si="53"/>
        <v>11</v>
      </c>
    </row>
    <row r="1712" spans="1:8" x14ac:dyDescent="0.2">
      <c r="A1712" s="71" t="s">
        <v>193</v>
      </c>
      <c r="B1712" s="71" t="s">
        <v>194</v>
      </c>
      <c r="C1712" s="71" t="s">
        <v>47</v>
      </c>
      <c r="D1712" s="88">
        <v>46205.418854166703</v>
      </c>
      <c r="E1712" s="89">
        <v>46205</v>
      </c>
      <c r="F1712" s="71" t="s">
        <v>2073</v>
      </c>
      <c r="G1712" s="71">
        <f t="shared" si="52"/>
        <v>7</v>
      </c>
      <c r="H1712" s="71">
        <f t="shared" si="53"/>
        <v>4</v>
      </c>
    </row>
    <row r="1713" spans="1:8" x14ac:dyDescent="0.2">
      <c r="A1713" s="71" t="s">
        <v>193</v>
      </c>
      <c r="B1713" s="71" t="s">
        <v>194</v>
      </c>
      <c r="C1713" s="71" t="s">
        <v>47</v>
      </c>
      <c r="D1713" s="88">
        <v>46205.638564814799</v>
      </c>
      <c r="E1713" s="89">
        <v>46205</v>
      </c>
      <c r="F1713" s="71" t="s">
        <v>2072</v>
      </c>
      <c r="G1713" s="71">
        <f t="shared" si="52"/>
        <v>7</v>
      </c>
      <c r="H1713" s="71">
        <f t="shared" si="53"/>
        <v>11</v>
      </c>
    </row>
    <row r="1714" spans="1:8" x14ac:dyDescent="0.2">
      <c r="A1714" s="71" t="s">
        <v>193</v>
      </c>
      <c r="B1714" s="71" t="s">
        <v>194</v>
      </c>
      <c r="C1714" s="71" t="s">
        <v>47</v>
      </c>
      <c r="D1714" s="88">
        <v>46206.606828703698</v>
      </c>
      <c r="E1714" s="89">
        <v>46206</v>
      </c>
      <c r="F1714" s="71" t="s">
        <v>2073</v>
      </c>
      <c r="G1714" s="71">
        <f t="shared" si="52"/>
        <v>7</v>
      </c>
      <c r="H1714" s="71">
        <f t="shared" si="53"/>
        <v>4</v>
      </c>
    </row>
    <row r="1715" spans="1:8" x14ac:dyDescent="0.2">
      <c r="A1715" s="71" t="s">
        <v>193</v>
      </c>
      <c r="B1715" s="71" t="s">
        <v>194</v>
      </c>
      <c r="C1715" s="71" t="s">
        <v>47</v>
      </c>
      <c r="D1715" s="88">
        <v>46206.6159259259</v>
      </c>
      <c r="E1715" s="89">
        <v>46206</v>
      </c>
      <c r="F1715" s="71" t="s">
        <v>2072</v>
      </c>
      <c r="G1715" s="71">
        <f t="shared" si="52"/>
        <v>7</v>
      </c>
      <c r="H1715" s="71">
        <f t="shared" si="53"/>
        <v>11</v>
      </c>
    </row>
    <row r="1716" spans="1:8" x14ac:dyDescent="0.2">
      <c r="A1716" s="71" t="s">
        <v>193</v>
      </c>
      <c r="B1716" s="71" t="s">
        <v>194</v>
      </c>
      <c r="C1716" s="71" t="s">
        <v>47</v>
      </c>
      <c r="D1716" s="88">
        <v>46209.644328703696</v>
      </c>
      <c r="E1716" s="89">
        <v>46209</v>
      </c>
      <c r="F1716" s="71" t="s">
        <v>2073</v>
      </c>
      <c r="G1716" s="71">
        <f t="shared" si="52"/>
        <v>7</v>
      </c>
      <c r="H1716" s="71">
        <f t="shared" si="53"/>
        <v>4</v>
      </c>
    </row>
    <row r="1717" spans="1:8" x14ac:dyDescent="0.2">
      <c r="A1717" s="71" t="s">
        <v>193</v>
      </c>
      <c r="B1717" s="71" t="s">
        <v>194</v>
      </c>
      <c r="C1717" s="71" t="s">
        <v>47</v>
      </c>
      <c r="D1717" s="88">
        <v>46209.644861111097</v>
      </c>
      <c r="E1717" s="89">
        <v>46209</v>
      </c>
      <c r="F1717" s="71" t="s">
        <v>2072</v>
      </c>
      <c r="G1717" s="71">
        <f t="shared" si="52"/>
        <v>7</v>
      </c>
      <c r="H1717" s="71">
        <f t="shared" si="53"/>
        <v>11</v>
      </c>
    </row>
    <row r="1718" spans="1:8" x14ac:dyDescent="0.2">
      <c r="A1718" s="71" t="s">
        <v>193</v>
      </c>
      <c r="B1718" s="71" t="s">
        <v>194</v>
      </c>
      <c r="C1718" s="71" t="s">
        <v>47</v>
      </c>
      <c r="D1718" s="88">
        <v>46210.621018518497</v>
      </c>
      <c r="E1718" s="89">
        <v>46210</v>
      </c>
      <c r="F1718" s="71" t="s">
        <v>2073</v>
      </c>
      <c r="G1718" s="71">
        <f t="shared" si="52"/>
        <v>7</v>
      </c>
      <c r="H1718" s="71">
        <f t="shared" si="53"/>
        <v>4</v>
      </c>
    </row>
    <row r="1719" spans="1:8" x14ac:dyDescent="0.2">
      <c r="A1719" s="71" t="s">
        <v>193</v>
      </c>
      <c r="B1719" s="71" t="s">
        <v>194</v>
      </c>
      <c r="C1719" s="71" t="s">
        <v>47</v>
      </c>
      <c r="D1719" s="88">
        <v>46210.621597222198</v>
      </c>
      <c r="E1719" s="89">
        <v>46210</v>
      </c>
      <c r="F1719" s="71" t="s">
        <v>2072</v>
      </c>
      <c r="G1719" s="71">
        <f t="shared" si="52"/>
        <v>7</v>
      </c>
      <c r="H1719" s="71">
        <f t="shared" si="53"/>
        <v>11</v>
      </c>
    </row>
    <row r="1720" spans="1:8" x14ac:dyDescent="0.2">
      <c r="A1720" s="71" t="s">
        <v>193</v>
      </c>
      <c r="B1720" s="71" t="s">
        <v>194</v>
      </c>
      <c r="C1720" s="71" t="s">
        <v>47</v>
      </c>
      <c r="D1720" s="88">
        <v>46211.631793981498</v>
      </c>
      <c r="E1720" s="89">
        <v>46211</v>
      </c>
      <c r="F1720" s="71" t="s">
        <v>2073</v>
      </c>
      <c r="G1720" s="71">
        <f t="shared" si="52"/>
        <v>7</v>
      </c>
      <c r="H1720" s="71">
        <f t="shared" si="53"/>
        <v>4</v>
      </c>
    </row>
    <row r="1721" spans="1:8" x14ac:dyDescent="0.2">
      <c r="A1721" s="71" t="s">
        <v>193</v>
      </c>
      <c r="B1721" s="71" t="s">
        <v>194</v>
      </c>
      <c r="C1721" s="71" t="s">
        <v>47</v>
      </c>
      <c r="D1721" s="88">
        <v>46211.632256944496</v>
      </c>
      <c r="E1721" s="89">
        <v>46211</v>
      </c>
      <c r="F1721" s="71" t="s">
        <v>2072</v>
      </c>
      <c r="G1721" s="71">
        <f t="shared" si="52"/>
        <v>7</v>
      </c>
      <c r="H1721" s="71">
        <f t="shared" si="53"/>
        <v>11</v>
      </c>
    </row>
    <row r="1722" spans="1:8" x14ac:dyDescent="0.2">
      <c r="A1722" s="71" t="s">
        <v>193</v>
      </c>
      <c r="B1722" s="71" t="s">
        <v>194</v>
      </c>
      <c r="C1722" s="71" t="s">
        <v>47</v>
      </c>
      <c r="D1722" s="88">
        <v>46212.6553935185</v>
      </c>
      <c r="E1722" s="89">
        <v>46212</v>
      </c>
      <c r="F1722" s="71" t="s">
        <v>2073</v>
      </c>
      <c r="G1722" s="71">
        <f t="shared" si="52"/>
        <v>7</v>
      </c>
      <c r="H1722" s="71">
        <f t="shared" si="53"/>
        <v>4</v>
      </c>
    </row>
    <row r="1723" spans="1:8" x14ac:dyDescent="0.2">
      <c r="A1723" s="71" t="s">
        <v>193</v>
      </c>
      <c r="B1723" s="71" t="s">
        <v>194</v>
      </c>
      <c r="C1723" s="71" t="s">
        <v>47</v>
      </c>
      <c r="D1723" s="88">
        <v>46212.655972222201</v>
      </c>
      <c r="E1723" s="89">
        <v>46212</v>
      </c>
      <c r="F1723" s="71" t="s">
        <v>2072</v>
      </c>
      <c r="G1723" s="71">
        <f t="shared" si="52"/>
        <v>7</v>
      </c>
      <c r="H1723" s="71">
        <f t="shared" si="53"/>
        <v>11</v>
      </c>
    </row>
    <row r="1724" spans="1:8" x14ac:dyDescent="0.2">
      <c r="A1724" s="71" t="s">
        <v>193</v>
      </c>
      <c r="B1724" s="71" t="s">
        <v>194</v>
      </c>
      <c r="C1724" s="71" t="s">
        <v>47</v>
      </c>
      <c r="D1724" s="88">
        <v>46213.598206018498</v>
      </c>
      <c r="E1724" s="89">
        <v>46213</v>
      </c>
      <c r="F1724" s="71" t="s">
        <v>2073</v>
      </c>
      <c r="G1724" s="71">
        <f t="shared" si="52"/>
        <v>7</v>
      </c>
      <c r="H1724" s="71">
        <f t="shared" si="53"/>
        <v>4</v>
      </c>
    </row>
    <row r="1725" spans="1:8" x14ac:dyDescent="0.2">
      <c r="A1725" s="71" t="s">
        <v>193</v>
      </c>
      <c r="B1725" s="71" t="s">
        <v>194</v>
      </c>
      <c r="C1725" s="71" t="s">
        <v>47</v>
      </c>
      <c r="D1725" s="88">
        <v>46213.600289351903</v>
      </c>
      <c r="E1725" s="89">
        <v>46213</v>
      </c>
      <c r="F1725" s="71" t="s">
        <v>2072</v>
      </c>
      <c r="G1725" s="71">
        <f t="shared" si="52"/>
        <v>7</v>
      </c>
      <c r="H1725" s="71">
        <f t="shared" si="53"/>
        <v>11</v>
      </c>
    </row>
    <row r="1726" spans="1:8" x14ac:dyDescent="0.2">
      <c r="A1726" s="71" t="s">
        <v>193</v>
      </c>
      <c r="B1726" s="71" t="s">
        <v>194</v>
      </c>
      <c r="C1726" s="71" t="s">
        <v>47</v>
      </c>
      <c r="D1726" s="88">
        <v>46216.615370370397</v>
      </c>
      <c r="E1726" s="89">
        <v>46216</v>
      </c>
      <c r="F1726" s="71" t="s">
        <v>2073</v>
      </c>
      <c r="G1726" s="71">
        <f t="shared" si="52"/>
        <v>7</v>
      </c>
      <c r="H1726" s="71">
        <f t="shared" si="53"/>
        <v>4</v>
      </c>
    </row>
    <row r="1727" spans="1:8" x14ac:dyDescent="0.2">
      <c r="A1727" s="71" t="s">
        <v>193</v>
      </c>
      <c r="B1727" s="71" t="s">
        <v>194</v>
      </c>
      <c r="C1727" s="71" t="s">
        <v>47</v>
      </c>
      <c r="D1727" s="88">
        <v>46216.615787037001</v>
      </c>
      <c r="E1727" s="89">
        <v>46216</v>
      </c>
      <c r="F1727" s="71" t="s">
        <v>2072</v>
      </c>
      <c r="G1727" s="71">
        <f t="shared" si="52"/>
        <v>7</v>
      </c>
      <c r="H1727" s="71">
        <f t="shared" si="53"/>
        <v>11</v>
      </c>
    </row>
    <row r="1728" spans="1:8" x14ac:dyDescent="0.2">
      <c r="A1728" s="71" t="s">
        <v>193</v>
      </c>
      <c r="B1728" s="71" t="s">
        <v>194</v>
      </c>
      <c r="C1728" s="71" t="s">
        <v>47</v>
      </c>
      <c r="D1728" s="88">
        <v>46217.471712963001</v>
      </c>
      <c r="E1728" s="89">
        <v>46217</v>
      </c>
      <c r="F1728" s="71" t="s">
        <v>2073</v>
      </c>
      <c r="G1728" s="71">
        <f t="shared" si="52"/>
        <v>7</v>
      </c>
      <c r="H1728" s="71">
        <f t="shared" si="53"/>
        <v>4</v>
      </c>
    </row>
    <row r="1729" spans="1:8" x14ac:dyDescent="0.2">
      <c r="A1729" s="71" t="s">
        <v>193</v>
      </c>
      <c r="B1729" s="71" t="s">
        <v>194</v>
      </c>
      <c r="C1729" s="71" t="s">
        <v>47</v>
      </c>
      <c r="D1729" s="88">
        <v>46217.576064814799</v>
      </c>
      <c r="E1729" s="89">
        <v>46217</v>
      </c>
      <c r="F1729" s="71" t="s">
        <v>2072</v>
      </c>
      <c r="G1729" s="71">
        <f t="shared" si="52"/>
        <v>7</v>
      </c>
      <c r="H1729" s="71">
        <f t="shared" si="53"/>
        <v>11</v>
      </c>
    </row>
    <row r="1730" spans="1:8" x14ac:dyDescent="0.2">
      <c r="A1730" s="71" t="s">
        <v>193</v>
      </c>
      <c r="B1730" s="71" t="s">
        <v>194</v>
      </c>
      <c r="C1730" s="71" t="s">
        <v>47</v>
      </c>
      <c r="D1730" s="88">
        <v>46218.608576388899</v>
      </c>
      <c r="E1730" s="89">
        <v>46218</v>
      </c>
      <c r="F1730" s="71" t="s">
        <v>2073</v>
      </c>
      <c r="G1730" s="71">
        <f t="shared" ref="G1730:G1793" si="54">MONTH(E1730)</f>
        <v>7</v>
      </c>
      <c r="H1730" s="71">
        <f t="shared" ref="H1730:H1793" si="55">LEN(F1730)</f>
        <v>4</v>
      </c>
    </row>
    <row r="1731" spans="1:8" x14ac:dyDescent="0.2">
      <c r="A1731" s="71" t="s">
        <v>193</v>
      </c>
      <c r="B1731" s="71" t="s">
        <v>194</v>
      </c>
      <c r="C1731" s="71" t="s">
        <v>47</v>
      </c>
      <c r="D1731" s="88">
        <v>46218.608993055597</v>
      </c>
      <c r="E1731" s="89">
        <v>46218</v>
      </c>
      <c r="F1731" s="71" t="s">
        <v>2072</v>
      </c>
      <c r="G1731" s="71">
        <f t="shared" si="54"/>
        <v>7</v>
      </c>
      <c r="H1731" s="71">
        <f t="shared" si="55"/>
        <v>11</v>
      </c>
    </row>
    <row r="1732" spans="1:8" x14ac:dyDescent="0.2">
      <c r="A1732" s="71" t="s">
        <v>193</v>
      </c>
      <c r="B1732" s="71" t="s">
        <v>194</v>
      </c>
      <c r="C1732" s="71" t="s">
        <v>47</v>
      </c>
      <c r="D1732" s="88">
        <v>46219.592326388898</v>
      </c>
      <c r="E1732" s="89">
        <v>46219</v>
      </c>
      <c r="F1732" s="71" t="s">
        <v>2073</v>
      </c>
      <c r="G1732" s="71">
        <f t="shared" si="54"/>
        <v>7</v>
      </c>
      <c r="H1732" s="71">
        <f t="shared" si="55"/>
        <v>4</v>
      </c>
    </row>
    <row r="1733" spans="1:8" x14ac:dyDescent="0.2">
      <c r="A1733" s="71" t="s">
        <v>193</v>
      </c>
      <c r="B1733" s="71" t="s">
        <v>194</v>
      </c>
      <c r="C1733" s="71" t="s">
        <v>47</v>
      </c>
      <c r="D1733" s="88">
        <v>46219.592951388899</v>
      </c>
      <c r="E1733" s="89">
        <v>46219</v>
      </c>
      <c r="F1733" s="71" t="s">
        <v>2072</v>
      </c>
      <c r="G1733" s="71">
        <f t="shared" si="54"/>
        <v>7</v>
      </c>
      <c r="H1733" s="71">
        <f t="shared" si="55"/>
        <v>11</v>
      </c>
    </row>
    <row r="1734" spans="1:8" x14ac:dyDescent="0.2">
      <c r="A1734" s="71" t="s">
        <v>193</v>
      </c>
      <c r="B1734" s="71" t="s">
        <v>194</v>
      </c>
      <c r="C1734" s="71" t="s">
        <v>47</v>
      </c>
      <c r="D1734" s="88">
        <v>46220.619363425903</v>
      </c>
      <c r="E1734" s="89">
        <v>46220</v>
      </c>
      <c r="F1734" s="71" t="s">
        <v>2073</v>
      </c>
      <c r="G1734" s="71">
        <f t="shared" si="54"/>
        <v>7</v>
      </c>
      <c r="H1734" s="71">
        <f t="shared" si="55"/>
        <v>4</v>
      </c>
    </row>
    <row r="1735" spans="1:8" x14ac:dyDescent="0.2">
      <c r="A1735" s="71" t="s">
        <v>193</v>
      </c>
      <c r="B1735" s="71" t="s">
        <v>194</v>
      </c>
      <c r="C1735" s="71" t="s">
        <v>47</v>
      </c>
      <c r="D1735" s="88">
        <v>46220.620752314797</v>
      </c>
      <c r="E1735" s="89">
        <v>46220</v>
      </c>
      <c r="F1735" s="71" t="s">
        <v>2072</v>
      </c>
      <c r="G1735" s="71">
        <f t="shared" si="54"/>
        <v>7</v>
      </c>
      <c r="H1735" s="71">
        <f t="shared" si="55"/>
        <v>11</v>
      </c>
    </row>
    <row r="1736" spans="1:8" x14ac:dyDescent="0.2">
      <c r="A1736" s="71" t="s">
        <v>193</v>
      </c>
      <c r="B1736" s="71" t="s">
        <v>194</v>
      </c>
      <c r="C1736" s="71" t="s">
        <v>47</v>
      </c>
      <c r="D1736" s="88">
        <v>46223.6644212963</v>
      </c>
      <c r="E1736" s="89">
        <v>46223</v>
      </c>
      <c r="F1736" s="71" t="s">
        <v>2073</v>
      </c>
      <c r="G1736" s="71">
        <f t="shared" si="54"/>
        <v>7</v>
      </c>
      <c r="H1736" s="71">
        <f t="shared" si="55"/>
        <v>4</v>
      </c>
    </row>
    <row r="1737" spans="1:8" x14ac:dyDescent="0.2">
      <c r="A1737" s="71" t="s">
        <v>193</v>
      </c>
      <c r="B1737" s="71" t="s">
        <v>194</v>
      </c>
      <c r="C1737" s="71" t="s">
        <v>47</v>
      </c>
      <c r="D1737" s="88">
        <v>46223.664861111101</v>
      </c>
      <c r="E1737" s="89">
        <v>46223</v>
      </c>
      <c r="F1737" s="71" t="s">
        <v>2072</v>
      </c>
      <c r="G1737" s="71">
        <f t="shared" si="54"/>
        <v>7</v>
      </c>
      <c r="H1737" s="71">
        <f t="shared" si="55"/>
        <v>11</v>
      </c>
    </row>
    <row r="1738" spans="1:8" x14ac:dyDescent="0.2">
      <c r="A1738" s="71" t="s">
        <v>193</v>
      </c>
      <c r="B1738" s="71" t="s">
        <v>194</v>
      </c>
      <c r="C1738" s="71" t="s">
        <v>47</v>
      </c>
      <c r="D1738" s="88">
        <v>46224.659849536998</v>
      </c>
      <c r="E1738" s="89">
        <v>46224</v>
      </c>
      <c r="F1738" s="71" t="s">
        <v>2073</v>
      </c>
      <c r="G1738" s="71">
        <f t="shared" si="54"/>
        <v>7</v>
      </c>
      <c r="H1738" s="71">
        <f t="shared" si="55"/>
        <v>4</v>
      </c>
    </row>
    <row r="1739" spans="1:8" x14ac:dyDescent="0.2">
      <c r="A1739" s="71" t="s">
        <v>193</v>
      </c>
      <c r="B1739" s="71" t="s">
        <v>194</v>
      </c>
      <c r="C1739" s="71" t="s">
        <v>47</v>
      </c>
      <c r="D1739" s="88">
        <v>46224.660347222198</v>
      </c>
      <c r="E1739" s="89">
        <v>46224</v>
      </c>
      <c r="F1739" s="71" t="s">
        <v>2072</v>
      </c>
      <c r="G1739" s="71">
        <f t="shared" si="54"/>
        <v>7</v>
      </c>
      <c r="H1739" s="71">
        <f t="shared" si="55"/>
        <v>11</v>
      </c>
    </row>
    <row r="1740" spans="1:8" x14ac:dyDescent="0.2">
      <c r="A1740" s="71" t="s">
        <v>193</v>
      </c>
      <c r="B1740" s="71" t="s">
        <v>194</v>
      </c>
      <c r="C1740" s="71" t="s">
        <v>47</v>
      </c>
      <c r="D1740" s="88">
        <v>46225.672314814801</v>
      </c>
      <c r="E1740" s="89">
        <v>46225</v>
      </c>
      <c r="F1740" s="71" t="s">
        <v>2075</v>
      </c>
      <c r="G1740" s="71">
        <f t="shared" si="54"/>
        <v>7</v>
      </c>
      <c r="H1740" s="71">
        <f t="shared" si="55"/>
        <v>22</v>
      </c>
    </row>
    <row r="1741" spans="1:8" x14ac:dyDescent="0.2">
      <c r="A1741" s="71" t="s">
        <v>193</v>
      </c>
      <c r="B1741" s="71" t="s">
        <v>194</v>
      </c>
      <c r="C1741" s="71" t="s">
        <v>47</v>
      </c>
      <c r="D1741" s="88">
        <v>46225.672800925902</v>
      </c>
      <c r="E1741" s="89">
        <v>46225</v>
      </c>
      <c r="F1741" s="71" t="s">
        <v>2076</v>
      </c>
      <c r="G1741" s="71">
        <f t="shared" si="54"/>
        <v>7</v>
      </c>
      <c r="H1741" s="71">
        <f t="shared" si="55"/>
        <v>21</v>
      </c>
    </row>
    <row r="1742" spans="1:8" x14ac:dyDescent="0.2">
      <c r="A1742" s="71" t="s">
        <v>193</v>
      </c>
      <c r="B1742" s="71" t="s">
        <v>194</v>
      </c>
      <c r="C1742" s="71" t="s">
        <v>47</v>
      </c>
      <c r="D1742" s="88">
        <v>46226.618541666699</v>
      </c>
      <c r="E1742" s="89">
        <v>46226</v>
      </c>
      <c r="F1742" s="71" t="s">
        <v>2075</v>
      </c>
      <c r="G1742" s="71">
        <f t="shared" si="54"/>
        <v>7</v>
      </c>
      <c r="H1742" s="71">
        <f t="shared" si="55"/>
        <v>22</v>
      </c>
    </row>
    <row r="1743" spans="1:8" x14ac:dyDescent="0.2">
      <c r="A1743" s="71" t="s">
        <v>193</v>
      </c>
      <c r="B1743" s="71" t="s">
        <v>194</v>
      </c>
      <c r="C1743" s="71" t="s">
        <v>47</v>
      </c>
      <c r="D1743" s="88">
        <v>46226.619467592602</v>
      </c>
      <c r="E1743" s="89">
        <v>46226</v>
      </c>
      <c r="F1743" s="71" t="s">
        <v>2072</v>
      </c>
      <c r="G1743" s="71">
        <f t="shared" si="54"/>
        <v>7</v>
      </c>
      <c r="H1743" s="71">
        <f t="shared" si="55"/>
        <v>11</v>
      </c>
    </row>
    <row r="1744" spans="1:8" x14ac:dyDescent="0.2">
      <c r="A1744" s="71" t="s">
        <v>193</v>
      </c>
      <c r="B1744" s="71" t="s">
        <v>194</v>
      </c>
      <c r="C1744" s="71" t="s">
        <v>47</v>
      </c>
      <c r="D1744" s="88">
        <v>46227.657384259299</v>
      </c>
      <c r="E1744" s="89">
        <v>46227</v>
      </c>
      <c r="F1744" s="71" t="s">
        <v>2075</v>
      </c>
      <c r="G1744" s="71">
        <f t="shared" si="54"/>
        <v>7</v>
      </c>
      <c r="H1744" s="71">
        <f t="shared" si="55"/>
        <v>22</v>
      </c>
    </row>
    <row r="1745" spans="1:8" x14ac:dyDescent="0.2">
      <c r="A1745" s="71" t="s">
        <v>193</v>
      </c>
      <c r="B1745" s="71" t="s">
        <v>194</v>
      </c>
      <c r="C1745" s="71" t="s">
        <v>47</v>
      </c>
      <c r="D1745" s="88">
        <v>46227.658101851899</v>
      </c>
      <c r="E1745" s="89">
        <v>46227</v>
      </c>
      <c r="F1745" s="71" t="s">
        <v>2077</v>
      </c>
      <c r="G1745" s="71">
        <f t="shared" si="54"/>
        <v>7</v>
      </c>
      <c r="H1745" s="71">
        <f t="shared" si="55"/>
        <v>23</v>
      </c>
    </row>
    <row r="1746" spans="1:8" x14ac:dyDescent="0.2">
      <c r="A1746" s="71" t="s">
        <v>193</v>
      </c>
      <c r="B1746" s="71" t="s">
        <v>194</v>
      </c>
      <c r="C1746" s="71" t="s">
        <v>47</v>
      </c>
      <c r="D1746" s="88">
        <v>46230.672916666699</v>
      </c>
      <c r="E1746" s="89">
        <v>46230</v>
      </c>
      <c r="F1746" s="71" t="s">
        <v>2078</v>
      </c>
      <c r="G1746" s="71">
        <f t="shared" si="54"/>
        <v>7</v>
      </c>
      <c r="H1746" s="71">
        <f t="shared" si="55"/>
        <v>14</v>
      </c>
    </row>
    <row r="1747" spans="1:8" x14ac:dyDescent="0.2">
      <c r="A1747" s="71" t="s">
        <v>193</v>
      </c>
      <c r="B1747" s="71" t="s">
        <v>194</v>
      </c>
      <c r="C1747" s="71" t="s">
        <v>47</v>
      </c>
      <c r="D1747" s="88">
        <v>46230.673553240696</v>
      </c>
      <c r="E1747" s="89">
        <v>46230</v>
      </c>
      <c r="F1747" s="71" t="s">
        <v>2079</v>
      </c>
      <c r="G1747" s="71">
        <f t="shared" si="54"/>
        <v>7</v>
      </c>
      <c r="H1747" s="71">
        <f t="shared" si="55"/>
        <v>22</v>
      </c>
    </row>
    <row r="1748" spans="1:8" x14ac:dyDescent="0.2">
      <c r="A1748" s="71" t="s">
        <v>193</v>
      </c>
      <c r="B1748" s="71" t="s">
        <v>194</v>
      </c>
      <c r="C1748" s="71" t="s">
        <v>47</v>
      </c>
      <c r="D1748" s="88">
        <v>46230.674282407403</v>
      </c>
      <c r="E1748" s="89">
        <v>46230</v>
      </c>
      <c r="F1748" s="71" t="s">
        <v>2072</v>
      </c>
      <c r="G1748" s="71">
        <f t="shared" si="54"/>
        <v>7</v>
      </c>
      <c r="H1748" s="71">
        <f t="shared" si="55"/>
        <v>11</v>
      </c>
    </row>
    <row r="1749" spans="1:8" x14ac:dyDescent="0.2">
      <c r="A1749" s="71" t="s">
        <v>193</v>
      </c>
      <c r="B1749" s="71" t="s">
        <v>194</v>
      </c>
      <c r="C1749" s="71" t="s">
        <v>47</v>
      </c>
      <c r="D1749" s="88">
        <v>46231.620092592602</v>
      </c>
      <c r="E1749" s="89">
        <v>46231</v>
      </c>
      <c r="F1749" s="71" t="s">
        <v>2080</v>
      </c>
      <c r="G1749" s="71">
        <f t="shared" si="54"/>
        <v>7</v>
      </c>
      <c r="H1749" s="71">
        <f t="shared" si="55"/>
        <v>18</v>
      </c>
    </row>
    <row r="1750" spans="1:8" x14ac:dyDescent="0.2">
      <c r="A1750" s="71" t="s">
        <v>193</v>
      </c>
      <c r="B1750" s="71" t="s">
        <v>194</v>
      </c>
      <c r="C1750" s="71" t="s">
        <v>47</v>
      </c>
      <c r="D1750" s="88">
        <v>46231.621377314797</v>
      </c>
      <c r="E1750" s="89">
        <v>46231</v>
      </c>
      <c r="F1750" s="71" t="s">
        <v>2072</v>
      </c>
      <c r="G1750" s="71">
        <f t="shared" si="54"/>
        <v>7</v>
      </c>
      <c r="H1750" s="71">
        <f t="shared" si="55"/>
        <v>11</v>
      </c>
    </row>
    <row r="1751" spans="1:8" x14ac:dyDescent="0.2">
      <c r="A1751" s="71" t="s">
        <v>193</v>
      </c>
      <c r="B1751" s="71" t="s">
        <v>194</v>
      </c>
      <c r="C1751" s="71" t="s">
        <v>47</v>
      </c>
      <c r="D1751" s="88">
        <v>46232.645081018498</v>
      </c>
      <c r="E1751" s="89">
        <v>46232</v>
      </c>
      <c r="F1751" s="71" t="s">
        <v>2075</v>
      </c>
      <c r="G1751" s="71">
        <f t="shared" si="54"/>
        <v>7</v>
      </c>
      <c r="H1751" s="71">
        <f t="shared" si="55"/>
        <v>22</v>
      </c>
    </row>
    <row r="1752" spans="1:8" x14ac:dyDescent="0.2">
      <c r="A1752" s="71" t="s">
        <v>193</v>
      </c>
      <c r="B1752" s="71" t="s">
        <v>194</v>
      </c>
      <c r="C1752" s="71" t="s">
        <v>47</v>
      </c>
      <c r="D1752" s="88">
        <v>46232.645706018498</v>
      </c>
      <c r="E1752" s="89">
        <v>46232</v>
      </c>
      <c r="F1752" s="71" t="s">
        <v>2072</v>
      </c>
      <c r="G1752" s="71">
        <f t="shared" si="54"/>
        <v>7</v>
      </c>
      <c r="H1752" s="71">
        <f t="shared" si="55"/>
        <v>11</v>
      </c>
    </row>
    <row r="1753" spans="1:8" x14ac:dyDescent="0.2">
      <c r="A1753" s="71" t="s">
        <v>193</v>
      </c>
      <c r="B1753" s="71" t="s">
        <v>194</v>
      </c>
      <c r="C1753" s="71" t="s">
        <v>47</v>
      </c>
      <c r="D1753" s="88">
        <v>46233.651041666701</v>
      </c>
      <c r="E1753" s="89">
        <v>46233</v>
      </c>
      <c r="F1753" s="71" t="s">
        <v>2073</v>
      </c>
      <c r="G1753" s="71">
        <f t="shared" si="54"/>
        <v>7</v>
      </c>
      <c r="H1753" s="71">
        <f t="shared" si="55"/>
        <v>4</v>
      </c>
    </row>
    <row r="1754" spans="1:8" x14ac:dyDescent="0.2">
      <c r="A1754" s="71" t="s">
        <v>193</v>
      </c>
      <c r="B1754" s="71" t="s">
        <v>194</v>
      </c>
      <c r="C1754" s="71" t="s">
        <v>47</v>
      </c>
      <c r="D1754" s="88">
        <v>46233.657858796301</v>
      </c>
      <c r="E1754" s="89">
        <v>46233</v>
      </c>
      <c r="F1754" s="71" t="s">
        <v>2072</v>
      </c>
      <c r="G1754" s="71">
        <f t="shared" si="54"/>
        <v>7</v>
      </c>
      <c r="H1754" s="71">
        <f t="shared" si="55"/>
        <v>11</v>
      </c>
    </row>
    <row r="1755" spans="1:8" x14ac:dyDescent="0.2">
      <c r="A1755" s="71" t="s">
        <v>193</v>
      </c>
      <c r="B1755" s="71" t="s">
        <v>194</v>
      </c>
      <c r="C1755" s="71" t="s">
        <v>47</v>
      </c>
      <c r="D1755" s="88">
        <v>46234.596215277801</v>
      </c>
      <c r="E1755" s="89">
        <v>46234</v>
      </c>
      <c r="F1755" s="71" t="s">
        <v>2073</v>
      </c>
      <c r="G1755" s="71">
        <f t="shared" si="54"/>
        <v>7</v>
      </c>
      <c r="H1755" s="71">
        <f t="shared" si="55"/>
        <v>4</v>
      </c>
    </row>
    <row r="1756" spans="1:8" x14ac:dyDescent="0.2">
      <c r="A1756" s="71" t="s">
        <v>193</v>
      </c>
      <c r="B1756" s="71" t="s">
        <v>194</v>
      </c>
      <c r="C1756" s="71" t="s">
        <v>47</v>
      </c>
      <c r="D1756" s="88">
        <v>46234.6347453704</v>
      </c>
      <c r="E1756" s="89">
        <v>46234</v>
      </c>
      <c r="F1756" s="71" t="s">
        <v>2072</v>
      </c>
      <c r="G1756" s="71">
        <f t="shared" si="54"/>
        <v>7</v>
      </c>
      <c r="H1756" s="71">
        <f t="shared" si="55"/>
        <v>11</v>
      </c>
    </row>
    <row r="1757" spans="1:8" x14ac:dyDescent="0.2">
      <c r="A1757" s="71" t="s">
        <v>193</v>
      </c>
      <c r="B1757" s="71" t="s">
        <v>194</v>
      </c>
      <c r="C1757" s="71" t="s">
        <v>47</v>
      </c>
      <c r="D1757" s="88">
        <v>46237.679062499999</v>
      </c>
      <c r="E1757" s="89">
        <v>46237</v>
      </c>
      <c r="F1757" s="71" t="s">
        <v>2080</v>
      </c>
      <c r="G1757" s="71">
        <f t="shared" si="54"/>
        <v>8</v>
      </c>
      <c r="H1757" s="71">
        <f t="shared" si="55"/>
        <v>18</v>
      </c>
    </row>
    <row r="1758" spans="1:8" x14ac:dyDescent="0.2">
      <c r="A1758" s="71" t="s">
        <v>193</v>
      </c>
      <c r="B1758" s="71" t="s">
        <v>194</v>
      </c>
      <c r="C1758" s="71" t="s">
        <v>47</v>
      </c>
      <c r="D1758" s="88">
        <v>46237.679537037002</v>
      </c>
      <c r="E1758" s="89">
        <v>46237</v>
      </c>
      <c r="F1758" s="71" t="s">
        <v>2072</v>
      </c>
      <c r="G1758" s="71">
        <f t="shared" si="54"/>
        <v>8</v>
      </c>
      <c r="H1758" s="71">
        <f t="shared" si="55"/>
        <v>11</v>
      </c>
    </row>
    <row r="1759" spans="1:8" x14ac:dyDescent="0.2">
      <c r="A1759" s="71" t="s">
        <v>193</v>
      </c>
      <c r="B1759" s="71" t="s">
        <v>194</v>
      </c>
      <c r="C1759" s="71" t="s">
        <v>47</v>
      </c>
      <c r="D1759" s="88">
        <v>46238.642256944499</v>
      </c>
      <c r="E1759" s="89">
        <v>46238</v>
      </c>
      <c r="F1759" s="71" t="s">
        <v>2081</v>
      </c>
      <c r="G1759" s="71">
        <f t="shared" si="54"/>
        <v>8</v>
      </c>
      <c r="H1759" s="71">
        <f t="shared" si="55"/>
        <v>18</v>
      </c>
    </row>
    <row r="1760" spans="1:8" x14ac:dyDescent="0.2">
      <c r="A1760" s="71" t="s">
        <v>193</v>
      </c>
      <c r="B1760" s="71" t="s">
        <v>194</v>
      </c>
      <c r="C1760" s="71" t="s">
        <v>47</v>
      </c>
      <c r="D1760" s="88">
        <v>46238.6737615741</v>
      </c>
      <c r="E1760" s="89">
        <v>46238</v>
      </c>
      <c r="F1760" s="71" t="s">
        <v>2072</v>
      </c>
      <c r="G1760" s="71">
        <f t="shared" si="54"/>
        <v>8</v>
      </c>
      <c r="H1760" s="71">
        <f t="shared" si="55"/>
        <v>11</v>
      </c>
    </row>
    <row r="1761" spans="1:8" x14ac:dyDescent="0.2">
      <c r="A1761" s="71" t="s">
        <v>193</v>
      </c>
      <c r="B1761" s="71" t="s">
        <v>194</v>
      </c>
      <c r="C1761" s="71" t="s">
        <v>47</v>
      </c>
      <c r="D1761" s="88">
        <v>46239.689421296302</v>
      </c>
      <c r="E1761" s="89">
        <v>46239</v>
      </c>
      <c r="F1761" s="71" t="s">
        <v>2073</v>
      </c>
      <c r="G1761" s="71">
        <f t="shared" si="54"/>
        <v>8</v>
      </c>
      <c r="H1761" s="71">
        <f t="shared" si="55"/>
        <v>4</v>
      </c>
    </row>
    <row r="1762" spans="1:8" x14ac:dyDescent="0.2">
      <c r="A1762" s="71" t="s">
        <v>193</v>
      </c>
      <c r="B1762" s="71" t="s">
        <v>194</v>
      </c>
      <c r="C1762" s="71" t="s">
        <v>47</v>
      </c>
      <c r="D1762" s="88">
        <v>46239.690092592602</v>
      </c>
      <c r="E1762" s="89">
        <v>46239</v>
      </c>
      <c r="F1762" s="71" t="s">
        <v>2072</v>
      </c>
      <c r="G1762" s="71">
        <f t="shared" si="54"/>
        <v>8</v>
      </c>
      <c r="H1762" s="71">
        <f t="shared" si="55"/>
        <v>11</v>
      </c>
    </row>
    <row r="1763" spans="1:8" x14ac:dyDescent="0.2">
      <c r="A1763" s="71" t="s">
        <v>193</v>
      </c>
      <c r="B1763" s="71" t="s">
        <v>194</v>
      </c>
      <c r="C1763" s="71" t="s">
        <v>47</v>
      </c>
      <c r="D1763" s="88">
        <v>46240.650381944499</v>
      </c>
      <c r="E1763" s="89">
        <v>46240</v>
      </c>
      <c r="F1763" s="71" t="s">
        <v>2073</v>
      </c>
      <c r="G1763" s="71">
        <f t="shared" si="54"/>
        <v>8</v>
      </c>
      <c r="H1763" s="71">
        <f t="shared" si="55"/>
        <v>4</v>
      </c>
    </row>
    <row r="1764" spans="1:8" x14ac:dyDescent="0.2">
      <c r="A1764" s="71" t="s">
        <v>193</v>
      </c>
      <c r="B1764" s="71" t="s">
        <v>194</v>
      </c>
      <c r="C1764" s="71" t="s">
        <v>47</v>
      </c>
      <c r="D1764" s="88">
        <v>46240.650833333297</v>
      </c>
      <c r="E1764" s="89">
        <v>46240</v>
      </c>
      <c r="F1764" s="71" t="s">
        <v>2072</v>
      </c>
      <c r="G1764" s="71">
        <f t="shared" si="54"/>
        <v>8</v>
      </c>
      <c r="H1764" s="71">
        <f t="shared" si="55"/>
        <v>11</v>
      </c>
    </row>
    <row r="1765" spans="1:8" x14ac:dyDescent="0.2">
      <c r="A1765" s="71" t="s">
        <v>193</v>
      </c>
      <c r="B1765" s="71" t="s">
        <v>194</v>
      </c>
      <c r="C1765" s="71" t="s">
        <v>47</v>
      </c>
      <c r="D1765" s="88">
        <v>46241.673368055599</v>
      </c>
      <c r="E1765" s="89">
        <v>46241</v>
      </c>
      <c r="F1765" s="71" t="s">
        <v>2073</v>
      </c>
      <c r="G1765" s="71">
        <f t="shared" si="54"/>
        <v>8</v>
      </c>
      <c r="H1765" s="71">
        <f t="shared" si="55"/>
        <v>4</v>
      </c>
    </row>
    <row r="1766" spans="1:8" x14ac:dyDescent="0.2">
      <c r="A1766" s="71" t="s">
        <v>193</v>
      </c>
      <c r="B1766" s="71" t="s">
        <v>194</v>
      </c>
      <c r="C1766" s="71" t="s">
        <v>47</v>
      </c>
      <c r="D1766" s="88">
        <v>46241.673865740697</v>
      </c>
      <c r="E1766" s="89">
        <v>46241</v>
      </c>
      <c r="F1766" s="71" t="s">
        <v>2072</v>
      </c>
      <c r="G1766" s="71">
        <f t="shared" si="54"/>
        <v>8</v>
      </c>
      <c r="H1766" s="71">
        <f t="shared" si="55"/>
        <v>11</v>
      </c>
    </row>
    <row r="1767" spans="1:8" x14ac:dyDescent="0.2">
      <c r="A1767" s="71" t="s">
        <v>193</v>
      </c>
      <c r="B1767" s="71" t="s">
        <v>194</v>
      </c>
      <c r="C1767" s="71" t="s">
        <v>47</v>
      </c>
      <c r="D1767" s="88">
        <v>46244.667534722197</v>
      </c>
      <c r="E1767" s="89">
        <v>46244</v>
      </c>
      <c r="F1767" s="71" t="s">
        <v>2073</v>
      </c>
      <c r="G1767" s="71">
        <f t="shared" si="54"/>
        <v>8</v>
      </c>
      <c r="H1767" s="71">
        <f t="shared" si="55"/>
        <v>4</v>
      </c>
    </row>
    <row r="1768" spans="1:8" x14ac:dyDescent="0.2">
      <c r="A1768" s="71" t="s">
        <v>193</v>
      </c>
      <c r="B1768" s="71" t="s">
        <v>194</v>
      </c>
      <c r="C1768" s="71" t="s">
        <v>47</v>
      </c>
      <c r="D1768" s="88">
        <v>46244.667997685203</v>
      </c>
      <c r="E1768" s="89">
        <v>46244</v>
      </c>
      <c r="F1768" s="71" t="s">
        <v>2072</v>
      </c>
      <c r="G1768" s="71">
        <f t="shared" si="54"/>
        <v>8</v>
      </c>
      <c r="H1768" s="71">
        <f t="shared" si="55"/>
        <v>11</v>
      </c>
    </row>
    <row r="1769" spans="1:8" x14ac:dyDescent="0.2">
      <c r="A1769" s="71" t="s">
        <v>193</v>
      </c>
      <c r="B1769" s="71" t="s">
        <v>194</v>
      </c>
      <c r="C1769" s="71" t="s">
        <v>47</v>
      </c>
      <c r="D1769" s="88">
        <v>46245.595300925903</v>
      </c>
      <c r="E1769" s="89">
        <v>46245</v>
      </c>
      <c r="F1769" s="71" t="s">
        <v>2073</v>
      </c>
      <c r="G1769" s="71">
        <f t="shared" si="54"/>
        <v>8</v>
      </c>
      <c r="H1769" s="71">
        <f t="shared" si="55"/>
        <v>4</v>
      </c>
    </row>
    <row r="1770" spans="1:8" x14ac:dyDescent="0.2">
      <c r="A1770" s="71" t="s">
        <v>193</v>
      </c>
      <c r="B1770" s="71" t="s">
        <v>194</v>
      </c>
      <c r="C1770" s="71" t="s">
        <v>47</v>
      </c>
      <c r="D1770" s="88">
        <v>46245.597766203697</v>
      </c>
      <c r="E1770" s="89">
        <v>46245</v>
      </c>
      <c r="F1770" s="71" t="s">
        <v>2072</v>
      </c>
      <c r="G1770" s="71">
        <f t="shared" si="54"/>
        <v>8</v>
      </c>
      <c r="H1770" s="71">
        <f t="shared" si="55"/>
        <v>11</v>
      </c>
    </row>
    <row r="1771" spans="1:8" x14ac:dyDescent="0.2">
      <c r="A1771" s="71" t="s">
        <v>193</v>
      </c>
      <c r="B1771" s="71" t="s">
        <v>194</v>
      </c>
      <c r="C1771" s="71" t="s">
        <v>47</v>
      </c>
      <c r="D1771" s="88">
        <v>46246.654745370397</v>
      </c>
      <c r="E1771" s="89">
        <v>46246</v>
      </c>
      <c r="F1771" s="71" t="s">
        <v>2073</v>
      </c>
      <c r="G1771" s="71">
        <f t="shared" si="54"/>
        <v>8</v>
      </c>
      <c r="H1771" s="71">
        <f t="shared" si="55"/>
        <v>4</v>
      </c>
    </row>
    <row r="1772" spans="1:8" x14ac:dyDescent="0.2">
      <c r="A1772" s="71" t="s">
        <v>193</v>
      </c>
      <c r="B1772" s="71" t="s">
        <v>194</v>
      </c>
      <c r="C1772" s="71" t="s">
        <v>47</v>
      </c>
      <c r="D1772" s="88">
        <v>46246.655868055597</v>
      </c>
      <c r="E1772" s="89">
        <v>46246</v>
      </c>
      <c r="F1772" s="71" t="s">
        <v>2072</v>
      </c>
      <c r="G1772" s="71">
        <f t="shared" si="54"/>
        <v>8</v>
      </c>
      <c r="H1772" s="71">
        <f t="shared" si="55"/>
        <v>11</v>
      </c>
    </row>
    <row r="1773" spans="1:8" x14ac:dyDescent="0.2">
      <c r="A1773" s="71" t="s">
        <v>193</v>
      </c>
      <c r="B1773" s="71" t="s">
        <v>194</v>
      </c>
      <c r="C1773" s="71" t="s">
        <v>47</v>
      </c>
      <c r="D1773" s="88">
        <v>46247.672407407401</v>
      </c>
      <c r="E1773" s="89">
        <v>46247</v>
      </c>
      <c r="F1773" s="71" t="s">
        <v>2073</v>
      </c>
      <c r="G1773" s="71">
        <f t="shared" si="54"/>
        <v>8</v>
      </c>
      <c r="H1773" s="71">
        <f t="shared" si="55"/>
        <v>4</v>
      </c>
    </row>
    <row r="1774" spans="1:8" x14ac:dyDescent="0.2">
      <c r="A1774" s="71" t="s">
        <v>193</v>
      </c>
      <c r="B1774" s="71" t="s">
        <v>194</v>
      </c>
      <c r="C1774" s="71" t="s">
        <v>47</v>
      </c>
      <c r="D1774" s="88">
        <v>46247.672835648198</v>
      </c>
      <c r="E1774" s="89">
        <v>46247</v>
      </c>
      <c r="F1774" s="71" t="s">
        <v>2072</v>
      </c>
      <c r="G1774" s="71">
        <f t="shared" si="54"/>
        <v>8</v>
      </c>
      <c r="H1774" s="71">
        <f t="shared" si="55"/>
        <v>11</v>
      </c>
    </row>
    <row r="1775" spans="1:8" x14ac:dyDescent="0.2">
      <c r="A1775" s="71" t="s">
        <v>193</v>
      </c>
      <c r="B1775" s="71" t="s">
        <v>194</v>
      </c>
      <c r="C1775" s="71" t="s">
        <v>47</v>
      </c>
      <c r="D1775" s="88">
        <v>46248.644652777803</v>
      </c>
      <c r="E1775" s="89">
        <v>46248</v>
      </c>
      <c r="F1775" s="71" t="s">
        <v>2073</v>
      </c>
      <c r="G1775" s="71">
        <f t="shared" si="54"/>
        <v>8</v>
      </c>
      <c r="H1775" s="71">
        <f t="shared" si="55"/>
        <v>4</v>
      </c>
    </row>
    <row r="1776" spans="1:8" x14ac:dyDescent="0.2">
      <c r="A1776" s="71" t="s">
        <v>193</v>
      </c>
      <c r="B1776" s="71" t="s">
        <v>194</v>
      </c>
      <c r="C1776" s="71" t="s">
        <v>47</v>
      </c>
      <c r="D1776" s="88">
        <v>46248.647870370398</v>
      </c>
      <c r="E1776" s="89">
        <v>46248</v>
      </c>
      <c r="F1776" s="71" t="s">
        <v>2072</v>
      </c>
      <c r="G1776" s="71">
        <f t="shared" si="54"/>
        <v>8</v>
      </c>
      <c r="H1776" s="71">
        <f t="shared" si="55"/>
        <v>11</v>
      </c>
    </row>
    <row r="1777" spans="1:8" x14ac:dyDescent="0.2">
      <c r="A1777" s="71" t="s">
        <v>193</v>
      </c>
      <c r="B1777" s="71" t="s">
        <v>194</v>
      </c>
      <c r="C1777" s="71" t="s">
        <v>47</v>
      </c>
      <c r="D1777" s="88">
        <v>46252.660902777803</v>
      </c>
      <c r="E1777" s="89">
        <v>46252</v>
      </c>
      <c r="F1777" s="71" t="s">
        <v>2073</v>
      </c>
      <c r="G1777" s="71">
        <f t="shared" si="54"/>
        <v>8</v>
      </c>
      <c r="H1777" s="71">
        <f t="shared" si="55"/>
        <v>4</v>
      </c>
    </row>
    <row r="1778" spans="1:8" x14ac:dyDescent="0.2">
      <c r="A1778" s="71" t="s">
        <v>193</v>
      </c>
      <c r="B1778" s="71" t="s">
        <v>194</v>
      </c>
      <c r="C1778" s="71" t="s">
        <v>47</v>
      </c>
      <c r="D1778" s="88">
        <v>46252.661261574103</v>
      </c>
      <c r="E1778" s="89">
        <v>46252</v>
      </c>
      <c r="F1778" s="71" t="s">
        <v>2072</v>
      </c>
      <c r="G1778" s="71">
        <f t="shared" si="54"/>
        <v>8</v>
      </c>
      <c r="H1778" s="71">
        <f t="shared" si="55"/>
        <v>11</v>
      </c>
    </row>
    <row r="1779" spans="1:8" x14ac:dyDescent="0.2">
      <c r="A1779" s="71" t="s">
        <v>193</v>
      </c>
      <c r="B1779" s="71" t="s">
        <v>194</v>
      </c>
      <c r="C1779" s="71" t="s">
        <v>47</v>
      </c>
      <c r="D1779" s="88">
        <v>46253.637557870403</v>
      </c>
      <c r="E1779" s="89">
        <v>46253</v>
      </c>
      <c r="F1779" s="71" t="s">
        <v>2073</v>
      </c>
      <c r="G1779" s="71">
        <f t="shared" si="54"/>
        <v>8</v>
      </c>
      <c r="H1779" s="71">
        <f t="shared" si="55"/>
        <v>4</v>
      </c>
    </row>
    <row r="1780" spans="1:8" x14ac:dyDescent="0.2">
      <c r="A1780" s="71" t="s">
        <v>193</v>
      </c>
      <c r="B1780" s="71" t="s">
        <v>194</v>
      </c>
      <c r="C1780" s="71" t="s">
        <v>47</v>
      </c>
      <c r="D1780" s="88">
        <v>46253.6379282407</v>
      </c>
      <c r="E1780" s="89">
        <v>46253</v>
      </c>
      <c r="F1780" s="71" t="s">
        <v>2072</v>
      </c>
      <c r="G1780" s="71">
        <f t="shared" si="54"/>
        <v>8</v>
      </c>
      <c r="H1780" s="71">
        <f t="shared" si="55"/>
        <v>11</v>
      </c>
    </row>
    <row r="1781" spans="1:8" x14ac:dyDescent="0.2">
      <c r="A1781" s="71" t="s">
        <v>193</v>
      </c>
      <c r="B1781" s="71" t="s">
        <v>194</v>
      </c>
      <c r="C1781" s="71" t="s">
        <v>47</v>
      </c>
      <c r="D1781" s="88">
        <v>46254.639641203699</v>
      </c>
      <c r="E1781" s="89">
        <v>46254</v>
      </c>
      <c r="F1781" s="71" t="s">
        <v>2073</v>
      </c>
      <c r="G1781" s="71">
        <f t="shared" si="54"/>
        <v>8</v>
      </c>
      <c r="H1781" s="71">
        <f t="shared" si="55"/>
        <v>4</v>
      </c>
    </row>
    <row r="1782" spans="1:8" x14ac:dyDescent="0.2">
      <c r="A1782" s="71" t="s">
        <v>193</v>
      </c>
      <c r="B1782" s="71" t="s">
        <v>194</v>
      </c>
      <c r="C1782" s="71" t="s">
        <v>47</v>
      </c>
      <c r="D1782" s="88">
        <v>46254.641724537003</v>
      </c>
      <c r="E1782" s="89">
        <v>46254</v>
      </c>
      <c r="F1782" s="71" t="s">
        <v>2072</v>
      </c>
      <c r="G1782" s="71">
        <f t="shared" si="54"/>
        <v>8</v>
      </c>
      <c r="H1782" s="71">
        <f t="shared" si="55"/>
        <v>11</v>
      </c>
    </row>
    <row r="1783" spans="1:8" x14ac:dyDescent="0.2">
      <c r="A1783" s="71" t="s">
        <v>193</v>
      </c>
      <c r="B1783" s="71" t="s">
        <v>194</v>
      </c>
      <c r="C1783" s="71" t="s">
        <v>47</v>
      </c>
      <c r="D1783" s="88">
        <v>46255.654351851903</v>
      </c>
      <c r="E1783" s="89">
        <v>46255</v>
      </c>
      <c r="F1783" s="71" t="s">
        <v>2073</v>
      </c>
      <c r="G1783" s="71">
        <f t="shared" si="54"/>
        <v>8</v>
      </c>
      <c r="H1783" s="71">
        <f t="shared" si="55"/>
        <v>4</v>
      </c>
    </row>
    <row r="1784" spans="1:8" x14ac:dyDescent="0.2">
      <c r="A1784" s="71" t="s">
        <v>193</v>
      </c>
      <c r="B1784" s="71" t="s">
        <v>194</v>
      </c>
      <c r="C1784" s="71" t="s">
        <v>47</v>
      </c>
      <c r="D1784" s="88">
        <v>46255.6550347222</v>
      </c>
      <c r="E1784" s="89">
        <v>46255</v>
      </c>
      <c r="F1784" s="71" t="s">
        <v>2072</v>
      </c>
      <c r="G1784" s="71">
        <f t="shared" si="54"/>
        <v>8</v>
      </c>
      <c r="H1784" s="71">
        <f t="shared" si="55"/>
        <v>11</v>
      </c>
    </row>
    <row r="1785" spans="1:8" x14ac:dyDescent="0.2">
      <c r="A1785" s="71" t="s">
        <v>193</v>
      </c>
      <c r="B1785" s="71" t="s">
        <v>194</v>
      </c>
      <c r="C1785" s="71" t="s">
        <v>47</v>
      </c>
      <c r="D1785" s="88">
        <v>46258.665254629603</v>
      </c>
      <c r="E1785" s="89">
        <v>46258</v>
      </c>
      <c r="F1785" s="71" t="s">
        <v>2073</v>
      </c>
      <c r="G1785" s="71">
        <f t="shared" si="54"/>
        <v>8</v>
      </c>
      <c r="H1785" s="71">
        <f t="shared" si="55"/>
        <v>4</v>
      </c>
    </row>
    <row r="1786" spans="1:8" x14ac:dyDescent="0.2">
      <c r="A1786" s="71" t="s">
        <v>193</v>
      </c>
      <c r="B1786" s="71" t="s">
        <v>194</v>
      </c>
      <c r="C1786" s="71" t="s">
        <v>47</v>
      </c>
      <c r="D1786" s="88">
        <v>46258.665856481501</v>
      </c>
      <c r="E1786" s="89">
        <v>46258</v>
      </c>
      <c r="F1786" s="71" t="s">
        <v>2072</v>
      </c>
      <c r="G1786" s="71">
        <f t="shared" si="54"/>
        <v>8</v>
      </c>
      <c r="H1786" s="71">
        <f t="shared" si="55"/>
        <v>11</v>
      </c>
    </row>
    <row r="1787" spans="1:8" x14ac:dyDescent="0.2">
      <c r="A1787" s="71" t="s">
        <v>193</v>
      </c>
      <c r="B1787" s="71" t="s">
        <v>194</v>
      </c>
      <c r="C1787" s="71" t="s">
        <v>47</v>
      </c>
      <c r="D1787" s="88">
        <v>46260.674386574101</v>
      </c>
      <c r="E1787" s="89">
        <v>46260</v>
      </c>
      <c r="F1787" s="71" t="s">
        <v>2073</v>
      </c>
      <c r="G1787" s="71">
        <f t="shared" si="54"/>
        <v>8</v>
      </c>
      <c r="H1787" s="71">
        <f t="shared" si="55"/>
        <v>4</v>
      </c>
    </row>
    <row r="1788" spans="1:8" x14ac:dyDescent="0.2">
      <c r="A1788" s="71" t="s">
        <v>193</v>
      </c>
      <c r="B1788" s="71" t="s">
        <v>194</v>
      </c>
      <c r="C1788" s="71" t="s">
        <v>47</v>
      </c>
      <c r="D1788" s="88">
        <v>46260.674965277802</v>
      </c>
      <c r="E1788" s="89">
        <v>46260</v>
      </c>
      <c r="F1788" s="71" t="s">
        <v>2072</v>
      </c>
      <c r="G1788" s="71">
        <f t="shared" si="54"/>
        <v>8</v>
      </c>
      <c r="H1788" s="71">
        <f t="shared" si="55"/>
        <v>11</v>
      </c>
    </row>
    <row r="1789" spans="1:8" x14ac:dyDescent="0.2">
      <c r="A1789" s="71" t="s">
        <v>193</v>
      </c>
      <c r="B1789" s="71" t="s">
        <v>194</v>
      </c>
      <c r="C1789" s="71" t="s">
        <v>47</v>
      </c>
      <c r="D1789" s="88">
        <v>46261.669340277796</v>
      </c>
      <c r="E1789" s="89">
        <v>46261</v>
      </c>
      <c r="F1789" s="71" t="s">
        <v>2073</v>
      </c>
      <c r="G1789" s="71">
        <f t="shared" si="54"/>
        <v>8</v>
      </c>
      <c r="H1789" s="71">
        <f t="shared" si="55"/>
        <v>4</v>
      </c>
    </row>
    <row r="1790" spans="1:8" x14ac:dyDescent="0.2">
      <c r="A1790" s="71" t="s">
        <v>193</v>
      </c>
      <c r="B1790" s="71" t="s">
        <v>194</v>
      </c>
      <c r="C1790" s="71" t="s">
        <v>47</v>
      </c>
      <c r="D1790" s="88">
        <v>46261.6698958333</v>
      </c>
      <c r="E1790" s="89">
        <v>46261</v>
      </c>
      <c r="F1790" s="71" t="s">
        <v>2072</v>
      </c>
      <c r="G1790" s="71">
        <f t="shared" si="54"/>
        <v>8</v>
      </c>
      <c r="H1790" s="71">
        <f t="shared" si="55"/>
        <v>11</v>
      </c>
    </row>
    <row r="1791" spans="1:8" x14ac:dyDescent="0.2">
      <c r="A1791" s="71" t="s">
        <v>193</v>
      </c>
      <c r="B1791" s="71" t="s">
        <v>194</v>
      </c>
      <c r="C1791" s="71" t="s">
        <v>47</v>
      </c>
      <c r="D1791" s="88">
        <v>46262.635578703703</v>
      </c>
      <c r="E1791" s="89">
        <v>46262</v>
      </c>
      <c r="F1791" s="71" t="s">
        <v>2073</v>
      </c>
      <c r="G1791" s="71">
        <f t="shared" si="54"/>
        <v>8</v>
      </c>
      <c r="H1791" s="71">
        <f t="shared" si="55"/>
        <v>4</v>
      </c>
    </row>
    <row r="1792" spans="1:8" x14ac:dyDescent="0.2">
      <c r="A1792" s="71" t="s">
        <v>193</v>
      </c>
      <c r="B1792" s="71" t="s">
        <v>194</v>
      </c>
      <c r="C1792" s="71" t="s">
        <v>47</v>
      </c>
      <c r="D1792" s="88">
        <v>46262.635949074102</v>
      </c>
      <c r="E1792" s="89">
        <v>46262</v>
      </c>
      <c r="F1792" s="71" t="s">
        <v>2072</v>
      </c>
      <c r="G1792" s="71">
        <f t="shared" si="54"/>
        <v>8</v>
      </c>
      <c r="H1792" s="71">
        <f t="shared" si="55"/>
        <v>11</v>
      </c>
    </row>
    <row r="1793" spans="1:8" x14ac:dyDescent="0.2">
      <c r="A1793" s="71" t="s">
        <v>193</v>
      </c>
      <c r="B1793" s="71" t="s">
        <v>194</v>
      </c>
      <c r="C1793" s="71" t="s">
        <v>47</v>
      </c>
      <c r="D1793" s="88">
        <v>46265.5853935185</v>
      </c>
      <c r="E1793" s="89">
        <v>46265</v>
      </c>
      <c r="F1793" s="71" t="s">
        <v>2073</v>
      </c>
      <c r="G1793" s="71">
        <f t="shared" si="54"/>
        <v>8</v>
      </c>
      <c r="H1793" s="71">
        <f t="shared" si="55"/>
        <v>4</v>
      </c>
    </row>
    <row r="1794" spans="1:8" x14ac:dyDescent="0.2">
      <c r="A1794" s="71" t="s">
        <v>193</v>
      </c>
      <c r="B1794" s="71" t="s">
        <v>194</v>
      </c>
      <c r="C1794" s="71" t="s">
        <v>47</v>
      </c>
      <c r="D1794" s="88">
        <v>46265.635266203702</v>
      </c>
      <c r="E1794" s="89">
        <v>46265</v>
      </c>
      <c r="F1794" s="71" t="s">
        <v>2072</v>
      </c>
      <c r="G1794" s="71">
        <f t="shared" ref="G1794:G1857" si="56">MONTH(E1794)</f>
        <v>8</v>
      </c>
      <c r="H1794" s="71">
        <f t="shared" ref="H1794:H1857" si="57">LEN(F1794)</f>
        <v>11</v>
      </c>
    </row>
    <row r="1795" spans="1:8" x14ac:dyDescent="0.2">
      <c r="A1795" s="71" t="s">
        <v>193</v>
      </c>
      <c r="B1795" s="71" t="s">
        <v>194</v>
      </c>
      <c r="C1795" s="71" t="s">
        <v>47</v>
      </c>
      <c r="D1795" s="88">
        <v>46266.652488425898</v>
      </c>
      <c r="E1795" s="89">
        <v>46266</v>
      </c>
      <c r="F1795" s="71" t="s">
        <v>2073</v>
      </c>
      <c r="G1795" s="71">
        <f t="shared" si="56"/>
        <v>9</v>
      </c>
      <c r="H1795" s="71">
        <f t="shared" si="57"/>
        <v>4</v>
      </c>
    </row>
    <row r="1796" spans="1:8" x14ac:dyDescent="0.2">
      <c r="A1796" s="71" t="s">
        <v>193</v>
      </c>
      <c r="B1796" s="71" t="s">
        <v>194</v>
      </c>
      <c r="C1796" s="71" t="s">
        <v>47</v>
      </c>
      <c r="D1796" s="88">
        <v>46266.652858796297</v>
      </c>
      <c r="E1796" s="89">
        <v>46266</v>
      </c>
      <c r="F1796" s="71" t="s">
        <v>2072</v>
      </c>
      <c r="G1796" s="71">
        <f t="shared" si="56"/>
        <v>9</v>
      </c>
      <c r="H1796" s="71">
        <f t="shared" si="57"/>
        <v>11</v>
      </c>
    </row>
    <row r="1797" spans="1:8" x14ac:dyDescent="0.2">
      <c r="A1797" s="71" t="s">
        <v>193</v>
      </c>
      <c r="B1797" s="71" t="s">
        <v>194</v>
      </c>
      <c r="C1797" s="71" t="s">
        <v>47</v>
      </c>
      <c r="D1797" s="88">
        <v>46267.628113425897</v>
      </c>
      <c r="E1797" s="89">
        <v>46267</v>
      </c>
      <c r="F1797" s="71" t="s">
        <v>2073</v>
      </c>
      <c r="G1797" s="71">
        <f t="shared" si="56"/>
        <v>9</v>
      </c>
      <c r="H1797" s="71">
        <f t="shared" si="57"/>
        <v>4</v>
      </c>
    </row>
    <row r="1798" spans="1:8" x14ac:dyDescent="0.2">
      <c r="A1798" s="71" t="s">
        <v>193</v>
      </c>
      <c r="B1798" s="71" t="s">
        <v>194</v>
      </c>
      <c r="C1798" s="71" t="s">
        <v>47</v>
      </c>
      <c r="D1798" s="88">
        <v>46267.628784722197</v>
      </c>
      <c r="E1798" s="89">
        <v>46267</v>
      </c>
      <c r="F1798" s="71" t="s">
        <v>2072</v>
      </c>
      <c r="G1798" s="71">
        <f t="shared" si="56"/>
        <v>9</v>
      </c>
      <c r="H1798" s="71">
        <f t="shared" si="57"/>
        <v>11</v>
      </c>
    </row>
    <row r="1799" spans="1:8" x14ac:dyDescent="0.2">
      <c r="A1799" s="71" t="s">
        <v>193</v>
      </c>
      <c r="B1799" s="71" t="s">
        <v>194</v>
      </c>
      <c r="C1799" s="71" t="s">
        <v>47</v>
      </c>
      <c r="D1799" s="88">
        <v>46268.638356481497</v>
      </c>
      <c r="E1799" s="89">
        <v>46268</v>
      </c>
      <c r="F1799" s="71" t="s">
        <v>2073</v>
      </c>
      <c r="G1799" s="71">
        <f t="shared" si="56"/>
        <v>9</v>
      </c>
      <c r="H1799" s="71">
        <f t="shared" si="57"/>
        <v>4</v>
      </c>
    </row>
    <row r="1800" spans="1:8" x14ac:dyDescent="0.2">
      <c r="A1800" s="71" t="s">
        <v>193</v>
      </c>
      <c r="B1800" s="71" t="s">
        <v>194</v>
      </c>
      <c r="C1800" s="71" t="s">
        <v>47</v>
      </c>
      <c r="D1800" s="88">
        <v>46268.638807870397</v>
      </c>
      <c r="E1800" s="89">
        <v>46268</v>
      </c>
      <c r="F1800" s="71" t="s">
        <v>2072</v>
      </c>
      <c r="G1800" s="71">
        <f t="shared" si="56"/>
        <v>9</v>
      </c>
      <c r="H1800" s="71">
        <f t="shared" si="57"/>
        <v>11</v>
      </c>
    </row>
    <row r="1801" spans="1:8" x14ac:dyDescent="0.2">
      <c r="A1801" s="71" t="s">
        <v>193</v>
      </c>
      <c r="B1801" s="71" t="s">
        <v>194</v>
      </c>
      <c r="C1801" s="71" t="s">
        <v>47</v>
      </c>
      <c r="D1801" s="88">
        <v>46269.6496064815</v>
      </c>
      <c r="E1801" s="89">
        <v>46269</v>
      </c>
      <c r="F1801" s="71" t="s">
        <v>2073</v>
      </c>
      <c r="G1801" s="71">
        <f t="shared" si="56"/>
        <v>9</v>
      </c>
      <c r="H1801" s="71">
        <f t="shared" si="57"/>
        <v>4</v>
      </c>
    </row>
    <row r="1802" spans="1:8" x14ac:dyDescent="0.2">
      <c r="A1802" s="71" t="s">
        <v>193</v>
      </c>
      <c r="B1802" s="71" t="s">
        <v>194</v>
      </c>
      <c r="C1802" s="71" t="s">
        <v>47</v>
      </c>
      <c r="D1802" s="88">
        <v>46269.651527777802</v>
      </c>
      <c r="E1802" s="89">
        <v>46269</v>
      </c>
      <c r="F1802" s="71" t="s">
        <v>2072</v>
      </c>
      <c r="G1802" s="71">
        <f t="shared" si="56"/>
        <v>9</v>
      </c>
      <c r="H1802" s="71">
        <f t="shared" si="57"/>
        <v>11</v>
      </c>
    </row>
    <row r="1803" spans="1:8" x14ac:dyDescent="0.2">
      <c r="A1803" s="71" t="s">
        <v>193</v>
      </c>
      <c r="B1803" s="71" t="s">
        <v>194</v>
      </c>
      <c r="C1803" s="71" t="s">
        <v>47</v>
      </c>
      <c r="D1803" s="88">
        <v>46272.649270833303</v>
      </c>
      <c r="E1803" s="89">
        <v>46272</v>
      </c>
      <c r="F1803" s="71" t="s">
        <v>2073</v>
      </c>
      <c r="G1803" s="71">
        <f t="shared" si="56"/>
        <v>9</v>
      </c>
      <c r="H1803" s="71">
        <f t="shared" si="57"/>
        <v>4</v>
      </c>
    </row>
    <row r="1804" spans="1:8" x14ac:dyDescent="0.2">
      <c r="A1804" s="71" t="s">
        <v>193</v>
      </c>
      <c r="B1804" s="71" t="s">
        <v>194</v>
      </c>
      <c r="C1804" s="71" t="s">
        <v>47</v>
      </c>
      <c r="D1804" s="88">
        <v>46272.649618055599</v>
      </c>
      <c r="E1804" s="89">
        <v>46272</v>
      </c>
      <c r="F1804" s="71" t="s">
        <v>2072</v>
      </c>
      <c r="G1804" s="71">
        <f t="shared" si="56"/>
        <v>9</v>
      </c>
      <c r="H1804" s="71">
        <f t="shared" si="57"/>
        <v>11</v>
      </c>
    </row>
    <row r="1805" spans="1:8" x14ac:dyDescent="0.2">
      <c r="A1805" s="71" t="s">
        <v>193</v>
      </c>
      <c r="B1805" s="71" t="s">
        <v>194</v>
      </c>
      <c r="C1805" s="71" t="s">
        <v>47</v>
      </c>
      <c r="D1805" s="88">
        <v>46273.651215277801</v>
      </c>
      <c r="E1805" s="89">
        <v>46273</v>
      </c>
      <c r="F1805" s="71" t="s">
        <v>2073</v>
      </c>
      <c r="G1805" s="71">
        <f t="shared" si="56"/>
        <v>9</v>
      </c>
      <c r="H1805" s="71">
        <f t="shared" si="57"/>
        <v>4</v>
      </c>
    </row>
    <row r="1806" spans="1:8" x14ac:dyDescent="0.2">
      <c r="A1806" s="71" t="s">
        <v>193</v>
      </c>
      <c r="B1806" s="71" t="s">
        <v>194</v>
      </c>
      <c r="C1806" s="71" t="s">
        <v>47</v>
      </c>
      <c r="D1806" s="88">
        <v>46273.651793981502</v>
      </c>
      <c r="E1806" s="89">
        <v>46273</v>
      </c>
      <c r="F1806" s="71" t="s">
        <v>2072</v>
      </c>
      <c r="G1806" s="71">
        <f t="shared" si="56"/>
        <v>9</v>
      </c>
      <c r="H1806" s="71">
        <f t="shared" si="57"/>
        <v>11</v>
      </c>
    </row>
    <row r="1807" spans="1:8" x14ac:dyDescent="0.2">
      <c r="A1807" s="71" t="s">
        <v>193</v>
      </c>
      <c r="B1807" s="71" t="s">
        <v>194</v>
      </c>
      <c r="C1807" s="71" t="s">
        <v>47</v>
      </c>
      <c r="D1807" s="88">
        <v>46274.647708333301</v>
      </c>
      <c r="E1807" s="89">
        <v>46274</v>
      </c>
      <c r="F1807" s="71" t="s">
        <v>2073</v>
      </c>
      <c r="G1807" s="71">
        <f t="shared" si="56"/>
        <v>9</v>
      </c>
      <c r="H1807" s="71">
        <f t="shared" si="57"/>
        <v>4</v>
      </c>
    </row>
    <row r="1808" spans="1:8" x14ac:dyDescent="0.2">
      <c r="A1808" s="71" t="s">
        <v>193</v>
      </c>
      <c r="B1808" s="71" t="s">
        <v>194</v>
      </c>
      <c r="C1808" s="71" t="s">
        <v>47</v>
      </c>
      <c r="D1808" s="88">
        <v>46274.6481712963</v>
      </c>
      <c r="E1808" s="89">
        <v>46274</v>
      </c>
      <c r="F1808" s="71" t="s">
        <v>2072</v>
      </c>
      <c r="G1808" s="71">
        <f t="shared" si="56"/>
        <v>9</v>
      </c>
      <c r="H1808" s="71">
        <f t="shared" si="57"/>
        <v>11</v>
      </c>
    </row>
    <row r="1809" spans="1:8" x14ac:dyDescent="0.2">
      <c r="A1809" s="71" t="s">
        <v>193</v>
      </c>
      <c r="B1809" s="71" t="s">
        <v>194</v>
      </c>
      <c r="C1809" s="71" t="s">
        <v>47</v>
      </c>
      <c r="D1809" s="88">
        <v>46275.5937962963</v>
      </c>
      <c r="E1809" s="89">
        <v>46275</v>
      </c>
      <c r="F1809" s="71" t="s">
        <v>2073</v>
      </c>
      <c r="G1809" s="71">
        <f t="shared" si="56"/>
        <v>9</v>
      </c>
      <c r="H1809" s="71">
        <f t="shared" si="57"/>
        <v>4</v>
      </c>
    </row>
    <row r="1810" spans="1:8" x14ac:dyDescent="0.2">
      <c r="A1810" s="71" t="s">
        <v>193</v>
      </c>
      <c r="B1810" s="71" t="s">
        <v>194</v>
      </c>
      <c r="C1810" s="71" t="s">
        <v>47</v>
      </c>
      <c r="D1810" s="88">
        <v>46275.594178240703</v>
      </c>
      <c r="E1810" s="89">
        <v>46275</v>
      </c>
      <c r="F1810" s="71" t="s">
        <v>2072</v>
      </c>
      <c r="G1810" s="71">
        <f t="shared" si="56"/>
        <v>9</v>
      </c>
      <c r="H1810" s="71">
        <f t="shared" si="57"/>
        <v>11</v>
      </c>
    </row>
    <row r="1811" spans="1:8" x14ac:dyDescent="0.2">
      <c r="A1811" s="71" t="s">
        <v>193</v>
      </c>
      <c r="B1811" s="71" t="s">
        <v>194</v>
      </c>
      <c r="C1811" s="71" t="s">
        <v>47</v>
      </c>
      <c r="D1811" s="88">
        <v>46276.7242708333</v>
      </c>
      <c r="E1811" s="89">
        <v>46276</v>
      </c>
      <c r="F1811" s="71" t="s">
        <v>2073</v>
      </c>
      <c r="G1811" s="71">
        <f t="shared" si="56"/>
        <v>9</v>
      </c>
      <c r="H1811" s="71">
        <f t="shared" si="57"/>
        <v>4</v>
      </c>
    </row>
    <row r="1812" spans="1:8" x14ac:dyDescent="0.2">
      <c r="A1812" s="71" t="s">
        <v>193</v>
      </c>
      <c r="B1812" s="71" t="s">
        <v>194</v>
      </c>
      <c r="C1812" s="71" t="s">
        <v>47</v>
      </c>
      <c r="D1812" s="88">
        <v>46276.725046296298</v>
      </c>
      <c r="E1812" s="89">
        <v>46276</v>
      </c>
      <c r="F1812" s="71" t="s">
        <v>2072</v>
      </c>
      <c r="G1812" s="71">
        <f t="shared" si="56"/>
        <v>9</v>
      </c>
      <c r="H1812" s="71">
        <f t="shared" si="57"/>
        <v>11</v>
      </c>
    </row>
    <row r="1813" spans="1:8" x14ac:dyDescent="0.2">
      <c r="A1813" s="71" t="s">
        <v>193</v>
      </c>
      <c r="B1813" s="71" t="s">
        <v>194</v>
      </c>
      <c r="C1813" s="71" t="s">
        <v>47</v>
      </c>
      <c r="D1813" s="88">
        <v>46279.691793981503</v>
      </c>
      <c r="E1813" s="89">
        <v>46279</v>
      </c>
      <c r="F1813" s="71" t="s">
        <v>2073</v>
      </c>
      <c r="G1813" s="71">
        <f t="shared" si="56"/>
        <v>9</v>
      </c>
      <c r="H1813" s="71">
        <f t="shared" si="57"/>
        <v>4</v>
      </c>
    </row>
    <row r="1814" spans="1:8" x14ac:dyDescent="0.2">
      <c r="A1814" s="71" t="s">
        <v>193</v>
      </c>
      <c r="B1814" s="71" t="s">
        <v>194</v>
      </c>
      <c r="C1814" s="71" t="s">
        <v>47</v>
      </c>
      <c r="D1814" s="88">
        <v>46279.692384259302</v>
      </c>
      <c r="E1814" s="89">
        <v>46279</v>
      </c>
      <c r="F1814" s="71" t="s">
        <v>2072</v>
      </c>
      <c r="G1814" s="71">
        <f t="shared" si="56"/>
        <v>9</v>
      </c>
      <c r="H1814" s="71">
        <f t="shared" si="57"/>
        <v>11</v>
      </c>
    </row>
    <row r="1815" spans="1:8" x14ac:dyDescent="0.2">
      <c r="A1815" s="71" t="s">
        <v>193</v>
      </c>
      <c r="B1815" s="71" t="s">
        <v>194</v>
      </c>
      <c r="C1815" s="71" t="s">
        <v>47</v>
      </c>
      <c r="D1815" s="88">
        <v>46280.6854282407</v>
      </c>
      <c r="E1815" s="89">
        <v>46280</v>
      </c>
      <c r="F1815" s="71" t="s">
        <v>2073</v>
      </c>
      <c r="G1815" s="71">
        <f t="shared" si="56"/>
        <v>9</v>
      </c>
      <c r="H1815" s="71">
        <f t="shared" si="57"/>
        <v>4</v>
      </c>
    </row>
    <row r="1816" spans="1:8" x14ac:dyDescent="0.2">
      <c r="A1816" s="71" t="s">
        <v>193</v>
      </c>
      <c r="B1816" s="71" t="s">
        <v>194</v>
      </c>
      <c r="C1816" s="71" t="s">
        <v>47</v>
      </c>
      <c r="D1816" s="88">
        <v>46280.6859259259</v>
      </c>
      <c r="E1816" s="89">
        <v>46280</v>
      </c>
      <c r="F1816" s="71" t="s">
        <v>2072</v>
      </c>
      <c r="G1816" s="71">
        <f t="shared" si="56"/>
        <v>9</v>
      </c>
      <c r="H1816" s="71">
        <f t="shared" si="57"/>
        <v>11</v>
      </c>
    </row>
    <row r="1817" spans="1:8" x14ac:dyDescent="0.2">
      <c r="A1817" s="71" t="s">
        <v>193</v>
      </c>
      <c r="B1817" s="71" t="s">
        <v>194</v>
      </c>
      <c r="C1817" s="71" t="s">
        <v>47</v>
      </c>
      <c r="D1817" s="88">
        <v>46281.682905092603</v>
      </c>
      <c r="E1817" s="89">
        <v>46281</v>
      </c>
      <c r="F1817" s="71" t="s">
        <v>2073</v>
      </c>
      <c r="G1817" s="71">
        <f t="shared" si="56"/>
        <v>9</v>
      </c>
      <c r="H1817" s="71">
        <f t="shared" si="57"/>
        <v>4</v>
      </c>
    </row>
    <row r="1818" spans="1:8" x14ac:dyDescent="0.2">
      <c r="A1818" s="71" t="s">
        <v>193</v>
      </c>
      <c r="B1818" s="71" t="s">
        <v>194</v>
      </c>
      <c r="C1818" s="71" t="s">
        <v>47</v>
      </c>
      <c r="D1818" s="88">
        <v>46281.684155092596</v>
      </c>
      <c r="E1818" s="89">
        <v>46281</v>
      </c>
      <c r="F1818" s="71" t="s">
        <v>2072</v>
      </c>
      <c r="G1818" s="71">
        <f t="shared" si="56"/>
        <v>9</v>
      </c>
      <c r="H1818" s="71">
        <f t="shared" si="57"/>
        <v>11</v>
      </c>
    </row>
    <row r="1819" spans="1:8" x14ac:dyDescent="0.2">
      <c r="A1819" s="71" t="s">
        <v>193</v>
      </c>
      <c r="B1819" s="71" t="s">
        <v>194</v>
      </c>
      <c r="C1819" s="71" t="s">
        <v>47</v>
      </c>
      <c r="D1819" s="88">
        <v>46282.693958333301</v>
      </c>
      <c r="E1819" s="89">
        <v>46282</v>
      </c>
      <c r="F1819" s="71" t="s">
        <v>2073</v>
      </c>
      <c r="G1819" s="71">
        <f t="shared" si="56"/>
        <v>9</v>
      </c>
      <c r="H1819" s="71">
        <f t="shared" si="57"/>
        <v>4</v>
      </c>
    </row>
    <row r="1820" spans="1:8" x14ac:dyDescent="0.2">
      <c r="A1820" s="71" t="s">
        <v>193</v>
      </c>
      <c r="B1820" s="71" t="s">
        <v>194</v>
      </c>
      <c r="C1820" s="71" t="s">
        <v>47</v>
      </c>
      <c r="D1820" s="88">
        <v>46282.694317129601</v>
      </c>
      <c r="E1820" s="89">
        <v>46282</v>
      </c>
      <c r="F1820" s="71" t="s">
        <v>2072</v>
      </c>
      <c r="G1820" s="71">
        <f t="shared" si="56"/>
        <v>9</v>
      </c>
      <c r="H1820" s="71">
        <f t="shared" si="57"/>
        <v>11</v>
      </c>
    </row>
    <row r="1821" spans="1:8" x14ac:dyDescent="0.2">
      <c r="A1821" s="71" t="s">
        <v>193</v>
      </c>
      <c r="B1821" s="71" t="s">
        <v>194</v>
      </c>
      <c r="C1821" s="71" t="s">
        <v>47</v>
      </c>
      <c r="D1821" s="88">
        <v>46283.722685185203</v>
      </c>
      <c r="E1821" s="89">
        <v>46283</v>
      </c>
      <c r="F1821" s="71" t="s">
        <v>2073</v>
      </c>
      <c r="G1821" s="71">
        <f t="shared" si="56"/>
        <v>9</v>
      </c>
      <c r="H1821" s="71">
        <f t="shared" si="57"/>
        <v>4</v>
      </c>
    </row>
    <row r="1822" spans="1:8" x14ac:dyDescent="0.2">
      <c r="A1822" s="71" t="s">
        <v>193</v>
      </c>
      <c r="B1822" s="71" t="s">
        <v>194</v>
      </c>
      <c r="C1822" s="71" t="s">
        <v>47</v>
      </c>
      <c r="D1822" s="88">
        <v>46283.723912037</v>
      </c>
      <c r="E1822" s="89">
        <v>46283</v>
      </c>
      <c r="F1822" s="71" t="s">
        <v>2072</v>
      </c>
      <c r="G1822" s="71">
        <f t="shared" si="56"/>
        <v>9</v>
      </c>
      <c r="H1822" s="71">
        <f t="shared" si="57"/>
        <v>11</v>
      </c>
    </row>
    <row r="1823" spans="1:8" x14ac:dyDescent="0.2">
      <c r="A1823" s="71" t="s">
        <v>193</v>
      </c>
      <c r="B1823" s="71" t="s">
        <v>194</v>
      </c>
      <c r="C1823" s="71" t="s">
        <v>47</v>
      </c>
      <c r="D1823" s="88">
        <v>46286.693749999999</v>
      </c>
      <c r="E1823" s="89">
        <v>46286</v>
      </c>
      <c r="F1823" s="71" t="s">
        <v>2073</v>
      </c>
      <c r="G1823" s="71">
        <f t="shared" si="56"/>
        <v>9</v>
      </c>
      <c r="H1823" s="71">
        <f t="shared" si="57"/>
        <v>4</v>
      </c>
    </row>
    <row r="1824" spans="1:8" x14ac:dyDescent="0.2">
      <c r="A1824" s="71" t="s">
        <v>193</v>
      </c>
      <c r="B1824" s="71" t="s">
        <v>194</v>
      </c>
      <c r="C1824" s="71" t="s">
        <v>47</v>
      </c>
      <c r="D1824" s="88">
        <v>46286.696111111101</v>
      </c>
      <c r="E1824" s="89">
        <v>46286</v>
      </c>
      <c r="F1824" s="71" t="s">
        <v>2072</v>
      </c>
      <c r="G1824" s="71">
        <f t="shared" si="56"/>
        <v>9</v>
      </c>
      <c r="H1824" s="71">
        <f t="shared" si="57"/>
        <v>11</v>
      </c>
    </row>
    <row r="1825" spans="1:8" x14ac:dyDescent="0.2">
      <c r="A1825" s="71" t="s">
        <v>193</v>
      </c>
      <c r="B1825" s="71" t="s">
        <v>194</v>
      </c>
      <c r="C1825" s="71" t="s">
        <v>47</v>
      </c>
      <c r="D1825" s="88">
        <v>46287.686030092598</v>
      </c>
      <c r="E1825" s="89">
        <v>46287</v>
      </c>
      <c r="F1825" s="71" t="s">
        <v>2073</v>
      </c>
      <c r="G1825" s="71">
        <f t="shared" si="56"/>
        <v>9</v>
      </c>
      <c r="H1825" s="71">
        <f t="shared" si="57"/>
        <v>4</v>
      </c>
    </row>
    <row r="1826" spans="1:8" x14ac:dyDescent="0.2">
      <c r="A1826" s="71" t="s">
        <v>193</v>
      </c>
      <c r="B1826" s="71" t="s">
        <v>194</v>
      </c>
      <c r="C1826" s="71" t="s">
        <v>47</v>
      </c>
      <c r="D1826" s="88">
        <v>46287.686932870398</v>
      </c>
      <c r="E1826" s="89">
        <v>46287</v>
      </c>
      <c r="F1826" s="71" t="s">
        <v>2072</v>
      </c>
      <c r="G1826" s="71">
        <f t="shared" si="56"/>
        <v>9</v>
      </c>
      <c r="H1826" s="71">
        <f t="shared" si="57"/>
        <v>11</v>
      </c>
    </row>
    <row r="1827" spans="1:8" x14ac:dyDescent="0.2">
      <c r="A1827" s="71" t="s">
        <v>193</v>
      </c>
      <c r="B1827" s="71" t="s">
        <v>194</v>
      </c>
      <c r="C1827" s="71" t="s">
        <v>47</v>
      </c>
      <c r="D1827" s="88">
        <v>46288.663865740702</v>
      </c>
      <c r="E1827" s="89">
        <v>46288</v>
      </c>
      <c r="F1827" s="71" t="s">
        <v>2073</v>
      </c>
      <c r="G1827" s="71">
        <f t="shared" si="56"/>
        <v>9</v>
      </c>
      <c r="H1827" s="71">
        <f t="shared" si="57"/>
        <v>4</v>
      </c>
    </row>
    <row r="1828" spans="1:8" x14ac:dyDescent="0.2">
      <c r="A1828" s="71" t="s">
        <v>193</v>
      </c>
      <c r="B1828" s="71" t="s">
        <v>194</v>
      </c>
      <c r="C1828" s="71" t="s">
        <v>47</v>
      </c>
      <c r="D1828" s="88">
        <v>46288.664224537002</v>
      </c>
      <c r="E1828" s="89">
        <v>46288</v>
      </c>
      <c r="F1828" s="71" t="s">
        <v>2072</v>
      </c>
      <c r="G1828" s="71">
        <f t="shared" si="56"/>
        <v>9</v>
      </c>
      <c r="H1828" s="71">
        <f t="shared" si="57"/>
        <v>11</v>
      </c>
    </row>
    <row r="1829" spans="1:8" x14ac:dyDescent="0.2">
      <c r="A1829" s="71" t="s">
        <v>193</v>
      </c>
      <c r="B1829" s="71" t="s">
        <v>194</v>
      </c>
      <c r="C1829" s="71" t="s">
        <v>47</v>
      </c>
      <c r="D1829" s="88">
        <v>46289.6571064815</v>
      </c>
      <c r="E1829" s="89">
        <v>46289</v>
      </c>
      <c r="F1829" s="71" t="s">
        <v>2073</v>
      </c>
      <c r="G1829" s="71">
        <f t="shared" si="56"/>
        <v>9</v>
      </c>
      <c r="H1829" s="71">
        <f t="shared" si="57"/>
        <v>4</v>
      </c>
    </row>
    <row r="1830" spans="1:8" x14ac:dyDescent="0.2">
      <c r="A1830" s="71" t="s">
        <v>193</v>
      </c>
      <c r="B1830" s="71" t="s">
        <v>194</v>
      </c>
      <c r="C1830" s="71" t="s">
        <v>47</v>
      </c>
      <c r="D1830" s="88">
        <v>46289.657662037003</v>
      </c>
      <c r="E1830" s="89">
        <v>46289</v>
      </c>
      <c r="F1830" s="71" t="s">
        <v>2072</v>
      </c>
      <c r="G1830" s="71">
        <f t="shared" si="56"/>
        <v>9</v>
      </c>
      <c r="H1830" s="71">
        <f t="shared" si="57"/>
        <v>11</v>
      </c>
    </row>
    <row r="1831" spans="1:8" x14ac:dyDescent="0.2">
      <c r="A1831" s="71" t="s">
        <v>193</v>
      </c>
      <c r="B1831" s="71" t="s">
        <v>194</v>
      </c>
      <c r="C1831" s="71" t="s">
        <v>47</v>
      </c>
      <c r="D1831" s="88">
        <v>46290.597256944398</v>
      </c>
      <c r="E1831" s="89">
        <v>46290</v>
      </c>
      <c r="F1831" s="71" t="s">
        <v>2073</v>
      </c>
      <c r="G1831" s="71">
        <f t="shared" si="56"/>
        <v>9</v>
      </c>
      <c r="H1831" s="71">
        <f t="shared" si="57"/>
        <v>4</v>
      </c>
    </row>
    <row r="1832" spans="1:8" x14ac:dyDescent="0.2">
      <c r="A1832" s="71" t="s">
        <v>193</v>
      </c>
      <c r="B1832" s="71" t="s">
        <v>194</v>
      </c>
      <c r="C1832" s="71" t="s">
        <v>47</v>
      </c>
      <c r="D1832" s="88">
        <v>46290.597858796304</v>
      </c>
      <c r="E1832" s="89">
        <v>46290</v>
      </c>
      <c r="F1832" s="71" t="s">
        <v>2072</v>
      </c>
      <c r="G1832" s="71">
        <f t="shared" si="56"/>
        <v>9</v>
      </c>
      <c r="H1832" s="71">
        <f t="shared" si="57"/>
        <v>11</v>
      </c>
    </row>
    <row r="1833" spans="1:8" x14ac:dyDescent="0.2">
      <c r="A1833" s="71" t="s">
        <v>193</v>
      </c>
      <c r="B1833" s="71" t="s">
        <v>194</v>
      </c>
      <c r="C1833" s="71" t="s">
        <v>47</v>
      </c>
      <c r="D1833" s="88">
        <v>46293.6853819444</v>
      </c>
      <c r="E1833" s="89">
        <v>46293</v>
      </c>
      <c r="F1833" s="71" t="s">
        <v>2073</v>
      </c>
      <c r="G1833" s="71">
        <f t="shared" si="56"/>
        <v>9</v>
      </c>
      <c r="H1833" s="71">
        <f t="shared" si="57"/>
        <v>4</v>
      </c>
    </row>
    <row r="1834" spans="1:8" x14ac:dyDescent="0.2">
      <c r="A1834" s="71" t="s">
        <v>193</v>
      </c>
      <c r="B1834" s="71" t="s">
        <v>194</v>
      </c>
      <c r="C1834" s="71" t="s">
        <v>47</v>
      </c>
      <c r="D1834" s="88">
        <v>46293.685983796298</v>
      </c>
      <c r="E1834" s="89">
        <v>46293</v>
      </c>
      <c r="F1834" s="71" t="s">
        <v>2072</v>
      </c>
      <c r="G1834" s="71">
        <f t="shared" si="56"/>
        <v>9</v>
      </c>
      <c r="H1834" s="71">
        <f t="shared" si="57"/>
        <v>11</v>
      </c>
    </row>
    <row r="1835" spans="1:8" x14ac:dyDescent="0.2">
      <c r="A1835" s="71" t="s">
        <v>193</v>
      </c>
      <c r="B1835" s="71" t="s">
        <v>194</v>
      </c>
      <c r="C1835" s="71" t="s">
        <v>47</v>
      </c>
      <c r="D1835" s="88">
        <v>46294.642500000002</v>
      </c>
      <c r="E1835" s="89">
        <v>46294</v>
      </c>
      <c r="F1835" s="71" t="s">
        <v>2073</v>
      </c>
      <c r="G1835" s="71">
        <f t="shared" si="56"/>
        <v>9</v>
      </c>
      <c r="H1835" s="71">
        <f t="shared" si="57"/>
        <v>4</v>
      </c>
    </row>
    <row r="1836" spans="1:8" x14ac:dyDescent="0.2">
      <c r="A1836" s="71" t="s">
        <v>193</v>
      </c>
      <c r="B1836" s="71" t="s">
        <v>194</v>
      </c>
      <c r="C1836" s="71" t="s">
        <v>47</v>
      </c>
      <c r="D1836" s="88">
        <v>46294.643043981501</v>
      </c>
      <c r="E1836" s="89">
        <v>46294</v>
      </c>
      <c r="F1836" s="71" t="s">
        <v>2072</v>
      </c>
      <c r="G1836" s="71">
        <f t="shared" si="56"/>
        <v>9</v>
      </c>
      <c r="H1836" s="71">
        <f t="shared" si="57"/>
        <v>11</v>
      </c>
    </row>
    <row r="1837" spans="1:8" x14ac:dyDescent="0.2">
      <c r="A1837" s="71" t="s">
        <v>193</v>
      </c>
      <c r="B1837" s="71" t="s">
        <v>194</v>
      </c>
      <c r="C1837" s="71" t="s">
        <v>47</v>
      </c>
      <c r="D1837" s="88">
        <v>46295.577696759297</v>
      </c>
      <c r="E1837" s="89">
        <v>46295</v>
      </c>
      <c r="F1837" s="71" t="s">
        <v>2073</v>
      </c>
      <c r="G1837" s="71">
        <f t="shared" si="56"/>
        <v>9</v>
      </c>
      <c r="H1837" s="71">
        <f t="shared" si="57"/>
        <v>4</v>
      </c>
    </row>
    <row r="1838" spans="1:8" x14ac:dyDescent="0.2">
      <c r="A1838" s="71" t="s">
        <v>193</v>
      </c>
      <c r="B1838" s="71" t="s">
        <v>194</v>
      </c>
      <c r="C1838" s="71" t="s">
        <v>47</v>
      </c>
      <c r="D1838" s="88">
        <v>46295.578402777799</v>
      </c>
      <c r="E1838" s="89">
        <v>46295</v>
      </c>
      <c r="F1838" s="71" t="s">
        <v>2072</v>
      </c>
      <c r="G1838" s="71">
        <f t="shared" si="56"/>
        <v>9</v>
      </c>
      <c r="H1838" s="71">
        <f t="shared" si="57"/>
        <v>11</v>
      </c>
    </row>
    <row r="1839" spans="1:8" x14ac:dyDescent="0.2">
      <c r="A1839" s="71" t="s">
        <v>211</v>
      </c>
      <c r="B1839" s="71" t="s">
        <v>212</v>
      </c>
      <c r="C1839" s="71" t="s">
        <v>48</v>
      </c>
      <c r="D1839" s="88">
        <v>46175.311087962997</v>
      </c>
      <c r="E1839" s="89">
        <v>46175</v>
      </c>
      <c r="F1839" s="71" t="s">
        <v>2082</v>
      </c>
      <c r="G1839" s="71">
        <f t="shared" si="56"/>
        <v>6</v>
      </c>
      <c r="H1839" s="71">
        <f t="shared" si="57"/>
        <v>20</v>
      </c>
    </row>
    <row r="1840" spans="1:8" x14ac:dyDescent="0.2">
      <c r="A1840" s="71" t="s">
        <v>211</v>
      </c>
      <c r="B1840" s="71" t="s">
        <v>212</v>
      </c>
      <c r="C1840" s="71" t="s">
        <v>48</v>
      </c>
      <c r="D1840" s="88">
        <v>46177.683090277802</v>
      </c>
      <c r="E1840" s="89">
        <v>46177</v>
      </c>
      <c r="F1840" s="71" t="s">
        <v>2082</v>
      </c>
      <c r="G1840" s="71">
        <f t="shared" si="56"/>
        <v>6</v>
      </c>
      <c r="H1840" s="71">
        <f t="shared" si="57"/>
        <v>20</v>
      </c>
    </row>
    <row r="1841" spans="1:8" x14ac:dyDescent="0.2">
      <c r="A1841" s="71" t="s">
        <v>211</v>
      </c>
      <c r="B1841" s="71" t="s">
        <v>212</v>
      </c>
      <c r="C1841" s="71" t="s">
        <v>48</v>
      </c>
      <c r="D1841" s="88">
        <v>46177.683379629598</v>
      </c>
      <c r="E1841" s="89">
        <v>46177</v>
      </c>
      <c r="F1841" s="71" t="s">
        <v>2083</v>
      </c>
      <c r="G1841" s="71">
        <f t="shared" si="56"/>
        <v>6</v>
      </c>
      <c r="H1841" s="71">
        <f t="shared" si="57"/>
        <v>31</v>
      </c>
    </row>
    <row r="1842" spans="1:8" x14ac:dyDescent="0.2">
      <c r="A1842" s="71" t="s">
        <v>211</v>
      </c>
      <c r="B1842" s="71" t="s">
        <v>212</v>
      </c>
      <c r="C1842" s="71" t="s">
        <v>48</v>
      </c>
      <c r="D1842" s="88">
        <v>46178.5559027778</v>
      </c>
      <c r="E1842" s="89">
        <v>46178</v>
      </c>
      <c r="F1842" s="71" t="s">
        <v>2082</v>
      </c>
      <c r="G1842" s="71">
        <f t="shared" si="56"/>
        <v>6</v>
      </c>
      <c r="H1842" s="71">
        <f t="shared" si="57"/>
        <v>20</v>
      </c>
    </row>
    <row r="1843" spans="1:8" x14ac:dyDescent="0.2">
      <c r="A1843" s="71" t="s">
        <v>211</v>
      </c>
      <c r="B1843" s="71" t="s">
        <v>212</v>
      </c>
      <c r="C1843" s="71" t="s">
        <v>48</v>
      </c>
      <c r="D1843" s="88">
        <v>46181.680289351898</v>
      </c>
      <c r="E1843" s="89">
        <v>46181</v>
      </c>
      <c r="F1843" s="71" t="s">
        <v>2082</v>
      </c>
      <c r="G1843" s="71">
        <f t="shared" si="56"/>
        <v>6</v>
      </c>
      <c r="H1843" s="71">
        <f t="shared" si="57"/>
        <v>20</v>
      </c>
    </row>
    <row r="1844" spans="1:8" x14ac:dyDescent="0.2">
      <c r="A1844" s="71" t="s">
        <v>211</v>
      </c>
      <c r="B1844" s="71" t="s">
        <v>212</v>
      </c>
      <c r="C1844" s="71" t="s">
        <v>48</v>
      </c>
      <c r="D1844" s="88">
        <v>46182.666655092602</v>
      </c>
      <c r="E1844" s="89">
        <v>46182</v>
      </c>
      <c r="F1844" s="71" t="s">
        <v>2082</v>
      </c>
      <c r="G1844" s="71">
        <f t="shared" si="56"/>
        <v>6</v>
      </c>
      <c r="H1844" s="71">
        <f t="shared" si="57"/>
        <v>20</v>
      </c>
    </row>
    <row r="1845" spans="1:8" x14ac:dyDescent="0.2">
      <c r="A1845" s="71" t="s">
        <v>211</v>
      </c>
      <c r="B1845" s="71" t="s">
        <v>212</v>
      </c>
      <c r="C1845" s="71" t="s">
        <v>48</v>
      </c>
      <c r="D1845" s="88">
        <v>46184.686562499999</v>
      </c>
      <c r="E1845" s="89">
        <v>46184</v>
      </c>
      <c r="F1845" s="71" t="s">
        <v>2082</v>
      </c>
      <c r="G1845" s="71">
        <f t="shared" si="56"/>
        <v>6</v>
      </c>
      <c r="H1845" s="71">
        <f t="shared" si="57"/>
        <v>20</v>
      </c>
    </row>
    <row r="1846" spans="1:8" x14ac:dyDescent="0.2">
      <c r="A1846" s="71" t="s">
        <v>211</v>
      </c>
      <c r="B1846" s="71" t="s">
        <v>212</v>
      </c>
      <c r="C1846" s="71" t="s">
        <v>48</v>
      </c>
      <c r="D1846" s="88">
        <v>46185.665127314802</v>
      </c>
      <c r="E1846" s="89">
        <v>46185</v>
      </c>
      <c r="F1846" s="71" t="s">
        <v>2082</v>
      </c>
      <c r="G1846" s="71">
        <f t="shared" si="56"/>
        <v>6</v>
      </c>
      <c r="H1846" s="71">
        <f t="shared" si="57"/>
        <v>20</v>
      </c>
    </row>
    <row r="1847" spans="1:8" x14ac:dyDescent="0.2">
      <c r="A1847" s="71" t="s">
        <v>211</v>
      </c>
      <c r="B1847" s="71" t="s">
        <v>212</v>
      </c>
      <c r="C1847" s="71" t="s">
        <v>48</v>
      </c>
      <c r="D1847" s="88">
        <v>46188.666643518503</v>
      </c>
      <c r="E1847" s="89">
        <v>46188</v>
      </c>
      <c r="F1847" s="71" t="s">
        <v>2082</v>
      </c>
      <c r="G1847" s="71">
        <f t="shared" si="56"/>
        <v>6</v>
      </c>
      <c r="H1847" s="71">
        <f t="shared" si="57"/>
        <v>20</v>
      </c>
    </row>
    <row r="1848" spans="1:8" x14ac:dyDescent="0.2">
      <c r="A1848" s="71" t="s">
        <v>211</v>
      </c>
      <c r="B1848" s="71" t="s">
        <v>212</v>
      </c>
      <c r="C1848" s="71" t="s">
        <v>48</v>
      </c>
      <c r="D1848" s="88">
        <v>46191.676412036999</v>
      </c>
      <c r="E1848" s="89">
        <v>46191</v>
      </c>
      <c r="F1848" s="71" t="s">
        <v>2082</v>
      </c>
      <c r="G1848" s="71">
        <f t="shared" si="56"/>
        <v>6</v>
      </c>
      <c r="H1848" s="71">
        <f t="shared" si="57"/>
        <v>20</v>
      </c>
    </row>
    <row r="1849" spans="1:8" x14ac:dyDescent="0.2">
      <c r="A1849" s="71" t="s">
        <v>211</v>
      </c>
      <c r="B1849" s="71" t="s">
        <v>212</v>
      </c>
      <c r="C1849" s="71" t="s">
        <v>48</v>
      </c>
      <c r="D1849" s="88">
        <v>46192.677361111098</v>
      </c>
      <c r="E1849" s="89">
        <v>46192</v>
      </c>
      <c r="F1849" s="71" t="s">
        <v>2082</v>
      </c>
      <c r="G1849" s="71">
        <f t="shared" si="56"/>
        <v>6</v>
      </c>
      <c r="H1849" s="71">
        <f t="shared" si="57"/>
        <v>20</v>
      </c>
    </row>
    <row r="1850" spans="1:8" x14ac:dyDescent="0.2">
      <c r="A1850" s="71" t="s">
        <v>211</v>
      </c>
      <c r="B1850" s="71" t="s">
        <v>212</v>
      </c>
      <c r="C1850" s="71" t="s">
        <v>48</v>
      </c>
      <c r="D1850" s="88">
        <v>46195.677187499998</v>
      </c>
      <c r="E1850" s="89">
        <v>46195</v>
      </c>
      <c r="F1850" s="71" t="s">
        <v>2082</v>
      </c>
      <c r="G1850" s="71">
        <f t="shared" si="56"/>
        <v>6</v>
      </c>
      <c r="H1850" s="71">
        <f t="shared" si="57"/>
        <v>20</v>
      </c>
    </row>
    <row r="1851" spans="1:8" x14ac:dyDescent="0.2">
      <c r="A1851" s="71" t="s">
        <v>211</v>
      </c>
      <c r="B1851" s="71" t="s">
        <v>212</v>
      </c>
      <c r="C1851" s="71" t="s">
        <v>48</v>
      </c>
      <c r="D1851" s="88">
        <v>46196.667939814797</v>
      </c>
      <c r="E1851" s="89">
        <v>46196</v>
      </c>
      <c r="F1851" s="71" t="s">
        <v>2082</v>
      </c>
      <c r="G1851" s="71">
        <f t="shared" si="56"/>
        <v>6</v>
      </c>
      <c r="H1851" s="71">
        <f t="shared" si="57"/>
        <v>20</v>
      </c>
    </row>
    <row r="1852" spans="1:8" x14ac:dyDescent="0.2">
      <c r="A1852" s="71" t="s">
        <v>211</v>
      </c>
      <c r="B1852" s="71" t="s">
        <v>212</v>
      </c>
      <c r="C1852" s="71" t="s">
        <v>48</v>
      </c>
      <c r="D1852" s="88">
        <v>46198.6859722222</v>
      </c>
      <c r="E1852" s="89">
        <v>46198</v>
      </c>
      <c r="F1852" s="71" t="s">
        <v>2082</v>
      </c>
      <c r="G1852" s="71">
        <f t="shared" si="56"/>
        <v>6</v>
      </c>
      <c r="H1852" s="71">
        <f t="shared" si="57"/>
        <v>20</v>
      </c>
    </row>
    <row r="1853" spans="1:8" x14ac:dyDescent="0.2">
      <c r="A1853" s="71" t="s">
        <v>211</v>
      </c>
      <c r="B1853" s="71" t="s">
        <v>212</v>
      </c>
      <c r="C1853" s="71" t="s">
        <v>48</v>
      </c>
      <c r="D1853" s="88">
        <v>46199.6390972222</v>
      </c>
      <c r="E1853" s="89">
        <v>46199</v>
      </c>
      <c r="F1853" s="71" t="s">
        <v>2082</v>
      </c>
      <c r="G1853" s="71">
        <f t="shared" si="56"/>
        <v>6</v>
      </c>
      <c r="H1853" s="71">
        <f t="shared" si="57"/>
        <v>20</v>
      </c>
    </row>
    <row r="1854" spans="1:8" x14ac:dyDescent="0.2">
      <c r="A1854" s="71" t="s">
        <v>211</v>
      </c>
      <c r="B1854" s="71" t="s">
        <v>212</v>
      </c>
      <c r="C1854" s="71" t="s">
        <v>48</v>
      </c>
      <c r="D1854" s="88">
        <v>46202.6745717593</v>
      </c>
      <c r="E1854" s="89">
        <v>46202</v>
      </c>
      <c r="F1854" s="71" t="s">
        <v>2082</v>
      </c>
      <c r="G1854" s="71">
        <f t="shared" si="56"/>
        <v>6</v>
      </c>
      <c r="H1854" s="71">
        <f t="shared" si="57"/>
        <v>20</v>
      </c>
    </row>
    <row r="1855" spans="1:8" x14ac:dyDescent="0.2">
      <c r="A1855" s="71" t="s">
        <v>211</v>
      </c>
      <c r="B1855" s="71" t="s">
        <v>212</v>
      </c>
      <c r="C1855" s="71" t="s">
        <v>48</v>
      </c>
      <c r="D1855" s="88">
        <v>46202.675254629597</v>
      </c>
      <c r="E1855" s="89">
        <v>46202</v>
      </c>
      <c r="F1855" s="71" t="s">
        <v>2084</v>
      </c>
      <c r="G1855" s="71">
        <f t="shared" si="56"/>
        <v>6</v>
      </c>
      <c r="H1855" s="71">
        <f t="shared" si="57"/>
        <v>46</v>
      </c>
    </row>
    <row r="1856" spans="1:8" x14ac:dyDescent="0.2">
      <c r="A1856" s="71" t="s">
        <v>227</v>
      </c>
      <c r="B1856" s="71" t="s">
        <v>228</v>
      </c>
      <c r="C1856" s="71" t="s">
        <v>39</v>
      </c>
      <c r="D1856" s="88">
        <v>46178.644745370402</v>
      </c>
      <c r="E1856" s="89">
        <v>46178</v>
      </c>
      <c r="F1856" s="71" t="s">
        <v>2085</v>
      </c>
      <c r="G1856" s="71">
        <f t="shared" si="56"/>
        <v>6</v>
      </c>
      <c r="H1856" s="71">
        <f t="shared" si="57"/>
        <v>7</v>
      </c>
    </row>
    <row r="1857" spans="1:8" x14ac:dyDescent="0.2">
      <c r="A1857" s="71" t="s">
        <v>227</v>
      </c>
      <c r="B1857" s="71" t="s">
        <v>228</v>
      </c>
      <c r="C1857" s="71" t="s">
        <v>39</v>
      </c>
      <c r="D1857" s="88">
        <v>46178.645717592597</v>
      </c>
      <c r="E1857" s="89">
        <v>46178</v>
      </c>
      <c r="F1857" s="71" t="s">
        <v>2086</v>
      </c>
      <c r="G1857" s="71">
        <f t="shared" si="56"/>
        <v>6</v>
      </c>
      <c r="H1857" s="71">
        <f t="shared" si="57"/>
        <v>19</v>
      </c>
    </row>
    <row r="1858" spans="1:8" x14ac:dyDescent="0.2">
      <c r="A1858" s="71" t="s">
        <v>227</v>
      </c>
      <c r="B1858" s="71" t="s">
        <v>228</v>
      </c>
      <c r="C1858" s="71" t="s">
        <v>39</v>
      </c>
      <c r="D1858" s="88">
        <v>46178.660219907397</v>
      </c>
      <c r="E1858" s="89">
        <v>46178</v>
      </c>
      <c r="F1858" s="71" t="s">
        <v>2087</v>
      </c>
      <c r="G1858" s="71">
        <f t="shared" ref="G1858:G1921" si="58">MONTH(E1858)</f>
        <v>6</v>
      </c>
      <c r="H1858" s="71">
        <f t="shared" ref="H1858:H1921" si="59">LEN(F1858)</f>
        <v>13</v>
      </c>
    </row>
    <row r="1859" spans="1:8" x14ac:dyDescent="0.2">
      <c r="A1859" s="71" t="s">
        <v>227</v>
      </c>
      <c r="B1859" s="71" t="s">
        <v>228</v>
      </c>
      <c r="C1859" s="71" t="s">
        <v>39</v>
      </c>
      <c r="D1859" s="88">
        <v>46178.677858796298</v>
      </c>
      <c r="E1859" s="89">
        <v>46178</v>
      </c>
      <c r="F1859" s="71" t="s">
        <v>2088</v>
      </c>
      <c r="G1859" s="71">
        <f t="shared" si="58"/>
        <v>6</v>
      </c>
      <c r="H1859" s="71">
        <f t="shared" si="59"/>
        <v>9</v>
      </c>
    </row>
    <row r="1860" spans="1:8" x14ac:dyDescent="0.2">
      <c r="A1860" s="71" t="s">
        <v>227</v>
      </c>
      <c r="B1860" s="71" t="s">
        <v>228</v>
      </c>
      <c r="C1860" s="71" t="s">
        <v>39</v>
      </c>
      <c r="D1860" s="88">
        <v>46181.397511574098</v>
      </c>
      <c r="E1860" s="89">
        <v>46181</v>
      </c>
      <c r="F1860" s="71" t="s">
        <v>2089</v>
      </c>
      <c r="G1860" s="71">
        <f t="shared" si="58"/>
        <v>6</v>
      </c>
      <c r="H1860" s="71">
        <f t="shared" si="59"/>
        <v>12</v>
      </c>
    </row>
    <row r="1861" spans="1:8" x14ac:dyDescent="0.2">
      <c r="A1861" s="71" t="s">
        <v>227</v>
      </c>
      <c r="B1861" s="71" t="s">
        <v>228</v>
      </c>
      <c r="C1861" s="71" t="s">
        <v>39</v>
      </c>
      <c r="D1861" s="88">
        <v>46181.632731481499</v>
      </c>
      <c r="E1861" s="89">
        <v>46181</v>
      </c>
      <c r="F1861" s="71" t="s">
        <v>2090</v>
      </c>
      <c r="G1861" s="71">
        <f t="shared" si="58"/>
        <v>6</v>
      </c>
      <c r="H1861" s="71">
        <f t="shared" si="59"/>
        <v>7</v>
      </c>
    </row>
    <row r="1862" spans="1:8" x14ac:dyDescent="0.2">
      <c r="A1862" s="71" t="s">
        <v>227</v>
      </c>
      <c r="B1862" s="71" t="s">
        <v>228</v>
      </c>
      <c r="C1862" s="71" t="s">
        <v>39</v>
      </c>
      <c r="D1862" s="88">
        <v>46181.672442129602</v>
      </c>
      <c r="E1862" s="89">
        <v>46181</v>
      </c>
      <c r="F1862" s="71" t="s">
        <v>2091</v>
      </c>
      <c r="G1862" s="71">
        <f t="shared" si="58"/>
        <v>6</v>
      </c>
      <c r="H1862" s="71">
        <f t="shared" si="59"/>
        <v>13</v>
      </c>
    </row>
    <row r="1863" spans="1:8" x14ac:dyDescent="0.2">
      <c r="A1863" s="71" t="s">
        <v>227</v>
      </c>
      <c r="B1863" s="71" t="s">
        <v>228</v>
      </c>
      <c r="C1863" s="71" t="s">
        <v>39</v>
      </c>
      <c r="D1863" s="88">
        <v>46181.672824074099</v>
      </c>
      <c r="E1863" s="89">
        <v>46181</v>
      </c>
      <c r="F1863" s="71" t="s">
        <v>2092</v>
      </c>
      <c r="G1863" s="71">
        <f t="shared" si="58"/>
        <v>6</v>
      </c>
      <c r="H1863" s="71">
        <f t="shared" si="59"/>
        <v>14</v>
      </c>
    </row>
    <row r="1864" spans="1:8" x14ac:dyDescent="0.2">
      <c r="A1864" s="71" t="s">
        <v>227</v>
      </c>
      <c r="B1864" s="71" t="s">
        <v>228</v>
      </c>
      <c r="C1864" s="71" t="s">
        <v>39</v>
      </c>
      <c r="D1864" s="88">
        <v>46182.382893518501</v>
      </c>
      <c r="E1864" s="89">
        <v>46182</v>
      </c>
      <c r="F1864" s="71" t="s">
        <v>2093</v>
      </c>
      <c r="G1864" s="71">
        <f t="shared" si="58"/>
        <v>6</v>
      </c>
      <c r="H1864" s="71">
        <f t="shared" si="59"/>
        <v>19</v>
      </c>
    </row>
    <row r="1865" spans="1:8" x14ac:dyDescent="0.2">
      <c r="A1865" s="71" t="s">
        <v>227</v>
      </c>
      <c r="B1865" s="71" t="s">
        <v>228</v>
      </c>
      <c r="C1865" s="71" t="s">
        <v>39</v>
      </c>
      <c r="D1865" s="88">
        <v>46182.461018518501</v>
      </c>
      <c r="E1865" s="89">
        <v>46182</v>
      </c>
      <c r="F1865" s="71" t="s">
        <v>2090</v>
      </c>
      <c r="G1865" s="71">
        <f t="shared" si="58"/>
        <v>6</v>
      </c>
      <c r="H1865" s="71">
        <f t="shared" si="59"/>
        <v>7</v>
      </c>
    </row>
    <row r="1866" spans="1:8" x14ac:dyDescent="0.2">
      <c r="A1866" s="71" t="s">
        <v>227</v>
      </c>
      <c r="B1866" s="71" t="s">
        <v>228</v>
      </c>
      <c r="C1866" s="71" t="s">
        <v>39</v>
      </c>
      <c r="D1866" s="88">
        <v>46182.482164351903</v>
      </c>
      <c r="E1866" s="89">
        <v>46182</v>
      </c>
      <c r="F1866" s="71" t="s">
        <v>2094</v>
      </c>
      <c r="G1866" s="71">
        <f t="shared" si="58"/>
        <v>6</v>
      </c>
      <c r="H1866" s="71">
        <f t="shared" si="59"/>
        <v>9</v>
      </c>
    </row>
    <row r="1867" spans="1:8" x14ac:dyDescent="0.2">
      <c r="A1867" s="71" t="s">
        <v>227</v>
      </c>
      <c r="B1867" s="71" t="s">
        <v>228</v>
      </c>
      <c r="C1867" s="71" t="s">
        <v>39</v>
      </c>
      <c r="D1867" s="88">
        <v>46182.597777777803</v>
      </c>
      <c r="E1867" s="89">
        <v>46182</v>
      </c>
      <c r="F1867" s="71" t="s">
        <v>2095</v>
      </c>
      <c r="G1867" s="71">
        <f t="shared" si="58"/>
        <v>6</v>
      </c>
      <c r="H1867" s="71">
        <f t="shared" si="59"/>
        <v>12</v>
      </c>
    </row>
    <row r="1868" spans="1:8" x14ac:dyDescent="0.2">
      <c r="A1868" s="71" t="s">
        <v>227</v>
      </c>
      <c r="B1868" s="71" t="s">
        <v>228</v>
      </c>
      <c r="C1868" s="71" t="s">
        <v>39</v>
      </c>
      <c r="D1868" s="88">
        <v>46184.397025462997</v>
      </c>
      <c r="E1868" s="89">
        <v>46184</v>
      </c>
      <c r="F1868" s="71" t="s">
        <v>2096</v>
      </c>
      <c r="G1868" s="71">
        <f t="shared" si="58"/>
        <v>6</v>
      </c>
      <c r="H1868" s="71">
        <f t="shared" si="59"/>
        <v>7</v>
      </c>
    </row>
    <row r="1869" spans="1:8" x14ac:dyDescent="0.2">
      <c r="A1869" s="71" t="s">
        <v>227</v>
      </c>
      <c r="B1869" s="71" t="s">
        <v>228</v>
      </c>
      <c r="C1869" s="71" t="s">
        <v>39</v>
      </c>
      <c r="D1869" s="88">
        <v>46184.625023148197</v>
      </c>
      <c r="E1869" s="89">
        <v>46184</v>
      </c>
      <c r="F1869" s="71" t="s">
        <v>2090</v>
      </c>
      <c r="G1869" s="71">
        <f t="shared" si="58"/>
        <v>6</v>
      </c>
      <c r="H1869" s="71">
        <f t="shared" si="59"/>
        <v>7</v>
      </c>
    </row>
    <row r="1870" spans="1:8" x14ac:dyDescent="0.2">
      <c r="A1870" s="71" t="s">
        <v>227</v>
      </c>
      <c r="B1870" s="71" t="s">
        <v>228</v>
      </c>
      <c r="C1870" s="71" t="s">
        <v>39</v>
      </c>
      <c r="D1870" s="88">
        <v>46184.628912036998</v>
      </c>
      <c r="E1870" s="89">
        <v>46184</v>
      </c>
      <c r="F1870" s="71" t="s">
        <v>2089</v>
      </c>
      <c r="G1870" s="71">
        <f t="shared" si="58"/>
        <v>6</v>
      </c>
      <c r="H1870" s="71">
        <f t="shared" si="59"/>
        <v>12</v>
      </c>
    </row>
    <row r="1871" spans="1:8" x14ac:dyDescent="0.2">
      <c r="A1871" s="71" t="s">
        <v>227</v>
      </c>
      <c r="B1871" s="71" t="s">
        <v>228</v>
      </c>
      <c r="C1871" s="71" t="s">
        <v>39</v>
      </c>
      <c r="D1871" s="88">
        <v>46184.633553240703</v>
      </c>
      <c r="E1871" s="89">
        <v>46184</v>
      </c>
      <c r="F1871" s="71" t="s">
        <v>2088</v>
      </c>
      <c r="G1871" s="71">
        <f t="shared" si="58"/>
        <v>6</v>
      </c>
      <c r="H1871" s="71">
        <f t="shared" si="59"/>
        <v>9</v>
      </c>
    </row>
    <row r="1872" spans="1:8" x14ac:dyDescent="0.2">
      <c r="A1872" s="71" t="s">
        <v>227</v>
      </c>
      <c r="B1872" s="71" t="s">
        <v>228</v>
      </c>
      <c r="C1872" s="71" t="s">
        <v>39</v>
      </c>
      <c r="D1872" s="88">
        <v>46185.590046296304</v>
      </c>
      <c r="E1872" s="89">
        <v>46185</v>
      </c>
      <c r="F1872" s="71" t="s">
        <v>2090</v>
      </c>
      <c r="G1872" s="71">
        <f t="shared" si="58"/>
        <v>6</v>
      </c>
      <c r="H1872" s="71">
        <f t="shared" si="59"/>
        <v>7</v>
      </c>
    </row>
    <row r="1873" spans="1:8" x14ac:dyDescent="0.2">
      <c r="A1873" s="71" t="s">
        <v>227</v>
      </c>
      <c r="B1873" s="71" t="s">
        <v>228</v>
      </c>
      <c r="C1873" s="71" t="s">
        <v>39</v>
      </c>
      <c r="D1873" s="88">
        <v>46185.622986111099</v>
      </c>
      <c r="E1873" s="89">
        <v>46185</v>
      </c>
      <c r="F1873" s="71" t="s">
        <v>2088</v>
      </c>
      <c r="G1873" s="71">
        <f t="shared" si="58"/>
        <v>6</v>
      </c>
      <c r="H1873" s="71">
        <f t="shared" si="59"/>
        <v>9</v>
      </c>
    </row>
    <row r="1874" spans="1:8" x14ac:dyDescent="0.2">
      <c r="A1874" s="71" t="s">
        <v>227</v>
      </c>
      <c r="B1874" s="71" t="s">
        <v>228</v>
      </c>
      <c r="C1874" s="71" t="s">
        <v>39</v>
      </c>
      <c r="D1874" s="88">
        <v>46185.648831018501</v>
      </c>
      <c r="E1874" s="89">
        <v>46185</v>
      </c>
      <c r="F1874" s="71" t="s">
        <v>2089</v>
      </c>
      <c r="G1874" s="71">
        <f t="shared" si="58"/>
        <v>6</v>
      </c>
      <c r="H1874" s="71">
        <f t="shared" si="59"/>
        <v>12</v>
      </c>
    </row>
    <row r="1875" spans="1:8" x14ac:dyDescent="0.2">
      <c r="A1875" s="71" t="s">
        <v>227</v>
      </c>
      <c r="B1875" s="71" t="s">
        <v>228</v>
      </c>
      <c r="C1875" s="71" t="s">
        <v>39</v>
      </c>
      <c r="D1875" s="88">
        <v>46188.365983796299</v>
      </c>
      <c r="E1875" s="89">
        <v>46188</v>
      </c>
      <c r="F1875" s="71" t="s">
        <v>2097</v>
      </c>
      <c r="G1875" s="71">
        <f t="shared" si="58"/>
        <v>6</v>
      </c>
      <c r="H1875" s="71">
        <f t="shared" si="59"/>
        <v>11</v>
      </c>
    </row>
    <row r="1876" spans="1:8" x14ac:dyDescent="0.2">
      <c r="A1876" s="71" t="s">
        <v>227</v>
      </c>
      <c r="B1876" s="71" t="s">
        <v>228</v>
      </c>
      <c r="C1876" s="71" t="s">
        <v>39</v>
      </c>
      <c r="D1876" s="88">
        <v>46188.388946759304</v>
      </c>
      <c r="E1876" s="89">
        <v>46188</v>
      </c>
      <c r="F1876" s="71" t="s">
        <v>2090</v>
      </c>
      <c r="G1876" s="71">
        <f t="shared" si="58"/>
        <v>6</v>
      </c>
      <c r="H1876" s="71">
        <f t="shared" si="59"/>
        <v>7</v>
      </c>
    </row>
    <row r="1877" spans="1:8" x14ac:dyDescent="0.2">
      <c r="A1877" s="71" t="s">
        <v>227</v>
      </c>
      <c r="B1877" s="71" t="s">
        <v>228</v>
      </c>
      <c r="C1877" s="71" t="s">
        <v>39</v>
      </c>
      <c r="D1877" s="88">
        <v>46188.399791666699</v>
      </c>
      <c r="E1877" s="89">
        <v>46188</v>
      </c>
      <c r="F1877" s="71" t="s">
        <v>2089</v>
      </c>
      <c r="G1877" s="71">
        <f t="shared" si="58"/>
        <v>6</v>
      </c>
      <c r="H1877" s="71">
        <f t="shared" si="59"/>
        <v>12</v>
      </c>
    </row>
    <row r="1878" spans="1:8" x14ac:dyDescent="0.2">
      <c r="A1878" s="71" t="s">
        <v>227</v>
      </c>
      <c r="B1878" s="71" t="s">
        <v>228</v>
      </c>
      <c r="C1878" s="71" t="s">
        <v>39</v>
      </c>
      <c r="D1878" s="88">
        <v>46188.419594907398</v>
      </c>
      <c r="E1878" s="89">
        <v>46188</v>
      </c>
      <c r="F1878" s="71" t="s">
        <v>2088</v>
      </c>
      <c r="G1878" s="71">
        <f t="shared" si="58"/>
        <v>6</v>
      </c>
      <c r="H1878" s="71">
        <f t="shared" si="59"/>
        <v>9</v>
      </c>
    </row>
    <row r="1879" spans="1:8" x14ac:dyDescent="0.2">
      <c r="A1879" s="71" t="s">
        <v>227</v>
      </c>
      <c r="B1879" s="71" t="s">
        <v>228</v>
      </c>
      <c r="C1879" s="71" t="s">
        <v>39</v>
      </c>
      <c r="D1879" s="88">
        <v>46191.378356481502</v>
      </c>
      <c r="E1879" s="89">
        <v>46191</v>
      </c>
      <c r="F1879" s="71" t="s">
        <v>2089</v>
      </c>
      <c r="G1879" s="71">
        <f t="shared" si="58"/>
        <v>6</v>
      </c>
      <c r="H1879" s="71">
        <f t="shared" si="59"/>
        <v>12</v>
      </c>
    </row>
    <row r="1880" spans="1:8" x14ac:dyDescent="0.2">
      <c r="A1880" s="71" t="s">
        <v>227</v>
      </c>
      <c r="B1880" s="71" t="s">
        <v>228</v>
      </c>
      <c r="C1880" s="71" t="s">
        <v>39</v>
      </c>
      <c r="D1880" s="88">
        <v>46191.386840277803</v>
      </c>
      <c r="E1880" s="89">
        <v>46191</v>
      </c>
      <c r="F1880" s="71" t="s">
        <v>2088</v>
      </c>
      <c r="G1880" s="71">
        <f t="shared" si="58"/>
        <v>6</v>
      </c>
      <c r="H1880" s="71">
        <f t="shared" si="59"/>
        <v>9</v>
      </c>
    </row>
    <row r="1881" spans="1:8" x14ac:dyDescent="0.2">
      <c r="A1881" s="71" t="s">
        <v>227</v>
      </c>
      <c r="B1881" s="71" t="s">
        <v>228</v>
      </c>
      <c r="C1881" s="71" t="s">
        <v>39</v>
      </c>
      <c r="D1881" s="88">
        <v>46192.5828819444</v>
      </c>
      <c r="E1881" s="89">
        <v>46192</v>
      </c>
      <c r="F1881" s="71" t="s">
        <v>2090</v>
      </c>
      <c r="G1881" s="71">
        <f t="shared" si="58"/>
        <v>6</v>
      </c>
      <c r="H1881" s="71">
        <f t="shared" si="59"/>
        <v>7</v>
      </c>
    </row>
    <row r="1882" spans="1:8" x14ac:dyDescent="0.2">
      <c r="A1882" s="71" t="s">
        <v>227</v>
      </c>
      <c r="B1882" s="71" t="s">
        <v>228</v>
      </c>
      <c r="C1882" s="71" t="s">
        <v>39</v>
      </c>
      <c r="D1882" s="88">
        <v>46192.583090277803</v>
      </c>
      <c r="E1882" s="89">
        <v>46192</v>
      </c>
      <c r="F1882" s="71" t="s">
        <v>2089</v>
      </c>
      <c r="G1882" s="71">
        <f t="shared" si="58"/>
        <v>6</v>
      </c>
      <c r="H1882" s="71">
        <f t="shared" si="59"/>
        <v>12</v>
      </c>
    </row>
    <row r="1883" spans="1:8" x14ac:dyDescent="0.2">
      <c r="A1883" s="71" t="s">
        <v>227</v>
      </c>
      <c r="B1883" s="71" t="s">
        <v>228</v>
      </c>
      <c r="C1883" s="71" t="s">
        <v>39</v>
      </c>
      <c r="D1883" s="88">
        <v>46192.583310185197</v>
      </c>
      <c r="E1883" s="89">
        <v>46192</v>
      </c>
      <c r="F1883" s="71" t="s">
        <v>2088</v>
      </c>
      <c r="G1883" s="71">
        <f t="shared" si="58"/>
        <v>6</v>
      </c>
      <c r="H1883" s="71">
        <f t="shared" si="59"/>
        <v>9</v>
      </c>
    </row>
    <row r="1884" spans="1:8" x14ac:dyDescent="0.2">
      <c r="A1884" s="71" t="s">
        <v>227</v>
      </c>
      <c r="B1884" s="71" t="s">
        <v>228</v>
      </c>
      <c r="C1884" s="71" t="s">
        <v>39</v>
      </c>
      <c r="D1884" s="88">
        <v>46195.327557870398</v>
      </c>
      <c r="E1884" s="89">
        <v>46195</v>
      </c>
      <c r="F1884" s="71" t="s">
        <v>2098</v>
      </c>
      <c r="G1884" s="71">
        <f t="shared" si="58"/>
        <v>6</v>
      </c>
      <c r="H1884" s="71">
        <f t="shared" si="59"/>
        <v>7</v>
      </c>
    </row>
    <row r="1885" spans="1:8" x14ac:dyDescent="0.2">
      <c r="A1885" s="71" t="s">
        <v>227</v>
      </c>
      <c r="B1885" s="71" t="s">
        <v>228</v>
      </c>
      <c r="C1885" s="71" t="s">
        <v>39</v>
      </c>
      <c r="D1885" s="88">
        <v>46195.375868055598</v>
      </c>
      <c r="E1885" s="89">
        <v>46195</v>
      </c>
      <c r="F1885" s="71" t="s">
        <v>2090</v>
      </c>
      <c r="G1885" s="71">
        <f t="shared" si="58"/>
        <v>6</v>
      </c>
      <c r="H1885" s="71">
        <f t="shared" si="59"/>
        <v>7</v>
      </c>
    </row>
    <row r="1886" spans="1:8" x14ac:dyDescent="0.2">
      <c r="A1886" s="71" t="s">
        <v>227</v>
      </c>
      <c r="B1886" s="71" t="s">
        <v>228</v>
      </c>
      <c r="C1886" s="71" t="s">
        <v>39</v>
      </c>
      <c r="D1886" s="88">
        <v>46195.3820023148</v>
      </c>
      <c r="E1886" s="89">
        <v>46195</v>
      </c>
      <c r="F1886" s="71" t="s">
        <v>2089</v>
      </c>
      <c r="G1886" s="71">
        <f t="shared" si="58"/>
        <v>6</v>
      </c>
      <c r="H1886" s="71">
        <f t="shared" si="59"/>
        <v>12</v>
      </c>
    </row>
    <row r="1887" spans="1:8" x14ac:dyDescent="0.2">
      <c r="A1887" s="71" t="s">
        <v>227</v>
      </c>
      <c r="B1887" s="71" t="s">
        <v>228</v>
      </c>
      <c r="C1887" s="71" t="s">
        <v>39</v>
      </c>
      <c r="D1887" s="88">
        <v>46195.400347222203</v>
      </c>
      <c r="E1887" s="89">
        <v>46195</v>
      </c>
      <c r="F1887" s="71" t="s">
        <v>2088</v>
      </c>
      <c r="G1887" s="71">
        <f t="shared" si="58"/>
        <v>6</v>
      </c>
      <c r="H1887" s="71">
        <f t="shared" si="59"/>
        <v>9</v>
      </c>
    </row>
    <row r="1888" spans="1:8" x14ac:dyDescent="0.2">
      <c r="A1888" s="71" t="s">
        <v>227</v>
      </c>
      <c r="B1888" s="71" t="s">
        <v>228</v>
      </c>
      <c r="C1888" s="71" t="s">
        <v>39</v>
      </c>
      <c r="D1888" s="88">
        <v>46196.625034722201</v>
      </c>
      <c r="E1888" s="89">
        <v>46196</v>
      </c>
      <c r="F1888" s="71" t="s">
        <v>2099</v>
      </c>
      <c r="G1888" s="71">
        <f t="shared" si="58"/>
        <v>6</v>
      </c>
      <c r="H1888" s="71">
        <f t="shared" si="59"/>
        <v>31</v>
      </c>
    </row>
    <row r="1889" spans="1:8" x14ac:dyDescent="0.2">
      <c r="A1889" s="71" t="s">
        <v>227</v>
      </c>
      <c r="B1889" s="71" t="s">
        <v>228</v>
      </c>
      <c r="C1889" s="71" t="s">
        <v>39</v>
      </c>
      <c r="D1889" s="88">
        <v>46196.646932870397</v>
      </c>
      <c r="E1889" s="89">
        <v>46196</v>
      </c>
      <c r="F1889" s="71" t="s">
        <v>2089</v>
      </c>
      <c r="G1889" s="71">
        <f t="shared" si="58"/>
        <v>6</v>
      </c>
      <c r="H1889" s="71">
        <f t="shared" si="59"/>
        <v>12</v>
      </c>
    </row>
    <row r="1890" spans="1:8" x14ac:dyDescent="0.2">
      <c r="A1890" s="71" t="s">
        <v>227</v>
      </c>
      <c r="B1890" s="71" t="s">
        <v>228</v>
      </c>
      <c r="C1890" s="71" t="s">
        <v>39</v>
      </c>
      <c r="D1890" s="88">
        <v>46196.674247685201</v>
      </c>
      <c r="E1890" s="89">
        <v>46196</v>
      </c>
      <c r="F1890" s="71" t="s">
        <v>2088</v>
      </c>
      <c r="G1890" s="71">
        <f t="shared" si="58"/>
        <v>6</v>
      </c>
      <c r="H1890" s="71">
        <f t="shared" si="59"/>
        <v>9</v>
      </c>
    </row>
    <row r="1891" spans="1:8" x14ac:dyDescent="0.2">
      <c r="A1891" s="71" t="s">
        <v>227</v>
      </c>
      <c r="B1891" s="71" t="s">
        <v>228</v>
      </c>
      <c r="C1891" s="71" t="s">
        <v>39</v>
      </c>
      <c r="D1891" s="88">
        <v>46198.383229166699</v>
      </c>
      <c r="E1891" s="89">
        <v>46198</v>
      </c>
      <c r="F1891" s="71" t="s">
        <v>2090</v>
      </c>
      <c r="G1891" s="71">
        <f t="shared" si="58"/>
        <v>6</v>
      </c>
      <c r="H1891" s="71">
        <f t="shared" si="59"/>
        <v>7</v>
      </c>
    </row>
    <row r="1892" spans="1:8" x14ac:dyDescent="0.2">
      <c r="A1892" s="71" t="s">
        <v>227</v>
      </c>
      <c r="B1892" s="71" t="s">
        <v>228</v>
      </c>
      <c r="C1892" s="71" t="s">
        <v>39</v>
      </c>
      <c r="D1892" s="88">
        <v>46198.409907407397</v>
      </c>
      <c r="E1892" s="89">
        <v>46198</v>
      </c>
      <c r="F1892" s="71" t="s">
        <v>2089</v>
      </c>
      <c r="G1892" s="71">
        <f t="shared" si="58"/>
        <v>6</v>
      </c>
      <c r="H1892" s="71">
        <f t="shared" si="59"/>
        <v>12</v>
      </c>
    </row>
    <row r="1893" spans="1:8" x14ac:dyDescent="0.2">
      <c r="A1893" s="71" t="s">
        <v>227</v>
      </c>
      <c r="B1893" s="71" t="s">
        <v>228</v>
      </c>
      <c r="C1893" s="71" t="s">
        <v>39</v>
      </c>
      <c r="D1893" s="88">
        <v>46198.410104166702</v>
      </c>
      <c r="E1893" s="89">
        <v>46198</v>
      </c>
      <c r="F1893" s="71" t="s">
        <v>2088</v>
      </c>
      <c r="G1893" s="71">
        <f t="shared" si="58"/>
        <v>6</v>
      </c>
      <c r="H1893" s="71">
        <f t="shared" si="59"/>
        <v>9</v>
      </c>
    </row>
    <row r="1894" spans="1:8" x14ac:dyDescent="0.2">
      <c r="A1894" s="71" t="s">
        <v>227</v>
      </c>
      <c r="B1894" s="71" t="s">
        <v>228</v>
      </c>
      <c r="C1894" s="71" t="s">
        <v>39</v>
      </c>
      <c r="D1894" s="88">
        <v>46199.369849536997</v>
      </c>
      <c r="E1894" s="89">
        <v>46199</v>
      </c>
      <c r="F1894" s="71" t="s">
        <v>2090</v>
      </c>
      <c r="G1894" s="71">
        <f t="shared" si="58"/>
        <v>6</v>
      </c>
      <c r="H1894" s="71">
        <f t="shared" si="59"/>
        <v>7</v>
      </c>
    </row>
    <row r="1895" spans="1:8" x14ac:dyDescent="0.2">
      <c r="A1895" s="71" t="s">
        <v>227</v>
      </c>
      <c r="B1895" s="71" t="s">
        <v>228</v>
      </c>
      <c r="C1895" s="71" t="s">
        <v>39</v>
      </c>
      <c r="D1895" s="88">
        <v>46202.332766203697</v>
      </c>
      <c r="E1895" s="89">
        <v>46202</v>
      </c>
      <c r="F1895" s="71" t="s">
        <v>2090</v>
      </c>
      <c r="G1895" s="71">
        <f t="shared" si="58"/>
        <v>6</v>
      </c>
      <c r="H1895" s="71">
        <f t="shared" si="59"/>
        <v>7</v>
      </c>
    </row>
    <row r="1896" spans="1:8" x14ac:dyDescent="0.2">
      <c r="A1896" s="71" t="s">
        <v>227</v>
      </c>
      <c r="B1896" s="71" t="s">
        <v>228</v>
      </c>
      <c r="C1896" s="71" t="s">
        <v>39</v>
      </c>
      <c r="D1896" s="88">
        <v>46202.4211111111</v>
      </c>
      <c r="E1896" s="89">
        <v>46202</v>
      </c>
      <c r="F1896" s="71" t="s">
        <v>2089</v>
      </c>
      <c r="G1896" s="71">
        <f t="shared" si="58"/>
        <v>6</v>
      </c>
      <c r="H1896" s="71">
        <f t="shared" si="59"/>
        <v>12</v>
      </c>
    </row>
    <row r="1897" spans="1:8" x14ac:dyDescent="0.2">
      <c r="A1897" s="71" t="s">
        <v>227</v>
      </c>
      <c r="B1897" s="71" t="s">
        <v>228</v>
      </c>
      <c r="C1897" s="71" t="s">
        <v>39</v>
      </c>
      <c r="D1897" s="88">
        <v>46202.4213310185</v>
      </c>
      <c r="E1897" s="89">
        <v>46202</v>
      </c>
      <c r="F1897" s="71" t="s">
        <v>2088</v>
      </c>
      <c r="G1897" s="71">
        <f t="shared" si="58"/>
        <v>6</v>
      </c>
      <c r="H1897" s="71">
        <f t="shared" si="59"/>
        <v>9</v>
      </c>
    </row>
    <row r="1898" spans="1:8" x14ac:dyDescent="0.2">
      <c r="A1898" s="71" t="s">
        <v>227</v>
      </c>
      <c r="B1898" s="71" t="s">
        <v>228</v>
      </c>
      <c r="C1898" s="71" t="s">
        <v>39</v>
      </c>
      <c r="D1898" s="88">
        <v>46205.415972222203</v>
      </c>
      <c r="E1898" s="89">
        <v>46205</v>
      </c>
      <c r="F1898" s="71" t="s">
        <v>2090</v>
      </c>
      <c r="G1898" s="71">
        <f t="shared" si="58"/>
        <v>7</v>
      </c>
      <c r="H1898" s="71">
        <f t="shared" si="59"/>
        <v>7</v>
      </c>
    </row>
    <row r="1899" spans="1:8" x14ac:dyDescent="0.2">
      <c r="A1899" s="71" t="s">
        <v>227</v>
      </c>
      <c r="B1899" s="71" t="s">
        <v>228</v>
      </c>
      <c r="C1899" s="71" t="s">
        <v>39</v>
      </c>
      <c r="D1899" s="88">
        <v>46205.430150462998</v>
      </c>
      <c r="E1899" s="89">
        <v>46205</v>
      </c>
      <c r="F1899" s="71" t="s">
        <v>2089</v>
      </c>
      <c r="G1899" s="71">
        <f t="shared" si="58"/>
        <v>7</v>
      </c>
      <c r="H1899" s="71">
        <f t="shared" si="59"/>
        <v>12</v>
      </c>
    </row>
    <row r="1900" spans="1:8" x14ac:dyDescent="0.2">
      <c r="A1900" s="71" t="s">
        <v>227</v>
      </c>
      <c r="B1900" s="71" t="s">
        <v>228</v>
      </c>
      <c r="C1900" s="71" t="s">
        <v>39</v>
      </c>
      <c r="D1900" s="88">
        <v>46205.454525462999</v>
      </c>
      <c r="E1900" s="89">
        <v>46205</v>
      </c>
      <c r="F1900" s="71" t="s">
        <v>2088</v>
      </c>
      <c r="G1900" s="71">
        <f t="shared" si="58"/>
        <v>7</v>
      </c>
      <c r="H1900" s="71">
        <f t="shared" si="59"/>
        <v>9</v>
      </c>
    </row>
    <row r="1901" spans="1:8" x14ac:dyDescent="0.2">
      <c r="A1901" s="71" t="s">
        <v>227</v>
      </c>
      <c r="B1901" s="71" t="s">
        <v>228</v>
      </c>
      <c r="C1901" s="71" t="s">
        <v>39</v>
      </c>
      <c r="D1901" s="88">
        <v>46206.560578703698</v>
      </c>
      <c r="E1901" s="89">
        <v>46206</v>
      </c>
      <c r="F1901" s="71" t="s">
        <v>2090</v>
      </c>
      <c r="G1901" s="71">
        <f t="shared" si="58"/>
        <v>7</v>
      </c>
      <c r="H1901" s="71">
        <f t="shared" si="59"/>
        <v>7</v>
      </c>
    </row>
    <row r="1902" spans="1:8" x14ac:dyDescent="0.2">
      <c r="A1902" s="71" t="s">
        <v>227</v>
      </c>
      <c r="B1902" s="71" t="s">
        <v>228</v>
      </c>
      <c r="C1902" s="71" t="s">
        <v>39</v>
      </c>
      <c r="D1902" s="88">
        <v>46206.656840277799</v>
      </c>
      <c r="E1902" s="89">
        <v>46206</v>
      </c>
      <c r="F1902" s="71" t="s">
        <v>2100</v>
      </c>
      <c r="G1902" s="71">
        <f t="shared" si="58"/>
        <v>7</v>
      </c>
      <c r="H1902" s="71">
        <f t="shared" si="59"/>
        <v>8</v>
      </c>
    </row>
    <row r="1903" spans="1:8" x14ac:dyDescent="0.2">
      <c r="A1903" s="71" t="s">
        <v>227</v>
      </c>
      <c r="B1903" s="71" t="s">
        <v>228</v>
      </c>
      <c r="C1903" s="71" t="s">
        <v>39</v>
      </c>
      <c r="D1903" s="88">
        <v>46206.657291666699</v>
      </c>
      <c r="E1903" s="89">
        <v>46206</v>
      </c>
      <c r="F1903" s="71" t="s">
        <v>2098</v>
      </c>
      <c r="G1903" s="71">
        <f t="shared" si="58"/>
        <v>7</v>
      </c>
      <c r="H1903" s="71">
        <f t="shared" si="59"/>
        <v>7</v>
      </c>
    </row>
    <row r="1904" spans="1:8" x14ac:dyDescent="0.2">
      <c r="A1904" s="71" t="s">
        <v>227</v>
      </c>
      <c r="B1904" s="71" t="s">
        <v>228</v>
      </c>
      <c r="C1904" s="71" t="s">
        <v>39</v>
      </c>
      <c r="D1904" s="88">
        <v>46209.629606481503</v>
      </c>
      <c r="E1904" s="89">
        <v>46209</v>
      </c>
      <c r="F1904" s="71" t="s">
        <v>2101</v>
      </c>
      <c r="G1904" s="71">
        <f t="shared" si="58"/>
        <v>7</v>
      </c>
      <c r="H1904" s="71">
        <f t="shared" si="59"/>
        <v>23</v>
      </c>
    </row>
    <row r="1905" spans="1:8" x14ac:dyDescent="0.2">
      <c r="A1905" s="71" t="s">
        <v>227</v>
      </c>
      <c r="B1905" s="71" t="s">
        <v>228</v>
      </c>
      <c r="C1905" s="71" t="s">
        <v>39</v>
      </c>
      <c r="D1905" s="88">
        <v>46209.630057870403</v>
      </c>
      <c r="E1905" s="89">
        <v>46209</v>
      </c>
      <c r="F1905" s="71" t="s">
        <v>2090</v>
      </c>
      <c r="G1905" s="71">
        <f t="shared" si="58"/>
        <v>7</v>
      </c>
      <c r="H1905" s="71">
        <f t="shared" si="59"/>
        <v>7</v>
      </c>
    </row>
    <row r="1906" spans="1:8" x14ac:dyDescent="0.2">
      <c r="A1906" s="71" t="s">
        <v>227</v>
      </c>
      <c r="B1906" s="71" t="s">
        <v>228</v>
      </c>
      <c r="C1906" s="71" t="s">
        <v>39</v>
      </c>
      <c r="D1906" s="88">
        <v>46210.601342592599</v>
      </c>
      <c r="E1906" s="89">
        <v>46210</v>
      </c>
      <c r="F1906" s="71" t="s">
        <v>2090</v>
      </c>
      <c r="G1906" s="71">
        <f t="shared" si="58"/>
        <v>7</v>
      </c>
      <c r="H1906" s="71">
        <f t="shared" si="59"/>
        <v>7</v>
      </c>
    </row>
    <row r="1907" spans="1:8" x14ac:dyDescent="0.2">
      <c r="A1907" s="71" t="s">
        <v>227</v>
      </c>
      <c r="B1907" s="71" t="s">
        <v>228</v>
      </c>
      <c r="C1907" s="71" t="s">
        <v>39</v>
      </c>
      <c r="D1907" s="88">
        <v>46210.601631944497</v>
      </c>
      <c r="E1907" s="89">
        <v>46210</v>
      </c>
      <c r="F1907" s="71" t="s">
        <v>2089</v>
      </c>
      <c r="G1907" s="71">
        <f t="shared" si="58"/>
        <v>7</v>
      </c>
      <c r="H1907" s="71">
        <f t="shared" si="59"/>
        <v>12</v>
      </c>
    </row>
    <row r="1908" spans="1:8" x14ac:dyDescent="0.2">
      <c r="A1908" s="71" t="s">
        <v>227</v>
      </c>
      <c r="B1908" s="71" t="s">
        <v>228</v>
      </c>
      <c r="C1908" s="71" t="s">
        <v>39</v>
      </c>
      <c r="D1908" s="88">
        <v>46210.622627314799</v>
      </c>
      <c r="E1908" s="89">
        <v>46210</v>
      </c>
      <c r="F1908" s="71" t="s">
        <v>2088</v>
      </c>
      <c r="G1908" s="71">
        <f t="shared" si="58"/>
        <v>7</v>
      </c>
      <c r="H1908" s="71">
        <f t="shared" si="59"/>
        <v>9</v>
      </c>
    </row>
    <row r="1909" spans="1:8" x14ac:dyDescent="0.2">
      <c r="A1909" s="71" t="s">
        <v>227</v>
      </c>
      <c r="B1909" s="71" t="s">
        <v>228</v>
      </c>
      <c r="C1909" s="71" t="s">
        <v>39</v>
      </c>
      <c r="D1909" s="88">
        <v>46212.608842592599</v>
      </c>
      <c r="E1909" s="89">
        <v>46212</v>
      </c>
      <c r="F1909" s="71" t="s">
        <v>2090</v>
      </c>
      <c r="G1909" s="71">
        <f t="shared" si="58"/>
        <v>7</v>
      </c>
      <c r="H1909" s="71">
        <f t="shared" si="59"/>
        <v>7</v>
      </c>
    </row>
    <row r="1910" spans="1:8" x14ac:dyDescent="0.2">
      <c r="A1910" s="71" t="s">
        <v>227</v>
      </c>
      <c r="B1910" s="71" t="s">
        <v>228</v>
      </c>
      <c r="C1910" s="71" t="s">
        <v>39</v>
      </c>
      <c r="D1910" s="88">
        <v>46212.609074074098</v>
      </c>
      <c r="E1910" s="89">
        <v>46212</v>
      </c>
      <c r="F1910" s="71" t="s">
        <v>2089</v>
      </c>
      <c r="G1910" s="71">
        <f t="shared" si="58"/>
        <v>7</v>
      </c>
      <c r="H1910" s="71">
        <f t="shared" si="59"/>
        <v>12</v>
      </c>
    </row>
    <row r="1911" spans="1:8" x14ac:dyDescent="0.2">
      <c r="A1911" s="71" t="s">
        <v>227</v>
      </c>
      <c r="B1911" s="71" t="s">
        <v>228</v>
      </c>
      <c r="C1911" s="71" t="s">
        <v>39</v>
      </c>
      <c r="D1911" s="88">
        <v>46212.609317129602</v>
      </c>
      <c r="E1911" s="89">
        <v>46212</v>
      </c>
      <c r="F1911" s="71" t="s">
        <v>2088</v>
      </c>
      <c r="G1911" s="71">
        <f t="shared" si="58"/>
        <v>7</v>
      </c>
      <c r="H1911" s="71">
        <f t="shared" si="59"/>
        <v>9</v>
      </c>
    </row>
    <row r="1912" spans="1:8" x14ac:dyDescent="0.2">
      <c r="A1912" s="71" t="s">
        <v>227</v>
      </c>
      <c r="B1912" s="71" t="s">
        <v>228</v>
      </c>
      <c r="C1912" s="71" t="s">
        <v>39</v>
      </c>
      <c r="D1912" s="88">
        <v>46212.609594907401</v>
      </c>
      <c r="E1912" s="89">
        <v>46212</v>
      </c>
      <c r="F1912" s="71" t="s">
        <v>2102</v>
      </c>
      <c r="G1912" s="71">
        <f t="shared" si="58"/>
        <v>7</v>
      </c>
      <c r="H1912" s="71">
        <f t="shared" si="59"/>
        <v>32</v>
      </c>
    </row>
    <row r="1913" spans="1:8" x14ac:dyDescent="0.2">
      <c r="A1913" s="71" t="s">
        <v>227</v>
      </c>
      <c r="B1913" s="71" t="s">
        <v>228</v>
      </c>
      <c r="C1913" s="71" t="s">
        <v>39</v>
      </c>
      <c r="D1913" s="88">
        <v>46213.441967592596</v>
      </c>
      <c r="E1913" s="89">
        <v>46213</v>
      </c>
      <c r="F1913" s="71" t="s">
        <v>2090</v>
      </c>
      <c r="G1913" s="71">
        <f t="shared" si="58"/>
        <v>7</v>
      </c>
      <c r="H1913" s="71">
        <f t="shared" si="59"/>
        <v>7</v>
      </c>
    </row>
    <row r="1914" spans="1:8" x14ac:dyDescent="0.2">
      <c r="A1914" s="71" t="s">
        <v>227</v>
      </c>
      <c r="B1914" s="71" t="s">
        <v>228</v>
      </c>
      <c r="C1914" s="71" t="s">
        <v>39</v>
      </c>
      <c r="D1914" s="88">
        <v>46213.442210648202</v>
      </c>
      <c r="E1914" s="89">
        <v>46213</v>
      </c>
      <c r="F1914" s="71" t="s">
        <v>2089</v>
      </c>
      <c r="G1914" s="71">
        <f t="shared" si="58"/>
        <v>7</v>
      </c>
      <c r="H1914" s="71">
        <f t="shared" si="59"/>
        <v>12</v>
      </c>
    </row>
    <row r="1915" spans="1:8" x14ac:dyDescent="0.2">
      <c r="A1915" s="71" t="s">
        <v>227</v>
      </c>
      <c r="B1915" s="71" t="s">
        <v>228</v>
      </c>
      <c r="C1915" s="71" t="s">
        <v>39</v>
      </c>
      <c r="D1915" s="88">
        <v>46216.560439814799</v>
      </c>
      <c r="E1915" s="89">
        <v>46216</v>
      </c>
      <c r="F1915" s="71" t="s">
        <v>2098</v>
      </c>
      <c r="G1915" s="71">
        <f t="shared" si="58"/>
        <v>7</v>
      </c>
      <c r="H1915" s="71">
        <f t="shared" si="59"/>
        <v>7</v>
      </c>
    </row>
    <row r="1916" spans="1:8" x14ac:dyDescent="0.2">
      <c r="A1916" s="71" t="s">
        <v>227</v>
      </c>
      <c r="B1916" s="71" t="s">
        <v>228</v>
      </c>
      <c r="C1916" s="71" t="s">
        <v>39</v>
      </c>
      <c r="D1916" s="88">
        <v>46216.6893865741</v>
      </c>
      <c r="E1916" s="89">
        <v>46216</v>
      </c>
      <c r="F1916" s="71" t="s">
        <v>2090</v>
      </c>
      <c r="G1916" s="71">
        <f t="shared" si="58"/>
        <v>7</v>
      </c>
      <c r="H1916" s="71">
        <f t="shared" si="59"/>
        <v>7</v>
      </c>
    </row>
    <row r="1917" spans="1:8" x14ac:dyDescent="0.2">
      <c r="A1917" s="71" t="s">
        <v>227</v>
      </c>
      <c r="B1917" s="71" t="s">
        <v>228</v>
      </c>
      <c r="C1917" s="71" t="s">
        <v>39</v>
      </c>
      <c r="D1917" s="88">
        <v>46216.689537036997</v>
      </c>
      <c r="E1917" s="89">
        <v>46216</v>
      </c>
      <c r="F1917" s="71" t="s">
        <v>2089</v>
      </c>
      <c r="G1917" s="71">
        <f t="shared" si="58"/>
        <v>7</v>
      </c>
      <c r="H1917" s="71">
        <f t="shared" si="59"/>
        <v>12</v>
      </c>
    </row>
    <row r="1918" spans="1:8" x14ac:dyDescent="0.2">
      <c r="A1918" s="71" t="s">
        <v>227</v>
      </c>
      <c r="B1918" s="71" t="s">
        <v>228</v>
      </c>
      <c r="C1918" s="71" t="s">
        <v>39</v>
      </c>
      <c r="D1918" s="88">
        <v>46216.689687500002</v>
      </c>
      <c r="E1918" s="89">
        <v>46216</v>
      </c>
      <c r="F1918" s="71" t="s">
        <v>2088</v>
      </c>
      <c r="G1918" s="71">
        <f t="shared" si="58"/>
        <v>7</v>
      </c>
      <c r="H1918" s="71">
        <f t="shared" si="59"/>
        <v>9</v>
      </c>
    </row>
    <row r="1919" spans="1:8" x14ac:dyDescent="0.2">
      <c r="A1919" s="71" t="s">
        <v>227</v>
      </c>
      <c r="B1919" s="71" t="s">
        <v>228</v>
      </c>
      <c r="C1919" s="71" t="s">
        <v>39</v>
      </c>
      <c r="D1919" s="88">
        <v>46219.3742824074</v>
      </c>
      <c r="E1919" s="89">
        <v>46219</v>
      </c>
      <c r="F1919" s="71" t="s">
        <v>2090</v>
      </c>
      <c r="G1919" s="71">
        <f t="shared" si="58"/>
        <v>7</v>
      </c>
      <c r="H1919" s="71">
        <f t="shared" si="59"/>
        <v>7</v>
      </c>
    </row>
    <row r="1920" spans="1:8" x14ac:dyDescent="0.2">
      <c r="A1920" s="71" t="s">
        <v>227</v>
      </c>
      <c r="B1920" s="71" t="s">
        <v>228</v>
      </c>
      <c r="C1920" s="71" t="s">
        <v>39</v>
      </c>
      <c r="D1920" s="88">
        <v>46219.375879629602</v>
      </c>
      <c r="E1920" s="89">
        <v>46219</v>
      </c>
      <c r="F1920" s="71" t="s">
        <v>2089</v>
      </c>
      <c r="G1920" s="71">
        <f t="shared" si="58"/>
        <v>7</v>
      </c>
      <c r="H1920" s="71">
        <f t="shared" si="59"/>
        <v>12</v>
      </c>
    </row>
    <row r="1921" spans="1:8" x14ac:dyDescent="0.2">
      <c r="A1921" s="71" t="s">
        <v>227</v>
      </c>
      <c r="B1921" s="71" t="s">
        <v>228</v>
      </c>
      <c r="C1921" s="71" t="s">
        <v>39</v>
      </c>
      <c r="D1921" s="88">
        <v>46219.387986111098</v>
      </c>
      <c r="E1921" s="89">
        <v>46219</v>
      </c>
      <c r="F1921" s="71" t="s">
        <v>2088</v>
      </c>
      <c r="G1921" s="71">
        <f t="shared" si="58"/>
        <v>7</v>
      </c>
      <c r="H1921" s="71">
        <f t="shared" si="59"/>
        <v>9</v>
      </c>
    </row>
    <row r="1922" spans="1:8" x14ac:dyDescent="0.2">
      <c r="A1922" s="71" t="s">
        <v>227</v>
      </c>
      <c r="B1922" s="71" t="s">
        <v>228</v>
      </c>
      <c r="C1922" s="71" t="s">
        <v>39</v>
      </c>
      <c r="D1922" s="88">
        <v>46219.578368055598</v>
      </c>
      <c r="E1922" s="89">
        <v>46219</v>
      </c>
      <c r="F1922" s="71" t="s">
        <v>2103</v>
      </c>
      <c r="G1922" s="71">
        <f t="shared" ref="G1922:G1985" si="60">MONTH(E1922)</f>
        <v>7</v>
      </c>
      <c r="H1922" s="71">
        <f t="shared" ref="H1922:H1985" si="61">LEN(F1922)</f>
        <v>32</v>
      </c>
    </row>
    <row r="1923" spans="1:8" x14ac:dyDescent="0.2">
      <c r="A1923" s="71" t="s">
        <v>227</v>
      </c>
      <c r="B1923" s="71" t="s">
        <v>228</v>
      </c>
      <c r="C1923" s="71" t="s">
        <v>39</v>
      </c>
      <c r="D1923" s="88">
        <v>46220.3960532407</v>
      </c>
      <c r="E1923" s="89">
        <v>46220</v>
      </c>
      <c r="F1923" s="71" t="s">
        <v>2090</v>
      </c>
      <c r="G1923" s="71">
        <f t="shared" si="60"/>
        <v>7</v>
      </c>
      <c r="H1923" s="71">
        <f t="shared" si="61"/>
        <v>7</v>
      </c>
    </row>
    <row r="1924" spans="1:8" x14ac:dyDescent="0.2">
      <c r="A1924" s="71" t="s">
        <v>227</v>
      </c>
      <c r="B1924" s="71" t="s">
        <v>228</v>
      </c>
      <c r="C1924" s="71" t="s">
        <v>39</v>
      </c>
      <c r="D1924" s="88">
        <v>46220.396828703699</v>
      </c>
      <c r="E1924" s="89">
        <v>46220</v>
      </c>
      <c r="F1924" s="71" t="s">
        <v>2089</v>
      </c>
      <c r="G1924" s="71">
        <f t="shared" si="60"/>
        <v>7</v>
      </c>
      <c r="H1924" s="71">
        <f t="shared" si="61"/>
        <v>12</v>
      </c>
    </row>
    <row r="1925" spans="1:8" x14ac:dyDescent="0.2">
      <c r="A1925" s="71" t="s">
        <v>227</v>
      </c>
      <c r="B1925" s="71" t="s">
        <v>228</v>
      </c>
      <c r="C1925" s="71" t="s">
        <v>39</v>
      </c>
      <c r="D1925" s="88">
        <v>46220.409467592603</v>
      </c>
      <c r="E1925" s="89">
        <v>46220</v>
      </c>
      <c r="F1925" s="71" t="s">
        <v>2088</v>
      </c>
      <c r="G1925" s="71">
        <f t="shared" si="60"/>
        <v>7</v>
      </c>
      <c r="H1925" s="71">
        <f t="shared" si="61"/>
        <v>9</v>
      </c>
    </row>
    <row r="1926" spans="1:8" x14ac:dyDescent="0.2">
      <c r="A1926" s="71" t="s">
        <v>227</v>
      </c>
      <c r="B1926" s="71" t="s">
        <v>228</v>
      </c>
      <c r="C1926" s="71" t="s">
        <v>39</v>
      </c>
      <c r="D1926" s="88">
        <v>46223.309942129599</v>
      </c>
      <c r="E1926" s="89">
        <v>46223</v>
      </c>
      <c r="F1926" s="71" t="s">
        <v>2097</v>
      </c>
      <c r="G1926" s="71">
        <f t="shared" si="60"/>
        <v>7</v>
      </c>
      <c r="H1926" s="71">
        <f t="shared" si="61"/>
        <v>11</v>
      </c>
    </row>
    <row r="1927" spans="1:8" x14ac:dyDescent="0.2">
      <c r="A1927" s="71" t="s">
        <v>227</v>
      </c>
      <c r="B1927" s="71" t="s">
        <v>228</v>
      </c>
      <c r="C1927" s="71" t="s">
        <v>39</v>
      </c>
      <c r="D1927" s="88">
        <v>46223.358310185198</v>
      </c>
      <c r="E1927" s="89">
        <v>46223</v>
      </c>
      <c r="F1927" s="71" t="s">
        <v>2088</v>
      </c>
      <c r="G1927" s="71">
        <f t="shared" si="60"/>
        <v>7</v>
      </c>
      <c r="H1927" s="71">
        <f t="shared" si="61"/>
        <v>9</v>
      </c>
    </row>
    <row r="1928" spans="1:8" x14ac:dyDescent="0.2">
      <c r="A1928" s="71" t="s">
        <v>227</v>
      </c>
      <c r="B1928" s="71" t="s">
        <v>228</v>
      </c>
      <c r="C1928" s="71" t="s">
        <v>39</v>
      </c>
      <c r="D1928" s="88">
        <v>46223.390949074099</v>
      </c>
      <c r="E1928" s="89">
        <v>46223</v>
      </c>
      <c r="F1928" s="71" t="s">
        <v>2104</v>
      </c>
      <c r="G1928" s="71">
        <f t="shared" si="60"/>
        <v>7</v>
      </c>
      <c r="H1928" s="71">
        <f t="shared" si="61"/>
        <v>28</v>
      </c>
    </row>
    <row r="1929" spans="1:8" x14ac:dyDescent="0.2">
      <c r="A1929" s="71" t="s">
        <v>227</v>
      </c>
      <c r="B1929" s="71" t="s">
        <v>228</v>
      </c>
      <c r="C1929" s="71" t="s">
        <v>39</v>
      </c>
      <c r="D1929" s="88">
        <v>46224.357777777797</v>
      </c>
      <c r="E1929" s="89">
        <v>46224</v>
      </c>
      <c r="F1929" s="71" t="s">
        <v>2090</v>
      </c>
      <c r="G1929" s="71">
        <f t="shared" si="60"/>
        <v>7</v>
      </c>
      <c r="H1929" s="71">
        <f t="shared" si="61"/>
        <v>7</v>
      </c>
    </row>
    <row r="1930" spans="1:8" x14ac:dyDescent="0.2">
      <c r="A1930" s="71" t="s">
        <v>227</v>
      </c>
      <c r="B1930" s="71" t="s">
        <v>228</v>
      </c>
      <c r="C1930" s="71" t="s">
        <v>39</v>
      </c>
      <c r="D1930" s="88">
        <v>46224.366030092599</v>
      </c>
      <c r="E1930" s="89">
        <v>46224</v>
      </c>
      <c r="F1930" s="71" t="s">
        <v>2089</v>
      </c>
      <c r="G1930" s="71">
        <f t="shared" si="60"/>
        <v>7</v>
      </c>
      <c r="H1930" s="71">
        <f t="shared" si="61"/>
        <v>12</v>
      </c>
    </row>
    <row r="1931" spans="1:8" x14ac:dyDescent="0.2">
      <c r="A1931" s="71" t="s">
        <v>227</v>
      </c>
      <c r="B1931" s="71" t="s">
        <v>228</v>
      </c>
      <c r="C1931" s="71" t="s">
        <v>39</v>
      </c>
      <c r="D1931" s="88">
        <v>46224.4778240741</v>
      </c>
      <c r="E1931" s="89">
        <v>46224</v>
      </c>
      <c r="F1931" s="71" t="s">
        <v>2105</v>
      </c>
      <c r="G1931" s="71">
        <f t="shared" si="60"/>
        <v>7</v>
      </c>
      <c r="H1931" s="71">
        <f t="shared" si="61"/>
        <v>32</v>
      </c>
    </row>
    <row r="1932" spans="1:8" x14ac:dyDescent="0.2">
      <c r="A1932" s="71" t="s">
        <v>227</v>
      </c>
      <c r="B1932" s="71" t="s">
        <v>228</v>
      </c>
      <c r="C1932" s="71" t="s">
        <v>39</v>
      </c>
      <c r="D1932" s="88">
        <v>46226.467326388898</v>
      </c>
      <c r="E1932" s="89">
        <v>46226</v>
      </c>
      <c r="F1932" s="71" t="s">
        <v>2097</v>
      </c>
      <c r="G1932" s="71">
        <f t="shared" si="60"/>
        <v>7</v>
      </c>
      <c r="H1932" s="71">
        <f t="shared" si="61"/>
        <v>11</v>
      </c>
    </row>
    <row r="1933" spans="1:8" x14ac:dyDescent="0.2">
      <c r="A1933" s="71" t="s">
        <v>227</v>
      </c>
      <c r="B1933" s="71" t="s">
        <v>228</v>
      </c>
      <c r="C1933" s="71" t="s">
        <v>39</v>
      </c>
      <c r="D1933" s="88">
        <v>46226.564097222203</v>
      </c>
      <c r="E1933" s="89">
        <v>46226</v>
      </c>
      <c r="F1933" s="71" t="s">
        <v>2090</v>
      </c>
      <c r="G1933" s="71">
        <f t="shared" si="60"/>
        <v>7</v>
      </c>
      <c r="H1933" s="71">
        <f t="shared" si="61"/>
        <v>7</v>
      </c>
    </row>
    <row r="1934" spans="1:8" x14ac:dyDescent="0.2">
      <c r="A1934" s="71" t="s">
        <v>227</v>
      </c>
      <c r="B1934" s="71" t="s">
        <v>228</v>
      </c>
      <c r="C1934" s="71" t="s">
        <v>39</v>
      </c>
      <c r="D1934" s="88">
        <v>46226.568564814799</v>
      </c>
      <c r="E1934" s="89">
        <v>46226</v>
      </c>
      <c r="F1934" s="71" t="s">
        <v>2089</v>
      </c>
      <c r="G1934" s="71">
        <f t="shared" si="60"/>
        <v>7</v>
      </c>
      <c r="H1934" s="71">
        <f t="shared" si="61"/>
        <v>12</v>
      </c>
    </row>
    <row r="1935" spans="1:8" x14ac:dyDescent="0.2">
      <c r="A1935" s="71" t="s">
        <v>227</v>
      </c>
      <c r="B1935" s="71" t="s">
        <v>228</v>
      </c>
      <c r="C1935" s="71" t="s">
        <v>39</v>
      </c>
      <c r="D1935" s="88">
        <v>46226.583043981504</v>
      </c>
      <c r="E1935" s="89">
        <v>46226</v>
      </c>
      <c r="F1935" s="71" t="s">
        <v>2088</v>
      </c>
      <c r="G1935" s="71">
        <f t="shared" si="60"/>
        <v>7</v>
      </c>
      <c r="H1935" s="71">
        <f t="shared" si="61"/>
        <v>9</v>
      </c>
    </row>
    <row r="1936" spans="1:8" x14ac:dyDescent="0.2">
      <c r="A1936" s="71" t="s">
        <v>227</v>
      </c>
      <c r="B1936" s="71" t="s">
        <v>228</v>
      </c>
      <c r="C1936" s="71" t="s">
        <v>39</v>
      </c>
      <c r="D1936" s="88">
        <v>46227.3680439815</v>
      </c>
      <c r="E1936" s="89">
        <v>46227</v>
      </c>
      <c r="F1936" s="71" t="s">
        <v>2090</v>
      </c>
      <c r="G1936" s="71">
        <f t="shared" si="60"/>
        <v>7</v>
      </c>
      <c r="H1936" s="71">
        <f t="shared" si="61"/>
        <v>7</v>
      </c>
    </row>
    <row r="1937" spans="1:8" x14ac:dyDescent="0.2">
      <c r="A1937" s="71" t="s">
        <v>227</v>
      </c>
      <c r="B1937" s="71" t="s">
        <v>228</v>
      </c>
      <c r="C1937" s="71" t="s">
        <v>39</v>
      </c>
      <c r="D1937" s="88">
        <v>46227.4128472222</v>
      </c>
      <c r="E1937" s="89">
        <v>46227</v>
      </c>
      <c r="F1937" s="71" t="s">
        <v>2089</v>
      </c>
      <c r="G1937" s="71">
        <f t="shared" si="60"/>
        <v>7</v>
      </c>
      <c r="H1937" s="71">
        <f t="shared" si="61"/>
        <v>12</v>
      </c>
    </row>
    <row r="1938" spans="1:8" x14ac:dyDescent="0.2">
      <c r="A1938" s="71" t="s">
        <v>227</v>
      </c>
      <c r="B1938" s="71" t="s">
        <v>228</v>
      </c>
      <c r="C1938" s="71" t="s">
        <v>39</v>
      </c>
      <c r="D1938" s="88">
        <v>46227.426724536999</v>
      </c>
      <c r="E1938" s="89">
        <v>46227</v>
      </c>
      <c r="F1938" s="71" t="s">
        <v>2088</v>
      </c>
      <c r="G1938" s="71">
        <f t="shared" si="60"/>
        <v>7</v>
      </c>
      <c r="H1938" s="71">
        <f t="shared" si="61"/>
        <v>9</v>
      </c>
    </row>
    <row r="1939" spans="1:8" x14ac:dyDescent="0.2">
      <c r="A1939" s="71" t="s">
        <v>227</v>
      </c>
      <c r="B1939" s="71" t="s">
        <v>228</v>
      </c>
      <c r="C1939" s="71" t="s">
        <v>39</v>
      </c>
      <c r="D1939" s="88">
        <v>46230.338391203702</v>
      </c>
      <c r="E1939" s="89">
        <v>46230</v>
      </c>
      <c r="F1939" s="71" t="s">
        <v>2097</v>
      </c>
      <c r="G1939" s="71">
        <f t="shared" si="60"/>
        <v>7</v>
      </c>
      <c r="H1939" s="71">
        <f t="shared" si="61"/>
        <v>11</v>
      </c>
    </row>
    <row r="1940" spans="1:8" x14ac:dyDescent="0.2">
      <c r="A1940" s="71" t="s">
        <v>227</v>
      </c>
      <c r="B1940" s="71" t="s">
        <v>228</v>
      </c>
      <c r="C1940" s="71" t="s">
        <v>39</v>
      </c>
      <c r="D1940" s="88">
        <v>46230.338645833297</v>
      </c>
      <c r="E1940" s="89">
        <v>46230</v>
      </c>
      <c r="F1940" s="71" t="s">
        <v>2090</v>
      </c>
      <c r="G1940" s="71">
        <f t="shared" si="60"/>
        <v>7</v>
      </c>
      <c r="H1940" s="71">
        <f t="shared" si="61"/>
        <v>7</v>
      </c>
    </row>
    <row r="1941" spans="1:8" x14ac:dyDescent="0.2">
      <c r="A1941" s="71" t="s">
        <v>227</v>
      </c>
      <c r="B1941" s="71" t="s">
        <v>228</v>
      </c>
      <c r="C1941" s="71" t="s">
        <v>39</v>
      </c>
      <c r="D1941" s="88">
        <v>46230.341168981497</v>
      </c>
      <c r="E1941" s="89">
        <v>46230</v>
      </c>
      <c r="F1941" s="71" t="s">
        <v>2089</v>
      </c>
      <c r="G1941" s="71">
        <f t="shared" si="60"/>
        <v>7</v>
      </c>
      <c r="H1941" s="71">
        <f t="shared" si="61"/>
        <v>12</v>
      </c>
    </row>
    <row r="1942" spans="1:8" x14ac:dyDescent="0.2">
      <c r="A1942" s="71" t="s">
        <v>227</v>
      </c>
      <c r="B1942" s="71" t="s">
        <v>228</v>
      </c>
      <c r="C1942" s="71" t="s">
        <v>39</v>
      </c>
      <c r="D1942" s="88">
        <v>46231.549780092602</v>
      </c>
      <c r="E1942" s="89">
        <v>46231</v>
      </c>
      <c r="F1942" s="71" t="s">
        <v>2097</v>
      </c>
      <c r="G1942" s="71">
        <f t="shared" si="60"/>
        <v>7</v>
      </c>
      <c r="H1942" s="71">
        <f t="shared" si="61"/>
        <v>11</v>
      </c>
    </row>
    <row r="1943" spans="1:8" x14ac:dyDescent="0.2">
      <c r="A1943" s="71" t="s">
        <v>227</v>
      </c>
      <c r="B1943" s="71" t="s">
        <v>228</v>
      </c>
      <c r="C1943" s="71" t="s">
        <v>39</v>
      </c>
      <c r="D1943" s="88">
        <v>46231.620752314797</v>
      </c>
      <c r="E1943" s="89">
        <v>46231</v>
      </c>
      <c r="F1943" s="71" t="s">
        <v>2106</v>
      </c>
      <c r="G1943" s="71">
        <f t="shared" si="60"/>
        <v>7</v>
      </c>
      <c r="H1943" s="71">
        <f t="shared" si="61"/>
        <v>15</v>
      </c>
    </row>
    <row r="1944" spans="1:8" x14ac:dyDescent="0.2">
      <c r="A1944" s="71" t="s">
        <v>227</v>
      </c>
      <c r="B1944" s="71" t="s">
        <v>228</v>
      </c>
      <c r="C1944" s="71" t="s">
        <v>39</v>
      </c>
      <c r="D1944" s="88">
        <v>46233.378078703703</v>
      </c>
      <c r="E1944" s="89">
        <v>46233</v>
      </c>
      <c r="F1944" s="71" t="s">
        <v>2107</v>
      </c>
      <c r="G1944" s="71">
        <f t="shared" si="60"/>
        <v>7</v>
      </c>
      <c r="H1944" s="71">
        <f t="shared" si="61"/>
        <v>28</v>
      </c>
    </row>
    <row r="1945" spans="1:8" x14ac:dyDescent="0.2">
      <c r="A1945" s="71" t="s">
        <v>227</v>
      </c>
      <c r="B1945" s="71" t="s">
        <v>228</v>
      </c>
      <c r="C1945" s="71" t="s">
        <v>39</v>
      </c>
      <c r="D1945" s="88">
        <v>46233.378240740698</v>
      </c>
      <c r="E1945" s="89">
        <v>46233</v>
      </c>
      <c r="F1945" s="71" t="s">
        <v>2090</v>
      </c>
      <c r="G1945" s="71">
        <f t="shared" si="60"/>
        <v>7</v>
      </c>
      <c r="H1945" s="71">
        <f t="shared" si="61"/>
        <v>7</v>
      </c>
    </row>
    <row r="1946" spans="1:8" x14ac:dyDescent="0.2">
      <c r="A1946" s="71" t="s">
        <v>227</v>
      </c>
      <c r="B1946" s="71" t="s">
        <v>228</v>
      </c>
      <c r="C1946" s="71" t="s">
        <v>39</v>
      </c>
      <c r="D1946" s="88">
        <v>46233.3784606482</v>
      </c>
      <c r="E1946" s="89">
        <v>46233</v>
      </c>
      <c r="F1946" s="71" t="s">
        <v>2089</v>
      </c>
      <c r="G1946" s="71">
        <f t="shared" si="60"/>
        <v>7</v>
      </c>
      <c r="H1946" s="71">
        <f t="shared" si="61"/>
        <v>12</v>
      </c>
    </row>
    <row r="1947" spans="1:8" x14ac:dyDescent="0.2">
      <c r="A1947" s="71" t="s">
        <v>227</v>
      </c>
      <c r="B1947" s="71" t="s">
        <v>228</v>
      </c>
      <c r="C1947" s="71" t="s">
        <v>39</v>
      </c>
      <c r="D1947" s="88">
        <v>46233.378622685203</v>
      </c>
      <c r="E1947" s="89">
        <v>46233</v>
      </c>
      <c r="F1947" s="71" t="s">
        <v>2088</v>
      </c>
      <c r="G1947" s="71">
        <f t="shared" si="60"/>
        <v>7</v>
      </c>
      <c r="H1947" s="71">
        <f t="shared" si="61"/>
        <v>9</v>
      </c>
    </row>
    <row r="1948" spans="1:8" x14ac:dyDescent="0.2">
      <c r="A1948" s="71" t="s">
        <v>227</v>
      </c>
      <c r="B1948" s="71" t="s">
        <v>228</v>
      </c>
      <c r="C1948" s="71" t="s">
        <v>39</v>
      </c>
      <c r="D1948" s="88">
        <v>46233.439456018503</v>
      </c>
      <c r="E1948" s="89">
        <v>46233</v>
      </c>
      <c r="F1948" s="71" t="s">
        <v>2102</v>
      </c>
      <c r="G1948" s="71">
        <f t="shared" si="60"/>
        <v>7</v>
      </c>
      <c r="H1948" s="71">
        <f t="shared" si="61"/>
        <v>32</v>
      </c>
    </row>
    <row r="1949" spans="1:8" x14ac:dyDescent="0.2">
      <c r="A1949" s="71" t="s">
        <v>227</v>
      </c>
      <c r="B1949" s="71" t="s">
        <v>228</v>
      </c>
      <c r="C1949" s="71" t="s">
        <v>39</v>
      </c>
      <c r="D1949" s="88">
        <v>46234.658935185202</v>
      </c>
      <c r="E1949" s="89">
        <v>46234</v>
      </c>
      <c r="F1949" s="71" t="s">
        <v>2090</v>
      </c>
      <c r="G1949" s="71">
        <f t="shared" si="60"/>
        <v>7</v>
      </c>
      <c r="H1949" s="71">
        <f t="shared" si="61"/>
        <v>7</v>
      </c>
    </row>
    <row r="1950" spans="1:8" x14ac:dyDescent="0.2">
      <c r="A1950" s="71" t="s">
        <v>227</v>
      </c>
      <c r="B1950" s="71" t="s">
        <v>228</v>
      </c>
      <c r="C1950" s="71" t="s">
        <v>39</v>
      </c>
      <c r="D1950" s="88">
        <v>46234.659143518496</v>
      </c>
      <c r="E1950" s="89">
        <v>46234</v>
      </c>
      <c r="F1950" s="71" t="s">
        <v>2089</v>
      </c>
      <c r="G1950" s="71">
        <f t="shared" si="60"/>
        <v>7</v>
      </c>
      <c r="H1950" s="71">
        <f t="shared" si="61"/>
        <v>12</v>
      </c>
    </row>
    <row r="1951" spans="1:8" x14ac:dyDescent="0.2">
      <c r="A1951" s="71" t="s">
        <v>227</v>
      </c>
      <c r="B1951" s="71" t="s">
        <v>228</v>
      </c>
      <c r="C1951" s="71" t="s">
        <v>39</v>
      </c>
      <c r="D1951" s="88">
        <v>46234.659317129597</v>
      </c>
      <c r="E1951" s="89">
        <v>46234</v>
      </c>
      <c r="F1951" s="71" t="s">
        <v>2088</v>
      </c>
      <c r="G1951" s="71">
        <f t="shared" si="60"/>
        <v>7</v>
      </c>
      <c r="H1951" s="71">
        <f t="shared" si="61"/>
        <v>9</v>
      </c>
    </row>
    <row r="1952" spans="1:8" x14ac:dyDescent="0.2">
      <c r="A1952" s="71" t="s">
        <v>227</v>
      </c>
      <c r="B1952" s="71" t="s">
        <v>228</v>
      </c>
      <c r="C1952" s="71" t="s">
        <v>39</v>
      </c>
      <c r="D1952" s="88">
        <v>46234.659976851901</v>
      </c>
      <c r="E1952" s="89">
        <v>46234</v>
      </c>
      <c r="F1952" s="71" t="s">
        <v>2108</v>
      </c>
      <c r="G1952" s="71">
        <f t="shared" si="60"/>
        <v>7</v>
      </c>
      <c r="H1952" s="71">
        <f t="shared" si="61"/>
        <v>8</v>
      </c>
    </row>
    <row r="1953" spans="1:8" x14ac:dyDescent="0.2">
      <c r="A1953" s="71" t="s">
        <v>227</v>
      </c>
      <c r="B1953" s="71" t="s">
        <v>228</v>
      </c>
      <c r="C1953" s="71" t="s">
        <v>39</v>
      </c>
      <c r="D1953" s="88">
        <v>46237.606828703698</v>
      </c>
      <c r="E1953" s="89">
        <v>46237</v>
      </c>
      <c r="F1953" s="71" t="s">
        <v>2109</v>
      </c>
      <c r="G1953" s="71">
        <f t="shared" si="60"/>
        <v>8</v>
      </c>
      <c r="H1953" s="71">
        <f t="shared" si="61"/>
        <v>23</v>
      </c>
    </row>
    <row r="1954" spans="1:8" x14ac:dyDescent="0.2">
      <c r="A1954" s="71" t="s">
        <v>227</v>
      </c>
      <c r="B1954" s="71" t="s">
        <v>228</v>
      </c>
      <c r="C1954" s="71" t="s">
        <v>39</v>
      </c>
      <c r="D1954" s="88">
        <v>46237.607025463003</v>
      </c>
      <c r="E1954" s="89">
        <v>46237</v>
      </c>
      <c r="F1954" s="71" t="s">
        <v>2090</v>
      </c>
      <c r="G1954" s="71">
        <f t="shared" si="60"/>
        <v>8</v>
      </c>
      <c r="H1954" s="71">
        <f t="shared" si="61"/>
        <v>7</v>
      </c>
    </row>
    <row r="1955" spans="1:8" x14ac:dyDescent="0.2">
      <c r="A1955" s="71" t="s">
        <v>227</v>
      </c>
      <c r="B1955" s="71" t="s">
        <v>228</v>
      </c>
      <c r="C1955" s="71" t="s">
        <v>39</v>
      </c>
      <c r="D1955" s="88">
        <v>46237.607731481497</v>
      </c>
      <c r="E1955" s="89">
        <v>46237</v>
      </c>
      <c r="F1955" s="71" t="s">
        <v>2089</v>
      </c>
      <c r="G1955" s="71">
        <f t="shared" si="60"/>
        <v>8</v>
      </c>
      <c r="H1955" s="71">
        <f t="shared" si="61"/>
        <v>12</v>
      </c>
    </row>
    <row r="1956" spans="1:8" x14ac:dyDescent="0.2">
      <c r="A1956" s="71" t="s">
        <v>227</v>
      </c>
      <c r="B1956" s="71" t="s">
        <v>228</v>
      </c>
      <c r="C1956" s="71" t="s">
        <v>39</v>
      </c>
      <c r="D1956" s="88">
        <v>46238.360150462999</v>
      </c>
      <c r="E1956" s="89">
        <v>46238</v>
      </c>
      <c r="F1956" s="71" t="s">
        <v>2110</v>
      </c>
      <c r="G1956" s="71">
        <f t="shared" si="60"/>
        <v>8</v>
      </c>
      <c r="H1956" s="71">
        <f t="shared" si="61"/>
        <v>32</v>
      </c>
    </row>
    <row r="1957" spans="1:8" x14ac:dyDescent="0.2">
      <c r="A1957" s="71" t="s">
        <v>227</v>
      </c>
      <c r="B1957" s="71" t="s">
        <v>228</v>
      </c>
      <c r="C1957" s="71" t="s">
        <v>39</v>
      </c>
      <c r="D1957" s="88">
        <v>46238.681875000002</v>
      </c>
      <c r="E1957" s="89">
        <v>46238</v>
      </c>
      <c r="F1957" s="71" t="s">
        <v>2108</v>
      </c>
      <c r="G1957" s="71">
        <f t="shared" si="60"/>
        <v>8</v>
      </c>
      <c r="H1957" s="71">
        <f t="shared" si="61"/>
        <v>8</v>
      </c>
    </row>
    <row r="1958" spans="1:8" x14ac:dyDescent="0.2">
      <c r="A1958" s="71" t="s">
        <v>227</v>
      </c>
      <c r="B1958" s="71" t="s">
        <v>228</v>
      </c>
      <c r="C1958" s="71" t="s">
        <v>39</v>
      </c>
      <c r="D1958" s="88">
        <v>46238.682199074101</v>
      </c>
      <c r="E1958" s="89">
        <v>46238</v>
      </c>
      <c r="F1958" s="71" t="s">
        <v>2098</v>
      </c>
      <c r="G1958" s="71">
        <f t="shared" si="60"/>
        <v>8</v>
      </c>
      <c r="H1958" s="71">
        <f t="shared" si="61"/>
        <v>7</v>
      </c>
    </row>
    <row r="1959" spans="1:8" x14ac:dyDescent="0.2">
      <c r="A1959" s="71" t="s">
        <v>227</v>
      </c>
      <c r="B1959" s="71" t="s">
        <v>228</v>
      </c>
      <c r="C1959" s="71" t="s">
        <v>39</v>
      </c>
      <c r="D1959" s="88">
        <v>46239.376712963</v>
      </c>
      <c r="E1959" s="89">
        <v>46239</v>
      </c>
      <c r="F1959" s="71" t="s">
        <v>2090</v>
      </c>
      <c r="G1959" s="71">
        <f t="shared" si="60"/>
        <v>8</v>
      </c>
      <c r="H1959" s="71">
        <f t="shared" si="61"/>
        <v>7</v>
      </c>
    </row>
    <row r="1960" spans="1:8" x14ac:dyDescent="0.2">
      <c r="A1960" s="71" t="s">
        <v>227</v>
      </c>
      <c r="B1960" s="71" t="s">
        <v>228</v>
      </c>
      <c r="C1960" s="71" t="s">
        <v>39</v>
      </c>
      <c r="D1960" s="88">
        <v>46239.3987962963</v>
      </c>
      <c r="E1960" s="89">
        <v>46239</v>
      </c>
      <c r="F1960" s="71" t="s">
        <v>2088</v>
      </c>
      <c r="G1960" s="71">
        <f t="shared" si="60"/>
        <v>8</v>
      </c>
      <c r="H1960" s="71">
        <f t="shared" si="61"/>
        <v>9</v>
      </c>
    </row>
    <row r="1961" spans="1:8" x14ac:dyDescent="0.2">
      <c r="A1961" s="71" t="s">
        <v>227</v>
      </c>
      <c r="B1961" s="71" t="s">
        <v>228</v>
      </c>
      <c r="C1961" s="71" t="s">
        <v>39</v>
      </c>
      <c r="D1961" s="88">
        <v>46240.336064814801</v>
      </c>
      <c r="E1961" s="89">
        <v>46240</v>
      </c>
      <c r="F1961" s="71" t="s">
        <v>2110</v>
      </c>
      <c r="G1961" s="71">
        <f t="shared" si="60"/>
        <v>8</v>
      </c>
      <c r="H1961" s="71">
        <f t="shared" si="61"/>
        <v>32</v>
      </c>
    </row>
    <row r="1962" spans="1:8" x14ac:dyDescent="0.2">
      <c r="A1962" s="71" t="s">
        <v>227</v>
      </c>
      <c r="B1962" s="71" t="s">
        <v>228</v>
      </c>
      <c r="C1962" s="71" t="s">
        <v>39</v>
      </c>
      <c r="D1962" s="88">
        <v>46240.385173611103</v>
      </c>
      <c r="E1962" s="89">
        <v>46240</v>
      </c>
      <c r="F1962" s="71" t="s">
        <v>2090</v>
      </c>
      <c r="G1962" s="71">
        <f t="shared" si="60"/>
        <v>8</v>
      </c>
      <c r="H1962" s="71">
        <f t="shared" si="61"/>
        <v>7</v>
      </c>
    </row>
    <row r="1963" spans="1:8" x14ac:dyDescent="0.2">
      <c r="A1963" s="71" t="s">
        <v>227</v>
      </c>
      <c r="B1963" s="71" t="s">
        <v>228</v>
      </c>
      <c r="C1963" s="71" t="s">
        <v>39</v>
      </c>
      <c r="D1963" s="88">
        <v>46240.4078240741</v>
      </c>
      <c r="E1963" s="89">
        <v>46240</v>
      </c>
      <c r="F1963" s="71" t="s">
        <v>2111</v>
      </c>
      <c r="G1963" s="71">
        <f t="shared" si="60"/>
        <v>8</v>
      </c>
      <c r="H1963" s="71">
        <f t="shared" si="61"/>
        <v>12</v>
      </c>
    </row>
    <row r="1964" spans="1:8" x14ac:dyDescent="0.2">
      <c r="A1964" s="71" t="s">
        <v>227</v>
      </c>
      <c r="B1964" s="71" t="s">
        <v>228</v>
      </c>
      <c r="C1964" s="71" t="s">
        <v>39</v>
      </c>
      <c r="D1964" s="88">
        <v>46240.568715277797</v>
      </c>
      <c r="E1964" s="89">
        <v>46240</v>
      </c>
      <c r="F1964" s="71" t="s">
        <v>2097</v>
      </c>
      <c r="G1964" s="71">
        <f t="shared" si="60"/>
        <v>8</v>
      </c>
      <c r="H1964" s="71">
        <f t="shared" si="61"/>
        <v>11</v>
      </c>
    </row>
    <row r="1965" spans="1:8" x14ac:dyDescent="0.2">
      <c r="A1965" s="71" t="s">
        <v>227</v>
      </c>
      <c r="B1965" s="71" t="s">
        <v>228</v>
      </c>
      <c r="C1965" s="71" t="s">
        <v>39</v>
      </c>
      <c r="D1965" s="88">
        <v>46241.671319444496</v>
      </c>
      <c r="E1965" s="89">
        <v>46241</v>
      </c>
      <c r="F1965" s="71" t="s">
        <v>2089</v>
      </c>
      <c r="G1965" s="71">
        <f t="shared" si="60"/>
        <v>8</v>
      </c>
      <c r="H1965" s="71">
        <f t="shared" si="61"/>
        <v>12</v>
      </c>
    </row>
    <row r="1966" spans="1:8" x14ac:dyDescent="0.2">
      <c r="A1966" s="71" t="s">
        <v>227</v>
      </c>
      <c r="B1966" s="71" t="s">
        <v>228</v>
      </c>
      <c r="C1966" s="71" t="s">
        <v>39</v>
      </c>
      <c r="D1966" s="88">
        <v>46241.672256944497</v>
      </c>
      <c r="E1966" s="89">
        <v>46241</v>
      </c>
      <c r="F1966" s="71" t="s">
        <v>2088</v>
      </c>
      <c r="G1966" s="71">
        <f t="shared" si="60"/>
        <v>8</v>
      </c>
      <c r="H1966" s="71">
        <f t="shared" si="61"/>
        <v>9</v>
      </c>
    </row>
    <row r="1967" spans="1:8" x14ac:dyDescent="0.2">
      <c r="A1967" s="71" t="s">
        <v>227</v>
      </c>
      <c r="B1967" s="71" t="s">
        <v>228</v>
      </c>
      <c r="C1967" s="71" t="s">
        <v>39</v>
      </c>
      <c r="D1967" s="88">
        <v>46244.377233796302</v>
      </c>
      <c r="E1967" s="89">
        <v>46244</v>
      </c>
      <c r="F1967" s="71" t="s">
        <v>2098</v>
      </c>
      <c r="G1967" s="71">
        <f t="shared" si="60"/>
        <v>8</v>
      </c>
      <c r="H1967" s="71">
        <f t="shared" si="61"/>
        <v>7</v>
      </c>
    </row>
    <row r="1968" spans="1:8" x14ac:dyDescent="0.2">
      <c r="A1968" s="71" t="s">
        <v>227</v>
      </c>
      <c r="B1968" s="71" t="s">
        <v>228</v>
      </c>
      <c r="C1968" s="71" t="s">
        <v>39</v>
      </c>
      <c r="D1968" s="88">
        <v>46244.377627314803</v>
      </c>
      <c r="E1968" s="89">
        <v>46244</v>
      </c>
      <c r="F1968" s="71" t="s">
        <v>2090</v>
      </c>
      <c r="G1968" s="71">
        <f t="shared" si="60"/>
        <v>8</v>
      </c>
      <c r="H1968" s="71">
        <f t="shared" si="61"/>
        <v>7</v>
      </c>
    </row>
    <row r="1969" spans="1:8" x14ac:dyDescent="0.2">
      <c r="A1969" s="71" t="s">
        <v>227</v>
      </c>
      <c r="B1969" s="71" t="s">
        <v>228</v>
      </c>
      <c r="C1969" s="71" t="s">
        <v>39</v>
      </c>
      <c r="D1969" s="88">
        <v>46244.450393518498</v>
      </c>
      <c r="E1969" s="89">
        <v>46244</v>
      </c>
      <c r="F1969" s="71" t="s">
        <v>2088</v>
      </c>
      <c r="G1969" s="71">
        <f t="shared" si="60"/>
        <v>8</v>
      </c>
      <c r="H1969" s="71">
        <f t="shared" si="61"/>
        <v>9</v>
      </c>
    </row>
    <row r="1970" spans="1:8" x14ac:dyDescent="0.2">
      <c r="A1970" s="71" t="s">
        <v>227</v>
      </c>
      <c r="B1970" s="71" t="s">
        <v>228</v>
      </c>
      <c r="C1970" s="71" t="s">
        <v>39</v>
      </c>
      <c r="D1970" s="88">
        <v>46245.594722222202</v>
      </c>
      <c r="E1970" s="89">
        <v>46245</v>
      </c>
      <c r="F1970" s="71" t="s">
        <v>2112</v>
      </c>
      <c r="G1970" s="71">
        <f t="shared" si="60"/>
        <v>8</v>
      </c>
      <c r="H1970" s="71">
        <f t="shared" si="61"/>
        <v>38</v>
      </c>
    </row>
    <row r="1971" spans="1:8" x14ac:dyDescent="0.2">
      <c r="A1971" s="71" t="s">
        <v>227</v>
      </c>
      <c r="B1971" s="71" t="s">
        <v>228</v>
      </c>
      <c r="C1971" s="71" t="s">
        <v>39</v>
      </c>
      <c r="D1971" s="88">
        <v>46245.595092592601</v>
      </c>
      <c r="E1971" s="89">
        <v>46245</v>
      </c>
      <c r="F1971" s="71" t="s">
        <v>2113</v>
      </c>
      <c r="G1971" s="71">
        <f t="shared" si="60"/>
        <v>8</v>
      </c>
      <c r="H1971" s="71">
        <f t="shared" si="61"/>
        <v>7</v>
      </c>
    </row>
    <row r="1972" spans="1:8" x14ac:dyDescent="0.2">
      <c r="A1972" s="71" t="s">
        <v>227</v>
      </c>
      <c r="B1972" s="71" t="s">
        <v>228</v>
      </c>
      <c r="C1972" s="71" t="s">
        <v>39</v>
      </c>
      <c r="D1972" s="88">
        <v>46245.5953703704</v>
      </c>
      <c r="E1972" s="89">
        <v>46245</v>
      </c>
      <c r="F1972" s="71" t="s">
        <v>2089</v>
      </c>
      <c r="G1972" s="71">
        <f t="shared" si="60"/>
        <v>8</v>
      </c>
      <c r="H1972" s="71">
        <f t="shared" si="61"/>
        <v>12</v>
      </c>
    </row>
    <row r="1973" spans="1:8" x14ac:dyDescent="0.2">
      <c r="A1973" s="71" t="s">
        <v>227</v>
      </c>
      <c r="B1973" s="71" t="s">
        <v>228</v>
      </c>
      <c r="C1973" s="71" t="s">
        <v>39</v>
      </c>
      <c r="D1973" s="88">
        <v>46245.5956365741</v>
      </c>
      <c r="E1973" s="89">
        <v>46245</v>
      </c>
      <c r="F1973" s="71" t="s">
        <v>2088</v>
      </c>
      <c r="G1973" s="71">
        <f t="shared" si="60"/>
        <v>8</v>
      </c>
      <c r="H1973" s="71">
        <f t="shared" si="61"/>
        <v>9</v>
      </c>
    </row>
    <row r="1974" spans="1:8" x14ac:dyDescent="0.2">
      <c r="A1974" s="71" t="s">
        <v>227</v>
      </c>
      <c r="B1974" s="71" t="s">
        <v>228</v>
      </c>
      <c r="C1974" s="71" t="s">
        <v>39</v>
      </c>
      <c r="D1974" s="88">
        <v>46246.688900462999</v>
      </c>
      <c r="E1974" s="89">
        <v>46246</v>
      </c>
      <c r="F1974" s="71" t="s">
        <v>2090</v>
      </c>
      <c r="G1974" s="71">
        <f t="shared" si="60"/>
        <v>8</v>
      </c>
      <c r="H1974" s="71">
        <f t="shared" si="61"/>
        <v>7</v>
      </c>
    </row>
    <row r="1975" spans="1:8" x14ac:dyDescent="0.2">
      <c r="A1975" s="71" t="s">
        <v>227</v>
      </c>
      <c r="B1975" s="71" t="s">
        <v>228</v>
      </c>
      <c r="C1975" s="71" t="s">
        <v>39</v>
      </c>
      <c r="D1975" s="88">
        <v>46246.689270833303</v>
      </c>
      <c r="E1975" s="89">
        <v>46246</v>
      </c>
      <c r="F1975" s="71" t="s">
        <v>2089</v>
      </c>
      <c r="G1975" s="71">
        <f t="shared" si="60"/>
        <v>8</v>
      </c>
      <c r="H1975" s="71">
        <f t="shared" si="61"/>
        <v>12</v>
      </c>
    </row>
    <row r="1976" spans="1:8" x14ac:dyDescent="0.2">
      <c r="A1976" s="71" t="s">
        <v>227</v>
      </c>
      <c r="B1976" s="71" t="s">
        <v>228</v>
      </c>
      <c r="C1976" s="71" t="s">
        <v>39</v>
      </c>
      <c r="D1976" s="88">
        <v>46246.689710648199</v>
      </c>
      <c r="E1976" s="89">
        <v>46246</v>
      </c>
      <c r="F1976" s="71" t="s">
        <v>2088</v>
      </c>
      <c r="G1976" s="71">
        <f t="shared" si="60"/>
        <v>8</v>
      </c>
      <c r="H1976" s="71">
        <f t="shared" si="61"/>
        <v>9</v>
      </c>
    </row>
    <row r="1977" spans="1:8" x14ac:dyDescent="0.2">
      <c r="A1977" s="71" t="s">
        <v>227</v>
      </c>
      <c r="B1977" s="71" t="s">
        <v>228</v>
      </c>
      <c r="C1977" s="71" t="s">
        <v>39</v>
      </c>
      <c r="D1977" s="88">
        <v>46246.689965277801</v>
      </c>
      <c r="E1977" s="89">
        <v>46246</v>
      </c>
      <c r="F1977" s="71" t="s">
        <v>2098</v>
      </c>
      <c r="G1977" s="71">
        <f t="shared" si="60"/>
        <v>8</v>
      </c>
      <c r="H1977" s="71">
        <f t="shared" si="61"/>
        <v>7</v>
      </c>
    </row>
    <row r="1978" spans="1:8" x14ac:dyDescent="0.2">
      <c r="A1978" s="71" t="s">
        <v>227</v>
      </c>
      <c r="B1978" s="71" t="s">
        <v>228</v>
      </c>
      <c r="C1978" s="71" t="s">
        <v>39</v>
      </c>
      <c r="D1978" s="88">
        <v>46247.423912036997</v>
      </c>
      <c r="E1978" s="89">
        <v>46247</v>
      </c>
      <c r="F1978" s="71" t="s">
        <v>2098</v>
      </c>
      <c r="G1978" s="71">
        <f t="shared" si="60"/>
        <v>8</v>
      </c>
      <c r="H1978" s="71">
        <f t="shared" si="61"/>
        <v>7</v>
      </c>
    </row>
    <row r="1979" spans="1:8" x14ac:dyDescent="0.2">
      <c r="A1979" s="71" t="s">
        <v>227</v>
      </c>
      <c r="B1979" s="71" t="s">
        <v>228</v>
      </c>
      <c r="C1979" s="71" t="s">
        <v>39</v>
      </c>
      <c r="D1979" s="88">
        <v>46247.424490740697</v>
      </c>
      <c r="E1979" s="89">
        <v>46247</v>
      </c>
      <c r="F1979" s="71" t="s">
        <v>2090</v>
      </c>
      <c r="G1979" s="71">
        <f t="shared" si="60"/>
        <v>8</v>
      </c>
      <c r="H1979" s="71">
        <f t="shared" si="61"/>
        <v>7</v>
      </c>
    </row>
    <row r="1980" spans="1:8" x14ac:dyDescent="0.2">
      <c r="A1980" s="71" t="s">
        <v>227</v>
      </c>
      <c r="B1980" s="71" t="s">
        <v>228</v>
      </c>
      <c r="C1980" s="71" t="s">
        <v>39</v>
      </c>
      <c r="D1980" s="88">
        <v>46248.6828356482</v>
      </c>
      <c r="E1980" s="89">
        <v>46248</v>
      </c>
      <c r="F1980" s="71" t="s">
        <v>2113</v>
      </c>
      <c r="G1980" s="71">
        <f t="shared" si="60"/>
        <v>8</v>
      </c>
      <c r="H1980" s="71">
        <f t="shared" si="61"/>
        <v>7</v>
      </c>
    </row>
    <row r="1981" spans="1:8" x14ac:dyDescent="0.2">
      <c r="A1981" s="71" t="s">
        <v>227</v>
      </c>
      <c r="B1981" s="71" t="s">
        <v>228</v>
      </c>
      <c r="C1981" s="71" t="s">
        <v>39</v>
      </c>
      <c r="D1981" s="88">
        <v>46248.683101851901</v>
      </c>
      <c r="E1981" s="89">
        <v>46248</v>
      </c>
      <c r="F1981" s="71" t="s">
        <v>2088</v>
      </c>
      <c r="G1981" s="71">
        <f t="shared" si="60"/>
        <v>8</v>
      </c>
      <c r="H1981" s="71">
        <f t="shared" si="61"/>
        <v>9</v>
      </c>
    </row>
    <row r="1982" spans="1:8" x14ac:dyDescent="0.2">
      <c r="A1982" s="71" t="s">
        <v>227</v>
      </c>
      <c r="B1982" s="71" t="s">
        <v>228</v>
      </c>
      <c r="C1982" s="71" t="s">
        <v>39</v>
      </c>
      <c r="D1982" s="88">
        <v>46248.683715277803</v>
      </c>
      <c r="E1982" s="89">
        <v>46248</v>
      </c>
      <c r="F1982" s="71" t="s">
        <v>2098</v>
      </c>
      <c r="G1982" s="71">
        <f t="shared" si="60"/>
        <v>8</v>
      </c>
      <c r="H1982" s="71">
        <f t="shared" si="61"/>
        <v>7</v>
      </c>
    </row>
    <row r="1983" spans="1:8" x14ac:dyDescent="0.2">
      <c r="A1983" s="71" t="s">
        <v>227</v>
      </c>
      <c r="B1983" s="71" t="s">
        <v>228</v>
      </c>
      <c r="C1983" s="71" t="s">
        <v>39</v>
      </c>
      <c r="D1983" s="88">
        <v>46252.684282407397</v>
      </c>
      <c r="E1983" s="89">
        <v>46252</v>
      </c>
      <c r="F1983" s="71" t="s">
        <v>2098</v>
      </c>
      <c r="G1983" s="71">
        <f t="shared" si="60"/>
        <v>8</v>
      </c>
      <c r="H1983" s="71">
        <f t="shared" si="61"/>
        <v>7</v>
      </c>
    </row>
    <row r="1984" spans="1:8" x14ac:dyDescent="0.2">
      <c r="A1984" s="71" t="s">
        <v>227</v>
      </c>
      <c r="B1984" s="71" t="s">
        <v>228</v>
      </c>
      <c r="C1984" s="71" t="s">
        <v>39</v>
      </c>
      <c r="D1984" s="88">
        <v>46252.684571759302</v>
      </c>
      <c r="E1984" s="89">
        <v>46252</v>
      </c>
      <c r="F1984" s="71" t="s">
        <v>2090</v>
      </c>
      <c r="G1984" s="71">
        <f t="shared" si="60"/>
        <v>8</v>
      </c>
      <c r="H1984" s="71">
        <f t="shared" si="61"/>
        <v>7</v>
      </c>
    </row>
    <row r="1985" spans="1:8" x14ac:dyDescent="0.2">
      <c r="A1985" s="71" t="s">
        <v>227</v>
      </c>
      <c r="B1985" s="71" t="s">
        <v>228</v>
      </c>
      <c r="C1985" s="71" t="s">
        <v>39</v>
      </c>
      <c r="D1985" s="88">
        <v>46252.684837963003</v>
      </c>
      <c r="E1985" s="89">
        <v>46252</v>
      </c>
      <c r="F1985" s="71" t="s">
        <v>2088</v>
      </c>
      <c r="G1985" s="71">
        <f t="shared" si="60"/>
        <v>8</v>
      </c>
      <c r="H1985" s="71">
        <f t="shared" si="61"/>
        <v>9</v>
      </c>
    </row>
    <row r="1986" spans="1:8" x14ac:dyDescent="0.2">
      <c r="A1986" s="71" t="s">
        <v>227</v>
      </c>
      <c r="B1986" s="71" t="s">
        <v>228</v>
      </c>
      <c r="C1986" s="71" t="s">
        <v>39</v>
      </c>
      <c r="D1986" s="88">
        <v>46253.6642013889</v>
      </c>
      <c r="E1986" s="89">
        <v>46253</v>
      </c>
      <c r="F1986" s="71" t="s">
        <v>2114</v>
      </c>
      <c r="G1986" s="71">
        <f t="shared" ref="G1986:G2049" si="62">MONTH(E1986)</f>
        <v>8</v>
      </c>
      <c r="H1986" s="71">
        <f t="shared" ref="H1986:H2049" si="63">LEN(F1986)</f>
        <v>20</v>
      </c>
    </row>
    <row r="1987" spans="1:8" x14ac:dyDescent="0.2">
      <c r="A1987" s="71" t="s">
        <v>227</v>
      </c>
      <c r="B1987" s="71" t="s">
        <v>228</v>
      </c>
      <c r="C1987" s="71" t="s">
        <v>39</v>
      </c>
      <c r="D1987" s="88">
        <v>46254.388437499998</v>
      </c>
      <c r="E1987" s="89">
        <v>46254</v>
      </c>
      <c r="F1987" s="71" t="s">
        <v>2115</v>
      </c>
      <c r="G1987" s="71">
        <f t="shared" si="62"/>
        <v>8</v>
      </c>
      <c r="H1987" s="71">
        <f t="shared" si="63"/>
        <v>7</v>
      </c>
    </row>
    <row r="1988" spans="1:8" x14ac:dyDescent="0.2">
      <c r="A1988" s="71" t="s">
        <v>227</v>
      </c>
      <c r="B1988" s="71" t="s">
        <v>228</v>
      </c>
      <c r="C1988" s="71" t="s">
        <v>39</v>
      </c>
      <c r="D1988" s="88">
        <v>46254.3887384259</v>
      </c>
      <c r="E1988" s="89">
        <v>46254</v>
      </c>
      <c r="F1988" s="71" t="s">
        <v>2110</v>
      </c>
      <c r="G1988" s="71">
        <f t="shared" si="62"/>
        <v>8</v>
      </c>
      <c r="H1988" s="71">
        <f t="shared" si="63"/>
        <v>32</v>
      </c>
    </row>
    <row r="1989" spans="1:8" x14ac:dyDescent="0.2">
      <c r="A1989" s="71" t="s">
        <v>227</v>
      </c>
      <c r="B1989" s="71" t="s">
        <v>228</v>
      </c>
      <c r="C1989" s="71" t="s">
        <v>39</v>
      </c>
      <c r="D1989" s="88">
        <v>46254.389108796298</v>
      </c>
      <c r="E1989" s="89">
        <v>46254</v>
      </c>
      <c r="F1989" s="71" t="s">
        <v>2090</v>
      </c>
      <c r="G1989" s="71">
        <f t="shared" si="62"/>
        <v>8</v>
      </c>
      <c r="H1989" s="71">
        <f t="shared" si="63"/>
        <v>7</v>
      </c>
    </row>
    <row r="1990" spans="1:8" x14ac:dyDescent="0.2">
      <c r="A1990" s="71" t="s">
        <v>227</v>
      </c>
      <c r="B1990" s="71" t="s">
        <v>228</v>
      </c>
      <c r="C1990" s="71" t="s">
        <v>39</v>
      </c>
      <c r="D1990" s="88">
        <v>46255.361527777801</v>
      </c>
      <c r="E1990" s="89">
        <v>46255</v>
      </c>
      <c r="F1990" s="71" t="s">
        <v>2096</v>
      </c>
      <c r="G1990" s="71">
        <f t="shared" si="62"/>
        <v>8</v>
      </c>
      <c r="H1990" s="71">
        <f t="shared" si="63"/>
        <v>7</v>
      </c>
    </row>
    <row r="1991" spans="1:8" x14ac:dyDescent="0.2">
      <c r="A1991" s="71" t="s">
        <v>227</v>
      </c>
      <c r="B1991" s="71" t="s">
        <v>228</v>
      </c>
      <c r="C1991" s="71" t="s">
        <v>39</v>
      </c>
      <c r="D1991" s="88">
        <v>46258.324791666702</v>
      </c>
      <c r="E1991" s="89">
        <v>46258</v>
      </c>
      <c r="F1991" s="71" t="s">
        <v>2098</v>
      </c>
      <c r="G1991" s="71">
        <f t="shared" si="62"/>
        <v>8</v>
      </c>
      <c r="H1991" s="71">
        <f t="shared" si="63"/>
        <v>7</v>
      </c>
    </row>
    <row r="1992" spans="1:8" x14ac:dyDescent="0.2">
      <c r="A1992" s="71" t="s">
        <v>227</v>
      </c>
      <c r="B1992" s="71" t="s">
        <v>228</v>
      </c>
      <c r="C1992" s="71" t="s">
        <v>39</v>
      </c>
      <c r="D1992" s="88">
        <v>46258.642546296302</v>
      </c>
      <c r="E1992" s="89">
        <v>46258</v>
      </c>
      <c r="F1992" s="71" t="s">
        <v>2104</v>
      </c>
      <c r="G1992" s="71">
        <f t="shared" si="62"/>
        <v>8</v>
      </c>
      <c r="H1992" s="71">
        <f t="shared" si="63"/>
        <v>28</v>
      </c>
    </row>
    <row r="1993" spans="1:8" x14ac:dyDescent="0.2">
      <c r="A1993" s="71" t="s">
        <v>227</v>
      </c>
      <c r="B1993" s="71" t="s">
        <v>228</v>
      </c>
      <c r="C1993" s="71" t="s">
        <v>39</v>
      </c>
      <c r="D1993" s="88">
        <v>46258.6427430556</v>
      </c>
      <c r="E1993" s="89">
        <v>46258</v>
      </c>
      <c r="F1993" s="71" t="s">
        <v>2090</v>
      </c>
      <c r="G1993" s="71">
        <f t="shared" si="62"/>
        <v>8</v>
      </c>
      <c r="H1993" s="71">
        <f t="shared" si="63"/>
        <v>7</v>
      </c>
    </row>
    <row r="1994" spans="1:8" x14ac:dyDescent="0.2">
      <c r="A1994" s="71" t="s">
        <v>227</v>
      </c>
      <c r="B1994" s="71" t="s">
        <v>228</v>
      </c>
      <c r="C1994" s="71" t="s">
        <v>39</v>
      </c>
      <c r="D1994" s="88">
        <v>46258.642962963</v>
      </c>
      <c r="E1994" s="89">
        <v>46258</v>
      </c>
      <c r="F1994" s="71" t="s">
        <v>2089</v>
      </c>
      <c r="G1994" s="71">
        <f t="shared" si="62"/>
        <v>8</v>
      </c>
      <c r="H1994" s="71">
        <f t="shared" si="63"/>
        <v>12</v>
      </c>
    </row>
    <row r="1995" spans="1:8" x14ac:dyDescent="0.2">
      <c r="A1995" s="71" t="s">
        <v>227</v>
      </c>
      <c r="B1995" s="71" t="s">
        <v>228</v>
      </c>
      <c r="C1995" s="71" t="s">
        <v>39</v>
      </c>
      <c r="D1995" s="88">
        <v>46258.643136574101</v>
      </c>
      <c r="E1995" s="89">
        <v>46258</v>
      </c>
      <c r="F1995" s="71" t="s">
        <v>2088</v>
      </c>
      <c r="G1995" s="71">
        <f t="shared" si="62"/>
        <v>8</v>
      </c>
      <c r="H1995" s="71">
        <f t="shared" si="63"/>
        <v>9</v>
      </c>
    </row>
    <row r="1996" spans="1:8" x14ac:dyDescent="0.2">
      <c r="A1996" s="71" t="s">
        <v>227</v>
      </c>
      <c r="B1996" s="71" t="s">
        <v>228</v>
      </c>
      <c r="C1996" s="71" t="s">
        <v>39</v>
      </c>
      <c r="D1996" s="88">
        <v>46260.406840277799</v>
      </c>
      <c r="E1996" s="89">
        <v>46260</v>
      </c>
      <c r="F1996" s="71" t="s">
        <v>2090</v>
      </c>
      <c r="G1996" s="71">
        <f t="shared" si="62"/>
        <v>8</v>
      </c>
      <c r="H1996" s="71">
        <f t="shared" si="63"/>
        <v>7</v>
      </c>
    </row>
    <row r="1997" spans="1:8" x14ac:dyDescent="0.2">
      <c r="A1997" s="71" t="s">
        <v>227</v>
      </c>
      <c r="B1997" s="71" t="s">
        <v>228</v>
      </c>
      <c r="C1997" s="71" t="s">
        <v>39</v>
      </c>
      <c r="D1997" s="88">
        <v>46261.387442129599</v>
      </c>
      <c r="E1997" s="89">
        <v>46261</v>
      </c>
      <c r="F1997" s="71" t="s">
        <v>2090</v>
      </c>
      <c r="G1997" s="71">
        <f t="shared" si="62"/>
        <v>8</v>
      </c>
      <c r="H1997" s="71">
        <f t="shared" si="63"/>
        <v>7</v>
      </c>
    </row>
    <row r="1998" spans="1:8" x14ac:dyDescent="0.2">
      <c r="A1998" s="71" t="s">
        <v>227</v>
      </c>
      <c r="B1998" s="71" t="s">
        <v>228</v>
      </c>
      <c r="C1998" s="71" t="s">
        <v>39</v>
      </c>
      <c r="D1998" s="88">
        <v>46261.404432870397</v>
      </c>
      <c r="E1998" s="89">
        <v>46261</v>
      </c>
      <c r="F1998" s="71" t="s">
        <v>2089</v>
      </c>
      <c r="G1998" s="71">
        <f t="shared" si="62"/>
        <v>8</v>
      </c>
      <c r="H1998" s="71">
        <f t="shared" si="63"/>
        <v>12</v>
      </c>
    </row>
    <row r="1999" spans="1:8" x14ac:dyDescent="0.2">
      <c r="A1999" s="71" t="s">
        <v>227</v>
      </c>
      <c r="B1999" s="71" t="s">
        <v>228</v>
      </c>
      <c r="C1999" s="71" t="s">
        <v>39</v>
      </c>
      <c r="D1999" s="88">
        <v>46261.630185185197</v>
      </c>
      <c r="E1999" s="89">
        <v>46261</v>
      </c>
      <c r="F1999" s="71" t="s">
        <v>2098</v>
      </c>
      <c r="G1999" s="71">
        <f t="shared" si="62"/>
        <v>8</v>
      </c>
      <c r="H1999" s="71">
        <f t="shared" si="63"/>
        <v>7</v>
      </c>
    </row>
    <row r="2000" spans="1:8" x14ac:dyDescent="0.2">
      <c r="A2000" s="71" t="s">
        <v>227</v>
      </c>
      <c r="B2000" s="71" t="s">
        <v>228</v>
      </c>
      <c r="C2000" s="71" t="s">
        <v>39</v>
      </c>
      <c r="D2000" s="88">
        <v>46262.6495138889</v>
      </c>
      <c r="E2000" s="89">
        <v>46262</v>
      </c>
      <c r="F2000" s="71" t="s">
        <v>2088</v>
      </c>
      <c r="G2000" s="71">
        <f t="shared" si="62"/>
        <v>8</v>
      </c>
      <c r="H2000" s="71">
        <f t="shared" si="63"/>
        <v>9</v>
      </c>
    </row>
    <row r="2001" spans="1:8" x14ac:dyDescent="0.2">
      <c r="A2001" s="71" t="s">
        <v>227</v>
      </c>
      <c r="B2001" s="71" t="s">
        <v>228</v>
      </c>
      <c r="C2001" s="71" t="s">
        <v>39</v>
      </c>
      <c r="D2001" s="88">
        <v>46265.588020833296</v>
      </c>
      <c r="E2001" s="89">
        <v>46265</v>
      </c>
      <c r="F2001" s="71" t="s">
        <v>2098</v>
      </c>
      <c r="G2001" s="71">
        <f t="shared" si="62"/>
        <v>8</v>
      </c>
      <c r="H2001" s="71">
        <f t="shared" si="63"/>
        <v>7</v>
      </c>
    </row>
    <row r="2002" spans="1:8" x14ac:dyDescent="0.2">
      <c r="A2002" s="71" t="s">
        <v>227</v>
      </c>
      <c r="B2002" s="71" t="s">
        <v>228</v>
      </c>
      <c r="C2002" s="71" t="s">
        <v>39</v>
      </c>
      <c r="D2002" s="88">
        <v>46265.588206018503</v>
      </c>
      <c r="E2002" s="89">
        <v>46265</v>
      </c>
      <c r="F2002" s="71" t="s">
        <v>2090</v>
      </c>
      <c r="G2002" s="71">
        <f t="shared" si="62"/>
        <v>8</v>
      </c>
      <c r="H2002" s="71">
        <f t="shared" si="63"/>
        <v>7</v>
      </c>
    </row>
    <row r="2003" spans="1:8" x14ac:dyDescent="0.2">
      <c r="A2003" s="71" t="s">
        <v>227</v>
      </c>
      <c r="B2003" s="71" t="s">
        <v>228</v>
      </c>
      <c r="C2003" s="71" t="s">
        <v>39</v>
      </c>
      <c r="D2003" s="88">
        <v>46265.588657407403</v>
      </c>
      <c r="E2003" s="89">
        <v>46265</v>
      </c>
      <c r="F2003" s="71" t="s">
        <v>2089</v>
      </c>
      <c r="G2003" s="71">
        <f t="shared" si="62"/>
        <v>8</v>
      </c>
      <c r="H2003" s="71">
        <f t="shared" si="63"/>
        <v>12</v>
      </c>
    </row>
    <row r="2004" spans="1:8" x14ac:dyDescent="0.2">
      <c r="A2004" s="71" t="s">
        <v>227</v>
      </c>
      <c r="B2004" s="71" t="s">
        <v>228</v>
      </c>
      <c r="C2004" s="71" t="s">
        <v>39</v>
      </c>
      <c r="D2004" s="88">
        <v>46266.668807870403</v>
      </c>
      <c r="E2004" s="89">
        <v>46266</v>
      </c>
      <c r="F2004" s="71" t="s">
        <v>2102</v>
      </c>
      <c r="G2004" s="71">
        <f t="shared" si="62"/>
        <v>9</v>
      </c>
      <c r="H2004" s="71">
        <f t="shared" si="63"/>
        <v>32</v>
      </c>
    </row>
    <row r="2005" spans="1:8" x14ac:dyDescent="0.2">
      <c r="A2005" s="71" t="s">
        <v>227</v>
      </c>
      <c r="B2005" s="71" t="s">
        <v>228</v>
      </c>
      <c r="C2005" s="71" t="s">
        <v>39</v>
      </c>
      <c r="D2005" s="88">
        <v>46267.410231481503</v>
      </c>
      <c r="E2005" s="89">
        <v>46267</v>
      </c>
      <c r="F2005" s="71" t="s">
        <v>2105</v>
      </c>
      <c r="G2005" s="71">
        <f t="shared" si="62"/>
        <v>9</v>
      </c>
      <c r="H2005" s="71">
        <f t="shared" si="63"/>
        <v>32</v>
      </c>
    </row>
    <row r="2006" spans="1:8" x14ac:dyDescent="0.2">
      <c r="A2006" s="71" t="s">
        <v>227</v>
      </c>
      <c r="B2006" s="71" t="s">
        <v>228</v>
      </c>
      <c r="C2006" s="71" t="s">
        <v>39</v>
      </c>
      <c r="D2006" s="88">
        <v>46267.620381944398</v>
      </c>
      <c r="E2006" s="89">
        <v>46267</v>
      </c>
      <c r="F2006" s="71" t="s">
        <v>2090</v>
      </c>
      <c r="G2006" s="71">
        <f t="shared" si="62"/>
        <v>9</v>
      </c>
      <c r="H2006" s="71">
        <f t="shared" si="63"/>
        <v>7</v>
      </c>
    </row>
    <row r="2007" spans="1:8" x14ac:dyDescent="0.2">
      <c r="A2007" s="71" t="s">
        <v>227</v>
      </c>
      <c r="B2007" s="71" t="s">
        <v>228</v>
      </c>
      <c r="C2007" s="71" t="s">
        <v>39</v>
      </c>
      <c r="D2007" s="88">
        <v>46267.676354166702</v>
      </c>
      <c r="E2007" s="89">
        <v>46267</v>
      </c>
      <c r="F2007" s="71" t="s">
        <v>2116</v>
      </c>
      <c r="G2007" s="71">
        <f t="shared" si="62"/>
        <v>9</v>
      </c>
      <c r="H2007" s="71">
        <f t="shared" si="63"/>
        <v>15</v>
      </c>
    </row>
    <row r="2008" spans="1:8" x14ac:dyDescent="0.2">
      <c r="A2008" s="71" t="s">
        <v>227</v>
      </c>
      <c r="B2008" s="71" t="s">
        <v>228</v>
      </c>
      <c r="C2008" s="71" t="s">
        <v>39</v>
      </c>
      <c r="D2008" s="88">
        <v>46268.339895833298</v>
      </c>
      <c r="E2008" s="89">
        <v>46268</v>
      </c>
      <c r="F2008" s="71" t="s">
        <v>2098</v>
      </c>
      <c r="G2008" s="71">
        <f t="shared" si="62"/>
        <v>9</v>
      </c>
      <c r="H2008" s="71">
        <f t="shared" si="63"/>
        <v>7</v>
      </c>
    </row>
    <row r="2009" spans="1:8" x14ac:dyDescent="0.2">
      <c r="A2009" s="71" t="s">
        <v>227</v>
      </c>
      <c r="B2009" s="71" t="s">
        <v>228</v>
      </c>
      <c r="C2009" s="71" t="s">
        <v>39</v>
      </c>
      <c r="D2009" s="88">
        <v>46268.340659722198</v>
      </c>
      <c r="E2009" s="89">
        <v>46268</v>
      </c>
      <c r="F2009" s="71" t="s">
        <v>2090</v>
      </c>
      <c r="G2009" s="71">
        <f t="shared" si="62"/>
        <v>9</v>
      </c>
      <c r="H2009" s="71">
        <f t="shared" si="63"/>
        <v>7</v>
      </c>
    </row>
    <row r="2010" spans="1:8" x14ac:dyDescent="0.2">
      <c r="A2010" s="71" t="s">
        <v>227</v>
      </c>
      <c r="B2010" s="71" t="s">
        <v>228</v>
      </c>
      <c r="C2010" s="71" t="s">
        <v>39</v>
      </c>
      <c r="D2010" s="88">
        <v>46269.347442129598</v>
      </c>
      <c r="E2010" s="89">
        <v>46269</v>
      </c>
      <c r="F2010" s="71" t="s">
        <v>2090</v>
      </c>
      <c r="G2010" s="71">
        <f t="shared" si="62"/>
        <v>9</v>
      </c>
      <c r="H2010" s="71">
        <f t="shared" si="63"/>
        <v>7</v>
      </c>
    </row>
    <row r="2011" spans="1:8" x14ac:dyDescent="0.2">
      <c r="A2011" s="71" t="s">
        <v>227</v>
      </c>
      <c r="B2011" s="71" t="s">
        <v>228</v>
      </c>
      <c r="C2011" s="71" t="s">
        <v>39</v>
      </c>
      <c r="D2011" s="88">
        <v>46269.382708333302</v>
      </c>
      <c r="E2011" s="89">
        <v>46269</v>
      </c>
      <c r="F2011" s="71" t="s">
        <v>2089</v>
      </c>
      <c r="G2011" s="71">
        <f t="shared" si="62"/>
        <v>9</v>
      </c>
      <c r="H2011" s="71">
        <f t="shared" si="63"/>
        <v>12</v>
      </c>
    </row>
    <row r="2012" spans="1:8" x14ac:dyDescent="0.2">
      <c r="A2012" s="71" t="s">
        <v>227</v>
      </c>
      <c r="B2012" s="71" t="s">
        <v>228</v>
      </c>
      <c r="C2012" s="71" t="s">
        <v>39</v>
      </c>
      <c r="D2012" s="88">
        <v>46269.604756944398</v>
      </c>
      <c r="E2012" s="89">
        <v>46269</v>
      </c>
      <c r="F2012" s="71" t="s">
        <v>2088</v>
      </c>
      <c r="G2012" s="71">
        <f t="shared" si="62"/>
        <v>9</v>
      </c>
      <c r="H2012" s="71">
        <f t="shared" si="63"/>
        <v>9</v>
      </c>
    </row>
    <row r="2013" spans="1:8" x14ac:dyDescent="0.2">
      <c r="A2013" s="71" t="s">
        <v>227</v>
      </c>
      <c r="B2013" s="71" t="s">
        <v>228</v>
      </c>
      <c r="C2013" s="71" t="s">
        <v>39</v>
      </c>
      <c r="D2013" s="88">
        <v>46272.407997685201</v>
      </c>
      <c r="E2013" s="89">
        <v>46272</v>
      </c>
      <c r="F2013" s="71" t="s">
        <v>2090</v>
      </c>
      <c r="G2013" s="71">
        <f t="shared" si="62"/>
        <v>9</v>
      </c>
      <c r="H2013" s="71">
        <f t="shared" si="63"/>
        <v>7</v>
      </c>
    </row>
    <row r="2014" spans="1:8" x14ac:dyDescent="0.2">
      <c r="A2014" s="71" t="s">
        <v>227</v>
      </c>
      <c r="B2014" s="71" t="s">
        <v>228</v>
      </c>
      <c r="C2014" s="71" t="s">
        <v>39</v>
      </c>
      <c r="D2014" s="88">
        <v>46273.628402777802</v>
      </c>
      <c r="E2014" s="89">
        <v>46273</v>
      </c>
      <c r="F2014" s="71" t="s">
        <v>2090</v>
      </c>
      <c r="G2014" s="71">
        <f t="shared" si="62"/>
        <v>9</v>
      </c>
      <c r="H2014" s="71">
        <f t="shared" si="63"/>
        <v>7</v>
      </c>
    </row>
    <row r="2015" spans="1:8" x14ac:dyDescent="0.2">
      <c r="A2015" s="71" t="s">
        <v>227</v>
      </c>
      <c r="B2015" s="71" t="s">
        <v>228</v>
      </c>
      <c r="C2015" s="71" t="s">
        <v>39</v>
      </c>
      <c r="D2015" s="88">
        <v>46274.414386574099</v>
      </c>
      <c r="E2015" s="89">
        <v>46274</v>
      </c>
      <c r="F2015" s="71" t="s">
        <v>2089</v>
      </c>
      <c r="G2015" s="71">
        <f t="shared" si="62"/>
        <v>9</v>
      </c>
      <c r="H2015" s="71">
        <f t="shared" si="63"/>
        <v>12</v>
      </c>
    </row>
    <row r="2016" spans="1:8" x14ac:dyDescent="0.2">
      <c r="A2016" s="71" t="s">
        <v>227</v>
      </c>
      <c r="B2016" s="71" t="s">
        <v>228</v>
      </c>
      <c r="C2016" s="71" t="s">
        <v>39</v>
      </c>
      <c r="D2016" s="88">
        <v>46274.672615740703</v>
      </c>
      <c r="E2016" s="89">
        <v>46274</v>
      </c>
      <c r="F2016" s="71" t="s">
        <v>2088</v>
      </c>
      <c r="G2016" s="71">
        <f t="shared" si="62"/>
        <v>9</v>
      </c>
      <c r="H2016" s="71">
        <f t="shared" si="63"/>
        <v>9</v>
      </c>
    </row>
    <row r="2017" spans="1:8" x14ac:dyDescent="0.2">
      <c r="A2017" s="71" t="s">
        <v>227</v>
      </c>
      <c r="B2017" s="71" t="s">
        <v>228</v>
      </c>
      <c r="C2017" s="71" t="s">
        <v>39</v>
      </c>
      <c r="D2017" s="88">
        <v>46275.624467592599</v>
      </c>
      <c r="E2017" s="89">
        <v>46275</v>
      </c>
      <c r="F2017" s="71" t="s">
        <v>2090</v>
      </c>
      <c r="G2017" s="71">
        <f t="shared" si="62"/>
        <v>9</v>
      </c>
      <c r="H2017" s="71">
        <f t="shared" si="63"/>
        <v>7</v>
      </c>
    </row>
    <row r="2018" spans="1:8" x14ac:dyDescent="0.2">
      <c r="A2018" s="71" t="s">
        <v>227</v>
      </c>
      <c r="B2018" s="71" t="s">
        <v>228</v>
      </c>
      <c r="C2018" s="71" t="s">
        <v>39</v>
      </c>
      <c r="D2018" s="88">
        <v>46276.612870370402</v>
      </c>
      <c r="E2018" s="89">
        <v>46276</v>
      </c>
      <c r="F2018" s="71" t="s">
        <v>2098</v>
      </c>
      <c r="G2018" s="71">
        <f t="shared" si="62"/>
        <v>9</v>
      </c>
      <c r="H2018" s="71">
        <f t="shared" si="63"/>
        <v>7</v>
      </c>
    </row>
    <row r="2019" spans="1:8" x14ac:dyDescent="0.2">
      <c r="A2019" s="71" t="s">
        <v>227</v>
      </c>
      <c r="B2019" s="71" t="s">
        <v>228</v>
      </c>
      <c r="C2019" s="71" t="s">
        <v>39</v>
      </c>
      <c r="D2019" s="88">
        <v>46276.613136574102</v>
      </c>
      <c r="E2019" s="89">
        <v>46276</v>
      </c>
      <c r="F2019" s="71" t="s">
        <v>2090</v>
      </c>
      <c r="G2019" s="71">
        <f t="shared" si="62"/>
        <v>9</v>
      </c>
      <c r="H2019" s="71">
        <f t="shared" si="63"/>
        <v>7</v>
      </c>
    </row>
    <row r="2020" spans="1:8" x14ac:dyDescent="0.2">
      <c r="A2020" s="71" t="s">
        <v>227</v>
      </c>
      <c r="B2020" s="71" t="s">
        <v>228</v>
      </c>
      <c r="C2020" s="71" t="s">
        <v>39</v>
      </c>
      <c r="D2020" s="88">
        <v>46279.415011574099</v>
      </c>
      <c r="E2020" s="89">
        <v>46279</v>
      </c>
      <c r="F2020" s="71" t="s">
        <v>2090</v>
      </c>
      <c r="G2020" s="71">
        <f t="shared" si="62"/>
        <v>9</v>
      </c>
      <c r="H2020" s="71">
        <f t="shared" si="63"/>
        <v>7</v>
      </c>
    </row>
    <row r="2021" spans="1:8" x14ac:dyDescent="0.2">
      <c r="A2021" s="71" t="s">
        <v>227</v>
      </c>
      <c r="B2021" s="71" t="s">
        <v>228</v>
      </c>
      <c r="C2021" s="71" t="s">
        <v>39</v>
      </c>
      <c r="D2021" s="88">
        <v>46280.5598032407</v>
      </c>
      <c r="E2021" s="89">
        <v>46280</v>
      </c>
      <c r="F2021" s="71" t="s">
        <v>2089</v>
      </c>
      <c r="G2021" s="71">
        <f t="shared" si="62"/>
        <v>9</v>
      </c>
      <c r="H2021" s="71">
        <f t="shared" si="63"/>
        <v>12</v>
      </c>
    </row>
    <row r="2022" spans="1:8" x14ac:dyDescent="0.2">
      <c r="A2022" s="71" t="s">
        <v>227</v>
      </c>
      <c r="B2022" s="71" t="s">
        <v>228</v>
      </c>
      <c r="C2022" s="71" t="s">
        <v>39</v>
      </c>
      <c r="D2022" s="88">
        <v>46280.560266203698</v>
      </c>
      <c r="E2022" s="89">
        <v>46280</v>
      </c>
      <c r="F2022" s="71" t="s">
        <v>2116</v>
      </c>
      <c r="G2022" s="71">
        <f t="shared" si="62"/>
        <v>9</v>
      </c>
      <c r="H2022" s="71">
        <f t="shared" si="63"/>
        <v>15</v>
      </c>
    </row>
    <row r="2023" spans="1:8" x14ac:dyDescent="0.2">
      <c r="A2023" s="71" t="s">
        <v>227</v>
      </c>
      <c r="B2023" s="71" t="s">
        <v>228</v>
      </c>
      <c r="C2023" s="71" t="s">
        <v>39</v>
      </c>
      <c r="D2023" s="88">
        <v>46281.325543981497</v>
      </c>
      <c r="E2023" s="89">
        <v>46281</v>
      </c>
      <c r="F2023" s="71" t="s">
        <v>2098</v>
      </c>
      <c r="G2023" s="71">
        <f t="shared" si="62"/>
        <v>9</v>
      </c>
      <c r="H2023" s="71">
        <f t="shared" si="63"/>
        <v>7</v>
      </c>
    </row>
    <row r="2024" spans="1:8" x14ac:dyDescent="0.2">
      <c r="A2024" s="71" t="s">
        <v>227</v>
      </c>
      <c r="B2024" s="71" t="s">
        <v>228</v>
      </c>
      <c r="C2024" s="71" t="s">
        <v>39</v>
      </c>
      <c r="D2024" s="88">
        <v>46281.590486111098</v>
      </c>
      <c r="E2024" s="89">
        <v>46281</v>
      </c>
      <c r="F2024" s="71" t="s">
        <v>2117</v>
      </c>
      <c r="G2024" s="71">
        <f t="shared" si="62"/>
        <v>9</v>
      </c>
      <c r="H2024" s="71">
        <f t="shared" si="63"/>
        <v>14</v>
      </c>
    </row>
    <row r="2025" spans="1:8" x14ac:dyDescent="0.2">
      <c r="A2025" s="71" t="s">
        <v>227</v>
      </c>
      <c r="B2025" s="71" t="s">
        <v>228</v>
      </c>
      <c r="C2025" s="71" t="s">
        <v>39</v>
      </c>
      <c r="D2025" s="88">
        <v>46281.590972222199</v>
      </c>
      <c r="E2025" s="89">
        <v>46281</v>
      </c>
      <c r="F2025" s="71" t="s">
        <v>2118</v>
      </c>
      <c r="G2025" s="71">
        <f t="shared" si="62"/>
        <v>9</v>
      </c>
      <c r="H2025" s="71">
        <f t="shared" si="63"/>
        <v>19</v>
      </c>
    </row>
    <row r="2026" spans="1:8" x14ac:dyDescent="0.2">
      <c r="A2026" s="71" t="s">
        <v>227</v>
      </c>
      <c r="B2026" s="71" t="s">
        <v>228</v>
      </c>
      <c r="C2026" s="71" t="s">
        <v>39</v>
      </c>
      <c r="D2026" s="88">
        <v>46281.591203703698</v>
      </c>
      <c r="E2026" s="89">
        <v>46281</v>
      </c>
      <c r="F2026" s="71" t="s">
        <v>2088</v>
      </c>
      <c r="G2026" s="71">
        <f t="shared" si="62"/>
        <v>9</v>
      </c>
      <c r="H2026" s="71">
        <f t="shared" si="63"/>
        <v>9</v>
      </c>
    </row>
    <row r="2027" spans="1:8" x14ac:dyDescent="0.2">
      <c r="A2027" s="71" t="s">
        <v>227</v>
      </c>
      <c r="B2027" s="71" t="s">
        <v>228</v>
      </c>
      <c r="C2027" s="71" t="s">
        <v>39</v>
      </c>
      <c r="D2027" s="88">
        <v>46282.623229166697</v>
      </c>
      <c r="E2027" s="89">
        <v>46282</v>
      </c>
      <c r="F2027" s="71" t="s">
        <v>2098</v>
      </c>
      <c r="G2027" s="71">
        <f t="shared" si="62"/>
        <v>9</v>
      </c>
      <c r="H2027" s="71">
        <f t="shared" si="63"/>
        <v>7</v>
      </c>
    </row>
    <row r="2028" spans="1:8" x14ac:dyDescent="0.2">
      <c r="A2028" s="71" t="s">
        <v>227</v>
      </c>
      <c r="B2028" s="71" t="s">
        <v>228</v>
      </c>
      <c r="C2028" s="71" t="s">
        <v>39</v>
      </c>
      <c r="D2028" s="88">
        <v>46282.623541666697</v>
      </c>
      <c r="E2028" s="89">
        <v>46282</v>
      </c>
      <c r="F2028" s="71" t="s">
        <v>2116</v>
      </c>
      <c r="G2028" s="71">
        <f t="shared" si="62"/>
        <v>9</v>
      </c>
      <c r="H2028" s="71">
        <f t="shared" si="63"/>
        <v>15</v>
      </c>
    </row>
    <row r="2029" spans="1:8" x14ac:dyDescent="0.2">
      <c r="A2029" s="71" t="s">
        <v>227</v>
      </c>
      <c r="B2029" s="71" t="s">
        <v>228</v>
      </c>
      <c r="C2029" s="71" t="s">
        <v>39</v>
      </c>
      <c r="D2029" s="88">
        <v>46282.6241435185</v>
      </c>
      <c r="E2029" s="89">
        <v>46282</v>
      </c>
      <c r="F2029" s="71" t="s">
        <v>2090</v>
      </c>
      <c r="G2029" s="71">
        <f t="shared" si="62"/>
        <v>9</v>
      </c>
      <c r="H2029" s="71">
        <f t="shared" si="63"/>
        <v>7</v>
      </c>
    </row>
    <row r="2030" spans="1:8" x14ac:dyDescent="0.2">
      <c r="A2030" s="71" t="s">
        <v>227</v>
      </c>
      <c r="B2030" s="71" t="s">
        <v>228</v>
      </c>
      <c r="C2030" s="71" t="s">
        <v>39</v>
      </c>
      <c r="D2030" s="88">
        <v>46283.364618055602</v>
      </c>
      <c r="E2030" s="89">
        <v>46283</v>
      </c>
      <c r="F2030" s="71" t="s">
        <v>2090</v>
      </c>
      <c r="G2030" s="71">
        <f t="shared" si="62"/>
        <v>9</v>
      </c>
      <c r="H2030" s="71">
        <f t="shared" si="63"/>
        <v>7</v>
      </c>
    </row>
    <row r="2031" spans="1:8" x14ac:dyDescent="0.2">
      <c r="A2031" s="71" t="s">
        <v>227</v>
      </c>
      <c r="B2031" s="71" t="s">
        <v>228</v>
      </c>
      <c r="C2031" s="71" t="s">
        <v>39</v>
      </c>
      <c r="D2031" s="88">
        <v>46287.668425925898</v>
      </c>
      <c r="E2031" s="89">
        <v>46287</v>
      </c>
      <c r="F2031" s="71" t="s">
        <v>2090</v>
      </c>
      <c r="G2031" s="71">
        <f t="shared" si="62"/>
        <v>9</v>
      </c>
      <c r="H2031" s="71">
        <f t="shared" si="63"/>
        <v>7</v>
      </c>
    </row>
    <row r="2032" spans="1:8" x14ac:dyDescent="0.2">
      <c r="A2032" s="71" t="s">
        <v>227</v>
      </c>
      <c r="B2032" s="71" t="s">
        <v>228</v>
      </c>
      <c r="C2032" s="71" t="s">
        <v>39</v>
      </c>
      <c r="D2032" s="88">
        <v>46287.669236111098</v>
      </c>
      <c r="E2032" s="89">
        <v>46287</v>
      </c>
      <c r="F2032" s="71" t="s">
        <v>2098</v>
      </c>
      <c r="G2032" s="71">
        <f t="shared" si="62"/>
        <v>9</v>
      </c>
      <c r="H2032" s="71">
        <f t="shared" si="63"/>
        <v>7</v>
      </c>
    </row>
    <row r="2033" spans="1:8" x14ac:dyDescent="0.2">
      <c r="A2033" s="71" t="s">
        <v>227</v>
      </c>
      <c r="B2033" s="71" t="s">
        <v>228</v>
      </c>
      <c r="C2033" s="71" t="s">
        <v>39</v>
      </c>
      <c r="D2033" s="88">
        <v>46288.597939814797</v>
      </c>
      <c r="E2033" s="89">
        <v>46288</v>
      </c>
      <c r="F2033" s="71" t="s">
        <v>2088</v>
      </c>
      <c r="G2033" s="71">
        <f t="shared" si="62"/>
        <v>9</v>
      </c>
      <c r="H2033" s="71">
        <f t="shared" si="63"/>
        <v>9</v>
      </c>
    </row>
    <row r="2034" spans="1:8" x14ac:dyDescent="0.2">
      <c r="A2034" s="71" t="s">
        <v>227</v>
      </c>
      <c r="B2034" s="71" t="s">
        <v>228</v>
      </c>
      <c r="C2034" s="71" t="s">
        <v>39</v>
      </c>
      <c r="D2034" s="88">
        <v>46289.6883101852</v>
      </c>
      <c r="E2034" s="89">
        <v>46289</v>
      </c>
      <c r="F2034" s="71" t="s">
        <v>2098</v>
      </c>
      <c r="G2034" s="71">
        <f t="shared" si="62"/>
        <v>9</v>
      </c>
      <c r="H2034" s="71">
        <f t="shared" si="63"/>
        <v>7</v>
      </c>
    </row>
    <row r="2035" spans="1:8" x14ac:dyDescent="0.2">
      <c r="A2035" s="71" t="s">
        <v>227</v>
      </c>
      <c r="B2035" s="71" t="s">
        <v>228</v>
      </c>
      <c r="C2035" s="71" t="s">
        <v>39</v>
      </c>
      <c r="D2035" s="88">
        <v>46290.689085648199</v>
      </c>
      <c r="E2035" s="89">
        <v>46290</v>
      </c>
      <c r="F2035" s="71" t="s">
        <v>2090</v>
      </c>
      <c r="G2035" s="71">
        <f t="shared" si="62"/>
        <v>9</v>
      </c>
      <c r="H2035" s="71">
        <f t="shared" si="63"/>
        <v>7</v>
      </c>
    </row>
    <row r="2036" spans="1:8" x14ac:dyDescent="0.2">
      <c r="A2036" s="71" t="s">
        <v>227</v>
      </c>
      <c r="B2036" s="71" t="s">
        <v>228</v>
      </c>
      <c r="C2036" s="71" t="s">
        <v>39</v>
      </c>
      <c r="D2036" s="88">
        <v>46290.689340277801</v>
      </c>
      <c r="E2036" s="89">
        <v>46290</v>
      </c>
      <c r="F2036" s="71" t="s">
        <v>2089</v>
      </c>
      <c r="G2036" s="71">
        <f t="shared" si="62"/>
        <v>9</v>
      </c>
      <c r="H2036" s="71">
        <f t="shared" si="63"/>
        <v>12</v>
      </c>
    </row>
    <row r="2037" spans="1:8" x14ac:dyDescent="0.2">
      <c r="A2037" s="71" t="s">
        <v>202</v>
      </c>
      <c r="B2037" s="71" t="s">
        <v>203</v>
      </c>
      <c r="C2037" s="71" t="s">
        <v>49</v>
      </c>
      <c r="D2037" s="88">
        <v>46175.689247685201</v>
      </c>
      <c r="E2037" s="89">
        <v>46175</v>
      </c>
      <c r="F2037" s="71" t="s">
        <v>2119</v>
      </c>
      <c r="G2037" s="71">
        <f t="shared" si="62"/>
        <v>6</v>
      </c>
      <c r="H2037" s="71">
        <f t="shared" si="63"/>
        <v>98</v>
      </c>
    </row>
    <row r="2038" spans="1:8" x14ac:dyDescent="0.2">
      <c r="A2038" s="71" t="s">
        <v>202</v>
      </c>
      <c r="B2038" s="71" t="s">
        <v>203</v>
      </c>
      <c r="C2038" s="71" t="s">
        <v>49</v>
      </c>
      <c r="D2038" s="88">
        <v>46177.696585648198</v>
      </c>
      <c r="E2038" s="89">
        <v>46177</v>
      </c>
      <c r="F2038" s="71" t="s">
        <v>2120</v>
      </c>
      <c r="G2038" s="71">
        <f t="shared" si="62"/>
        <v>6</v>
      </c>
      <c r="H2038" s="71">
        <f t="shared" si="63"/>
        <v>94</v>
      </c>
    </row>
    <row r="2039" spans="1:8" x14ac:dyDescent="0.2">
      <c r="A2039" s="71" t="s">
        <v>202</v>
      </c>
      <c r="B2039" s="71" t="s">
        <v>203</v>
      </c>
      <c r="C2039" s="71" t="s">
        <v>49</v>
      </c>
      <c r="D2039" s="88">
        <v>46181.688333333303</v>
      </c>
      <c r="E2039" s="89">
        <v>46181</v>
      </c>
      <c r="F2039" s="71" t="s">
        <v>2121</v>
      </c>
      <c r="G2039" s="71">
        <f t="shared" si="62"/>
        <v>6</v>
      </c>
      <c r="H2039" s="71">
        <f t="shared" si="63"/>
        <v>248</v>
      </c>
    </row>
    <row r="2040" spans="1:8" x14ac:dyDescent="0.2">
      <c r="A2040" s="71" t="s">
        <v>202</v>
      </c>
      <c r="B2040" s="71" t="s">
        <v>203</v>
      </c>
      <c r="C2040" s="71" t="s">
        <v>49</v>
      </c>
      <c r="D2040" s="88">
        <v>46182.687650462998</v>
      </c>
      <c r="E2040" s="89">
        <v>46182</v>
      </c>
      <c r="F2040" s="71" t="s">
        <v>2122</v>
      </c>
      <c r="G2040" s="71">
        <f t="shared" si="62"/>
        <v>6</v>
      </c>
      <c r="H2040" s="71">
        <f t="shared" si="63"/>
        <v>112</v>
      </c>
    </row>
    <row r="2041" spans="1:8" x14ac:dyDescent="0.2">
      <c r="A2041" s="71" t="s">
        <v>202</v>
      </c>
      <c r="B2041" s="71" t="s">
        <v>203</v>
      </c>
      <c r="C2041" s="71" t="s">
        <v>49</v>
      </c>
      <c r="D2041" s="88">
        <v>46183.679525462998</v>
      </c>
      <c r="E2041" s="89">
        <v>46183</v>
      </c>
      <c r="F2041" s="71" t="s">
        <v>2123</v>
      </c>
      <c r="G2041" s="71">
        <f t="shared" si="62"/>
        <v>6</v>
      </c>
      <c r="H2041" s="71">
        <f t="shared" si="63"/>
        <v>167</v>
      </c>
    </row>
    <row r="2042" spans="1:8" x14ac:dyDescent="0.2">
      <c r="A2042" s="71" t="s">
        <v>202</v>
      </c>
      <c r="B2042" s="71" t="s">
        <v>203</v>
      </c>
      <c r="C2042" s="71" t="s">
        <v>49</v>
      </c>
      <c r="D2042" s="88">
        <v>46184.707141203697</v>
      </c>
      <c r="E2042" s="89">
        <v>46184</v>
      </c>
      <c r="F2042" s="71" t="s">
        <v>2124</v>
      </c>
      <c r="G2042" s="71">
        <f t="shared" si="62"/>
        <v>6</v>
      </c>
      <c r="H2042" s="71">
        <f t="shared" si="63"/>
        <v>23</v>
      </c>
    </row>
    <row r="2043" spans="1:8" x14ac:dyDescent="0.2">
      <c r="A2043" s="71" t="s">
        <v>202</v>
      </c>
      <c r="B2043" s="71" t="s">
        <v>203</v>
      </c>
      <c r="C2043" s="71" t="s">
        <v>49</v>
      </c>
      <c r="D2043" s="88">
        <v>46190.689895833297</v>
      </c>
      <c r="E2043" s="89">
        <v>46190</v>
      </c>
      <c r="F2043" s="71" t="s">
        <v>2123</v>
      </c>
      <c r="G2043" s="71">
        <f t="shared" si="62"/>
        <v>6</v>
      </c>
      <c r="H2043" s="71">
        <f t="shared" si="63"/>
        <v>167</v>
      </c>
    </row>
    <row r="2044" spans="1:8" x14ac:dyDescent="0.2">
      <c r="A2044" s="71" t="s">
        <v>202</v>
      </c>
      <c r="B2044" s="71" t="s">
        <v>203</v>
      </c>
      <c r="C2044" s="71" t="s">
        <v>49</v>
      </c>
      <c r="D2044" s="88">
        <v>46191.680219907401</v>
      </c>
      <c r="E2044" s="89">
        <v>46191</v>
      </c>
      <c r="F2044" s="71" t="s">
        <v>2123</v>
      </c>
      <c r="G2044" s="71">
        <f t="shared" si="62"/>
        <v>6</v>
      </c>
      <c r="H2044" s="71">
        <f t="shared" si="63"/>
        <v>167</v>
      </c>
    </row>
    <row r="2045" spans="1:8" x14ac:dyDescent="0.2">
      <c r="A2045" s="71" t="s">
        <v>202</v>
      </c>
      <c r="B2045" s="71" t="s">
        <v>203</v>
      </c>
      <c r="C2045" s="71" t="s">
        <v>49</v>
      </c>
      <c r="D2045" s="88">
        <v>46192.690138888902</v>
      </c>
      <c r="E2045" s="89">
        <v>46192</v>
      </c>
      <c r="F2045" s="71" t="s">
        <v>2123</v>
      </c>
      <c r="G2045" s="71">
        <f t="shared" si="62"/>
        <v>6</v>
      </c>
      <c r="H2045" s="71">
        <f t="shared" si="63"/>
        <v>167</v>
      </c>
    </row>
    <row r="2046" spans="1:8" x14ac:dyDescent="0.2">
      <c r="A2046" s="71" t="s">
        <v>202</v>
      </c>
      <c r="B2046" s="71" t="s">
        <v>203</v>
      </c>
      <c r="C2046" s="71" t="s">
        <v>49</v>
      </c>
      <c r="D2046" s="88">
        <v>46195.6844444444</v>
      </c>
      <c r="E2046" s="89">
        <v>46195</v>
      </c>
      <c r="F2046" s="71" t="s">
        <v>2123</v>
      </c>
      <c r="G2046" s="71">
        <f t="shared" si="62"/>
        <v>6</v>
      </c>
      <c r="H2046" s="71">
        <f t="shared" si="63"/>
        <v>167</v>
      </c>
    </row>
    <row r="2047" spans="1:8" x14ac:dyDescent="0.2">
      <c r="A2047" s="71" t="s">
        <v>202</v>
      </c>
      <c r="B2047" s="71" t="s">
        <v>203</v>
      </c>
      <c r="C2047" s="71" t="s">
        <v>49</v>
      </c>
      <c r="D2047" s="88">
        <v>46196.684537036999</v>
      </c>
      <c r="E2047" s="89">
        <v>46196</v>
      </c>
      <c r="F2047" s="71" t="s">
        <v>2125</v>
      </c>
      <c r="G2047" s="71">
        <f t="shared" si="62"/>
        <v>6</v>
      </c>
      <c r="H2047" s="71">
        <f t="shared" si="63"/>
        <v>107</v>
      </c>
    </row>
    <row r="2048" spans="1:8" x14ac:dyDescent="0.2">
      <c r="A2048" s="71" t="s">
        <v>202</v>
      </c>
      <c r="B2048" s="71" t="s">
        <v>203</v>
      </c>
      <c r="C2048" s="71" t="s">
        <v>49</v>
      </c>
      <c r="D2048" s="88">
        <v>46197.691898148201</v>
      </c>
      <c r="E2048" s="89">
        <v>46197</v>
      </c>
      <c r="F2048" s="71" t="s">
        <v>2126</v>
      </c>
      <c r="G2048" s="71">
        <f t="shared" si="62"/>
        <v>6</v>
      </c>
      <c r="H2048" s="71">
        <f t="shared" si="63"/>
        <v>58</v>
      </c>
    </row>
    <row r="2049" spans="1:8" x14ac:dyDescent="0.2">
      <c r="A2049" s="71" t="s">
        <v>202</v>
      </c>
      <c r="B2049" s="71" t="s">
        <v>203</v>
      </c>
      <c r="C2049" s="71" t="s">
        <v>49</v>
      </c>
      <c r="D2049" s="88">
        <v>46198.689224537004</v>
      </c>
      <c r="E2049" s="89">
        <v>46198</v>
      </c>
      <c r="F2049" s="71" t="s">
        <v>2127</v>
      </c>
      <c r="G2049" s="71">
        <f t="shared" si="62"/>
        <v>6</v>
      </c>
      <c r="H2049" s="71">
        <f t="shared" si="63"/>
        <v>161</v>
      </c>
    </row>
    <row r="2050" spans="1:8" x14ac:dyDescent="0.2">
      <c r="A2050" s="71" t="s">
        <v>202</v>
      </c>
      <c r="B2050" s="71" t="s">
        <v>203</v>
      </c>
      <c r="C2050" s="71" t="s">
        <v>49</v>
      </c>
      <c r="D2050" s="88">
        <v>46199.687164351897</v>
      </c>
      <c r="E2050" s="89">
        <v>46199</v>
      </c>
      <c r="F2050" s="71" t="s">
        <v>2128</v>
      </c>
      <c r="G2050" s="71">
        <f t="shared" ref="G2050:G2113" si="64">MONTH(E2050)</f>
        <v>6</v>
      </c>
      <c r="H2050" s="71">
        <f t="shared" ref="H2050:H2113" si="65">LEN(F2050)</f>
        <v>100</v>
      </c>
    </row>
    <row r="2051" spans="1:8" x14ac:dyDescent="0.2">
      <c r="A2051" s="71" t="s">
        <v>202</v>
      </c>
      <c r="B2051" s="71" t="s">
        <v>203</v>
      </c>
      <c r="C2051" s="71" t="s">
        <v>49</v>
      </c>
      <c r="D2051" s="88">
        <v>46202.685624999998</v>
      </c>
      <c r="E2051" s="89">
        <v>46202</v>
      </c>
      <c r="F2051" s="71" t="s">
        <v>2129</v>
      </c>
      <c r="G2051" s="71">
        <f t="shared" si="64"/>
        <v>6</v>
      </c>
      <c r="H2051" s="71">
        <f t="shared" si="65"/>
        <v>55</v>
      </c>
    </row>
    <row r="2052" spans="1:8" x14ac:dyDescent="0.2">
      <c r="A2052" s="71" t="s">
        <v>202</v>
      </c>
      <c r="B2052" s="71" t="s">
        <v>203</v>
      </c>
      <c r="C2052" s="71" t="s">
        <v>49</v>
      </c>
      <c r="D2052" s="88">
        <v>46204.609375</v>
      </c>
      <c r="E2052" s="89">
        <v>46204</v>
      </c>
      <c r="F2052" s="71" t="s">
        <v>2130</v>
      </c>
      <c r="G2052" s="71">
        <f t="shared" si="64"/>
        <v>7</v>
      </c>
      <c r="H2052" s="71">
        <f t="shared" si="65"/>
        <v>61</v>
      </c>
    </row>
    <row r="2053" spans="1:8" x14ac:dyDescent="0.2">
      <c r="A2053" s="71" t="s">
        <v>202</v>
      </c>
      <c r="B2053" s="71" t="s">
        <v>203</v>
      </c>
      <c r="C2053" s="71" t="s">
        <v>49</v>
      </c>
      <c r="D2053" s="88">
        <v>46204.612500000003</v>
      </c>
      <c r="E2053" s="89">
        <v>46204</v>
      </c>
      <c r="F2053" s="71" t="s">
        <v>2131</v>
      </c>
      <c r="G2053" s="71">
        <f t="shared" si="64"/>
        <v>7</v>
      </c>
      <c r="H2053" s="71">
        <f t="shared" si="65"/>
        <v>79</v>
      </c>
    </row>
    <row r="2054" spans="1:8" x14ac:dyDescent="0.2">
      <c r="A2054" s="71" t="s">
        <v>202</v>
      </c>
      <c r="B2054" s="71" t="s">
        <v>203</v>
      </c>
      <c r="C2054" s="71" t="s">
        <v>49</v>
      </c>
      <c r="D2054" s="88">
        <v>46204.693217592598</v>
      </c>
      <c r="E2054" s="89">
        <v>46204</v>
      </c>
      <c r="F2054" s="71" t="s">
        <v>2132</v>
      </c>
      <c r="G2054" s="71">
        <f t="shared" si="64"/>
        <v>7</v>
      </c>
      <c r="H2054" s="71">
        <f t="shared" si="65"/>
        <v>41</v>
      </c>
    </row>
    <row r="2055" spans="1:8" x14ac:dyDescent="0.2">
      <c r="A2055" s="71" t="s">
        <v>202</v>
      </c>
      <c r="B2055" s="71" t="s">
        <v>203</v>
      </c>
      <c r="C2055" s="71" t="s">
        <v>49</v>
      </c>
      <c r="D2055" s="88">
        <v>46205.682824074102</v>
      </c>
      <c r="E2055" s="89">
        <v>46205</v>
      </c>
      <c r="F2055" s="71" t="s">
        <v>2133</v>
      </c>
      <c r="G2055" s="71">
        <f t="shared" si="64"/>
        <v>7</v>
      </c>
      <c r="H2055" s="71">
        <f t="shared" si="65"/>
        <v>116</v>
      </c>
    </row>
    <row r="2056" spans="1:8" x14ac:dyDescent="0.2">
      <c r="A2056" s="71" t="s">
        <v>202</v>
      </c>
      <c r="B2056" s="71" t="s">
        <v>203</v>
      </c>
      <c r="C2056" s="71" t="s">
        <v>49</v>
      </c>
      <c r="D2056" s="88">
        <v>46206.657951388901</v>
      </c>
      <c r="E2056" s="89">
        <v>46206</v>
      </c>
      <c r="F2056" s="71" t="s">
        <v>2134</v>
      </c>
      <c r="G2056" s="71">
        <f t="shared" si="64"/>
        <v>7</v>
      </c>
      <c r="H2056" s="71">
        <f t="shared" si="65"/>
        <v>36</v>
      </c>
    </row>
    <row r="2057" spans="1:8" x14ac:dyDescent="0.2">
      <c r="A2057" s="71" t="s">
        <v>202</v>
      </c>
      <c r="B2057" s="71" t="s">
        <v>203</v>
      </c>
      <c r="C2057" s="71" t="s">
        <v>49</v>
      </c>
      <c r="D2057" s="88">
        <v>46206.658935185202</v>
      </c>
      <c r="E2057" s="89">
        <v>46206</v>
      </c>
      <c r="F2057" s="71" t="s">
        <v>2135</v>
      </c>
      <c r="G2057" s="71">
        <f t="shared" si="64"/>
        <v>7</v>
      </c>
      <c r="H2057" s="71">
        <f t="shared" si="65"/>
        <v>63</v>
      </c>
    </row>
    <row r="2058" spans="1:8" x14ac:dyDescent="0.2">
      <c r="A2058" s="71" t="s">
        <v>202</v>
      </c>
      <c r="B2058" s="71" t="s">
        <v>203</v>
      </c>
      <c r="C2058" s="71" t="s">
        <v>49</v>
      </c>
      <c r="D2058" s="88">
        <v>46209.693854166697</v>
      </c>
      <c r="E2058" s="89">
        <v>46209</v>
      </c>
      <c r="F2058" s="71" t="s">
        <v>2136</v>
      </c>
      <c r="G2058" s="71">
        <f t="shared" si="64"/>
        <v>7</v>
      </c>
      <c r="H2058" s="71">
        <f t="shared" si="65"/>
        <v>39</v>
      </c>
    </row>
    <row r="2059" spans="1:8" x14ac:dyDescent="0.2">
      <c r="A2059" s="71" t="s">
        <v>202</v>
      </c>
      <c r="B2059" s="71" t="s">
        <v>203</v>
      </c>
      <c r="C2059" s="71" t="s">
        <v>49</v>
      </c>
      <c r="D2059" s="88">
        <v>46209.694884259297</v>
      </c>
      <c r="E2059" s="89">
        <v>46209</v>
      </c>
      <c r="F2059" s="71" t="s">
        <v>2137</v>
      </c>
      <c r="G2059" s="71">
        <f t="shared" si="64"/>
        <v>7</v>
      </c>
      <c r="H2059" s="71">
        <f t="shared" si="65"/>
        <v>56</v>
      </c>
    </row>
    <row r="2060" spans="1:8" x14ac:dyDescent="0.2">
      <c r="A2060" s="71" t="s">
        <v>202</v>
      </c>
      <c r="B2060" s="71" t="s">
        <v>203</v>
      </c>
      <c r="C2060" s="71" t="s">
        <v>49</v>
      </c>
      <c r="D2060" s="88">
        <v>46210.455266203702</v>
      </c>
      <c r="E2060" s="89">
        <v>46210</v>
      </c>
      <c r="F2060" s="71" t="s">
        <v>2138</v>
      </c>
      <c r="G2060" s="71">
        <f t="shared" si="64"/>
        <v>7</v>
      </c>
      <c r="H2060" s="71">
        <f t="shared" si="65"/>
        <v>37</v>
      </c>
    </row>
    <row r="2061" spans="1:8" x14ac:dyDescent="0.2">
      <c r="A2061" s="71" t="s">
        <v>202</v>
      </c>
      <c r="B2061" s="71" t="s">
        <v>203</v>
      </c>
      <c r="C2061" s="71" t="s">
        <v>49</v>
      </c>
      <c r="D2061" s="88">
        <v>46210.5913194444</v>
      </c>
      <c r="E2061" s="89">
        <v>46210</v>
      </c>
      <c r="F2061" s="71" t="s">
        <v>2139</v>
      </c>
      <c r="G2061" s="71">
        <f t="shared" si="64"/>
        <v>7</v>
      </c>
      <c r="H2061" s="71">
        <f t="shared" si="65"/>
        <v>63</v>
      </c>
    </row>
    <row r="2062" spans="1:8" x14ac:dyDescent="0.2">
      <c r="A2062" s="71" t="s">
        <v>202</v>
      </c>
      <c r="B2062" s="71" t="s">
        <v>203</v>
      </c>
      <c r="C2062" s="71" t="s">
        <v>49</v>
      </c>
      <c r="D2062" s="88">
        <v>46210.686990740702</v>
      </c>
      <c r="E2062" s="89">
        <v>46210</v>
      </c>
      <c r="F2062" s="71" t="s">
        <v>2140</v>
      </c>
      <c r="G2062" s="71">
        <f t="shared" si="64"/>
        <v>7</v>
      </c>
      <c r="H2062" s="71">
        <f t="shared" si="65"/>
        <v>28</v>
      </c>
    </row>
    <row r="2063" spans="1:8" x14ac:dyDescent="0.2">
      <c r="A2063" s="71" t="s">
        <v>202</v>
      </c>
      <c r="B2063" s="71" t="s">
        <v>203</v>
      </c>
      <c r="C2063" s="71" t="s">
        <v>49</v>
      </c>
      <c r="D2063" s="88">
        <v>46211.691736111097</v>
      </c>
      <c r="E2063" s="89">
        <v>46211</v>
      </c>
      <c r="F2063" s="71" t="s">
        <v>2141</v>
      </c>
      <c r="G2063" s="71">
        <f t="shared" si="64"/>
        <v>7</v>
      </c>
      <c r="H2063" s="71">
        <f t="shared" si="65"/>
        <v>48</v>
      </c>
    </row>
    <row r="2064" spans="1:8" x14ac:dyDescent="0.2">
      <c r="A2064" s="71" t="s">
        <v>202</v>
      </c>
      <c r="B2064" s="71" t="s">
        <v>203</v>
      </c>
      <c r="C2064" s="71" t="s">
        <v>49</v>
      </c>
      <c r="D2064" s="88">
        <v>46212.687175925901</v>
      </c>
      <c r="E2064" s="89">
        <v>46212</v>
      </c>
      <c r="F2064" s="71" t="s">
        <v>2142</v>
      </c>
      <c r="G2064" s="71">
        <f t="shared" si="64"/>
        <v>7</v>
      </c>
      <c r="H2064" s="71">
        <f t="shared" si="65"/>
        <v>105</v>
      </c>
    </row>
    <row r="2065" spans="1:8" x14ac:dyDescent="0.2">
      <c r="A2065" s="71" t="s">
        <v>202</v>
      </c>
      <c r="B2065" s="71" t="s">
        <v>203</v>
      </c>
      <c r="C2065" s="71" t="s">
        <v>49</v>
      </c>
      <c r="D2065" s="88">
        <v>46212.687847222202</v>
      </c>
      <c r="E2065" s="89">
        <v>46212</v>
      </c>
      <c r="F2065" s="71" t="s">
        <v>2143</v>
      </c>
      <c r="G2065" s="71">
        <f t="shared" si="64"/>
        <v>7</v>
      </c>
      <c r="H2065" s="71">
        <f t="shared" si="65"/>
        <v>48</v>
      </c>
    </row>
    <row r="2066" spans="1:8" x14ac:dyDescent="0.2">
      <c r="A2066" s="71" t="s">
        <v>202</v>
      </c>
      <c r="B2066" s="71" t="s">
        <v>203</v>
      </c>
      <c r="C2066" s="71" t="s">
        <v>49</v>
      </c>
      <c r="D2066" s="88">
        <v>46213.676273148201</v>
      </c>
      <c r="E2066" s="89">
        <v>46213</v>
      </c>
      <c r="F2066" s="71" t="s">
        <v>2144</v>
      </c>
      <c r="G2066" s="71">
        <f t="shared" si="64"/>
        <v>7</v>
      </c>
      <c r="H2066" s="71">
        <f t="shared" si="65"/>
        <v>79</v>
      </c>
    </row>
    <row r="2067" spans="1:8" x14ac:dyDescent="0.2">
      <c r="A2067" s="71" t="s">
        <v>202</v>
      </c>
      <c r="B2067" s="71" t="s">
        <v>203</v>
      </c>
      <c r="C2067" s="71" t="s">
        <v>49</v>
      </c>
      <c r="D2067" s="88">
        <v>46213.676689814798</v>
      </c>
      <c r="E2067" s="89">
        <v>46213</v>
      </c>
      <c r="F2067" s="71" t="s">
        <v>2145</v>
      </c>
      <c r="G2067" s="71">
        <f t="shared" si="64"/>
        <v>7</v>
      </c>
      <c r="H2067" s="71">
        <f t="shared" si="65"/>
        <v>48</v>
      </c>
    </row>
    <row r="2068" spans="1:8" x14ac:dyDescent="0.2">
      <c r="A2068" s="71" t="s">
        <v>202</v>
      </c>
      <c r="B2068" s="71" t="s">
        <v>203</v>
      </c>
      <c r="C2068" s="71" t="s">
        <v>49</v>
      </c>
      <c r="D2068" s="88">
        <v>46213.677071759303</v>
      </c>
      <c r="E2068" s="89">
        <v>46213</v>
      </c>
      <c r="F2068" s="71" t="s">
        <v>2146</v>
      </c>
      <c r="G2068" s="71">
        <f t="shared" si="64"/>
        <v>7</v>
      </c>
      <c r="H2068" s="71">
        <f t="shared" si="65"/>
        <v>66</v>
      </c>
    </row>
    <row r="2069" spans="1:8" x14ac:dyDescent="0.2">
      <c r="A2069" s="71" t="s">
        <v>202</v>
      </c>
      <c r="B2069" s="71" t="s">
        <v>203</v>
      </c>
      <c r="C2069" s="71" t="s">
        <v>49</v>
      </c>
      <c r="D2069" s="88">
        <v>46213.677789351903</v>
      </c>
      <c r="E2069" s="89">
        <v>46213</v>
      </c>
      <c r="F2069" s="71" t="s">
        <v>2142</v>
      </c>
      <c r="G2069" s="71">
        <f t="shared" si="64"/>
        <v>7</v>
      </c>
      <c r="H2069" s="71">
        <f t="shared" si="65"/>
        <v>105</v>
      </c>
    </row>
    <row r="2070" spans="1:8" x14ac:dyDescent="0.2">
      <c r="A2070" s="71" t="s">
        <v>202</v>
      </c>
      <c r="B2070" s="71" t="s">
        <v>203</v>
      </c>
      <c r="C2070" s="71" t="s">
        <v>49</v>
      </c>
      <c r="D2070" s="88">
        <v>46216.656319444497</v>
      </c>
      <c r="E2070" s="89">
        <v>46216</v>
      </c>
      <c r="F2070" s="71" t="s">
        <v>2145</v>
      </c>
      <c r="G2070" s="71">
        <f t="shared" si="64"/>
        <v>7</v>
      </c>
      <c r="H2070" s="71">
        <f t="shared" si="65"/>
        <v>48</v>
      </c>
    </row>
    <row r="2071" spans="1:8" x14ac:dyDescent="0.2">
      <c r="A2071" s="71" t="s">
        <v>202</v>
      </c>
      <c r="B2071" s="71" t="s">
        <v>203</v>
      </c>
      <c r="C2071" s="71" t="s">
        <v>49</v>
      </c>
      <c r="D2071" s="88">
        <v>46216.659930555601</v>
      </c>
      <c r="E2071" s="89">
        <v>46216</v>
      </c>
      <c r="F2071" s="71" t="s">
        <v>2144</v>
      </c>
      <c r="G2071" s="71">
        <f t="shared" si="64"/>
        <v>7</v>
      </c>
      <c r="H2071" s="71">
        <f t="shared" si="65"/>
        <v>79</v>
      </c>
    </row>
    <row r="2072" spans="1:8" x14ac:dyDescent="0.2">
      <c r="A2072" s="71" t="s">
        <v>202</v>
      </c>
      <c r="B2072" s="71" t="s">
        <v>203</v>
      </c>
      <c r="C2072" s="71" t="s">
        <v>49</v>
      </c>
      <c r="D2072" s="88">
        <v>46216.684594907398</v>
      </c>
      <c r="E2072" s="89">
        <v>46216</v>
      </c>
      <c r="F2072" s="71" t="s">
        <v>2142</v>
      </c>
      <c r="G2072" s="71">
        <f t="shared" si="64"/>
        <v>7</v>
      </c>
      <c r="H2072" s="71">
        <f t="shared" si="65"/>
        <v>105</v>
      </c>
    </row>
    <row r="2073" spans="1:8" x14ac:dyDescent="0.2">
      <c r="A2073" s="71" t="s">
        <v>202</v>
      </c>
      <c r="B2073" s="71" t="s">
        <v>203</v>
      </c>
      <c r="C2073" s="71" t="s">
        <v>49</v>
      </c>
      <c r="D2073" s="88">
        <v>46217.677766203698</v>
      </c>
      <c r="E2073" s="89">
        <v>46217</v>
      </c>
      <c r="F2073" s="71" t="s">
        <v>2145</v>
      </c>
      <c r="G2073" s="71">
        <f t="shared" si="64"/>
        <v>7</v>
      </c>
      <c r="H2073" s="71">
        <f t="shared" si="65"/>
        <v>48</v>
      </c>
    </row>
    <row r="2074" spans="1:8" x14ac:dyDescent="0.2">
      <c r="A2074" s="71" t="s">
        <v>202</v>
      </c>
      <c r="B2074" s="71" t="s">
        <v>203</v>
      </c>
      <c r="C2074" s="71" t="s">
        <v>49</v>
      </c>
      <c r="D2074" s="88">
        <v>46217.678136574097</v>
      </c>
      <c r="E2074" s="89">
        <v>46217</v>
      </c>
      <c r="F2074" s="71" t="s">
        <v>2142</v>
      </c>
      <c r="G2074" s="71">
        <f t="shared" si="64"/>
        <v>7</v>
      </c>
      <c r="H2074" s="71">
        <f t="shared" si="65"/>
        <v>105</v>
      </c>
    </row>
    <row r="2075" spans="1:8" x14ac:dyDescent="0.2">
      <c r="A2075" s="71" t="s">
        <v>202</v>
      </c>
      <c r="B2075" s="71" t="s">
        <v>203</v>
      </c>
      <c r="C2075" s="71" t="s">
        <v>49</v>
      </c>
      <c r="D2075" s="88">
        <v>46219.652453703697</v>
      </c>
      <c r="E2075" s="89">
        <v>46219</v>
      </c>
      <c r="F2075" s="71" t="s">
        <v>2147</v>
      </c>
      <c r="G2075" s="71">
        <f t="shared" si="64"/>
        <v>7</v>
      </c>
      <c r="H2075" s="71">
        <f t="shared" si="65"/>
        <v>54</v>
      </c>
    </row>
    <row r="2076" spans="1:8" x14ac:dyDescent="0.2">
      <c r="A2076" s="71" t="s">
        <v>202</v>
      </c>
      <c r="B2076" s="71" t="s">
        <v>203</v>
      </c>
      <c r="C2076" s="71" t="s">
        <v>49</v>
      </c>
      <c r="D2076" s="88">
        <v>46219.678194444401</v>
      </c>
      <c r="E2076" s="89">
        <v>46219</v>
      </c>
      <c r="F2076" s="71" t="s">
        <v>2142</v>
      </c>
      <c r="G2076" s="71">
        <f t="shared" si="64"/>
        <v>7</v>
      </c>
      <c r="H2076" s="71">
        <f t="shared" si="65"/>
        <v>105</v>
      </c>
    </row>
    <row r="2077" spans="1:8" x14ac:dyDescent="0.2">
      <c r="A2077" s="71" t="s">
        <v>202</v>
      </c>
      <c r="B2077" s="71" t="s">
        <v>203</v>
      </c>
      <c r="C2077" s="71" t="s">
        <v>49</v>
      </c>
      <c r="D2077" s="88">
        <v>46220.665625000001</v>
      </c>
      <c r="E2077" s="89">
        <v>46220</v>
      </c>
      <c r="F2077" s="71" t="s">
        <v>2144</v>
      </c>
      <c r="G2077" s="71">
        <f t="shared" si="64"/>
        <v>7</v>
      </c>
      <c r="H2077" s="71">
        <f t="shared" si="65"/>
        <v>79</v>
      </c>
    </row>
    <row r="2078" spans="1:8" x14ac:dyDescent="0.2">
      <c r="A2078" s="71" t="s">
        <v>202</v>
      </c>
      <c r="B2078" s="71" t="s">
        <v>203</v>
      </c>
      <c r="C2078" s="71" t="s">
        <v>49</v>
      </c>
      <c r="D2078" s="88">
        <v>46220.683680555601</v>
      </c>
      <c r="E2078" s="89">
        <v>46220</v>
      </c>
      <c r="F2078" s="71" t="s">
        <v>2148</v>
      </c>
      <c r="G2078" s="71">
        <f t="shared" si="64"/>
        <v>7</v>
      </c>
      <c r="H2078" s="71">
        <f t="shared" si="65"/>
        <v>67</v>
      </c>
    </row>
    <row r="2079" spans="1:8" x14ac:dyDescent="0.2">
      <c r="A2079" s="71" t="s">
        <v>202</v>
      </c>
      <c r="B2079" s="71" t="s">
        <v>203</v>
      </c>
      <c r="C2079" s="71" t="s">
        <v>49</v>
      </c>
      <c r="D2079" s="88">
        <v>46223.673865740697</v>
      </c>
      <c r="E2079" s="89">
        <v>46223</v>
      </c>
      <c r="F2079" s="71" t="s">
        <v>2142</v>
      </c>
      <c r="G2079" s="71">
        <f t="shared" si="64"/>
        <v>7</v>
      </c>
      <c r="H2079" s="71">
        <f t="shared" si="65"/>
        <v>105</v>
      </c>
    </row>
    <row r="2080" spans="1:8" x14ac:dyDescent="0.2">
      <c r="A2080" s="71" t="s">
        <v>202</v>
      </c>
      <c r="B2080" s="71" t="s">
        <v>203</v>
      </c>
      <c r="C2080" s="71" t="s">
        <v>49</v>
      </c>
      <c r="D2080" s="88">
        <v>46223.674699074101</v>
      </c>
      <c r="E2080" s="89">
        <v>46223</v>
      </c>
      <c r="F2080" s="71" t="s">
        <v>2149</v>
      </c>
      <c r="G2080" s="71">
        <f t="shared" si="64"/>
        <v>7</v>
      </c>
      <c r="H2080" s="71">
        <f t="shared" si="65"/>
        <v>60</v>
      </c>
    </row>
    <row r="2081" spans="1:8" x14ac:dyDescent="0.2">
      <c r="A2081" s="71" t="s">
        <v>202</v>
      </c>
      <c r="B2081" s="71" t="s">
        <v>203</v>
      </c>
      <c r="C2081" s="71" t="s">
        <v>49</v>
      </c>
      <c r="D2081" s="88">
        <v>46224.690034722204</v>
      </c>
      <c r="E2081" s="89">
        <v>46224</v>
      </c>
      <c r="F2081" s="71" t="s">
        <v>2149</v>
      </c>
      <c r="G2081" s="71">
        <f t="shared" si="64"/>
        <v>7</v>
      </c>
      <c r="H2081" s="71">
        <f t="shared" si="65"/>
        <v>60</v>
      </c>
    </row>
    <row r="2082" spans="1:8" x14ac:dyDescent="0.2">
      <c r="A2082" s="71" t="s">
        <v>202</v>
      </c>
      <c r="B2082" s="71" t="s">
        <v>203</v>
      </c>
      <c r="C2082" s="71" t="s">
        <v>49</v>
      </c>
      <c r="D2082" s="88">
        <v>46224.690810185202</v>
      </c>
      <c r="E2082" s="89">
        <v>46224</v>
      </c>
      <c r="F2082" s="71" t="s">
        <v>2150</v>
      </c>
      <c r="G2082" s="71">
        <f t="shared" si="64"/>
        <v>7</v>
      </c>
      <c r="H2082" s="71">
        <f t="shared" si="65"/>
        <v>32</v>
      </c>
    </row>
    <row r="2083" spans="1:8" x14ac:dyDescent="0.2">
      <c r="A2083" s="71" t="s">
        <v>202</v>
      </c>
      <c r="B2083" s="71" t="s">
        <v>203</v>
      </c>
      <c r="C2083" s="71" t="s">
        <v>49</v>
      </c>
      <c r="D2083" s="88">
        <v>46224.691134259301</v>
      </c>
      <c r="E2083" s="89">
        <v>46224</v>
      </c>
      <c r="F2083" s="71" t="s">
        <v>2142</v>
      </c>
      <c r="G2083" s="71">
        <f t="shared" si="64"/>
        <v>7</v>
      </c>
      <c r="H2083" s="71">
        <f t="shared" si="65"/>
        <v>105</v>
      </c>
    </row>
    <row r="2084" spans="1:8" x14ac:dyDescent="0.2">
      <c r="A2084" s="71" t="s">
        <v>202</v>
      </c>
      <c r="B2084" s="71" t="s">
        <v>203</v>
      </c>
      <c r="C2084" s="71" t="s">
        <v>49</v>
      </c>
      <c r="D2084" s="88">
        <v>46225.697048611102</v>
      </c>
      <c r="E2084" s="89">
        <v>46225</v>
      </c>
      <c r="F2084" s="71" t="s">
        <v>2142</v>
      </c>
      <c r="G2084" s="71">
        <f t="shared" si="64"/>
        <v>7</v>
      </c>
      <c r="H2084" s="71">
        <f t="shared" si="65"/>
        <v>105</v>
      </c>
    </row>
    <row r="2085" spans="1:8" x14ac:dyDescent="0.2">
      <c r="A2085" s="71" t="s">
        <v>202</v>
      </c>
      <c r="B2085" s="71" t="s">
        <v>203</v>
      </c>
      <c r="C2085" s="71" t="s">
        <v>49</v>
      </c>
      <c r="D2085" s="88">
        <v>46225.697418981501</v>
      </c>
      <c r="E2085" s="89">
        <v>46225</v>
      </c>
      <c r="F2085" s="71" t="s">
        <v>2149</v>
      </c>
      <c r="G2085" s="71">
        <f t="shared" si="64"/>
        <v>7</v>
      </c>
      <c r="H2085" s="71">
        <f t="shared" si="65"/>
        <v>60</v>
      </c>
    </row>
    <row r="2086" spans="1:8" x14ac:dyDescent="0.2">
      <c r="A2086" s="71" t="s">
        <v>202</v>
      </c>
      <c r="B2086" s="71" t="s">
        <v>203</v>
      </c>
      <c r="C2086" s="71" t="s">
        <v>49</v>
      </c>
      <c r="D2086" s="88">
        <v>46226.678483796299</v>
      </c>
      <c r="E2086" s="89">
        <v>46226</v>
      </c>
      <c r="F2086" s="71" t="s">
        <v>2151</v>
      </c>
      <c r="G2086" s="71">
        <f t="shared" si="64"/>
        <v>7</v>
      </c>
      <c r="H2086" s="71">
        <f t="shared" si="65"/>
        <v>151</v>
      </c>
    </row>
    <row r="2087" spans="1:8" x14ac:dyDescent="0.2">
      <c r="A2087" s="71" t="s">
        <v>202</v>
      </c>
      <c r="B2087" s="71" t="s">
        <v>203</v>
      </c>
      <c r="C2087" s="71" t="s">
        <v>49</v>
      </c>
      <c r="D2087" s="88">
        <v>46227.686261574097</v>
      </c>
      <c r="E2087" s="89">
        <v>46227</v>
      </c>
      <c r="F2087" s="71" t="s">
        <v>2152</v>
      </c>
      <c r="G2087" s="71">
        <f t="shared" si="64"/>
        <v>7</v>
      </c>
      <c r="H2087" s="71">
        <f t="shared" si="65"/>
        <v>168</v>
      </c>
    </row>
    <row r="2088" spans="1:8" x14ac:dyDescent="0.2">
      <c r="A2088" s="71" t="s">
        <v>202</v>
      </c>
      <c r="B2088" s="71" t="s">
        <v>203</v>
      </c>
      <c r="C2088" s="71" t="s">
        <v>49</v>
      </c>
      <c r="D2088" s="88">
        <v>46227.6866435185</v>
      </c>
      <c r="E2088" s="89">
        <v>46227</v>
      </c>
      <c r="F2088" s="71" t="s">
        <v>2150</v>
      </c>
      <c r="G2088" s="71">
        <f t="shared" si="64"/>
        <v>7</v>
      </c>
      <c r="H2088" s="71">
        <f t="shared" si="65"/>
        <v>32</v>
      </c>
    </row>
    <row r="2089" spans="1:8" x14ac:dyDescent="0.2">
      <c r="A2089" s="71" t="s">
        <v>202</v>
      </c>
      <c r="B2089" s="71" t="s">
        <v>203</v>
      </c>
      <c r="C2089" s="71" t="s">
        <v>49</v>
      </c>
      <c r="D2089" s="88">
        <v>46230.686898148197</v>
      </c>
      <c r="E2089" s="89">
        <v>46230</v>
      </c>
      <c r="F2089" s="71" t="s">
        <v>2153</v>
      </c>
      <c r="G2089" s="71">
        <f t="shared" si="64"/>
        <v>7</v>
      </c>
      <c r="H2089" s="71">
        <f t="shared" si="65"/>
        <v>15</v>
      </c>
    </row>
    <row r="2090" spans="1:8" x14ac:dyDescent="0.2">
      <c r="A2090" s="71" t="s">
        <v>202</v>
      </c>
      <c r="B2090" s="71" t="s">
        <v>203</v>
      </c>
      <c r="C2090" s="71" t="s">
        <v>49</v>
      </c>
      <c r="D2090" s="88">
        <v>46230.687280092599</v>
      </c>
      <c r="E2090" s="89">
        <v>46230</v>
      </c>
      <c r="F2090" s="71" t="s">
        <v>2150</v>
      </c>
      <c r="G2090" s="71">
        <f t="shared" si="64"/>
        <v>7</v>
      </c>
      <c r="H2090" s="71">
        <f t="shared" si="65"/>
        <v>32</v>
      </c>
    </row>
    <row r="2091" spans="1:8" x14ac:dyDescent="0.2">
      <c r="A2091" s="71" t="s">
        <v>202</v>
      </c>
      <c r="B2091" s="71" t="s">
        <v>203</v>
      </c>
      <c r="C2091" s="71" t="s">
        <v>49</v>
      </c>
      <c r="D2091" s="88">
        <v>46230.687916666699</v>
      </c>
      <c r="E2091" s="89">
        <v>46230</v>
      </c>
      <c r="F2091" s="71" t="s">
        <v>2154</v>
      </c>
      <c r="G2091" s="71">
        <f t="shared" si="64"/>
        <v>7</v>
      </c>
      <c r="H2091" s="71">
        <f t="shared" si="65"/>
        <v>104</v>
      </c>
    </row>
    <row r="2092" spans="1:8" x14ac:dyDescent="0.2">
      <c r="A2092" s="71" t="s">
        <v>202</v>
      </c>
      <c r="B2092" s="71" t="s">
        <v>203</v>
      </c>
      <c r="C2092" s="71" t="s">
        <v>49</v>
      </c>
      <c r="D2092" s="88">
        <v>46231.69</v>
      </c>
      <c r="E2092" s="89">
        <v>46231</v>
      </c>
      <c r="F2092" s="71" t="s">
        <v>2150</v>
      </c>
      <c r="G2092" s="71">
        <f t="shared" si="64"/>
        <v>7</v>
      </c>
      <c r="H2092" s="71">
        <f t="shared" si="65"/>
        <v>32</v>
      </c>
    </row>
    <row r="2093" spans="1:8" x14ac:dyDescent="0.2">
      <c r="A2093" s="71" t="s">
        <v>202</v>
      </c>
      <c r="B2093" s="71" t="s">
        <v>203</v>
      </c>
      <c r="C2093" s="71" t="s">
        <v>49</v>
      </c>
      <c r="D2093" s="88">
        <v>46231.690370370401</v>
      </c>
      <c r="E2093" s="89">
        <v>46231</v>
      </c>
      <c r="F2093" s="71" t="s">
        <v>2154</v>
      </c>
      <c r="G2093" s="71">
        <f t="shared" si="64"/>
        <v>7</v>
      </c>
      <c r="H2093" s="71">
        <f t="shared" si="65"/>
        <v>104</v>
      </c>
    </row>
    <row r="2094" spans="1:8" x14ac:dyDescent="0.2">
      <c r="A2094" s="71" t="s">
        <v>202</v>
      </c>
      <c r="B2094" s="71" t="s">
        <v>203</v>
      </c>
      <c r="C2094" s="71" t="s">
        <v>49</v>
      </c>
      <c r="D2094" s="88">
        <v>46232.697870370401</v>
      </c>
      <c r="E2094" s="89">
        <v>46232</v>
      </c>
      <c r="F2094" s="71" t="s">
        <v>2154</v>
      </c>
      <c r="G2094" s="71">
        <f t="shared" si="64"/>
        <v>7</v>
      </c>
      <c r="H2094" s="71">
        <f t="shared" si="65"/>
        <v>104</v>
      </c>
    </row>
    <row r="2095" spans="1:8" x14ac:dyDescent="0.2">
      <c r="A2095" s="71" t="s">
        <v>202</v>
      </c>
      <c r="B2095" s="71" t="s">
        <v>203</v>
      </c>
      <c r="C2095" s="71" t="s">
        <v>49</v>
      </c>
      <c r="D2095" s="88">
        <v>46232.700729166703</v>
      </c>
      <c r="E2095" s="89">
        <v>46232</v>
      </c>
      <c r="F2095" s="71" t="s">
        <v>2150</v>
      </c>
      <c r="G2095" s="71">
        <f t="shared" si="64"/>
        <v>7</v>
      </c>
      <c r="H2095" s="71">
        <f t="shared" si="65"/>
        <v>32</v>
      </c>
    </row>
    <row r="2096" spans="1:8" x14ac:dyDescent="0.2">
      <c r="A2096" s="71" t="s">
        <v>202</v>
      </c>
      <c r="B2096" s="71" t="s">
        <v>203</v>
      </c>
      <c r="C2096" s="71" t="s">
        <v>49</v>
      </c>
      <c r="D2096" s="88">
        <v>46232.703807870399</v>
      </c>
      <c r="E2096" s="89">
        <v>46232</v>
      </c>
      <c r="F2096" s="71" t="s">
        <v>2149</v>
      </c>
      <c r="G2096" s="71">
        <f t="shared" si="64"/>
        <v>7</v>
      </c>
      <c r="H2096" s="71">
        <f t="shared" si="65"/>
        <v>60</v>
      </c>
    </row>
    <row r="2097" spans="1:8" x14ac:dyDescent="0.2">
      <c r="A2097" s="71" t="s">
        <v>202</v>
      </c>
      <c r="B2097" s="71" t="s">
        <v>203</v>
      </c>
      <c r="C2097" s="71" t="s">
        <v>49</v>
      </c>
      <c r="D2097" s="88">
        <v>46233.693657407399</v>
      </c>
      <c r="E2097" s="89">
        <v>46233</v>
      </c>
      <c r="F2097" s="71" t="s">
        <v>2155</v>
      </c>
      <c r="G2097" s="71">
        <f t="shared" si="64"/>
        <v>7</v>
      </c>
      <c r="H2097" s="71">
        <f t="shared" si="65"/>
        <v>83</v>
      </c>
    </row>
    <row r="2098" spans="1:8" x14ac:dyDescent="0.2">
      <c r="A2098" s="71" t="s">
        <v>202</v>
      </c>
      <c r="B2098" s="71" t="s">
        <v>203</v>
      </c>
      <c r="C2098" s="71" t="s">
        <v>49</v>
      </c>
      <c r="D2098" s="88">
        <v>46233.694212962997</v>
      </c>
      <c r="E2098" s="89">
        <v>46233</v>
      </c>
      <c r="F2098" s="71" t="s">
        <v>2153</v>
      </c>
      <c r="G2098" s="71">
        <f t="shared" si="64"/>
        <v>7</v>
      </c>
      <c r="H2098" s="71">
        <f t="shared" si="65"/>
        <v>15</v>
      </c>
    </row>
    <row r="2099" spans="1:8" x14ac:dyDescent="0.2">
      <c r="A2099" s="71" t="s">
        <v>202</v>
      </c>
      <c r="B2099" s="71" t="s">
        <v>203</v>
      </c>
      <c r="C2099" s="71" t="s">
        <v>49</v>
      </c>
      <c r="D2099" s="88">
        <v>46234.660879629599</v>
      </c>
      <c r="E2099" s="89">
        <v>46234</v>
      </c>
      <c r="F2099" s="71" t="s">
        <v>2156</v>
      </c>
      <c r="G2099" s="71">
        <f t="shared" si="64"/>
        <v>7</v>
      </c>
      <c r="H2099" s="71">
        <f t="shared" si="65"/>
        <v>97</v>
      </c>
    </row>
    <row r="2100" spans="1:8" x14ac:dyDescent="0.2">
      <c r="A2100" s="71" t="s">
        <v>202</v>
      </c>
      <c r="B2100" s="71" t="s">
        <v>203</v>
      </c>
      <c r="C2100" s="71" t="s">
        <v>49</v>
      </c>
      <c r="D2100" s="88">
        <v>46237.7056481482</v>
      </c>
      <c r="E2100" s="89">
        <v>46237</v>
      </c>
      <c r="F2100" s="71" t="s">
        <v>2155</v>
      </c>
      <c r="G2100" s="71">
        <f t="shared" si="64"/>
        <v>8</v>
      </c>
      <c r="H2100" s="71">
        <f t="shared" si="65"/>
        <v>83</v>
      </c>
    </row>
    <row r="2101" spans="1:8" x14ac:dyDescent="0.2">
      <c r="A2101" s="71" t="s">
        <v>202</v>
      </c>
      <c r="B2101" s="71" t="s">
        <v>203</v>
      </c>
      <c r="C2101" s="71" t="s">
        <v>49</v>
      </c>
      <c r="D2101" s="88">
        <v>46237.706030092602</v>
      </c>
      <c r="E2101" s="89">
        <v>46237</v>
      </c>
      <c r="F2101" s="71" t="s">
        <v>2150</v>
      </c>
      <c r="G2101" s="71">
        <f t="shared" si="64"/>
        <v>8</v>
      </c>
      <c r="H2101" s="71">
        <f t="shared" si="65"/>
        <v>32</v>
      </c>
    </row>
    <row r="2102" spans="1:8" x14ac:dyDescent="0.2">
      <c r="A2102" s="71" t="s">
        <v>202</v>
      </c>
      <c r="B2102" s="71" t="s">
        <v>203</v>
      </c>
      <c r="C2102" s="71" t="s">
        <v>49</v>
      </c>
      <c r="D2102" s="88">
        <v>46239.675000000003</v>
      </c>
      <c r="E2102" s="89">
        <v>46239</v>
      </c>
      <c r="F2102" s="71" t="s">
        <v>2157</v>
      </c>
      <c r="G2102" s="71">
        <f t="shared" si="64"/>
        <v>8</v>
      </c>
      <c r="H2102" s="71">
        <f t="shared" si="65"/>
        <v>48</v>
      </c>
    </row>
    <row r="2103" spans="1:8" x14ac:dyDescent="0.2">
      <c r="A2103" s="71" t="s">
        <v>202</v>
      </c>
      <c r="B2103" s="71" t="s">
        <v>203</v>
      </c>
      <c r="C2103" s="71" t="s">
        <v>49</v>
      </c>
      <c r="D2103" s="88">
        <v>46240.678807870398</v>
      </c>
      <c r="E2103" s="89">
        <v>46240</v>
      </c>
      <c r="F2103" s="71" t="s">
        <v>2158</v>
      </c>
      <c r="G2103" s="71">
        <f t="shared" si="64"/>
        <v>8</v>
      </c>
      <c r="H2103" s="71">
        <f t="shared" si="65"/>
        <v>56</v>
      </c>
    </row>
    <row r="2104" spans="1:8" x14ac:dyDescent="0.2">
      <c r="A2104" s="71" t="s">
        <v>202</v>
      </c>
      <c r="B2104" s="71" t="s">
        <v>203</v>
      </c>
      <c r="C2104" s="71" t="s">
        <v>49</v>
      </c>
      <c r="D2104" s="88">
        <v>46241.6961689815</v>
      </c>
      <c r="E2104" s="89">
        <v>46241</v>
      </c>
      <c r="F2104" s="71" t="s">
        <v>2157</v>
      </c>
      <c r="G2104" s="71">
        <f t="shared" si="64"/>
        <v>8</v>
      </c>
      <c r="H2104" s="71">
        <f t="shared" si="65"/>
        <v>48</v>
      </c>
    </row>
    <row r="2105" spans="1:8" x14ac:dyDescent="0.2">
      <c r="A2105" s="71" t="s">
        <v>202</v>
      </c>
      <c r="B2105" s="71" t="s">
        <v>203</v>
      </c>
      <c r="C2105" s="71" t="s">
        <v>49</v>
      </c>
      <c r="D2105" s="88">
        <v>46244.697372685201</v>
      </c>
      <c r="E2105" s="89">
        <v>46244</v>
      </c>
      <c r="F2105" s="71" t="s">
        <v>2157</v>
      </c>
      <c r="G2105" s="71">
        <f t="shared" si="64"/>
        <v>8</v>
      </c>
      <c r="H2105" s="71">
        <f t="shared" si="65"/>
        <v>48</v>
      </c>
    </row>
    <row r="2106" spans="1:8" x14ac:dyDescent="0.2">
      <c r="A2106" s="71" t="s">
        <v>202</v>
      </c>
      <c r="B2106" s="71" t="s">
        <v>203</v>
      </c>
      <c r="C2106" s="71" t="s">
        <v>49</v>
      </c>
      <c r="D2106" s="88">
        <v>46244.697650463</v>
      </c>
      <c r="E2106" s="89">
        <v>46244</v>
      </c>
      <c r="F2106" s="71" t="s">
        <v>2158</v>
      </c>
      <c r="G2106" s="71">
        <f t="shared" si="64"/>
        <v>8</v>
      </c>
      <c r="H2106" s="71">
        <f t="shared" si="65"/>
        <v>56</v>
      </c>
    </row>
    <row r="2107" spans="1:8" x14ac:dyDescent="0.2">
      <c r="A2107" s="71" t="s">
        <v>202</v>
      </c>
      <c r="B2107" s="71" t="s">
        <v>203</v>
      </c>
      <c r="C2107" s="71" t="s">
        <v>49</v>
      </c>
      <c r="D2107" s="88">
        <v>46245.675844907397</v>
      </c>
      <c r="E2107" s="89">
        <v>46245</v>
      </c>
      <c r="F2107" s="71" t="s">
        <v>2159</v>
      </c>
      <c r="G2107" s="71">
        <f t="shared" si="64"/>
        <v>8</v>
      </c>
      <c r="H2107" s="71">
        <f t="shared" si="65"/>
        <v>62</v>
      </c>
    </row>
    <row r="2108" spans="1:8" x14ac:dyDescent="0.2">
      <c r="A2108" s="71" t="s">
        <v>202</v>
      </c>
      <c r="B2108" s="71" t="s">
        <v>203</v>
      </c>
      <c r="C2108" s="71" t="s">
        <v>49</v>
      </c>
      <c r="D2108" s="88">
        <v>46245.676874999997</v>
      </c>
      <c r="E2108" s="89">
        <v>46245</v>
      </c>
      <c r="F2108" s="71" t="s">
        <v>2160</v>
      </c>
      <c r="G2108" s="71">
        <f t="shared" si="64"/>
        <v>8</v>
      </c>
      <c r="H2108" s="71">
        <f t="shared" si="65"/>
        <v>87</v>
      </c>
    </row>
    <row r="2109" spans="1:8" x14ac:dyDescent="0.2">
      <c r="A2109" s="71" t="s">
        <v>202</v>
      </c>
      <c r="B2109" s="71" t="s">
        <v>203</v>
      </c>
      <c r="C2109" s="71" t="s">
        <v>49</v>
      </c>
      <c r="D2109" s="88">
        <v>46245.6775694444</v>
      </c>
      <c r="E2109" s="89">
        <v>46245</v>
      </c>
      <c r="F2109" s="71" t="s">
        <v>2157</v>
      </c>
      <c r="G2109" s="71">
        <f t="shared" si="64"/>
        <v>8</v>
      </c>
      <c r="H2109" s="71">
        <f t="shared" si="65"/>
        <v>48</v>
      </c>
    </row>
    <row r="2110" spans="1:8" x14ac:dyDescent="0.2">
      <c r="A2110" s="71" t="s">
        <v>202</v>
      </c>
      <c r="B2110" s="71" t="s">
        <v>203</v>
      </c>
      <c r="C2110" s="71" t="s">
        <v>49</v>
      </c>
      <c r="D2110" s="88">
        <v>46246.6706134259</v>
      </c>
      <c r="E2110" s="89">
        <v>46246</v>
      </c>
      <c r="F2110" s="71" t="s">
        <v>2158</v>
      </c>
      <c r="G2110" s="71">
        <f t="shared" si="64"/>
        <v>8</v>
      </c>
      <c r="H2110" s="71">
        <f t="shared" si="65"/>
        <v>56</v>
      </c>
    </row>
    <row r="2111" spans="1:8" x14ac:dyDescent="0.2">
      <c r="A2111" s="71" t="s">
        <v>202</v>
      </c>
      <c r="B2111" s="71" t="s">
        <v>203</v>
      </c>
      <c r="C2111" s="71" t="s">
        <v>49</v>
      </c>
      <c r="D2111" s="88">
        <v>46248.704814814802</v>
      </c>
      <c r="E2111" s="89">
        <v>46248</v>
      </c>
      <c r="F2111" s="71" t="s">
        <v>2161</v>
      </c>
      <c r="G2111" s="71">
        <f t="shared" si="64"/>
        <v>8</v>
      </c>
      <c r="H2111" s="71">
        <f t="shared" si="65"/>
        <v>25</v>
      </c>
    </row>
    <row r="2112" spans="1:8" x14ac:dyDescent="0.2">
      <c r="A2112" s="71" t="s">
        <v>202</v>
      </c>
      <c r="B2112" s="71" t="s">
        <v>203</v>
      </c>
      <c r="C2112" s="71" t="s">
        <v>49</v>
      </c>
      <c r="D2112" s="88">
        <v>46252.681863425903</v>
      </c>
      <c r="E2112" s="89">
        <v>46252</v>
      </c>
      <c r="F2112" s="71" t="s">
        <v>2162</v>
      </c>
      <c r="G2112" s="71">
        <f t="shared" si="64"/>
        <v>8</v>
      </c>
      <c r="H2112" s="71">
        <f t="shared" si="65"/>
        <v>25</v>
      </c>
    </row>
    <row r="2113" spans="1:8" x14ac:dyDescent="0.2">
      <c r="A2113" s="71" t="s">
        <v>202</v>
      </c>
      <c r="B2113" s="71" t="s">
        <v>203</v>
      </c>
      <c r="C2113" s="71" t="s">
        <v>49</v>
      </c>
      <c r="D2113" s="88">
        <v>46252.682291666701</v>
      </c>
      <c r="E2113" s="89">
        <v>46252</v>
      </c>
      <c r="F2113" s="71" t="s">
        <v>2163</v>
      </c>
      <c r="G2113" s="71">
        <f t="shared" si="64"/>
        <v>8</v>
      </c>
      <c r="H2113" s="71">
        <f t="shared" si="65"/>
        <v>36</v>
      </c>
    </row>
    <row r="2114" spans="1:8" x14ac:dyDescent="0.2">
      <c r="A2114" s="71" t="s">
        <v>202</v>
      </c>
      <c r="B2114" s="71" t="s">
        <v>203</v>
      </c>
      <c r="C2114" s="71" t="s">
        <v>49</v>
      </c>
      <c r="D2114" s="88">
        <v>46253.684212963002</v>
      </c>
      <c r="E2114" s="89">
        <v>46253</v>
      </c>
      <c r="F2114" s="71" t="s">
        <v>2164</v>
      </c>
      <c r="G2114" s="71">
        <f t="shared" ref="G2114:G2177" si="66">MONTH(E2114)</f>
        <v>8</v>
      </c>
      <c r="H2114" s="71">
        <f t="shared" ref="H2114:H2177" si="67">LEN(F2114)</f>
        <v>37</v>
      </c>
    </row>
    <row r="2115" spans="1:8" x14ac:dyDescent="0.2">
      <c r="A2115" s="71" t="s">
        <v>202</v>
      </c>
      <c r="B2115" s="71" t="s">
        <v>203</v>
      </c>
      <c r="C2115" s="71" t="s">
        <v>49</v>
      </c>
      <c r="D2115" s="88">
        <v>46253.684872685197</v>
      </c>
      <c r="E2115" s="89">
        <v>46253</v>
      </c>
      <c r="F2115" s="71" t="s">
        <v>2165</v>
      </c>
      <c r="G2115" s="71">
        <f t="shared" si="66"/>
        <v>8</v>
      </c>
      <c r="H2115" s="71">
        <f t="shared" si="67"/>
        <v>81</v>
      </c>
    </row>
    <row r="2116" spans="1:8" x14ac:dyDescent="0.2">
      <c r="A2116" s="71" t="s">
        <v>202</v>
      </c>
      <c r="B2116" s="71" t="s">
        <v>203</v>
      </c>
      <c r="C2116" s="71" t="s">
        <v>49</v>
      </c>
      <c r="D2116" s="88">
        <v>46254.630474537</v>
      </c>
      <c r="E2116" s="89">
        <v>46254</v>
      </c>
      <c r="F2116" s="71" t="s">
        <v>2166</v>
      </c>
      <c r="G2116" s="71">
        <f t="shared" si="66"/>
        <v>8</v>
      </c>
      <c r="H2116" s="71">
        <f t="shared" si="67"/>
        <v>95</v>
      </c>
    </row>
    <row r="2117" spans="1:8" x14ac:dyDescent="0.2">
      <c r="A2117" s="71" t="s">
        <v>202</v>
      </c>
      <c r="B2117" s="71" t="s">
        <v>203</v>
      </c>
      <c r="C2117" s="71" t="s">
        <v>49</v>
      </c>
      <c r="D2117" s="88">
        <v>46254.685358796298</v>
      </c>
      <c r="E2117" s="89">
        <v>46254</v>
      </c>
      <c r="F2117" s="71" t="s">
        <v>2165</v>
      </c>
      <c r="G2117" s="71">
        <f t="shared" si="66"/>
        <v>8</v>
      </c>
      <c r="H2117" s="71">
        <f t="shared" si="67"/>
        <v>81</v>
      </c>
    </row>
    <row r="2118" spans="1:8" x14ac:dyDescent="0.2">
      <c r="A2118" s="71" t="s">
        <v>202</v>
      </c>
      <c r="B2118" s="71" t="s">
        <v>203</v>
      </c>
      <c r="C2118" s="71" t="s">
        <v>49</v>
      </c>
      <c r="D2118" s="88">
        <v>46255.680706018502</v>
      </c>
      <c r="E2118" s="89">
        <v>46255</v>
      </c>
      <c r="F2118" s="71" t="s">
        <v>2165</v>
      </c>
      <c r="G2118" s="71">
        <f t="shared" si="66"/>
        <v>8</v>
      </c>
      <c r="H2118" s="71">
        <f t="shared" si="67"/>
        <v>81</v>
      </c>
    </row>
    <row r="2119" spans="1:8" x14ac:dyDescent="0.2">
      <c r="A2119" s="71" t="s">
        <v>202</v>
      </c>
      <c r="B2119" s="71" t="s">
        <v>203</v>
      </c>
      <c r="C2119" s="71" t="s">
        <v>49</v>
      </c>
      <c r="D2119" s="88">
        <v>46255.681226851899</v>
      </c>
      <c r="E2119" s="89">
        <v>46255</v>
      </c>
      <c r="F2119" s="71" t="s">
        <v>2150</v>
      </c>
      <c r="G2119" s="71">
        <f t="shared" si="66"/>
        <v>8</v>
      </c>
      <c r="H2119" s="71">
        <f t="shared" si="67"/>
        <v>32</v>
      </c>
    </row>
    <row r="2120" spans="1:8" x14ac:dyDescent="0.2">
      <c r="A2120" s="71" t="s">
        <v>202</v>
      </c>
      <c r="B2120" s="71" t="s">
        <v>203</v>
      </c>
      <c r="C2120" s="71" t="s">
        <v>49</v>
      </c>
      <c r="D2120" s="88">
        <v>46255.681747685201</v>
      </c>
      <c r="E2120" s="89">
        <v>46255</v>
      </c>
      <c r="F2120" s="71" t="s">
        <v>2167</v>
      </c>
      <c r="G2120" s="71">
        <f t="shared" si="66"/>
        <v>8</v>
      </c>
      <c r="H2120" s="71">
        <f t="shared" si="67"/>
        <v>37</v>
      </c>
    </row>
    <row r="2121" spans="1:8" x14ac:dyDescent="0.2">
      <c r="A2121" s="71" t="s">
        <v>202</v>
      </c>
      <c r="B2121" s="71" t="s">
        <v>203</v>
      </c>
      <c r="C2121" s="71" t="s">
        <v>49</v>
      </c>
      <c r="D2121" s="88">
        <v>46258.699293981503</v>
      </c>
      <c r="E2121" s="89">
        <v>46258</v>
      </c>
      <c r="F2121" s="71" t="s">
        <v>2168</v>
      </c>
      <c r="G2121" s="71">
        <f t="shared" si="66"/>
        <v>8</v>
      </c>
      <c r="H2121" s="71">
        <f t="shared" si="67"/>
        <v>25</v>
      </c>
    </row>
    <row r="2122" spans="1:8" x14ac:dyDescent="0.2">
      <c r="A2122" s="71" t="s">
        <v>202</v>
      </c>
      <c r="B2122" s="71" t="s">
        <v>203</v>
      </c>
      <c r="C2122" s="71" t="s">
        <v>49</v>
      </c>
      <c r="D2122" s="88">
        <v>46258.699780092596</v>
      </c>
      <c r="E2122" s="89">
        <v>46258</v>
      </c>
      <c r="F2122" s="71" t="s">
        <v>2169</v>
      </c>
      <c r="G2122" s="71">
        <f t="shared" si="66"/>
        <v>8</v>
      </c>
      <c r="H2122" s="71">
        <f t="shared" si="67"/>
        <v>57</v>
      </c>
    </row>
    <row r="2123" spans="1:8" x14ac:dyDescent="0.2">
      <c r="A2123" s="71" t="s">
        <v>202</v>
      </c>
      <c r="B2123" s="71" t="s">
        <v>203</v>
      </c>
      <c r="C2123" s="71" t="s">
        <v>49</v>
      </c>
      <c r="D2123" s="88">
        <v>46258.7000694444</v>
      </c>
      <c r="E2123" s="89">
        <v>46258</v>
      </c>
      <c r="F2123" s="71" t="s">
        <v>2170</v>
      </c>
      <c r="G2123" s="71">
        <f t="shared" si="66"/>
        <v>8</v>
      </c>
      <c r="H2123" s="71">
        <f t="shared" si="67"/>
        <v>30</v>
      </c>
    </row>
    <row r="2124" spans="1:8" x14ac:dyDescent="0.2">
      <c r="A2124" s="71" t="s">
        <v>202</v>
      </c>
      <c r="B2124" s="71" t="s">
        <v>203</v>
      </c>
      <c r="C2124" s="71" t="s">
        <v>49</v>
      </c>
      <c r="D2124" s="88">
        <v>46261.684999999998</v>
      </c>
      <c r="E2124" s="89">
        <v>46261</v>
      </c>
      <c r="F2124" s="71" t="s">
        <v>2171</v>
      </c>
      <c r="G2124" s="71">
        <f t="shared" si="66"/>
        <v>8</v>
      </c>
      <c r="H2124" s="71">
        <f t="shared" si="67"/>
        <v>38</v>
      </c>
    </row>
    <row r="2125" spans="1:8" x14ac:dyDescent="0.2">
      <c r="A2125" s="71" t="s">
        <v>202</v>
      </c>
      <c r="B2125" s="71" t="s">
        <v>203</v>
      </c>
      <c r="C2125" s="71" t="s">
        <v>49</v>
      </c>
      <c r="D2125" s="88">
        <v>46262.705277777801</v>
      </c>
      <c r="E2125" s="89">
        <v>46262</v>
      </c>
      <c r="F2125" s="71" t="s">
        <v>2171</v>
      </c>
      <c r="G2125" s="71">
        <f t="shared" si="66"/>
        <v>8</v>
      </c>
      <c r="H2125" s="71">
        <f t="shared" si="67"/>
        <v>38</v>
      </c>
    </row>
    <row r="2126" spans="1:8" x14ac:dyDescent="0.2">
      <c r="A2126" s="71" t="s">
        <v>202</v>
      </c>
      <c r="B2126" s="71" t="s">
        <v>203</v>
      </c>
      <c r="C2126" s="71" t="s">
        <v>49</v>
      </c>
      <c r="D2126" s="88">
        <v>46265.696712962999</v>
      </c>
      <c r="E2126" s="89">
        <v>46265</v>
      </c>
      <c r="F2126" s="71" t="s">
        <v>2172</v>
      </c>
      <c r="G2126" s="71">
        <f t="shared" si="66"/>
        <v>8</v>
      </c>
      <c r="H2126" s="71">
        <f t="shared" si="67"/>
        <v>38</v>
      </c>
    </row>
    <row r="2127" spans="1:8" x14ac:dyDescent="0.2">
      <c r="A2127" s="71" t="s">
        <v>202</v>
      </c>
      <c r="B2127" s="71" t="s">
        <v>203</v>
      </c>
      <c r="C2127" s="71" t="s">
        <v>49</v>
      </c>
      <c r="D2127" s="88">
        <v>46265.697141203702</v>
      </c>
      <c r="E2127" s="89">
        <v>46265</v>
      </c>
      <c r="F2127" s="71" t="s">
        <v>2173</v>
      </c>
      <c r="G2127" s="71">
        <f t="shared" si="66"/>
        <v>8</v>
      </c>
      <c r="H2127" s="71">
        <f t="shared" si="67"/>
        <v>15</v>
      </c>
    </row>
    <row r="2128" spans="1:8" x14ac:dyDescent="0.2">
      <c r="A2128" s="71" t="s">
        <v>272</v>
      </c>
      <c r="B2128" s="71" t="s">
        <v>273</v>
      </c>
      <c r="C2128" s="71" t="s">
        <v>55</v>
      </c>
      <c r="D2128" s="88">
        <v>46175.689456018503</v>
      </c>
      <c r="E2128" s="89">
        <v>46175</v>
      </c>
      <c r="F2128" s="71" t="s">
        <v>2174</v>
      </c>
      <c r="G2128" s="71">
        <f t="shared" si="66"/>
        <v>6</v>
      </c>
      <c r="H2128" s="71">
        <f t="shared" si="67"/>
        <v>82</v>
      </c>
    </row>
    <row r="2129" spans="1:8" x14ac:dyDescent="0.2">
      <c r="A2129" s="71" t="s">
        <v>272</v>
      </c>
      <c r="B2129" s="71" t="s">
        <v>273</v>
      </c>
      <c r="C2129" s="71" t="s">
        <v>55</v>
      </c>
      <c r="D2129" s="88">
        <v>46177.675578703696</v>
      </c>
      <c r="E2129" s="89">
        <v>46177</v>
      </c>
      <c r="F2129" s="71" t="s">
        <v>2174</v>
      </c>
      <c r="G2129" s="71">
        <f t="shared" si="66"/>
        <v>6</v>
      </c>
      <c r="H2129" s="71">
        <f t="shared" si="67"/>
        <v>82</v>
      </c>
    </row>
    <row r="2130" spans="1:8" x14ac:dyDescent="0.2">
      <c r="A2130" s="71" t="s">
        <v>272</v>
      </c>
      <c r="B2130" s="71" t="s">
        <v>273</v>
      </c>
      <c r="C2130" s="71" t="s">
        <v>55</v>
      </c>
      <c r="D2130" s="88">
        <v>46177.675949074102</v>
      </c>
      <c r="E2130" s="89">
        <v>46177</v>
      </c>
      <c r="F2130" s="71" t="s">
        <v>2175</v>
      </c>
      <c r="G2130" s="71">
        <f t="shared" si="66"/>
        <v>6</v>
      </c>
      <c r="H2130" s="71">
        <f t="shared" si="67"/>
        <v>78</v>
      </c>
    </row>
    <row r="2131" spans="1:8" x14ac:dyDescent="0.2">
      <c r="A2131" s="71" t="s">
        <v>272</v>
      </c>
      <c r="B2131" s="71" t="s">
        <v>273</v>
      </c>
      <c r="C2131" s="71" t="s">
        <v>55</v>
      </c>
      <c r="D2131" s="88">
        <v>46177.676620370403</v>
      </c>
      <c r="E2131" s="89">
        <v>46177</v>
      </c>
      <c r="F2131" s="71" t="s">
        <v>2176</v>
      </c>
      <c r="G2131" s="71">
        <f t="shared" si="66"/>
        <v>6</v>
      </c>
      <c r="H2131" s="71">
        <f t="shared" si="67"/>
        <v>139</v>
      </c>
    </row>
    <row r="2132" spans="1:8" x14ac:dyDescent="0.2">
      <c r="A2132" s="71" t="s">
        <v>272</v>
      </c>
      <c r="B2132" s="71" t="s">
        <v>273</v>
      </c>
      <c r="C2132" s="71" t="s">
        <v>55</v>
      </c>
      <c r="D2132" s="88">
        <v>46178.691805555602</v>
      </c>
      <c r="E2132" s="89">
        <v>46178</v>
      </c>
      <c r="F2132" s="71" t="s">
        <v>2174</v>
      </c>
      <c r="G2132" s="71">
        <f t="shared" si="66"/>
        <v>6</v>
      </c>
      <c r="H2132" s="71">
        <f t="shared" si="67"/>
        <v>82</v>
      </c>
    </row>
    <row r="2133" spans="1:8" x14ac:dyDescent="0.2">
      <c r="A2133" s="71" t="s">
        <v>272</v>
      </c>
      <c r="B2133" s="71" t="s">
        <v>273</v>
      </c>
      <c r="C2133" s="71" t="s">
        <v>55</v>
      </c>
      <c r="D2133" s="88">
        <v>46181.6858333333</v>
      </c>
      <c r="E2133" s="89">
        <v>46181</v>
      </c>
      <c r="F2133" s="71" t="s">
        <v>2175</v>
      </c>
      <c r="G2133" s="71">
        <f t="shared" si="66"/>
        <v>6</v>
      </c>
      <c r="H2133" s="71">
        <f t="shared" si="67"/>
        <v>78</v>
      </c>
    </row>
    <row r="2134" spans="1:8" x14ac:dyDescent="0.2">
      <c r="A2134" s="71" t="s">
        <v>272</v>
      </c>
      <c r="B2134" s="71" t="s">
        <v>273</v>
      </c>
      <c r="C2134" s="71" t="s">
        <v>55</v>
      </c>
      <c r="D2134" s="88">
        <v>46182.6769444444</v>
      </c>
      <c r="E2134" s="89">
        <v>46182</v>
      </c>
      <c r="F2134" s="71" t="s">
        <v>2176</v>
      </c>
      <c r="G2134" s="71">
        <f t="shared" si="66"/>
        <v>6</v>
      </c>
      <c r="H2134" s="71">
        <f t="shared" si="67"/>
        <v>139</v>
      </c>
    </row>
    <row r="2135" spans="1:8" x14ac:dyDescent="0.2">
      <c r="A2135" s="71" t="s">
        <v>272</v>
      </c>
      <c r="B2135" s="71" t="s">
        <v>273</v>
      </c>
      <c r="C2135" s="71" t="s">
        <v>55</v>
      </c>
      <c r="D2135" s="88">
        <v>46184.6797800926</v>
      </c>
      <c r="E2135" s="89">
        <v>46184</v>
      </c>
      <c r="F2135" s="71" t="s">
        <v>2174</v>
      </c>
      <c r="G2135" s="71">
        <f t="shared" si="66"/>
        <v>6</v>
      </c>
      <c r="H2135" s="71">
        <f t="shared" si="67"/>
        <v>82</v>
      </c>
    </row>
    <row r="2136" spans="1:8" x14ac:dyDescent="0.2">
      <c r="A2136" s="71" t="s">
        <v>272</v>
      </c>
      <c r="B2136" s="71" t="s">
        <v>273</v>
      </c>
      <c r="C2136" s="71" t="s">
        <v>55</v>
      </c>
      <c r="D2136" s="88">
        <v>46185.675081018497</v>
      </c>
      <c r="E2136" s="89">
        <v>46185</v>
      </c>
      <c r="F2136" s="71" t="s">
        <v>2176</v>
      </c>
      <c r="G2136" s="71">
        <f t="shared" si="66"/>
        <v>6</v>
      </c>
      <c r="H2136" s="71">
        <f t="shared" si="67"/>
        <v>139</v>
      </c>
    </row>
    <row r="2137" spans="1:8" x14ac:dyDescent="0.2">
      <c r="A2137" s="71" t="s">
        <v>272</v>
      </c>
      <c r="B2137" s="71" t="s">
        <v>273</v>
      </c>
      <c r="C2137" s="71" t="s">
        <v>55</v>
      </c>
      <c r="D2137" s="88">
        <v>46188.6661342593</v>
      </c>
      <c r="E2137" s="89">
        <v>46188</v>
      </c>
      <c r="F2137" s="71" t="s">
        <v>2174</v>
      </c>
      <c r="G2137" s="71">
        <f t="shared" si="66"/>
        <v>6</v>
      </c>
      <c r="H2137" s="71">
        <f t="shared" si="67"/>
        <v>82</v>
      </c>
    </row>
    <row r="2138" spans="1:8" x14ac:dyDescent="0.2">
      <c r="A2138" s="71" t="s">
        <v>272</v>
      </c>
      <c r="B2138" s="71" t="s">
        <v>273</v>
      </c>
      <c r="C2138" s="71" t="s">
        <v>55</v>
      </c>
      <c r="D2138" s="88">
        <v>46190.681469907402</v>
      </c>
      <c r="E2138" s="89">
        <v>46190</v>
      </c>
      <c r="F2138" s="71" t="s">
        <v>2177</v>
      </c>
      <c r="G2138" s="71">
        <f t="shared" si="66"/>
        <v>6</v>
      </c>
      <c r="H2138" s="71">
        <f t="shared" si="67"/>
        <v>215</v>
      </c>
    </row>
    <row r="2139" spans="1:8" x14ac:dyDescent="0.2">
      <c r="A2139" s="71" t="s">
        <v>272</v>
      </c>
      <c r="B2139" s="71" t="s">
        <v>273</v>
      </c>
      <c r="C2139" s="71" t="s">
        <v>55</v>
      </c>
      <c r="D2139" s="88">
        <v>46191.801597222198</v>
      </c>
      <c r="E2139" s="89">
        <v>46191</v>
      </c>
      <c r="F2139" s="71" t="s">
        <v>2177</v>
      </c>
      <c r="G2139" s="71">
        <f t="shared" si="66"/>
        <v>6</v>
      </c>
      <c r="H2139" s="71">
        <f t="shared" si="67"/>
        <v>215</v>
      </c>
    </row>
    <row r="2140" spans="1:8" x14ac:dyDescent="0.2">
      <c r="A2140" s="71" t="s">
        <v>272</v>
      </c>
      <c r="B2140" s="71" t="s">
        <v>273</v>
      </c>
      <c r="C2140" s="71" t="s">
        <v>55</v>
      </c>
      <c r="D2140" s="88">
        <v>46192.690115740697</v>
      </c>
      <c r="E2140" s="89">
        <v>46192</v>
      </c>
      <c r="F2140" s="71" t="s">
        <v>2178</v>
      </c>
      <c r="G2140" s="71">
        <f t="shared" si="66"/>
        <v>6</v>
      </c>
      <c r="H2140" s="71">
        <f t="shared" si="67"/>
        <v>255</v>
      </c>
    </row>
    <row r="2141" spans="1:8" x14ac:dyDescent="0.2">
      <c r="A2141" s="71" t="s">
        <v>272</v>
      </c>
      <c r="B2141" s="71" t="s">
        <v>273</v>
      </c>
      <c r="C2141" s="71" t="s">
        <v>55</v>
      </c>
      <c r="D2141" s="88">
        <v>46195.697164351899</v>
      </c>
      <c r="E2141" s="89">
        <v>46195</v>
      </c>
      <c r="F2141" s="71" t="s">
        <v>2178</v>
      </c>
      <c r="G2141" s="71">
        <f t="shared" si="66"/>
        <v>6</v>
      </c>
      <c r="H2141" s="71">
        <f t="shared" si="67"/>
        <v>255</v>
      </c>
    </row>
    <row r="2142" spans="1:8" x14ac:dyDescent="0.2">
      <c r="A2142" s="71" t="s">
        <v>272</v>
      </c>
      <c r="B2142" s="71" t="s">
        <v>273</v>
      </c>
      <c r="C2142" s="71" t="s">
        <v>55</v>
      </c>
      <c r="D2142" s="88">
        <v>46196.6879050926</v>
      </c>
      <c r="E2142" s="89">
        <v>46196</v>
      </c>
      <c r="F2142" s="71" t="s">
        <v>2178</v>
      </c>
      <c r="G2142" s="71">
        <f t="shared" si="66"/>
        <v>6</v>
      </c>
      <c r="H2142" s="71">
        <f t="shared" si="67"/>
        <v>255</v>
      </c>
    </row>
    <row r="2143" spans="1:8" x14ac:dyDescent="0.2">
      <c r="A2143" s="71" t="s">
        <v>272</v>
      </c>
      <c r="B2143" s="71" t="s">
        <v>273</v>
      </c>
      <c r="C2143" s="71" t="s">
        <v>55</v>
      </c>
      <c r="D2143" s="88">
        <v>46197.7952546296</v>
      </c>
      <c r="E2143" s="89">
        <v>46197</v>
      </c>
      <c r="F2143" s="71" t="s">
        <v>2178</v>
      </c>
      <c r="G2143" s="71">
        <f t="shared" si="66"/>
        <v>6</v>
      </c>
      <c r="H2143" s="71">
        <f t="shared" si="67"/>
        <v>255</v>
      </c>
    </row>
    <row r="2144" spans="1:8" x14ac:dyDescent="0.2">
      <c r="A2144" s="71" t="s">
        <v>272</v>
      </c>
      <c r="B2144" s="71" t="s">
        <v>273</v>
      </c>
      <c r="C2144" s="71" t="s">
        <v>55</v>
      </c>
      <c r="D2144" s="88">
        <v>46198.703877314802</v>
      </c>
      <c r="E2144" s="89">
        <v>46198</v>
      </c>
      <c r="F2144" s="71" t="s">
        <v>2178</v>
      </c>
      <c r="G2144" s="71">
        <f t="shared" si="66"/>
        <v>6</v>
      </c>
      <c r="H2144" s="71">
        <f t="shared" si="67"/>
        <v>255</v>
      </c>
    </row>
    <row r="2145" spans="1:8" x14ac:dyDescent="0.2">
      <c r="A2145" s="71" t="s">
        <v>272</v>
      </c>
      <c r="B2145" s="71" t="s">
        <v>273</v>
      </c>
      <c r="C2145" s="71" t="s">
        <v>55</v>
      </c>
      <c r="D2145" s="88">
        <v>46199.696724537003</v>
      </c>
      <c r="E2145" s="89">
        <v>46199</v>
      </c>
      <c r="F2145" s="71" t="s">
        <v>2178</v>
      </c>
      <c r="G2145" s="71">
        <f t="shared" si="66"/>
        <v>6</v>
      </c>
      <c r="H2145" s="71">
        <f t="shared" si="67"/>
        <v>255</v>
      </c>
    </row>
    <row r="2146" spans="1:8" x14ac:dyDescent="0.2">
      <c r="A2146" s="71" t="s">
        <v>272</v>
      </c>
      <c r="B2146" s="71" t="s">
        <v>273</v>
      </c>
      <c r="C2146" s="71" t="s">
        <v>55</v>
      </c>
      <c r="D2146" s="88">
        <v>46202.709583333301</v>
      </c>
      <c r="E2146" s="89">
        <v>46202</v>
      </c>
      <c r="F2146" s="71" t="s">
        <v>2178</v>
      </c>
      <c r="G2146" s="71">
        <f t="shared" si="66"/>
        <v>6</v>
      </c>
      <c r="H2146" s="71">
        <f t="shared" si="67"/>
        <v>255</v>
      </c>
    </row>
    <row r="2147" spans="1:8" x14ac:dyDescent="0.2">
      <c r="A2147" s="71" t="s">
        <v>272</v>
      </c>
      <c r="B2147" s="71" t="s">
        <v>273</v>
      </c>
      <c r="C2147" s="71" t="s">
        <v>55</v>
      </c>
      <c r="D2147" s="88">
        <v>46204.718530092599</v>
      </c>
      <c r="E2147" s="89">
        <v>46204</v>
      </c>
      <c r="F2147" s="71" t="s">
        <v>2178</v>
      </c>
      <c r="G2147" s="71">
        <f t="shared" si="66"/>
        <v>7</v>
      </c>
      <c r="H2147" s="71">
        <f t="shared" si="67"/>
        <v>255</v>
      </c>
    </row>
    <row r="2148" spans="1:8" x14ac:dyDescent="0.2">
      <c r="A2148" s="71" t="s">
        <v>272</v>
      </c>
      <c r="B2148" s="71" t="s">
        <v>273</v>
      </c>
      <c r="C2148" s="71" t="s">
        <v>55</v>
      </c>
      <c r="D2148" s="88">
        <v>46205.695659722202</v>
      </c>
      <c r="E2148" s="89">
        <v>46205</v>
      </c>
      <c r="F2148" s="71" t="s">
        <v>2178</v>
      </c>
      <c r="G2148" s="71">
        <f t="shared" si="66"/>
        <v>7</v>
      </c>
      <c r="H2148" s="71">
        <f t="shared" si="67"/>
        <v>255</v>
      </c>
    </row>
    <row r="2149" spans="1:8" x14ac:dyDescent="0.2">
      <c r="A2149" s="71" t="s">
        <v>272</v>
      </c>
      <c r="B2149" s="71" t="s">
        <v>273</v>
      </c>
      <c r="C2149" s="71" t="s">
        <v>55</v>
      </c>
      <c r="D2149" s="88">
        <v>46206.697731481501</v>
      </c>
      <c r="E2149" s="89">
        <v>46206</v>
      </c>
      <c r="F2149" s="71" t="s">
        <v>2178</v>
      </c>
      <c r="G2149" s="71">
        <f t="shared" si="66"/>
        <v>7</v>
      </c>
      <c r="H2149" s="71">
        <f t="shared" si="67"/>
        <v>255</v>
      </c>
    </row>
    <row r="2150" spans="1:8" x14ac:dyDescent="0.2">
      <c r="A2150" s="71" t="s">
        <v>272</v>
      </c>
      <c r="B2150" s="71" t="s">
        <v>273</v>
      </c>
      <c r="C2150" s="71" t="s">
        <v>55</v>
      </c>
      <c r="D2150" s="88">
        <v>46209.699884259302</v>
      </c>
      <c r="E2150" s="89">
        <v>46209</v>
      </c>
      <c r="F2150" s="71" t="s">
        <v>2178</v>
      </c>
      <c r="G2150" s="71">
        <f t="shared" si="66"/>
        <v>7</v>
      </c>
      <c r="H2150" s="71">
        <f t="shared" si="67"/>
        <v>255</v>
      </c>
    </row>
    <row r="2151" spans="1:8" x14ac:dyDescent="0.2">
      <c r="A2151" s="71" t="s">
        <v>272</v>
      </c>
      <c r="B2151" s="71" t="s">
        <v>273</v>
      </c>
      <c r="C2151" s="71" t="s">
        <v>55</v>
      </c>
      <c r="D2151" s="88">
        <v>46210.700277777803</v>
      </c>
      <c r="E2151" s="89">
        <v>46210</v>
      </c>
      <c r="F2151" s="71" t="s">
        <v>2178</v>
      </c>
      <c r="G2151" s="71">
        <f t="shared" si="66"/>
        <v>7</v>
      </c>
      <c r="H2151" s="71">
        <f t="shared" si="67"/>
        <v>255</v>
      </c>
    </row>
    <row r="2152" spans="1:8" x14ac:dyDescent="0.2">
      <c r="A2152" s="71" t="s">
        <v>272</v>
      </c>
      <c r="B2152" s="71" t="s">
        <v>273</v>
      </c>
      <c r="C2152" s="71" t="s">
        <v>55</v>
      </c>
      <c r="D2152" s="88">
        <v>46211.747870370396</v>
      </c>
      <c r="E2152" s="89">
        <v>46211</v>
      </c>
      <c r="F2152" s="71" t="s">
        <v>2178</v>
      </c>
      <c r="G2152" s="71">
        <f t="shared" si="66"/>
        <v>7</v>
      </c>
      <c r="H2152" s="71">
        <f t="shared" si="67"/>
        <v>255</v>
      </c>
    </row>
    <row r="2153" spans="1:8" x14ac:dyDescent="0.2">
      <c r="A2153" s="71" t="s">
        <v>272</v>
      </c>
      <c r="B2153" s="71" t="s">
        <v>273</v>
      </c>
      <c r="C2153" s="71" t="s">
        <v>55</v>
      </c>
      <c r="D2153" s="88">
        <v>46212.689629629604</v>
      </c>
      <c r="E2153" s="89">
        <v>46212</v>
      </c>
      <c r="F2153" s="71" t="s">
        <v>2178</v>
      </c>
      <c r="G2153" s="71">
        <f t="shared" si="66"/>
        <v>7</v>
      </c>
      <c r="H2153" s="71">
        <f t="shared" si="67"/>
        <v>255</v>
      </c>
    </row>
    <row r="2154" spans="1:8" x14ac:dyDescent="0.2">
      <c r="A2154" s="71" t="s">
        <v>272</v>
      </c>
      <c r="B2154" s="71" t="s">
        <v>273</v>
      </c>
      <c r="C2154" s="71" t="s">
        <v>55</v>
      </c>
      <c r="D2154" s="88">
        <v>46213.717569444401</v>
      </c>
      <c r="E2154" s="89">
        <v>46213</v>
      </c>
      <c r="F2154" s="71" t="s">
        <v>2178</v>
      </c>
      <c r="G2154" s="71">
        <f t="shared" si="66"/>
        <v>7</v>
      </c>
      <c r="H2154" s="71">
        <f t="shared" si="67"/>
        <v>255</v>
      </c>
    </row>
    <row r="2155" spans="1:8" x14ac:dyDescent="0.2">
      <c r="A2155" s="71" t="s">
        <v>272</v>
      </c>
      <c r="B2155" s="71" t="s">
        <v>273</v>
      </c>
      <c r="C2155" s="71" t="s">
        <v>55</v>
      </c>
      <c r="D2155" s="88">
        <v>46216.691550925898</v>
      </c>
      <c r="E2155" s="89">
        <v>46216</v>
      </c>
      <c r="F2155" s="71" t="s">
        <v>2178</v>
      </c>
      <c r="G2155" s="71">
        <f t="shared" si="66"/>
        <v>7</v>
      </c>
      <c r="H2155" s="71">
        <f t="shared" si="67"/>
        <v>255</v>
      </c>
    </row>
    <row r="2156" spans="1:8" x14ac:dyDescent="0.2">
      <c r="A2156" s="71" t="s">
        <v>272</v>
      </c>
      <c r="B2156" s="71" t="s">
        <v>273</v>
      </c>
      <c r="C2156" s="71" t="s">
        <v>55</v>
      </c>
      <c r="D2156" s="88">
        <v>46217.703680555598</v>
      </c>
      <c r="E2156" s="89">
        <v>46217</v>
      </c>
      <c r="F2156" s="71" t="s">
        <v>2178</v>
      </c>
      <c r="G2156" s="71">
        <f t="shared" si="66"/>
        <v>7</v>
      </c>
      <c r="H2156" s="71">
        <f t="shared" si="67"/>
        <v>255</v>
      </c>
    </row>
    <row r="2157" spans="1:8" x14ac:dyDescent="0.2">
      <c r="A2157" s="71" t="s">
        <v>272</v>
      </c>
      <c r="B2157" s="71" t="s">
        <v>273</v>
      </c>
      <c r="C2157" s="71" t="s">
        <v>55</v>
      </c>
      <c r="D2157" s="88">
        <v>46218.696805555599</v>
      </c>
      <c r="E2157" s="89">
        <v>46218</v>
      </c>
      <c r="F2157" s="71" t="s">
        <v>2178</v>
      </c>
      <c r="G2157" s="71">
        <f t="shared" si="66"/>
        <v>7</v>
      </c>
      <c r="H2157" s="71">
        <f t="shared" si="67"/>
        <v>255</v>
      </c>
    </row>
    <row r="2158" spans="1:8" x14ac:dyDescent="0.2">
      <c r="A2158" s="71" t="s">
        <v>272</v>
      </c>
      <c r="B2158" s="71" t="s">
        <v>273</v>
      </c>
      <c r="C2158" s="71" t="s">
        <v>55</v>
      </c>
      <c r="D2158" s="88">
        <v>46219.731307870403</v>
      </c>
      <c r="E2158" s="89">
        <v>46219</v>
      </c>
      <c r="F2158" s="71" t="s">
        <v>2178</v>
      </c>
      <c r="G2158" s="71">
        <f t="shared" si="66"/>
        <v>7</v>
      </c>
      <c r="H2158" s="71">
        <f t="shared" si="67"/>
        <v>255</v>
      </c>
    </row>
    <row r="2159" spans="1:8" x14ac:dyDescent="0.2">
      <c r="A2159" s="71" t="s">
        <v>272</v>
      </c>
      <c r="B2159" s="71" t="s">
        <v>273</v>
      </c>
      <c r="C2159" s="71" t="s">
        <v>55</v>
      </c>
      <c r="D2159" s="88">
        <v>46220.722488425898</v>
      </c>
      <c r="E2159" s="89">
        <v>46220</v>
      </c>
      <c r="F2159" s="71" t="s">
        <v>2178</v>
      </c>
      <c r="G2159" s="71">
        <f t="shared" si="66"/>
        <v>7</v>
      </c>
      <c r="H2159" s="71">
        <f t="shared" si="67"/>
        <v>255</v>
      </c>
    </row>
    <row r="2160" spans="1:8" x14ac:dyDescent="0.2">
      <c r="A2160" s="71" t="s">
        <v>272</v>
      </c>
      <c r="B2160" s="71" t="s">
        <v>273</v>
      </c>
      <c r="C2160" s="71" t="s">
        <v>55</v>
      </c>
      <c r="D2160" s="88">
        <v>46223.706747685203</v>
      </c>
      <c r="E2160" s="89">
        <v>46223</v>
      </c>
      <c r="F2160" s="71" t="s">
        <v>2178</v>
      </c>
      <c r="G2160" s="71">
        <f t="shared" si="66"/>
        <v>7</v>
      </c>
      <c r="H2160" s="71">
        <f t="shared" si="67"/>
        <v>255</v>
      </c>
    </row>
    <row r="2161" spans="1:8" x14ac:dyDescent="0.2">
      <c r="A2161" s="71" t="s">
        <v>272</v>
      </c>
      <c r="B2161" s="71" t="s">
        <v>273</v>
      </c>
      <c r="C2161" s="71" t="s">
        <v>55</v>
      </c>
      <c r="D2161" s="88">
        <v>46224.693043981497</v>
      </c>
      <c r="E2161" s="89">
        <v>46224</v>
      </c>
      <c r="F2161" s="71" t="s">
        <v>2178</v>
      </c>
      <c r="G2161" s="71">
        <f t="shared" si="66"/>
        <v>7</v>
      </c>
      <c r="H2161" s="71">
        <f t="shared" si="67"/>
        <v>255</v>
      </c>
    </row>
    <row r="2162" spans="1:8" x14ac:dyDescent="0.2">
      <c r="A2162" s="71" t="s">
        <v>272</v>
      </c>
      <c r="B2162" s="71" t="s">
        <v>273</v>
      </c>
      <c r="C2162" s="71" t="s">
        <v>55</v>
      </c>
      <c r="D2162" s="88">
        <v>46225.3280787037</v>
      </c>
      <c r="E2162" s="89">
        <v>46225</v>
      </c>
      <c r="F2162" s="71" t="s">
        <v>2178</v>
      </c>
      <c r="G2162" s="71">
        <f t="shared" si="66"/>
        <v>7</v>
      </c>
      <c r="H2162" s="71">
        <f t="shared" si="67"/>
        <v>255</v>
      </c>
    </row>
    <row r="2163" spans="1:8" x14ac:dyDescent="0.2">
      <c r="A2163" s="71" t="s">
        <v>272</v>
      </c>
      <c r="B2163" s="71" t="s">
        <v>273</v>
      </c>
      <c r="C2163" s="71" t="s">
        <v>55</v>
      </c>
      <c r="D2163" s="88">
        <v>46226.729571759301</v>
      </c>
      <c r="E2163" s="89">
        <v>46226</v>
      </c>
      <c r="F2163" s="71" t="s">
        <v>2178</v>
      </c>
      <c r="G2163" s="71">
        <f t="shared" si="66"/>
        <v>7</v>
      </c>
      <c r="H2163" s="71">
        <f t="shared" si="67"/>
        <v>255</v>
      </c>
    </row>
    <row r="2164" spans="1:8" x14ac:dyDescent="0.2">
      <c r="A2164" s="71" t="s">
        <v>272</v>
      </c>
      <c r="B2164" s="71" t="s">
        <v>273</v>
      </c>
      <c r="C2164" s="71" t="s">
        <v>55</v>
      </c>
      <c r="D2164" s="88">
        <v>46227.689710648199</v>
      </c>
      <c r="E2164" s="89">
        <v>46227</v>
      </c>
      <c r="F2164" s="71" t="s">
        <v>2178</v>
      </c>
      <c r="G2164" s="71">
        <f t="shared" si="66"/>
        <v>7</v>
      </c>
      <c r="H2164" s="71">
        <f t="shared" si="67"/>
        <v>255</v>
      </c>
    </row>
    <row r="2165" spans="1:8" x14ac:dyDescent="0.2">
      <c r="A2165" s="71" t="s">
        <v>272</v>
      </c>
      <c r="B2165" s="71" t="s">
        <v>273</v>
      </c>
      <c r="C2165" s="71" t="s">
        <v>55</v>
      </c>
      <c r="D2165" s="88">
        <v>46230.740451388898</v>
      </c>
      <c r="E2165" s="89">
        <v>46230</v>
      </c>
      <c r="F2165" s="71" t="s">
        <v>2178</v>
      </c>
      <c r="G2165" s="71">
        <f t="shared" si="66"/>
        <v>7</v>
      </c>
      <c r="H2165" s="71">
        <f t="shared" si="67"/>
        <v>255</v>
      </c>
    </row>
    <row r="2166" spans="1:8" x14ac:dyDescent="0.2">
      <c r="A2166" s="71" t="s">
        <v>272</v>
      </c>
      <c r="B2166" s="71" t="s">
        <v>273</v>
      </c>
      <c r="C2166" s="71" t="s">
        <v>55</v>
      </c>
      <c r="D2166" s="88">
        <v>46231.716307870403</v>
      </c>
      <c r="E2166" s="89">
        <v>46231</v>
      </c>
      <c r="F2166" s="71" t="s">
        <v>2178</v>
      </c>
      <c r="G2166" s="71">
        <f t="shared" si="66"/>
        <v>7</v>
      </c>
      <c r="H2166" s="71">
        <f t="shared" si="67"/>
        <v>255</v>
      </c>
    </row>
    <row r="2167" spans="1:8" x14ac:dyDescent="0.2">
      <c r="A2167" s="71" t="s">
        <v>272</v>
      </c>
      <c r="B2167" s="71" t="s">
        <v>273</v>
      </c>
      <c r="C2167" s="71" t="s">
        <v>55</v>
      </c>
      <c r="D2167" s="88">
        <v>46232.645289351902</v>
      </c>
      <c r="E2167" s="89">
        <v>46232</v>
      </c>
      <c r="F2167" s="71" t="s">
        <v>2178</v>
      </c>
      <c r="G2167" s="71">
        <f t="shared" si="66"/>
        <v>7</v>
      </c>
      <c r="H2167" s="71">
        <f t="shared" si="67"/>
        <v>255</v>
      </c>
    </row>
    <row r="2168" spans="1:8" x14ac:dyDescent="0.2">
      <c r="A2168" s="71" t="s">
        <v>272</v>
      </c>
      <c r="B2168" s="71" t="s">
        <v>273</v>
      </c>
      <c r="C2168" s="71" t="s">
        <v>55</v>
      </c>
      <c r="D2168" s="88">
        <v>46233.777488425898</v>
      </c>
      <c r="E2168" s="89">
        <v>46233</v>
      </c>
      <c r="F2168" s="71" t="s">
        <v>2178</v>
      </c>
      <c r="G2168" s="71">
        <f t="shared" si="66"/>
        <v>7</v>
      </c>
      <c r="H2168" s="71">
        <f t="shared" si="67"/>
        <v>255</v>
      </c>
    </row>
    <row r="2169" spans="1:8" x14ac:dyDescent="0.2">
      <c r="A2169" s="71" t="s">
        <v>272</v>
      </c>
      <c r="B2169" s="71" t="s">
        <v>273</v>
      </c>
      <c r="C2169" s="71" t="s">
        <v>55</v>
      </c>
      <c r="D2169" s="88">
        <v>46234.730983796297</v>
      </c>
      <c r="E2169" s="89">
        <v>46234</v>
      </c>
      <c r="F2169" s="71" t="s">
        <v>2178</v>
      </c>
      <c r="G2169" s="71">
        <f t="shared" si="66"/>
        <v>7</v>
      </c>
      <c r="H2169" s="71">
        <f t="shared" si="67"/>
        <v>255</v>
      </c>
    </row>
    <row r="2170" spans="1:8" x14ac:dyDescent="0.2">
      <c r="A2170" s="71" t="s">
        <v>272</v>
      </c>
      <c r="B2170" s="71" t="s">
        <v>273</v>
      </c>
      <c r="C2170" s="71" t="s">
        <v>55</v>
      </c>
      <c r="D2170" s="88">
        <v>46237.692280092597</v>
      </c>
      <c r="E2170" s="89">
        <v>46237</v>
      </c>
      <c r="F2170" s="71" t="s">
        <v>2178</v>
      </c>
      <c r="G2170" s="71">
        <f t="shared" si="66"/>
        <v>8</v>
      </c>
      <c r="H2170" s="71">
        <f t="shared" si="67"/>
        <v>255</v>
      </c>
    </row>
    <row r="2171" spans="1:8" x14ac:dyDescent="0.2">
      <c r="A2171" s="71" t="s">
        <v>272</v>
      </c>
      <c r="B2171" s="71" t="s">
        <v>273</v>
      </c>
      <c r="C2171" s="71" t="s">
        <v>55</v>
      </c>
      <c r="D2171" s="88">
        <v>46238.719432870399</v>
      </c>
      <c r="E2171" s="89">
        <v>46238</v>
      </c>
      <c r="F2171" s="71" t="s">
        <v>2178</v>
      </c>
      <c r="G2171" s="71">
        <f t="shared" si="66"/>
        <v>8</v>
      </c>
      <c r="H2171" s="71">
        <f t="shared" si="67"/>
        <v>255</v>
      </c>
    </row>
    <row r="2172" spans="1:8" x14ac:dyDescent="0.2">
      <c r="A2172" s="71" t="s">
        <v>272</v>
      </c>
      <c r="B2172" s="71" t="s">
        <v>273</v>
      </c>
      <c r="C2172" s="71" t="s">
        <v>55</v>
      </c>
      <c r="D2172" s="88">
        <v>46239.698796296303</v>
      </c>
      <c r="E2172" s="89">
        <v>46239</v>
      </c>
      <c r="F2172" s="71" t="s">
        <v>2178</v>
      </c>
      <c r="G2172" s="71">
        <f t="shared" si="66"/>
        <v>8</v>
      </c>
      <c r="H2172" s="71">
        <f t="shared" si="67"/>
        <v>255</v>
      </c>
    </row>
    <row r="2173" spans="1:8" x14ac:dyDescent="0.2">
      <c r="A2173" s="71" t="s">
        <v>272</v>
      </c>
      <c r="B2173" s="71" t="s">
        <v>273</v>
      </c>
      <c r="C2173" s="71" t="s">
        <v>55</v>
      </c>
      <c r="D2173" s="88">
        <v>46240.688958333303</v>
      </c>
      <c r="E2173" s="89">
        <v>46240</v>
      </c>
      <c r="F2173" s="71" t="s">
        <v>2178</v>
      </c>
      <c r="G2173" s="71">
        <f t="shared" si="66"/>
        <v>8</v>
      </c>
      <c r="H2173" s="71">
        <f t="shared" si="67"/>
        <v>255</v>
      </c>
    </row>
    <row r="2174" spans="1:8" x14ac:dyDescent="0.2">
      <c r="A2174" s="71" t="s">
        <v>272</v>
      </c>
      <c r="B2174" s="71" t="s">
        <v>273</v>
      </c>
      <c r="C2174" s="71" t="s">
        <v>55</v>
      </c>
      <c r="D2174" s="88">
        <v>46241.688900462999</v>
      </c>
      <c r="E2174" s="89">
        <v>46241</v>
      </c>
      <c r="F2174" s="71" t="s">
        <v>2178</v>
      </c>
      <c r="G2174" s="71">
        <f t="shared" si="66"/>
        <v>8</v>
      </c>
      <c r="H2174" s="71">
        <f t="shared" si="67"/>
        <v>255</v>
      </c>
    </row>
    <row r="2175" spans="1:8" x14ac:dyDescent="0.2">
      <c r="A2175" s="71" t="s">
        <v>272</v>
      </c>
      <c r="B2175" s="71" t="s">
        <v>273</v>
      </c>
      <c r="C2175" s="71" t="s">
        <v>55</v>
      </c>
      <c r="D2175" s="88">
        <v>46244.715358796297</v>
      </c>
      <c r="E2175" s="89">
        <v>46244</v>
      </c>
      <c r="F2175" s="71" t="s">
        <v>2178</v>
      </c>
      <c r="G2175" s="71">
        <f t="shared" si="66"/>
        <v>8</v>
      </c>
      <c r="H2175" s="71">
        <f t="shared" si="67"/>
        <v>255</v>
      </c>
    </row>
    <row r="2176" spans="1:8" x14ac:dyDescent="0.2">
      <c r="A2176" s="71" t="s">
        <v>272</v>
      </c>
      <c r="B2176" s="71" t="s">
        <v>273</v>
      </c>
      <c r="C2176" s="71" t="s">
        <v>55</v>
      </c>
      <c r="D2176" s="88">
        <v>46245.691493055601</v>
      </c>
      <c r="E2176" s="89">
        <v>46245</v>
      </c>
      <c r="F2176" s="71" t="s">
        <v>2178</v>
      </c>
      <c r="G2176" s="71">
        <f t="shared" si="66"/>
        <v>8</v>
      </c>
      <c r="H2176" s="71">
        <f t="shared" si="67"/>
        <v>255</v>
      </c>
    </row>
    <row r="2177" spans="1:8" x14ac:dyDescent="0.2">
      <c r="A2177" s="71" t="s">
        <v>272</v>
      </c>
      <c r="B2177" s="71" t="s">
        <v>273</v>
      </c>
      <c r="C2177" s="71" t="s">
        <v>55</v>
      </c>
      <c r="D2177" s="88">
        <v>46246.691608796304</v>
      </c>
      <c r="E2177" s="89">
        <v>46246</v>
      </c>
      <c r="F2177" s="71" t="s">
        <v>2178</v>
      </c>
      <c r="G2177" s="71">
        <f t="shared" si="66"/>
        <v>8</v>
      </c>
      <c r="H2177" s="71">
        <f t="shared" si="67"/>
        <v>255</v>
      </c>
    </row>
    <row r="2178" spans="1:8" x14ac:dyDescent="0.2">
      <c r="A2178" s="71" t="s">
        <v>272</v>
      </c>
      <c r="B2178" s="71" t="s">
        <v>273</v>
      </c>
      <c r="C2178" s="71" t="s">
        <v>55</v>
      </c>
      <c r="D2178" s="88">
        <v>46247.690092592602</v>
      </c>
      <c r="E2178" s="89">
        <v>46247</v>
      </c>
      <c r="F2178" s="71" t="s">
        <v>2178</v>
      </c>
      <c r="G2178" s="71">
        <f t="shared" ref="G2178:G2241" si="68">MONTH(E2178)</f>
        <v>8</v>
      </c>
      <c r="H2178" s="71">
        <f t="shared" ref="H2178:H2241" si="69">LEN(F2178)</f>
        <v>255</v>
      </c>
    </row>
    <row r="2179" spans="1:8" x14ac:dyDescent="0.2">
      <c r="A2179" s="71" t="s">
        <v>272</v>
      </c>
      <c r="B2179" s="71" t="s">
        <v>273</v>
      </c>
      <c r="C2179" s="71" t="s">
        <v>55</v>
      </c>
      <c r="D2179" s="88">
        <v>46248.724525463003</v>
      </c>
      <c r="E2179" s="89">
        <v>46248</v>
      </c>
      <c r="F2179" s="71" t="s">
        <v>2178</v>
      </c>
      <c r="G2179" s="71">
        <f t="shared" si="68"/>
        <v>8</v>
      </c>
      <c r="H2179" s="71">
        <f t="shared" si="69"/>
        <v>255</v>
      </c>
    </row>
    <row r="2180" spans="1:8" x14ac:dyDescent="0.2">
      <c r="A2180" s="71" t="s">
        <v>272</v>
      </c>
      <c r="B2180" s="71" t="s">
        <v>273</v>
      </c>
      <c r="C2180" s="71" t="s">
        <v>55</v>
      </c>
      <c r="D2180" s="88">
        <v>46252.693634259304</v>
      </c>
      <c r="E2180" s="89">
        <v>46252</v>
      </c>
      <c r="F2180" s="71" t="s">
        <v>2178</v>
      </c>
      <c r="G2180" s="71">
        <f t="shared" si="68"/>
        <v>8</v>
      </c>
      <c r="H2180" s="71">
        <f t="shared" si="69"/>
        <v>255</v>
      </c>
    </row>
    <row r="2181" spans="1:8" x14ac:dyDescent="0.2">
      <c r="A2181" s="71" t="s">
        <v>272</v>
      </c>
      <c r="B2181" s="71" t="s">
        <v>273</v>
      </c>
      <c r="C2181" s="71" t="s">
        <v>55</v>
      </c>
      <c r="D2181" s="88">
        <v>46253.682037036997</v>
      </c>
      <c r="E2181" s="89">
        <v>46253</v>
      </c>
      <c r="F2181" s="71" t="s">
        <v>2179</v>
      </c>
      <c r="G2181" s="71">
        <f t="shared" si="68"/>
        <v>8</v>
      </c>
      <c r="H2181" s="71">
        <f t="shared" si="69"/>
        <v>191</v>
      </c>
    </row>
    <row r="2182" spans="1:8" x14ac:dyDescent="0.2">
      <c r="A2182" s="71" t="s">
        <v>272</v>
      </c>
      <c r="B2182" s="71" t="s">
        <v>273</v>
      </c>
      <c r="C2182" s="71" t="s">
        <v>55</v>
      </c>
      <c r="D2182" s="88">
        <v>46254.689722222203</v>
      </c>
      <c r="E2182" s="89">
        <v>46254</v>
      </c>
      <c r="F2182" s="71" t="s">
        <v>2180</v>
      </c>
      <c r="G2182" s="71">
        <f t="shared" si="68"/>
        <v>8</v>
      </c>
      <c r="H2182" s="71">
        <f t="shared" si="69"/>
        <v>214</v>
      </c>
    </row>
    <row r="2183" spans="1:8" x14ac:dyDescent="0.2">
      <c r="A2183" s="71" t="s">
        <v>272</v>
      </c>
      <c r="B2183" s="71" t="s">
        <v>273</v>
      </c>
      <c r="C2183" s="71" t="s">
        <v>55</v>
      </c>
      <c r="D2183" s="88">
        <v>46255.714814814797</v>
      </c>
      <c r="E2183" s="89">
        <v>46255</v>
      </c>
      <c r="F2183" s="71" t="s">
        <v>2181</v>
      </c>
      <c r="G2183" s="71">
        <f t="shared" si="68"/>
        <v>8</v>
      </c>
      <c r="H2183" s="71">
        <f t="shared" si="69"/>
        <v>211</v>
      </c>
    </row>
    <row r="2184" spans="1:8" x14ac:dyDescent="0.2">
      <c r="A2184" s="71" t="s">
        <v>272</v>
      </c>
      <c r="B2184" s="71" t="s">
        <v>273</v>
      </c>
      <c r="C2184" s="71" t="s">
        <v>55</v>
      </c>
      <c r="D2184" s="88">
        <v>46258.691574074102</v>
      </c>
      <c r="E2184" s="89">
        <v>46258</v>
      </c>
      <c r="F2184" s="71" t="s">
        <v>2182</v>
      </c>
      <c r="G2184" s="71">
        <f t="shared" si="68"/>
        <v>8</v>
      </c>
      <c r="H2184" s="71">
        <f t="shared" si="69"/>
        <v>131</v>
      </c>
    </row>
    <row r="2185" spans="1:8" x14ac:dyDescent="0.2">
      <c r="A2185" s="71" t="s">
        <v>272</v>
      </c>
      <c r="B2185" s="71" t="s">
        <v>273</v>
      </c>
      <c r="C2185" s="71" t="s">
        <v>55</v>
      </c>
      <c r="D2185" s="88">
        <v>46258.692476851902</v>
      </c>
      <c r="E2185" s="89">
        <v>46258</v>
      </c>
      <c r="F2185" s="71" t="s">
        <v>2183</v>
      </c>
      <c r="G2185" s="71">
        <f t="shared" si="68"/>
        <v>8</v>
      </c>
      <c r="H2185" s="71">
        <f t="shared" si="69"/>
        <v>128</v>
      </c>
    </row>
    <row r="2186" spans="1:8" x14ac:dyDescent="0.2">
      <c r="A2186" s="71" t="s">
        <v>272</v>
      </c>
      <c r="B2186" s="71" t="s">
        <v>273</v>
      </c>
      <c r="C2186" s="71" t="s">
        <v>55</v>
      </c>
      <c r="D2186" s="88">
        <v>46258.6928819444</v>
      </c>
      <c r="E2186" s="89">
        <v>46258</v>
      </c>
      <c r="F2186" s="71" t="s">
        <v>2184</v>
      </c>
      <c r="G2186" s="71">
        <f t="shared" si="68"/>
        <v>8</v>
      </c>
      <c r="H2186" s="71">
        <f t="shared" si="69"/>
        <v>109</v>
      </c>
    </row>
    <row r="2187" spans="1:8" x14ac:dyDescent="0.2">
      <c r="A2187" s="71" t="s">
        <v>272</v>
      </c>
      <c r="B2187" s="71" t="s">
        <v>273</v>
      </c>
      <c r="C2187" s="71" t="s">
        <v>55</v>
      </c>
      <c r="D2187" s="88">
        <v>46260.6942361111</v>
      </c>
      <c r="E2187" s="89">
        <v>46260</v>
      </c>
      <c r="F2187" s="71" t="s">
        <v>2183</v>
      </c>
      <c r="G2187" s="71">
        <f t="shared" si="68"/>
        <v>8</v>
      </c>
      <c r="H2187" s="71">
        <f t="shared" si="69"/>
        <v>128</v>
      </c>
    </row>
    <row r="2188" spans="1:8" x14ac:dyDescent="0.2">
      <c r="A2188" s="71" t="s">
        <v>272</v>
      </c>
      <c r="B2188" s="71" t="s">
        <v>273</v>
      </c>
      <c r="C2188" s="71" t="s">
        <v>55</v>
      </c>
      <c r="D2188" s="88">
        <v>46260.6945023148</v>
      </c>
      <c r="E2188" s="89">
        <v>46260</v>
      </c>
      <c r="F2188" s="71" t="s">
        <v>2184</v>
      </c>
      <c r="G2188" s="71">
        <f t="shared" si="68"/>
        <v>8</v>
      </c>
      <c r="H2188" s="71">
        <f t="shared" si="69"/>
        <v>109</v>
      </c>
    </row>
    <row r="2189" spans="1:8" x14ac:dyDescent="0.2">
      <c r="A2189" s="71" t="s">
        <v>272</v>
      </c>
      <c r="B2189" s="71" t="s">
        <v>273</v>
      </c>
      <c r="C2189" s="71" t="s">
        <v>55</v>
      </c>
      <c r="D2189" s="88">
        <v>46260.695335648197</v>
      </c>
      <c r="E2189" s="89">
        <v>46260</v>
      </c>
      <c r="F2189" s="71" t="s">
        <v>2182</v>
      </c>
      <c r="G2189" s="71">
        <f t="shared" si="68"/>
        <v>8</v>
      </c>
      <c r="H2189" s="71">
        <f t="shared" si="69"/>
        <v>131</v>
      </c>
    </row>
    <row r="2190" spans="1:8" x14ac:dyDescent="0.2">
      <c r="A2190" s="71" t="s">
        <v>272</v>
      </c>
      <c r="B2190" s="71" t="s">
        <v>273</v>
      </c>
      <c r="C2190" s="71" t="s">
        <v>55</v>
      </c>
      <c r="D2190" s="88">
        <v>46261.6949537037</v>
      </c>
      <c r="E2190" s="89">
        <v>46261</v>
      </c>
      <c r="F2190" s="71" t="s">
        <v>2182</v>
      </c>
      <c r="G2190" s="71">
        <f t="shared" si="68"/>
        <v>8</v>
      </c>
      <c r="H2190" s="71">
        <f t="shared" si="69"/>
        <v>131</v>
      </c>
    </row>
    <row r="2191" spans="1:8" x14ac:dyDescent="0.2">
      <c r="A2191" s="71" t="s">
        <v>272</v>
      </c>
      <c r="B2191" s="71" t="s">
        <v>273</v>
      </c>
      <c r="C2191" s="71" t="s">
        <v>55</v>
      </c>
      <c r="D2191" s="88">
        <v>46261.695659722202</v>
      </c>
      <c r="E2191" s="89">
        <v>46261</v>
      </c>
      <c r="F2191" s="71" t="s">
        <v>2184</v>
      </c>
      <c r="G2191" s="71">
        <f t="shared" si="68"/>
        <v>8</v>
      </c>
      <c r="H2191" s="71">
        <f t="shared" si="69"/>
        <v>109</v>
      </c>
    </row>
    <row r="2192" spans="1:8" x14ac:dyDescent="0.2">
      <c r="A2192" s="71" t="s">
        <v>272</v>
      </c>
      <c r="B2192" s="71" t="s">
        <v>273</v>
      </c>
      <c r="C2192" s="71" t="s">
        <v>55</v>
      </c>
      <c r="D2192" s="88">
        <v>46261.695972222202</v>
      </c>
      <c r="E2192" s="89">
        <v>46261</v>
      </c>
      <c r="F2192" s="71" t="s">
        <v>2183</v>
      </c>
      <c r="G2192" s="71">
        <f t="shared" si="68"/>
        <v>8</v>
      </c>
      <c r="H2192" s="71">
        <f t="shared" si="69"/>
        <v>128</v>
      </c>
    </row>
    <row r="2193" spans="1:8" x14ac:dyDescent="0.2">
      <c r="A2193" s="71" t="s">
        <v>272</v>
      </c>
      <c r="B2193" s="71" t="s">
        <v>273</v>
      </c>
      <c r="C2193" s="71" t="s">
        <v>55</v>
      </c>
      <c r="D2193" s="88">
        <v>46262.696099537003</v>
      </c>
      <c r="E2193" s="89">
        <v>46262</v>
      </c>
      <c r="F2193" s="71" t="s">
        <v>2183</v>
      </c>
      <c r="G2193" s="71">
        <f t="shared" si="68"/>
        <v>8</v>
      </c>
      <c r="H2193" s="71">
        <f t="shared" si="69"/>
        <v>128</v>
      </c>
    </row>
    <row r="2194" spans="1:8" x14ac:dyDescent="0.2">
      <c r="A2194" s="71" t="s">
        <v>272</v>
      </c>
      <c r="B2194" s="71" t="s">
        <v>273</v>
      </c>
      <c r="C2194" s="71" t="s">
        <v>55</v>
      </c>
      <c r="D2194" s="88">
        <v>46262.696504629603</v>
      </c>
      <c r="E2194" s="89">
        <v>46262</v>
      </c>
      <c r="F2194" s="71" t="s">
        <v>2184</v>
      </c>
      <c r="G2194" s="71">
        <f t="shared" si="68"/>
        <v>8</v>
      </c>
      <c r="H2194" s="71">
        <f t="shared" si="69"/>
        <v>109</v>
      </c>
    </row>
    <row r="2195" spans="1:8" x14ac:dyDescent="0.2">
      <c r="A2195" s="71" t="s">
        <v>272</v>
      </c>
      <c r="B2195" s="71" t="s">
        <v>273</v>
      </c>
      <c r="C2195" s="71" t="s">
        <v>55</v>
      </c>
      <c r="D2195" s="88">
        <v>46262.697418981501</v>
      </c>
      <c r="E2195" s="89">
        <v>46262</v>
      </c>
      <c r="F2195" s="71" t="s">
        <v>2182</v>
      </c>
      <c r="G2195" s="71">
        <f t="shared" si="68"/>
        <v>8</v>
      </c>
      <c r="H2195" s="71">
        <f t="shared" si="69"/>
        <v>131</v>
      </c>
    </row>
    <row r="2196" spans="1:8" x14ac:dyDescent="0.2">
      <c r="A2196" s="71">
        <v>85337263831</v>
      </c>
      <c r="B2196" s="71" t="s">
        <v>273</v>
      </c>
      <c r="C2196" s="71"/>
      <c r="D2196" s="88">
        <v>46265.721574074101</v>
      </c>
      <c r="E2196" s="89">
        <v>46265</v>
      </c>
      <c r="F2196" s="71" t="s">
        <v>2183</v>
      </c>
      <c r="G2196" s="71">
        <f t="shared" si="68"/>
        <v>8</v>
      </c>
      <c r="H2196" s="71">
        <f t="shared" si="69"/>
        <v>128</v>
      </c>
    </row>
    <row r="2197" spans="1:8" x14ac:dyDescent="0.2">
      <c r="A2197" s="71">
        <v>85337263831</v>
      </c>
      <c r="B2197" s="71" t="s">
        <v>273</v>
      </c>
      <c r="C2197" s="71"/>
      <c r="D2197" s="88">
        <v>46266.6968402778</v>
      </c>
      <c r="E2197" s="89">
        <v>46266</v>
      </c>
      <c r="F2197" s="71" t="s">
        <v>2183</v>
      </c>
      <c r="G2197" s="71">
        <f t="shared" si="68"/>
        <v>9</v>
      </c>
      <c r="H2197" s="71">
        <f t="shared" si="69"/>
        <v>128</v>
      </c>
    </row>
    <row r="2198" spans="1:8" x14ac:dyDescent="0.2">
      <c r="A2198" s="71">
        <v>85337263831</v>
      </c>
      <c r="B2198" s="71" t="s">
        <v>273</v>
      </c>
      <c r="C2198" s="71"/>
      <c r="D2198" s="88">
        <v>46267.692662037</v>
      </c>
      <c r="E2198" s="89">
        <v>46267</v>
      </c>
      <c r="F2198" s="71" t="s">
        <v>2182</v>
      </c>
      <c r="G2198" s="71">
        <f t="shared" si="68"/>
        <v>9</v>
      </c>
      <c r="H2198" s="71">
        <f t="shared" si="69"/>
        <v>131</v>
      </c>
    </row>
    <row r="2199" spans="1:8" x14ac:dyDescent="0.2">
      <c r="A2199" s="71">
        <v>85337263831</v>
      </c>
      <c r="B2199" s="71" t="s">
        <v>273</v>
      </c>
      <c r="C2199" s="71"/>
      <c r="D2199" s="88">
        <v>46267.6930671296</v>
      </c>
      <c r="E2199" s="89">
        <v>46267</v>
      </c>
      <c r="F2199" s="71" t="s">
        <v>2183</v>
      </c>
      <c r="G2199" s="71">
        <f t="shared" si="68"/>
        <v>9</v>
      </c>
      <c r="H2199" s="71">
        <f t="shared" si="69"/>
        <v>128</v>
      </c>
    </row>
    <row r="2200" spans="1:8" x14ac:dyDescent="0.2">
      <c r="A2200" s="71">
        <v>85337263831</v>
      </c>
      <c r="B2200" s="71" t="s">
        <v>273</v>
      </c>
      <c r="C2200" s="71"/>
      <c r="D2200" s="88">
        <v>46268.693842592598</v>
      </c>
      <c r="E2200" s="89">
        <v>46268</v>
      </c>
      <c r="F2200" s="71" t="s">
        <v>2183</v>
      </c>
      <c r="G2200" s="71">
        <f t="shared" si="68"/>
        <v>9</v>
      </c>
      <c r="H2200" s="71">
        <f t="shared" si="69"/>
        <v>128</v>
      </c>
    </row>
    <row r="2201" spans="1:8" x14ac:dyDescent="0.2">
      <c r="A2201" s="71">
        <v>85337263831</v>
      </c>
      <c r="B2201" s="71" t="s">
        <v>273</v>
      </c>
      <c r="C2201" s="71"/>
      <c r="D2201" s="88">
        <v>46268.6940972222</v>
      </c>
      <c r="E2201" s="89">
        <v>46268</v>
      </c>
      <c r="F2201" s="71" t="s">
        <v>2182</v>
      </c>
      <c r="G2201" s="71">
        <f t="shared" si="68"/>
        <v>9</v>
      </c>
      <c r="H2201" s="71">
        <f t="shared" si="69"/>
        <v>131</v>
      </c>
    </row>
    <row r="2202" spans="1:8" x14ac:dyDescent="0.2">
      <c r="A2202" s="71">
        <v>85337263831</v>
      </c>
      <c r="B2202" s="71" t="s">
        <v>273</v>
      </c>
      <c r="C2202" s="71"/>
      <c r="D2202" s="88">
        <v>46269.714780092603</v>
      </c>
      <c r="E2202" s="89">
        <v>46269</v>
      </c>
      <c r="F2202" s="71" t="s">
        <v>2182</v>
      </c>
      <c r="G2202" s="71">
        <f t="shared" si="68"/>
        <v>9</v>
      </c>
      <c r="H2202" s="71">
        <f t="shared" si="69"/>
        <v>131</v>
      </c>
    </row>
    <row r="2203" spans="1:8" x14ac:dyDescent="0.2">
      <c r="A2203" s="71">
        <v>85337263831</v>
      </c>
      <c r="B2203" s="71" t="s">
        <v>273</v>
      </c>
      <c r="C2203" s="71"/>
      <c r="D2203" s="88">
        <v>46272.690324074101</v>
      </c>
      <c r="E2203" s="89">
        <v>46272</v>
      </c>
      <c r="F2203" s="71" t="s">
        <v>2182</v>
      </c>
      <c r="G2203" s="71">
        <f t="shared" si="68"/>
        <v>9</v>
      </c>
      <c r="H2203" s="71">
        <f t="shared" si="69"/>
        <v>131</v>
      </c>
    </row>
    <row r="2204" spans="1:8" x14ac:dyDescent="0.2">
      <c r="A2204" s="71">
        <v>85337263831</v>
      </c>
      <c r="B2204" s="71" t="s">
        <v>273</v>
      </c>
      <c r="C2204" s="71"/>
      <c r="D2204" s="88">
        <v>46272.690868055601</v>
      </c>
      <c r="E2204" s="89">
        <v>46272</v>
      </c>
      <c r="F2204" s="71" t="s">
        <v>2183</v>
      </c>
      <c r="G2204" s="71">
        <f t="shared" si="68"/>
        <v>9</v>
      </c>
      <c r="H2204" s="71">
        <f t="shared" si="69"/>
        <v>128</v>
      </c>
    </row>
    <row r="2205" spans="1:8" x14ac:dyDescent="0.2">
      <c r="A2205" s="71">
        <v>85337263831</v>
      </c>
      <c r="B2205" s="71" t="s">
        <v>273</v>
      </c>
      <c r="C2205" s="71"/>
      <c r="D2205" s="88">
        <v>46272.692499999997</v>
      </c>
      <c r="E2205" s="89">
        <v>46272</v>
      </c>
      <c r="F2205" s="71" t="s">
        <v>2184</v>
      </c>
      <c r="G2205" s="71">
        <f t="shared" si="68"/>
        <v>9</v>
      </c>
      <c r="H2205" s="71">
        <f t="shared" si="69"/>
        <v>109</v>
      </c>
    </row>
    <row r="2206" spans="1:8" x14ac:dyDescent="0.2">
      <c r="A2206" s="71">
        <v>85337263831</v>
      </c>
      <c r="B2206" s="71" t="s">
        <v>273</v>
      </c>
      <c r="C2206" s="71"/>
      <c r="D2206" s="88">
        <v>46273.6941435185</v>
      </c>
      <c r="E2206" s="89">
        <v>46273</v>
      </c>
      <c r="F2206" s="71" t="s">
        <v>2184</v>
      </c>
      <c r="G2206" s="71">
        <f t="shared" si="68"/>
        <v>9</v>
      </c>
      <c r="H2206" s="71">
        <f t="shared" si="69"/>
        <v>109</v>
      </c>
    </row>
    <row r="2207" spans="1:8" x14ac:dyDescent="0.2">
      <c r="A2207" s="71">
        <v>85337263831</v>
      </c>
      <c r="B2207" s="71" t="s">
        <v>273</v>
      </c>
      <c r="C2207" s="71"/>
      <c r="D2207" s="88">
        <v>46273.6944560185</v>
      </c>
      <c r="E2207" s="89">
        <v>46273</v>
      </c>
      <c r="F2207" s="71" t="s">
        <v>2183</v>
      </c>
      <c r="G2207" s="71">
        <f t="shared" si="68"/>
        <v>9</v>
      </c>
      <c r="H2207" s="71">
        <f t="shared" si="69"/>
        <v>128</v>
      </c>
    </row>
    <row r="2208" spans="1:8" x14ac:dyDescent="0.2">
      <c r="A2208" s="71">
        <v>85337263831</v>
      </c>
      <c r="B2208" s="71" t="s">
        <v>273</v>
      </c>
      <c r="C2208" s="71"/>
      <c r="D2208" s="88">
        <v>46273.695127314801</v>
      </c>
      <c r="E2208" s="89">
        <v>46273</v>
      </c>
      <c r="F2208" s="71" t="s">
        <v>2182</v>
      </c>
      <c r="G2208" s="71">
        <f t="shared" si="68"/>
        <v>9</v>
      </c>
      <c r="H2208" s="71">
        <f t="shared" si="69"/>
        <v>131</v>
      </c>
    </row>
    <row r="2209" spans="1:8" x14ac:dyDescent="0.2">
      <c r="A2209" s="71">
        <v>85337263831</v>
      </c>
      <c r="B2209" s="71" t="s">
        <v>273</v>
      </c>
      <c r="C2209" s="71"/>
      <c r="D2209" s="88">
        <v>46274.6972916667</v>
      </c>
      <c r="E2209" s="89">
        <v>46274</v>
      </c>
      <c r="F2209" s="71" t="s">
        <v>2182</v>
      </c>
      <c r="G2209" s="71">
        <f t="shared" si="68"/>
        <v>9</v>
      </c>
      <c r="H2209" s="71">
        <f t="shared" si="69"/>
        <v>131</v>
      </c>
    </row>
    <row r="2210" spans="1:8" x14ac:dyDescent="0.2">
      <c r="A2210" s="71">
        <v>85337263831</v>
      </c>
      <c r="B2210" s="71" t="s">
        <v>273</v>
      </c>
      <c r="C2210" s="71"/>
      <c r="D2210" s="88">
        <v>46274.698032407403</v>
      </c>
      <c r="E2210" s="89">
        <v>46274</v>
      </c>
      <c r="F2210" s="71" t="s">
        <v>2185</v>
      </c>
      <c r="G2210" s="71">
        <f t="shared" si="68"/>
        <v>9</v>
      </c>
      <c r="H2210" s="71">
        <f t="shared" si="69"/>
        <v>130</v>
      </c>
    </row>
    <row r="2211" spans="1:8" x14ac:dyDescent="0.2">
      <c r="A2211" s="71">
        <v>85337263831</v>
      </c>
      <c r="B2211" s="71" t="s">
        <v>273</v>
      </c>
      <c r="C2211" s="71"/>
      <c r="D2211" s="88">
        <v>46274.698437500003</v>
      </c>
      <c r="E2211" s="89">
        <v>46274</v>
      </c>
      <c r="F2211" s="71" t="s">
        <v>2184</v>
      </c>
      <c r="G2211" s="71">
        <f t="shared" si="68"/>
        <v>9</v>
      </c>
      <c r="H2211" s="71">
        <f t="shared" si="69"/>
        <v>109</v>
      </c>
    </row>
    <row r="2212" spans="1:8" x14ac:dyDescent="0.2">
      <c r="A2212" s="71">
        <v>85337263831</v>
      </c>
      <c r="B2212" s="71" t="s">
        <v>273</v>
      </c>
      <c r="C2212" s="71"/>
      <c r="D2212" s="88">
        <v>46275.693310185197</v>
      </c>
      <c r="E2212" s="89">
        <v>46275</v>
      </c>
      <c r="F2212" s="71" t="s">
        <v>2184</v>
      </c>
      <c r="G2212" s="71">
        <f t="shared" si="68"/>
        <v>9</v>
      </c>
      <c r="H2212" s="71">
        <f t="shared" si="69"/>
        <v>109</v>
      </c>
    </row>
    <row r="2213" spans="1:8" x14ac:dyDescent="0.2">
      <c r="A2213" s="71">
        <v>85337263831</v>
      </c>
      <c r="B2213" s="71" t="s">
        <v>273</v>
      </c>
      <c r="C2213" s="71"/>
      <c r="D2213" s="88">
        <v>46275.693761574097</v>
      </c>
      <c r="E2213" s="89">
        <v>46275</v>
      </c>
      <c r="F2213" s="71" t="s">
        <v>2182</v>
      </c>
      <c r="G2213" s="71">
        <f t="shared" si="68"/>
        <v>9</v>
      </c>
      <c r="H2213" s="71">
        <f t="shared" si="69"/>
        <v>131</v>
      </c>
    </row>
    <row r="2214" spans="1:8" x14ac:dyDescent="0.2">
      <c r="A2214" s="71">
        <v>85337263831</v>
      </c>
      <c r="B2214" s="71" t="s">
        <v>273</v>
      </c>
      <c r="C2214" s="71"/>
      <c r="D2214" s="88">
        <v>46275.6945023148</v>
      </c>
      <c r="E2214" s="89">
        <v>46275</v>
      </c>
      <c r="F2214" s="71" t="s">
        <v>2183</v>
      </c>
      <c r="G2214" s="71">
        <f t="shared" si="68"/>
        <v>9</v>
      </c>
      <c r="H2214" s="71">
        <f t="shared" si="69"/>
        <v>128</v>
      </c>
    </row>
    <row r="2215" spans="1:8" x14ac:dyDescent="0.2">
      <c r="A2215" s="71">
        <v>85337263831</v>
      </c>
      <c r="B2215" s="71" t="s">
        <v>273</v>
      </c>
      <c r="C2215" s="71"/>
      <c r="D2215" s="88">
        <v>46276.6896180556</v>
      </c>
      <c r="E2215" s="89">
        <v>46276</v>
      </c>
      <c r="F2215" s="71" t="s">
        <v>2186</v>
      </c>
      <c r="G2215" s="71">
        <f t="shared" si="68"/>
        <v>9</v>
      </c>
      <c r="H2215" s="71">
        <f t="shared" si="69"/>
        <v>112</v>
      </c>
    </row>
    <row r="2216" spans="1:8" x14ac:dyDescent="0.2">
      <c r="A2216" s="71">
        <v>85337263831</v>
      </c>
      <c r="B2216" s="71" t="s">
        <v>273</v>
      </c>
      <c r="C2216" s="71"/>
      <c r="D2216" s="88">
        <v>46279.6896180556</v>
      </c>
      <c r="E2216" s="89">
        <v>46279</v>
      </c>
      <c r="F2216" s="71" t="s">
        <v>2184</v>
      </c>
      <c r="G2216" s="71">
        <f t="shared" si="68"/>
        <v>9</v>
      </c>
      <c r="H2216" s="71">
        <f t="shared" si="69"/>
        <v>109</v>
      </c>
    </row>
    <row r="2217" spans="1:8" x14ac:dyDescent="0.2">
      <c r="A2217" s="71">
        <v>85337263831</v>
      </c>
      <c r="B2217" s="71" t="s">
        <v>273</v>
      </c>
      <c r="C2217" s="71"/>
      <c r="D2217" s="88">
        <v>46280.6906018519</v>
      </c>
      <c r="E2217" s="89">
        <v>46280</v>
      </c>
      <c r="F2217" s="71" t="s">
        <v>2184</v>
      </c>
      <c r="G2217" s="71">
        <f t="shared" si="68"/>
        <v>9</v>
      </c>
      <c r="H2217" s="71">
        <f t="shared" si="69"/>
        <v>109</v>
      </c>
    </row>
    <row r="2218" spans="1:8" x14ac:dyDescent="0.2">
      <c r="A2218" s="71">
        <v>85337263831</v>
      </c>
      <c r="B2218" s="71" t="s">
        <v>273</v>
      </c>
      <c r="C2218" s="71"/>
      <c r="D2218" s="88">
        <v>46280.690914351901</v>
      </c>
      <c r="E2218" s="89">
        <v>46280</v>
      </c>
      <c r="F2218" s="71" t="s">
        <v>2183</v>
      </c>
      <c r="G2218" s="71">
        <f t="shared" si="68"/>
        <v>9</v>
      </c>
      <c r="H2218" s="71">
        <f t="shared" si="69"/>
        <v>128</v>
      </c>
    </row>
    <row r="2219" spans="1:8" x14ac:dyDescent="0.2">
      <c r="A2219" s="71">
        <v>85337263831</v>
      </c>
      <c r="B2219" s="71" t="s">
        <v>273</v>
      </c>
      <c r="C2219" s="71"/>
      <c r="D2219" s="88">
        <v>46280.691585648201</v>
      </c>
      <c r="E2219" s="89">
        <v>46280</v>
      </c>
      <c r="F2219" s="71" t="s">
        <v>2182</v>
      </c>
      <c r="G2219" s="71">
        <f t="shared" si="68"/>
        <v>9</v>
      </c>
      <c r="H2219" s="71">
        <f t="shared" si="69"/>
        <v>131</v>
      </c>
    </row>
    <row r="2220" spans="1:8" x14ac:dyDescent="0.2">
      <c r="A2220" s="71">
        <v>85337263831</v>
      </c>
      <c r="B2220" s="71" t="s">
        <v>273</v>
      </c>
      <c r="C2220" s="71"/>
      <c r="D2220" s="88">
        <v>46281.699675925898</v>
      </c>
      <c r="E2220" s="89">
        <v>46281</v>
      </c>
      <c r="F2220" s="71" t="s">
        <v>2182</v>
      </c>
      <c r="G2220" s="71">
        <f t="shared" si="68"/>
        <v>9</v>
      </c>
      <c r="H2220" s="71">
        <f t="shared" si="69"/>
        <v>131</v>
      </c>
    </row>
    <row r="2221" spans="1:8" x14ac:dyDescent="0.2">
      <c r="A2221" s="71">
        <v>85337263831</v>
      </c>
      <c r="B2221" s="71" t="s">
        <v>273</v>
      </c>
      <c r="C2221" s="71"/>
      <c r="D2221" s="88">
        <v>46281.700300925899</v>
      </c>
      <c r="E2221" s="89">
        <v>46281</v>
      </c>
      <c r="F2221" s="71" t="s">
        <v>2183</v>
      </c>
      <c r="G2221" s="71">
        <f t="shared" si="68"/>
        <v>9</v>
      </c>
      <c r="H2221" s="71">
        <f t="shared" si="69"/>
        <v>128</v>
      </c>
    </row>
    <row r="2222" spans="1:8" x14ac:dyDescent="0.2">
      <c r="A2222" s="71">
        <v>85337263831</v>
      </c>
      <c r="B2222" s="71" t="s">
        <v>273</v>
      </c>
      <c r="C2222" s="71"/>
      <c r="D2222" s="88">
        <v>46281.701018518499</v>
      </c>
      <c r="E2222" s="89">
        <v>46281</v>
      </c>
      <c r="F2222" s="71" t="s">
        <v>2184</v>
      </c>
      <c r="G2222" s="71">
        <f t="shared" si="68"/>
        <v>9</v>
      </c>
      <c r="H2222" s="71">
        <f t="shared" si="69"/>
        <v>109</v>
      </c>
    </row>
    <row r="2223" spans="1:8" x14ac:dyDescent="0.2">
      <c r="A2223" s="71">
        <v>85337263831</v>
      </c>
      <c r="B2223" s="71" t="s">
        <v>273</v>
      </c>
      <c r="C2223" s="71"/>
      <c r="D2223" s="88">
        <v>46282.729201388902</v>
      </c>
      <c r="E2223" s="89">
        <v>46282</v>
      </c>
      <c r="F2223" s="71" t="s">
        <v>2184</v>
      </c>
      <c r="G2223" s="71">
        <f t="shared" si="68"/>
        <v>9</v>
      </c>
      <c r="H2223" s="71">
        <f t="shared" si="69"/>
        <v>109</v>
      </c>
    </row>
    <row r="2224" spans="1:8" x14ac:dyDescent="0.2">
      <c r="A2224" s="71">
        <v>85337263831</v>
      </c>
      <c r="B2224" s="71" t="s">
        <v>273</v>
      </c>
      <c r="C2224" s="71"/>
      <c r="D2224" s="88">
        <v>46283.728009259299</v>
      </c>
      <c r="E2224" s="89">
        <v>46283</v>
      </c>
      <c r="F2224" s="71" t="s">
        <v>2183</v>
      </c>
      <c r="G2224" s="71">
        <f t="shared" si="68"/>
        <v>9</v>
      </c>
      <c r="H2224" s="71">
        <f t="shared" si="69"/>
        <v>128</v>
      </c>
    </row>
    <row r="2225" spans="1:8" x14ac:dyDescent="0.2">
      <c r="A2225" s="71">
        <v>85337263831</v>
      </c>
      <c r="B2225" s="71" t="s">
        <v>273</v>
      </c>
      <c r="C2225" s="71"/>
      <c r="D2225" s="88">
        <v>46286.699340277803</v>
      </c>
      <c r="E2225" s="89">
        <v>46286</v>
      </c>
      <c r="F2225" s="71" t="s">
        <v>2183</v>
      </c>
      <c r="G2225" s="71">
        <f t="shared" si="68"/>
        <v>9</v>
      </c>
      <c r="H2225" s="71">
        <f t="shared" si="69"/>
        <v>128</v>
      </c>
    </row>
    <row r="2226" spans="1:8" x14ac:dyDescent="0.2">
      <c r="A2226" s="71">
        <v>85337263831</v>
      </c>
      <c r="B2226" s="71" t="s">
        <v>273</v>
      </c>
      <c r="C2226" s="71"/>
      <c r="D2226" s="88">
        <v>46287.694201388898</v>
      </c>
      <c r="E2226" s="89">
        <v>46287</v>
      </c>
      <c r="F2226" s="71" t="s">
        <v>2184</v>
      </c>
      <c r="G2226" s="71">
        <f t="shared" si="68"/>
        <v>9</v>
      </c>
      <c r="H2226" s="71">
        <f t="shared" si="69"/>
        <v>109</v>
      </c>
    </row>
    <row r="2227" spans="1:8" x14ac:dyDescent="0.2">
      <c r="A2227" s="71">
        <v>85337263831</v>
      </c>
      <c r="B2227" s="71" t="s">
        <v>273</v>
      </c>
      <c r="C2227" s="71"/>
      <c r="D2227" s="88">
        <v>46287.694791666698</v>
      </c>
      <c r="E2227" s="89">
        <v>46287</v>
      </c>
      <c r="F2227" s="71" t="s">
        <v>2187</v>
      </c>
      <c r="G2227" s="71">
        <f t="shared" si="68"/>
        <v>9</v>
      </c>
      <c r="H2227" s="71">
        <f t="shared" si="69"/>
        <v>111</v>
      </c>
    </row>
    <row r="2228" spans="1:8" x14ac:dyDescent="0.2">
      <c r="A2228" s="71">
        <v>85337263831</v>
      </c>
      <c r="B2228" s="71" t="s">
        <v>273</v>
      </c>
      <c r="C2228" s="71"/>
      <c r="D2228" s="88">
        <v>46287.6952662037</v>
      </c>
      <c r="E2228" s="89">
        <v>46287</v>
      </c>
      <c r="F2228" s="71" t="s">
        <v>2182</v>
      </c>
      <c r="G2228" s="71">
        <f t="shared" si="68"/>
        <v>9</v>
      </c>
      <c r="H2228" s="71">
        <f t="shared" si="69"/>
        <v>131</v>
      </c>
    </row>
    <row r="2229" spans="1:8" x14ac:dyDescent="0.2">
      <c r="A2229" s="71">
        <v>85337263831</v>
      </c>
      <c r="B2229" s="71" t="s">
        <v>273</v>
      </c>
      <c r="C2229" s="71"/>
      <c r="D2229" s="88">
        <v>46288.689918981501</v>
      </c>
      <c r="E2229" s="89">
        <v>46288</v>
      </c>
      <c r="F2229" s="71" t="s">
        <v>2182</v>
      </c>
      <c r="G2229" s="71">
        <f t="shared" si="68"/>
        <v>9</v>
      </c>
      <c r="H2229" s="71">
        <f t="shared" si="69"/>
        <v>131</v>
      </c>
    </row>
    <row r="2230" spans="1:8" x14ac:dyDescent="0.2">
      <c r="A2230" s="71">
        <v>85337263831</v>
      </c>
      <c r="B2230" s="71" t="s">
        <v>273</v>
      </c>
      <c r="C2230" s="71"/>
      <c r="D2230" s="88">
        <v>46288.690462963001</v>
      </c>
      <c r="E2230" s="89">
        <v>46288</v>
      </c>
      <c r="F2230" s="71" t="s">
        <v>2187</v>
      </c>
      <c r="G2230" s="71">
        <f t="shared" si="68"/>
        <v>9</v>
      </c>
      <c r="H2230" s="71">
        <f t="shared" si="69"/>
        <v>111</v>
      </c>
    </row>
    <row r="2231" spans="1:8" x14ac:dyDescent="0.2">
      <c r="A2231" s="71">
        <v>85337263831</v>
      </c>
      <c r="B2231" s="71" t="s">
        <v>273</v>
      </c>
      <c r="C2231" s="71"/>
      <c r="D2231" s="88">
        <v>46288.690879629597</v>
      </c>
      <c r="E2231" s="89">
        <v>46288</v>
      </c>
      <c r="F2231" s="71" t="s">
        <v>2184</v>
      </c>
      <c r="G2231" s="71">
        <f t="shared" si="68"/>
        <v>9</v>
      </c>
      <c r="H2231" s="71">
        <f t="shared" si="69"/>
        <v>109</v>
      </c>
    </row>
    <row r="2232" spans="1:8" x14ac:dyDescent="0.2">
      <c r="A2232" s="71">
        <v>85337263831</v>
      </c>
      <c r="B2232" s="71" t="s">
        <v>273</v>
      </c>
      <c r="C2232" s="71"/>
      <c r="D2232" s="88">
        <v>46289.706157407403</v>
      </c>
      <c r="E2232" s="89">
        <v>46289</v>
      </c>
      <c r="F2232" s="71" t="s">
        <v>2184</v>
      </c>
      <c r="G2232" s="71">
        <f t="shared" si="68"/>
        <v>9</v>
      </c>
      <c r="H2232" s="71">
        <f t="shared" si="69"/>
        <v>109</v>
      </c>
    </row>
    <row r="2233" spans="1:8" x14ac:dyDescent="0.2">
      <c r="A2233" s="71">
        <v>85337263831</v>
      </c>
      <c r="B2233" s="71" t="s">
        <v>273</v>
      </c>
      <c r="C2233" s="71"/>
      <c r="D2233" s="88">
        <v>46289.706319444398</v>
      </c>
      <c r="E2233" s="89">
        <v>46289</v>
      </c>
      <c r="F2233" s="71" t="s">
        <v>2187</v>
      </c>
      <c r="G2233" s="71">
        <f t="shared" si="68"/>
        <v>9</v>
      </c>
      <c r="H2233" s="71">
        <f t="shared" si="69"/>
        <v>111</v>
      </c>
    </row>
    <row r="2234" spans="1:8" x14ac:dyDescent="0.2">
      <c r="A2234" s="71">
        <v>85337263831</v>
      </c>
      <c r="B2234" s="71" t="s">
        <v>273</v>
      </c>
      <c r="C2234" s="71"/>
      <c r="D2234" s="88">
        <v>46289.706527777802</v>
      </c>
      <c r="E2234" s="89">
        <v>46289</v>
      </c>
      <c r="F2234" s="71" t="s">
        <v>2182</v>
      </c>
      <c r="G2234" s="71">
        <f t="shared" si="68"/>
        <v>9</v>
      </c>
      <c r="H2234" s="71">
        <f t="shared" si="69"/>
        <v>131</v>
      </c>
    </row>
    <row r="2235" spans="1:8" x14ac:dyDescent="0.2">
      <c r="A2235" s="71">
        <v>85337263831</v>
      </c>
      <c r="B2235" s="71" t="s">
        <v>273</v>
      </c>
      <c r="C2235" s="71"/>
      <c r="D2235" s="88">
        <v>46290.691990740699</v>
      </c>
      <c r="E2235" s="89">
        <v>46290</v>
      </c>
      <c r="F2235" s="71" t="s">
        <v>2182</v>
      </c>
      <c r="G2235" s="71">
        <f t="shared" si="68"/>
        <v>9</v>
      </c>
      <c r="H2235" s="71">
        <f t="shared" si="69"/>
        <v>131</v>
      </c>
    </row>
    <row r="2236" spans="1:8" x14ac:dyDescent="0.2">
      <c r="A2236" s="71">
        <v>85337263831</v>
      </c>
      <c r="B2236" s="71" t="s">
        <v>273</v>
      </c>
      <c r="C2236" s="71"/>
      <c r="D2236" s="88">
        <v>46290.692337963003</v>
      </c>
      <c r="E2236" s="89">
        <v>46290</v>
      </c>
      <c r="F2236" s="71" t="s">
        <v>2187</v>
      </c>
      <c r="G2236" s="71">
        <f t="shared" si="68"/>
        <v>9</v>
      </c>
      <c r="H2236" s="71">
        <f t="shared" si="69"/>
        <v>111</v>
      </c>
    </row>
    <row r="2237" spans="1:8" x14ac:dyDescent="0.2">
      <c r="A2237" s="71">
        <v>85337263831</v>
      </c>
      <c r="B2237" s="71" t="s">
        <v>273</v>
      </c>
      <c r="C2237" s="71"/>
      <c r="D2237" s="88">
        <v>46290.693148148202</v>
      </c>
      <c r="E2237" s="89">
        <v>46290</v>
      </c>
      <c r="F2237" s="71" t="s">
        <v>2184</v>
      </c>
      <c r="G2237" s="71">
        <f t="shared" si="68"/>
        <v>9</v>
      </c>
      <c r="H2237" s="71">
        <f t="shared" si="69"/>
        <v>109</v>
      </c>
    </row>
    <row r="2238" spans="1:8" x14ac:dyDescent="0.2">
      <c r="A2238" s="71">
        <v>85337263831</v>
      </c>
      <c r="B2238" s="71" t="s">
        <v>273</v>
      </c>
      <c r="C2238" s="71"/>
      <c r="D2238" s="88">
        <v>46293.693032407398</v>
      </c>
      <c r="E2238" s="89">
        <v>46293</v>
      </c>
      <c r="F2238" s="71" t="s">
        <v>2184</v>
      </c>
      <c r="G2238" s="71">
        <f t="shared" si="68"/>
        <v>9</v>
      </c>
      <c r="H2238" s="71">
        <f t="shared" si="69"/>
        <v>109</v>
      </c>
    </row>
    <row r="2239" spans="1:8" x14ac:dyDescent="0.2">
      <c r="A2239" s="71">
        <v>85337263831</v>
      </c>
      <c r="B2239" s="71" t="s">
        <v>273</v>
      </c>
      <c r="C2239" s="71"/>
      <c r="D2239" s="88">
        <v>46293.693449074097</v>
      </c>
      <c r="E2239" s="89">
        <v>46293</v>
      </c>
      <c r="F2239" s="71" t="s">
        <v>2187</v>
      </c>
      <c r="G2239" s="71">
        <f t="shared" si="68"/>
        <v>9</v>
      </c>
      <c r="H2239" s="71">
        <f t="shared" si="69"/>
        <v>111</v>
      </c>
    </row>
    <row r="2240" spans="1:8" x14ac:dyDescent="0.2">
      <c r="A2240" s="71">
        <v>85337263831</v>
      </c>
      <c r="B2240" s="71" t="s">
        <v>273</v>
      </c>
      <c r="C2240" s="71"/>
      <c r="D2240" s="88">
        <v>46293.693969907399</v>
      </c>
      <c r="E2240" s="89">
        <v>46293</v>
      </c>
      <c r="F2240" s="71" t="s">
        <v>2182</v>
      </c>
      <c r="G2240" s="71">
        <f t="shared" si="68"/>
        <v>9</v>
      </c>
      <c r="H2240" s="71">
        <f t="shared" si="69"/>
        <v>131</v>
      </c>
    </row>
    <row r="2241" spans="1:8" x14ac:dyDescent="0.2">
      <c r="A2241" s="71">
        <v>85337263831</v>
      </c>
      <c r="B2241" s="71" t="s">
        <v>273</v>
      </c>
      <c r="C2241" s="71"/>
      <c r="D2241" s="88">
        <v>46294.711597222202</v>
      </c>
      <c r="E2241" s="89">
        <v>46294</v>
      </c>
      <c r="F2241" s="71" t="s">
        <v>2182</v>
      </c>
      <c r="G2241" s="71">
        <f t="shared" si="68"/>
        <v>9</v>
      </c>
      <c r="H2241" s="71">
        <f t="shared" si="69"/>
        <v>131</v>
      </c>
    </row>
    <row r="2242" spans="1:8" x14ac:dyDescent="0.2">
      <c r="A2242" s="71">
        <v>85337263831</v>
      </c>
      <c r="B2242" s="71" t="s">
        <v>273</v>
      </c>
      <c r="C2242" s="71"/>
      <c r="D2242" s="88">
        <v>46294.712048611102</v>
      </c>
      <c r="E2242" s="89">
        <v>46294</v>
      </c>
      <c r="F2242" s="71" t="s">
        <v>2187</v>
      </c>
      <c r="G2242" s="71">
        <f t="shared" ref="G2242:G2305" si="70">MONTH(E2242)</f>
        <v>9</v>
      </c>
      <c r="H2242" s="71">
        <f t="shared" ref="H2242:H2305" si="71">LEN(F2242)</f>
        <v>111</v>
      </c>
    </row>
    <row r="2243" spans="1:8" x14ac:dyDescent="0.2">
      <c r="A2243" s="71">
        <v>85337263831</v>
      </c>
      <c r="B2243" s="71" t="s">
        <v>273</v>
      </c>
      <c r="C2243" s="71"/>
      <c r="D2243" s="88">
        <v>46294.712442129603</v>
      </c>
      <c r="E2243" s="89">
        <v>46294</v>
      </c>
      <c r="F2243" s="71" t="s">
        <v>2184</v>
      </c>
      <c r="G2243" s="71">
        <f t="shared" si="70"/>
        <v>9</v>
      </c>
      <c r="H2243" s="71">
        <f t="shared" si="71"/>
        <v>109</v>
      </c>
    </row>
    <row r="2244" spans="1:8" x14ac:dyDescent="0.2">
      <c r="A2244" s="71">
        <v>85337263831</v>
      </c>
      <c r="B2244" s="71" t="s">
        <v>273</v>
      </c>
      <c r="C2244" s="71"/>
      <c r="D2244" s="88">
        <v>46295.706435185202</v>
      </c>
      <c r="E2244" s="89">
        <v>46295</v>
      </c>
      <c r="F2244" s="71" t="s">
        <v>2184</v>
      </c>
      <c r="G2244" s="71">
        <f t="shared" si="70"/>
        <v>9</v>
      </c>
      <c r="H2244" s="71">
        <f t="shared" si="71"/>
        <v>109</v>
      </c>
    </row>
    <row r="2245" spans="1:8" x14ac:dyDescent="0.2">
      <c r="A2245" s="71">
        <v>85337263831</v>
      </c>
      <c r="B2245" s="71" t="s">
        <v>273</v>
      </c>
      <c r="C2245" s="71"/>
      <c r="D2245" s="88">
        <v>46295.706666666701</v>
      </c>
      <c r="E2245" s="89">
        <v>46295</v>
      </c>
      <c r="F2245" s="71" t="s">
        <v>2187</v>
      </c>
      <c r="G2245" s="71">
        <f t="shared" si="70"/>
        <v>9</v>
      </c>
      <c r="H2245" s="71">
        <f t="shared" si="71"/>
        <v>111</v>
      </c>
    </row>
    <row r="2246" spans="1:8" x14ac:dyDescent="0.2">
      <c r="A2246" s="71">
        <v>85337263831</v>
      </c>
      <c r="B2246" s="71" t="s">
        <v>273</v>
      </c>
      <c r="C2246" s="71"/>
      <c r="D2246" s="88">
        <v>46295.707152777803</v>
      </c>
      <c r="E2246" s="89">
        <v>46295</v>
      </c>
      <c r="F2246" s="71" t="s">
        <v>2182</v>
      </c>
      <c r="G2246" s="71">
        <f t="shared" si="70"/>
        <v>9</v>
      </c>
      <c r="H2246" s="71">
        <f t="shared" si="71"/>
        <v>131</v>
      </c>
    </row>
    <row r="2247" spans="1:8" x14ac:dyDescent="0.2">
      <c r="A2247" s="71" t="s">
        <v>260</v>
      </c>
      <c r="B2247" s="71" t="s">
        <v>261</v>
      </c>
      <c r="C2247" s="71" t="s">
        <v>55</v>
      </c>
      <c r="D2247" s="88">
        <v>46175.391759259299</v>
      </c>
      <c r="E2247" s="89">
        <v>46175</v>
      </c>
      <c r="F2247" s="71" t="s">
        <v>2188</v>
      </c>
      <c r="G2247" s="71">
        <f t="shared" si="70"/>
        <v>6</v>
      </c>
      <c r="H2247" s="71">
        <f t="shared" si="71"/>
        <v>18</v>
      </c>
    </row>
    <row r="2248" spans="1:8" x14ac:dyDescent="0.2">
      <c r="A2248" s="71" t="s">
        <v>260</v>
      </c>
      <c r="B2248" s="71" t="s">
        <v>261</v>
      </c>
      <c r="C2248" s="71" t="s">
        <v>55</v>
      </c>
      <c r="D2248" s="88">
        <v>46177.687372685199</v>
      </c>
      <c r="E2248" s="89">
        <v>46177</v>
      </c>
      <c r="F2248" s="71" t="s">
        <v>2188</v>
      </c>
      <c r="G2248" s="71">
        <f t="shared" si="70"/>
        <v>6</v>
      </c>
      <c r="H2248" s="71">
        <f t="shared" si="71"/>
        <v>18</v>
      </c>
    </row>
    <row r="2249" spans="1:8" x14ac:dyDescent="0.2">
      <c r="A2249" s="71" t="s">
        <v>260</v>
      </c>
      <c r="B2249" s="71" t="s">
        <v>261</v>
      </c>
      <c r="C2249" s="71" t="s">
        <v>55</v>
      </c>
      <c r="D2249" s="88">
        <v>46181.687962962998</v>
      </c>
      <c r="E2249" s="89">
        <v>46181</v>
      </c>
      <c r="F2249" s="71" t="s">
        <v>2188</v>
      </c>
      <c r="G2249" s="71">
        <f t="shared" si="70"/>
        <v>6</v>
      </c>
      <c r="H2249" s="71">
        <f t="shared" si="71"/>
        <v>18</v>
      </c>
    </row>
    <row r="2250" spans="1:8" x14ac:dyDescent="0.2">
      <c r="A2250" s="71" t="s">
        <v>260</v>
      </c>
      <c r="B2250" s="71" t="s">
        <v>261</v>
      </c>
      <c r="C2250" s="71" t="s">
        <v>55</v>
      </c>
      <c r="D2250" s="88">
        <v>46182.555960648198</v>
      </c>
      <c r="E2250" s="89">
        <v>46182</v>
      </c>
      <c r="F2250" s="71" t="s">
        <v>2188</v>
      </c>
      <c r="G2250" s="71">
        <f t="shared" si="70"/>
        <v>6</v>
      </c>
      <c r="H2250" s="71">
        <f t="shared" si="71"/>
        <v>18</v>
      </c>
    </row>
    <row r="2251" spans="1:8" x14ac:dyDescent="0.2">
      <c r="A2251" s="71" t="s">
        <v>260</v>
      </c>
      <c r="B2251" s="71" t="s">
        <v>261</v>
      </c>
      <c r="C2251" s="71" t="s">
        <v>55</v>
      </c>
      <c r="D2251" s="88">
        <v>46184.335347222201</v>
      </c>
      <c r="E2251" s="89">
        <v>46184</v>
      </c>
      <c r="F2251" s="71" t="s">
        <v>2188</v>
      </c>
      <c r="G2251" s="71">
        <f t="shared" si="70"/>
        <v>6</v>
      </c>
      <c r="H2251" s="71">
        <f t="shared" si="71"/>
        <v>18</v>
      </c>
    </row>
    <row r="2252" spans="1:8" x14ac:dyDescent="0.2">
      <c r="A2252" s="71" t="s">
        <v>260</v>
      </c>
      <c r="B2252" s="71" t="s">
        <v>261</v>
      </c>
      <c r="C2252" s="71" t="s">
        <v>55</v>
      </c>
      <c r="D2252" s="88">
        <v>46185.658344907402</v>
      </c>
      <c r="E2252" s="89">
        <v>46185</v>
      </c>
      <c r="F2252" s="71" t="s">
        <v>2188</v>
      </c>
      <c r="G2252" s="71">
        <f t="shared" si="70"/>
        <v>6</v>
      </c>
      <c r="H2252" s="71">
        <f t="shared" si="71"/>
        <v>18</v>
      </c>
    </row>
    <row r="2253" spans="1:8" x14ac:dyDescent="0.2">
      <c r="A2253" s="71" t="s">
        <v>260</v>
      </c>
      <c r="B2253" s="71" t="s">
        <v>261</v>
      </c>
      <c r="C2253" s="71" t="s">
        <v>55</v>
      </c>
      <c r="D2253" s="88">
        <v>46188.323333333297</v>
      </c>
      <c r="E2253" s="89">
        <v>46188</v>
      </c>
      <c r="F2253" s="71" t="s">
        <v>2188</v>
      </c>
      <c r="G2253" s="71">
        <f t="shared" si="70"/>
        <v>6</v>
      </c>
      <c r="H2253" s="71">
        <f t="shared" si="71"/>
        <v>18</v>
      </c>
    </row>
    <row r="2254" spans="1:8" x14ac:dyDescent="0.2">
      <c r="A2254" s="71" t="s">
        <v>260</v>
      </c>
      <c r="B2254" s="71" t="s">
        <v>261</v>
      </c>
      <c r="C2254" s="71" t="s">
        <v>55</v>
      </c>
      <c r="D2254" s="88">
        <v>46191.340405092596</v>
      </c>
      <c r="E2254" s="89">
        <v>46191</v>
      </c>
      <c r="F2254" s="71" t="s">
        <v>2188</v>
      </c>
      <c r="G2254" s="71">
        <f t="shared" si="70"/>
        <v>6</v>
      </c>
      <c r="H2254" s="71">
        <f t="shared" si="71"/>
        <v>18</v>
      </c>
    </row>
    <row r="2255" spans="1:8" x14ac:dyDescent="0.2">
      <c r="A2255" s="71" t="s">
        <v>260</v>
      </c>
      <c r="B2255" s="71" t="s">
        <v>261</v>
      </c>
      <c r="C2255" s="71" t="s">
        <v>55</v>
      </c>
      <c r="D2255" s="88">
        <v>46192.367488425902</v>
      </c>
      <c r="E2255" s="89">
        <v>46192</v>
      </c>
      <c r="F2255" s="71" t="s">
        <v>2188</v>
      </c>
      <c r="G2255" s="71">
        <f t="shared" si="70"/>
        <v>6</v>
      </c>
      <c r="H2255" s="71">
        <f t="shared" si="71"/>
        <v>18</v>
      </c>
    </row>
    <row r="2256" spans="1:8" x14ac:dyDescent="0.2">
      <c r="A2256" s="71" t="s">
        <v>260</v>
      </c>
      <c r="B2256" s="71" t="s">
        <v>261</v>
      </c>
      <c r="C2256" s="71" t="s">
        <v>55</v>
      </c>
      <c r="D2256" s="88">
        <v>46195.379479166702</v>
      </c>
      <c r="E2256" s="89">
        <v>46195</v>
      </c>
      <c r="F2256" s="71" t="s">
        <v>2188</v>
      </c>
      <c r="G2256" s="71">
        <f t="shared" si="70"/>
        <v>6</v>
      </c>
      <c r="H2256" s="71">
        <f t="shared" si="71"/>
        <v>18</v>
      </c>
    </row>
    <row r="2257" spans="1:8" x14ac:dyDescent="0.2">
      <c r="A2257" s="71" t="s">
        <v>260</v>
      </c>
      <c r="B2257" s="71" t="s">
        <v>261</v>
      </c>
      <c r="C2257" s="71" t="s">
        <v>55</v>
      </c>
      <c r="D2257" s="88">
        <v>46196.356481481504</v>
      </c>
      <c r="E2257" s="89">
        <v>46196</v>
      </c>
      <c r="F2257" s="71" t="s">
        <v>2188</v>
      </c>
      <c r="G2257" s="71">
        <f t="shared" si="70"/>
        <v>6</v>
      </c>
      <c r="H2257" s="71">
        <f t="shared" si="71"/>
        <v>18</v>
      </c>
    </row>
    <row r="2258" spans="1:8" x14ac:dyDescent="0.2">
      <c r="A2258" s="71" t="s">
        <v>260</v>
      </c>
      <c r="B2258" s="71" t="s">
        <v>261</v>
      </c>
      <c r="C2258" s="71" t="s">
        <v>55</v>
      </c>
      <c r="D2258" s="88">
        <v>46198.335590277798</v>
      </c>
      <c r="E2258" s="89">
        <v>46198</v>
      </c>
      <c r="F2258" s="71" t="s">
        <v>2188</v>
      </c>
      <c r="G2258" s="71">
        <f t="shared" si="70"/>
        <v>6</v>
      </c>
      <c r="H2258" s="71">
        <f t="shared" si="71"/>
        <v>18</v>
      </c>
    </row>
    <row r="2259" spans="1:8" x14ac:dyDescent="0.2">
      <c r="A2259" s="71" t="s">
        <v>260</v>
      </c>
      <c r="B2259" s="71" t="s">
        <v>261</v>
      </c>
      <c r="C2259" s="71" t="s">
        <v>55</v>
      </c>
      <c r="D2259" s="88">
        <v>46199.368240740703</v>
      </c>
      <c r="E2259" s="89">
        <v>46199</v>
      </c>
      <c r="F2259" s="71" t="s">
        <v>2188</v>
      </c>
      <c r="G2259" s="71">
        <f t="shared" si="70"/>
        <v>6</v>
      </c>
      <c r="H2259" s="71">
        <f t="shared" si="71"/>
        <v>18</v>
      </c>
    </row>
    <row r="2260" spans="1:8" x14ac:dyDescent="0.2">
      <c r="A2260" s="71" t="s">
        <v>260</v>
      </c>
      <c r="B2260" s="71" t="s">
        <v>261</v>
      </c>
      <c r="C2260" s="71" t="s">
        <v>55</v>
      </c>
      <c r="D2260" s="88">
        <v>46202.3331944444</v>
      </c>
      <c r="E2260" s="89">
        <v>46202</v>
      </c>
      <c r="F2260" s="71" t="s">
        <v>2189</v>
      </c>
      <c r="G2260" s="71">
        <f t="shared" si="70"/>
        <v>6</v>
      </c>
      <c r="H2260" s="71">
        <f t="shared" si="71"/>
        <v>9</v>
      </c>
    </row>
    <row r="2261" spans="1:8" x14ac:dyDescent="0.2">
      <c r="A2261" s="71" t="s">
        <v>260</v>
      </c>
      <c r="B2261" s="71" t="s">
        <v>261</v>
      </c>
      <c r="C2261" s="71" t="s">
        <v>55</v>
      </c>
      <c r="D2261" s="88">
        <v>46205.346087963</v>
      </c>
      <c r="E2261" s="89">
        <v>46205</v>
      </c>
      <c r="F2261" s="71" t="s">
        <v>2188</v>
      </c>
      <c r="G2261" s="71">
        <f t="shared" si="70"/>
        <v>7</v>
      </c>
      <c r="H2261" s="71">
        <f t="shared" si="71"/>
        <v>18</v>
      </c>
    </row>
    <row r="2262" spans="1:8" x14ac:dyDescent="0.2">
      <c r="A2262" s="71" t="s">
        <v>232</v>
      </c>
      <c r="B2262" s="71" t="s">
        <v>233</v>
      </c>
      <c r="C2262" s="71" t="s">
        <v>50</v>
      </c>
      <c r="D2262" s="88">
        <v>46175.3523263889</v>
      </c>
      <c r="E2262" s="89">
        <v>46175</v>
      </c>
      <c r="F2262" s="71" t="s">
        <v>2190</v>
      </c>
      <c r="G2262" s="71">
        <f t="shared" si="70"/>
        <v>6</v>
      </c>
      <c r="H2262" s="71">
        <f t="shared" si="71"/>
        <v>105</v>
      </c>
    </row>
    <row r="2263" spans="1:8" x14ac:dyDescent="0.2">
      <c r="A2263" s="71" t="s">
        <v>232</v>
      </c>
      <c r="B2263" s="71" t="s">
        <v>233</v>
      </c>
      <c r="C2263" s="71" t="s">
        <v>50</v>
      </c>
      <c r="D2263" s="88">
        <v>46175.352997685201</v>
      </c>
      <c r="E2263" s="89">
        <v>46175</v>
      </c>
      <c r="F2263" s="71" t="s">
        <v>2191</v>
      </c>
      <c r="G2263" s="71">
        <f t="shared" si="70"/>
        <v>6</v>
      </c>
      <c r="H2263" s="71">
        <f t="shared" si="71"/>
        <v>53</v>
      </c>
    </row>
    <row r="2264" spans="1:8" x14ac:dyDescent="0.2">
      <c r="A2264" s="71" t="s">
        <v>232</v>
      </c>
      <c r="B2264" s="71" t="s">
        <v>233</v>
      </c>
      <c r="C2264" s="71" t="s">
        <v>50</v>
      </c>
      <c r="D2264" s="88">
        <v>46175.371793981503</v>
      </c>
      <c r="E2264" s="89">
        <v>46175</v>
      </c>
      <c r="F2264" s="71" t="s">
        <v>2192</v>
      </c>
      <c r="G2264" s="71">
        <f t="shared" si="70"/>
        <v>6</v>
      </c>
      <c r="H2264" s="71">
        <f t="shared" si="71"/>
        <v>82</v>
      </c>
    </row>
    <row r="2265" spans="1:8" x14ac:dyDescent="0.2">
      <c r="A2265" s="71" t="s">
        <v>232</v>
      </c>
      <c r="B2265" s="71" t="s">
        <v>233</v>
      </c>
      <c r="C2265" s="71" t="s">
        <v>50</v>
      </c>
      <c r="D2265" s="88">
        <v>46175.415659722203</v>
      </c>
      <c r="E2265" s="89">
        <v>46175</v>
      </c>
      <c r="F2265" s="71" t="s">
        <v>2193</v>
      </c>
      <c r="G2265" s="71">
        <f t="shared" si="70"/>
        <v>6</v>
      </c>
      <c r="H2265" s="71">
        <f t="shared" si="71"/>
        <v>40</v>
      </c>
    </row>
    <row r="2266" spans="1:8" x14ac:dyDescent="0.2">
      <c r="A2266" s="71" t="s">
        <v>232</v>
      </c>
      <c r="B2266" s="71" t="s">
        <v>233</v>
      </c>
      <c r="C2266" s="71" t="s">
        <v>50</v>
      </c>
      <c r="D2266" s="88">
        <v>46175.596759259301</v>
      </c>
      <c r="E2266" s="89">
        <v>46175</v>
      </c>
      <c r="F2266" s="71" t="s">
        <v>2194</v>
      </c>
      <c r="G2266" s="71">
        <f t="shared" si="70"/>
        <v>6</v>
      </c>
      <c r="H2266" s="71">
        <f t="shared" si="71"/>
        <v>48</v>
      </c>
    </row>
    <row r="2267" spans="1:8" x14ac:dyDescent="0.2">
      <c r="A2267" s="71" t="s">
        <v>232</v>
      </c>
      <c r="B2267" s="71" t="s">
        <v>233</v>
      </c>
      <c r="C2267" s="71" t="s">
        <v>50</v>
      </c>
      <c r="D2267" s="88">
        <v>46176.422500000001</v>
      </c>
      <c r="E2267" s="89">
        <v>46176</v>
      </c>
      <c r="F2267" s="71" t="s">
        <v>2195</v>
      </c>
      <c r="G2267" s="71">
        <f t="shared" si="70"/>
        <v>6</v>
      </c>
      <c r="H2267" s="71">
        <f t="shared" si="71"/>
        <v>43</v>
      </c>
    </row>
    <row r="2268" spans="1:8" x14ac:dyDescent="0.2">
      <c r="A2268" s="71" t="s">
        <v>232</v>
      </c>
      <c r="B2268" s="71" t="s">
        <v>233</v>
      </c>
      <c r="C2268" s="71" t="s">
        <v>50</v>
      </c>
      <c r="D2268" s="88">
        <v>46178.371793981503</v>
      </c>
      <c r="E2268" s="89">
        <v>46178</v>
      </c>
      <c r="F2268" s="71" t="s">
        <v>2192</v>
      </c>
      <c r="G2268" s="71">
        <f t="shared" si="70"/>
        <v>6</v>
      </c>
      <c r="H2268" s="71">
        <f t="shared" si="71"/>
        <v>82</v>
      </c>
    </row>
    <row r="2269" spans="1:8" x14ac:dyDescent="0.2">
      <c r="A2269" s="71" t="s">
        <v>232</v>
      </c>
      <c r="B2269" s="71" t="s">
        <v>233</v>
      </c>
      <c r="C2269" s="71" t="s">
        <v>50</v>
      </c>
      <c r="D2269" s="88">
        <v>46181.348020833299</v>
      </c>
      <c r="E2269" s="89">
        <v>46181</v>
      </c>
      <c r="F2269" s="71" t="s">
        <v>2196</v>
      </c>
      <c r="G2269" s="71">
        <f t="shared" si="70"/>
        <v>6</v>
      </c>
      <c r="H2269" s="71">
        <f t="shared" si="71"/>
        <v>75</v>
      </c>
    </row>
    <row r="2270" spans="1:8" x14ac:dyDescent="0.2">
      <c r="A2270" s="71" t="s">
        <v>232</v>
      </c>
      <c r="B2270" s="71" t="s">
        <v>233</v>
      </c>
      <c r="C2270" s="71" t="s">
        <v>50</v>
      </c>
      <c r="D2270" s="88">
        <v>46181.397731481498</v>
      </c>
      <c r="E2270" s="89">
        <v>46181</v>
      </c>
      <c r="F2270" s="71" t="s">
        <v>2197</v>
      </c>
      <c r="G2270" s="71">
        <f t="shared" si="70"/>
        <v>6</v>
      </c>
      <c r="H2270" s="71">
        <f t="shared" si="71"/>
        <v>93</v>
      </c>
    </row>
    <row r="2271" spans="1:8" x14ac:dyDescent="0.2">
      <c r="A2271" s="71" t="s">
        <v>232</v>
      </c>
      <c r="B2271" s="71" t="s">
        <v>233</v>
      </c>
      <c r="C2271" s="71" t="s">
        <v>50</v>
      </c>
      <c r="D2271" s="88">
        <v>46182.325798611098</v>
      </c>
      <c r="E2271" s="89">
        <v>46182</v>
      </c>
      <c r="F2271" s="71" t="s">
        <v>2198</v>
      </c>
      <c r="G2271" s="71">
        <f t="shared" si="70"/>
        <v>6</v>
      </c>
      <c r="H2271" s="71">
        <f t="shared" si="71"/>
        <v>103</v>
      </c>
    </row>
    <row r="2272" spans="1:8" x14ac:dyDescent="0.2">
      <c r="A2272" s="71" t="s">
        <v>232</v>
      </c>
      <c r="B2272" s="71" t="s">
        <v>233</v>
      </c>
      <c r="C2272" s="71" t="s">
        <v>50</v>
      </c>
      <c r="D2272" s="88">
        <v>46182.337037037003</v>
      </c>
      <c r="E2272" s="89">
        <v>46182</v>
      </c>
      <c r="F2272" s="71" t="s">
        <v>2199</v>
      </c>
      <c r="G2272" s="71">
        <f t="shared" si="70"/>
        <v>6</v>
      </c>
      <c r="H2272" s="71">
        <f t="shared" si="71"/>
        <v>67</v>
      </c>
    </row>
    <row r="2273" spans="1:8" x14ac:dyDescent="0.2">
      <c r="A2273" s="71" t="s">
        <v>232</v>
      </c>
      <c r="B2273" s="71" t="s">
        <v>233</v>
      </c>
      <c r="C2273" s="71" t="s">
        <v>50</v>
      </c>
      <c r="D2273" s="88">
        <v>46182.661504629599</v>
      </c>
      <c r="E2273" s="89">
        <v>46182</v>
      </c>
      <c r="F2273" s="71" t="s">
        <v>2200</v>
      </c>
      <c r="G2273" s="71">
        <f t="shared" si="70"/>
        <v>6</v>
      </c>
      <c r="H2273" s="71">
        <f t="shared" si="71"/>
        <v>77</v>
      </c>
    </row>
    <row r="2274" spans="1:8" x14ac:dyDescent="0.2">
      <c r="A2274" s="71" t="s">
        <v>232</v>
      </c>
      <c r="B2274" s="71" t="s">
        <v>233</v>
      </c>
      <c r="C2274" s="71" t="s">
        <v>50</v>
      </c>
      <c r="D2274" s="88">
        <v>46183.576620370397</v>
      </c>
      <c r="E2274" s="89">
        <v>46183</v>
      </c>
      <c r="F2274" s="71" t="s">
        <v>2201</v>
      </c>
      <c r="G2274" s="71">
        <f t="shared" si="70"/>
        <v>6</v>
      </c>
      <c r="H2274" s="71">
        <f t="shared" si="71"/>
        <v>42</v>
      </c>
    </row>
    <row r="2275" spans="1:8" x14ac:dyDescent="0.2">
      <c r="A2275" s="71" t="s">
        <v>232</v>
      </c>
      <c r="B2275" s="71" t="s">
        <v>233</v>
      </c>
      <c r="C2275" s="71" t="s">
        <v>50</v>
      </c>
      <c r="D2275" s="88">
        <v>46184.366655092599</v>
      </c>
      <c r="E2275" s="89">
        <v>46184</v>
      </c>
      <c r="F2275" s="71" t="s">
        <v>2202</v>
      </c>
      <c r="G2275" s="71">
        <f t="shared" si="70"/>
        <v>6</v>
      </c>
      <c r="H2275" s="71">
        <f t="shared" si="71"/>
        <v>106</v>
      </c>
    </row>
    <row r="2276" spans="1:8" x14ac:dyDescent="0.2">
      <c r="A2276" s="71" t="s">
        <v>232</v>
      </c>
      <c r="B2276" s="71" t="s">
        <v>233</v>
      </c>
      <c r="C2276" s="71" t="s">
        <v>50</v>
      </c>
      <c r="D2276" s="88">
        <v>46184.374895833302</v>
      </c>
      <c r="E2276" s="89">
        <v>46184</v>
      </c>
      <c r="F2276" s="71" t="s">
        <v>2203</v>
      </c>
      <c r="G2276" s="71">
        <f t="shared" si="70"/>
        <v>6</v>
      </c>
      <c r="H2276" s="71">
        <f t="shared" si="71"/>
        <v>76</v>
      </c>
    </row>
    <row r="2277" spans="1:8" x14ac:dyDescent="0.2">
      <c r="A2277" s="71" t="s">
        <v>232</v>
      </c>
      <c r="B2277" s="71" t="s">
        <v>233</v>
      </c>
      <c r="C2277" s="71" t="s">
        <v>50</v>
      </c>
      <c r="D2277" s="88">
        <v>46184.445833333302</v>
      </c>
      <c r="E2277" s="89">
        <v>46184</v>
      </c>
      <c r="F2277" s="71" t="s">
        <v>2204</v>
      </c>
      <c r="G2277" s="71">
        <f t="shared" si="70"/>
        <v>6</v>
      </c>
      <c r="H2277" s="71">
        <f t="shared" si="71"/>
        <v>63</v>
      </c>
    </row>
    <row r="2278" spans="1:8" x14ac:dyDescent="0.2">
      <c r="A2278" s="71" t="s">
        <v>232</v>
      </c>
      <c r="B2278" s="71" t="s">
        <v>233</v>
      </c>
      <c r="C2278" s="71" t="s">
        <v>50</v>
      </c>
      <c r="D2278" s="88">
        <v>46184.576620370397</v>
      </c>
      <c r="E2278" s="89">
        <v>46184</v>
      </c>
      <c r="F2278" s="71" t="s">
        <v>2201</v>
      </c>
      <c r="G2278" s="71">
        <f t="shared" si="70"/>
        <v>6</v>
      </c>
      <c r="H2278" s="71">
        <f t="shared" si="71"/>
        <v>42</v>
      </c>
    </row>
    <row r="2279" spans="1:8" x14ac:dyDescent="0.2">
      <c r="A2279" s="71" t="s">
        <v>232</v>
      </c>
      <c r="B2279" s="71" t="s">
        <v>233</v>
      </c>
      <c r="C2279" s="71" t="s">
        <v>50</v>
      </c>
      <c r="D2279" s="88">
        <v>46188.318171296298</v>
      </c>
      <c r="E2279" s="89">
        <v>46188</v>
      </c>
      <c r="F2279" s="71" t="s">
        <v>2205</v>
      </c>
      <c r="G2279" s="71">
        <f t="shared" si="70"/>
        <v>6</v>
      </c>
      <c r="H2279" s="71">
        <f t="shared" si="71"/>
        <v>123</v>
      </c>
    </row>
    <row r="2280" spans="1:8" x14ac:dyDescent="0.2">
      <c r="A2280" s="71" t="s">
        <v>232</v>
      </c>
      <c r="B2280" s="71" t="s">
        <v>233</v>
      </c>
      <c r="C2280" s="71" t="s">
        <v>50</v>
      </c>
      <c r="D2280" s="88">
        <v>46188.379224536999</v>
      </c>
      <c r="E2280" s="89">
        <v>46188</v>
      </c>
      <c r="F2280" s="71" t="s">
        <v>2206</v>
      </c>
      <c r="G2280" s="71">
        <f t="shared" si="70"/>
        <v>6</v>
      </c>
      <c r="H2280" s="71">
        <f t="shared" si="71"/>
        <v>53</v>
      </c>
    </row>
    <row r="2281" spans="1:8" x14ac:dyDescent="0.2">
      <c r="A2281" s="71" t="s">
        <v>232</v>
      </c>
      <c r="B2281" s="71" t="s">
        <v>233</v>
      </c>
      <c r="C2281" s="71" t="s">
        <v>50</v>
      </c>
      <c r="D2281" s="88">
        <v>46188.4049884259</v>
      </c>
      <c r="E2281" s="89">
        <v>46188</v>
      </c>
      <c r="F2281" s="71" t="s">
        <v>2207</v>
      </c>
      <c r="G2281" s="71">
        <f t="shared" si="70"/>
        <v>6</v>
      </c>
      <c r="H2281" s="71">
        <f t="shared" si="71"/>
        <v>37</v>
      </c>
    </row>
    <row r="2282" spans="1:8" x14ac:dyDescent="0.2">
      <c r="A2282" s="71" t="s">
        <v>232</v>
      </c>
      <c r="B2282" s="71" t="s">
        <v>233</v>
      </c>
      <c r="C2282" s="71" t="s">
        <v>50</v>
      </c>
      <c r="D2282" s="88">
        <v>46188.4327430556</v>
      </c>
      <c r="E2282" s="89">
        <v>46188</v>
      </c>
      <c r="F2282" s="71" t="s">
        <v>2208</v>
      </c>
      <c r="G2282" s="71">
        <f t="shared" si="70"/>
        <v>6</v>
      </c>
      <c r="H2282" s="71">
        <f t="shared" si="71"/>
        <v>45</v>
      </c>
    </row>
    <row r="2283" spans="1:8" x14ac:dyDescent="0.2">
      <c r="A2283" s="71" t="s">
        <v>232</v>
      </c>
      <c r="B2283" s="71" t="s">
        <v>233</v>
      </c>
      <c r="C2283" s="71" t="s">
        <v>50</v>
      </c>
      <c r="D2283" s="88">
        <v>46191.342557870397</v>
      </c>
      <c r="E2283" s="89">
        <v>46191</v>
      </c>
      <c r="F2283" s="71" t="s">
        <v>2209</v>
      </c>
      <c r="G2283" s="71">
        <f t="shared" si="70"/>
        <v>6</v>
      </c>
      <c r="H2283" s="71">
        <f t="shared" si="71"/>
        <v>112</v>
      </c>
    </row>
    <row r="2284" spans="1:8" x14ac:dyDescent="0.2">
      <c r="A2284" s="71" t="s">
        <v>232</v>
      </c>
      <c r="B2284" s="71" t="s">
        <v>233</v>
      </c>
      <c r="C2284" s="71" t="s">
        <v>50</v>
      </c>
      <c r="D2284" s="88">
        <v>46191.3651157407</v>
      </c>
      <c r="E2284" s="89">
        <v>46191</v>
      </c>
      <c r="F2284" s="71" t="s">
        <v>2210</v>
      </c>
      <c r="G2284" s="71">
        <f t="shared" si="70"/>
        <v>6</v>
      </c>
      <c r="H2284" s="71">
        <f t="shared" si="71"/>
        <v>69</v>
      </c>
    </row>
    <row r="2285" spans="1:8" x14ac:dyDescent="0.2">
      <c r="A2285" s="71" t="s">
        <v>232</v>
      </c>
      <c r="B2285" s="71" t="s">
        <v>233</v>
      </c>
      <c r="C2285" s="71" t="s">
        <v>50</v>
      </c>
      <c r="D2285" s="88">
        <v>46191.448611111096</v>
      </c>
      <c r="E2285" s="89">
        <v>46191</v>
      </c>
      <c r="F2285" s="71" t="s">
        <v>2211</v>
      </c>
      <c r="G2285" s="71">
        <f t="shared" si="70"/>
        <v>6</v>
      </c>
      <c r="H2285" s="71">
        <f t="shared" si="71"/>
        <v>49</v>
      </c>
    </row>
    <row r="2286" spans="1:8" x14ac:dyDescent="0.2">
      <c r="A2286" s="71" t="s">
        <v>232</v>
      </c>
      <c r="B2286" s="71" t="s">
        <v>233</v>
      </c>
      <c r="C2286" s="71" t="s">
        <v>50</v>
      </c>
      <c r="D2286" s="88">
        <v>46191.686574074098</v>
      </c>
      <c r="E2286" s="89">
        <v>46191</v>
      </c>
      <c r="F2286" s="71" t="s">
        <v>2212</v>
      </c>
      <c r="G2286" s="71">
        <f t="shared" si="70"/>
        <v>6</v>
      </c>
      <c r="H2286" s="71">
        <f t="shared" si="71"/>
        <v>139</v>
      </c>
    </row>
    <row r="2287" spans="1:8" x14ac:dyDescent="0.2">
      <c r="A2287" s="71" t="s">
        <v>232</v>
      </c>
      <c r="B2287" s="71" t="s">
        <v>233</v>
      </c>
      <c r="C2287" s="71" t="s">
        <v>50</v>
      </c>
      <c r="D2287" s="88">
        <v>46192.325196759302</v>
      </c>
      <c r="E2287" s="89">
        <v>46192</v>
      </c>
      <c r="F2287" s="71" t="s">
        <v>2213</v>
      </c>
      <c r="G2287" s="71">
        <f t="shared" si="70"/>
        <v>6</v>
      </c>
      <c r="H2287" s="71">
        <f t="shared" si="71"/>
        <v>106</v>
      </c>
    </row>
    <row r="2288" spans="1:8" x14ac:dyDescent="0.2">
      <c r="A2288" s="71" t="s">
        <v>232</v>
      </c>
      <c r="B2288" s="71" t="s">
        <v>233</v>
      </c>
      <c r="C2288" s="71" t="s">
        <v>50</v>
      </c>
      <c r="D2288" s="88">
        <v>46192.349849537</v>
      </c>
      <c r="E2288" s="89">
        <v>46192</v>
      </c>
      <c r="F2288" s="71" t="s">
        <v>2214</v>
      </c>
      <c r="G2288" s="71">
        <f t="shared" si="70"/>
        <v>6</v>
      </c>
      <c r="H2288" s="71">
        <f t="shared" si="71"/>
        <v>58</v>
      </c>
    </row>
    <row r="2289" spans="1:8" x14ac:dyDescent="0.2">
      <c r="A2289" s="71" t="s">
        <v>232</v>
      </c>
      <c r="B2289" s="71" t="s">
        <v>233</v>
      </c>
      <c r="C2289" s="71" t="s">
        <v>50</v>
      </c>
      <c r="D2289" s="88">
        <v>46195.3265509259</v>
      </c>
      <c r="E2289" s="89">
        <v>46195</v>
      </c>
      <c r="F2289" s="71" t="s">
        <v>2215</v>
      </c>
      <c r="G2289" s="71">
        <f t="shared" si="70"/>
        <v>6</v>
      </c>
      <c r="H2289" s="71">
        <f t="shared" si="71"/>
        <v>88</v>
      </c>
    </row>
    <row r="2290" spans="1:8" x14ac:dyDescent="0.2">
      <c r="A2290" s="71" t="s">
        <v>232</v>
      </c>
      <c r="B2290" s="71" t="s">
        <v>233</v>
      </c>
      <c r="C2290" s="71" t="s">
        <v>50</v>
      </c>
      <c r="D2290" s="88">
        <v>46195.379328703697</v>
      </c>
      <c r="E2290" s="89">
        <v>46195</v>
      </c>
      <c r="F2290" s="71" t="s">
        <v>2216</v>
      </c>
      <c r="G2290" s="71">
        <f t="shared" si="70"/>
        <v>6</v>
      </c>
      <c r="H2290" s="71">
        <f t="shared" si="71"/>
        <v>72</v>
      </c>
    </row>
    <row r="2291" spans="1:8" x14ac:dyDescent="0.2">
      <c r="A2291" s="71" t="s">
        <v>232</v>
      </c>
      <c r="B2291" s="71" t="s">
        <v>233</v>
      </c>
      <c r="C2291" s="71" t="s">
        <v>50</v>
      </c>
      <c r="D2291" s="88">
        <v>46195.392465277801</v>
      </c>
      <c r="E2291" s="89">
        <v>46195</v>
      </c>
      <c r="F2291" s="71" t="s">
        <v>2217</v>
      </c>
      <c r="G2291" s="71">
        <f t="shared" si="70"/>
        <v>6</v>
      </c>
      <c r="H2291" s="71">
        <f t="shared" si="71"/>
        <v>70</v>
      </c>
    </row>
    <row r="2292" spans="1:8" x14ac:dyDescent="0.2">
      <c r="A2292" s="71" t="s">
        <v>232</v>
      </c>
      <c r="B2292" s="71" t="s">
        <v>233</v>
      </c>
      <c r="C2292" s="71" t="s">
        <v>50</v>
      </c>
      <c r="D2292" s="88">
        <v>46195.496527777803</v>
      </c>
      <c r="E2292" s="89">
        <v>46195</v>
      </c>
      <c r="F2292" s="71" t="s">
        <v>2218</v>
      </c>
      <c r="G2292" s="71">
        <f t="shared" si="70"/>
        <v>6</v>
      </c>
      <c r="H2292" s="71">
        <f t="shared" si="71"/>
        <v>107</v>
      </c>
    </row>
    <row r="2293" spans="1:8" x14ac:dyDescent="0.2">
      <c r="A2293" s="71" t="s">
        <v>232</v>
      </c>
      <c r="B2293" s="71" t="s">
        <v>233</v>
      </c>
      <c r="C2293" s="71" t="s">
        <v>50</v>
      </c>
      <c r="D2293" s="88">
        <v>46195.672164351898</v>
      </c>
      <c r="E2293" s="89">
        <v>46195</v>
      </c>
      <c r="F2293" s="71" t="s">
        <v>2219</v>
      </c>
      <c r="G2293" s="71">
        <f t="shared" si="70"/>
        <v>6</v>
      </c>
      <c r="H2293" s="71">
        <f t="shared" si="71"/>
        <v>82</v>
      </c>
    </row>
    <row r="2294" spans="1:8" x14ac:dyDescent="0.2">
      <c r="A2294" s="71" t="s">
        <v>232</v>
      </c>
      <c r="B2294" s="71" t="s">
        <v>233</v>
      </c>
      <c r="C2294" s="71" t="s">
        <v>50</v>
      </c>
      <c r="D2294" s="88">
        <v>46196.332719907397</v>
      </c>
      <c r="E2294" s="89">
        <v>46196</v>
      </c>
      <c r="F2294" s="71" t="s">
        <v>2220</v>
      </c>
      <c r="G2294" s="71">
        <f t="shared" si="70"/>
        <v>6</v>
      </c>
      <c r="H2294" s="71">
        <f t="shared" si="71"/>
        <v>146</v>
      </c>
    </row>
    <row r="2295" spans="1:8" x14ac:dyDescent="0.2">
      <c r="A2295" s="71" t="s">
        <v>232</v>
      </c>
      <c r="B2295" s="71" t="s">
        <v>233</v>
      </c>
      <c r="C2295" s="71" t="s">
        <v>50</v>
      </c>
      <c r="D2295" s="88">
        <v>46196.373321759304</v>
      </c>
      <c r="E2295" s="89">
        <v>46196</v>
      </c>
      <c r="F2295" s="71" t="s">
        <v>2221</v>
      </c>
      <c r="G2295" s="71">
        <f t="shared" si="70"/>
        <v>6</v>
      </c>
      <c r="H2295" s="71">
        <f t="shared" si="71"/>
        <v>27</v>
      </c>
    </row>
    <row r="2296" spans="1:8" x14ac:dyDescent="0.2">
      <c r="A2296" s="71" t="s">
        <v>232</v>
      </c>
      <c r="B2296" s="71" t="s">
        <v>233</v>
      </c>
      <c r="C2296" s="71" t="s">
        <v>50</v>
      </c>
      <c r="D2296" s="88">
        <v>46196.373865740701</v>
      </c>
      <c r="E2296" s="89">
        <v>46196</v>
      </c>
      <c r="F2296" s="71" t="s">
        <v>2222</v>
      </c>
      <c r="G2296" s="71">
        <f t="shared" si="70"/>
        <v>6</v>
      </c>
      <c r="H2296" s="71">
        <f t="shared" si="71"/>
        <v>30</v>
      </c>
    </row>
    <row r="2297" spans="1:8" x14ac:dyDescent="0.2">
      <c r="A2297" s="71" t="s">
        <v>232</v>
      </c>
      <c r="B2297" s="71" t="s">
        <v>233</v>
      </c>
      <c r="C2297" s="71" t="s">
        <v>50</v>
      </c>
      <c r="D2297" s="88">
        <v>46196.388344907398</v>
      </c>
      <c r="E2297" s="89">
        <v>46196</v>
      </c>
      <c r="F2297" s="71" t="s">
        <v>2223</v>
      </c>
      <c r="G2297" s="71">
        <f t="shared" si="70"/>
        <v>6</v>
      </c>
      <c r="H2297" s="71">
        <f t="shared" si="71"/>
        <v>41</v>
      </c>
    </row>
    <row r="2298" spans="1:8" x14ac:dyDescent="0.2">
      <c r="A2298" s="71" t="s">
        <v>232</v>
      </c>
      <c r="B2298" s="71" t="s">
        <v>233</v>
      </c>
      <c r="C2298" s="71" t="s">
        <v>50</v>
      </c>
      <c r="D2298" s="88">
        <v>46196.6628935185</v>
      </c>
      <c r="E2298" s="89">
        <v>46196</v>
      </c>
      <c r="F2298" s="71" t="s">
        <v>2224</v>
      </c>
      <c r="G2298" s="71">
        <f t="shared" si="70"/>
        <v>6</v>
      </c>
      <c r="H2298" s="71">
        <f t="shared" si="71"/>
        <v>141</v>
      </c>
    </row>
    <row r="2299" spans="1:8" x14ac:dyDescent="0.2">
      <c r="A2299" s="71" t="s">
        <v>232</v>
      </c>
      <c r="B2299" s="71" t="s">
        <v>233</v>
      </c>
      <c r="C2299" s="71" t="s">
        <v>50</v>
      </c>
      <c r="D2299" s="88">
        <v>46197.511168981502</v>
      </c>
      <c r="E2299" s="89">
        <v>46197</v>
      </c>
      <c r="F2299" s="71" t="s">
        <v>2225</v>
      </c>
      <c r="G2299" s="71">
        <f t="shared" si="70"/>
        <v>6</v>
      </c>
      <c r="H2299" s="71">
        <f t="shared" si="71"/>
        <v>72</v>
      </c>
    </row>
    <row r="2300" spans="1:8" x14ac:dyDescent="0.2">
      <c r="A2300" s="71" t="s">
        <v>232</v>
      </c>
      <c r="B2300" s="71" t="s">
        <v>233</v>
      </c>
      <c r="C2300" s="71" t="s">
        <v>50</v>
      </c>
      <c r="D2300" s="88">
        <v>46198.3965046296</v>
      </c>
      <c r="E2300" s="89">
        <v>46198</v>
      </c>
      <c r="F2300" s="71" t="s">
        <v>2226</v>
      </c>
      <c r="G2300" s="71">
        <f t="shared" si="70"/>
        <v>6</v>
      </c>
      <c r="H2300" s="71">
        <f t="shared" si="71"/>
        <v>113</v>
      </c>
    </row>
    <row r="2301" spans="1:8" x14ac:dyDescent="0.2">
      <c r="A2301" s="71" t="s">
        <v>232</v>
      </c>
      <c r="B2301" s="71" t="s">
        <v>233</v>
      </c>
      <c r="C2301" s="71" t="s">
        <v>50</v>
      </c>
      <c r="D2301" s="88">
        <v>46198.409004629597</v>
      </c>
      <c r="E2301" s="89">
        <v>46198</v>
      </c>
      <c r="F2301" s="71" t="s">
        <v>2227</v>
      </c>
      <c r="G2301" s="71">
        <f t="shared" si="70"/>
        <v>6</v>
      </c>
      <c r="H2301" s="71">
        <f t="shared" si="71"/>
        <v>73</v>
      </c>
    </row>
    <row r="2302" spans="1:8" x14ac:dyDescent="0.2">
      <c r="A2302" s="71" t="s">
        <v>232</v>
      </c>
      <c r="B2302" s="71" t="s">
        <v>233</v>
      </c>
      <c r="C2302" s="71" t="s">
        <v>50</v>
      </c>
      <c r="D2302" s="88">
        <v>46198.5541898148</v>
      </c>
      <c r="E2302" s="89">
        <v>46198</v>
      </c>
      <c r="F2302" s="71" t="s">
        <v>2228</v>
      </c>
      <c r="G2302" s="71">
        <f t="shared" si="70"/>
        <v>6</v>
      </c>
      <c r="H2302" s="71">
        <f t="shared" si="71"/>
        <v>54</v>
      </c>
    </row>
    <row r="2303" spans="1:8" x14ac:dyDescent="0.2">
      <c r="A2303" s="71" t="s">
        <v>232</v>
      </c>
      <c r="B2303" s="71" t="s">
        <v>233</v>
      </c>
      <c r="C2303" s="71" t="s">
        <v>50</v>
      </c>
      <c r="D2303" s="88">
        <v>46198.5545949074</v>
      </c>
      <c r="E2303" s="89">
        <v>46198</v>
      </c>
      <c r="F2303" s="71" t="s">
        <v>2229</v>
      </c>
      <c r="G2303" s="71">
        <f t="shared" si="70"/>
        <v>6</v>
      </c>
      <c r="H2303" s="71">
        <f t="shared" si="71"/>
        <v>49</v>
      </c>
    </row>
    <row r="2304" spans="1:8" x14ac:dyDescent="0.2">
      <c r="A2304" s="71" t="s">
        <v>232</v>
      </c>
      <c r="B2304" s="71" t="s">
        <v>233</v>
      </c>
      <c r="C2304" s="71" t="s">
        <v>50</v>
      </c>
      <c r="D2304" s="88">
        <v>46198.5918634259</v>
      </c>
      <c r="E2304" s="89">
        <v>46198</v>
      </c>
      <c r="F2304" s="71" t="s">
        <v>2230</v>
      </c>
      <c r="G2304" s="71">
        <f t="shared" si="70"/>
        <v>6</v>
      </c>
      <c r="H2304" s="71">
        <f t="shared" si="71"/>
        <v>100</v>
      </c>
    </row>
    <row r="2305" spans="1:8" x14ac:dyDescent="0.2">
      <c r="A2305" s="71" t="s">
        <v>232</v>
      </c>
      <c r="B2305" s="71" t="s">
        <v>233</v>
      </c>
      <c r="C2305" s="71" t="s">
        <v>50</v>
      </c>
      <c r="D2305" s="88">
        <v>46198.593761574099</v>
      </c>
      <c r="E2305" s="89">
        <v>46198</v>
      </c>
      <c r="F2305" s="71" t="s">
        <v>2231</v>
      </c>
      <c r="G2305" s="71">
        <f t="shared" si="70"/>
        <v>6</v>
      </c>
      <c r="H2305" s="71">
        <f t="shared" si="71"/>
        <v>24</v>
      </c>
    </row>
    <row r="2306" spans="1:8" x14ac:dyDescent="0.2">
      <c r="A2306" s="71" t="s">
        <v>232</v>
      </c>
      <c r="B2306" s="71" t="s">
        <v>233</v>
      </c>
      <c r="C2306" s="71" t="s">
        <v>50</v>
      </c>
      <c r="D2306" s="88">
        <v>46198.6233796296</v>
      </c>
      <c r="E2306" s="89">
        <v>46198</v>
      </c>
      <c r="F2306" s="71" t="s">
        <v>2232</v>
      </c>
      <c r="G2306" s="71">
        <f t="shared" ref="G2306:G2369" si="72">MONTH(E2306)</f>
        <v>6</v>
      </c>
      <c r="H2306" s="71">
        <f t="shared" ref="H2306:H2369" si="73">LEN(F2306)</f>
        <v>87</v>
      </c>
    </row>
    <row r="2307" spans="1:8" x14ac:dyDescent="0.2">
      <c r="A2307" s="71" t="s">
        <v>232</v>
      </c>
      <c r="B2307" s="71" t="s">
        <v>233</v>
      </c>
      <c r="C2307" s="71" t="s">
        <v>50</v>
      </c>
      <c r="D2307" s="88">
        <v>46199.421805555598</v>
      </c>
      <c r="E2307" s="89">
        <v>46199</v>
      </c>
      <c r="F2307" s="71" t="s">
        <v>2233</v>
      </c>
      <c r="G2307" s="71">
        <f t="shared" si="72"/>
        <v>6</v>
      </c>
      <c r="H2307" s="71">
        <f t="shared" si="73"/>
        <v>119</v>
      </c>
    </row>
    <row r="2308" spans="1:8" x14ac:dyDescent="0.2">
      <c r="A2308" s="71" t="s">
        <v>232</v>
      </c>
      <c r="B2308" s="71" t="s">
        <v>233</v>
      </c>
      <c r="C2308" s="71" t="s">
        <v>50</v>
      </c>
      <c r="D2308" s="88">
        <v>46199.422824074099</v>
      </c>
      <c r="E2308" s="89">
        <v>46199</v>
      </c>
      <c r="F2308" s="71" t="s">
        <v>2234</v>
      </c>
      <c r="G2308" s="71">
        <f t="shared" si="72"/>
        <v>6</v>
      </c>
      <c r="H2308" s="71">
        <f t="shared" si="73"/>
        <v>89</v>
      </c>
    </row>
    <row r="2309" spans="1:8" x14ac:dyDescent="0.2">
      <c r="A2309" s="71" t="s">
        <v>232</v>
      </c>
      <c r="B2309" s="71" t="s">
        <v>233</v>
      </c>
      <c r="C2309" s="71" t="s">
        <v>50</v>
      </c>
      <c r="D2309" s="88">
        <v>46199.447500000002</v>
      </c>
      <c r="E2309" s="89">
        <v>46199</v>
      </c>
      <c r="F2309" s="71" t="s">
        <v>2235</v>
      </c>
      <c r="G2309" s="71">
        <f t="shared" si="72"/>
        <v>6</v>
      </c>
      <c r="H2309" s="71">
        <f t="shared" si="73"/>
        <v>46</v>
      </c>
    </row>
    <row r="2310" spans="1:8" x14ac:dyDescent="0.2">
      <c r="A2310" s="71" t="s">
        <v>232</v>
      </c>
      <c r="B2310" s="71" t="s">
        <v>233</v>
      </c>
      <c r="C2310" s="71" t="s">
        <v>50</v>
      </c>
      <c r="D2310" s="88">
        <v>46199.574432870402</v>
      </c>
      <c r="E2310" s="89">
        <v>46199</v>
      </c>
      <c r="F2310" s="71" t="s">
        <v>2236</v>
      </c>
      <c r="G2310" s="71">
        <f t="shared" si="72"/>
        <v>6</v>
      </c>
      <c r="H2310" s="71">
        <f t="shared" si="73"/>
        <v>65</v>
      </c>
    </row>
    <row r="2311" spans="1:8" x14ac:dyDescent="0.2">
      <c r="A2311" s="71" t="s">
        <v>232</v>
      </c>
      <c r="B2311" s="71" t="s">
        <v>233</v>
      </c>
      <c r="C2311" s="71" t="s">
        <v>50</v>
      </c>
      <c r="D2311" s="88">
        <v>46199.629652777803</v>
      </c>
      <c r="E2311" s="89">
        <v>46199</v>
      </c>
      <c r="F2311" s="71" t="s">
        <v>2237</v>
      </c>
      <c r="G2311" s="71">
        <f t="shared" si="72"/>
        <v>6</v>
      </c>
      <c r="H2311" s="71">
        <f t="shared" si="73"/>
        <v>68</v>
      </c>
    </row>
    <row r="2312" spans="1:8" x14ac:dyDescent="0.2">
      <c r="A2312" s="71" t="s">
        <v>232</v>
      </c>
      <c r="B2312" s="71" t="s">
        <v>233</v>
      </c>
      <c r="C2312" s="71" t="s">
        <v>50</v>
      </c>
      <c r="D2312" s="88">
        <v>46199.651805555601</v>
      </c>
      <c r="E2312" s="89">
        <v>46199</v>
      </c>
      <c r="F2312" s="71" t="s">
        <v>2238</v>
      </c>
      <c r="G2312" s="71">
        <f t="shared" si="72"/>
        <v>6</v>
      </c>
      <c r="H2312" s="71">
        <f t="shared" si="73"/>
        <v>61</v>
      </c>
    </row>
    <row r="2313" spans="1:8" x14ac:dyDescent="0.2">
      <c r="A2313" s="71" t="s">
        <v>232</v>
      </c>
      <c r="B2313" s="71" t="s">
        <v>233</v>
      </c>
      <c r="C2313" s="71" t="s">
        <v>50</v>
      </c>
      <c r="D2313" s="88">
        <v>46199.653773148202</v>
      </c>
      <c r="E2313" s="89">
        <v>46199</v>
      </c>
      <c r="F2313" s="71" t="s">
        <v>2239</v>
      </c>
      <c r="G2313" s="71">
        <f t="shared" si="72"/>
        <v>6</v>
      </c>
      <c r="H2313" s="71">
        <f t="shared" si="73"/>
        <v>83</v>
      </c>
    </row>
    <row r="2314" spans="1:8" x14ac:dyDescent="0.2">
      <c r="A2314" s="71" t="s">
        <v>232</v>
      </c>
      <c r="B2314" s="71" t="s">
        <v>233</v>
      </c>
      <c r="C2314" s="71" t="s">
        <v>50</v>
      </c>
      <c r="D2314" s="88">
        <v>46202.390613425901</v>
      </c>
      <c r="E2314" s="89">
        <v>46202</v>
      </c>
      <c r="F2314" s="71" t="s">
        <v>2240</v>
      </c>
      <c r="G2314" s="71">
        <f t="shared" si="72"/>
        <v>6</v>
      </c>
      <c r="H2314" s="71">
        <f t="shared" si="73"/>
        <v>65</v>
      </c>
    </row>
    <row r="2315" spans="1:8" x14ac:dyDescent="0.2">
      <c r="A2315" s="71" t="s">
        <v>232</v>
      </c>
      <c r="B2315" s="71" t="s">
        <v>233</v>
      </c>
      <c r="C2315" s="71" t="s">
        <v>50</v>
      </c>
      <c r="D2315" s="88">
        <v>46202.433958333299</v>
      </c>
      <c r="E2315" s="89">
        <v>46202</v>
      </c>
      <c r="F2315" s="71" t="s">
        <v>2241</v>
      </c>
      <c r="G2315" s="71">
        <f t="shared" si="72"/>
        <v>6</v>
      </c>
      <c r="H2315" s="71">
        <f t="shared" si="73"/>
        <v>112</v>
      </c>
    </row>
    <row r="2316" spans="1:8" x14ac:dyDescent="0.2">
      <c r="A2316" s="71" t="s">
        <v>232</v>
      </c>
      <c r="B2316" s="71" t="s">
        <v>233</v>
      </c>
      <c r="C2316" s="71" t="s">
        <v>50</v>
      </c>
      <c r="D2316" s="88">
        <v>46202.563078703701</v>
      </c>
      <c r="E2316" s="89">
        <v>46202</v>
      </c>
      <c r="F2316" s="71" t="s">
        <v>2242</v>
      </c>
      <c r="G2316" s="71">
        <f t="shared" si="72"/>
        <v>6</v>
      </c>
      <c r="H2316" s="71">
        <f t="shared" si="73"/>
        <v>119</v>
      </c>
    </row>
    <row r="2317" spans="1:8" x14ac:dyDescent="0.2">
      <c r="A2317" s="71" t="s">
        <v>232</v>
      </c>
      <c r="B2317" s="71" t="s">
        <v>233</v>
      </c>
      <c r="C2317" s="71" t="s">
        <v>50</v>
      </c>
      <c r="D2317" s="88">
        <v>46202.675347222197</v>
      </c>
      <c r="E2317" s="89">
        <v>46202</v>
      </c>
      <c r="F2317" s="71" t="s">
        <v>2243</v>
      </c>
      <c r="G2317" s="71">
        <f t="shared" si="72"/>
        <v>6</v>
      </c>
      <c r="H2317" s="71">
        <f t="shared" si="73"/>
        <v>71</v>
      </c>
    </row>
    <row r="2318" spans="1:8" x14ac:dyDescent="0.2">
      <c r="A2318" s="71" t="s">
        <v>232</v>
      </c>
      <c r="B2318" s="71" t="s">
        <v>233</v>
      </c>
      <c r="C2318" s="71" t="s">
        <v>50</v>
      </c>
      <c r="D2318" s="88">
        <v>46202.677002314798</v>
      </c>
      <c r="E2318" s="89">
        <v>46202</v>
      </c>
      <c r="F2318" s="71" t="s">
        <v>2244</v>
      </c>
      <c r="G2318" s="71">
        <f t="shared" si="72"/>
        <v>6</v>
      </c>
      <c r="H2318" s="71">
        <f t="shared" si="73"/>
        <v>22</v>
      </c>
    </row>
    <row r="2319" spans="1:8" x14ac:dyDescent="0.2">
      <c r="A2319" s="71" t="s">
        <v>232</v>
      </c>
      <c r="B2319" s="71" t="s">
        <v>233</v>
      </c>
      <c r="C2319" s="71" t="s">
        <v>50</v>
      </c>
      <c r="D2319" s="88">
        <v>46202.678321759297</v>
      </c>
      <c r="E2319" s="89">
        <v>46202</v>
      </c>
      <c r="F2319" s="71" t="s">
        <v>2245</v>
      </c>
      <c r="G2319" s="71">
        <f t="shared" si="72"/>
        <v>6</v>
      </c>
      <c r="H2319" s="71">
        <f t="shared" si="73"/>
        <v>41</v>
      </c>
    </row>
    <row r="2320" spans="1:8" x14ac:dyDescent="0.2">
      <c r="A2320" s="71" t="s">
        <v>232</v>
      </c>
      <c r="B2320" s="71" t="s">
        <v>233</v>
      </c>
      <c r="C2320" s="71" t="s">
        <v>50</v>
      </c>
      <c r="D2320" s="88">
        <v>46202.681724536997</v>
      </c>
      <c r="E2320" s="89">
        <v>46202</v>
      </c>
      <c r="F2320" s="71" t="s">
        <v>2246</v>
      </c>
      <c r="G2320" s="71">
        <f t="shared" si="72"/>
        <v>6</v>
      </c>
      <c r="H2320" s="71">
        <f t="shared" si="73"/>
        <v>71</v>
      </c>
    </row>
    <row r="2321" spans="1:8" x14ac:dyDescent="0.2">
      <c r="A2321" s="71" t="s">
        <v>232</v>
      </c>
      <c r="B2321" s="71" t="s">
        <v>233</v>
      </c>
      <c r="C2321" s="71" t="s">
        <v>50</v>
      </c>
      <c r="D2321" s="88">
        <v>46205.353506944499</v>
      </c>
      <c r="E2321" s="89">
        <v>46205</v>
      </c>
      <c r="F2321" s="71" t="s">
        <v>2247</v>
      </c>
      <c r="G2321" s="71">
        <f t="shared" si="72"/>
        <v>7</v>
      </c>
      <c r="H2321" s="71">
        <f t="shared" si="73"/>
        <v>52</v>
      </c>
    </row>
    <row r="2322" spans="1:8" x14ac:dyDescent="0.2">
      <c r="A2322" s="71" t="s">
        <v>232</v>
      </c>
      <c r="B2322" s="71" t="s">
        <v>233</v>
      </c>
      <c r="C2322" s="71" t="s">
        <v>50</v>
      </c>
      <c r="D2322" s="88">
        <v>46205.397743055597</v>
      </c>
      <c r="E2322" s="89">
        <v>46205</v>
      </c>
      <c r="F2322" s="71" t="s">
        <v>2248</v>
      </c>
      <c r="G2322" s="71">
        <f t="shared" si="72"/>
        <v>7</v>
      </c>
      <c r="H2322" s="71">
        <f t="shared" si="73"/>
        <v>70</v>
      </c>
    </row>
    <row r="2323" spans="1:8" x14ac:dyDescent="0.2">
      <c r="A2323" s="71" t="s">
        <v>232</v>
      </c>
      <c r="B2323" s="71" t="s">
        <v>233</v>
      </c>
      <c r="C2323" s="71" t="s">
        <v>50</v>
      </c>
      <c r="D2323" s="88">
        <v>46205.545821759297</v>
      </c>
      <c r="E2323" s="89">
        <v>46205</v>
      </c>
      <c r="F2323" s="71" t="s">
        <v>2249</v>
      </c>
      <c r="G2323" s="71">
        <f t="shared" si="72"/>
        <v>7</v>
      </c>
      <c r="H2323" s="71">
        <f t="shared" si="73"/>
        <v>90</v>
      </c>
    </row>
    <row r="2324" spans="1:8" x14ac:dyDescent="0.2">
      <c r="A2324" s="71" t="s">
        <v>232</v>
      </c>
      <c r="B2324" s="71" t="s">
        <v>233</v>
      </c>
      <c r="C2324" s="71" t="s">
        <v>50</v>
      </c>
      <c r="D2324" s="88">
        <v>46205.560405092598</v>
      </c>
      <c r="E2324" s="89">
        <v>46205</v>
      </c>
      <c r="F2324" s="71" t="s">
        <v>2250</v>
      </c>
      <c r="G2324" s="71">
        <f t="shared" si="72"/>
        <v>7</v>
      </c>
      <c r="H2324" s="71">
        <f t="shared" si="73"/>
        <v>49</v>
      </c>
    </row>
    <row r="2325" spans="1:8" x14ac:dyDescent="0.2">
      <c r="A2325" s="71" t="s">
        <v>232</v>
      </c>
      <c r="B2325" s="71" t="s">
        <v>233</v>
      </c>
      <c r="C2325" s="71" t="s">
        <v>50</v>
      </c>
      <c r="D2325" s="88">
        <v>46205.620601851901</v>
      </c>
      <c r="E2325" s="89">
        <v>46205</v>
      </c>
      <c r="F2325" s="71" t="s">
        <v>2251</v>
      </c>
      <c r="G2325" s="71">
        <f t="shared" si="72"/>
        <v>7</v>
      </c>
      <c r="H2325" s="71">
        <f t="shared" si="73"/>
        <v>109</v>
      </c>
    </row>
    <row r="2326" spans="1:8" x14ac:dyDescent="0.2">
      <c r="A2326" s="71" t="s">
        <v>232</v>
      </c>
      <c r="B2326" s="71" t="s">
        <v>233</v>
      </c>
      <c r="C2326" s="71" t="s">
        <v>50</v>
      </c>
      <c r="D2326" s="88">
        <v>46206.345474537004</v>
      </c>
      <c r="E2326" s="89">
        <v>46206</v>
      </c>
      <c r="F2326" s="71" t="s">
        <v>2252</v>
      </c>
      <c r="G2326" s="71">
        <f t="shared" si="72"/>
        <v>7</v>
      </c>
      <c r="H2326" s="71">
        <f t="shared" si="73"/>
        <v>48</v>
      </c>
    </row>
    <row r="2327" spans="1:8" x14ac:dyDescent="0.2">
      <c r="A2327" s="71" t="s">
        <v>232</v>
      </c>
      <c r="B2327" s="71" t="s">
        <v>233</v>
      </c>
      <c r="C2327" s="71" t="s">
        <v>50</v>
      </c>
      <c r="D2327" s="88">
        <v>46206.347106481502</v>
      </c>
      <c r="E2327" s="89">
        <v>46206</v>
      </c>
      <c r="F2327" s="71" t="s">
        <v>2253</v>
      </c>
      <c r="G2327" s="71">
        <f t="shared" si="72"/>
        <v>7</v>
      </c>
      <c r="H2327" s="71">
        <f t="shared" si="73"/>
        <v>136</v>
      </c>
    </row>
    <row r="2328" spans="1:8" x14ac:dyDescent="0.2">
      <c r="A2328" s="71" t="s">
        <v>232</v>
      </c>
      <c r="B2328" s="71" t="s">
        <v>233</v>
      </c>
      <c r="C2328" s="71" t="s">
        <v>50</v>
      </c>
      <c r="D2328" s="88">
        <v>46206.545335648101</v>
      </c>
      <c r="E2328" s="89">
        <v>46206</v>
      </c>
      <c r="F2328" s="71" t="s">
        <v>2254</v>
      </c>
      <c r="G2328" s="71">
        <f t="shared" si="72"/>
        <v>7</v>
      </c>
      <c r="H2328" s="71">
        <f t="shared" si="73"/>
        <v>93</v>
      </c>
    </row>
    <row r="2329" spans="1:8" x14ac:dyDescent="0.2">
      <c r="A2329" s="71" t="s">
        <v>232</v>
      </c>
      <c r="B2329" s="71" t="s">
        <v>233</v>
      </c>
      <c r="C2329" s="71" t="s">
        <v>50</v>
      </c>
      <c r="D2329" s="88">
        <v>46206.5880092593</v>
      </c>
      <c r="E2329" s="89">
        <v>46206</v>
      </c>
      <c r="F2329" s="71" t="s">
        <v>2255</v>
      </c>
      <c r="G2329" s="71">
        <f t="shared" si="72"/>
        <v>7</v>
      </c>
      <c r="H2329" s="71">
        <f t="shared" si="73"/>
        <v>71</v>
      </c>
    </row>
    <row r="2330" spans="1:8" x14ac:dyDescent="0.2">
      <c r="A2330" s="71" t="s">
        <v>232</v>
      </c>
      <c r="B2330" s="71" t="s">
        <v>233</v>
      </c>
      <c r="C2330" s="71" t="s">
        <v>50</v>
      </c>
      <c r="D2330" s="88">
        <v>46209.359444444497</v>
      </c>
      <c r="E2330" s="89">
        <v>46209</v>
      </c>
      <c r="F2330" s="71" t="s">
        <v>2256</v>
      </c>
      <c r="G2330" s="71">
        <f t="shared" si="72"/>
        <v>7</v>
      </c>
      <c r="H2330" s="71">
        <f t="shared" si="73"/>
        <v>117</v>
      </c>
    </row>
    <row r="2331" spans="1:8" x14ac:dyDescent="0.2">
      <c r="A2331" s="71" t="s">
        <v>232</v>
      </c>
      <c r="B2331" s="71" t="s">
        <v>233</v>
      </c>
      <c r="C2331" s="71" t="s">
        <v>50</v>
      </c>
      <c r="D2331" s="88">
        <v>46209.396481481497</v>
      </c>
      <c r="E2331" s="89">
        <v>46209</v>
      </c>
      <c r="F2331" s="71" t="s">
        <v>2257</v>
      </c>
      <c r="G2331" s="71">
        <f t="shared" si="72"/>
        <v>7</v>
      </c>
      <c r="H2331" s="71">
        <f t="shared" si="73"/>
        <v>131</v>
      </c>
    </row>
    <row r="2332" spans="1:8" x14ac:dyDescent="0.2">
      <c r="A2332" s="71" t="s">
        <v>232</v>
      </c>
      <c r="B2332" s="71" t="s">
        <v>233</v>
      </c>
      <c r="C2332" s="71" t="s">
        <v>50</v>
      </c>
      <c r="D2332" s="88">
        <v>46209.399895833303</v>
      </c>
      <c r="E2332" s="89">
        <v>46209</v>
      </c>
      <c r="F2332" s="71" t="s">
        <v>2258</v>
      </c>
      <c r="G2332" s="71">
        <f t="shared" si="72"/>
        <v>7</v>
      </c>
      <c r="H2332" s="71">
        <f t="shared" si="73"/>
        <v>34</v>
      </c>
    </row>
    <row r="2333" spans="1:8" x14ac:dyDescent="0.2">
      <c r="A2333" s="71" t="s">
        <v>232</v>
      </c>
      <c r="B2333" s="71" t="s">
        <v>233</v>
      </c>
      <c r="C2333" s="71" t="s">
        <v>50</v>
      </c>
      <c r="D2333" s="88">
        <v>46209.471840277802</v>
      </c>
      <c r="E2333" s="89">
        <v>46209</v>
      </c>
      <c r="F2333" s="71" t="s">
        <v>2259</v>
      </c>
      <c r="G2333" s="71">
        <f t="shared" si="72"/>
        <v>7</v>
      </c>
      <c r="H2333" s="71">
        <f t="shared" si="73"/>
        <v>26</v>
      </c>
    </row>
    <row r="2334" spans="1:8" x14ac:dyDescent="0.2">
      <c r="A2334" s="71" t="s">
        <v>232</v>
      </c>
      <c r="B2334" s="71" t="s">
        <v>233</v>
      </c>
      <c r="C2334" s="71" t="s">
        <v>50</v>
      </c>
      <c r="D2334" s="88">
        <v>46209.631087962996</v>
      </c>
      <c r="E2334" s="89">
        <v>46209</v>
      </c>
      <c r="F2334" s="71" t="s">
        <v>2260</v>
      </c>
      <c r="G2334" s="71">
        <f t="shared" si="72"/>
        <v>7</v>
      </c>
      <c r="H2334" s="71">
        <f t="shared" si="73"/>
        <v>52</v>
      </c>
    </row>
    <row r="2335" spans="1:8" x14ac:dyDescent="0.2">
      <c r="A2335" s="71" t="s">
        <v>232</v>
      </c>
      <c r="B2335" s="71" t="s">
        <v>233</v>
      </c>
      <c r="C2335" s="71" t="s">
        <v>50</v>
      </c>
      <c r="D2335" s="88">
        <v>46210.331863425898</v>
      </c>
      <c r="E2335" s="89">
        <v>46210</v>
      </c>
      <c r="F2335" s="71" t="s">
        <v>2261</v>
      </c>
      <c r="G2335" s="71">
        <f t="shared" si="72"/>
        <v>7</v>
      </c>
      <c r="H2335" s="71">
        <f t="shared" si="73"/>
        <v>142</v>
      </c>
    </row>
    <row r="2336" spans="1:8" x14ac:dyDescent="0.2">
      <c r="A2336" s="71" t="s">
        <v>232</v>
      </c>
      <c r="B2336" s="71" t="s">
        <v>233</v>
      </c>
      <c r="C2336" s="71" t="s">
        <v>50</v>
      </c>
      <c r="D2336" s="88">
        <v>46210.340787036999</v>
      </c>
      <c r="E2336" s="89">
        <v>46210</v>
      </c>
      <c r="F2336" s="71" t="s">
        <v>2262</v>
      </c>
      <c r="G2336" s="71">
        <f t="shared" si="72"/>
        <v>7</v>
      </c>
      <c r="H2336" s="71">
        <f t="shared" si="73"/>
        <v>93</v>
      </c>
    </row>
    <row r="2337" spans="1:8" x14ac:dyDescent="0.2">
      <c r="A2337" s="71" t="s">
        <v>232</v>
      </c>
      <c r="B2337" s="71" t="s">
        <v>233</v>
      </c>
      <c r="C2337" s="71" t="s">
        <v>50</v>
      </c>
      <c r="D2337" s="88">
        <v>46210.468043981498</v>
      </c>
      <c r="E2337" s="89">
        <v>46210</v>
      </c>
      <c r="F2337" s="71" t="s">
        <v>2263</v>
      </c>
      <c r="G2337" s="71">
        <f t="shared" si="72"/>
        <v>7</v>
      </c>
      <c r="H2337" s="71">
        <f t="shared" si="73"/>
        <v>37</v>
      </c>
    </row>
    <row r="2338" spans="1:8" x14ac:dyDescent="0.2">
      <c r="A2338" s="71" t="s">
        <v>232</v>
      </c>
      <c r="B2338" s="71" t="s">
        <v>233</v>
      </c>
      <c r="C2338" s="71" t="s">
        <v>50</v>
      </c>
      <c r="D2338" s="88">
        <v>46210.587384259299</v>
      </c>
      <c r="E2338" s="89">
        <v>46210</v>
      </c>
      <c r="F2338" s="71" t="s">
        <v>2264</v>
      </c>
      <c r="G2338" s="71">
        <f t="shared" si="72"/>
        <v>7</v>
      </c>
      <c r="H2338" s="71">
        <f t="shared" si="73"/>
        <v>36</v>
      </c>
    </row>
    <row r="2339" spans="1:8" x14ac:dyDescent="0.2">
      <c r="A2339" s="71" t="s">
        <v>232</v>
      </c>
      <c r="B2339" s="71" t="s">
        <v>233</v>
      </c>
      <c r="C2339" s="71" t="s">
        <v>50</v>
      </c>
      <c r="D2339" s="88">
        <v>46211.3442476852</v>
      </c>
      <c r="E2339" s="89">
        <v>46211</v>
      </c>
      <c r="F2339" s="71" t="s">
        <v>2265</v>
      </c>
      <c r="G2339" s="71">
        <f t="shared" si="72"/>
        <v>7</v>
      </c>
      <c r="H2339" s="71">
        <f t="shared" si="73"/>
        <v>97</v>
      </c>
    </row>
    <row r="2340" spans="1:8" x14ac:dyDescent="0.2">
      <c r="A2340" s="71" t="s">
        <v>232</v>
      </c>
      <c r="B2340" s="71" t="s">
        <v>233</v>
      </c>
      <c r="C2340" s="71" t="s">
        <v>50</v>
      </c>
      <c r="D2340" s="88">
        <v>46211.381574074097</v>
      </c>
      <c r="E2340" s="89">
        <v>46211</v>
      </c>
      <c r="F2340" s="71" t="s">
        <v>2266</v>
      </c>
      <c r="G2340" s="71">
        <f t="shared" si="72"/>
        <v>7</v>
      </c>
      <c r="H2340" s="71">
        <f t="shared" si="73"/>
        <v>136</v>
      </c>
    </row>
    <row r="2341" spans="1:8" x14ac:dyDescent="0.2">
      <c r="A2341" s="71" t="s">
        <v>232</v>
      </c>
      <c r="B2341" s="71" t="s">
        <v>233</v>
      </c>
      <c r="C2341" s="71" t="s">
        <v>50</v>
      </c>
      <c r="D2341" s="88">
        <v>46211.417511574102</v>
      </c>
      <c r="E2341" s="89">
        <v>46211</v>
      </c>
      <c r="F2341" s="71" t="s">
        <v>2267</v>
      </c>
      <c r="G2341" s="71">
        <f t="shared" si="72"/>
        <v>7</v>
      </c>
      <c r="H2341" s="71">
        <f t="shared" si="73"/>
        <v>32</v>
      </c>
    </row>
    <row r="2342" spans="1:8" x14ac:dyDescent="0.2">
      <c r="A2342" s="71" t="s">
        <v>232</v>
      </c>
      <c r="B2342" s="71" t="s">
        <v>233</v>
      </c>
      <c r="C2342" s="71" t="s">
        <v>50</v>
      </c>
      <c r="D2342" s="88">
        <v>46211.4460763889</v>
      </c>
      <c r="E2342" s="89">
        <v>46211</v>
      </c>
      <c r="F2342" s="71" t="s">
        <v>2268</v>
      </c>
      <c r="G2342" s="71">
        <f t="shared" si="72"/>
        <v>7</v>
      </c>
      <c r="H2342" s="71">
        <f t="shared" si="73"/>
        <v>131</v>
      </c>
    </row>
    <row r="2343" spans="1:8" x14ac:dyDescent="0.2">
      <c r="A2343" s="71" t="s">
        <v>232</v>
      </c>
      <c r="B2343" s="71" t="s">
        <v>233</v>
      </c>
      <c r="C2343" s="71" t="s">
        <v>50</v>
      </c>
      <c r="D2343" s="88">
        <v>46211.558067129597</v>
      </c>
      <c r="E2343" s="89">
        <v>46211</v>
      </c>
      <c r="F2343" s="71" t="s">
        <v>2269</v>
      </c>
      <c r="G2343" s="71">
        <f t="shared" si="72"/>
        <v>7</v>
      </c>
      <c r="H2343" s="71">
        <f t="shared" si="73"/>
        <v>71</v>
      </c>
    </row>
    <row r="2344" spans="1:8" x14ac:dyDescent="0.2">
      <c r="A2344" s="71" t="s">
        <v>232</v>
      </c>
      <c r="B2344" s="71" t="s">
        <v>233</v>
      </c>
      <c r="C2344" s="71" t="s">
        <v>50</v>
      </c>
      <c r="D2344" s="88">
        <v>46211.618796296301</v>
      </c>
      <c r="E2344" s="89">
        <v>46211</v>
      </c>
      <c r="F2344" s="71" t="s">
        <v>2270</v>
      </c>
      <c r="G2344" s="71">
        <f t="shared" si="72"/>
        <v>7</v>
      </c>
      <c r="H2344" s="71">
        <f t="shared" si="73"/>
        <v>28</v>
      </c>
    </row>
    <row r="2345" spans="1:8" x14ac:dyDescent="0.2">
      <c r="A2345" s="71" t="s">
        <v>232</v>
      </c>
      <c r="B2345" s="71" t="s">
        <v>233</v>
      </c>
      <c r="C2345" s="71" t="s">
        <v>50</v>
      </c>
      <c r="D2345" s="88">
        <v>46211.640902777799</v>
      </c>
      <c r="E2345" s="89">
        <v>46211</v>
      </c>
      <c r="F2345" s="71" t="s">
        <v>2271</v>
      </c>
      <c r="G2345" s="71">
        <f t="shared" si="72"/>
        <v>7</v>
      </c>
      <c r="H2345" s="71">
        <f t="shared" si="73"/>
        <v>50</v>
      </c>
    </row>
    <row r="2346" spans="1:8" x14ac:dyDescent="0.2">
      <c r="A2346" s="71" t="s">
        <v>232</v>
      </c>
      <c r="B2346" s="71" t="s">
        <v>233</v>
      </c>
      <c r="C2346" s="71" t="s">
        <v>50</v>
      </c>
      <c r="D2346" s="88">
        <v>46212.486712963</v>
      </c>
      <c r="E2346" s="89">
        <v>46212</v>
      </c>
      <c r="F2346" s="71" t="s">
        <v>2272</v>
      </c>
      <c r="G2346" s="71">
        <f t="shared" si="72"/>
        <v>7</v>
      </c>
      <c r="H2346" s="71">
        <f t="shared" si="73"/>
        <v>83</v>
      </c>
    </row>
    <row r="2347" spans="1:8" x14ac:dyDescent="0.2">
      <c r="A2347" s="71" t="s">
        <v>232</v>
      </c>
      <c r="B2347" s="71" t="s">
        <v>233</v>
      </c>
      <c r="C2347" s="71" t="s">
        <v>50</v>
      </c>
      <c r="D2347" s="88">
        <v>46212.488101851901</v>
      </c>
      <c r="E2347" s="89">
        <v>46212</v>
      </c>
      <c r="F2347" s="71" t="s">
        <v>2273</v>
      </c>
      <c r="G2347" s="71">
        <f t="shared" si="72"/>
        <v>7</v>
      </c>
      <c r="H2347" s="71">
        <f t="shared" si="73"/>
        <v>66</v>
      </c>
    </row>
    <row r="2348" spans="1:8" x14ac:dyDescent="0.2">
      <c r="A2348" s="71" t="s">
        <v>232</v>
      </c>
      <c r="B2348" s="71" t="s">
        <v>233</v>
      </c>
      <c r="C2348" s="71" t="s">
        <v>50</v>
      </c>
      <c r="D2348" s="88">
        <v>46212.571805555599</v>
      </c>
      <c r="E2348" s="89">
        <v>46212</v>
      </c>
      <c r="F2348" s="71" t="s">
        <v>2274</v>
      </c>
      <c r="G2348" s="71">
        <f t="shared" si="72"/>
        <v>7</v>
      </c>
      <c r="H2348" s="71">
        <f t="shared" si="73"/>
        <v>97</v>
      </c>
    </row>
    <row r="2349" spans="1:8" x14ac:dyDescent="0.2">
      <c r="A2349" s="71" t="s">
        <v>232</v>
      </c>
      <c r="B2349" s="71" t="s">
        <v>233</v>
      </c>
      <c r="C2349" s="71" t="s">
        <v>50</v>
      </c>
      <c r="D2349" s="88">
        <v>46213.334178240701</v>
      </c>
      <c r="E2349" s="89">
        <v>46213</v>
      </c>
      <c r="F2349" s="71" t="s">
        <v>2275</v>
      </c>
      <c r="G2349" s="71">
        <f t="shared" si="72"/>
        <v>7</v>
      </c>
      <c r="H2349" s="71">
        <f t="shared" si="73"/>
        <v>97</v>
      </c>
    </row>
    <row r="2350" spans="1:8" x14ac:dyDescent="0.2">
      <c r="A2350" s="71" t="s">
        <v>232</v>
      </c>
      <c r="B2350" s="71" t="s">
        <v>233</v>
      </c>
      <c r="C2350" s="71" t="s">
        <v>50</v>
      </c>
      <c r="D2350" s="88">
        <v>46213.350925925901</v>
      </c>
      <c r="E2350" s="89">
        <v>46213</v>
      </c>
      <c r="F2350" s="71" t="s">
        <v>2276</v>
      </c>
      <c r="G2350" s="71">
        <f t="shared" si="72"/>
        <v>7</v>
      </c>
      <c r="H2350" s="71">
        <f t="shared" si="73"/>
        <v>106</v>
      </c>
    </row>
    <row r="2351" spans="1:8" x14ac:dyDescent="0.2">
      <c r="A2351" s="71" t="s">
        <v>232</v>
      </c>
      <c r="B2351" s="71" t="s">
        <v>233</v>
      </c>
      <c r="C2351" s="71" t="s">
        <v>50</v>
      </c>
      <c r="D2351" s="88">
        <v>46213.6091087963</v>
      </c>
      <c r="E2351" s="89">
        <v>46213</v>
      </c>
      <c r="F2351" s="71" t="s">
        <v>2277</v>
      </c>
      <c r="G2351" s="71">
        <f t="shared" si="72"/>
        <v>7</v>
      </c>
      <c r="H2351" s="71">
        <f t="shared" si="73"/>
        <v>62</v>
      </c>
    </row>
    <row r="2352" spans="1:8" x14ac:dyDescent="0.2">
      <c r="A2352" s="71" t="s">
        <v>232</v>
      </c>
      <c r="B2352" s="71" t="s">
        <v>233</v>
      </c>
      <c r="C2352" s="71" t="s">
        <v>50</v>
      </c>
      <c r="D2352" s="88">
        <v>46213.629930555602</v>
      </c>
      <c r="E2352" s="89">
        <v>46213</v>
      </c>
      <c r="F2352" s="71" t="s">
        <v>2278</v>
      </c>
      <c r="G2352" s="71">
        <f t="shared" si="72"/>
        <v>7</v>
      </c>
      <c r="H2352" s="71">
        <f t="shared" si="73"/>
        <v>43</v>
      </c>
    </row>
    <row r="2353" spans="1:8" x14ac:dyDescent="0.2">
      <c r="A2353" s="71" t="s">
        <v>232</v>
      </c>
      <c r="B2353" s="71" t="s">
        <v>233</v>
      </c>
      <c r="C2353" s="71" t="s">
        <v>50</v>
      </c>
      <c r="D2353" s="88">
        <v>46216.382974537002</v>
      </c>
      <c r="E2353" s="89">
        <v>46216</v>
      </c>
      <c r="F2353" s="71" t="s">
        <v>2279</v>
      </c>
      <c r="G2353" s="71">
        <f t="shared" si="72"/>
        <v>7</v>
      </c>
      <c r="H2353" s="71">
        <f t="shared" si="73"/>
        <v>103</v>
      </c>
    </row>
    <row r="2354" spans="1:8" x14ac:dyDescent="0.2">
      <c r="A2354" s="71" t="s">
        <v>232</v>
      </c>
      <c r="B2354" s="71" t="s">
        <v>233</v>
      </c>
      <c r="C2354" s="71" t="s">
        <v>50</v>
      </c>
      <c r="D2354" s="88">
        <v>46216.632222222201</v>
      </c>
      <c r="E2354" s="89">
        <v>46216</v>
      </c>
      <c r="F2354" s="71" t="s">
        <v>2280</v>
      </c>
      <c r="G2354" s="71">
        <f t="shared" si="72"/>
        <v>7</v>
      </c>
      <c r="H2354" s="71">
        <f t="shared" si="73"/>
        <v>27</v>
      </c>
    </row>
    <row r="2355" spans="1:8" x14ac:dyDescent="0.2">
      <c r="A2355" s="71" t="s">
        <v>232</v>
      </c>
      <c r="B2355" s="71" t="s">
        <v>233</v>
      </c>
      <c r="C2355" s="71" t="s">
        <v>50</v>
      </c>
      <c r="D2355" s="88">
        <v>46216.633067129602</v>
      </c>
      <c r="E2355" s="89">
        <v>46216</v>
      </c>
      <c r="F2355" s="71" t="s">
        <v>2281</v>
      </c>
      <c r="G2355" s="71">
        <f t="shared" si="72"/>
        <v>7</v>
      </c>
      <c r="H2355" s="71">
        <f t="shared" si="73"/>
        <v>46</v>
      </c>
    </row>
    <row r="2356" spans="1:8" x14ac:dyDescent="0.2">
      <c r="A2356" s="71" t="s">
        <v>232</v>
      </c>
      <c r="B2356" s="71" t="s">
        <v>233</v>
      </c>
      <c r="C2356" s="71" t="s">
        <v>50</v>
      </c>
      <c r="D2356" s="88">
        <v>46216.633831018502</v>
      </c>
      <c r="E2356" s="89">
        <v>46216</v>
      </c>
      <c r="F2356" s="71" t="s">
        <v>2282</v>
      </c>
      <c r="G2356" s="71">
        <f t="shared" si="72"/>
        <v>7</v>
      </c>
      <c r="H2356" s="71">
        <f t="shared" si="73"/>
        <v>23</v>
      </c>
    </row>
    <row r="2357" spans="1:8" x14ac:dyDescent="0.2">
      <c r="A2357" s="71" t="s">
        <v>232</v>
      </c>
      <c r="B2357" s="71" t="s">
        <v>233</v>
      </c>
      <c r="C2357" s="71" t="s">
        <v>50</v>
      </c>
      <c r="D2357" s="88">
        <v>46217.419814814799</v>
      </c>
      <c r="E2357" s="89">
        <v>46217</v>
      </c>
      <c r="F2357" s="71" t="s">
        <v>2283</v>
      </c>
      <c r="G2357" s="71">
        <f t="shared" si="72"/>
        <v>7</v>
      </c>
      <c r="H2357" s="71">
        <f t="shared" si="73"/>
        <v>93</v>
      </c>
    </row>
    <row r="2358" spans="1:8" x14ac:dyDescent="0.2">
      <c r="A2358" s="71" t="s">
        <v>232</v>
      </c>
      <c r="B2358" s="71" t="s">
        <v>233</v>
      </c>
      <c r="C2358" s="71" t="s">
        <v>50</v>
      </c>
      <c r="D2358" s="88">
        <v>46217.420555555596</v>
      </c>
      <c r="E2358" s="89">
        <v>46217</v>
      </c>
      <c r="F2358" s="71" t="s">
        <v>2284</v>
      </c>
      <c r="G2358" s="71">
        <f t="shared" si="72"/>
        <v>7</v>
      </c>
      <c r="H2358" s="71">
        <f t="shared" si="73"/>
        <v>56</v>
      </c>
    </row>
    <row r="2359" spans="1:8" x14ac:dyDescent="0.2">
      <c r="A2359" s="71" t="s">
        <v>232</v>
      </c>
      <c r="B2359" s="71" t="s">
        <v>233</v>
      </c>
      <c r="C2359" s="71" t="s">
        <v>50</v>
      </c>
      <c r="D2359" s="88">
        <v>46217.423472222203</v>
      </c>
      <c r="E2359" s="89">
        <v>46217</v>
      </c>
      <c r="F2359" s="71" t="s">
        <v>2285</v>
      </c>
      <c r="G2359" s="71">
        <f t="shared" si="72"/>
        <v>7</v>
      </c>
      <c r="H2359" s="71">
        <f t="shared" si="73"/>
        <v>120</v>
      </c>
    </row>
    <row r="2360" spans="1:8" x14ac:dyDescent="0.2">
      <c r="A2360" s="71" t="s">
        <v>232</v>
      </c>
      <c r="B2360" s="71" t="s">
        <v>233</v>
      </c>
      <c r="C2360" s="71" t="s">
        <v>50</v>
      </c>
      <c r="D2360" s="88">
        <v>46217.437557870398</v>
      </c>
      <c r="E2360" s="89">
        <v>46217</v>
      </c>
      <c r="F2360" s="71" t="s">
        <v>2286</v>
      </c>
      <c r="G2360" s="71">
        <f t="shared" si="72"/>
        <v>7</v>
      </c>
      <c r="H2360" s="71">
        <f t="shared" si="73"/>
        <v>125</v>
      </c>
    </row>
    <row r="2361" spans="1:8" x14ac:dyDescent="0.2">
      <c r="A2361" s="71" t="s">
        <v>232</v>
      </c>
      <c r="B2361" s="71" t="s">
        <v>233</v>
      </c>
      <c r="C2361" s="71" t="s">
        <v>50</v>
      </c>
      <c r="D2361" s="88">
        <v>46218.335868055598</v>
      </c>
      <c r="E2361" s="89">
        <v>46218</v>
      </c>
      <c r="F2361" s="71" t="s">
        <v>2287</v>
      </c>
      <c r="G2361" s="71">
        <f t="shared" si="72"/>
        <v>7</v>
      </c>
      <c r="H2361" s="71">
        <f t="shared" si="73"/>
        <v>90</v>
      </c>
    </row>
    <row r="2362" spans="1:8" x14ac:dyDescent="0.2">
      <c r="A2362" s="71" t="s">
        <v>232</v>
      </c>
      <c r="B2362" s="71" t="s">
        <v>233</v>
      </c>
      <c r="C2362" s="71" t="s">
        <v>50</v>
      </c>
      <c r="D2362" s="88">
        <v>46218.676018518498</v>
      </c>
      <c r="E2362" s="89">
        <v>46218</v>
      </c>
      <c r="F2362" s="71" t="s">
        <v>2288</v>
      </c>
      <c r="G2362" s="71">
        <f t="shared" si="72"/>
        <v>7</v>
      </c>
      <c r="H2362" s="71">
        <f t="shared" si="73"/>
        <v>82</v>
      </c>
    </row>
    <row r="2363" spans="1:8" x14ac:dyDescent="0.2">
      <c r="A2363" s="71" t="s">
        <v>232</v>
      </c>
      <c r="B2363" s="71" t="s">
        <v>233</v>
      </c>
      <c r="C2363" s="71" t="s">
        <v>50</v>
      </c>
      <c r="D2363" s="88">
        <v>46218.677974537</v>
      </c>
      <c r="E2363" s="89">
        <v>46218</v>
      </c>
      <c r="F2363" s="71" t="s">
        <v>2289</v>
      </c>
      <c r="G2363" s="71">
        <f t="shared" si="72"/>
        <v>7</v>
      </c>
      <c r="H2363" s="71">
        <f t="shared" si="73"/>
        <v>136</v>
      </c>
    </row>
    <row r="2364" spans="1:8" x14ac:dyDescent="0.2">
      <c r="A2364" s="71" t="s">
        <v>232</v>
      </c>
      <c r="B2364" s="71" t="s">
        <v>233</v>
      </c>
      <c r="C2364" s="71" t="s">
        <v>50</v>
      </c>
      <c r="D2364" s="88">
        <v>46219.367974537003</v>
      </c>
      <c r="E2364" s="89">
        <v>46219</v>
      </c>
      <c r="F2364" s="71" t="s">
        <v>2290</v>
      </c>
      <c r="G2364" s="71">
        <f t="shared" si="72"/>
        <v>7</v>
      </c>
      <c r="H2364" s="71">
        <f t="shared" si="73"/>
        <v>81</v>
      </c>
    </row>
    <row r="2365" spans="1:8" x14ac:dyDescent="0.2">
      <c r="A2365" s="71" t="s">
        <v>232</v>
      </c>
      <c r="B2365" s="71" t="s">
        <v>233</v>
      </c>
      <c r="C2365" s="71" t="s">
        <v>50</v>
      </c>
      <c r="D2365" s="88">
        <v>46219.427384259303</v>
      </c>
      <c r="E2365" s="89">
        <v>46219</v>
      </c>
      <c r="F2365" s="71" t="s">
        <v>2291</v>
      </c>
      <c r="G2365" s="71">
        <f t="shared" si="72"/>
        <v>7</v>
      </c>
      <c r="H2365" s="71">
        <f t="shared" si="73"/>
        <v>93</v>
      </c>
    </row>
    <row r="2366" spans="1:8" x14ac:dyDescent="0.2">
      <c r="A2366" s="71" t="s">
        <v>232</v>
      </c>
      <c r="B2366" s="71" t="s">
        <v>233</v>
      </c>
      <c r="C2366" s="71" t="s">
        <v>50</v>
      </c>
      <c r="D2366" s="88">
        <v>46220.334907407399</v>
      </c>
      <c r="E2366" s="89">
        <v>46220</v>
      </c>
      <c r="F2366" s="71" t="s">
        <v>2292</v>
      </c>
      <c r="G2366" s="71">
        <f t="shared" si="72"/>
        <v>7</v>
      </c>
      <c r="H2366" s="71">
        <f t="shared" si="73"/>
        <v>88</v>
      </c>
    </row>
    <row r="2367" spans="1:8" x14ac:dyDescent="0.2">
      <c r="A2367" s="71" t="s">
        <v>232</v>
      </c>
      <c r="B2367" s="71" t="s">
        <v>233</v>
      </c>
      <c r="C2367" s="71" t="s">
        <v>50</v>
      </c>
      <c r="D2367" s="88">
        <v>46220.570081018501</v>
      </c>
      <c r="E2367" s="89">
        <v>46220</v>
      </c>
      <c r="F2367" s="71" t="s">
        <v>2293</v>
      </c>
      <c r="G2367" s="71">
        <f t="shared" si="72"/>
        <v>7</v>
      </c>
      <c r="H2367" s="71">
        <f t="shared" si="73"/>
        <v>111</v>
      </c>
    </row>
    <row r="2368" spans="1:8" x14ac:dyDescent="0.2">
      <c r="A2368" s="71" t="s">
        <v>232</v>
      </c>
      <c r="B2368" s="71" t="s">
        <v>233</v>
      </c>
      <c r="C2368" s="71" t="s">
        <v>50</v>
      </c>
      <c r="D2368" s="88">
        <v>46220.588217592602</v>
      </c>
      <c r="E2368" s="89">
        <v>46220</v>
      </c>
      <c r="F2368" s="71" t="s">
        <v>2294</v>
      </c>
      <c r="G2368" s="71">
        <f t="shared" si="72"/>
        <v>7</v>
      </c>
      <c r="H2368" s="71">
        <f t="shared" si="73"/>
        <v>74</v>
      </c>
    </row>
    <row r="2369" spans="1:8" x14ac:dyDescent="0.2">
      <c r="A2369" s="71" t="s">
        <v>232</v>
      </c>
      <c r="B2369" s="71" t="s">
        <v>233</v>
      </c>
      <c r="C2369" s="71" t="s">
        <v>50</v>
      </c>
      <c r="D2369" s="88">
        <v>46220.591712963003</v>
      </c>
      <c r="E2369" s="89">
        <v>46220</v>
      </c>
      <c r="F2369" s="71" t="s">
        <v>2295</v>
      </c>
      <c r="G2369" s="71">
        <f t="shared" si="72"/>
        <v>7</v>
      </c>
      <c r="H2369" s="71">
        <f t="shared" si="73"/>
        <v>36</v>
      </c>
    </row>
    <row r="2370" spans="1:8" x14ac:dyDescent="0.2">
      <c r="A2370" s="71" t="s">
        <v>232</v>
      </c>
      <c r="B2370" s="71" t="s">
        <v>233</v>
      </c>
      <c r="C2370" s="71" t="s">
        <v>50</v>
      </c>
      <c r="D2370" s="88">
        <v>46223.348634259302</v>
      </c>
      <c r="E2370" s="89">
        <v>46223</v>
      </c>
      <c r="F2370" s="71" t="s">
        <v>2292</v>
      </c>
      <c r="G2370" s="71">
        <f t="shared" ref="G2370:G2433" si="74">MONTH(E2370)</f>
        <v>7</v>
      </c>
      <c r="H2370" s="71">
        <f t="shared" ref="H2370:H2433" si="75">LEN(F2370)</f>
        <v>88</v>
      </c>
    </row>
    <row r="2371" spans="1:8" x14ac:dyDescent="0.2">
      <c r="A2371" s="71" t="s">
        <v>232</v>
      </c>
      <c r="B2371" s="71" t="s">
        <v>233</v>
      </c>
      <c r="C2371" s="71" t="s">
        <v>50</v>
      </c>
      <c r="D2371" s="88">
        <v>46223.610486111102</v>
      </c>
      <c r="E2371" s="89">
        <v>46223</v>
      </c>
      <c r="F2371" s="71" t="s">
        <v>2296</v>
      </c>
      <c r="G2371" s="71">
        <f t="shared" si="74"/>
        <v>7</v>
      </c>
      <c r="H2371" s="71">
        <f t="shared" si="75"/>
        <v>107</v>
      </c>
    </row>
    <row r="2372" spans="1:8" x14ac:dyDescent="0.2">
      <c r="A2372" s="71" t="s">
        <v>232</v>
      </c>
      <c r="B2372" s="71" t="s">
        <v>233</v>
      </c>
      <c r="C2372" s="71" t="s">
        <v>50</v>
      </c>
      <c r="D2372" s="88">
        <v>46223.611956018503</v>
      </c>
      <c r="E2372" s="89">
        <v>46223</v>
      </c>
      <c r="F2372" s="71" t="s">
        <v>2297</v>
      </c>
      <c r="G2372" s="71">
        <f t="shared" si="74"/>
        <v>7</v>
      </c>
      <c r="H2372" s="71">
        <f t="shared" si="75"/>
        <v>95</v>
      </c>
    </row>
    <row r="2373" spans="1:8" x14ac:dyDescent="0.2">
      <c r="A2373" s="71" t="s">
        <v>232</v>
      </c>
      <c r="B2373" s="71" t="s">
        <v>233</v>
      </c>
      <c r="C2373" s="71" t="s">
        <v>50</v>
      </c>
      <c r="D2373" s="88">
        <v>46223.613449074102</v>
      </c>
      <c r="E2373" s="89">
        <v>46223</v>
      </c>
      <c r="F2373" s="71" t="s">
        <v>2298</v>
      </c>
      <c r="G2373" s="71">
        <f t="shared" si="74"/>
        <v>7</v>
      </c>
      <c r="H2373" s="71">
        <f t="shared" si="75"/>
        <v>42</v>
      </c>
    </row>
    <row r="2374" spans="1:8" x14ac:dyDescent="0.2">
      <c r="A2374" s="71" t="s">
        <v>232</v>
      </c>
      <c r="B2374" s="71" t="s">
        <v>233</v>
      </c>
      <c r="C2374" s="71" t="s">
        <v>50</v>
      </c>
      <c r="D2374" s="88">
        <v>46224.5789814815</v>
      </c>
      <c r="E2374" s="89">
        <v>46224</v>
      </c>
      <c r="F2374" s="71" t="s">
        <v>2299</v>
      </c>
      <c r="G2374" s="71">
        <f t="shared" si="74"/>
        <v>7</v>
      </c>
      <c r="H2374" s="71">
        <f t="shared" si="75"/>
        <v>53</v>
      </c>
    </row>
    <row r="2375" spans="1:8" x14ac:dyDescent="0.2">
      <c r="A2375" s="71" t="s">
        <v>232</v>
      </c>
      <c r="B2375" s="71" t="s">
        <v>233</v>
      </c>
      <c r="C2375" s="71" t="s">
        <v>50</v>
      </c>
      <c r="D2375" s="88">
        <v>46224.5797916667</v>
      </c>
      <c r="E2375" s="89">
        <v>46224</v>
      </c>
      <c r="F2375" s="71" t="s">
        <v>2300</v>
      </c>
      <c r="G2375" s="71">
        <f t="shared" si="74"/>
        <v>7</v>
      </c>
      <c r="H2375" s="71">
        <f t="shared" si="75"/>
        <v>89</v>
      </c>
    </row>
    <row r="2376" spans="1:8" x14ac:dyDescent="0.2">
      <c r="A2376" s="71" t="s">
        <v>232</v>
      </c>
      <c r="B2376" s="71" t="s">
        <v>233</v>
      </c>
      <c r="C2376" s="71" t="s">
        <v>50</v>
      </c>
      <c r="D2376" s="88">
        <v>46224.581620370402</v>
      </c>
      <c r="E2376" s="89">
        <v>46224</v>
      </c>
      <c r="F2376" s="71" t="s">
        <v>2301</v>
      </c>
      <c r="G2376" s="71">
        <f t="shared" si="74"/>
        <v>7</v>
      </c>
      <c r="H2376" s="71">
        <f t="shared" si="75"/>
        <v>96</v>
      </c>
    </row>
    <row r="2377" spans="1:8" x14ac:dyDescent="0.2">
      <c r="A2377" s="71" t="s">
        <v>232</v>
      </c>
      <c r="B2377" s="71" t="s">
        <v>233</v>
      </c>
      <c r="C2377" s="71" t="s">
        <v>50</v>
      </c>
      <c r="D2377" s="88">
        <v>46224.590810185196</v>
      </c>
      <c r="E2377" s="89">
        <v>46224</v>
      </c>
      <c r="F2377" s="71" t="s">
        <v>2302</v>
      </c>
      <c r="G2377" s="71">
        <f t="shared" si="74"/>
        <v>7</v>
      </c>
      <c r="H2377" s="71">
        <f t="shared" si="75"/>
        <v>104</v>
      </c>
    </row>
    <row r="2378" spans="1:8" x14ac:dyDescent="0.2">
      <c r="A2378" s="71" t="s">
        <v>232</v>
      </c>
      <c r="B2378" s="71" t="s">
        <v>233</v>
      </c>
      <c r="C2378" s="71" t="s">
        <v>50</v>
      </c>
      <c r="D2378" s="88">
        <v>46226.332615740699</v>
      </c>
      <c r="E2378" s="89">
        <v>46226</v>
      </c>
      <c r="F2378" s="71" t="s">
        <v>2303</v>
      </c>
      <c r="G2378" s="71">
        <f t="shared" si="74"/>
        <v>7</v>
      </c>
      <c r="H2378" s="71">
        <f t="shared" si="75"/>
        <v>100</v>
      </c>
    </row>
    <row r="2379" spans="1:8" x14ac:dyDescent="0.2">
      <c r="A2379" s="71" t="s">
        <v>232</v>
      </c>
      <c r="B2379" s="71" t="s">
        <v>233</v>
      </c>
      <c r="C2379" s="71" t="s">
        <v>50</v>
      </c>
      <c r="D2379" s="88">
        <v>46226.333888888897</v>
      </c>
      <c r="E2379" s="89">
        <v>46226</v>
      </c>
      <c r="F2379" s="71" t="s">
        <v>2304</v>
      </c>
      <c r="G2379" s="71">
        <f t="shared" si="74"/>
        <v>7</v>
      </c>
      <c r="H2379" s="71">
        <f t="shared" si="75"/>
        <v>93</v>
      </c>
    </row>
    <row r="2380" spans="1:8" x14ac:dyDescent="0.2">
      <c r="A2380" s="71" t="s">
        <v>232</v>
      </c>
      <c r="B2380" s="71" t="s">
        <v>233</v>
      </c>
      <c r="C2380" s="71" t="s">
        <v>50</v>
      </c>
      <c r="D2380" s="88">
        <v>46226.661689814799</v>
      </c>
      <c r="E2380" s="89">
        <v>46226</v>
      </c>
      <c r="F2380" s="71" t="s">
        <v>2305</v>
      </c>
      <c r="G2380" s="71">
        <f t="shared" si="74"/>
        <v>7</v>
      </c>
      <c r="H2380" s="71">
        <f t="shared" si="75"/>
        <v>65</v>
      </c>
    </row>
    <row r="2381" spans="1:8" x14ac:dyDescent="0.2">
      <c r="A2381" s="71" t="s">
        <v>232</v>
      </c>
      <c r="B2381" s="71" t="s">
        <v>233</v>
      </c>
      <c r="C2381" s="71" t="s">
        <v>50</v>
      </c>
      <c r="D2381" s="88">
        <v>46227.340069444399</v>
      </c>
      <c r="E2381" s="89">
        <v>46227</v>
      </c>
      <c r="F2381" s="71" t="s">
        <v>2306</v>
      </c>
      <c r="G2381" s="71">
        <f t="shared" si="74"/>
        <v>7</v>
      </c>
      <c r="H2381" s="71">
        <f t="shared" si="75"/>
        <v>97</v>
      </c>
    </row>
    <row r="2382" spans="1:8" x14ac:dyDescent="0.2">
      <c r="A2382" s="71" t="s">
        <v>232</v>
      </c>
      <c r="B2382" s="71" t="s">
        <v>233</v>
      </c>
      <c r="C2382" s="71" t="s">
        <v>50</v>
      </c>
      <c r="D2382" s="88">
        <v>46227.417361111096</v>
      </c>
      <c r="E2382" s="89">
        <v>46227</v>
      </c>
      <c r="F2382" s="71" t="s">
        <v>2307</v>
      </c>
      <c r="G2382" s="71">
        <f t="shared" si="74"/>
        <v>7</v>
      </c>
      <c r="H2382" s="71">
        <f t="shared" si="75"/>
        <v>63</v>
      </c>
    </row>
    <row r="2383" spans="1:8" x14ac:dyDescent="0.2">
      <c r="A2383" s="71" t="s">
        <v>232</v>
      </c>
      <c r="B2383" s="71" t="s">
        <v>233</v>
      </c>
      <c r="C2383" s="71" t="s">
        <v>50</v>
      </c>
      <c r="D2383" s="88">
        <v>46227.422129629602</v>
      </c>
      <c r="E2383" s="89">
        <v>46227</v>
      </c>
      <c r="F2383" s="71" t="s">
        <v>2308</v>
      </c>
      <c r="G2383" s="71">
        <f t="shared" si="74"/>
        <v>7</v>
      </c>
      <c r="H2383" s="71">
        <f t="shared" si="75"/>
        <v>60</v>
      </c>
    </row>
    <row r="2384" spans="1:8" x14ac:dyDescent="0.2">
      <c r="A2384" s="71" t="s">
        <v>232</v>
      </c>
      <c r="B2384" s="71" t="s">
        <v>233</v>
      </c>
      <c r="C2384" s="71" t="s">
        <v>50</v>
      </c>
      <c r="D2384" s="88">
        <v>46230.454849537004</v>
      </c>
      <c r="E2384" s="89">
        <v>46230</v>
      </c>
      <c r="F2384" s="71" t="s">
        <v>2309</v>
      </c>
      <c r="G2384" s="71">
        <f t="shared" si="74"/>
        <v>7</v>
      </c>
      <c r="H2384" s="71">
        <f t="shared" si="75"/>
        <v>33</v>
      </c>
    </row>
    <row r="2385" spans="1:8" x14ac:dyDescent="0.2">
      <c r="A2385" s="71" t="s">
        <v>232</v>
      </c>
      <c r="B2385" s="71" t="s">
        <v>233</v>
      </c>
      <c r="C2385" s="71" t="s">
        <v>50</v>
      </c>
      <c r="D2385" s="88">
        <v>46230.455810185202</v>
      </c>
      <c r="E2385" s="89">
        <v>46230</v>
      </c>
      <c r="F2385" s="71" t="s">
        <v>2310</v>
      </c>
      <c r="G2385" s="71">
        <f t="shared" si="74"/>
        <v>7</v>
      </c>
      <c r="H2385" s="71">
        <f t="shared" si="75"/>
        <v>88</v>
      </c>
    </row>
    <row r="2386" spans="1:8" x14ac:dyDescent="0.2">
      <c r="A2386" s="71" t="s">
        <v>232</v>
      </c>
      <c r="B2386" s="71" t="s">
        <v>233</v>
      </c>
      <c r="C2386" s="71" t="s">
        <v>50</v>
      </c>
      <c r="D2386" s="88">
        <v>46230.456886574102</v>
      </c>
      <c r="E2386" s="89">
        <v>46230</v>
      </c>
      <c r="F2386" s="71" t="s">
        <v>2311</v>
      </c>
      <c r="G2386" s="71">
        <f t="shared" si="74"/>
        <v>7</v>
      </c>
      <c r="H2386" s="71">
        <f t="shared" si="75"/>
        <v>53</v>
      </c>
    </row>
    <row r="2387" spans="1:8" x14ac:dyDescent="0.2">
      <c r="A2387" s="71" t="s">
        <v>232</v>
      </c>
      <c r="B2387" s="71" t="s">
        <v>233</v>
      </c>
      <c r="C2387" s="71" t="s">
        <v>50</v>
      </c>
      <c r="D2387" s="88">
        <v>46231.3663310185</v>
      </c>
      <c r="E2387" s="89">
        <v>46231</v>
      </c>
      <c r="F2387" s="71" t="s">
        <v>2306</v>
      </c>
      <c r="G2387" s="71">
        <f t="shared" si="74"/>
        <v>7</v>
      </c>
      <c r="H2387" s="71">
        <f t="shared" si="75"/>
        <v>97</v>
      </c>
    </row>
    <row r="2388" spans="1:8" x14ac:dyDescent="0.2">
      <c r="A2388" s="71" t="s">
        <v>232</v>
      </c>
      <c r="B2388" s="71" t="s">
        <v>233</v>
      </c>
      <c r="C2388" s="71" t="s">
        <v>50</v>
      </c>
      <c r="D2388" s="88">
        <v>46231.366990740702</v>
      </c>
      <c r="E2388" s="89">
        <v>46231</v>
      </c>
      <c r="F2388" s="71" t="s">
        <v>2312</v>
      </c>
      <c r="G2388" s="71">
        <f t="shared" si="74"/>
        <v>7</v>
      </c>
      <c r="H2388" s="71">
        <f t="shared" si="75"/>
        <v>49</v>
      </c>
    </row>
    <row r="2389" spans="1:8" x14ac:dyDescent="0.2">
      <c r="A2389" s="71" t="s">
        <v>232</v>
      </c>
      <c r="B2389" s="71" t="s">
        <v>233</v>
      </c>
      <c r="C2389" s="71" t="s">
        <v>50</v>
      </c>
      <c r="D2389" s="88">
        <v>46231.469664351898</v>
      </c>
      <c r="E2389" s="89">
        <v>46231</v>
      </c>
      <c r="F2389" s="71" t="s">
        <v>2313</v>
      </c>
      <c r="G2389" s="71">
        <f t="shared" si="74"/>
        <v>7</v>
      </c>
      <c r="H2389" s="71">
        <f t="shared" si="75"/>
        <v>66</v>
      </c>
    </row>
    <row r="2390" spans="1:8" x14ac:dyDescent="0.2">
      <c r="A2390" s="71" t="s">
        <v>232</v>
      </c>
      <c r="B2390" s="71" t="s">
        <v>233</v>
      </c>
      <c r="C2390" s="71" t="s">
        <v>50</v>
      </c>
      <c r="D2390" s="88">
        <v>46232.334085648101</v>
      </c>
      <c r="E2390" s="89">
        <v>46232</v>
      </c>
      <c r="F2390" s="71" t="s">
        <v>2314</v>
      </c>
      <c r="G2390" s="71">
        <f t="shared" si="74"/>
        <v>7</v>
      </c>
      <c r="H2390" s="71">
        <f t="shared" si="75"/>
        <v>86</v>
      </c>
    </row>
    <row r="2391" spans="1:8" x14ac:dyDescent="0.2">
      <c r="A2391" s="71" t="s">
        <v>232</v>
      </c>
      <c r="B2391" s="71" t="s">
        <v>233</v>
      </c>
      <c r="C2391" s="71" t="s">
        <v>50</v>
      </c>
      <c r="D2391" s="88">
        <v>46232.665034722202</v>
      </c>
      <c r="E2391" s="89">
        <v>46232</v>
      </c>
      <c r="F2391" s="71" t="s">
        <v>2315</v>
      </c>
      <c r="G2391" s="71">
        <f t="shared" si="74"/>
        <v>7</v>
      </c>
      <c r="H2391" s="71">
        <f t="shared" si="75"/>
        <v>91</v>
      </c>
    </row>
    <row r="2392" spans="1:8" x14ac:dyDescent="0.2">
      <c r="A2392" s="71" t="s">
        <v>232</v>
      </c>
      <c r="B2392" s="71" t="s">
        <v>233</v>
      </c>
      <c r="C2392" s="71" t="s">
        <v>50</v>
      </c>
      <c r="D2392" s="88">
        <v>46232.665879629603</v>
      </c>
      <c r="E2392" s="89">
        <v>46232</v>
      </c>
      <c r="F2392" s="71" t="s">
        <v>2316</v>
      </c>
      <c r="G2392" s="71">
        <f t="shared" si="74"/>
        <v>7</v>
      </c>
      <c r="H2392" s="71">
        <f t="shared" si="75"/>
        <v>42</v>
      </c>
    </row>
    <row r="2393" spans="1:8" x14ac:dyDescent="0.2">
      <c r="A2393" s="71" t="s">
        <v>232</v>
      </c>
      <c r="B2393" s="71" t="s">
        <v>233</v>
      </c>
      <c r="C2393" s="71" t="s">
        <v>50</v>
      </c>
      <c r="D2393" s="88">
        <v>46232.668460648201</v>
      </c>
      <c r="E2393" s="89">
        <v>46232</v>
      </c>
      <c r="F2393" s="71" t="s">
        <v>2317</v>
      </c>
      <c r="G2393" s="71">
        <f t="shared" si="74"/>
        <v>7</v>
      </c>
      <c r="H2393" s="71">
        <f t="shared" si="75"/>
        <v>24</v>
      </c>
    </row>
    <row r="2394" spans="1:8" x14ac:dyDescent="0.2">
      <c r="A2394" s="71" t="s">
        <v>232</v>
      </c>
      <c r="B2394" s="71" t="s">
        <v>233</v>
      </c>
      <c r="C2394" s="71" t="s">
        <v>50</v>
      </c>
      <c r="D2394" s="88">
        <v>46234.384097222202</v>
      </c>
      <c r="E2394" s="89">
        <v>46234</v>
      </c>
      <c r="F2394" s="71" t="s">
        <v>2318</v>
      </c>
      <c r="G2394" s="71">
        <f t="shared" si="74"/>
        <v>7</v>
      </c>
      <c r="H2394" s="71">
        <f t="shared" si="75"/>
        <v>88</v>
      </c>
    </row>
    <row r="2395" spans="1:8" x14ac:dyDescent="0.2">
      <c r="A2395" s="71" t="s">
        <v>232</v>
      </c>
      <c r="B2395" s="71" t="s">
        <v>233</v>
      </c>
      <c r="C2395" s="71" t="s">
        <v>50</v>
      </c>
      <c r="D2395" s="88">
        <v>46234.384849536997</v>
      </c>
      <c r="E2395" s="89">
        <v>46234</v>
      </c>
      <c r="F2395" s="71" t="s">
        <v>2319</v>
      </c>
      <c r="G2395" s="71">
        <f t="shared" si="74"/>
        <v>7</v>
      </c>
      <c r="H2395" s="71">
        <f t="shared" si="75"/>
        <v>48</v>
      </c>
    </row>
    <row r="2396" spans="1:8" x14ac:dyDescent="0.2">
      <c r="A2396" s="71" t="s">
        <v>232</v>
      </c>
      <c r="B2396" s="71" t="s">
        <v>233</v>
      </c>
      <c r="C2396" s="71" t="s">
        <v>50</v>
      </c>
      <c r="D2396" s="88">
        <v>46234.643171296302</v>
      </c>
      <c r="E2396" s="89">
        <v>46234</v>
      </c>
      <c r="F2396" s="71" t="s">
        <v>2320</v>
      </c>
      <c r="G2396" s="71">
        <f t="shared" si="74"/>
        <v>7</v>
      </c>
      <c r="H2396" s="71">
        <f t="shared" si="75"/>
        <v>73</v>
      </c>
    </row>
    <row r="2397" spans="1:8" x14ac:dyDescent="0.2">
      <c r="A2397" s="71" t="s">
        <v>232</v>
      </c>
      <c r="B2397" s="71" t="s">
        <v>233</v>
      </c>
      <c r="C2397" s="71" t="s">
        <v>50</v>
      </c>
      <c r="D2397" s="88">
        <v>46234.651666666701</v>
      </c>
      <c r="E2397" s="89">
        <v>46234</v>
      </c>
      <c r="F2397" s="71" t="s">
        <v>2321</v>
      </c>
      <c r="G2397" s="71">
        <f t="shared" si="74"/>
        <v>7</v>
      </c>
      <c r="H2397" s="71">
        <f t="shared" si="75"/>
        <v>40</v>
      </c>
    </row>
    <row r="2398" spans="1:8" x14ac:dyDescent="0.2">
      <c r="A2398" s="71" t="s">
        <v>232</v>
      </c>
      <c r="B2398" s="71" t="s">
        <v>233</v>
      </c>
      <c r="C2398" s="71" t="s">
        <v>50</v>
      </c>
      <c r="D2398" s="88">
        <v>46237.393541666701</v>
      </c>
      <c r="E2398" s="89">
        <v>46237</v>
      </c>
      <c r="F2398" s="71" t="s">
        <v>2322</v>
      </c>
      <c r="G2398" s="71">
        <f t="shared" si="74"/>
        <v>8</v>
      </c>
      <c r="H2398" s="71">
        <f t="shared" si="75"/>
        <v>137</v>
      </c>
    </row>
    <row r="2399" spans="1:8" x14ac:dyDescent="0.2">
      <c r="A2399" s="71" t="s">
        <v>232</v>
      </c>
      <c r="B2399" s="71" t="s">
        <v>233</v>
      </c>
      <c r="C2399" s="71" t="s">
        <v>50</v>
      </c>
      <c r="D2399" s="88">
        <v>46237.394363425898</v>
      </c>
      <c r="E2399" s="89">
        <v>46237</v>
      </c>
      <c r="F2399" s="71" t="s">
        <v>2323</v>
      </c>
      <c r="G2399" s="71">
        <f t="shared" si="74"/>
        <v>8</v>
      </c>
      <c r="H2399" s="71">
        <f t="shared" si="75"/>
        <v>30</v>
      </c>
    </row>
    <row r="2400" spans="1:8" x14ac:dyDescent="0.2">
      <c r="A2400" s="71" t="s">
        <v>232</v>
      </c>
      <c r="B2400" s="71" t="s">
        <v>233</v>
      </c>
      <c r="C2400" s="71" t="s">
        <v>50</v>
      </c>
      <c r="D2400" s="88">
        <v>46237.592835648204</v>
      </c>
      <c r="E2400" s="89">
        <v>46237</v>
      </c>
      <c r="F2400" s="71" t="s">
        <v>2324</v>
      </c>
      <c r="G2400" s="71">
        <f t="shared" si="74"/>
        <v>8</v>
      </c>
      <c r="H2400" s="71">
        <f t="shared" si="75"/>
        <v>39</v>
      </c>
    </row>
    <row r="2401" spans="1:8" x14ac:dyDescent="0.2">
      <c r="A2401" s="71" t="s">
        <v>232</v>
      </c>
      <c r="B2401" s="71" t="s">
        <v>233</v>
      </c>
      <c r="C2401" s="71" t="s">
        <v>50</v>
      </c>
      <c r="D2401" s="88">
        <v>46237.604502314804</v>
      </c>
      <c r="E2401" s="89">
        <v>46237</v>
      </c>
      <c r="F2401" s="71" t="s">
        <v>2325</v>
      </c>
      <c r="G2401" s="71">
        <f t="shared" si="74"/>
        <v>8</v>
      </c>
      <c r="H2401" s="71">
        <f t="shared" si="75"/>
        <v>28</v>
      </c>
    </row>
    <row r="2402" spans="1:8" x14ac:dyDescent="0.2">
      <c r="A2402" s="71" t="s">
        <v>232</v>
      </c>
      <c r="B2402" s="71" t="s">
        <v>233</v>
      </c>
      <c r="C2402" s="71" t="s">
        <v>50</v>
      </c>
      <c r="D2402" s="88">
        <v>46238.341400463003</v>
      </c>
      <c r="E2402" s="89">
        <v>46238</v>
      </c>
      <c r="F2402" s="71" t="s">
        <v>2292</v>
      </c>
      <c r="G2402" s="71">
        <f t="shared" si="74"/>
        <v>8</v>
      </c>
      <c r="H2402" s="71">
        <f t="shared" si="75"/>
        <v>88</v>
      </c>
    </row>
    <row r="2403" spans="1:8" x14ac:dyDescent="0.2">
      <c r="A2403" s="71" t="s">
        <v>232</v>
      </c>
      <c r="B2403" s="71" t="s">
        <v>233</v>
      </c>
      <c r="C2403" s="71" t="s">
        <v>50</v>
      </c>
      <c r="D2403" s="88">
        <v>46238.5624074074</v>
      </c>
      <c r="E2403" s="89">
        <v>46238</v>
      </c>
      <c r="F2403" s="71" t="s">
        <v>2326</v>
      </c>
      <c r="G2403" s="71">
        <f t="shared" si="74"/>
        <v>8</v>
      </c>
      <c r="H2403" s="71">
        <f t="shared" si="75"/>
        <v>40</v>
      </c>
    </row>
    <row r="2404" spans="1:8" x14ac:dyDescent="0.2">
      <c r="A2404" s="71" t="s">
        <v>232</v>
      </c>
      <c r="B2404" s="71" t="s">
        <v>233</v>
      </c>
      <c r="C2404" s="71" t="s">
        <v>50</v>
      </c>
      <c r="D2404" s="88">
        <v>46238.563541666699</v>
      </c>
      <c r="E2404" s="89">
        <v>46238</v>
      </c>
      <c r="F2404" s="71" t="s">
        <v>2327</v>
      </c>
      <c r="G2404" s="71">
        <f t="shared" si="74"/>
        <v>8</v>
      </c>
      <c r="H2404" s="71">
        <f t="shared" si="75"/>
        <v>47</v>
      </c>
    </row>
    <row r="2405" spans="1:8" x14ac:dyDescent="0.2">
      <c r="A2405" s="71" t="s">
        <v>232</v>
      </c>
      <c r="B2405" s="71" t="s">
        <v>233</v>
      </c>
      <c r="C2405" s="71" t="s">
        <v>50</v>
      </c>
      <c r="D2405" s="88">
        <v>46238.658831018503</v>
      </c>
      <c r="E2405" s="89">
        <v>46238</v>
      </c>
      <c r="F2405" s="71" t="s">
        <v>2328</v>
      </c>
      <c r="G2405" s="71">
        <f t="shared" si="74"/>
        <v>8</v>
      </c>
      <c r="H2405" s="71">
        <f t="shared" si="75"/>
        <v>34</v>
      </c>
    </row>
    <row r="2406" spans="1:8" x14ac:dyDescent="0.2">
      <c r="A2406" s="71" t="s">
        <v>232</v>
      </c>
      <c r="B2406" s="71" t="s">
        <v>233</v>
      </c>
      <c r="C2406" s="71" t="s">
        <v>50</v>
      </c>
      <c r="D2406" s="88">
        <v>46238.659803240698</v>
      </c>
      <c r="E2406" s="89">
        <v>46238</v>
      </c>
      <c r="F2406" s="71" t="s">
        <v>2329</v>
      </c>
      <c r="G2406" s="71">
        <f t="shared" si="74"/>
        <v>8</v>
      </c>
      <c r="H2406" s="71">
        <f t="shared" si="75"/>
        <v>55</v>
      </c>
    </row>
    <row r="2407" spans="1:8" x14ac:dyDescent="0.2">
      <c r="A2407" s="71" t="s">
        <v>232</v>
      </c>
      <c r="B2407" s="71" t="s">
        <v>233</v>
      </c>
      <c r="C2407" s="71" t="s">
        <v>50</v>
      </c>
      <c r="D2407" s="88">
        <v>46239.467453703699</v>
      </c>
      <c r="E2407" s="89">
        <v>46239</v>
      </c>
      <c r="F2407" s="71" t="s">
        <v>2330</v>
      </c>
      <c r="G2407" s="71">
        <f t="shared" si="74"/>
        <v>8</v>
      </c>
      <c r="H2407" s="71">
        <f t="shared" si="75"/>
        <v>90</v>
      </c>
    </row>
    <row r="2408" spans="1:8" x14ac:dyDescent="0.2">
      <c r="A2408" s="71" t="s">
        <v>232</v>
      </c>
      <c r="B2408" s="71" t="s">
        <v>233</v>
      </c>
      <c r="C2408" s="71" t="s">
        <v>50</v>
      </c>
      <c r="D2408" s="88">
        <v>46239.468854166698</v>
      </c>
      <c r="E2408" s="89">
        <v>46239</v>
      </c>
      <c r="F2408" s="71" t="s">
        <v>2331</v>
      </c>
      <c r="G2408" s="71">
        <f t="shared" si="74"/>
        <v>8</v>
      </c>
      <c r="H2408" s="71">
        <f t="shared" si="75"/>
        <v>34</v>
      </c>
    </row>
    <row r="2409" spans="1:8" x14ac:dyDescent="0.2">
      <c r="A2409" s="71" t="s">
        <v>232</v>
      </c>
      <c r="B2409" s="71" t="s">
        <v>233</v>
      </c>
      <c r="C2409" s="71" t="s">
        <v>50</v>
      </c>
      <c r="D2409" s="88">
        <v>46239.647037037001</v>
      </c>
      <c r="E2409" s="89">
        <v>46239</v>
      </c>
      <c r="F2409" s="71" t="s">
        <v>2332</v>
      </c>
      <c r="G2409" s="71">
        <f t="shared" si="74"/>
        <v>8</v>
      </c>
      <c r="H2409" s="71">
        <f t="shared" si="75"/>
        <v>37</v>
      </c>
    </row>
    <row r="2410" spans="1:8" x14ac:dyDescent="0.2">
      <c r="A2410" s="71" t="s">
        <v>232</v>
      </c>
      <c r="B2410" s="71" t="s">
        <v>233</v>
      </c>
      <c r="C2410" s="71" t="s">
        <v>50</v>
      </c>
      <c r="D2410" s="88">
        <v>46240.411539351902</v>
      </c>
      <c r="E2410" s="89">
        <v>46240</v>
      </c>
      <c r="F2410" s="71" t="s">
        <v>2333</v>
      </c>
      <c r="G2410" s="71">
        <f t="shared" si="74"/>
        <v>8</v>
      </c>
      <c r="H2410" s="71">
        <f t="shared" si="75"/>
        <v>80</v>
      </c>
    </row>
    <row r="2411" spans="1:8" x14ac:dyDescent="0.2">
      <c r="A2411" s="71" t="s">
        <v>232</v>
      </c>
      <c r="B2411" s="71" t="s">
        <v>233</v>
      </c>
      <c r="C2411" s="71" t="s">
        <v>50</v>
      </c>
      <c r="D2411" s="88">
        <v>46240.412673611099</v>
      </c>
      <c r="E2411" s="89">
        <v>46240</v>
      </c>
      <c r="F2411" s="71" t="s">
        <v>2334</v>
      </c>
      <c r="G2411" s="71">
        <f t="shared" si="74"/>
        <v>8</v>
      </c>
      <c r="H2411" s="71">
        <f t="shared" si="75"/>
        <v>46</v>
      </c>
    </row>
    <row r="2412" spans="1:8" x14ac:dyDescent="0.2">
      <c r="A2412" s="71" t="s">
        <v>232</v>
      </c>
      <c r="B2412" s="71" t="s">
        <v>233</v>
      </c>
      <c r="C2412" s="71" t="s">
        <v>50</v>
      </c>
      <c r="D2412" s="88">
        <v>46240.413726851897</v>
      </c>
      <c r="E2412" s="89">
        <v>46240</v>
      </c>
      <c r="F2412" s="71" t="s">
        <v>2335</v>
      </c>
      <c r="G2412" s="71">
        <f t="shared" si="74"/>
        <v>8</v>
      </c>
      <c r="H2412" s="71">
        <f t="shared" si="75"/>
        <v>69</v>
      </c>
    </row>
    <row r="2413" spans="1:8" x14ac:dyDescent="0.2">
      <c r="A2413" s="71" t="s">
        <v>232</v>
      </c>
      <c r="B2413" s="71" t="s">
        <v>233</v>
      </c>
      <c r="C2413" s="71" t="s">
        <v>50</v>
      </c>
      <c r="D2413" s="88">
        <v>46241.389490740701</v>
      </c>
      <c r="E2413" s="89">
        <v>46241</v>
      </c>
      <c r="F2413" s="71" t="s">
        <v>2336</v>
      </c>
      <c r="G2413" s="71">
        <f t="shared" si="74"/>
        <v>8</v>
      </c>
      <c r="H2413" s="71">
        <f t="shared" si="75"/>
        <v>90</v>
      </c>
    </row>
    <row r="2414" spans="1:8" x14ac:dyDescent="0.2">
      <c r="A2414" s="71" t="s">
        <v>232</v>
      </c>
      <c r="B2414" s="71" t="s">
        <v>233</v>
      </c>
      <c r="C2414" s="71" t="s">
        <v>50</v>
      </c>
      <c r="D2414" s="88">
        <v>46241.422523148198</v>
      </c>
      <c r="E2414" s="89">
        <v>46241</v>
      </c>
      <c r="F2414" s="71" t="s">
        <v>2337</v>
      </c>
      <c r="G2414" s="71">
        <f t="shared" si="74"/>
        <v>8</v>
      </c>
      <c r="H2414" s="71">
        <f t="shared" si="75"/>
        <v>52</v>
      </c>
    </row>
    <row r="2415" spans="1:8" x14ac:dyDescent="0.2">
      <c r="A2415" s="71" t="s">
        <v>232</v>
      </c>
      <c r="B2415" s="71" t="s">
        <v>233</v>
      </c>
      <c r="C2415" s="71" t="s">
        <v>50</v>
      </c>
      <c r="D2415" s="88">
        <v>46241.422905092601</v>
      </c>
      <c r="E2415" s="89">
        <v>46241</v>
      </c>
      <c r="F2415" s="71" t="s">
        <v>2338</v>
      </c>
      <c r="G2415" s="71">
        <f t="shared" si="74"/>
        <v>8</v>
      </c>
      <c r="H2415" s="71">
        <f t="shared" si="75"/>
        <v>30</v>
      </c>
    </row>
    <row r="2416" spans="1:8" x14ac:dyDescent="0.2">
      <c r="A2416" s="71" t="s">
        <v>232</v>
      </c>
      <c r="B2416" s="71" t="s">
        <v>233</v>
      </c>
      <c r="C2416" s="71" t="s">
        <v>50</v>
      </c>
      <c r="D2416" s="88">
        <v>46244.402465277803</v>
      </c>
      <c r="E2416" s="89">
        <v>46244</v>
      </c>
      <c r="F2416" s="71" t="s">
        <v>2339</v>
      </c>
      <c r="G2416" s="71">
        <f t="shared" si="74"/>
        <v>8</v>
      </c>
      <c r="H2416" s="71">
        <f t="shared" si="75"/>
        <v>94</v>
      </c>
    </row>
    <row r="2417" spans="1:8" x14ac:dyDescent="0.2">
      <c r="A2417" s="71" t="s">
        <v>232</v>
      </c>
      <c r="B2417" s="71" t="s">
        <v>233</v>
      </c>
      <c r="C2417" s="71" t="s">
        <v>50</v>
      </c>
      <c r="D2417" s="88">
        <v>46244.405659722201</v>
      </c>
      <c r="E2417" s="89">
        <v>46244</v>
      </c>
      <c r="F2417" s="71" t="s">
        <v>2340</v>
      </c>
      <c r="G2417" s="71">
        <f t="shared" si="74"/>
        <v>8</v>
      </c>
      <c r="H2417" s="71">
        <f t="shared" si="75"/>
        <v>123</v>
      </c>
    </row>
    <row r="2418" spans="1:8" x14ac:dyDescent="0.2">
      <c r="A2418" s="71" t="s">
        <v>232</v>
      </c>
      <c r="B2418" s="71" t="s">
        <v>233</v>
      </c>
      <c r="C2418" s="71" t="s">
        <v>50</v>
      </c>
      <c r="D2418" s="88">
        <v>46244.428761574098</v>
      </c>
      <c r="E2418" s="89">
        <v>46244</v>
      </c>
      <c r="F2418" s="71" t="s">
        <v>2341</v>
      </c>
      <c r="G2418" s="71">
        <f t="shared" si="74"/>
        <v>8</v>
      </c>
      <c r="H2418" s="71">
        <f t="shared" si="75"/>
        <v>45</v>
      </c>
    </row>
    <row r="2419" spans="1:8" x14ac:dyDescent="0.2">
      <c r="A2419" s="71" t="s">
        <v>232</v>
      </c>
      <c r="B2419" s="71" t="s">
        <v>233</v>
      </c>
      <c r="C2419" s="71" t="s">
        <v>50</v>
      </c>
      <c r="D2419" s="88">
        <v>46244.649467592601</v>
      </c>
      <c r="E2419" s="89">
        <v>46244</v>
      </c>
      <c r="F2419" s="71" t="s">
        <v>2342</v>
      </c>
      <c r="G2419" s="71">
        <f t="shared" si="74"/>
        <v>8</v>
      </c>
      <c r="H2419" s="71">
        <f t="shared" si="75"/>
        <v>69</v>
      </c>
    </row>
    <row r="2420" spans="1:8" x14ac:dyDescent="0.2">
      <c r="A2420" s="71" t="s">
        <v>232</v>
      </c>
      <c r="B2420" s="71" t="s">
        <v>233</v>
      </c>
      <c r="C2420" s="71" t="s">
        <v>50</v>
      </c>
      <c r="D2420" s="88">
        <v>46245.411840277797</v>
      </c>
      <c r="E2420" s="89">
        <v>46245</v>
      </c>
      <c r="F2420" s="71" t="s">
        <v>2343</v>
      </c>
      <c r="G2420" s="71">
        <f t="shared" si="74"/>
        <v>8</v>
      </c>
      <c r="H2420" s="71">
        <f t="shared" si="75"/>
        <v>102</v>
      </c>
    </row>
    <row r="2421" spans="1:8" x14ac:dyDescent="0.2">
      <c r="A2421" s="71" t="s">
        <v>232</v>
      </c>
      <c r="B2421" s="71" t="s">
        <v>233</v>
      </c>
      <c r="C2421" s="71" t="s">
        <v>50</v>
      </c>
      <c r="D2421" s="88">
        <v>46245.4129398148</v>
      </c>
      <c r="E2421" s="89">
        <v>46245</v>
      </c>
      <c r="F2421" s="71" t="s">
        <v>2344</v>
      </c>
      <c r="G2421" s="71">
        <f t="shared" si="74"/>
        <v>8</v>
      </c>
      <c r="H2421" s="71">
        <f t="shared" si="75"/>
        <v>89</v>
      </c>
    </row>
    <row r="2422" spans="1:8" x14ac:dyDescent="0.2">
      <c r="A2422" s="71" t="s">
        <v>232</v>
      </c>
      <c r="B2422" s="71" t="s">
        <v>233</v>
      </c>
      <c r="C2422" s="71" t="s">
        <v>50</v>
      </c>
      <c r="D2422" s="88">
        <v>46245.657071759299</v>
      </c>
      <c r="E2422" s="89">
        <v>46245</v>
      </c>
      <c r="F2422" s="71" t="s">
        <v>2345</v>
      </c>
      <c r="G2422" s="71">
        <f t="shared" si="74"/>
        <v>8</v>
      </c>
      <c r="H2422" s="71">
        <f t="shared" si="75"/>
        <v>30</v>
      </c>
    </row>
    <row r="2423" spans="1:8" x14ac:dyDescent="0.2">
      <c r="A2423" s="71" t="s">
        <v>232</v>
      </c>
      <c r="B2423" s="71" t="s">
        <v>233</v>
      </c>
      <c r="C2423" s="71" t="s">
        <v>50</v>
      </c>
      <c r="D2423" s="88">
        <v>46245.658275463</v>
      </c>
      <c r="E2423" s="89">
        <v>46245</v>
      </c>
      <c r="F2423" s="71" t="s">
        <v>2346</v>
      </c>
      <c r="G2423" s="71">
        <f t="shared" si="74"/>
        <v>8</v>
      </c>
      <c r="H2423" s="71">
        <f t="shared" si="75"/>
        <v>85</v>
      </c>
    </row>
    <row r="2424" spans="1:8" x14ac:dyDescent="0.2">
      <c r="A2424" s="71" t="s">
        <v>232</v>
      </c>
      <c r="B2424" s="71" t="s">
        <v>233</v>
      </c>
      <c r="C2424" s="71" t="s">
        <v>50</v>
      </c>
      <c r="D2424" s="88">
        <v>46245.659108796302</v>
      </c>
      <c r="E2424" s="89">
        <v>46245</v>
      </c>
      <c r="F2424" s="71" t="s">
        <v>2347</v>
      </c>
      <c r="G2424" s="71">
        <f t="shared" si="74"/>
        <v>8</v>
      </c>
      <c r="H2424" s="71">
        <f t="shared" si="75"/>
        <v>60</v>
      </c>
    </row>
    <row r="2425" spans="1:8" x14ac:dyDescent="0.2">
      <c r="A2425" s="71" t="s">
        <v>232</v>
      </c>
      <c r="B2425" s="71" t="s">
        <v>233</v>
      </c>
      <c r="C2425" s="71" t="s">
        <v>50</v>
      </c>
      <c r="D2425" s="88">
        <v>46245.6879976852</v>
      </c>
      <c r="E2425" s="89">
        <v>46245</v>
      </c>
      <c r="F2425" s="71" t="s">
        <v>2348</v>
      </c>
      <c r="G2425" s="71">
        <f t="shared" si="74"/>
        <v>8</v>
      </c>
      <c r="H2425" s="71">
        <f t="shared" si="75"/>
        <v>46</v>
      </c>
    </row>
    <row r="2426" spans="1:8" x14ac:dyDescent="0.2">
      <c r="A2426" s="71" t="s">
        <v>232</v>
      </c>
      <c r="B2426" s="71" t="s">
        <v>233</v>
      </c>
      <c r="C2426" s="71" t="s">
        <v>50</v>
      </c>
      <c r="D2426" s="88">
        <v>46246.620509259301</v>
      </c>
      <c r="E2426" s="89">
        <v>46246</v>
      </c>
      <c r="F2426" s="71" t="s">
        <v>2349</v>
      </c>
      <c r="G2426" s="71">
        <f t="shared" si="74"/>
        <v>8</v>
      </c>
      <c r="H2426" s="71">
        <f t="shared" si="75"/>
        <v>80</v>
      </c>
    </row>
    <row r="2427" spans="1:8" x14ac:dyDescent="0.2">
      <c r="A2427" s="71" t="s">
        <v>232</v>
      </c>
      <c r="B2427" s="71" t="s">
        <v>233</v>
      </c>
      <c r="C2427" s="71" t="s">
        <v>50</v>
      </c>
      <c r="D2427" s="88">
        <v>46246.620960648201</v>
      </c>
      <c r="E2427" s="89">
        <v>46246</v>
      </c>
      <c r="F2427" s="71" t="s">
        <v>2350</v>
      </c>
      <c r="G2427" s="71">
        <f t="shared" si="74"/>
        <v>8</v>
      </c>
      <c r="H2427" s="71">
        <f t="shared" si="75"/>
        <v>46</v>
      </c>
    </row>
    <row r="2428" spans="1:8" x14ac:dyDescent="0.2">
      <c r="A2428" s="71" t="s">
        <v>232</v>
      </c>
      <c r="B2428" s="71" t="s">
        <v>233</v>
      </c>
      <c r="C2428" s="71" t="s">
        <v>50</v>
      </c>
      <c r="D2428" s="88">
        <v>46246.621620370403</v>
      </c>
      <c r="E2428" s="89">
        <v>46246</v>
      </c>
      <c r="F2428" s="71" t="s">
        <v>2351</v>
      </c>
      <c r="G2428" s="71">
        <f t="shared" si="74"/>
        <v>8</v>
      </c>
      <c r="H2428" s="71">
        <f t="shared" si="75"/>
        <v>37</v>
      </c>
    </row>
    <row r="2429" spans="1:8" x14ac:dyDescent="0.2">
      <c r="A2429" s="71" t="s">
        <v>232</v>
      </c>
      <c r="B2429" s="71" t="s">
        <v>233</v>
      </c>
      <c r="C2429" s="71" t="s">
        <v>50</v>
      </c>
      <c r="D2429" s="88">
        <v>46248.677743055603</v>
      </c>
      <c r="E2429" s="89">
        <v>46248</v>
      </c>
      <c r="F2429" s="71" t="s">
        <v>2352</v>
      </c>
      <c r="G2429" s="71">
        <f t="shared" si="74"/>
        <v>8</v>
      </c>
      <c r="H2429" s="71">
        <f t="shared" si="75"/>
        <v>33</v>
      </c>
    </row>
    <row r="2430" spans="1:8" x14ac:dyDescent="0.2">
      <c r="A2430" s="71" t="s">
        <v>232</v>
      </c>
      <c r="B2430" s="71" t="s">
        <v>233</v>
      </c>
      <c r="C2430" s="71" t="s">
        <v>50</v>
      </c>
      <c r="D2430" s="88">
        <v>46248.678634259297</v>
      </c>
      <c r="E2430" s="89">
        <v>46248</v>
      </c>
      <c r="F2430" s="71" t="s">
        <v>2353</v>
      </c>
      <c r="G2430" s="71">
        <f t="shared" si="74"/>
        <v>8</v>
      </c>
      <c r="H2430" s="71">
        <f t="shared" si="75"/>
        <v>82</v>
      </c>
    </row>
    <row r="2431" spans="1:8" x14ac:dyDescent="0.2">
      <c r="A2431" s="71" t="s">
        <v>232</v>
      </c>
      <c r="B2431" s="71" t="s">
        <v>233</v>
      </c>
      <c r="C2431" s="71" t="s">
        <v>50</v>
      </c>
      <c r="D2431" s="88">
        <v>46248.679907407401</v>
      </c>
      <c r="E2431" s="89">
        <v>46248</v>
      </c>
      <c r="F2431" s="71" t="s">
        <v>2354</v>
      </c>
      <c r="G2431" s="71">
        <f t="shared" si="74"/>
        <v>8</v>
      </c>
      <c r="H2431" s="71">
        <f t="shared" si="75"/>
        <v>55</v>
      </c>
    </row>
    <row r="2432" spans="1:8" x14ac:dyDescent="0.2">
      <c r="A2432" s="71" t="s">
        <v>232</v>
      </c>
      <c r="B2432" s="71" t="s">
        <v>233</v>
      </c>
      <c r="C2432" s="71" t="s">
        <v>50</v>
      </c>
      <c r="D2432" s="88">
        <v>46252.621666666702</v>
      </c>
      <c r="E2432" s="89">
        <v>46252</v>
      </c>
      <c r="F2432" s="71" t="s">
        <v>2355</v>
      </c>
      <c r="G2432" s="71">
        <f t="shared" si="74"/>
        <v>8</v>
      </c>
      <c r="H2432" s="71">
        <f t="shared" si="75"/>
        <v>98</v>
      </c>
    </row>
    <row r="2433" spans="1:8" x14ac:dyDescent="0.2">
      <c r="A2433" s="71" t="s">
        <v>232</v>
      </c>
      <c r="B2433" s="71" t="s">
        <v>233</v>
      </c>
      <c r="C2433" s="71" t="s">
        <v>50</v>
      </c>
      <c r="D2433" s="88">
        <v>46252.622627314799</v>
      </c>
      <c r="E2433" s="89">
        <v>46252</v>
      </c>
      <c r="F2433" s="71" t="s">
        <v>2356</v>
      </c>
      <c r="G2433" s="71">
        <f t="shared" si="74"/>
        <v>8</v>
      </c>
      <c r="H2433" s="71">
        <f t="shared" si="75"/>
        <v>136</v>
      </c>
    </row>
    <row r="2434" spans="1:8" x14ac:dyDescent="0.2">
      <c r="A2434" s="71" t="s">
        <v>232</v>
      </c>
      <c r="B2434" s="71" t="s">
        <v>233</v>
      </c>
      <c r="C2434" s="71" t="s">
        <v>50</v>
      </c>
      <c r="D2434" s="88">
        <v>46252.623402777797</v>
      </c>
      <c r="E2434" s="89">
        <v>46252</v>
      </c>
      <c r="F2434" s="71" t="s">
        <v>2357</v>
      </c>
      <c r="G2434" s="71">
        <f t="shared" ref="G2434:G2497" si="76">MONTH(E2434)</f>
        <v>8</v>
      </c>
      <c r="H2434" s="71">
        <f t="shared" ref="H2434:H2497" si="77">LEN(F2434)</f>
        <v>105</v>
      </c>
    </row>
    <row r="2435" spans="1:8" x14ac:dyDescent="0.2">
      <c r="A2435" s="71" t="s">
        <v>232</v>
      </c>
      <c r="B2435" s="71" t="s">
        <v>233</v>
      </c>
      <c r="C2435" s="71" t="s">
        <v>50</v>
      </c>
      <c r="D2435" s="88">
        <v>46252.660532407397</v>
      </c>
      <c r="E2435" s="89">
        <v>46252</v>
      </c>
      <c r="F2435" s="71" t="s">
        <v>2358</v>
      </c>
      <c r="G2435" s="71">
        <f t="shared" si="76"/>
        <v>8</v>
      </c>
      <c r="H2435" s="71">
        <f t="shared" si="77"/>
        <v>62</v>
      </c>
    </row>
    <row r="2436" spans="1:8" x14ac:dyDescent="0.2">
      <c r="A2436" s="71" t="s">
        <v>232</v>
      </c>
      <c r="B2436" s="71" t="s">
        <v>233</v>
      </c>
      <c r="C2436" s="71" t="s">
        <v>50</v>
      </c>
      <c r="D2436" s="88">
        <v>46252.692430555602</v>
      </c>
      <c r="E2436" s="89">
        <v>46252</v>
      </c>
      <c r="F2436" s="71" t="s">
        <v>2359</v>
      </c>
      <c r="G2436" s="71">
        <f t="shared" si="76"/>
        <v>8</v>
      </c>
      <c r="H2436" s="71">
        <f t="shared" si="77"/>
        <v>48</v>
      </c>
    </row>
    <row r="2437" spans="1:8" x14ac:dyDescent="0.2">
      <c r="A2437" s="71" t="s">
        <v>232</v>
      </c>
      <c r="B2437" s="71" t="s">
        <v>233</v>
      </c>
      <c r="C2437" s="71" t="s">
        <v>50</v>
      </c>
      <c r="D2437" s="88">
        <v>46253.330358796302</v>
      </c>
      <c r="E2437" s="89">
        <v>46253</v>
      </c>
      <c r="F2437" s="71" t="s">
        <v>2292</v>
      </c>
      <c r="G2437" s="71">
        <f t="shared" si="76"/>
        <v>8</v>
      </c>
      <c r="H2437" s="71">
        <f t="shared" si="77"/>
        <v>88</v>
      </c>
    </row>
    <row r="2438" spans="1:8" x14ac:dyDescent="0.2">
      <c r="A2438" s="71" t="s">
        <v>232</v>
      </c>
      <c r="B2438" s="71" t="s">
        <v>233</v>
      </c>
      <c r="C2438" s="71" t="s">
        <v>50</v>
      </c>
      <c r="D2438" s="88">
        <v>46253.427777777797</v>
      </c>
      <c r="E2438" s="89">
        <v>46253</v>
      </c>
      <c r="F2438" s="71" t="s">
        <v>2360</v>
      </c>
      <c r="G2438" s="71">
        <f t="shared" si="76"/>
        <v>8</v>
      </c>
      <c r="H2438" s="71">
        <f t="shared" si="77"/>
        <v>75</v>
      </c>
    </row>
    <row r="2439" spans="1:8" x14ac:dyDescent="0.2">
      <c r="A2439" s="71" t="s">
        <v>232</v>
      </c>
      <c r="B2439" s="71" t="s">
        <v>233</v>
      </c>
      <c r="C2439" s="71" t="s">
        <v>50</v>
      </c>
      <c r="D2439" s="88">
        <v>46253.6164236111</v>
      </c>
      <c r="E2439" s="89">
        <v>46253</v>
      </c>
      <c r="F2439" s="71" t="s">
        <v>2361</v>
      </c>
      <c r="G2439" s="71">
        <f t="shared" si="76"/>
        <v>8</v>
      </c>
      <c r="H2439" s="71">
        <f t="shared" si="77"/>
        <v>124</v>
      </c>
    </row>
    <row r="2440" spans="1:8" x14ac:dyDescent="0.2">
      <c r="A2440" s="71" t="s">
        <v>232</v>
      </c>
      <c r="B2440" s="71" t="s">
        <v>233</v>
      </c>
      <c r="C2440" s="71" t="s">
        <v>50</v>
      </c>
      <c r="D2440" s="88">
        <v>46253.628599536998</v>
      </c>
      <c r="E2440" s="89">
        <v>46253</v>
      </c>
      <c r="F2440" s="71" t="s">
        <v>2362</v>
      </c>
      <c r="G2440" s="71">
        <f t="shared" si="76"/>
        <v>8</v>
      </c>
      <c r="H2440" s="71">
        <f t="shared" si="77"/>
        <v>77</v>
      </c>
    </row>
    <row r="2441" spans="1:8" x14ac:dyDescent="0.2">
      <c r="A2441" s="71" t="s">
        <v>232</v>
      </c>
      <c r="B2441" s="71" t="s">
        <v>233</v>
      </c>
      <c r="C2441" s="71" t="s">
        <v>50</v>
      </c>
      <c r="D2441" s="88">
        <v>46254.396597222199</v>
      </c>
      <c r="E2441" s="89">
        <v>46254</v>
      </c>
      <c r="F2441" s="71" t="s">
        <v>2363</v>
      </c>
      <c r="G2441" s="71">
        <f t="shared" si="76"/>
        <v>8</v>
      </c>
      <c r="H2441" s="71">
        <f t="shared" si="77"/>
        <v>119</v>
      </c>
    </row>
    <row r="2442" spans="1:8" x14ac:dyDescent="0.2">
      <c r="A2442" s="71" t="s">
        <v>232</v>
      </c>
      <c r="B2442" s="71" t="s">
        <v>233</v>
      </c>
      <c r="C2442" s="71" t="s">
        <v>50</v>
      </c>
      <c r="D2442" s="88">
        <v>46254.5731481482</v>
      </c>
      <c r="E2442" s="89">
        <v>46254</v>
      </c>
      <c r="F2442" s="71" t="s">
        <v>2364</v>
      </c>
      <c r="G2442" s="71">
        <f t="shared" si="76"/>
        <v>8</v>
      </c>
      <c r="H2442" s="71">
        <f t="shared" si="77"/>
        <v>115</v>
      </c>
    </row>
    <row r="2443" spans="1:8" x14ac:dyDescent="0.2">
      <c r="A2443" s="71" t="s">
        <v>232</v>
      </c>
      <c r="B2443" s="71" t="s">
        <v>233</v>
      </c>
      <c r="C2443" s="71" t="s">
        <v>50</v>
      </c>
      <c r="D2443" s="88">
        <v>46254.574050925898</v>
      </c>
      <c r="E2443" s="89">
        <v>46254</v>
      </c>
      <c r="F2443" s="71" t="s">
        <v>2365</v>
      </c>
      <c r="G2443" s="71">
        <f t="shared" si="76"/>
        <v>8</v>
      </c>
      <c r="H2443" s="71">
        <f t="shared" si="77"/>
        <v>59</v>
      </c>
    </row>
    <row r="2444" spans="1:8" x14ac:dyDescent="0.2">
      <c r="A2444" s="71" t="s">
        <v>232</v>
      </c>
      <c r="B2444" s="71" t="s">
        <v>233</v>
      </c>
      <c r="C2444" s="71" t="s">
        <v>50</v>
      </c>
      <c r="D2444" s="88">
        <v>46255.353773148199</v>
      </c>
      <c r="E2444" s="89">
        <v>46255</v>
      </c>
      <c r="F2444" s="71" t="s">
        <v>2366</v>
      </c>
      <c r="G2444" s="71">
        <f t="shared" si="76"/>
        <v>8</v>
      </c>
      <c r="H2444" s="71">
        <f t="shared" si="77"/>
        <v>88</v>
      </c>
    </row>
    <row r="2445" spans="1:8" x14ac:dyDescent="0.2">
      <c r="A2445" s="71" t="s">
        <v>232</v>
      </c>
      <c r="B2445" s="71" t="s">
        <v>233</v>
      </c>
      <c r="C2445" s="71" t="s">
        <v>50</v>
      </c>
      <c r="D2445" s="88">
        <v>46255.422650462999</v>
      </c>
      <c r="E2445" s="89">
        <v>46255</v>
      </c>
      <c r="F2445" s="71" t="s">
        <v>2367</v>
      </c>
      <c r="G2445" s="71">
        <f t="shared" si="76"/>
        <v>8</v>
      </c>
      <c r="H2445" s="71">
        <f t="shared" si="77"/>
        <v>41</v>
      </c>
    </row>
    <row r="2446" spans="1:8" x14ac:dyDescent="0.2">
      <c r="A2446" s="71" t="s">
        <v>232</v>
      </c>
      <c r="B2446" s="71" t="s">
        <v>233</v>
      </c>
      <c r="C2446" s="71" t="s">
        <v>50</v>
      </c>
      <c r="D2446" s="88">
        <v>46258.629826388897</v>
      </c>
      <c r="E2446" s="89">
        <v>46258</v>
      </c>
      <c r="F2446" s="71" t="s">
        <v>2368</v>
      </c>
      <c r="G2446" s="71">
        <f t="shared" si="76"/>
        <v>8</v>
      </c>
      <c r="H2446" s="71">
        <f t="shared" si="77"/>
        <v>88</v>
      </c>
    </row>
    <row r="2447" spans="1:8" x14ac:dyDescent="0.2">
      <c r="A2447" s="71" t="s">
        <v>232</v>
      </c>
      <c r="B2447" s="71" t="s">
        <v>233</v>
      </c>
      <c r="C2447" s="71" t="s">
        <v>50</v>
      </c>
      <c r="D2447" s="88">
        <v>46258.630717592598</v>
      </c>
      <c r="E2447" s="89">
        <v>46258</v>
      </c>
      <c r="F2447" s="71" t="s">
        <v>2369</v>
      </c>
      <c r="G2447" s="71">
        <f t="shared" si="76"/>
        <v>8</v>
      </c>
      <c r="H2447" s="71">
        <f t="shared" si="77"/>
        <v>69</v>
      </c>
    </row>
    <row r="2448" spans="1:8" x14ac:dyDescent="0.2">
      <c r="A2448" s="71" t="s">
        <v>232</v>
      </c>
      <c r="B2448" s="71" t="s">
        <v>233</v>
      </c>
      <c r="C2448" s="71" t="s">
        <v>50</v>
      </c>
      <c r="D2448" s="88">
        <v>46260.370277777802</v>
      </c>
      <c r="E2448" s="89">
        <v>46260</v>
      </c>
      <c r="F2448" s="71" t="s">
        <v>2370</v>
      </c>
      <c r="G2448" s="71">
        <f t="shared" si="76"/>
        <v>8</v>
      </c>
      <c r="H2448" s="71">
        <f t="shared" si="77"/>
        <v>82</v>
      </c>
    </row>
    <row r="2449" spans="1:8" x14ac:dyDescent="0.2">
      <c r="A2449" s="71" t="s">
        <v>232</v>
      </c>
      <c r="B2449" s="71" t="s">
        <v>233</v>
      </c>
      <c r="C2449" s="71" t="s">
        <v>50</v>
      </c>
      <c r="D2449" s="88">
        <v>46260.371041666702</v>
      </c>
      <c r="E2449" s="89">
        <v>46260</v>
      </c>
      <c r="F2449" s="71" t="s">
        <v>2371</v>
      </c>
      <c r="G2449" s="71">
        <f t="shared" si="76"/>
        <v>8</v>
      </c>
      <c r="H2449" s="71">
        <f t="shared" si="77"/>
        <v>105</v>
      </c>
    </row>
    <row r="2450" spans="1:8" x14ac:dyDescent="0.2">
      <c r="A2450" s="71" t="s">
        <v>232</v>
      </c>
      <c r="B2450" s="71" t="s">
        <v>233</v>
      </c>
      <c r="C2450" s="71" t="s">
        <v>50</v>
      </c>
      <c r="D2450" s="88">
        <v>46260.673287037003</v>
      </c>
      <c r="E2450" s="89">
        <v>46260</v>
      </c>
      <c r="F2450" s="71" t="s">
        <v>2372</v>
      </c>
      <c r="G2450" s="71">
        <f t="shared" si="76"/>
        <v>8</v>
      </c>
      <c r="H2450" s="71">
        <f t="shared" si="77"/>
        <v>51</v>
      </c>
    </row>
    <row r="2451" spans="1:8" x14ac:dyDescent="0.2">
      <c r="A2451" s="71" t="s">
        <v>232</v>
      </c>
      <c r="B2451" s="71" t="s">
        <v>233</v>
      </c>
      <c r="C2451" s="71" t="s">
        <v>50</v>
      </c>
      <c r="D2451" s="88">
        <v>46261.457939814798</v>
      </c>
      <c r="E2451" s="89">
        <v>46261</v>
      </c>
      <c r="F2451" s="71" t="s">
        <v>2373</v>
      </c>
      <c r="G2451" s="71">
        <f t="shared" si="76"/>
        <v>8</v>
      </c>
      <c r="H2451" s="71">
        <f t="shared" si="77"/>
        <v>122</v>
      </c>
    </row>
    <row r="2452" spans="1:8" x14ac:dyDescent="0.2">
      <c r="A2452" s="71" t="s">
        <v>232</v>
      </c>
      <c r="B2452" s="71" t="s">
        <v>233</v>
      </c>
      <c r="C2452" s="71" t="s">
        <v>50</v>
      </c>
      <c r="D2452" s="88">
        <v>46261.4594560185</v>
      </c>
      <c r="E2452" s="89">
        <v>46261</v>
      </c>
      <c r="F2452" s="71" t="s">
        <v>2374</v>
      </c>
      <c r="G2452" s="71">
        <f t="shared" si="76"/>
        <v>8</v>
      </c>
      <c r="H2452" s="71">
        <f t="shared" si="77"/>
        <v>46</v>
      </c>
    </row>
    <row r="2453" spans="1:8" x14ac:dyDescent="0.2">
      <c r="A2453" s="71" t="s">
        <v>232</v>
      </c>
      <c r="B2453" s="71" t="s">
        <v>233</v>
      </c>
      <c r="C2453" s="71" t="s">
        <v>50</v>
      </c>
      <c r="D2453" s="88">
        <v>46261.4610300926</v>
      </c>
      <c r="E2453" s="89">
        <v>46261</v>
      </c>
      <c r="F2453" s="71" t="s">
        <v>2375</v>
      </c>
      <c r="G2453" s="71">
        <f t="shared" si="76"/>
        <v>8</v>
      </c>
      <c r="H2453" s="71">
        <f t="shared" si="77"/>
        <v>80</v>
      </c>
    </row>
    <row r="2454" spans="1:8" x14ac:dyDescent="0.2">
      <c r="A2454" s="71" t="s">
        <v>232</v>
      </c>
      <c r="B2454" s="71" t="s">
        <v>233</v>
      </c>
      <c r="C2454" s="71" t="s">
        <v>50</v>
      </c>
      <c r="D2454" s="88">
        <v>46261.689282407402</v>
      </c>
      <c r="E2454" s="89">
        <v>46261</v>
      </c>
      <c r="F2454" s="71" t="s">
        <v>2376</v>
      </c>
      <c r="G2454" s="71">
        <f t="shared" si="76"/>
        <v>8</v>
      </c>
      <c r="H2454" s="71">
        <f t="shared" si="77"/>
        <v>70</v>
      </c>
    </row>
    <row r="2455" spans="1:8" x14ac:dyDescent="0.2">
      <c r="A2455" s="71" t="s">
        <v>232</v>
      </c>
      <c r="B2455" s="71" t="s">
        <v>233</v>
      </c>
      <c r="C2455" s="71" t="s">
        <v>50</v>
      </c>
      <c r="D2455" s="88">
        <v>46262.374409722201</v>
      </c>
      <c r="E2455" s="89">
        <v>46262</v>
      </c>
      <c r="F2455" s="71" t="s">
        <v>2377</v>
      </c>
      <c r="G2455" s="71">
        <f t="shared" si="76"/>
        <v>8</v>
      </c>
      <c r="H2455" s="71">
        <f t="shared" si="77"/>
        <v>134</v>
      </c>
    </row>
    <row r="2456" spans="1:8" x14ac:dyDescent="0.2">
      <c r="A2456" s="71" t="s">
        <v>232</v>
      </c>
      <c r="B2456" s="71" t="s">
        <v>233</v>
      </c>
      <c r="C2456" s="71" t="s">
        <v>50</v>
      </c>
      <c r="D2456" s="88">
        <v>46262.432268518503</v>
      </c>
      <c r="E2456" s="89">
        <v>46262</v>
      </c>
      <c r="F2456" s="71" t="s">
        <v>2378</v>
      </c>
      <c r="G2456" s="71">
        <f t="shared" si="76"/>
        <v>8</v>
      </c>
      <c r="H2456" s="71">
        <f t="shared" si="77"/>
        <v>63</v>
      </c>
    </row>
    <row r="2457" spans="1:8" x14ac:dyDescent="0.2">
      <c r="A2457" s="71" t="s">
        <v>232</v>
      </c>
      <c r="B2457" s="71" t="s">
        <v>233</v>
      </c>
      <c r="C2457" s="71" t="s">
        <v>50</v>
      </c>
      <c r="D2457" s="88">
        <v>46262.636458333298</v>
      </c>
      <c r="E2457" s="89">
        <v>46262</v>
      </c>
      <c r="F2457" s="71" t="s">
        <v>2379</v>
      </c>
      <c r="G2457" s="71">
        <f t="shared" si="76"/>
        <v>8</v>
      </c>
      <c r="H2457" s="71">
        <f t="shared" si="77"/>
        <v>42</v>
      </c>
    </row>
    <row r="2458" spans="1:8" x14ac:dyDescent="0.2">
      <c r="A2458" s="71" t="s">
        <v>232</v>
      </c>
      <c r="B2458" s="71" t="s">
        <v>233</v>
      </c>
      <c r="C2458" s="71" t="s">
        <v>50</v>
      </c>
      <c r="D2458" s="88">
        <v>46265.6236921296</v>
      </c>
      <c r="E2458" s="89">
        <v>46265</v>
      </c>
      <c r="F2458" s="71" t="s">
        <v>2380</v>
      </c>
      <c r="G2458" s="71">
        <f t="shared" si="76"/>
        <v>8</v>
      </c>
      <c r="H2458" s="71">
        <f t="shared" si="77"/>
        <v>80</v>
      </c>
    </row>
    <row r="2459" spans="1:8" x14ac:dyDescent="0.2">
      <c r="A2459" s="71" t="s">
        <v>232</v>
      </c>
      <c r="B2459" s="71" t="s">
        <v>233</v>
      </c>
      <c r="C2459" s="71" t="s">
        <v>50</v>
      </c>
      <c r="D2459" s="88">
        <v>46265.624386574098</v>
      </c>
      <c r="E2459" s="89">
        <v>46265</v>
      </c>
      <c r="F2459" s="71" t="s">
        <v>2381</v>
      </c>
      <c r="G2459" s="71">
        <f t="shared" si="76"/>
        <v>8</v>
      </c>
      <c r="H2459" s="71">
        <f t="shared" si="77"/>
        <v>54</v>
      </c>
    </row>
    <row r="2460" spans="1:8" x14ac:dyDescent="0.2">
      <c r="A2460" s="71" t="s">
        <v>232</v>
      </c>
      <c r="B2460" s="71" t="s">
        <v>233</v>
      </c>
      <c r="C2460" s="71" t="s">
        <v>50</v>
      </c>
      <c r="D2460" s="88">
        <v>46265.625300925902</v>
      </c>
      <c r="E2460" s="89">
        <v>46265</v>
      </c>
      <c r="F2460" s="71" t="s">
        <v>2382</v>
      </c>
      <c r="G2460" s="71">
        <f t="shared" si="76"/>
        <v>8</v>
      </c>
      <c r="H2460" s="71">
        <f t="shared" si="77"/>
        <v>61</v>
      </c>
    </row>
    <row r="2461" spans="1:8" x14ac:dyDescent="0.2">
      <c r="A2461" s="71" t="s">
        <v>232</v>
      </c>
      <c r="B2461" s="71" t="s">
        <v>233</v>
      </c>
      <c r="C2461" s="71" t="s">
        <v>50</v>
      </c>
      <c r="D2461" s="88">
        <v>46266.4000578704</v>
      </c>
      <c r="E2461" s="89">
        <v>46266</v>
      </c>
      <c r="F2461" s="71" t="s">
        <v>2383</v>
      </c>
      <c r="G2461" s="71">
        <f t="shared" si="76"/>
        <v>9</v>
      </c>
      <c r="H2461" s="71">
        <f t="shared" si="77"/>
        <v>52</v>
      </c>
    </row>
    <row r="2462" spans="1:8" x14ac:dyDescent="0.2">
      <c r="A2462" s="71" t="s">
        <v>232</v>
      </c>
      <c r="B2462" s="71" t="s">
        <v>233</v>
      </c>
      <c r="C2462" s="71" t="s">
        <v>50</v>
      </c>
      <c r="D2462" s="88">
        <v>46266.400486111103</v>
      </c>
      <c r="E2462" s="89">
        <v>46266</v>
      </c>
      <c r="F2462" s="71" t="s">
        <v>2375</v>
      </c>
      <c r="G2462" s="71">
        <f t="shared" si="76"/>
        <v>9</v>
      </c>
      <c r="H2462" s="71">
        <f t="shared" si="77"/>
        <v>80</v>
      </c>
    </row>
    <row r="2463" spans="1:8" x14ac:dyDescent="0.2">
      <c r="A2463" s="71" t="s">
        <v>232</v>
      </c>
      <c r="B2463" s="71" t="s">
        <v>233</v>
      </c>
      <c r="C2463" s="71" t="s">
        <v>50</v>
      </c>
      <c r="D2463" s="88">
        <v>46267.6422916667</v>
      </c>
      <c r="E2463" s="89">
        <v>46267</v>
      </c>
      <c r="F2463" s="71" t="s">
        <v>2384</v>
      </c>
      <c r="G2463" s="71">
        <f t="shared" si="76"/>
        <v>9</v>
      </c>
      <c r="H2463" s="71">
        <f t="shared" si="77"/>
        <v>56</v>
      </c>
    </row>
    <row r="2464" spans="1:8" x14ac:dyDescent="0.2">
      <c r="A2464" s="71" t="s">
        <v>232</v>
      </c>
      <c r="B2464" s="71" t="s">
        <v>233</v>
      </c>
      <c r="C2464" s="71" t="s">
        <v>50</v>
      </c>
      <c r="D2464" s="88">
        <v>46267.642800925903</v>
      </c>
      <c r="E2464" s="89">
        <v>46267</v>
      </c>
      <c r="F2464" s="71" t="s">
        <v>2380</v>
      </c>
      <c r="G2464" s="71">
        <f t="shared" si="76"/>
        <v>9</v>
      </c>
      <c r="H2464" s="71">
        <f t="shared" si="77"/>
        <v>80</v>
      </c>
    </row>
    <row r="2465" spans="1:8" x14ac:dyDescent="0.2">
      <c r="A2465" s="71" t="s">
        <v>232</v>
      </c>
      <c r="B2465" s="71" t="s">
        <v>233</v>
      </c>
      <c r="C2465" s="71" t="s">
        <v>50</v>
      </c>
      <c r="D2465" s="88">
        <v>46268.407939814802</v>
      </c>
      <c r="E2465" s="89">
        <v>46268</v>
      </c>
      <c r="F2465" s="71" t="s">
        <v>2380</v>
      </c>
      <c r="G2465" s="71">
        <f t="shared" si="76"/>
        <v>9</v>
      </c>
      <c r="H2465" s="71">
        <f t="shared" si="77"/>
        <v>80</v>
      </c>
    </row>
    <row r="2466" spans="1:8" x14ac:dyDescent="0.2">
      <c r="A2466" s="71" t="s">
        <v>232</v>
      </c>
      <c r="B2466" s="71" t="s">
        <v>233</v>
      </c>
      <c r="C2466" s="71" t="s">
        <v>50</v>
      </c>
      <c r="D2466" s="88">
        <v>46268.408888888902</v>
      </c>
      <c r="E2466" s="89">
        <v>46268</v>
      </c>
      <c r="F2466" s="71" t="s">
        <v>2385</v>
      </c>
      <c r="G2466" s="71">
        <f t="shared" si="76"/>
        <v>9</v>
      </c>
      <c r="H2466" s="71">
        <f t="shared" si="77"/>
        <v>72</v>
      </c>
    </row>
    <row r="2467" spans="1:8" x14ac:dyDescent="0.2">
      <c r="A2467" s="71" t="s">
        <v>232</v>
      </c>
      <c r="B2467" s="71" t="s">
        <v>233</v>
      </c>
      <c r="C2467" s="71" t="s">
        <v>50</v>
      </c>
      <c r="D2467" s="88">
        <v>46268.5544212963</v>
      </c>
      <c r="E2467" s="89">
        <v>46268</v>
      </c>
      <c r="F2467" s="71" t="s">
        <v>2386</v>
      </c>
      <c r="G2467" s="71">
        <f t="shared" si="76"/>
        <v>9</v>
      </c>
      <c r="H2467" s="71">
        <f t="shared" si="77"/>
        <v>36</v>
      </c>
    </row>
    <row r="2468" spans="1:8" x14ac:dyDescent="0.2">
      <c r="A2468" s="71" t="s">
        <v>232</v>
      </c>
      <c r="B2468" s="71" t="s">
        <v>233</v>
      </c>
      <c r="C2468" s="71" t="s">
        <v>50</v>
      </c>
      <c r="D2468" s="88">
        <v>46269.666481481501</v>
      </c>
      <c r="E2468" s="89">
        <v>46269</v>
      </c>
      <c r="F2468" s="71" t="s">
        <v>2387</v>
      </c>
      <c r="G2468" s="71">
        <f t="shared" si="76"/>
        <v>9</v>
      </c>
      <c r="H2468" s="71">
        <f t="shared" si="77"/>
        <v>80</v>
      </c>
    </row>
    <row r="2469" spans="1:8" x14ac:dyDescent="0.2">
      <c r="A2469" s="71" t="s">
        <v>232</v>
      </c>
      <c r="B2469" s="71" t="s">
        <v>233</v>
      </c>
      <c r="C2469" s="71" t="s">
        <v>50</v>
      </c>
      <c r="D2469" s="88">
        <v>46269.667291666701</v>
      </c>
      <c r="E2469" s="89">
        <v>46269</v>
      </c>
      <c r="F2469" s="71" t="s">
        <v>2388</v>
      </c>
      <c r="G2469" s="71">
        <f t="shared" si="76"/>
        <v>9</v>
      </c>
      <c r="H2469" s="71">
        <f t="shared" si="77"/>
        <v>71</v>
      </c>
    </row>
    <row r="2470" spans="1:8" x14ac:dyDescent="0.2">
      <c r="A2470" s="71" t="s">
        <v>232</v>
      </c>
      <c r="B2470" s="71" t="s">
        <v>233</v>
      </c>
      <c r="C2470" s="71" t="s">
        <v>50</v>
      </c>
      <c r="D2470" s="88">
        <v>46269.667928240699</v>
      </c>
      <c r="E2470" s="89">
        <v>46269</v>
      </c>
      <c r="F2470" s="71" t="s">
        <v>2389</v>
      </c>
      <c r="G2470" s="71">
        <f t="shared" si="76"/>
        <v>9</v>
      </c>
      <c r="H2470" s="71">
        <f t="shared" si="77"/>
        <v>21</v>
      </c>
    </row>
    <row r="2471" spans="1:8" x14ac:dyDescent="0.2">
      <c r="A2471" s="71" t="s">
        <v>232</v>
      </c>
      <c r="B2471" s="71" t="s">
        <v>233</v>
      </c>
      <c r="C2471" s="71" t="s">
        <v>50</v>
      </c>
      <c r="D2471" s="88">
        <v>46272.352395833303</v>
      </c>
      <c r="E2471" s="89">
        <v>46272</v>
      </c>
      <c r="F2471" s="71" t="s">
        <v>2380</v>
      </c>
      <c r="G2471" s="71">
        <f t="shared" si="76"/>
        <v>9</v>
      </c>
      <c r="H2471" s="71">
        <f t="shared" si="77"/>
        <v>80</v>
      </c>
    </row>
    <row r="2472" spans="1:8" x14ac:dyDescent="0.2">
      <c r="A2472" s="71" t="s">
        <v>232</v>
      </c>
      <c r="B2472" s="71" t="s">
        <v>233</v>
      </c>
      <c r="C2472" s="71" t="s">
        <v>50</v>
      </c>
      <c r="D2472" s="88">
        <v>46272.353599536997</v>
      </c>
      <c r="E2472" s="89">
        <v>46272</v>
      </c>
      <c r="F2472" s="71" t="s">
        <v>2390</v>
      </c>
      <c r="G2472" s="71">
        <f t="shared" si="76"/>
        <v>9</v>
      </c>
      <c r="H2472" s="71">
        <f t="shared" si="77"/>
        <v>110</v>
      </c>
    </row>
    <row r="2473" spans="1:8" x14ac:dyDescent="0.2">
      <c r="A2473" s="71" t="s">
        <v>232</v>
      </c>
      <c r="B2473" s="71" t="s">
        <v>233</v>
      </c>
      <c r="C2473" s="71" t="s">
        <v>50</v>
      </c>
      <c r="D2473" s="88">
        <v>46272.682060185201</v>
      </c>
      <c r="E2473" s="89">
        <v>46272</v>
      </c>
      <c r="F2473" s="71" t="s">
        <v>2391</v>
      </c>
      <c r="G2473" s="71">
        <f t="shared" si="76"/>
        <v>9</v>
      </c>
      <c r="H2473" s="71">
        <f t="shared" si="77"/>
        <v>46</v>
      </c>
    </row>
    <row r="2474" spans="1:8" x14ac:dyDescent="0.2">
      <c r="A2474" s="71" t="s">
        <v>232</v>
      </c>
      <c r="B2474" s="71" t="s">
        <v>233</v>
      </c>
      <c r="C2474" s="71" t="s">
        <v>50</v>
      </c>
      <c r="D2474" s="88">
        <v>46273.645821759303</v>
      </c>
      <c r="E2474" s="89">
        <v>46273</v>
      </c>
      <c r="F2474" s="71" t="s">
        <v>2392</v>
      </c>
      <c r="G2474" s="71">
        <f t="shared" si="76"/>
        <v>9</v>
      </c>
      <c r="H2474" s="71">
        <f t="shared" si="77"/>
        <v>92</v>
      </c>
    </row>
    <row r="2475" spans="1:8" x14ac:dyDescent="0.2">
      <c r="A2475" s="71" t="s">
        <v>232</v>
      </c>
      <c r="B2475" s="71" t="s">
        <v>233</v>
      </c>
      <c r="C2475" s="71" t="s">
        <v>50</v>
      </c>
      <c r="D2475" s="88">
        <v>46273.6473611111</v>
      </c>
      <c r="E2475" s="89">
        <v>46273</v>
      </c>
      <c r="F2475" s="71" t="s">
        <v>2393</v>
      </c>
      <c r="G2475" s="71">
        <f t="shared" si="76"/>
        <v>9</v>
      </c>
      <c r="H2475" s="71">
        <f t="shared" si="77"/>
        <v>103</v>
      </c>
    </row>
    <row r="2476" spans="1:8" x14ac:dyDescent="0.2">
      <c r="A2476" s="71" t="s">
        <v>232</v>
      </c>
      <c r="B2476" s="71" t="s">
        <v>233</v>
      </c>
      <c r="C2476" s="71" t="s">
        <v>50</v>
      </c>
      <c r="D2476" s="88">
        <v>46274.558680555601</v>
      </c>
      <c r="E2476" s="89">
        <v>46274</v>
      </c>
      <c r="F2476" s="71" t="s">
        <v>2394</v>
      </c>
      <c r="G2476" s="71">
        <f t="shared" si="76"/>
        <v>9</v>
      </c>
      <c r="H2476" s="71">
        <f t="shared" si="77"/>
        <v>84</v>
      </c>
    </row>
    <row r="2477" spans="1:8" x14ac:dyDescent="0.2">
      <c r="A2477" s="71" t="s">
        <v>232</v>
      </c>
      <c r="B2477" s="71" t="s">
        <v>233</v>
      </c>
      <c r="C2477" s="71" t="s">
        <v>50</v>
      </c>
      <c r="D2477" s="88">
        <v>46274.560509259303</v>
      </c>
      <c r="E2477" s="89">
        <v>46274</v>
      </c>
      <c r="F2477" s="71" t="s">
        <v>2395</v>
      </c>
      <c r="G2477" s="71">
        <f t="shared" si="76"/>
        <v>9</v>
      </c>
      <c r="H2477" s="71">
        <f t="shared" si="77"/>
        <v>65</v>
      </c>
    </row>
    <row r="2478" spans="1:8" x14ac:dyDescent="0.2">
      <c r="A2478" s="71" t="s">
        <v>232</v>
      </c>
      <c r="B2478" s="71" t="s">
        <v>233</v>
      </c>
      <c r="C2478" s="71" t="s">
        <v>50</v>
      </c>
      <c r="D2478" s="88">
        <v>46274.680034722202</v>
      </c>
      <c r="E2478" s="89">
        <v>46274</v>
      </c>
      <c r="F2478" s="71" t="s">
        <v>2396</v>
      </c>
      <c r="G2478" s="71">
        <f t="shared" si="76"/>
        <v>9</v>
      </c>
      <c r="H2478" s="71">
        <f t="shared" si="77"/>
        <v>35</v>
      </c>
    </row>
    <row r="2479" spans="1:8" x14ac:dyDescent="0.2">
      <c r="A2479" s="71" t="s">
        <v>232</v>
      </c>
      <c r="B2479" s="71" t="s">
        <v>233</v>
      </c>
      <c r="C2479" s="71" t="s">
        <v>50</v>
      </c>
      <c r="D2479" s="88">
        <v>46275.382743055598</v>
      </c>
      <c r="E2479" s="89">
        <v>46275</v>
      </c>
      <c r="F2479" s="71" t="s">
        <v>2397</v>
      </c>
      <c r="G2479" s="71">
        <f t="shared" si="76"/>
        <v>9</v>
      </c>
      <c r="H2479" s="71">
        <f t="shared" si="77"/>
        <v>87</v>
      </c>
    </row>
    <row r="2480" spans="1:8" x14ac:dyDescent="0.2">
      <c r="A2480" s="71" t="s">
        <v>232</v>
      </c>
      <c r="B2480" s="71" t="s">
        <v>233</v>
      </c>
      <c r="C2480" s="71" t="s">
        <v>50</v>
      </c>
      <c r="D2480" s="88">
        <v>46275.383831018502</v>
      </c>
      <c r="E2480" s="89">
        <v>46275</v>
      </c>
      <c r="F2480" s="71" t="s">
        <v>2398</v>
      </c>
      <c r="G2480" s="71">
        <f t="shared" si="76"/>
        <v>9</v>
      </c>
      <c r="H2480" s="71">
        <f t="shared" si="77"/>
        <v>84</v>
      </c>
    </row>
    <row r="2481" spans="1:8" x14ac:dyDescent="0.2">
      <c r="A2481" s="71" t="s">
        <v>232</v>
      </c>
      <c r="B2481" s="71" t="s">
        <v>233</v>
      </c>
      <c r="C2481" s="71" t="s">
        <v>50</v>
      </c>
      <c r="D2481" s="88">
        <v>46276.355069444398</v>
      </c>
      <c r="E2481" s="89">
        <v>46276</v>
      </c>
      <c r="F2481" s="71" t="s">
        <v>2399</v>
      </c>
      <c r="G2481" s="71">
        <f t="shared" si="76"/>
        <v>9</v>
      </c>
      <c r="H2481" s="71">
        <f t="shared" si="77"/>
        <v>78</v>
      </c>
    </row>
    <row r="2482" spans="1:8" x14ac:dyDescent="0.2">
      <c r="A2482" s="71" t="s">
        <v>232</v>
      </c>
      <c r="B2482" s="71" t="s">
        <v>233</v>
      </c>
      <c r="C2482" s="71" t="s">
        <v>50</v>
      </c>
      <c r="D2482" s="88">
        <v>46276.580949074101</v>
      </c>
      <c r="E2482" s="89">
        <v>46276</v>
      </c>
      <c r="F2482" s="71" t="s">
        <v>2400</v>
      </c>
      <c r="G2482" s="71">
        <f t="shared" si="76"/>
        <v>9</v>
      </c>
      <c r="H2482" s="71">
        <f t="shared" si="77"/>
        <v>86</v>
      </c>
    </row>
    <row r="2483" spans="1:8" x14ac:dyDescent="0.2">
      <c r="A2483" s="71" t="s">
        <v>232</v>
      </c>
      <c r="B2483" s="71" t="s">
        <v>233</v>
      </c>
      <c r="C2483" s="71" t="s">
        <v>50</v>
      </c>
      <c r="D2483" s="88">
        <v>46276.679722222201</v>
      </c>
      <c r="E2483" s="89">
        <v>46276</v>
      </c>
      <c r="F2483" s="71" t="s">
        <v>2401</v>
      </c>
      <c r="G2483" s="71">
        <f t="shared" si="76"/>
        <v>9</v>
      </c>
      <c r="H2483" s="71">
        <f t="shared" si="77"/>
        <v>54</v>
      </c>
    </row>
    <row r="2484" spans="1:8" x14ac:dyDescent="0.2">
      <c r="A2484" s="71" t="s">
        <v>232</v>
      </c>
      <c r="B2484" s="71" t="s">
        <v>233</v>
      </c>
      <c r="C2484" s="71" t="s">
        <v>50</v>
      </c>
      <c r="D2484" s="88">
        <v>46279.357858796298</v>
      </c>
      <c r="E2484" s="89">
        <v>46279</v>
      </c>
      <c r="F2484" s="71" t="s">
        <v>2380</v>
      </c>
      <c r="G2484" s="71">
        <f t="shared" si="76"/>
        <v>9</v>
      </c>
      <c r="H2484" s="71">
        <f t="shared" si="77"/>
        <v>80</v>
      </c>
    </row>
    <row r="2485" spans="1:8" x14ac:dyDescent="0.2">
      <c r="A2485" s="71" t="s">
        <v>232</v>
      </c>
      <c r="B2485" s="71" t="s">
        <v>233</v>
      </c>
      <c r="C2485" s="71" t="s">
        <v>50</v>
      </c>
      <c r="D2485" s="88">
        <v>46279.358807870398</v>
      </c>
      <c r="E2485" s="89">
        <v>46279</v>
      </c>
      <c r="F2485" s="71" t="s">
        <v>2402</v>
      </c>
      <c r="G2485" s="71">
        <f t="shared" si="76"/>
        <v>9</v>
      </c>
      <c r="H2485" s="71">
        <f t="shared" si="77"/>
        <v>81</v>
      </c>
    </row>
    <row r="2486" spans="1:8" x14ac:dyDescent="0.2">
      <c r="A2486" s="71" t="s">
        <v>232</v>
      </c>
      <c r="B2486" s="71" t="s">
        <v>233</v>
      </c>
      <c r="C2486" s="71" t="s">
        <v>50</v>
      </c>
      <c r="D2486" s="88">
        <v>46279.4715393519</v>
      </c>
      <c r="E2486" s="89">
        <v>46279</v>
      </c>
      <c r="F2486" s="71" t="s">
        <v>2403</v>
      </c>
      <c r="G2486" s="71">
        <f t="shared" si="76"/>
        <v>9</v>
      </c>
      <c r="H2486" s="71">
        <f t="shared" si="77"/>
        <v>48</v>
      </c>
    </row>
    <row r="2487" spans="1:8" x14ac:dyDescent="0.2">
      <c r="A2487" s="71" t="s">
        <v>232</v>
      </c>
      <c r="B2487" s="71" t="s">
        <v>233</v>
      </c>
      <c r="C2487" s="71" t="s">
        <v>50</v>
      </c>
      <c r="D2487" s="88">
        <v>46279.587291666699</v>
      </c>
      <c r="E2487" s="89">
        <v>46279</v>
      </c>
      <c r="F2487" s="71" t="s">
        <v>2404</v>
      </c>
      <c r="G2487" s="71">
        <f t="shared" si="76"/>
        <v>9</v>
      </c>
      <c r="H2487" s="71">
        <f t="shared" si="77"/>
        <v>82</v>
      </c>
    </row>
    <row r="2488" spans="1:8" x14ac:dyDescent="0.2">
      <c r="A2488" s="71" t="s">
        <v>232</v>
      </c>
      <c r="B2488" s="71" t="s">
        <v>233</v>
      </c>
      <c r="C2488" s="71" t="s">
        <v>50</v>
      </c>
      <c r="D2488" s="88">
        <v>46280.349652777797</v>
      </c>
      <c r="E2488" s="89">
        <v>46280</v>
      </c>
      <c r="F2488" s="71" t="s">
        <v>2405</v>
      </c>
      <c r="G2488" s="71">
        <f t="shared" si="76"/>
        <v>9</v>
      </c>
      <c r="H2488" s="71">
        <f t="shared" si="77"/>
        <v>82</v>
      </c>
    </row>
    <row r="2489" spans="1:8" x14ac:dyDescent="0.2">
      <c r="A2489" s="71" t="s">
        <v>232</v>
      </c>
      <c r="B2489" s="71" t="s">
        <v>233</v>
      </c>
      <c r="C2489" s="71" t="s">
        <v>50</v>
      </c>
      <c r="D2489" s="88">
        <v>46280.587141203701</v>
      </c>
      <c r="E2489" s="89">
        <v>46280</v>
      </c>
      <c r="F2489" s="71" t="s">
        <v>2406</v>
      </c>
      <c r="G2489" s="71">
        <f t="shared" si="76"/>
        <v>9</v>
      </c>
      <c r="H2489" s="71">
        <f t="shared" si="77"/>
        <v>74</v>
      </c>
    </row>
    <row r="2490" spans="1:8" x14ac:dyDescent="0.2">
      <c r="A2490" s="71" t="s">
        <v>232</v>
      </c>
      <c r="B2490" s="71" t="s">
        <v>233</v>
      </c>
      <c r="C2490" s="71" t="s">
        <v>50</v>
      </c>
      <c r="D2490" s="88">
        <v>46280.589097222197</v>
      </c>
      <c r="E2490" s="89">
        <v>46280</v>
      </c>
      <c r="F2490" s="71" t="s">
        <v>2407</v>
      </c>
      <c r="G2490" s="71">
        <f t="shared" si="76"/>
        <v>9</v>
      </c>
      <c r="H2490" s="71">
        <f t="shared" si="77"/>
        <v>63</v>
      </c>
    </row>
    <row r="2491" spans="1:8" x14ac:dyDescent="0.2">
      <c r="A2491" s="71" t="s">
        <v>232</v>
      </c>
      <c r="B2491" s="71" t="s">
        <v>233</v>
      </c>
      <c r="C2491" s="71" t="s">
        <v>50</v>
      </c>
      <c r="D2491" s="88">
        <v>46280.594953703701</v>
      </c>
      <c r="E2491" s="89">
        <v>46280</v>
      </c>
      <c r="F2491" s="71" t="s">
        <v>2408</v>
      </c>
      <c r="G2491" s="71">
        <f t="shared" si="76"/>
        <v>9</v>
      </c>
      <c r="H2491" s="71">
        <f t="shared" si="77"/>
        <v>56</v>
      </c>
    </row>
    <row r="2492" spans="1:8" x14ac:dyDescent="0.2">
      <c r="A2492" s="71" t="s">
        <v>232</v>
      </c>
      <c r="B2492" s="71" t="s">
        <v>233</v>
      </c>
      <c r="C2492" s="71" t="s">
        <v>50</v>
      </c>
      <c r="D2492" s="88">
        <v>46281.452488425901</v>
      </c>
      <c r="E2492" s="89">
        <v>46281</v>
      </c>
      <c r="F2492" s="71" t="s">
        <v>2409</v>
      </c>
      <c r="G2492" s="71">
        <f t="shared" si="76"/>
        <v>9</v>
      </c>
      <c r="H2492" s="71">
        <f t="shared" si="77"/>
        <v>79</v>
      </c>
    </row>
    <row r="2493" spans="1:8" x14ac:dyDescent="0.2">
      <c r="A2493" s="71" t="s">
        <v>232</v>
      </c>
      <c r="B2493" s="71" t="s">
        <v>233</v>
      </c>
      <c r="C2493" s="71" t="s">
        <v>50</v>
      </c>
      <c r="D2493" s="88">
        <v>46281.618680555599</v>
      </c>
      <c r="E2493" s="89">
        <v>46281</v>
      </c>
      <c r="F2493" s="71" t="s">
        <v>2410</v>
      </c>
      <c r="G2493" s="71">
        <f t="shared" si="76"/>
        <v>9</v>
      </c>
      <c r="H2493" s="71">
        <f t="shared" si="77"/>
        <v>34</v>
      </c>
    </row>
    <row r="2494" spans="1:8" x14ac:dyDescent="0.2">
      <c r="A2494" s="71" t="s">
        <v>232</v>
      </c>
      <c r="B2494" s="71" t="s">
        <v>233</v>
      </c>
      <c r="C2494" s="71" t="s">
        <v>50</v>
      </c>
      <c r="D2494" s="88">
        <v>46281.665706018503</v>
      </c>
      <c r="E2494" s="89">
        <v>46281</v>
      </c>
      <c r="F2494" s="71" t="s">
        <v>2411</v>
      </c>
      <c r="G2494" s="71">
        <f t="shared" si="76"/>
        <v>9</v>
      </c>
      <c r="H2494" s="71">
        <f t="shared" si="77"/>
        <v>140</v>
      </c>
    </row>
    <row r="2495" spans="1:8" x14ac:dyDescent="0.2">
      <c r="A2495" s="71" t="s">
        <v>232</v>
      </c>
      <c r="B2495" s="71" t="s">
        <v>233</v>
      </c>
      <c r="C2495" s="71" t="s">
        <v>50</v>
      </c>
      <c r="D2495" s="88">
        <v>46282.426956018498</v>
      </c>
      <c r="E2495" s="89">
        <v>46282</v>
      </c>
      <c r="F2495" s="71" t="s">
        <v>2412</v>
      </c>
      <c r="G2495" s="71">
        <f t="shared" si="76"/>
        <v>9</v>
      </c>
      <c r="H2495" s="71">
        <f t="shared" si="77"/>
        <v>96</v>
      </c>
    </row>
    <row r="2496" spans="1:8" x14ac:dyDescent="0.2">
      <c r="A2496" s="71" t="s">
        <v>232</v>
      </c>
      <c r="B2496" s="71" t="s">
        <v>233</v>
      </c>
      <c r="C2496" s="71" t="s">
        <v>50</v>
      </c>
      <c r="D2496" s="88">
        <v>46282.605127314797</v>
      </c>
      <c r="E2496" s="89">
        <v>46282</v>
      </c>
      <c r="F2496" s="71" t="s">
        <v>2413</v>
      </c>
      <c r="G2496" s="71">
        <f t="shared" si="76"/>
        <v>9</v>
      </c>
      <c r="H2496" s="71">
        <f t="shared" si="77"/>
        <v>64</v>
      </c>
    </row>
    <row r="2497" spans="1:8" x14ac:dyDescent="0.2">
      <c r="A2497" s="71" t="s">
        <v>232</v>
      </c>
      <c r="B2497" s="71" t="s">
        <v>233</v>
      </c>
      <c r="C2497" s="71" t="s">
        <v>50</v>
      </c>
      <c r="D2497" s="88">
        <v>46283.4229976852</v>
      </c>
      <c r="E2497" s="89">
        <v>46283</v>
      </c>
      <c r="F2497" s="71" t="s">
        <v>2414</v>
      </c>
      <c r="G2497" s="71">
        <f t="shared" si="76"/>
        <v>9</v>
      </c>
      <c r="H2497" s="71">
        <f t="shared" si="77"/>
        <v>85</v>
      </c>
    </row>
    <row r="2498" spans="1:8" x14ac:dyDescent="0.2">
      <c r="A2498" s="71" t="s">
        <v>232</v>
      </c>
      <c r="B2498" s="71" t="s">
        <v>233</v>
      </c>
      <c r="C2498" s="71" t="s">
        <v>50</v>
      </c>
      <c r="D2498" s="88">
        <v>46283.423703703702</v>
      </c>
      <c r="E2498" s="89">
        <v>46283</v>
      </c>
      <c r="F2498" s="71" t="s">
        <v>2415</v>
      </c>
      <c r="G2498" s="71">
        <f t="shared" ref="G2498:G2561" si="78">MONTH(E2498)</f>
        <v>9</v>
      </c>
      <c r="H2498" s="71">
        <f t="shared" ref="H2498:H2561" si="79">LEN(F2498)</f>
        <v>58</v>
      </c>
    </row>
    <row r="2499" spans="1:8" x14ac:dyDescent="0.2">
      <c r="A2499" s="71" t="s">
        <v>232</v>
      </c>
      <c r="B2499" s="71" t="s">
        <v>233</v>
      </c>
      <c r="C2499" s="71" t="s">
        <v>50</v>
      </c>
      <c r="D2499" s="88">
        <v>46286.335868055598</v>
      </c>
      <c r="E2499" s="89">
        <v>46286</v>
      </c>
      <c r="F2499" s="71" t="s">
        <v>2416</v>
      </c>
      <c r="G2499" s="71">
        <f t="shared" si="78"/>
        <v>9</v>
      </c>
      <c r="H2499" s="71">
        <f t="shared" si="79"/>
        <v>80</v>
      </c>
    </row>
    <row r="2500" spans="1:8" x14ac:dyDescent="0.2">
      <c r="A2500" s="71" t="s">
        <v>232</v>
      </c>
      <c r="B2500" s="71" t="s">
        <v>233</v>
      </c>
      <c r="C2500" s="71" t="s">
        <v>50</v>
      </c>
      <c r="D2500" s="88">
        <v>46286.336597222202</v>
      </c>
      <c r="E2500" s="89">
        <v>46286</v>
      </c>
      <c r="F2500" s="71" t="s">
        <v>2417</v>
      </c>
      <c r="G2500" s="71">
        <f t="shared" si="78"/>
        <v>9</v>
      </c>
      <c r="H2500" s="71">
        <f t="shared" si="79"/>
        <v>106</v>
      </c>
    </row>
    <row r="2501" spans="1:8" x14ac:dyDescent="0.2">
      <c r="A2501" s="71" t="s">
        <v>232</v>
      </c>
      <c r="B2501" s="71" t="s">
        <v>233</v>
      </c>
      <c r="C2501" s="71" t="s">
        <v>50</v>
      </c>
      <c r="D2501" s="88">
        <v>46286.393125000002</v>
      </c>
      <c r="E2501" s="89">
        <v>46286</v>
      </c>
      <c r="F2501" s="71" t="s">
        <v>2418</v>
      </c>
      <c r="G2501" s="71">
        <f t="shared" si="78"/>
        <v>9</v>
      </c>
      <c r="H2501" s="71">
        <f t="shared" si="79"/>
        <v>57</v>
      </c>
    </row>
    <row r="2502" spans="1:8" x14ac:dyDescent="0.2">
      <c r="A2502" s="71" t="s">
        <v>232</v>
      </c>
      <c r="B2502" s="71" t="s">
        <v>233</v>
      </c>
      <c r="C2502" s="71" t="s">
        <v>50</v>
      </c>
      <c r="D2502" s="88">
        <v>46286.498900462997</v>
      </c>
      <c r="E2502" s="89">
        <v>46286</v>
      </c>
      <c r="F2502" s="71" t="s">
        <v>2419</v>
      </c>
      <c r="G2502" s="71">
        <f t="shared" si="78"/>
        <v>9</v>
      </c>
      <c r="H2502" s="71">
        <f t="shared" si="79"/>
        <v>58</v>
      </c>
    </row>
    <row r="2503" spans="1:8" x14ac:dyDescent="0.2">
      <c r="A2503" s="71" t="s">
        <v>232</v>
      </c>
      <c r="B2503" s="71" t="s">
        <v>233</v>
      </c>
      <c r="C2503" s="71" t="s">
        <v>50</v>
      </c>
      <c r="D2503" s="88">
        <v>46287.563900462999</v>
      </c>
      <c r="E2503" s="89">
        <v>46287</v>
      </c>
      <c r="F2503" s="71" t="s">
        <v>2420</v>
      </c>
      <c r="G2503" s="71">
        <f t="shared" si="78"/>
        <v>9</v>
      </c>
      <c r="H2503" s="71">
        <f t="shared" si="79"/>
        <v>198</v>
      </c>
    </row>
    <row r="2504" spans="1:8" x14ac:dyDescent="0.2">
      <c r="A2504" s="71" t="s">
        <v>232</v>
      </c>
      <c r="B2504" s="71" t="s">
        <v>233</v>
      </c>
      <c r="C2504" s="71" t="s">
        <v>50</v>
      </c>
      <c r="D2504" s="88">
        <v>46287.564502314803</v>
      </c>
      <c r="E2504" s="89">
        <v>46287</v>
      </c>
      <c r="F2504" s="71" t="s">
        <v>2421</v>
      </c>
      <c r="G2504" s="71">
        <f t="shared" si="78"/>
        <v>9</v>
      </c>
      <c r="H2504" s="71">
        <f t="shared" si="79"/>
        <v>48</v>
      </c>
    </row>
    <row r="2505" spans="1:8" x14ac:dyDescent="0.2">
      <c r="A2505" s="71" t="s">
        <v>232</v>
      </c>
      <c r="B2505" s="71" t="s">
        <v>233</v>
      </c>
      <c r="C2505" s="71" t="s">
        <v>50</v>
      </c>
      <c r="D2505" s="88">
        <v>46287.565370370401</v>
      </c>
      <c r="E2505" s="89">
        <v>46287</v>
      </c>
      <c r="F2505" s="71" t="s">
        <v>2249</v>
      </c>
      <c r="G2505" s="71">
        <f t="shared" si="78"/>
        <v>9</v>
      </c>
      <c r="H2505" s="71">
        <f t="shared" si="79"/>
        <v>90</v>
      </c>
    </row>
    <row r="2506" spans="1:8" x14ac:dyDescent="0.2">
      <c r="A2506" s="71" t="s">
        <v>232</v>
      </c>
      <c r="B2506" s="71" t="s">
        <v>233</v>
      </c>
      <c r="C2506" s="71" t="s">
        <v>50</v>
      </c>
      <c r="D2506" s="88">
        <v>46288.340717592597</v>
      </c>
      <c r="E2506" s="89">
        <v>46288</v>
      </c>
      <c r="F2506" s="71" t="s">
        <v>2422</v>
      </c>
      <c r="G2506" s="71">
        <f t="shared" si="78"/>
        <v>9</v>
      </c>
      <c r="H2506" s="71">
        <f t="shared" si="79"/>
        <v>120</v>
      </c>
    </row>
    <row r="2507" spans="1:8" x14ac:dyDescent="0.2">
      <c r="A2507" s="71" t="s">
        <v>232</v>
      </c>
      <c r="B2507" s="71" t="s">
        <v>233</v>
      </c>
      <c r="C2507" s="71" t="s">
        <v>50</v>
      </c>
      <c r="D2507" s="88">
        <v>46288.341446759303</v>
      </c>
      <c r="E2507" s="89">
        <v>46288</v>
      </c>
      <c r="F2507" s="71" t="s">
        <v>2333</v>
      </c>
      <c r="G2507" s="71">
        <f t="shared" si="78"/>
        <v>9</v>
      </c>
      <c r="H2507" s="71">
        <f t="shared" si="79"/>
        <v>80</v>
      </c>
    </row>
    <row r="2508" spans="1:8" x14ac:dyDescent="0.2">
      <c r="A2508" s="71" t="s">
        <v>232</v>
      </c>
      <c r="B2508" s="71" t="s">
        <v>233</v>
      </c>
      <c r="C2508" s="71" t="s">
        <v>50</v>
      </c>
      <c r="D2508" s="88">
        <v>46289.341828703698</v>
      </c>
      <c r="E2508" s="89">
        <v>46289</v>
      </c>
      <c r="F2508" s="71" t="s">
        <v>2423</v>
      </c>
      <c r="G2508" s="71">
        <f t="shared" si="78"/>
        <v>9</v>
      </c>
      <c r="H2508" s="71">
        <f t="shared" si="79"/>
        <v>80</v>
      </c>
    </row>
    <row r="2509" spans="1:8" x14ac:dyDescent="0.2">
      <c r="A2509" s="71" t="s">
        <v>232</v>
      </c>
      <c r="B2509" s="71" t="s">
        <v>233</v>
      </c>
      <c r="C2509" s="71" t="s">
        <v>50</v>
      </c>
      <c r="D2509" s="88">
        <v>46290.8878819444</v>
      </c>
      <c r="E2509" s="89">
        <v>46290</v>
      </c>
      <c r="F2509" s="71" t="s">
        <v>2424</v>
      </c>
      <c r="G2509" s="71">
        <f t="shared" si="78"/>
        <v>9</v>
      </c>
      <c r="H2509" s="71">
        <f t="shared" si="79"/>
        <v>21</v>
      </c>
    </row>
    <row r="2510" spans="1:8" x14ac:dyDescent="0.2">
      <c r="A2510" s="71" t="s">
        <v>232</v>
      </c>
      <c r="B2510" s="71" t="s">
        <v>233</v>
      </c>
      <c r="C2510" s="71" t="s">
        <v>50</v>
      </c>
      <c r="D2510" s="88">
        <v>46290.888460648202</v>
      </c>
      <c r="E2510" s="89">
        <v>46290</v>
      </c>
      <c r="F2510" s="71" t="s">
        <v>2425</v>
      </c>
      <c r="G2510" s="71">
        <f t="shared" si="78"/>
        <v>9</v>
      </c>
      <c r="H2510" s="71">
        <f t="shared" si="79"/>
        <v>76</v>
      </c>
    </row>
    <row r="2511" spans="1:8" x14ac:dyDescent="0.2">
      <c r="A2511" s="71" t="s">
        <v>232</v>
      </c>
      <c r="B2511" s="71" t="s">
        <v>233</v>
      </c>
      <c r="C2511" s="71" t="s">
        <v>50</v>
      </c>
      <c r="D2511" s="88">
        <v>46290.889270833301</v>
      </c>
      <c r="E2511" s="89">
        <v>46290</v>
      </c>
      <c r="F2511" s="71" t="s">
        <v>2426</v>
      </c>
      <c r="G2511" s="71">
        <f t="shared" si="78"/>
        <v>9</v>
      </c>
      <c r="H2511" s="71">
        <f t="shared" si="79"/>
        <v>73</v>
      </c>
    </row>
    <row r="2512" spans="1:8" x14ac:dyDescent="0.2">
      <c r="A2512" s="71" t="s">
        <v>232</v>
      </c>
      <c r="B2512" s="71" t="s">
        <v>233</v>
      </c>
      <c r="C2512" s="71" t="s">
        <v>50</v>
      </c>
      <c r="D2512" s="88">
        <v>46293.325775463003</v>
      </c>
      <c r="E2512" s="89">
        <v>46293</v>
      </c>
      <c r="F2512" s="71" t="s">
        <v>2427</v>
      </c>
      <c r="G2512" s="71">
        <f t="shared" si="78"/>
        <v>9</v>
      </c>
      <c r="H2512" s="71">
        <f t="shared" si="79"/>
        <v>125</v>
      </c>
    </row>
    <row r="2513" spans="1:8" x14ac:dyDescent="0.2">
      <c r="A2513" s="71" t="s">
        <v>232</v>
      </c>
      <c r="B2513" s="71" t="s">
        <v>233</v>
      </c>
      <c r="C2513" s="71" t="s">
        <v>50</v>
      </c>
      <c r="D2513" s="88">
        <v>46293.3617592593</v>
      </c>
      <c r="E2513" s="89">
        <v>46293</v>
      </c>
      <c r="F2513" s="71" t="s">
        <v>2380</v>
      </c>
      <c r="G2513" s="71">
        <f t="shared" si="78"/>
        <v>9</v>
      </c>
      <c r="H2513" s="71">
        <f t="shared" si="79"/>
        <v>80</v>
      </c>
    </row>
    <row r="2514" spans="1:8" x14ac:dyDescent="0.2">
      <c r="A2514" s="71" t="s">
        <v>232</v>
      </c>
      <c r="B2514" s="71" t="s">
        <v>233</v>
      </c>
      <c r="C2514" s="71" t="s">
        <v>50</v>
      </c>
      <c r="D2514" s="88">
        <v>46295.633969907401</v>
      </c>
      <c r="E2514" s="89">
        <v>46295</v>
      </c>
      <c r="F2514" s="71" t="s">
        <v>2428</v>
      </c>
      <c r="G2514" s="71">
        <f t="shared" si="78"/>
        <v>9</v>
      </c>
      <c r="H2514" s="71">
        <f t="shared" si="79"/>
        <v>93</v>
      </c>
    </row>
    <row r="2515" spans="1:8" x14ac:dyDescent="0.2">
      <c r="A2515" s="71" t="s">
        <v>230</v>
      </c>
      <c r="B2515" s="71" t="s">
        <v>231</v>
      </c>
      <c r="C2515" s="71" t="s">
        <v>39</v>
      </c>
      <c r="D2515" s="88">
        <v>46175.598402777803</v>
      </c>
      <c r="E2515" s="89">
        <v>46175</v>
      </c>
      <c r="F2515" s="71" t="s">
        <v>2429</v>
      </c>
      <c r="G2515" s="71">
        <f t="shared" si="78"/>
        <v>6</v>
      </c>
      <c r="H2515" s="71">
        <f t="shared" si="79"/>
        <v>9</v>
      </c>
    </row>
    <row r="2516" spans="1:8" x14ac:dyDescent="0.2">
      <c r="A2516" s="71" t="s">
        <v>230</v>
      </c>
      <c r="B2516" s="71" t="s">
        <v>231</v>
      </c>
      <c r="C2516" s="71" t="s">
        <v>39</v>
      </c>
      <c r="D2516" s="88">
        <v>46177.685219907398</v>
      </c>
      <c r="E2516" s="89">
        <v>46177</v>
      </c>
      <c r="F2516" s="71" t="s">
        <v>2429</v>
      </c>
      <c r="G2516" s="71">
        <f t="shared" si="78"/>
        <v>6</v>
      </c>
      <c r="H2516" s="71">
        <f t="shared" si="79"/>
        <v>9</v>
      </c>
    </row>
    <row r="2517" spans="1:8" x14ac:dyDescent="0.2">
      <c r="A2517" s="71" t="s">
        <v>230</v>
      </c>
      <c r="B2517" s="71" t="s">
        <v>231</v>
      </c>
      <c r="C2517" s="71" t="s">
        <v>39</v>
      </c>
      <c r="D2517" s="88">
        <v>46178.678171296298</v>
      </c>
      <c r="E2517" s="89">
        <v>46178</v>
      </c>
      <c r="F2517" s="71" t="s">
        <v>2113</v>
      </c>
      <c r="G2517" s="71">
        <f t="shared" si="78"/>
        <v>6</v>
      </c>
      <c r="H2517" s="71">
        <f t="shared" si="79"/>
        <v>7</v>
      </c>
    </row>
    <row r="2518" spans="1:8" x14ac:dyDescent="0.2">
      <c r="A2518" s="71" t="s">
        <v>230</v>
      </c>
      <c r="B2518" s="71" t="s">
        <v>231</v>
      </c>
      <c r="C2518" s="71" t="s">
        <v>39</v>
      </c>
      <c r="D2518" s="88">
        <v>46181.641562500001</v>
      </c>
      <c r="E2518" s="89">
        <v>46181</v>
      </c>
      <c r="F2518" s="71" t="s">
        <v>2430</v>
      </c>
      <c r="G2518" s="71">
        <f t="shared" si="78"/>
        <v>6</v>
      </c>
      <c r="H2518" s="71">
        <f t="shared" si="79"/>
        <v>13</v>
      </c>
    </row>
    <row r="2519" spans="1:8" x14ac:dyDescent="0.2">
      <c r="A2519" s="71" t="s">
        <v>230</v>
      </c>
      <c r="B2519" s="71" t="s">
        <v>231</v>
      </c>
      <c r="C2519" s="71" t="s">
        <v>39</v>
      </c>
      <c r="D2519" s="88">
        <v>46182.618194444498</v>
      </c>
      <c r="E2519" s="89">
        <v>46182</v>
      </c>
      <c r="F2519" s="71" t="s">
        <v>2431</v>
      </c>
      <c r="G2519" s="71">
        <f t="shared" si="78"/>
        <v>6</v>
      </c>
      <c r="H2519" s="71">
        <f t="shared" si="79"/>
        <v>11</v>
      </c>
    </row>
    <row r="2520" spans="1:8" x14ac:dyDescent="0.2">
      <c r="A2520" s="71" t="s">
        <v>230</v>
      </c>
      <c r="B2520" s="71" t="s">
        <v>231</v>
      </c>
      <c r="C2520" s="71" t="s">
        <v>39</v>
      </c>
      <c r="D2520" s="88">
        <v>46184.634305555599</v>
      </c>
      <c r="E2520" s="89">
        <v>46184</v>
      </c>
      <c r="F2520" s="71" t="s">
        <v>2113</v>
      </c>
      <c r="G2520" s="71">
        <f t="shared" si="78"/>
        <v>6</v>
      </c>
      <c r="H2520" s="71">
        <f t="shared" si="79"/>
        <v>7</v>
      </c>
    </row>
    <row r="2521" spans="1:8" x14ac:dyDescent="0.2">
      <c r="A2521" s="71" t="s">
        <v>230</v>
      </c>
      <c r="B2521" s="71" t="s">
        <v>231</v>
      </c>
      <c r="C2521" s="71" t="s">
        <v>39</v>
      </c>
      <c r="D2521" s="88">
        <v>46185.587962963</v>
      </c>
      <c r="E2521" s="89">
        <v>46185</v>
      </c>
      <c r="F2521" s="71" t="s">
        <v>2431</v>
      </c>
      <c r="G2521" s="71">
        <f t="shared" si="78"/>
        <v>6</v>
      </c>
      <c r="H2521" s="71">
        <f t="shared" si="79"/>
        <v>11</v>
      </c>
    </row>
    <row r="2522" spans="1:8" x14ac:dyDescent="0.2">
      <c r="A2522" s="71" t="s">
        <v>230</v>
      </c>
      <c r="B2522" s="71" t="s">
        <v>231</v>
      </c>
      <c r="C2522" s="71" t="s">
        <v>39</v>
      </c>
      <c r="D2522" s="88">
        <v>46188.654513888898</v>
      </c>
      <c r="E2522" s="89">
        <v>46188</v>
      </c>
      <c r="F2522" s="71" t="s">
        <v>2430</v>
      </c>
      <c r="G2522" s="71">
        <f t="shared" si="78"/>
        <v>6</v>
      </c>
      <c r="H2522" s="71">
        <f t="shared" si="79"/>
        <v>13</v>
      </c>
    </row>
    <row r="2523" spans="1:8" x14ac:dyDescent="0.2">
      <c r="A2523" s="71" t="s">
        <v>230</v>
      </c>
      <c r="B2523" s="71" t="s">
        <v>231</v>
      </c>
      <c r="C2523" s="71" t="s">
        <v>39</v>
      </c>
      <c r="D2523" s="88">
        <v>46191.6152546296</v>
      </c>
      <c r="E2523" s="89">
        <v>46191</v>
      </c>
      <c r="F2523" s="71" t="s">
        <v>2432</v>
      </c>
      <c r="G2523" s="71">
        <f t="shared" si="78"/>
        <v>6</v>
      </c>
      <c r="H2523" s="71">
        <f t="shared" si="79"/>
        <v>42</v>
      </c>
    </row>
    <row r="2524" spans="1:8" x14ac:dyDescent="0.2">
      <c r="A2524" s="71" t="s">
        <v>230</v>
      </c>
      <c r="B2524" s="71" t="s">
        <v>231</v>
      </c>
      <c r="C2524" s="71" t="s">
        <v>39</v>
      </c>
      <c r="D2524" s="88">
        <v>46192.682013888902</v>
      </c>
      <c r="E2524" s="89">
        <v>46192</v>
      </c>
      <c r="F2524" s="71" t="s">
        <v>2113</v>
      </c>
      <c r="G2524" s="71">
        <f t="shared" si="78"/>
        <v>6</v>
      </c>
      <c r="H2524" s="71">
        <f t="shared" si="79"/>
        <v>7</v>
      </c>
    </row>
    <row r="2525" spans="1:8" x14ac:dyDescent="0.2">
      <c r="A2525" s="71" t="s">
        <v>230</v>
      </c>
      <c r="B2525" s="71" t="s">
        <v>231</v>
      </c>
      <c r="C2525" s="71" t="s">
        <v>39</v>
      </c>
      <c r="D2525" s="88">
        <v>46195.6539583333</v>
      </c>
      <c r="E2525" s="89">
        <v>46195</v>
      </c>
      <c r="F2525" s="71" t="s">
        <v>2433</v>
      </c>
      <c r="G2525" s="71">
        <f t="shared" si="78"/>
        <v>6</v>
      </c>
      <c r="H2525" s="71">
        <f t="shared" si="79"/>
        <v>17</v>
      </c>
    </row>
    <row r="2526" spans="1:8" x14ac:dyDescent="0.2">
      <c r="A2526" s="71" t="s">
        <v>230</v>
      </c>
      <c r="B2526" s="71" t="s">
        <v>231</v>
      </c>
      <c r="C2526" s="71" t="s">
        <v>39</v>
      </c>
      <c r="D2526" s="88">
        <v>46196.647303240701</v>
      </c>
      <c r="E2526" s="89">
        <v>46196</v>
      </c>
      <c r="F2526" s="71" t="s">
        <v>2113</v>
      </c>
      <c r="G2526" s="71">
        <f t="shared" si="78"/>
        <v>6</v>
      </c>
      <c r="H2526" s="71">
        <f t="shared" si="79"/>
        <v>7</v>
      </c>
    </row>
    <row r="2527" spans="1:8" x14ac:dyDescent="0.2">
      <c r="A2527" s="71" t="s">
        <v>230</v>
      </c>
      <c r="B2527" s="71" t="s">
        <v>231</v>
      </c>
      <c r="C2527" s="71" t="s">
        <v>39</v>
      </c>
      <c r="D2527" s="88">
        <v>46198.531851851898</v>
      </c>
      <c r="E2527" s="89">
        <v>46198</v>
      </c>
      <c r="F2527" s="71" t="s">
        <v>2434</v>
      </c>
      <c r="G2527" s="71">
        <f t="shared" si="78"/>
        <v>6</v>
      </c>
      <c r="H2527" s="71">
        <f t="shared" si="79"/>
        <v>30</v>
      </c>
    </row>
    <row r="2528" spans="1:8" x14ac:dyDescent="0.2">
      <c r="A2528" s="71" t="s">
        <v>230</v>
      </c>
      <c r="B2528" s="71" t="s">
        <v>231</v>
      </c>
      <c r="C2528" s="71" t="s">
        <v>39</v>
      </c>
      <c r="D2528" s="88">
        <v>46202.3890972222</v>
      </c>
      <c r="E2528" s="89">
        <v>46202</v>
      </c>
      <c r="F2528" s="71" t="s">
        <v>2429</v>
      </c>
      <c r="G2528" s="71">
        <f t="shared" si="78"/>
        <v>6</v>
      </c>
      <c r="H2528" s="71">
        <f t="shared" si="79"/>
        <v>9</v>
      </c>
    </row>
    <row r="2529" spans="1:8" x14ac:dyDescent="0.2">
      <c r="A2529" s="71" t="s">
        <v>196</v>
      </c>
      <c r="B2529" s="71" t="s">
        <v>197</v>
      </c>
      <c r="C2529" s="71" t="s">
        <v>47</v>
      </c>
      <c r="D2529" s="88">
        <v>46245.601006944496</v>
      </c>
      <c r="E2529" s="89">
        <v>46245</v>
      </c>
      <c r="F2529" s="71" t="s">
        <v>2435</v>
      </c>
      <c r="G2529" s="71">
        <f t="shared" si="78"/>
        <v>8</v>
      </c>
      <c r="H2529" s="71">
        <f t="shared" si="79"/>
        <v>119</v>
      </c>
    </row>
    <row r="2530" spans="1:8" x14ac:dyDescent="0.2">
      <c r="A2530" s="71" t="s">
        <v>196</v>
      </c>
      <c r="B2530" s="71" t="s">
        <v>197</v>
      </c>
      <c r="C2530" s="71" t="s">
        <v>47</v>
      </c>
      <c r="D2530" s="88">
        <v>46245.602615740703</v>
      </c>
      <c r="E2530" s="89">
        <v>46245</v>
      </c>
      <c r="F2530" s="71" t="s">
        <v>2436</v>
      </c>
      <c r="G2530" s="71">
        <f t="shared" si="78"/>
        <v>8</v>
      </c>
      <c r="H2530" s="71">
        <f t="shared" si="79"/>
        <v>131</v>
      </c>
    </row>
    <row r="2531" spans="1:8" x14ac:dyDescent="0.2">
      <c r="A2531" s="71" t="s">
        <v>196</v>
      </c>
      <c r="B2531" s="71" t="s">
        <v>197</v>
      </c>
      <c r="C2531" s="71" t="s">
        <v>47</v>
      </c>
      <c r="D2531" s="88">
        <v>46246.612199074101</v>
      </c>
      <c r="E2531" s="89">
        <v>46246</v>
      </c>
      <c r="F2531" s="71" t="s">
        <v>2437</v>
      </c>
      <c r="G2531" s="71">
        <f t="shared" si="78"/>
        <v>8</v>
      </c>
      <c r="H2531" s="71">
        <f t="shared" si="79"/>
        <v>158</v>
      </c>
    </row>
    <row r="2532" spans="1:8" x14ac:dyDescent="0.2">
      <c r="A2532" s="71" t="s">
        <v>196</v>
      </c>
      <c r="B2532" s="71" t="s">
        <v>197</v>
      </c>
      <c r="C2532" s="71" t="s">
        <v>47</v>
      </c>
      <c r="D2532" s="88">
        <v>46246.613125000003</v>
      </c>
      <c r="E2532" s="89">
        <v>46246</v>
      </c>
      <c r="F2532" s="71" t="s">
        <v>2438</v>
      </c>
      <c r="G2532" s="71">
        <f t="shared" si="78"/>
        <v>8</v>
      </c>
      <c r="H2532" s="71">
        <f t="shared" si="79"/>
        <v>157</v>
      </c>
    </row>
    <row r="2533" spans="1:8" x14ac:dyDescent="0.2">
      <c r="A2533" s="71" t="s">
        <v>196</v>
      </c>
      <c r="B2533" s="71" t="s">
        <v>197</v>
      </c>
      <c r="C2533" s="71" t="s">
        <v>47</v>
      </c>
      <c r="D2533" s="88">
        <v>46247.3839814815</v>
      </c>
      <c r="E2533" s="89">
        <v>46247</v>
      </c>
      <c r="F2533" s="71" t="s">
        <v>2439</v>
      </c>
      <c r="G2533" s="71">
        <f t="shared" si="78"/>
        <v>8</v>
      </c>
      <c r="H2533" s="71">
        <f t="shared" si="79"/>
        <v>80</v>
      </c>
    </row>
    <row r="2534" spans="1:8" x14ac:dyDescent="0.2">
      <c r="A2534" s="71" t="s">
        <v>196</v>
      </c>
      <c r="B2534" s="71" t="s">
        <v>197</v>
      </c>
      <c r="C2534" s="71" t="s">
        <v>47</v>
      </c>
      <c r="D2534" s="88">
        <v>46247.6825231482</v>
      </c>
      <c r="E2534" s="89">
        <v>46247</v>
      </c>
      <c r="F2534" s="71" t="s">
        <v>2440</v>
      </c>
      <c r="G2534" s="71">
        <f t="shared" si="78"/>
        <v>8</v>
      </c>
      <c r="H2534" s="71">
        <f t="shared" si="79"/>
        <v>64</v>
      </c>
    </row>
    <row r="2535" spans="1:8" x14ac:dyDescent="0.2">
      <c r="A2535" s="71" t="s">
        <v>196</v>
      </c>
      <c r="B2535" s="71" t="s">
        <v>197</v>
      </c>
      <c r="C2535" s="71" t="s">
        <v>47</v>
      </c>
      <c r="D2535" s="88">
        <v>46247.685439814799</v>
      </c>
      <c r="E2535" s="89">
        <v>46247</v>
      </c>
      <c r="F2535" s="71" t="s">
        <v>2441</v>
      </c>
      <c r="G2535" s="71">
        <f t="shared" si="78"/>
        <v>8</v>
      </c>
      <c r="H2535" s="71">
        <f t="shared" si="79"/>
        <v>119</v>
      </c>
    </row>
    <row r="2536" spans="1:8" x14ac:dyDescent="0.2">
      <c r="A2536" s="71" t="s">
        <v>196</v>
      </c>
      <c r="B2536" s="71" t="s">
        <v>197</v>
      </c>
      <c r="C2536" s="71" t="s">
        <v>47</v>
      </c>
      <c r="D2536" s="88">
        <v>46252.407986111102</v>
      </c>
      <c r="E2536" s="89">
        <v>46252</v>
      </c>
      <c r="F2536" s="71" t="s">
        <v>2442</v>
      </c>
      <c r="G2536" s="71">
        <f t="shared" si="78"/>
        <v>8</v>
      </c>
      <c r="H2536" s="71">
        <f t="shared" si="79"/>
        <v>103</v>
      </c>
    </row>
    <row r="2537" spans="1:8" x14ac:dyDescent="0.2">
      <c r="A2537" s="71" t="s">
        <v>196</v>
      </c>
      <c r="B2537" s="71" t="s">
        <v>197</v>
      </c>
      <c r="C2537" s="71" t="s">
        <v>47</v>
      </c>
      <c r="D2537" s="88">
        <v>46252.494965277801</v>
      </c>
      <c r="E2537" s="89">
        <v>46252</v>
      </c>
      <c r="F2537" s="71" t="s">
        <v>2443</v>
      </c>
      <c r="G2537" s="71">
        <f t="shared" si="78"/>
        <v>8</v>
      </c>
      <c r="H2537" s="71">
        <f t="shared" si="79"/>
        <v>134</v>
      </c>
    </row>
    <row r="2538" spans="1:8" x14ac:dyDescent="0.2">
      <c r="A2538" s="71" t="s">
        <v>196</v>
      </c>
      <c r="B2538" s="71" t="s">
        <v>197</v>
      </c>
      <c r="C2538" s="71" t="s">
        <v>47</v>
      </c>
      <c r="D2538" s="88">
        <v>46252.639016203699</v>
      </c>
      <c r="E2538" s="89">
        <v>46252</v>
      </c>
      <c r="F2538" s="71" t="s">
        <v>2444</v>
      </c>
      <c r="G2538" s="71">
        <f t="shared" si="78"/>
        <v>8</v>
      </c>
      <c r="H2538" s="71">
        <f t="shared" si="79"/>
        <v>81</v>
      </c>
    </row>
    <row r="2539" spans="1:8" x14ac:dyDescent="0.2">
      <c r="A2539" s="71" t="s">
        <v>196</v>
      </c>
      <c r="B2539" s="71" t="s">
        <v>197</v>
      </c>
      <c r="C2539" s="71" t="s">
        <v>47</v>
      </c>
      <c r="D2539" s="88">
        <v>46253.420439814799</v>
      </c>
      <c r="E2539" s="89">
        <v>46253</v>
      </c>
      <c r="F2539" s="71" t="s">
        <v>2445</v>
      </c>
      <c r="G2539" s="71">
        <f t="shared" si="78"/>
        <v>8</v>
      </c>
      <c r="H2539" s="71">
        <f t="shared" si="79"/>
        <v>127</v>
      </c>
    </row>
    <row r="2540" spans="1:8" x14ac:dyDescent="0.2">
      <c r="A2540" s="71" t="s">
        <v>196</v>
      </c>
      <c r="B2540" s="71" t="s">
        <v>197</v>
      </c>
      <c r="C2540" s="71" t="s">
        <v>47</v>
      </c>
      <c r="D2540" s="88">
        <v>46253.609791666699</v>
      </c>
      <c r="E2540" s="89">
        <v>46253</v>
      </c>
      <c r="F2540" s="71" t="s">
        <v>2446</v>
      </c>
      <c r="G2540" s="71">
        <f t="shared" si="78"/>
        <v>8</v>
      </c>
      <c r="H2540" s="71">
        <f t="shared" si="79"/>
        <v>185</v>
      </c>
    </row>
    <row r="2541" spans="1:8" x14ac:dyDescent="0.2">
      <c r="A2541" s="71" t="s">
        <v>196</v>
      </c>
      <c r="B2541" s="71" t="s">
        <v>197</v>
      </c>
      <c r="C2541" s="71" t="s">
        <v>47</v>
      </c>
      <c r="D2541" s="88">
        <v>46254.619444444397</v>
      </c>
      <c r="E2541" s="89">
        <v>46254</v>
      </c>
      <c r="F2541" s="71" t="s">
        <v>2447</v>
      </c>
      <c r="G2541" s="71">
        <f t="shared" si="78"/>
        <v>8</v>
      </c>
      <c r="H2541" s="71">
        <f t="shared" si="79"/>
        <v>137</v>
      </c>
    </row>
    <row r="2542" spans="1:8" x14ac:dyDescent="0.2">
      <c r="A2542" s="71" t="s">
        <v>196</v>
      </c>
      <c r="B2542" s="71" t="s">
        <v>197</v>
      </c>
      <c r="C2542" s="71" t="s">
        <v>47</v>
      </c>
      <c r="D2542" s="88">
        <v>46254.6236921296</v>
      </c>
      <c r="E2542" s="89">
        <v>46254</v>
      </c>
      <c r="F2542" s="71" t="s">
        <v>2448</v>
      </c>
      <c r="G2542" s="71">
        <f t="shared" si="78"/>
        <v>8</v>
      </c>
      <c r="H2542" s="71">
        <f t="shared" si="79"/>
        <v>137</v>
      </c>
    </row>
    <row r="2543" spans="1:8" x14ac:dyDescent="0.2">
      <c r="A2543" s="71" t="s">
        <v>196</v>
      </c>
      <c r="B2543" s="71" t="s">
        <v>197</v>
      </c>
      <c r="C2543" s="71" t="s">
        <v>47</v>
      </c>
      <c r="D2543" s="88">
        <v>46255.423252314802</v>
      </c>
      <c r="E2543" s="89">
        <v>46255</v>
      </c>
      <c r="F2543" s="71" t="s">
        <v>2449</v>
      </c>
      <c r="G2543" s="71">
        <f t="shared" si="78"/>
        <v>8</v>
      </c>
      <c r="H2543" s="71">
        <f t="shared" si="79"/>
        <v>140</v>
      </c>
    </row>
    <row r="2544" spans="1:8" x14ac:dyDescent="0.2">
      <c r="A2544" s="71" t="s">
        <v>196</v>
      </c>
      <c r="B2544" s="71" t="s">
        <v>197</v>
      </c>
      <c r="C2544" s="71" t="s">
        <v>47</v>
      </c>
      <c r="D2544" s="88">
        <v>46255.606469907398</v>
      </c>
      <c r="E2544" s="89">
        <v>46255</v>
      </c>
      <c r="F2544" s="71" t="s">
        <v>2450</v>
      </c>
      <c r="G2544" s="71">
        <f t="shared" si="78"/>
        <v>8</v>
      </c>
      <c r="H2544" s="71">
        <f t="shared" si="79"/>
        <v>117</v>
      </c>
    </row>
    <row r="2545" spans="1:8" x14ac:dyDescent="0.2">
      <c r="A2545" s="71" t="s">
        <v>196</v>
      </c>
      <c r="B2545" s="71" t="s">
        <v>197</v>
      </c>
      <c r="C2545" s="71" t="s">
        <v>47</v>
      </c>
      <c r="D2545" s="88">
        <v>46255.6547222222</v>
      </c>
      <c r="E2545" s="89">
        <v>46255</v>
      </c>
      <c r="F2545" s="71" t="s">
        <v>2451</v>
      </c>
      <c r="G2545" s="71">
        <f t="shared" si="78"/>
        <v>8</v>
      </c>
      <c r="H2545" s="71">
        <f t="shared" si="79"/>
        <v>162</v>
      </c>
    </row>
    <row r="2546" spans="1:8" x14ac:dyDescent="0.2">
      <c r="A2546" s="71" t="s">
        <v>196</v>
      </c>
      <c r="B2546" s="71" t="s">
        <v>197</v>
      </c>
      <c r="C2546" s="71" t="s">
        <v>47</v>
      </c>
      <c r="D2546" s="88">
        <v>46258.455972222197</v>
      </c>
      <c r="E2546" s="89">
        <v>46258</v>
      </c>
      <c r="F2546" s="71" t="s">
        <v>2452</v>
      </c>
      <c r="G2546" s="71">
        <f t="shared" si="78"/>
        <v>8</v>
      </c>
      <c r="H2546" s="71">
        <f t="shared" si="79"/>
        <v>118</v>
      </c>
    </row>
    <row r="2547" spans="1:8" x14ac:dyDescent="0.2">
      <c r="A2547" s="71" t="s">
        <v>196</v>
      </c>
      <c r="B2547" s="71" t="s">
        <v>197</v>
      </c>
      <c r="C2547" s="71" t="s">
        <v>47</v>
      </c>
      <c r="D2547" s="88">
        <v>46258.634780092601</v>
      </c>
      <c r="E2547" s="89">
        <v>46258</v>
      </c>
      <c r="F2547" s="71" t="s">
        <v>2453</v>
      </c>
      <c r="G2547" s="71">
        <f t="shared" si="78"/>
        <v>8</v>
      </c>
      <c r="H2547" s="71">
        <f t="shared" si="79"/>
        <v>107</v>
      </c>
    </row>
    <row r="2548" spans="1:8" x14ac:dyDescent="0.2">
      <c r="A2548" s="71" t="s">
        <v>196</v>
      </c>
      <c r="B2548" s="71" t="s">
        <v>197</v>
      </c>
      <c r="C2548" s="71" t="s">
        <v>47</v>
      </c>
      <c r="D2548" s="88">
        <v>46260.417615740698</v>
      </c>
      <c r="E2548" s="89">
        <v>46260</v>
      </c>
      <c r="F2548" s="71" t="s">
        <v>2454</v>
      </c>
      <c r="G2548" s="71">
        <f t="shared" si="78"/>
        <v>8</v>
      </c>
      <c r="H2548" s="71">
        <f t="shared" si="79"/>
        <v>172</v>
      </c>
    </row>
    <row r="2549" spans="1:8" x14ac:dyDescent="0.2">
      <c r="A2549" s="71" t="s">
        <v>196</v>
      </c>
      <c r="B2549" s="71" t="s">
        <v>197</v>
      </c>
      <c r="C2549" s="71" t="s">
        <v>47</v>
      </c>
      <c r="D2549" s="88">
        <v>46260.673125000001</v>
      </c>
      <c r="E2549" s="89">
        <v>46260</v>
      </c>
      <c r="F2549" s="71" t="s">
        <v>2455</v>
      </c>
      <c r="G2549" s="71">
        <f t="shared" si="78"/>
        <v>8</v>
      </c>
      <c r="H2549" s="71">
        <f t="shared" si="79"/>
        <v>166</v>
      </c>
    </row>
    <row r="2550" spans="1:8" x14ac:dyDescent="0.2">
      <c r="A2550" s="71" t="s">
        <v>196</v>
      </c>
      <c r="B2550" s="71" t="s">
        <v>197</v>
      </c>
      <c r="C2550" s="71" t="s">
        <v>47</v>
      </c>
      <c r="D2550" s="88">
        <v>46261.4430671296</v>
      </c>
      <c r="E2550" s="89">
        <v>46261</v>
      </c>
      <c r="F2550" s="71" t="s">
        <v>2456</v>
      </c>
      <c r="G2550" s="71">
        <f t="shared" si="78"/>
        <v>8</v>
      </c>
      <c r="H2550" s="71">
        <f t="shared" si="79"/>
        <v>132</v>
      </c>
    </row>
    <row r="2551" spans="1:8" x14ac:dyDescent="0.2">
      <c r="A2551" s="71" t="s">
        <v>196</v>
      </c>
      <c r="B2551" s="71" t="s">
        <v>197</v>
      </c>
      <c r="C2551" s="71" t="s">
        <v>47</v>
      </c>
      <c r="D2551" s="88">
        <v>46261.610428240703</v>
      </c>
      <c r="E2551" s="89">
        <v>46261</v>
      </c>
      <c r="F2551" s="71" t="s">
        <v>2457</v>
      </c>
      <c r="G2551" s="71">
        <f t="shared" si="78"/>
        <v>8</v>
      </c>
      <c r="H2551" s="71">
        <f t="shared" si="79"/>
        <v>137</v>
      </c>
    </row>
    <row r="2552" spans="1:8" x14ac:dyDescent="0.2">
      <c r="A2552" s="71" t="s">
        <v>196</v>
      </c>
      <c r="B2552" s="71" t="s">
        <v>197</v>
      </c>
      <c r="C2552" s="71" t="s">
        <v>47</v>
      </c>
      <c r="D2552" s="88">
        <v>46262.348622685196</v>
      </c>
      <c r="E2552" s="89">
        <v>46262</v>
      </c>
      <c r="F2552" s="71" t="s">
        <v>2458</v>
      </c>
      <c r="G2552" s="71">
        <f t="shared" si="78"/>
        <v>8</v>
      </c>
      <c r="H2552" s="71">
        <f t="shared" si="79"/>
        <v>96</v>
      </c>
    </row>
    <row r="2553" spans="1:8" x14ac:dyDescent="0.2">
      <c r="A2553" s="71" t="s">
        <v>196</v>
      </c>
      <c r="B2553" s="71" t="s">
        <v>197</v>
      </c>
      <c r="C2553" s="71" t="s">
        <v>47</v>
      </c>
      <c r="D2553" s="88">
        <v>46262.567395833299</v>
      </c>
      <c r="E2553" s="89">
        <v>46262</v>
      </c>
      <c r="F2553" s="71" t="s">
        <v>2459</v>
      </c>
      <c r="G2553" s="71">
        <f t="shared" si="78"/>
        <v>8</v>
      </c>
      <c r="H2553" s="71">
        <f t="shared" si="79"/>
        <v>140</v>
      </c>
    </row>
    <row r="2554" spans="1:8" x14ac:dyDescent="0.2">
      <c r="A2554" s="71" t="s">
        <v>196</v>
      </c>
      <c r="B2554" s="71" t="s">
        <v>197</v>
      </c>
      <c r="C2554" s="71" t="s">
        <v>47</v>
      </c>
      <c r="D2554" s="88">
        <v>46262.597152777802</v>
      </c>
      <c r="E2554" s="89">
        <v>46262</v>
      </c>
      <c r="F2554" s="71" t="s">
        <v>2460</v>
      </c>
      <c r="G2554" s="71">
        <f t="shared" si="78"/>
        <v>8</v>
      </c>
      <c r="H2554" s="71">
        <f t="shared" si="79"/>
        <v>137</v>
      </c>
    </row>
    <row r="2555" spans="1:8" x14ac:dyDescent="0.2">
      <c r="A2555" s="71" t="s">
        <v>196</v>
      </c>
      <c r="B2555" s="71" t="s">
        <v>197</v>
      </c>
      <c r="C2555" s="71" t="s">
        <v>47</v>
      </c>
      <c r="D2555" s="88">
        <v>46262.622974537</v>
      </c>
      <c r="E2555" s="89">
        <v>46262</v>
      </c>
      <c r="F2555" s="71" t="s">
        <v>2461</v>
      </c>
      <c r="G2555" s="71">
        <f t="shared" si="78"/>
        <v>8</v>
      </c>
      <c r="H2555" s="71">
        <f t="shared" si="79"/>
        <v>158</v>
      </c>
    </row>
    <row r="2556" spans="1:8" x14ac:dyDescent="0.2">
      <c r="A2556" s="71" t="s">
        <v>196</v>
      </c>
      <c r="B2556" s="71" t="s">
        <v>197</v>
      </c>
      <c r="C2556" s="71" t="s">
        <v>47</v>
      </c>
      <c r="D2556" s="88">
        <v>46265.4870717593</v>
      </c>
      <c r="E2556" s="89">
        <v>46265</v>
      </c>
      <c r="F2556" s="71" t="s">
        <v>2462</v>
      </c>
      <c r="G2556" s="71">
        <f t="shared" si="78"/>
        <v>8</v>
      </c>
      <c r="H2556" s="71">
        <f t="shared" si="79"/>
        <v>122</v>
      </c>
    </row>
    <row r="2557" spans="1:8" x14ac:dyDescent="0.2">
      <c r="A2557" s="71" t="s">
        <v>196</v>
      </c>
      <c r="B2557" s="71" t="s">
        <v>197</v>
      </c>
      <c r="C2557" s="71" t="s">
        <v>47</v>
      </c>
      <c r="D2557" s="88">
        <v>46265.685370370396</v>
      </c>
      <c r="E2557" s="89">
        <v>46265</v>
      </c>
      <c r="F2557" s="71" t="s">
        <v>2463</v>
      </c>
      <c r="G2557" s="71">
        <f t="shared" si="78"/>
        <v>8</v>
      </c>
      <c r="H2557" s="71">
        <f t="shared" si="79"/>
        <v>125</v>
      </c>
    </row>
    <row r="2558" spans="1:8" x14ac:dyDescent="0.2">
      <c r="A2558" s="71" t="s">
        <v>196</v>
      </c>
      <c r="B2558" s="71" t="s">
        <v>197</v>
      </c>
      <c r="C2558" s="71" t="s">
        <v>47</v>
      </c>
      <c r="D2558" s="88">
        <v>46266.461620370399</v>
      </c>
      <c r="E2558" s="89">
        <v>46266</v>
      </c>
      <c r="F2558" s="71" t="s">
        <v>2464</v>
      </c>
      <c r="G2558" s="71">
        <f t="shared" si="78"/>
        <v>9</v>
      </c>
      <c r="H2558" s="71">
        <f t="shared" si="79"/>
        <v>137</v>
      </c>
    </row>
    <row r="2559" spans="1:8" x14ac:dyDescent="0.2">
      <c r="A2559" s="71" t="s">
        <v>196</v>
      </c>
      <c r="B2559" s="71" t="s">
        <v>197</v>
      </c>
      <c r="C2559" s="71" t="s">
        <v>47</v>
      </c>
      <c r="D2559" s="88">
        <v>46266.631481481498</v>
      </c>
      <c r="E2559" s="89">
        <v>46266</v>
      </c>
      <c r="F2559" s="71" t="s">
        <v>2465</v>
      </c>
      <c r="G2559" s="71">
        <f t="shared" si="78"/>
        <v>9</v>
      </c>
      <c r="H2559" s="71">
        <f t="shared" si="79"/>
        <v>146</v>
      </c>
    </row>
    <row r="2560" spans="1:8" x14ac:dyDescent="0.2">
      <c r="A2560" s="71" t="s">
        <v>196</v>
      </c>
      <c r="B2560" s="71" t="s">
        <v>197</v>
      </c>
      <c r="C2560" s="71" t="s">
        <v>47</v>
      </c>
      <c r="D2560" s="88">
        <v>46267.559097222198</v>
      </c>
      <c r="E2560" s="89">
        <v>46267</v>
      </c>
      <c r="F2560" s="71" t="s">
        <v>2466</v>
      </c>
      <c r="G2560" s="71">
        <f t="shared" si="78"/>
        <v>9</v>
      </c>
      <c r="H2560" s="71">
        <f t="shared" si="79"/>
        <v>155</v>
      </c>
    </row>
    <row r="2561" spans="1:8" x14ac:dyDescent="0.2">
      <c r="A2561" s="71" t="s">
        <v>196</v>
      </c>
      <c r="B2561" s="71" t="s">
        <v>197</v>
      </c>
      <c r="C2561" s="71" t="s">
        <v>47</v>
      </c>
      <c r="D2561" s="88">
        <v>46267.614699074104</v>
      </c>
      <c r="E2561" s="89">
        <v>46267</v>
      </c>
      <c r="F2561" s="71" t="s">
        <v>2467</v>
      </c>
      <c r="G2561" s="71">
        <f t="shared" si="78"/>
        <v>9</v>
      </c>
      <c r="H2561" s="71">
        <f t="shared" si="79"/>
        <v>137</v>
      </c>
    </row>
    <row r="2562" spans="1:8" x14ac:dyDescent="0.2">
      <c r="A2562" s="71" t="s">
        <v>196</v>
      </c>
      <c r="B2562" s="71" t="s">
        <v>197</v>
      </c>
      <c r="C2562" s="71" t="s">
        <v>47</v>
      </c>
      <c r="D2562" s="88">
        <v>46268.586944444498</v>
      </c>
      <c r="E2562" s="89">
        <v>46268</v>
      </c>
      <c r="F2562" s="71" t="s">
        <v>2468</v>
      </c>
      <c r="G2562" s="71">
        <f t="shared" ref="G2562:G2625" si="80">MONTH(E2562)</f>
        <v>9</v>
      </c>
      <c r="H2562" s="71">
        <f t="shared" ref="H2562:H2625" si="81">LEN(F2562)</f>
        <v>135</v>
      </c>
    </row>
    <row r="2563" spans="1:8" x14ac:dyDescent="0.2">
      <c r="A2563" s="71" t="s">
        <v>196</v>
      </c>
      <c r="B2563" s="71" t="s">
        <v>197</v>
      </c>
      <c r="C2563" s="71" t="s">
        <v>47</v>
      </c>
      <c r="D2563" s="88">
        <v>46268.651817129597</v>
      </c>
      <c r="E2563" s="89">
        <v>46268</v>
      </c>
      <c r="F2563" s="71" t="s">
        <v>2469</v>
      </c>
      <c r="G2563" s="71">
        <f t="shared" si="80"/>
        <v>9</v>
      </c>
      <c r="H2563" s="71">
        <f t="shared" si="81"/>
        <v>80</v>
      </c>
    </row>
    <row r="2564" spans="1:8" x14ac:dyDescent="0.2">
      <c r="A2564" s="71" t="s">
        <v>196</v>
      </c>
      <c r="B2564" s="71" t="s">
        <v>197</v>
      </c>
      <c r="C2564" s="71" t="s">
        <v>47</v>
      </c>
      <c r="D2564" s="88">
        <v>46268.673784722203</v>
      </c>
      <c r="E2564" s="89">
        <v>46268</v>
      </c>
      <c r="F2564" s="71" t="s">
        <v>2470</v>
      </c>
      <c r="G2564" s="71">
        <f t="shared" si="80"/>
        <v>9</v>
      </c>
      <c r="H2564" s="71">
        <f t="shared" si="81"/>
        <v>90</v>
      </c>
    </row>
    <row r="2565" spans="1:8" x14ac:dyDescent="0.2">
      <c r="A2565" s="71" t="s">
        <v>196</v>
      </c>
      <c r="B2565" s="71" t="s">
        <v>197</v>
      </c>
      <c r="C2565" s="71" t="s">
        <v>47</v>
      </c>
      <c r="D2565" s="88">
        <v>46269.387430555602</v>
      </c>
      <c r="E2565" s="89">
        <v>46269</v>
      </c>
      <c r="F2565" s="71" t="s">
        <v>2471</v>
      </c>
      <c r="G2565" s="71">
        <f t="shared" si="80"/>
        <v>9</v>
      </c>
      <c r="H2565" s="71">
        <f t="shared" si="81"/>
        <v>120</v>
      </c>
    </row>
    <row r="2566" spans="1:8" x14ac:dyDescent="0.2">
      <c r="A2566" s="71" t="s">
        <v>196</v>
      </c>
      <c r="B2566" s="71" t="s">
        <v>197</v>
      </c>
      <c r="C2566" s="71" t="s">
        <v>47</v>
      </c>
      <c r="D2566" s="88">
        <v>46269.630810185197</v>
      </c>
      <c r="E2566" s="89">
        <v>46269</v>
      </c>
      <c r="F2566" s="71" t="s">
        <v>2472</v>
      </c>
      <c r="G2566" s="71">
        <f t="shared" si="80"/>
        <v>9</v>
      </c>
      <c r="H2566" s="71">
        <f t="shared" si="81"/>
        <v>137</v>
      </c>
    </row>
    <row r="2567" spans="1:8" x14ac:dyDescent="0.2">
      <c r="A2567" s="71" t="s">
        <v>196</v>
      </c>
      <c r="B2567" s="71" t="s">
        <v>197</v>
      </c>
      <c r="C2567" s="71" t="s">
        <v>47</v>
      </c>
      <c r="D2567" s="88">
        <v>46272.3523263889</v>
      </c>
      <c r="E2567" s="89">
        <v>46272</v>
      </c>
      <c r="F2567" s="71" t="s">
        <v>2473</v>
      </c>
      <c r="G2567" s="71">
        <f t="shared" si="80"/>
        <v>9</v>
      </c>
      <c r="H2567" s="71">
        <f t="shared" si="81"/>
        <v>131</v>
      </c>
    </row>
    <row r="2568" spans="1:8" x14ac:dyDescent="0.2">
      <c r="A2568" s="71" t="s">
        <v>196</v>
      </c>
      <c r="B2568" s="71" t="s">
        <v>197</v>
      </c>
      <c r="C2568" s="71" t="s">
        <v>47</v>
      </c>
      <c r="D2568" s="88">
        <v>46272.656770833302</v>
      </c>
      <c r="E2568" s="89">
        <v>46272</v>
      </c>
      <c r="F2568" s="71" t="s">
        <v>2474</v>
      </c>
      <c r="G2568" s="71">
        <f t="shared" si="80"/>
        <v>9</v>
      </c>
      <c r="H2568" s="71">
        <f t="shared" si="81"/>
        <v>122</v>
      </c>
    </row>
    <row r="2569" spans="1:8" x14ac:dyDescent="0.2">
      <c r="A2569" s="71" t="s">
        <v>196</v>
      </c>
      <c r="B2569" s="71" t="s">
        <v>197</v>
      </c>
      <c r="C2569" s="71" t="s">
        <v>47</v>
      </c>
      <c r="D2569" s="88">
        <v>46273.4481018519</v>
      </c>
      <c r="E2569" s="89">
        <v>46273</v>
      </c>
      <c r="F2569" s="71" t="s">
        <v>2475</v>
      </c>
      <c r="G2569" s="71">
        <f t="shared" si="80"/>
        <v>9</v>
      </c>
      <c r="H2569" s="71">
        <f t="shared" si="81"/>
        <v>122</v>
      </c>
    </row>
    <row r="2570" spans="1:8" x14ac:dyDescent="0.2">
      <c r="A2570" s="71" t="s">
        <v>196</v>
      </c>
      <c r="B2570" s="71" t="s">
        <v>197</v>
      </c>
      <c r="C2570" s="71" t="s">
        <v>47</v>
      </c>
      <c r="D2570" s="88">
        <v>46273.599548611099</v>
      </c>
      <c r="E2570" s="89">
        <v>46273</v>
      </c>
      <c r="F2570" s="71" t="s">
        <v>2476</v>
      </c>
      <c r="G2570" s="71">
        <f t="shared" si="80"/>
        <v>9</v>
      </c>
      <c r="H2570" s="71">
        <f t="shared" si="81"/>
        <v>146</v>
      </c>
    </row>
    <row r="2571" spans="1:8" x14ac:dyDescent="0.2">
      <c r="A2571" s="71" t="s">
        <v>196</v>
      </c>
      <c r="B2571" s="71" t="s">
        <v>197</v>
      </c>
      <c r="C2571" s="71" t="s">
        <v>47</v>
      </c>
      <c r="D2571" s="88">
        <v>46274.461643518502</v>
      </c>
      <c r="E2571" s="89">
        <v>46274</v>
      </c>
      <c r="F2571" s="71" t="s">
        <v>2477</v>
      </c>
      <c r="G2571" s="71">
        <f t="shared" si="80"/>
        <v>9</v>
      </c>
      <c r="H2571" s="71">
        <f t="shared" si="81"/>
        <v>157</v>
      </c>
    </row>
    <row r="2572" spans="1:8" x14ac:dyDescent="0.2">
      <c r="A2572" s="71" t="s">
        <v>196</v>
      </c>
      <c r="B2572" s="71" t="s">
        <v>197</v>
      </c>
      <c r="C2572" s="71" t="s">
        <v>47</v>
      </c>
      <c r="D2572" s="88">
        <v>46274.578402777799</v>
      </c>
      <c r="E2572" s="89">
        <v>46274</v>
      </c>
      <c r="F2572" s="71" t="s">
        <v>2478</v>
      </c>
      <c r="G2572" s="71">
        <f t="shared" si="80"/>
        <v>9</v>
      </c>
      <c r="H2572" s="71">
        <f t="shared" si="81"/>
        <v>67</v>
      </c>
    </row>
    <row r="2573" spans="1:8" x14ac:dyDescent="0.2">
      <c r="A2573" s="71" t="s">
        <v>196</v>
      </c>
      <c r="B2573" s="71" t="s">
        <v>197</v>
      </c>
      <c r="C2573" s="71" t="s">
        <v>47</v>
      </c>
      <c r="D2573" s="88">
        <v>46274.579733796301</v>
      </c>
      <c r="E2573" s="89">
        <v>46274</v>
      </c>
      <c r="F2573" s="71" t="s">
        <v>2479</v>
      </c>
      <c r="G2573" s="71">
        <f t="shared" si="80"/>
        <v>9</v>
      </c>
      <c r="H2573" s="71">
        <f t="shared" si="81"/>
        <v>100</v>
      </c>
    </row>
    <row r="2574" spans="1:8" x14ac:dyDescent="0.2">
      <c r="A2574" s="71" t="s">
        <v>196</v>
      </c>
      <c r="B2574" s="71" t="s">
        <v>197</v>
      </c>
      <c r="C2574" s="71" t="s">
        <v>47</v>
      </c>
      <c r="D2574" s="88">
        <v>46275.466956018499</v>
      </c>
      <c r="E2574" s="89">
        <v>46275</v>
      </c>
      <c r="F2574" s="71" t="s">
        <v>2480</v>
      </c>
      <c r="G2574" s="71">
        <f t="shared" si="80"/>
        <v>9</v>
      </c>
      <c r="H2574" s="71">
        <f t="shared" si="81"/>
        <v>120</v>
      </c>
    </row>
    <row r="2575" spans="1:8" x14ac:dyDescent="0.2">
      <c r="A2575" s="71" t="s">
        <v>196</v>
      </c>
      <c r="B2575" s="71" t="s">
        <v>197</v>
      </c>
      <c r="C2575" s="71" t="s">
        <v>47</v>
      </c>
      <c r="D2575" s="88">
        <v>46275.612824074102</v>
      </c>
      <c r="E2575" s="89">
        <v>46275</v>
      </c>
      <c r="F2575" s="71" t="s">
        <v>2481</v>
      </c>
      <c r="G2575" s="71">
        <f t="shared" si="80"/>
        <v>9</v>
      </c>
      <c r="H2575" s="71">
        <f t="shared" si="81"/>
        <v>183</v>
      </c>
    </row>
    <row r="2576" spans="1:8" x14ac:dyDescent="0.2">
      <c r="A2576" s="71" t="s">
        <v>196</v>
      </c>
      <c r="B2576" s="71" t="s">
        <v>197</v>
      </c>
      <c r="C2576" s="71" t="s">
        <v>47</v>
      </c>
      <c r="D2576" s="88">
        <v>46276.406493055598</v>
      </c>
      <c r="E2576" s="89">
        <v>46276</v>
      </c>
      <c r="F2576" s="71" t="s">
        <v>2482</v>
      </c>
      <c r="G2576" s="71">
        <f t="shared" si="80"/>
        <v>9</v>
      </c>
      <c r="H2576" s="71">
        <f t="shared" si="81"/>
        <v>121</v>
      </c>
    </row>
    <row r="2577" spans="1:8" x14ac:dyDescent="0.2">
      <c r="A2577" s="71" t="s">
        <v>196</v>
      </c>
      <c r="B2577" s="71" t="s">
        <v>197</v>
      </c>
      <c r="C2577" s="71" t="s">
        <v>47</v>
      </c>
      <c r="D2577" s="88">
        <v>46276.612407407403</v>
      </c>
      <c r="E2577" s="89">
        <v>46276</v>
      </c>
      <c r="F2577" s="71" t="s">
        <v>2483</v>
      </c>
      <c r="G2577" s="71">
        <f t="shared" si="80"/>
        <v>9</v>
      </c>
      <c r="H2577" s="71">
        <f t="shared" si="81"/>
        <v>108</v>
      </c>
    </row>
    <row r="2578" spans="1:8" x14ac:dyDescent="0.2">
      <c r="A2578" s="71" t="s">
        <v>196</v>
      </c>
      <c r="B2578" s="71" t="s">
        <v>197</v>
      </c>
      <c r="C2578" s="71" t="s">
        <v>47</v>
      </c>
      <c r="D2578" s="88">
        <v>46279.6339351852</v>
      </c>
      <c r="E2578" s="89">
        <v>46279</v>
      </c>
      <c r="F2578" s="71" t="s">
        <v>2484</v>
      </c>
      <c r="G2578" s="71">
        <f t="shared" si="80"/>
        <v>9</v>
      </c>
      <c r="H2578" s="71">
        <f t="shared" si="81"/>
        <v>144</v>
      </c>
    </row>
    <row r="2579" spans="1:8" x14ac:dyDescent="0.2">
      <c r="A2579" s="71" t="s">
        <v>196</v>
      </c>
      <c r="B2579" s="71" t="s">
        <v>197</v>
      </c>
      <c r="C2579" s="71" t="s">
        <v>47</v>
      </c>
      <c r="D2579" s="88">
        <v>46279.6718287037</v>
      </c>
      <c r="E2579" s="89">
        <v>46279</v>
      </c>
      <c r="F2579" s="71" t="s">
        <v>2485</v>
      </c>
      <c r="G2579" s="71">
        <f t="shared" si="80"/>
        <v>9</v>
      </c>
      <c r="H2579" s="71">
        <f t="shared" si="81"/>
        <v>116</v>
      </c>
    </row>
    <row r="2580" spans="1:8" x14ac:dyDescent="0.2">
      <c r="A2580" s="71" t="s">
        <v>196</v>
      </c>
      <c r="B2580" s="71" t="s">
        <v>197</v>
      </c>
      <c r="C2580" s="71" t="s">
        <v>47</v>
      </c>
      <c r="D2580" s="88">
        <v>46280.423113425903</v>
      </c>
      <c r="E2580" s="89">
        <v>46280</v>
      </c>
      <c r="F2580" s="71" t="s">
        <v>2486</v>
      </c>
      <c r="G2580" s="71">
        <f t="shared" si="80"/>
        <v>9</v>
      </c>
      <c r="H2580" s="71">
        <f t="shared" si="81"/>
        <v>155</v>
      </c>
    </row>
    <row r="2581" spans="1:8" x14ac:dyDescent="0.2">
      <c r="A2581" s="71" t="s">
        <v>196</v>
      </c>
      <c r="B2581" s="71" t="s">
        <v>197</v>
      </c>
      <c r="C2581" s="71" t="s">
        <v>47</v>
      </c>
      <c r="D2581" s="88">
        <v>46280.464016203703</v>
      </c>
      <c r="E2581" s="89">
        <v>46280</v>
      </c>
      <c r="F2581" s="71" t="s">
        <v>2487</v>
      </c>
      <c r="G2581" s="71">
        <f t="shared" si="80"/>
        <v>9</v>
      </c>
      <c r="H2581" s="71">
        <f t="shared" si="81"/>
        <v>122</v>
      </c>
    </row>
    <row r="2582" spans="1:8" x14ac:dyDescent="0.2">
      <c r="A2582" s="71" t="s">
        <v>196</v>
      </c>
      <c r="B2582" s="71" t="s">
        <v>197</v>
      </c>
      <c r="C2582" s="71" t="s">
        <v>47</v>
      </c>
      <c r="D2582" s="88">
        <v>46280.665972222203</v>
      </c>
      <c r="E2582" s="89">
        <v>46280</v>
      </c>
      <c r="F2582" s="71" t="s">
        <v>2488</v>
      </c>
      <c r="G2582" s="71">
        <f t="shared" si="80"/>
        <v>9</v>
      </c>
      <c r="H2582" s="71">
        <f t="shared" si="81"/>
        <v>136</v>
      </c>
    </row>
    <row r="2583" spans="1:8" x14ac:dyDescent="0.2">
      <c r="A2583" s="71" t="s">
        <v>196</v>
      </c>
      <c r="B2583" s="71" t="s">
        <v>197</v>
      </c>
      <c r="C2583" s="71" t="s">
        <v>47</v>
      </c>
      <c r="D2583" s="88">
        <v>46281.468101851897</v>
      </c>
      <c r="E2583" s="89">
        <v>46281</v>
      </c>
      <c r="F2583" s="71" t="s">
        <v>2489</v>
      </c>
      <c r="G2583" s="71">
        <f t="shared" si="80"/>
        <v>9</v>
      </c>
      <c r="H2583" s="71">
        <f t="shared" si="81"/>
        <v>147</v>
      </c>
    </row>
    <row r="2584" spans="1:8" x14ac:dyDescent="0.2">
      <c r="A2584" s="71" t="s">
        <v>196</v>
      </c>
      <c r="B2584" s="71" t="s">
        <v>197</v>
      </c>
      <c r="C2584" s="71" t="s">
        <v>47</v>
      </c>
      <c r="D2584" s="88">
        <v>46281.6738541667</v>
      </c>
      <c r="E2584" s="89">
        <v>46281</v>
      </c>
      <c r="F2584" s="71" t="s">
        <v>2490</v>
      </c>
      <c r="G2584" s="71">
        <f t="shared" si="80"/>
        <v>9</v>
      </c>
      <c r="H2584" s="71">
        <f t="shared" si="81"/>
        <v>171</v>
      </c>
    </row>
    <row r="2585" spans="1:8" x14ac:dyDescent="0.2">
      <c r="A2585" s="71" t="s">
        <v>196</v>
      </c>
      <c r="B2585" s="71" t="s">
        <v>197</v>
      </c>
      <c r="C2585" s="71" t="s">
        <v>47</v>
      </c>
      <c r="D2585" s="88">
        <v>46282.416863425897</v>
      </c>
      <c r="E2585" s="89">
        <v>46282</v>
      </c>
      <c r="F2585" s="71" t="s">
        <v>2491</v>
      </c>
      <c r="G2585" s="71">
        <f t="shared" si="80"/>
        <v>9</v>
      </c>
      <c r="H2585" s="71">
        <f t="shared" si="81"/>
        <v>143</v>
      </c>
    </row>
    <row r="2586" spans="1:8" x14ac:dyDescent="0.2">
      <c r="A2586" s="71" t="s">
        <v>196</v>
      </c>
      <c r="B2586" s="71" t="s">
        <v>197</v>
      </c>
      <c r="C2586" s="71" t="s">
        <v>47</v>
      </c>
      <c r="D2586" s="88">
        <v>46282.590092592603</v>
      </c>
      <c r="E2586" s="89">
        <v>46282</v>
      </c>
      <c r="F2586" s="71" t="s">
        <v>2492</v>
      </c>
      <c r="G2586" s="71">
        <f t="shared" si="80"/>
        <v>9</v>
      </c>
      <c r="H2586" s="71">
        <f t="shared" si="81"/>
        <v>139</v>
      </c>
    </row>
    <row r="2587" spans="1:8" x14ac:dyDescent="0.2">
      <c r="A2587" s="71" t="s">
        <v>196</v>
      </c>
      <c r="B2587" s="71" t="s">
        <v>197</v>
      </c>
      <c r="C2587" s="71" t="s">
        <v>47</v>
      </c>
      <c r="D2587" s="88">
        <v>46282.591469907398</v>
      </c>
      <c r="E2587" s="89">
        <v>46282</v>
      </c>
      <c r="F2587" s="71" t="s">
        <v>2493</v>
      </c>
      <c r="G2587" s="71">
        <f t="shared" si="80"/>
        <v>9</v>
      </c>
      <c r="H2587" s="71">
        <f t="shared" si="81"/>
        <v>145</v>
      </c>
    </row>
    <row r="2588" spans="1:8" x14ac:dyDescent="0.2">
      <c r="A2588" s="71" t="s">
        <v>196</v>
      </c>
      <c r="B2588" s="71" t="s">
        <v>197</v>
      </c>
      <c r="C2588" s="71" t="s">
        <v>47</v>
      </c>
      <c r="D2588" s="88">
        <v>46283.602743055599</v>
      </c>
      <c r="E2588" s="89">
        <v>46283</v>
      </c>
      <c r="F2588" s="71" t="s">
        <v>2494</v>
      </c>
      <c r="G2588" s="71">
        <f t="shared" si="80"/>
        <v>9</v>
      </c>
      <c r="H2588" s="71">
        <f t="shared" si="81"/>
        <v>109</v>
      </c>
    </row>
    <row r="2589" spans="1:8" x14ac:dyDescent="0.2">
      <c r="A2589" s="71" t="s">
        <v>196</v>
      </c>
      <c r="B2589" s="71" t="s">
        <v>197</v>
      </c>
      <c r="C2589" s="71" t="s">
        <v>47</v>
      </c>
      <c r="D2589" s="88">
        <v>46283.603587963</v>
      </c>
      <c r="E2589" s="89">
        <v>46283</v>
      </c>
      <c r="F2589" s="71" t="s">
        <v>2495</v>
      </c>
      <c r="G2589" s="71">
        <f t="shared" si="80"/>
        <v>9</v>
      </c>
      <c r="H2589" s="71">
        <f t="shared" si="81"/>
        <v>119</v>
      </c>
    </row>
    <row r="2590" spans="1:8" x14ac:dyDescent="0.2">
      <c r="A2590" s="71" t="s">
        <v>196</v>
      </c>
      <c r="B2590" s="71" t="s">
        <v>197</v>
      </c>
      <c r="C2590" s="71" t="s">
        <v>47</v>
      </c>
      <c r="D2590" s="88">
        <v>46283.644756944399</v>
      </c>
      <c r="E2590" s="89">
        <v>46283</v>
      </c>
      <c r="F2590" s="71" t="s">
        <v>2496</v>
      </c>
      <c r="G2590" s="71">
        <f t="shared" si="80"/>
        <v>9</v>
      </c>
      <c r="H2590" s="71">
        <f t="shared" si="81"/>
        <v>119</v>
      </c>
    </row>
    <row r="2591" spans="1:8" x14ac:dyDescent="0.2">
      <c r="A2591" s="71" t="s">
        <v>196</v>
      </c>
      <c r="B2591" s="71" t="s">
        <v>197</v>
      </c>
      <c r="C2591" s="71" t="s">
        <v>47</v>
      </c>
      <c r="D2591" s="88">
        <v>46286.6093287037</v>
      </c>
      <c r="E2591" s="89">
        <v>46286</v>
      </c>
      <c r="F2591" s="71" t="s">
        <v>2497</v>
      </c>
      <c r="G2591" s="71">
        <f t="shared" si="80"/>
        <v>9</v>
      </c>
      <c r="H2591" s="71">
        <f t="shared" si="81"/>
        <v>253</v>
      </c>
    </row>
    <row r="2592" spans="1:8" x14ac:dyDescent="0.2">
      <c r="A2592" s="71" t="s">
        <v>196</v>
      </c>
      <c r="B2592" s="71" t="s">
        <v>197</v>
      </c>
      <c r="C2592" s="71" t="s">
        <v>47</v>
      </c>
      <c r="D2592" s="88">
        <v>46287.425868055601</v>
      </c>
      <c r="E2592" s="89">
        <v>46287</v>
      </c>
      <c r="F2592" s="71" t="s">
        <v>2498</v>
      </c>
      <c r="G2592" s="71">
        <f t="shared" si="80"/>
        <v>9</v>
      </c>
      <c r="H2592" s="71">
        <f t="shared" si="81"/>
        <v>143</v>
      </c>
    </row>
    <row r="2593" spans="1:8" x14ac:dyDescent="0.2">
      <c r="A2593" s="71" t="s">
        <v>196</v>
      </c>
      <c r="B2593" s="71" t="s">
        <v>197</v>
      </c>
      <c r="C2593" s="71" t="s">
        <v>47</v>
      </c>
      <c r="D2593" s="88">
        <v>46287.427928240701</v>
      </c>
      <c r="E2593" s="89">
        <v>46287</v>
      </c>
      <c r="F2593" s="71" t="s">
        <v>2499</v>
      </c>
      <c r="G2593" s="71">
        <f t="shared" si="80"/>
        <v>9</v>
      </c>
      <c r="H2593" s="71">
        <f t="shared" si="81"/>
        <v>99</v>
      </c>
    </row>
    <row r="2594" spans="1:8" x14ac:dyDescent="0.2">
      <c r="A2594" s="71" t="s">
        <v>196</v>
      </c>
      <c r="B2594" s="71" t="s">
        <v>197</v>
      </c>
      <c r="C2594" s="71" t="s">
        <v>47</v>
      </c>
      <c r="D2594" s="88">
        <v>46287.6305671296</v>
      </c>
      <c r="E2594" s="89">
        <v>46287</v>
      </c>
      <c r="F2594" s="71" t="s">
        <v>2500</v>
      </c>
      <c r="G2594" s="71">
        <f t="shared" si="80"/>
        <v>9</v>
      </c>
      <c r="H2594" s="71">
        <f t="shared" si="81"/>
        <v>91</v>
      </c>
    </row>
    <row r="2595" spans="1:8" x14ac:dyDescent="0.2">
      <c r="A2595" s="71" t="s">
        <v>196</v>
      </c>
      <c r="B2595" s="71" t="s">
        <v>197</v>
      </c>
      <c r="C2595" s="71" t="s">
        <v>47</v>
      </c>
      <c r="D2595" s="88">
        <v>46288.585555555597</v>
      </c>
      <c r="E2595" s="89">
        <v>46288</v>
      </c>
      <c r="F2595" s="71" t="s">
        <v>2501</v>
      </c>
      <c r="G2595" s="71">
        <f t="shared" si="80"/>
        <v>9</v>
      </c>
      <c r="H2595" s="71">
        <f t="shared" si="81"/>
        <v>96</v>
      </c>
    </row>
    <row r="2596" spans="1:8" x14ac:dyDescent="0.2">
      <c r="A2596" s="71" t="s">
        <v>196</v>
      </c>
      <c r="B2596" s="71" t="s">
        <v>197</v>
      </c>
      <c r="C2596" s="71" t="s">
        <v>47</v>
      </c>
      <c r="D2596" s="88">
        <v>46288.586446759298</v>
      </c>
      <c r="E2596" s="89">
        <v>46288</v>
      </c>
      <c r="F2596" s="71" t="s">
        <v>2502</v>
      </c>
      <c r="G2596" s="71">
        <f t="shared" si="80"/>
        <v>9</v>
      </c>
      <c r="H2596" s="71">
        <f t="shared" si="81"/>
        <v>104</v>
      </c>
    </row>
    <row r="2597" spans="1:8" x14ac:dyDescent="0.2">
      <c r="A2597" s="71" t="s">
        <v>196</v>
      </c>
      <c r="B2597" s="71" t="s">
        <v>197</v>
      </c>
      <c r="C2597" s="71" t="s">
        <v>47</v>
      </c>
      <c r="D2597" s="88">
        <v>46289.476979166699</v>
      </c>
      <c r="E2597" s="89">
        <v>46289</v>
      </c>
      <c r="F2597" s="71" t="s">
        <v>2503</v>
      </c>
      <c r="G2597" s="71">
        <f t="shared" si="80"/>
        <v>9</v>
      </c>
      <c r="H2597" s="71">
        <f t="shared" si="81"/>
        <v>142</v>
      </c>
    </row>
    <row r="2598" spans="1:8" x14ac:dyDescent="0.2">
      <c r="A2598" s="71" t="s">
        <v>196</v>
      </c>
      <c r="B2598" s="71" t="s">
        <v>197</v>
      </c>
      <c r="C2598" s="71" t="s">
        <v>47</v>
      </c>
      <c r="D2598" s="88">
        <v>46289.600451388898</v>
      </c>
      <c r="E2598" s="89">
        <v>46289</v>
      </c>
      <c r="F2598" s="71" t="s">
        <v>2504</v>
      </c>
      <c r="G2598" s="71">
        <f t="shared" si="80"/>
        <v>9</v>
      </c>
      <c r="H2598" s="71">
        <f t="shared" si="81"/>
        <v>87</v>
      </c>
    </row>
    <row r="2599" spans="1:8" x14ac:dyDescent="0.2">
      <c r="A2599" s="71" t="s">
        <v>196</v>
      </c>
      <c r="B2599" s="71" t="s">
        <v>197</v>
      </c>
      <c r="C2599" s="71" t="s">
        <v>47</v>
      </c>
      <c r="D2599" s="88">
        <v>46289.661423611098</v>
      </c>
      <c r="E2599" s="89">
        <v>46289</v>
      </c>
      <c r="F2599" s="71" t="s">
        <v>2505</v>
      </c>
      <c r="G2599" s="71">
        <f t="shared" si="80"/>
        <v>9</v>
      </c>
      <c r="H2599" s="71">
        <f t="shared" si="81"/>
        <v>87</v>
      </c>
    </row>
    <row r="2600" spans="1:8" x14ac:dyDescent="0.2">
      <c r="A2600" s="71" t="s">
        <v>196</v>
      </c>
      <c r="B2600" s="71" t="s">
        <v>197</v>
      </c>
      <c r="C2600" s="71" t="s">
        <v>47</v>
      </c>
      <c r="D2600" s="88">
        <v>46290.572106481501</v>
      </c>
      <c r="E2600" s="89">
        <v>46290</v>
      </c>
      <c r="F2600" s="71" t="s">
        <v>2504</v>
      </c>
      <c r="G2600" s="71">
        <f t="shared" si="80"/>
        <v>9</v>
      </c>
      <c r="H2600" s="71">
        <f t="shared" si="81"/>
        <v>87</v>
      </c>
    </row>
    <row r="2601" spans="1:8" x14ac:dyDescent="0.2">
      <c r="A2601" s="71" t="s">
        <v>196</v>
      </c>
      <c r="B2601" s="71" t="s">
        <v>197</v>
      </c>
      <c r="C2601" s="71" t="s">
        <v>47</v>
      </c>
      <c r="D2601" s="88">
        <v>46293.605185185203</v>
      </c>
      <c r="E2601" s="89">
        <v>46293</v>
      </c>
      <c r="F2601" s="71" t="s">
        <v>2506</v>
      </c>
      <c r="G2601" s="71">
        <f t="shared" si="80"/>
        <v>9</v>
      </c>
      <c r="H2601" s="71">
        <f t="shared" si="81"/>
        <v>88</v>
      </c>
    </row>
    <row r="2602" spans="1:8" x14ac:dyDescent="0.2">
      <c r="A2602" s="71" t="s">
        <v>196</v>
      </c>
      <c r="B2602" s="71" t="s">
        <v>197</v>
      </c>
      <c r="C2602" s="71" t="s">
        <v>47</v>
      </c>
      <c r="D2602" s="88">
        <v>46293.627557870401</v>
      </c>
      <c r="E2602" s="89">
        <v>46293</v>
      </c>
      <c r="F2602" s="71" t="s">
        <v>2507</v>
      </c>
      <c r="G2602" s="71">
        <f t="shared" si="80"/>
        <v>9</v>
      </c>
      <c r="H2602" s="71">
        <f t="shared" si="81"/>
        <v>94</v>
      </c>
    </row>
    <row r="2603" spans="1:8" x14ac:dyDescent="0.2">
      <c r="A2603" s="71" t="s">
        <v>196</v>
      </c>
      <c r="B2603" s="71" t="s">
        <v>197</v>
      </c>
      <c r="C2603" s="71" t="s">
        <v>47</v>
      </c>
      <c r="D2603" s="88">
        <v>46294.443472222199</v>
      </c>
      <c r="E2603" s="89">
        <v>46294</v>
      </c>
      <c r="F2603" s="71" t="s">
        <v>2508</v>
      </c>
      <c r="G2603" s="71">
        <f t="shared" si="80"/>
        <v>9</v>
      </c>
      <c r="H2603" s="71">
        <f t="shared" si="81"/>
        <v>98</v>
      </c>
    </row>
    <row r="2604" spans="1:8" x14ac:dyDescent="0.2">
      <c r="A2604" s="71" t="s">
        <v>196</v>
      </c>
      <c r="B2604" s="71" t="s">
        <v>197</v>
      </c>
      <c r="C2604" s="71" t="s">
        <v>47</v>
      </c>
      <c r="D2604" s="88">
        <v>46294.444432870398</v>
      </c>
      <c r="E2604" s="89">
        <v>46294</v>
      </c>
      <c r="F2604" s="71" t="s">
        <v>2509</v>
      </c>
      <c r="G2604" s="71">
        <f t="shared" si="80"/>
        <v>9</v>
      </c>
      <c r="H2604" s="71">
        <f t="shared" si="81"/>
        <v>130</v>
      </c>
    </row>
    <row r="2605" spans="1:8" x14ac:dyDescent="0.2">
      <c r="A2605" s="71" t="s">
        <v>196</v>
      </c>
      <c r="B2605" s="71" t="s">
        <v>197</v>
      </c>
      <c r="C2605" s="71" t="s">
        <v>47</v>
      </c>
      <c r="D2605" s="88">
        <v>46294.628414351901</v>
      </c>
      <c r="E2605" s="89">
        <v>46294</v>
      </c>
      <c r="F2605" s="71" t="s">
        <v>2510</v>
      </c>
      <c r="G2605" s="71">
        <f t="shared" si="80"/>
        <v>9</v>
      </c>
      <c r="H2605" s="71">
        <f t="shared" si="81"/>
        <v>96</v>
      </c>
    </row>
    <row r="2606" spans="1:8" x14ac:dyDescent="0.2">
      <c r="A2606" s="71" t="s">
        <v>196</v>
      </c>
      <c r="B2606" s="71" t="s">
        <v>197</v>
      </c>
      <c r="C2606" s="71" t="s">
        <v>47</v>
      </c>
      <c r="D2606" s="88">
        <v>46295.4480555556</v>
      </c>
      <c r="E2606" s="89">
        <v>46295</v>
      </c>
      <c r="F2606" s="71" t="s">
        <v>2511</v>
      </c>
      <c r="G2606" s="71">
        <f t="shared" si="80"/>
        <v>9</v>
      </c>
      <c r="H2606" s="71">
        <f t="shared" si="81"/>
        <v>95</v>
      </c>
    </row>
    <row r="2607" spans="1:8" x14ac:dyDescent="0.2">
      <c r="A2607" s="71" t="s">
        <v>196</v>
      </c>
      <c r="B2607" s="71" t="s">
        <v>197</v>
      </c>
      <c r="C2607" s="71" t="s">
        <v>47</v>
      </c>
      <c r="D2607" s="88">
        <v>46295.448888888903</v>
      </c>
      <c r="E2607" s="89">
        <v>46295</v>
      </c>
      <c r="F2607" s="71" t="s">
        <v>2512</v>
      </c>
      <c r="G2607" s="71">
        <f t="shared" si="80"/>
        <v>9</v>
      </c>
      <c r="H2607" s="71">
        <f t="shared" si="81"/>
        <v>113</v>
      </c>
    </row>
    <row r="2608" spans="1:8" x14ac:dyDescent="0.2">
      <c r="A2608" s="71" t="s">
        <v>196</v>
      </c>
      <c r="B2608" s="71" t="s">
        <v>197</v>
      </c>
      <c r="C2608" s="71" t="s">
        <v>47</v>
      </c>
      <c r="D2608" s="88">
        <v>46295.449803240699</v>
      </c>
      <c r="E2608" s="89">
        <v>46295</v>
      </c>
      <c r="F2608" s="71" t="s">
        <v>2513</v>
      </c>
      <c r="G2608" s="71">
        <f t="shared" si="80"/>
        <v>9</v>
      </c>
      <c r="H2608" s="71">
        <f t="shared" si="81"/>
        <v>109</v>
      </c>
    </row>
    <row r="2609" spans="1:8" x14ac:dyDescent="0.2">
      <c r="A2609" s="71" t="s">
        <v>225</v>
      </c>
      <c r="B2609" s="71" t="s">
        <v>226</v>
      </c>
      <c r="C2609" s="71" t="s">
        <v>52</v>
      </c>
      <c r="D2609" s="88">
        <v>46244.715069444399</v>
      </c>
      <c r="E2609" s="89">
        <v>46244</v>
      </c>
      <c r="F2609" s="71" t="s">
        <v>2514</v>
      </c>
      <c r="G2609" s="71">
        <f t="shared" si="80"/>
        <v>8</v>
      </c>
      <c r="H2609" s="71">
        <f t="shared" si="81"/>
        <v>59</v>
      </c>
    </row>
    <row r="2610" spans="1:8" x14ac:dyDescent="0.2">
      <c r="A2610" s="71" t="s">
        <v>225</v>
      </c>
      <c r="B2610" s="71" t="s">
        <v>226</v>
      </c>
      <c r="C2610" s="71" t="s">
        <v>52</v>
      </c>
      <c r="D2610" s="88">
        <v>46245.403217592597</v>
      </c>
      <c r="E2610" s="89">
        <v>46245</v>
      </c>
      <c r="F2610" s="71" t="s">
        <v>2515</v>
      </c>
      <c r="G2610" s="71">
        <f t="shared" si="80"/>
        <v>8</v>
      </c>
      <c r="H2610" s="71">
        <f t="shared" si="81"/>
        <v>67</v>
      </c>
    </row>
    <row r="2611" spans="1:8" x14ac:dyDescent="0.2">
      <c r="A2611" s="71" t="s">
        <v>225</v>
      </c>
      <c r="B2611" s="71" t="s">
        <v>226</v>
      </c>
      <c r="C2611" s="71" t="s">
        <v>52</v>
      </c>
      <c r="D2611" s="88">
        <v>46245.678622685198</v>
      </c>
      <c r="E2611" s="89">
        <v>46245</v>
      </c>
      <c r="F2611" s="71" t="s">
        <v>2516</v>
      </c>
      <c r="G2611" s="71">
        <f t="shared" si="80"/>
        <v>8</v>
      </c>
      <c r="H2611" s="71">
        <f t="shared" si="81"/>
        <v>101</v>
      </c>
    </row>
    <row r="2612" spans="1:8" x14ac:dyDescent="0.2">
      <c r="A2612" s="71" t="s">
        <v>225</v>
      </c>
      <c r="B2612" s="71" t="s">
        <v>226</v>
      </c>
      <c r="C2612" s="71" t="s">
        <v>52</v>
      </c>
      <c r="D2612" s="88">
        <v>46246.4943055556</v>
      </c>
      <c r="E2612" s="89">
        <v>46246</v>
      </c>
      <c r="F2612" s="71" t="s">
        <v>2517</v>
      </c>
      <c r="G2612" s="71">
        <f t="shared" si="80"/>
        <v>8</v>
      </c>
      <c r="H2612" s="71">
        <f t="shared" si="81"/>
        <v>120</v>
      </c>
    </row>
    <row r="2613" spans="1:8" x14ac:dyDescent="0.2">
      <c r="A2613" s="71" t="s">
        <v>225</v>
      </c>
      <c r="B2613" s="71" t="s">
        <v>226</v>
      </c>
      <c r="C2613" s="71" t="s">
        <v>52</v>
      </c>
      <c r="D2613" s="88">
        <v>46246.6883564815</v>
      </c>
      <c r="E2613" s="89">
        <v>46246</v>
      </c>
      <c r="F2613" s="71" t="s">
        <v>2518</v>
      </c>
      <c r="G2613" s="71">
        <f t="shared" si="80"/>
        <v>8</v>
      </c>
      <c r="H2613" s="71">
        <f t="shared" si="81"/>
        <v>154</v>
      </c>
    </row>
    <row r="2614" spans="1:8" x14ac:dyDescent="0.2">
      <c r="A2614" s="71" t="s">
        <v>225</v>
      </c>
      <c r="B2614" s="71" t="s">
        <v>226</v>
      </c>
      <c r="C2614" s="71" t="s">
        <v>52</v>
      </c>
      <c r="D2614" s="88">
        <v>46247.489074074103</v>
      </c>
      <c r="E2614" s="89">
        <v>46247</v>
      </c>
      <c r="F2614" s="71" t="s">
        <v>2519</v>
      </c>
      <c r="G2614" s="71">
        <f t="shared" si="80"/>
        <v>8</v>
      </c>
      <c r="H2614" s="71">
        <f t="shared" si="81"/>
        <v>144</v>
      </c>
    </row>
    <row r="2615" spans="1:8" x14ac:dyDescent="0.2">
      <c r="A2615" s="71" t="s">
        <v>225</v>
      </c>
      <c r="B2615" s="71" t="s">
        <v>226</v>
      </c>
      <c r="C2615" s="71" t="s">
        <v>52</v>
      </c>
      <c r="D2615" s="88">
        <v>46247.691192129598</v>
      </c>
      <c r="E2615" s="89">
        <v>46247</v>
      </c>
      <c r="F2615" s="71" t="s">
        <v>2520</v>
      </c>
      <c r="G2615" s="71">
        <f t="shared" si="80"/>
        <v>8</v>
      </c>
      <c r="H2615" s="71">
        <f t="shared" si="81"/>
        <v>174</v>
      </c>
    </row>
    <row r="2616" spans="1:8" x14ac:dyDescent="0.2">
      <c r="A2616" s="71" t="s">
        <v>225</v>
      </c>
      <c r="B2616" s="71" t="s">
        <v>226</v>
      </c>
      <c r="C2616" s="71" t="s">
        <v>52</v>
      </c>
      <c r="D2616" s="88">
        <v>46248.667743055601</v>
      </c>
      <c r="E2616" s="89">
        <v>46248</v>
      </c>
      <c r="F2616" s="71" t="s">
        <v>2521</v>
      </c>
      <c r="G2616" s="71">
        <f t="shared" si="80"/>
        <v>8</v>
      </c>
      <c r="H2616" s="71">
        <f t="shared" si="81"/>
        <v>101</v>
      </c>
    </row>
    <row r="2617" spans="1:8" x14ac:dyDescent="0.2">
      <c r="A2617" s="71" t="s">
        <v>225</v>
      </c>
      <c r="B2617" s="71" t="s">
        <v>226</v>
      </c>
      <c r="C2617" s="71" t="s">
        <v>52</v>
      </c>
      <c r="D2617" s="88">
        <v>46252.592754629601</v>
      </c>
      <c r="E2617" s="89">
        <v>46252</v>
      </c>
      <c r="F2617" s="71" t="s">
        <v>2522</v>
      </c>
      <c r="G2617" s="71">
        <f t="shared" si="80"/>
        <v>8</v>
      </c>
      <c r="H2617" s="71">
        <f t="shared" si="81"/>
        <v>150</v>
      </c>
    </row>
    <row r="2618" spans="1:8" x14ac:dyDescent="0.2">
      <c r="A2618" s="71" t="s">
        <v>225</v>
      </c>
      <c r="B2618" s="71" t="s">
        <v>226</v>
      </c>
      <c r="C2618" s="71" t="s">
        <v>52</v>
      </c>
      <c r="D2618" s="88">
        <v>46252.676608796297</v>
      </c>
      <c r="E2618" s="89">
        <v>46252</v>
      </c>
      <c r="F2618" s="71" t="s">
        <v>2523</v>
      </c>
      <c r="G2618" s="71">
        <f t="shared" si="80"/>
        <v>8</v>
      </c>
      <c r="H2618" s="71">
        <f t="shared" si="81"/>
        <v>76</v>
      </c>
    </row>
    <row r="2619" spans="1:8" x14ac:dyDescent="0.2">
      <c r="A2619" s="71" t="s">
        <v>225</v>
      </c>
      <c r="B2619" s="71" t="s">
        <v>226</v>
      </c>
      <c r="C2619" s="71" t="s">
        <v>52</v>
      </c>
      <c r="D2619" s="88">
        <v>46253.491446759297</v>
      </c>
      <c r="E2619" s="89">
        <v>46253</v>
      </c>
      <c r="F2619" s="71" t="s">
        <v>2524</v>
      </c>
      <c r="G2619" s="71">
        <f t="shared" si="80"/>
        <v>8</v>
      </c>
      <c r="H2619" s="71">
        <f t="shared" si="81"/>
        <v>99</v>
      </c>
    </row>
    <row r="2620" spans="1:8" x14ac:dyDescent="0.2">
      <c r="A2620" s="71" t="s">
        <v>225</v>
      </c>
      <c r="B2620" s="71" t="s">
        <v>226</v>
      </c>
      <c r="C2620" s="71" t="s">
        <v>52</v>
      </c>
      <c r="D2620" s="88">
        <v>46253.674247685201</v>
      </c>
      <c r="E2620" s="89">
        <v>46253</v>
      </c>
      <c r="F2620" s="71" t="s">
        <v>2525</v>
      </c>
      <c r="G2620" s="71">
        <f t="shared" si="80"/>
        <v>8</v>
      </c>
      <c r="H2620" s="71">
        <f t="shared" si="81"/>
        <v>117</v>
      </c>
    </row>
    <row r="2621" spans="1:8" x14ac:dyDescent="0.2">
      <c r="A2621" s="71" t="s">
        <v>225</v>
      </c>
      <c r="B2621" s="71" t="s">
        <v>226</v>
      </c>
      <c r="C2621" s="71" t="s">
        <v>52</v>
      </c>
      <c r="D2621" s="88">
        <v>46254.685474537</v>
      </c>
      <c r="E2621" s="89">
        <v>46254</v>
      </c>
      <c r="F2621" s="71" t="s">
        <v>2526</v>
      </c>
      <c r="G2621" s="71">
        <f t="shared" si="80"/>
        <v>8</v>
      </c>
      <c r="H2621" s="71">
        <f t="shared" si="81"/>
        <v>57</v>
      </c>
    </row>
    <row r="2622" spans="1:8" x14ac:dyDescent="0.2">
      <c r="A2622" s="71" t="s">
        <v>225</v>
      </c>
      <c r="B2622" s="71" t="s">
        <v>226</v>
      </c>
      <c r="C2622" s="71" t="s">
        <v>52</v>
      </c>
      <c r="D2622" s="88">
        <v>46255.661249999997</v>
      </c>
      <c r="E2622" s="89">
        <v>46255</v>
      </c>
      <c r="F2622" s="71" t="s">
        <v>2527</v>
      </c>
      <c r="G2622" s="71">
        <f t="shared" si="80"/>
        <v>8</v>
      </c>
      <c r="H2622" s="71">
        <f t="shared" si="81"/>
        <v>93</v>
      </c>
    </row>
    <row r="2623" spans="1:8" x14ac:dyDescent="0.2">
      <c r="A2623" s="71" t="s">
        <v>225</v>
      </c>
      <c r="B2623" s="71" t="s">
        <v>226</v>
      </c>
      <c r="C2623" s="71" t="s">
        <v>52</v>
      </c>
      <c r="D2623" s="88">
        <v>46255.662569444401</v>
      </c>
      <c r="E2623" s="89">
        <v>46255</v>
      </c>
      <c r="F2623" s="71" t="s">
        <v>2528</v>
      </c>
      <c r="G2623" s="71">
        <f t="shared" si="80"/>
        <v>8</v>
      </c>
      <c r="H2623" s="71">
        <f t="shared" si="81"/>
        <v>40</v>
      </c>
    </row>
    <row r="2624" spans="1:8" x14ac:dyDescent="0.2">
      <c r="A2624" s="71" t="s">
        <v>225</v>
      </c>
      <c r="B2624" s="71" t="s">
        <v>226</v>
      </c>
      <c r="C2624" s="71" t="s">
        <v>52</v>
      </c>
      <c r="D2624" s="88">
        <v>46258.6726851852</v>
      </c>
      <c r="E2624" s="89">
        <v>46258</v>
      </c>
      <c r="F2624" s="71" t="s">
        <v>2529</v>
      </c>
      <c r="G2624" s="71">
        <f t="shared" si="80"/>
        <v>8</v>
      </c>
      <c r="H2624" s="71">
        <f t="shared" si="81"/>
        <v>76</v>
      </c>
    </row>
    <row r="2625" spans="1:8" x14ac:dyDescent="0.2">
      <c r="A2625" s="71" t="s">
        <v>225</v>
      </c>
      <c r="B2625" s="71" t="s">
        <v>226</v>
      </c>
      <c r="C2625" s="71" t="s">
        <v>52</v>
      </c>
      <c r="D2625" s="88">
        <v>46260.665439814802</v>
      </c>
      <c r="E2625" s="89">
        <v>46260</v>
      </c>
      <c r="F2625" s="71" t="s">
        <v>2530</v>
      </c>
      <c r="G2625" s="71">
        <f t="shared" si="80"/>
        <v>8</v>
      </c>
      <c r="H2625" s="71">
        <f t="shared" si="81"/>
        <v>45</v>
      </c>
    </row>
    <row r="2626" spans="1:8" x14ac:dyDescent="0.2">
      <c r="A2626" s="71" t="s">
        <v>225</v>
      </c>
      <c r="B2626" s="71" t="s">
        <v>226</v>
      </c>
      <c r="C2626" s="71" t="s">
        <v>52</v>
      </c>
      <c r="D2626" s="88">
        <v>46261.632164351897</v>
      </c>
      <c r="E2626" s="89">
        <v>46261</v>
      </c>
      <c r="F2626" s="71" t="s">
        <v>2531</v>
      </c>
      <c r="G2626" s="71">
        <f t="shared" ref="G2626:G2689" si="82">MONTH(E2626)</f>
        <v>8</v>
      </c>
      <c r="H2626" s="71">
        <f t="shared" ref="H2626:H2689" si="83">LEN(F2626)</f>
        <v>44</v>
      </c>
    </row>
    <row r="2627" spans="1:8" x14ac:dyDescent="0.2">
      <c r="A2627" s="71" t="s">
        <v>225</v>
      </c>
      <c r="B2627" s="71" t="s">
        <v>226</v>
      </c>
      <c r="C2627" s="71" t="s">
        <v>52</v>
      </c>
      <c r="D2627" s="88">
        <v>46261.681018518502</v>
      </c>
      <c r="E2627" s="89">
        <v>46261</v>
      </c>
      <c r="F2627" s="71" t="s">
        <v>2532</v>
      </c>
      <c r="G2627" s="71">
        <f t="shared" si="82"/>
        <v>8</v>
      </c>
      <c r="H2627" s="71">
        <f t="shared" si="83"/>
        <v>62</v>
      </c>
    </row>
    <row r="2628" spans="1:8" x14ac:dyDescent="0.2">
      <c r="A2628" s="71" t="s">
        <v>225</v>
      </c>
      <c r="B2628" s="71" t="s">
        <v>226</v>
      </c>
      <c r="C2628" s="71" t="s">
        <v>52</v>
      </c>
      <c r="D2628" s="88">
        <v>46262.546701388899</v>
      </c>
      <c r="E2628" s="89">
        <v>46262</v>
      </c>
      <c r="F2628" s="71" t="s">
        <v>2533</v>
      </c>
      <c r="G2628" s="71">
        <f t="shared" si="82"/>
        <v>8</v>
      </c>
      <c r="H2628" s="71">
        <f t="shared" si="83"/>
        <v>68</v>
      </c>
    </row>
    <row r="2629" spans="1:8" x14ac:dyDescent="0.2">
      <c r="A2629" s="71" t="s">
        <v>225</v>
      </c>
      <c r="B2629" s="71" t="s">
        <v>226</v>
      </c>
      <c r="C2629" s="71" t="s">
        <v>52</v>
      </c>
      <c r="D2629" s="88">
        <v>46262.697418981501</v>
      </c>
      <c r="E2629" s="89">
        <v>46262</v>
      </c>
      <c r="F2629" s="71" t="s">
        <v>2534</v>
      </c>
      <c r="G2629" s="71">
        <f t="shared" si="82"/>
        <v>8</v>
      </c>
      <c r="H2629" s="71">
        <f t="shared" si="83"/>
        <v>55</v>
      </c>
    </row>
    <row r="2630" spans="1:8" x14ac:dyDescent="0.2">
      <c r="A2630" s="71" t="s">
        <v>225</v>
      </c>
      <c r="B2630" s="71" t="s">
        <v>226</v>
      </c>
      <c r="C2630" s="71" t="s">
        <v>52</v>
      </c>
      <c r="D2630" s="88">
        <v>46265.673680555599</v>
      </c>
      <c r="E2630" s="89">
        <v>46265</v>
      </c>
      <c r="F2630" s="71" t="s">
        <v>2535</v>
      </c>
      <c r="G2630" s="71">
        <f t="shared" si="82"/>
        <v>8</v>
      </c>
      <c r="H2630" s="71">
        <f t="shared" si="83"/>
        <v>56</v>
      </c>
    </row>
    <row r="2631" spans="1:8" x14ac:dyDescent="0.2">
      <c r="A2631" s="71" t="s">
        <v>225</v>
      </c>
      <c r="B2631" s="71" t="s">
        <v>226</v>
      </c>
      <c r="C2631" s="71" t="s">
        <v>52</v>
      </c>
      <c r="D2631" s="88">
        <v>46265.674224536997</v>
      </c>
      <c r="E2631" s="89">
        <v>46265</v>
      </c>
      <c r="F2631" s="71" t="s">
        <v>2536</v>
      </c>
      <c r="G2631" s="71">
        <f t="shared" si="82"/>
        <v>8</v>
      </c>
      <c r="H2631" s="71">
        <f t="shared" si="83"/>
        <v>81</v>
      </c>
    </row>
    <row r="2632" spans="1:8" x14ac:dyDescent="0.2">
      <c r="A2632" s="71" t="s">
        <v>225</v>
      </c>
      <c r="B2632" s="71" t="s">
        <v>226</v>
      </c>
      <c r="C2632" s="71" t="s">
        <v>52</v>
      </c>
      <c r="D2632" s="88">
        <v>46266.678946759297</v>
      </c>
      <c r="E2632" s="89">
        <v>46266</v>
      </c>
      <c r="F2632" s="71" t="s">
        <v>2537</v>
      </c>
      <c r="G2632" s="71">
        <f t="shared" si="82"/>
        <v>9</v>
      </c>
      <c r="H2632" s="71">
        <f t="shared" si="83"/>
        <v>43</v>
      </c>
    </row>
    <row r="2633" spans="1:8" x14ac:dyDescent="0.2">
      <c r="A2633" s="71" t="s">
        <v>225</v>
      </c>
      <c r="B2633" s="71" t="s">
        <v>226</v>
      </c>
      <c r="C2633" s="71" t="s">
        <v>52</v>
      </c>
      <c r="D2633" s="88">
        <v>46266.679212962998</v>
      </c>
      <c r="E2633" s="89">
        <v>46266</v>
      </c>
      <c r="F2633" s="71" t="s">
        <v>2538</v>
      </c>
      <c r="G2633" s="71">
        <f t="shared" si="82"/>
        <v>9</v>
      </c>
      <c r="H2633" s="71">
        <f t="shared" si="83"/>
        <v>40</v>
      </c>
    </row>
    <row r="2634" spans="1:8" x14ac:dyDescent="0.2">
      <c r="A2634" s="71" t="s">
        <v>225</v>
      </c>
      <c r="B2634" s="71" t="s">
        <v>226</v>
      </c>
      <c r="C2634" s="71" t="s">
        <v>52</v>
      </c>
      <c r="D2634" s="88">
        <v>46267.664768518502</v>
      </c>
      <c r="E2634" s="89">
        <v>46267</v>
      </c>
      <c r="F2634" s="71" t="s">
        <v>797</v>
      </c>
      <c r="G2634" s="71">
        <f t="shared" si="82"/>
        <v>9</v>
      </c>
      <c r="H2634" s="71">
        <f t="shared" si="83"/>
        <v>29</v>
      </c>
    </row>
    <row r="2635" spans="1:8" x14ac:dyDescent="0.2">
      <c r="A2635" s="71" t="s">
        <v>225</v>
      </c>
      <c r="B2635" s="71" t="s">
        <v>226</v>
      </c>
      <c r="C2635" s="71" t="s">
        <v>52</v>
      </c>
      <c r="D2635" s="88">
        <v>46267.666597222204</v>
      </c>
      <c r="E2635" s="89">
        <v>46267</v>
      </c>
      <c r="F2635" s="71" t="s">
        <v>798</v>
      </c>
      <c r="G2635" s="71">
        <f t="shared" si="82"/>
        <v>9</v>
      </c>
      <c r="H2635" s="71">
        <f t="shared" si="83"/>
        <v>58</v>
      </c>
    </row>
    <row r="2636" spans="1:8" x14ac:dyDescent="0.2">
      <c r="A2636" s="71" t="s">
        <v>225</v>
      </c>
      <c r="B2636" s="71" t="s">
        <v>226</v>
      </c>
      <c r="C2636" s="71" t="s">
        <v>52</v>
      </c>
      <c r="D2636" s="88">
        <v>46268.663032407399</v>
      </c>
      <c r="E2636" s="89">
        <v>46268</v>
      </c>
      <c r="F2636" s="71" t="s">
        <v>2539</v>
      </c>
      <c r="G2636" s="71">
        <f t="shared" si="82"/>
        <v>9</v>
      </c>
      <c r="H2636" s="71">
        <f t="shared" si="83"/>
        <v>31</v>
      </c>
    </row>
    <row r="2637" spans="1:8" x14ac:dyDescent="0.2">
      <c r="A2637" s="71" t="s">
        <v>225</v>
      </c>
      <c r="B2637" s="71" t="s">
        <v>226</v>
      </c>
      <c r="C2637" s="71" t="s">
        <v>52</v>
      </c>
      <c r="D2637" s="88">
        <v>46268.663784722201</v>
      </c>
      <c r="E2637" s="89">
        <v>46268</v>
      </c>
      <c r="F2637" s="71" t="s">
        <v>2540</v>
      </c>
      <c r="G2637" s="71">
        <f t="shared" si="82"/>
        <v>9</v>
      </c>
      <c r="H2637" s="71">
        <f t="shared" si="83"/>
        <v>54</v>
      </c>
    </row>
    <row r="2638" spans="1:8" x14ac:dyDescent="0.2">
      <c r="A2638" s="71" t="s">
        <v>225</v>
      </c>
      <c r="B2638" s="71" t="s">
        <v>226</v>
      </c>
      <c r="C2638" s="71" t="s">
        <v>52</v>
      </c>
      <c r="D2638" s="88">
        <v>46268.668217592603</v>
      </c>
      <c r="E2638" s="89">
        <v>46268</v>
      </c>
      <c r="F2638" s="71" t="s">
        <v>2541</v>
      </c>
      <c r="G2638" s="71">
        <f t="shared" si="82"/>
        <v>9</v>
      </c>
      <c r="H2638" s="71">
        <f t="shared" si="83"/>
        <v>46</v>
      </c>
    </row>
    <row r="2639" spans="1:8" x14ac:dyDescent="0.2">
      <c r="A2639" s="71" t="s">
        <v>225</v>
      </c>
      <c r="B2639" s="71" t="s">
        <v>226</v>
      </c>
      <c r="C2639" s="71" t="s">
        <v>52</v>
      </c>
      <c r="D2639" s="88">
        <v>46269.641944444498</v>
      </c>
      <c r="E2639" s="89">
        <v>46269</v>
      </c>
      <c r="F2639" s="71" t="s">
        <v>2542</v>
      </c>
      <c r="G2639" s="71">
        <f t="shared" si="82"/>
        <v>9</v>
      </c>
      <c r="H2639" s="71">
        <f t="shared" si="83"/>
        <v>23</v>
      </c>
    </row>
    <row r="2640" spans="1:8" x14ac:dyDescent="0.2">
      <c r="A2640" s="71" t="s">
        <v>225</v>
      </c>
      <c r="B2640" s="71" t="s">
        <v>226</v>
      </c>
      <c r="C2640" s="71" t="s">
        <v>52</v>
      </c>
      <c r="D2640" s="88">
        <v>46269.642881944397</v>
      </c>
      <c r="E2640" s="89">
        <v>46269</v>
      </c>
      <c r="F2640" s="71" t="s">
        <v>2543</v>
      </c>
      <c r="G2640" s="71">
        <f t="shared" si="82"/>
        <v>9</v>
      </c>
      <c r="H2640" s="71">
        <f t="shared" si="83"/>
        <v>17</v>
      </c>
    </row>
    <row r="2641" spans="1:8" x14ac:dyDescent="0.2">
      <c r="A2641" s="71" t="s">
        <v>225</v>
      </c>
      <c r="B2641" s="71" t="s">
        <v>226</v>
      </c>
      <c r="C2641" s="71" t="s">
        <v>52</v>
      </c>
      <c r="D2641" s="88">
        <v>46269.680729166699</v>
      </c>
      <c r="E2641" s="89">
        <v>46269</v>
      </c>
      <c r="F2641" s="71" t="s">
        <v>2544</v>
      </c>
      <c r="G2641" s="71">
        <f t="shared" si="82"/>
        <v>9</v>
      </c>
      <c r="H2641" s="71">
        <f t="shared" si="83"/>
        <v>43</v>
      </c>
    </row>
    <row r="2642" spans="1:8" x14ac:dyDescent="0.2">
      <c r="A2642" s="71" t="s">
        <v>225</v>
      </c>
      <c r="B2642" s="71" t="s">
        <v>226</v>
      </c>
      <c r="C2642" s="71" t="s">
        <v>52</v>
      </c>
      <c r="D2642" s="88">
        <v>46272.678842592599</v>
      </c>
      <c r="E2642" s="89">
        <v>46272</v>
      </c>
      <c r="F2642" s="71" t="s">
        <v>2545</v>
      </c>
      <c r="G2642" s="71">
        <f t="shared" si="82"/>
        <v>9</v>
      </c>
      <c r="H2642" s="71">
        <f t="shared" si="83"/>
        <v>50</v>
      </c>
    </row>
    <row r="2643" spans="1:8" x14ac:dyDescent="0.2">
      <c r="A2643" s="71" t="s">
        <v>225</v>
      </c>
      <c r="B2643" s="71" t="s">
        <v>226</v>
      </c>
      <c r="C2643" s="71" t="s">
        <v>52</v>
      </c>
      <c r="D2643" s="88">
        <v>46272.6800462963</v>
      </c>
      <c r="E2643" s="89">
        <v>46272</v>
      </c>
      <c r="F2643" s="71" t="s">
        <v>2546</v>
      </c>
      <c r="G2643" s="71">
        <f t="shared" si="82"/>
        <v>9</v>
      </c>
      <c r="H2643" s="71">
        <f t="shared" si="83"/>
        <v>28</v>
      </c>
    </row>
    <row r="2644" spans="1:8" x14ac:dyDescent="0.2">
      <c r="A2644" s="71" t="s">
        <v>225</v>
      </c>
      <c r="B2644" s="71" t="s">
        <v>226</v>
      </c>
      <c r="C2644" s="71" t="s">
        <v>52</v>
      </c>
      <c r="D2644" s="88">
        <v>46272.681145833303</v>
      </c>
      <c r="E2644" s="89">
        <v>46272</v>
      </c>
      <c r="F2644" s="71" t="s">
        <v>2547</v>
      </c>
      <c r="G2644" s="71">
        <f t="shared" si="82"/>
        <v>9</v>
      </c>
      <c r="H2644" s="71">
        <f t="shared" si="83"/>
        <v>30</v>
      </c>
    </row>
    <row r="2645" spans="1:8" x14ac:dyDescent="0.2">
      <c r="A2645" s="71" t="s">
        <v>225</v>
      </c>
      <c r="B2645" s="71" t="s">
        <v>226</v>
      </c>
      <c r="C2645" s="71" t="s">
        <v>52</v>
      </c>
      <c r="D2645" s="88">
        <v>46272.681944444397</v>
      </c>
      <c r="E2645" s="89">
        <v>46272</v>
      </c>
      <c r="F2645" s="71" t="s">
        <v>2548</v>
      </c>
      <c r="G2645" s="71">
        <f t="shared" si="82"/>
        <v>9</v>
      </c>
      <c r="H2645" s="71">
        <f t="shared" si="83"/>
        <v>39</v>
      </c>
    </row>
    <row r="2646" spans="1:8" x14ac:dyDescent="0.2">
      <c r="A2646" s="71" t="s">
        <v>225</v>
      </c>
      <c r="B2646" s="71" t="s">
        <v>226</v>
      </c>
      <c r="C2646" s="71" t="s">
        <v>52</v>
      </c>
      <c r="D2646" s="88">
        <v>46273.679606481499</v>
      </c>
      <c r="E2646" s="89">
        <v>46273</v>
      </c>
      <c r="F2646" s="71" t="s">
        <v>2549</v>
      </c>
      <c r="G2646" s="71">
        <f t="shared" si="82"/>
        <v>9</v>
      </c>
      <c r="H2646" s="71">
        <f t="shared" si="83"/>
        <v>53</v>
      </c>
    </row>
    <row r="2647" spans="1:8" x14ac:dyDescent="0.2">
      <c r="A2647" s="71" t="s">
        <v>225</v>
      </c>
      <c r="B2647" s="71" t="s">
        <v>226</v>
      </c>
      <c r="C2647" s="71" t="s">
        <v>52</v>
      </c>
      <c r="D2647" s="88">
        <v>46273.682349536997</v>
      </c>
      <c r="E2647" s="89">
        <v>46273</v>
      </c>
      <c r="F2647" s="71" t="s">
        <v>2550</v>
      </c>
      <c r="G2647" s="71">
        <f t="shared" si="82"/>
        <v>9</v>
      </c>
      <c r="H2647" s="71">
        <f t="shared" si="83"/>
        <v>76</v>
      </c>
    </row>
    <row r="2648" spans="1:8" x14ac:dyDescent="0.2">
      <c r="A2648" s="71" t="s">
        <v>225</v>
      </c>
      <c r="B2648" s="71" t="s">
        <v>226</v>
      </c>
      <c r="C2648" s="71" t="s">
        <v>52</v>
      </c>
      <c r="D2648" s="88">
        <v>46274.675266203703</v>
      </c>
      <c r="E2648" s="89">
        <v>46274</v>
      </c>
      <c r="F2648" s="71" t="s">
        <v>2551</v>
      </c>
      <c r="G2648" s="71">
        <f t="shared" si="82"/>
        <v>9</v>
      </c>
      <c r="H2648" s="71">
        <f t="shared" si="83"/>
        <v>54</v>
      </c>
    </row>
    <row r="2649" spans="1:8" x14ac:dyDescent="0.2">
      <c r="A2649" s="71" t="s">
        <v>225</v>
      </c>
      <c r="B2649" s="71" t="s">
        <v>226</v>
      </c>
      <c r="C2649" s="71" t="s">
        <v>52</v>
      </c>
      <c r="D2649" s="88">
        <v>46274.681192129603</v>
      </c>
      <c r="E2649" s="89">
        <v>46274</v>
      </c>
      <c r="F2649" s="71" t="s">
        <v>2552</v>
      </c>
      <c r="G2649" s="71">
        <f t="shared" si="82"/>
        <v>9</v>
      </c>
      <c r="H2649" s="71">
        <f t="shared" si="83"/>
        <v>76</v>
      </c>
    </row>
    <row r="2650" spans="1:8" x14ac:dyDescent="0.2">
      <c r="A2650" s="71" t="s">
        <v>225</v>
      </c>
      <c r="B2650" s="71" t="s">
        <v>226</v>
      </c>
      <c r="C2650" s="71" t="s">
        <v>52</v>
      </c>
      <c r="D2650" s="88">
        <v>46274.686851851897</v>
      </c>
      <c r="E2650" s="89">
        <v>46274</v>
      </c>
      <c r="F2650" s="71" t="s">
        <v>2553</v>
      </c>
      <c r="G2650" s="71">
        <f t="shared" si="82"/>
        <v>9</v>
      </c>
      <c r="H2650" s="71">
        <f t="shared" si="83"/>
        <v>29</v>
      </c>
    </row>
    <row r="2651" spans="1:8" x14ac:dyDescent="0.2">
      <c r="A2651" s="71" t="s">
        <v>225</v>
      </c>
      <c r="B2651" s="71" t="s">
        <v>226</v>
      </c>
      <c r="C2651" s="71" t="s">
        <v>52</v>
      </c>
      <c r="D2651" s="88">
        <v>46275.610104166699</v>
      </c>
      <c r="E2651" s="89">
        <v>46275</v>
      </c>
      <c r="F2651" s="71" t="s">
        <v>2554</v>
      </c>
      <c r="G2651" s="71">
        <f t="shared" si="82"/>
        <v>9</v>
      </c>
      <c r="H2651" s="71">
        <f t="shared" si="83"/>
        <v>26</v>
      </c>
    </row>
    <row r="2652" spans="1:8" x14ac:dyDescent="0.2">
      <c r="A2652" s="71" t="s">
        <v>225</v>
      </c>
      <c r="B2652" s="71" t="s">
        <v>226</v>
      </c>
      <c r="C2652" s="71" t="s">
        <v>52</v>
      </c>
      <c r="D2652" s="88">
        <v>46275.805775462999</v>
      </c>
      <c r="E2652" s="89">
        <v>46275</v>
      </c>
      <c r="F2652" s="71" t="s">
        <v>2555</v>
      </c>
      <c r="G2652" s="71">
        <f t="shared" si="82"/>
        <v>9</v>
      </c>
      <c r="H2652" s="71">
        <f t="shared" si="83"/>
        <v>44</v>
      </c>
    </row>
    <row r="2653" spans="1:8" x14ac:dyDescent="0.2">
      <c r="A2653" s="71" t="s">
        <v>225</v>
      </c>
      <c r="B2653" s="71" t="s">
        <v>226</v>
      </c>
      <c r="C2653" s="71" t="s">
        <v>52</v>
      </c>
      <c r="D2653" s="88">
        <v>46275.807546296302</v>
      </c>
      <c r="E2653" s="89">
        <v>46275</v>
      </c>
      <c r="F2653" s="71" t="s">
        <v>2556</v>
      </c>
      <c r="G2653" s="71">
        <f t="shared" si="82"/>
        <v>9</v>
      </c>
      <c r="H2653" s="71">
        <f t="shared" si="83"/>
        <v>34</v>
      </c>
    </row>
    <row r="2654" spans="1:8" x14ac:dyDescent="0.2">
      <c r="A2654" s="71" t="s">
        <v>225</v>
      </c>
      <c r="B2654" s="71" t="s">
        <v>226</v>
      </c>
      <c r="C2654" s="71" t="s">
        <v>52</v>
      </c>
      <c r="D2654" s="88">
        <v>46276.645231481503</v>
      </c>
      <c r="E2654" s="89">
        <v>46276</v>
      </c>
      <c r="F2654" s="71" t="s">
        <v>2557</v>
      </c>
      <c r="G2654" s="71">
        <f t="shared" si="82"/>
        <v>9</v>
      </c>
      <c r="H2654" s="71">
        <f t="shared" si="83"/>
        <v>46</v>
      </c>
    </row>
    <row r="2655" spans="1:8" x14ac:dyDescent="0.2">
      <c r="A2655" s="71" t="s">
        <v>225</v>
      </c>
      <c r="B2655" s="71" t="s">
        <v>226</v>
      </c>
      <c r="C2655" s="71" t="s">
        <v>52</v>
      </c>
      <c r="D2655" s="88">
        <v>46276.646238425899</v>
      </c>
      <c r="E2655" s="89">
        <v>46276</v>
      </c>
      <c r="F2655" s="71" t="s">
        <v>2558</v>
      </c>
      <c r="G2655" s="71">
        <f t="shared" si="82"/>
        <v>9</v>
      </c>
      <c r="H2655" s="71">
        <f t="shared" si="83"/>
        <v>43</v>
      </c>
    </row>
    <row r="2656" spans="1:8" x14ac:dyDescent="0.2">
      <c r="A2656" s="71" t="s">
        <v>225</v>
      </c>
      <c r="B2656" s="71" t="s">
        <v>226</v>
      </c>
      <c r="C2656" s="71" t="s">
        <v>52</v>
      </c>
      <c r="D2656" s="88">
        <v>46276.677719907399</v>
      </c>
      <c r="E2656" s="89">
        <v>46276</v>
      </c>
      <c r="F2656" s="71" t="s">
        <v>2559</v>
      </c>
      <c r="G2656" s="71">
        <f t="shared" si="82"/>
        <v>9</v>
      </c>
      <c r="H2656" s="71">
        <f t="shared" si="83"/>
        <v>46</v>
      </c>
    </row>
    <row r="2657" spans="1:8" x14ac:dyDescent="0.2">
      <c r="A2657" s="71" t="s">
        <v>225</v>
      </c>
      <c r="B2657" s="71" t="s">
        <v>226</v>
      </c>
      <c r="C2657" s="71" t="s">
        <v>52</v>
      </c>
      <c r="D2657" s="88">
        <v>46279.674131944397</v>
      </c>
      <c r="E2657" s="89">
        <v>46279</v>
      </c>
      <c r="F2657" s="71" t="s">
        <v>2560</v>
      </c>
      <c r="G2657" s="71">
        <f t="shared" si="82"/>
        <v>9</v>
      </c>
      <c r="H2657" s="71">
        <f t="shared" si="83"/>
        <v>57</v>
      </c>
    </row>
    <row r="2658" spans="1:8" x14ac:dyDescent="0.2">
      <c r="A2658" s="71" t="s">
        <v>225</v>
      </c>
      <c r="B2658" s="71" t="s">
        <v>226</v>
      </c>
      <c r="C2658" s="71" t="s">
        <v>52</v>
      </c>
      <c r="D2658" s="88">
        <v>46280.684201388904</v>
      </c>
      <c r="E2658" s="89">
        <v>46280</v>
      </c>
      <c r="F2658" s="71" t="s">
        <v>2561</v>
      </c>
      <c r="G2658" s="71">
        <f t="shared" si="82"/>
        <v>9</v>
      </c>
      <c r="H2658" s="71">
        <f t="shared" si="83"/>
        <v>29</v>
      </c>
    </row>
    <row r="2659" spans="1:8" x14ac:dyDescent="0.2">
      <c r="A2659" s="71" t="s">
        <v>225</v>
      </c>
      <c r="B2659" s="71" t="s">
        <v>226</v>
      </c>
      <c r="C2659" s="71" t="s">
        <v>52</v>
      </c>
      <c r="D2659" s="88">
        <v>46280.684733796297</v>
      </c>
      <c r="E2659" s="89">
        <v>46280</v>
      </c>
      <c r="F2659" s="71" t="s">
        <v>2562</v>
      </c>
      <c r="G2659" s="71">
        <f t="shared" si="82"/>
        <v>9</v>
      </c>
      <c r="H2659" s="71">
        <f t="shared" si="83"/>
        <v>45</v>
      </c>
    </row>
    <row r="2660" spans="1:8" x14ac:dyDescent="0.2">
      <c r="A2660" s="71" t="s">
        <v>225</v>
      </c>
      <c r="B2660" s="71" t="s">
        <v>226</v>
      </c>
      <c r="C2660" s="71" t="s">
        <v>52</v>
      </c>
      <c r="D2660" s="88">
        <v>46282.581990740699</v>
      </c>
      <c r="E2660" s="89">
        <v>46282</v>
      </c>
      <c r="F2660" s="71" t="s">
        <v>2563</v>
      </c>
      <c r="G2660" s="71">
        <f t="shared" si="82"/>
        <v>9</v>
      </c>
      <c r="H2660" s="71">
        <f t="shared" si="83"/>
        <v>57</v>
      </c>
    </row>
    <row r="2661" spans="1:8" x14ac:dyDescent="0.2">
      <c r="A2661" s="71" t="s">
        <v>225</v>
      </c>
      <c r="B2661" s="71" t="s">
        <v>226</v>
      </c>
      <c r="C2661" s="71" t="s">
        <v>52</v>
      </c>
      <c r="D2661" s="88">
        <v>46282.665648148199</v>
      </c>
      <c r="E2661" s="89">
        <v>46282</v>
      </c>
      <c r="F2661" s="71" t="s">
        <v>2564</v>
      </c>
      <c r="G2661" s="71">
        <f t="shared" si="82"/>
        <v>9</v>
      </c>
      <c r="H2661" s="71">
        <f t="shared" si="83"/>
        <v>24</v>
      </c>
    </row>
    <row r="2662" spans="1:8" x14ac:dyDescent="0.2">
      <c r="A2662" s="71" t="s">
        <v>225</v>
      </c>
      <c r="B2662" s="71" t="s">
        <v>226</v>
      </c>
      <c r="C2662" s="71" t="s">
        <v>52</v>
      </c>
      <c r="D2662" s="88">
        <v>46283.676655092597</v>
      </c>
      <c r="E2662" s="89">
        <v>46283</v>
      </c>
      <c r="F2662" s="71" t="s">
        <v>2565</v>
      </c>
      <c r="G2662" s="71">
        <f t="shared" si="82"/>
        <v>9</v>
      </c>
      <c r="H2662" s="71">
        <f t="shared" si="83"/>
        <v>36</v>
      </c>
    </row>
    <row r="2663" spans="1:8" x14ac:dyDescent="0.2">
      <c r="A2663" s="71" t="s">
        <v>225</v>
      </c>
      <c r="B2663" s="71" t="s">
        <v>226</v>
      </c>
      <c r="C2663" s="71" t="s">
        <v>52</v>
      </c>
      <c r="D2663" s="88">
        <v>46283.677222222199</v>
      </c>
      <c r="E2663" s="89">
        <v>46283</v>
      </c>
      <c r="F2663" s="71" t="s">
        <v>2566</v>
      </c>
      <c r="G2663" s="71">
        <f t="shared" si="82"/>
        <v>9</v>
      </c>
      <c r="H2663" s="71">
        <f t="shared" si="83"/>
        <v>33</v>
      </c>
    </row>
    <row r="2664" spans="1:8" x14ac:dyDescent="0.2">
      <c r="A2664" s="71" t="s">
        <v>225</v>
      </c>
      <c r="B2664" s="71" t="s">
        <v>226</v>
      </c>
      <c r="C2664" s="71" t="s">
        <v>52</v>
      </c>
      <c r="D2664" s="88">
        <v>46283.6785648148</v>
      </c>
      <c r="E2664" s="89">
        <v>46283</v>
      </c>
      <c r="F2664" s="71" t="s">
        <v>2567</v>
      </c>
      <c r="G2664" s="71">
        <f t="shared" si="82"/>
        <v>9</v>
      </c>
      <c r="H2664" s="71">
        <f t="shared" si="83"/>
        <v>31</v>
      </c>
    </row>
    <row r="2665" spans="1:8" x14ac:dyDescent="0.2">
      <c r="A2665" s="71" t="s">
        <v>225</v>
      </c>
      <c r="B2665" s="71" t="s">
        <v>226</v>
      </c>
      <c r="C2665" s="71" t="s">
        <v>52</v>
      </c>
      <c r="D2665" s="88">
        <v>46286.669884259303</v>
      </c>
      <c r="E2665" s="89">
        <v>46286</v>
      </c>
      <c r="F2665" s="71" t="s">
        <v>2568</v>
      </c>
      <c r="G2665" s="71">
        <f t="shared" si="82"/>
        <v>9</v>
      </c>
      <c r="H2665" s="71">
        <f t="shared" si="83"/>
        <v>79</v>
      </c>
    </row>
    <row r="2666" spans="1:8" x14ac:dyDescent="0.2">
      <c r="A2666" s="71" t="s">
        <v>225</v>
      </c>
      <c r="B2666" s="71" t="s">
        <v>226</v>
      </c>
      <c r="C2666" s="71" t="s">
        <v>52</v>
      </c>
      <c r="D2666" s="88">
        <v>46287.670462962997</v>
      </c>
      <c r="E2666" s="89">
        <v>46287</v>
      </c>
      <c r="F2666" s="71" t="s">
        <v>2569</v>
      </c>
      <c r="G2666" s="71">
        <f t="shared" si="82"/>
        <v>9</v>
      </c>
      <c r="H2666" s="71">
        <f t="shared" si="83"/>
        <v>45</v>
      </c>
    </row>
    <row r="2667" spans="1:8" x14ac:dyDescent="0.2">
      <c r="A2667" s="71" t="s">
        <v>225</v>
      </c>
      <c r="B2667" s="71" t="s">
        <v>226</v>
      </c>
      <c r="C2667" s="71" t="s">
        <v>52</v>
      </c>
      <c r="D2667" s="88">
        <v>46287.671643518501</v>
      </c>
      <c r="E2667" s="89">
        <v>46287</v>
      </c>
      <c r="F2667" s="71" t="s">
        <v>2570</v>
      </c>
      <c r="G2667" s="71">
        <f t="shared" si="82"/>
        <v>9</v>
      </c>
      <c r="H2667" s="71">
        <f t="shared" si="83"/>
        <v>52</v>
      </c>
    </row>
    <row r="2668" spans="1:8" x14ac:dyDescent="0.2">
      <c r="A2668" s="71" t="s">
        <v>225</v>
      </c>
      <c r="B2668" s="71" t="s">
        <v>226</v>
      </c>
      <c r="C2668" s="71" t="s">
        <v>52</v>
      </c>
      <c r="D2668" s="88">
        <v>46288.675601851901</v>
      </c>
      <c r="E2668" s="89">
        <v>46288</v>
      </c>
      <c r="F2668" s="71" t="s">
        <v>2571</v>
      </c>
      <c r="G2668" s="71">
        <f t="shared" si="82"/>
        <v>9</v>
      </c>
      <c r="H2668" s="71">
        <f t="shared" si="83"/>
        <v>53</v>
      </c>
    </row>
    <row r="2669" spans="1:8" x14ac:dyDescent="0.2">
      <c r="A2669" s="71" t="s">
        <v>225</v>
      </c>
      <c r="B2669" s="71" t="s">
        <v>226</v>
      </c>
      <c r="C2669" s="71" t="s">
        <v>52</v>
      </c>
      <c r="D2669" s="88">
        <v>46289.665289351899</v>
      </c>
      <c r="E2669" s="89">
        <v>46289</v>
      </c>
      <c r="F2669" s="71" t="s">
        <v>2572</v>
      </c>
      <c r="G2669" s="71">
        <f t="shared" si="82"/>
        <v>9</v>
      </c>
      <c r="H2669" s="71">
        <f t="shared" si="83"/>
        <v>68</v>
      </c>
    </row>
    <row r="2670" spans="1:8" x14ac:dyDescent="0.2">
      <c r="A2670" s="71" t="s">
        <v>225</v>
      </c>
      <c r="B2670" s="71" t="s">
        <v>226</v>
      </c>
      <c r="C2670" s="71" t="s">
        <v>52</v>
      </c>
      <c r="D2670" s="88">
        <v>46290.669097222199</v>
      </c>
      <c r="E2670" s="89">
        <v>46290</v>
      </c>
      <c r="F2670" s="71" t="s">
        <v>2573</v>
      </c>
      <c r="G2670" s="71">
        <f t="shared" si="82"/>
        <v>9</v>
      </c>
      <c r="H2670" s="71">
        <f t="shared" si="83"/>
        <v>59</v>
      </c>
    </row>
    <row r="2671" spans="1:8" x14ac:dyDescent="0.2">
      <c r="A2671" s="71" t="s">
        <v>225</v>
      </c>
      <c r="B2671" s="71" t="s">
        <v>226</v>
      </c>
      <c r="C2671" s="71" t="s">
        <v>52</v>
      </c>
      <c r="D2671" s="88">
        <v>46290.671944444497</v>
      </c>
      <c r="E2671" s="89">
        <v>46290</v>
      </c>
      <c r="F2671" s="71" t="s">
        <v>2574</v>
      </c>
      <c r="G2671" s="71">
        <f t="shared" si="82"/>
        <v>9</v>
      </c>
      <c r="H2671" s="71">
        <f t="shared" si="83"/>
        <v>57</v>
      </c>
    </row>
    <row r="2672" spans="1:8" x14ac:dyDescent="0.2">
      <c r="A2672" s="71" t="s">
        <v>225</v>
      </c>
      <c r="B2672" s="71" t="s">
        <v>226</v>
      </c>
      <c r="C2672" s="71" t="s">
        <v>52</v>
      </c>
      <c r="D2672" s="88">
        <v>46293.680706018502</v>
      </c>
      <c r="E2672" s="89">
        <v>46293</v>
      </c>
      <c r="F2672" s="71" t="s">
        <v>2575</v>
      </c>
      <c r="G2672" s="71">
        <f t="shared" si="82"/>
        <v>9</v>
      </c>
      <c r="H2672" s="71">
        <f t="shared" si="83"/>
        <v>38</v>
      </c>
    </row>
    <row r="2673" spans="1:8" x14ac:dyDescent="0.2">
      <c r="A2673" s="71" t="s">
        <v>225</v>
      </c>
      <c r="B2673" s="71" t="s">
        <v>226</v>
      </c>
      <c r="C2673" s="71" t="s">
        <v>52</v>
      </c>
      <c r="D2673" s="88">
        <v>46294.680960648198</v>
      </c>
      <c r="E2673" s="89">
        <v>46294</v>
      </c>
      <c r="F2673" s="71" t="s">
        <v>2576</v>
      </c>
      <c r="G2673" s="71">
        <f t="shared" si="82"/>
        <v>9</v>
      </c>
      <c r="H2673" s="71">
        <f t="shared" si="83"/>
        <v>56</v>
      </c>
    </row>
    <row r="2674" spans="1:8" x14ac:dyDescent="0.2">
      <c r="A2674" s="71" t="s">
        <v>225</v>
      </c>
      <c r="B2674" s="71" t="s">
        <v>226</v>
      </c>
      <c r="C2674" s="71" t="s">
        <v>52</v>
      </c>
      <c r="D2674" s="88">
        <v>46295.671817129602</v>
      </c>
      <c r="E2674" s="89">
        <v>46295</v>
      </c>
      <c r="F2674" s="71" t="s">
        <v>2577</v>
      </c>
      <c r="G2674" s="71">
        <f t="shared" si="82"/>
        <v>9</v>
      </c>
      <c r="H2674" s="71">
        <f t="shared" si="83"/>
        <v>59</v>
      </c>
    </row>
    <row r="2675" spans="1:8" x14ac:dyDescent="0.2">
      <c r="A2675" s="71" t="s">
        <v>262</v>
      </c>
      <c r="B2675" s="71" t="s">
        <v>263</v>
      </c>
      <c r="C2675" s="71" t="s">
        <v>55</v>
      </c>
      <c r="D2675" s="88">
        <v>46178.685335648202</v>
      </c>
      <c r="E2675" s="89">
        <v>46178</v>
      </c>
      <c r="F2675" s="71" t="s">
        <v>2578</v>
      </c>
      <c r="G2675" s="71">
        <f t="shared" si="82"/>
        <v>6</v>
      </c>
      <c r="H2675" s="71">
        <f t="shared" si="83"/>
        <v>21</v>
      </c>
    </row>
    <row r="2676" spans="1:8" x14ac:dyDescent="0.2">
      <c r="A2676" s="71" t="s">
        <v>262</v>
      </c>
      <c r="B2676" s="71" t="s">
        <v>263</v>
      </c>
      <c r="C2676" s="71" t="s">
        <v>55</v>
      </c>
      <c r="D2676" s="88">
        <v>46178.685856481497</v>
      </c>
      <c r="E2676" s="89">
        <v>46178</v>
      </c>
      <c r="F2676" s="71" t="s">
        <v>2579</v>
      </c>
      <c r="G2676" s="71">
        <f t="shared" si="82"/>
        <v>6</v>
      </c>
      <c r="H2676" s="71">
        <f t="shared" si="83"/>
        <v>25</v>
      </c>
    </row>
    <row r="2677" spans="1:8" x14ac:dyDescent="0.2">
      <c r="A2677" s="71" t="s">
        <v>262</v>
      </c>
      <c r="B2677" s="71" t="s">
        <v>263</v>
      </c>
      <c r="C2677" s="71" t="s">
        <v>55</v>
      </c>
      <c r="D2677" s="88">
        <v>46181.444201388898</v>
      </c>
      <c r="E2677" s="89">
        <v>46181</v>
      </c>
      <c r="F2677" s="71" t="s">
        <v>2580</v>
      </c>
      <c r="G2677" s="71">
        <f t="shared" si="82"/>
        <v>6</v>
      </c>
      <c r="H2677" s="71">
        <f t="shared" si="83"/>
        <v>33</v>
      </c>
    </row>
    <row r="2678" spans="1:8" x14ac:dyDescent="0.2">
      <c r="A2678" s="71" t="s">
        <v>262</v>
      </c>
      <c r="B2678" s="71" t="s">
        <v>263</v>
      </c>
      <c r="C2678" s="71" t="s">
        <v>55</v>
      </c>
      <c r="D2678" s="88">
        <v>46181.654745370397</v>
      </c>
      <c r="E2678" s="89">
        <v>46181</v>
      </c>
      <c r="F2678" s="71" t="s">
        <v>2581</v>
      </c>
      <c r="G2678" s="71">
        <f t="shared" si="82"/>
        <v>6</v>
      </c>
      <c r="H2678" s="71">
        <f t="shared" si="83"/>
        <v>32</v>
      </c>
    </row>
    <row r="2679" spans="1:8" x14ac:dyDescent="0.2">
      <c r="A2679" s="71" t="s">
        <v>262</v>
      </c>
      <c r="B2679" s="71" t="s">
        <v>263</v>
      </c>
      <c r="C2679" s="71" t="s">
        <v>55</v>
      </c>
      <c r="D2679" s="88">
        <v>46182.461643518502</v>
      </c>
      <c r="E2679" s="89">
        <v>46182</v>
      </c>
      <c r="F2679" s="71" t="s">
        <v>2582</v>
      </c>
      <c r="G2679" s="71">
        <f t="shared" si="82"/>
        <v>6</v>
      </c>
      <c r="H2679" s="71">
        <f t="shared" si="83"/>
        <v>40</v>
      </c>
    </row>
    <row r="2680" spans="1:8" x14ac:dyDescent="0.2">
      <c r="A2680" s="71" t="s">
        <v>262</v>
      </c>
      <c r="B2680" s="71" t="s">
        <v>263</v>
      </c>
      <c r="C2680" s="71" t="s">
        <v>55</v>
      </c>
      <c r="D2680" s="88">
        <v>46182.463854166701</v>
      </c>
      <c r="E2680" s="89">
        <v>46182</v>
      </c>
      <c r="F2680" s="71" t="s">
        <v>2583</v>
      </c>
      <c r="G2680" s="71">
        <f t="shared" si="82"/>
        <v>6</v>
      </c>
      <c r="H2680" s="71">
        <f t="shared" si="83"/>
        <v>40</v>
      </c>
    </row>
    <row r="2681" spans="1:8" x14ac:dyDescent="0.2">
      <c r="A2681" s="71" t="s">
        <v>262</v>
      </c>
      <c r="B2681" s="71" t="s">
        <v>263</v>
      </c>
      <c r="C2681" s="71" t="s">
        <v>55</v>
      </c>
      <c r="D2681" s="88">
        <v>46182.591759259303</v>
      </c>
      <c r="E2681" s="89">
        <v>46182</v>
      </c>
      <c r="F2681" s="71" t="s">
        <v>2584</v>
      </c>
      <c r="G2681" s="71">
        <f t="shared" si="82"/>
        <v>6</v>
      </c>
      <c r="H2681" s="71">
        <f t="shared" si="83"/>
        <v>61</v>
      </c>
    </row>
    <row r="2682" spans="1:8" x14ac:dyDescent="0.2">
      <c r="A2682" s="71" t="s">
        <v>262</v>
      </c>
      <c r="B2682" s="71" t="s">
        <v>263</v>
      </c>
      <c r="C2682" s="71" t="s">
        <v>55</v>
      </c>
      <c r="D2682" s="88">
        <v>46182.640868055598</v>
      </c>
      <c r="E2682" s="89">
        <v>46182</v>
      </c>
      <c r="F2682" s="71" t="s">
        <v>2585</v>
      </c>
      <c r="G2682" s="71">
        <f t="shared" si="82"/>
        <v>6</v>
      </c>
      <c r="H2682" s="71">
        <f t="shared" si="83"/>
        <v>60</v>
      </c>
    </row>
    <row r="2683" spans="1:8" x14ac:dyDescent="0.2">
      <c r="A2683" s="71" t="s">
        <v>262</v>
      </c>
      <c r="B2683" s="71" t="s">
        <v>263</v>
      </c>
      <c r="C2683" s="71" t="s">
        <v>55</v>
      </c>
      <c r="D2683" s="88">
        <v>46182.6709722222</v>
      </c>
      <c r="E2683" s="89">
        <v>46182</v>
      </c>
      <c r="F2683" s="71" t="s">
        <v>2586</v>
      </c>
      <c r="G2683" s="71">
        <f t="shared" si="82"/>
        <v>6</v>
      </c>
      <c r="H2683" s="71">
        <f t="shared" si="83"/>
        <v>67</v>
      </c>
    </row>
    <row r="2684" spans="1:8" x14ac:dyDescent="0.2">
      <c r="A2684" s="71" t="s">
        <v>262</v>
      </c>
      <c r="B2684" s="71" t="s">
        <v>263</v>
      </c>
      <c r="C2684" s="71" t="s">
        <v>55</v>
      </c>
      <c r="D2684" s="88">
        <v>46184.442071759302</v>
      </c>
      <c r="E2684" s="89">
        <v>46184</v>
      </c>
      <c r="F2684" s="71" t="s">
        <v>2587</v>
      </c>
      <c r="G2684" s="71">
        <f t="shared" si="82"/>
        <v>6</v>
      </c>
      <c r="H2684" s="71">
        <f t="shared" si="83"/>
        <v>85</v>
      </c>
    </row>
    <row r="2685" spans="1:8" x14ac:dyDescent="0.2">
      <c r="A2685" s="71" t="s">
        <v>262</v>
      </c>
      <c r="B2685" s="71" t="s">
        <v>263</v>
      </c>
      <c r="C2685" s="71" t="s">
        <v>55</v>
      </c>
      <c r="D2685" s="88">
        <v>46184.593182870398</v>
      </c>
      <c r="E2685" s="89">
        <v>46184</v>
      </c>
      <c r="F2685" s="71" t="s">
        <v>2588</v>
      </c>
      <c r="G2685" s="71">
        <f t="shared" si="82"/>
        <v>6</v>
      </c>
      <c r="H2685" s="71">
        <f t="shared" si="83"/>
        <v>37</v>
      </c>
    </row>
    <row r="2686" spans="1:8" x14ac:dyDescent="0.2">
      <c r="A2686" s="71" t="s">
        <v>262</v>
      </c>
      <c r="B2686" s="71" t="s">
        <v>263</v>
      </c>
      <c r="C2686" s="71" t="s">
        <v>55</v>
      </c>
      <c r="D2686" s="88">
        <v>46184.6800462963</v>
      </c>
      <c r="E2686" s="89">
        <v>46184</v>
      </c>
      <c r="F2686" s="71" t="s">
        <v>2589</v>
      </c>
      <c r="G2686" s="71">
        <f t="shared" si="82"/>
        <v>6</v>
      </c>
      <c r="H2686" s="71">
        <f t="shared" si="83"/>
        <v>35</v>
      </c>
    </row>
    <row r="2687" spans="1:8" x14ac:dyDescent="0.2">
      <c r="A2687" s="71" t="s">
        <v>262</v>
      </c>
      <c r="B2687" s="71" t="s">
        <v>263</v>
      </c>
      <c r="C2687" s="71" t="s">
        <v>55</v>
      </c>
      <c r="D2687" s="88">
        <v>46185.394733796304</v>
      </c>
      <c r="E2687" s="89">
        <v>46185</v>
      </c>
      <c r="F2687" s="71" t="s">
        <v>2590</v>
      </c>
      <c r="G2687" s="71">
        <f t="shared" si="82"/>
        <v>6</v>
      </c>
      <c r="H2687" s="71">
        <f t="shared" si="83"/>
        <v>56</v>
      </c>
    </row>
    <row r="2688" spans="1:8" x14ac:dyDescent="0.2">
      <c r="A2688" s="71" t="s">
        <v>262</v>
      </c>
      <c r="B2688" s="71" t="s">
        <v>263</v>
      </c>
      <c r="C2688" s="71" t="s">
        <v>55</v>
      </c>
      <c r="D2688" s="88">
        <v>46185.416412036997</v>
      </c>
      <c r="E2688" s="89">
        <v>46185</v>
      </c>
      <c r="F2688" s="71" t="s">
        <v>2591</v>
      </c>
      <c r="G2688" s="71">
        <f t="shared" si="82"/>
        <v>6</v>
      </c>
      <c r="H2688" s="71">
        <f t="shared" si="83"/>
        <v>75</v>
      </c>
    </row>
    <row r="2689" spans="1:8" x14ac:dyDescent="0.2">
      <c r="A2689" s="71" t="s">
        <v>262</v>
      </c>
      <c r="B2689" s="71" t="s">
        <v>263</v>
      </c>
      <c r="C2689" s="71" t="s">
        <v>55</v>
      </c>
      <c r="D2689" s="88">
        <v>46185.581620370402</v>
      </c>
      <c r="E2689" s="89">
        <v>46185</v>
      </c>
      <c r="F2689" s="71" t="s">
        <v>2592</v>
      </c>
      <c r="G2689" s="71">
        <f t="shared" si="82"/>
        <v>6</v>
      </c>
      <c r="H2689" s="71">
        <f t="shared" si="83"/>
        <v>30</v>
      </c>
    </row>
    <row r="2690" spans="1:8" x14ac:dyDescent="0.2">
      <c r="A2690" s="71" t="s">
        <v>262</v>
      </c>
      <c r="B2690" s="71" t="s">
        <v>263</v>
      </c>
      <c r="C2690" s="71" t="s">
        <v>55</v>
      </c>
      <c r="D2690" s="88">
        <v>46185.684618055602</v>
      </c>
      <c r="E2690" s="89">
        <v>46185</v>
      </c>
      <c r="F2690" s="71" t="s">
        <v>2593</v>
      </c>
      <c r="G2690" s="71">
        <f t="shared" ref="G2690:G2753" si="84">MONTH(E2690)</f>
        <v>6</v>
      </c>
      <c r="H2690" s="71">
        <f t="shared" ref="H2690:H2753" si="85">LEN(F2690)</f>
        <v>37</v>
      </c>
    </row>
    <row r="2691" spans="1:8" x14ac:dyDescent="0.2">
      <c r="A2691" s="71" t="s">
        <v>262</v>
      </c>
      <c r="B2691" s="71" t="s">
        <v>263</v>
      </c>
      <c r="C2691" s="71" t="s">
        <v>55</v>
      </c>
      <c r="D2691" s="88">
        <v>46188.433229166701</v>
      </c>
      <c r="E2691" s="89">
        <v>46188</v>
      </c>
      <c r="F2691" s="71" t="s">
        <v>2594</v>
      </c>
      <c r="G2691" s="71">
        <f t="shared" si="84"/>
        <v>6</v>
      </c>
      <c r="H2691" s="71">
        <f t="shared" si="85"/>
        <v>32</v>
      </c>
    </row>
    <row r="2692" spans="1:8" x14ac:dyDescent="0.2">
      <c r="A2692" s="71" t="s">
        <v>262</v>
      </c>
      <c r="B2692" s="71" t="s">
        <v>263</v>
      </c>
      <c r="C2692" s="71" t="s">
        <v>55</v>
      </c>
      <c r="D2692" s="88">
        <v>46188.688692129603</v>
      </c>
      <c r="E2692" s="89">
        <v>46188</v>
      </c>
      <c r="F2692" s="71" t="s">
        <v>2595</v>
      </c>
      <c r="G2692" s="71">
        <f t="shared" si="84"/>
        <v>6</v>
      </c>
      <c r="H2692" s="71">
        <f t="shared" si="85"/>
        <v>24</v>
      </c>
    </row>
    <row r="2693" spans="1:8" x14ac:dyDescent="0.2">
      <c r="A2693" s="71" t="s">
        <v>262</v>
      </c>
      <c r="B2693" s="71" t="s">
        <v>263</v>
      </c>
      <c r="C2693" s="71" t="s">
        <v>55</v>
      </c>
      <c r="D2693" s="88">
        <v>46191.387071759302</v>
      </c>
      <c r="E2693" s="89">
        <v>46191</v>
      </c>
      <c r="F2693" s="71" t="s">
        <v>2596</v>
      </c>
      <c r="G2693" s="71">
        <f t="shared" si="84"/>
        <v>6</v>
      </c>
      <c r="H2693" s="71">
        <f t="shared" si="85"/>
        <v>69</v>
      </c>
    </row>
    <row r="2694" spans="1:8" x14ac:dyDescent="0.2">
      <c r="A2694" s="71" t="s">
        <v>262</v>
      </c>
      <c r="B2694" s="71" t="s">
        <v>263</v>
      </c>
      <c r="C2694" s="71" t="s">
        <v>55</v>
      </c>
      <c r="D2694" s="88">
        <v>46191.387777777803</v>
      </c>
      <c r="E2694" s="89">
        <v>46191</v>
      </c>
      <c r="F2694" s="71" t="s">
        <v>2597</v>
      </c>
      <c r="G2694" s="71">
        <f t="shared" si="84"/>
        <v>6</v>
      </c>
      <c r="H2694" s="71">
        <f t="shared" si="85"/>
        <v>45</v>
      </c>
    </row>
    <row r="2695" spans="1:8" x14ac:dyDescent="0.2">
      <c r="A2695" s="71" t="s">
        <v>262</v>
      </c>
      <c r="B2695" s="71" t="s">
        <v>263</v>
      </c>
      <c r="C2695" s="71" t="s">
        <v>55</v>
      </c>
      <c r="D2695" s="88">
        <v>46191.5611921296</v>
      </c>
      <c r="E2695" s="89">
        <v>46191</v>
      </c>
      <c r="F2695" s="71" t="s">
        <v>2598</v>
      </c>
      <c r="G2695" s="71">
        <f t="shared" si="84"/>
        <v>6</v>
      </c>
      <c r="H2695" s="71">
        <f t="shared" si="85"/>
        <v>56</v>
      </c>
    </row>
    <row r="2696" spans="1:8" x14ac:dyDescent="0.2">
      <c r="A2696" s="71" t="s">
        <v>262</v>
      </c>
      <c r="B2696" s="71" t="s">
        <v>263</v>
      </c>
      <c r="C2696" s="71" t="s">
        <v>55</v>
      </c>
      <c r="D2696" s="88">
        <v>46192.661979166704</v>
      </c>
      <c r="E2696" s="89">
        <v>46192</v>
      </c>
      <c r="F2696" s="71" t="s">
        <v>2599</v>
      </c>
      <c r="G2696" s="71">
        <f t="shared" si="84"/>
        <v>6</v>
      </c>
      <c r="H2696" s="71">
        <f t="shared" si="85"/>
        <v>66</v>
      </c>
    </row>
    <row r="2697" spans="1:8" x14ac:dyDescent="0.2">
      <c r="A2697" s="71" t="s">
        <v>262</v>
      </c>
      <c r="B2697" s="71" t="s">
        <v>263</v>
      </c>
      <c r="C2697" s="71" t="s">
        <v>55</v>
      </c>
      <c r="D2697" s="88">
        <v>46192.662731481498</v>
      </c>
      <c r="E2697" s="89">
        <v>46192</v>
      </c>
      <c r="F2697" s="71" t="s">
        <v>2600</v>
      </c>
      <c r="G2697" s="71">
        <f t="shared" si="84"/>
        <v>6</v>
      </c>
      <c r="H2697" s="71">
        <f t="shared" si="85"/>
        <v>29</v>
      </c>
    </row>
    <row r="2698" spans="1:8" x14ac:dyDescent="0.2">
      <c r="A2698" s="71" t="s">
        <v>262</v>
      </c>
      <c r="B2698" s="71" t="s">
        <v>263</v>
      </c>
      <c r="C2698" s="71" t="s">
        <v>55</v>
      </c>
      <c r="D2698" s="88">
        <v>46195.383252314801</v>
      </c>
      <c r="E2698" s="89">
        <v>46195</v>
      </c>
      <c r="F2698" s="71" t="s">
        <v>2601</v>
      </c>
      <c r="G2698" s="71">
        <f t="shared" si="84"/>
        <v>6</v>
      </c>
      <c r="H2698" s="71">
        <f t="shared" si="85"/>
        <v>12</v>
      </c>
    </row>
    <row r="2699" spans="1:8" x14ac:dyDescent="0.2">
      <c r="A2699" s="71" t="s">
        <v>262</v>
      </c>
      <c r="B2699" s="71" t="s">
        <v>263</v>
      </c>
      <c r="C2699" s="71" t="s">
        <v>55</v>
      </c>
      <c r="D2699" s="88">
        <v>46195.585763888899</v>
      </c>
      <c r="E2699" s="89">
        <v>46195</v>
      </c>
      <c r="F2699" s="71" t="s">
        <v>2599</v>
      </c>
      <c r="G2699" s="71">
        <f t="shared" si="84"/>
        <v>6</v>
      </c>
      <c r="H2699" s="71">
        <f t="shared" si="85"/>
        <v>66</v>
      </c>
    </row>
    <row r="2700" spans="1:8" x14ac:dyDescent="0.2">
      <c r="A2700" s="71" t="s">
        <v>262</v>
      </c>
      <c r="B2700" s="71" t="s">
        <v>263</v>
      </c>
      <c r="C2700" s="71" t="s">
        <v>55</v>
      </c>
      <c r="D2700" s="88">
        <v>46195.5864351852</v>
      </c>
      <c r="E2700" s="89">
        <v>46195</v>
      </c>
      <c r="F2700" s="71" t="s">
        <v>2602</v>
      </c>
      <c r="G2700" s="71">
        <f t="shared" si="84"/>
        <v>6</v>
      </c>
      <c r="H2700" s="71">
        <f t="shared" si="85"/>
        <v>46</v>
      </c>
    </row>
    <row r="2701" spans="1:8" x14ac:dyDescent="0.2">
      <c r="A2701" s="71" t="s">
        <v>262</v>
      </c>
      <c r="B2701" s="71" t="s">
        <v>263</v>
      </c>
      <c r="C2701" s="71" t="s">
        <v>55</v>
      </c>
      <c r="D2701" s="88">
        <v>46196.602789351899</v>
      </c>
      <c r="E2701" s="89">
        <v>46196</v>
      </c>
      <c r="F2701" s="71" t="s">
        <v>2603</v>
      </c>
      <c r="G2701" s="71">
        <f t="shared" si="84"/>
        <v>6</v>
      </c>
      <c r="H2701" s="71">
        <f t="shared" si="85"/>
        <v>41</v>
      </c>
    </row>
    <row r="2702" spans="1:8" x14ac:dyDescent="0.2">
      <c r="A2702" s="71" t="s">
        <v>262</v>
      </c>
      <c r="B2702" s="71" t="s">
        <v>263</v>
      </c>
      <c r="C2702" s="71" t="s">
        <v>55</v>
      </c>
      <c r="D2702" s="88">
        <v>46196.626875000002</v>
      </c>
      <c r="E2702" s="89">
        <v>46196</v>
      </c>
      <c r="F2702" s="71" t="s">
        <v>2604</v>
      </c>
      <c r="G2702" s="71">
        <f t="shared" si="84"/>
        <v>6</v>
      </c>
      <c r="H2702" s="71">
        <f t="shared" si="85"/>
        <v>43</v>
      </c>
    </row>
    <row r="2703" spans="1:8" x14ac:dyDescent="0.2">
      <c r="A2703" s="71" t="s">
        <v>262</v>
      </c>
      <c r="B2703" s="71" t="s">
        <v>263</v>
      </c>
      <c r="C2703" s="71" t="s">
        <v>55</v>
      </c>
      <c r="D2703" s="88">
        <v>46196.638113425899</v>
      </c>
      <c r="E2703" s="89">
        <v>46196</v>
      </c>
      <c r="F2703" s="71" t="s">
        <v>2605</v>
      </c>
      <c r="G2703" s="71">
        <f t="shared" si="84"/>
        <v>6</v>
      </c>
      <c r="H2703" s="71">
        <f t="shared" si="85"/>
        <v>45</v>
      </c>
    </row>
    <row r="2704" spans="1:8" x14ac:dyDescent="0.2">
      <c r="A2704" s="71" t="s">
        <v>262</v>
      </c>
      <c r="B2704" s="71" t="s">
        <v>263</v>
      </c>
      <c r="C2704" s="71" t="s">
        <v>55</v>
      </c>
      <c r="D2704" s="88">
        <v>46196.667615740698</v>
      </c>
      <c r="E2704" s="89">
        <v>46196</v>
      </c>
      <c r="F2704" s="71" t="s">
        <v>2606</v>
      </c>
      <c r="G2704" s="71">
        <f t="shared" si="84"/>
        <v>6</v>
      </c>
      <c r="H2704" s="71">
        <f t="shared" si="85"/>
        <v>47</v>
      </c>
    </row>
    <row r="2705" spans="1:8" x14ac:dyDescent="0.2">
      <c r="A2705" s="71" t="s">
        <v>262</v>
      </c>
      <c r="B2705" s="71" t="s">
        <v>263</v>
      </c>
      <c r="C2705" s="71" t="s">
        <v>55</v>
      </c>
      <c r="D2705" s="88">
        <v>46196.673194444498</v>
      </c>
      <c r="E2705" s="89">
        <v>46196</v>
      </c>
      <c r="F2705" s="71" t="s">
        <v>2598</v>
      </c>
      <c r="G2705" s="71">
        <f t="shared" si="84"/>
        <v>6</v>
      </c>
      <c r="H2705" s="71">
        <f t="shared" si="85"/>
        <v>56</v>
      </c>
    </row>
    <row r="2706" spans="1:8" x14ac:dyDescent="0.2">
      <c r="A2706" s="71" t="s">
        <v>262</v>
      </c>
      <c r="B2706" s="71" t="s">
        <v>263</v>
      </c>
      <c r="C2706" s="71" t="s">
        <v>55</v>
      </c>
      <c r="D2706" s="88">
        <v>46198.3702430556</v>
      </c>
      <c r="E2706" s="89">
        <v>46198</v>
      </c>
      <c r="F2706" s="71" t="s">
        <v>2607</v>
      </c>
      <c r="G2706" s="71">
        <f t="shared" si="84"/>
        <v>6</v>
      </c>
      <c r="H2706" s="71">
        <f t="shared" si="85"/>
        <v>45</v>
      </c>
    </row>
    <row r="2707" spans="1:8" x14ac:dyDescent="0.2">
      <c r="A2707" s="71" t="s">
        <v>262</v>
      </c>
      <c r="B2707" s="71" t="s">
        <v>263</v>
      </c>
      <c r="C2707" s="71" t="s">
        <v>55</v>
      </c>
      <c r="D2707" s="88">
        <v>46198.389166666697</v>
      </c>
      <c r="E2707" s="89">
        <v>46198</v>
      </c>
      <c r="F2707" s="71" t="s">
        <v>2608</v>
      </c>
      <c r="G2707" s="71">
        <f t="shared" si="84"/>
        <v>6</v>
      </c>
      <c r="H2707" s="71">
        <f t="shared" si="85"/>
        <v>46</v>
      </c>
    </row>
    <row r="2708" spans="1:8" x14ac:dyDescent="0.2">
      <c r="A2708" s="71" t="s">
        <v>262</v>
      </c>
      <c r="B2708" s="71" t="s">
        <v>263</v>
      </c>
      <c r="C2708" s="71" t="s">
        <v>55</v>
      </c>
      <c r="D2708" s="88">
        <v>46198.484629629602</v>
      </c>
      <c r="E2708" s="89">
        <v>46198</v>
      </c>
      <c r="F2708" s="71" t="s">
        <v>2609</v>
      </c>
      <c r="G2708" s="71">
        <f t="shared" si="84"/>
        <v>6</v>
      </c>
      <c r="H2708" s="71">
        <f t="shared" si="85"/>
        <v>46</v>
      </c>
    </row>
    <row r="2709" spans="1:8" x14ac:dyDescent="0.2">
      <c r="A2709" s="71" t="s">
        <v>262</v>
      </c>
      <c r="B2709" s="71" t="s">
        <v>263</v>
      </c>
      <c r="C2709" s="71" t="s">
        <v>55</v>
      </c>
      <c r="D2709" s="88">
        <v>46198.485381944498</v>
      </c>
      <c r="E2709" s="89">
        <v>46198</v>
      </c>
      <c r="F2709" s="71" t="s">
        <v>2610</v>
      </c>
      <c r="G2709" s="71">
        <f t="shared" si="84"/>
        <v>6</v>
      </c>
      <c r="H2709" s="71">
        <f t="shared" si="85"/>
        <v>45</v>
      </c>
    </row>
    <row r="2710" spans="1:8" x14ac:dyDescent="0.2">
      <c r="A2710" s="71" t="s">
        <v>262</v>
      </c>
      <c r="B2710" s="71" t="s">
        <v>263</v>
      </c>
      <c r="C2710" s="71" t="s">
        <v>55</v>
      </c>
      <c r="D2710" s="88">
        <v>46198.587523148199</v>
      </c>
      <c r="E2710" s="89">
        <v>46198</v>
      </c>
      <c r="F2710" s="71" t="s">
        <v>2611</v>
      </c>
      <c r="G2710" s="71">
        <f t="shared" si="84"/>
        <v>6</v>
      </c>
      <c r="H2710" s="71">
        <f t="shared" si="85"/>
        <v>45</v>
      </c>
    </row>
    <row r="2711" spans="1:8" x14ac:dyDescent="0.2">
      <c r="A2711" s="71" t="s">
        <v>262</v>
      </c>
      <c r="B2711" s="71" t="s">
        <v>263</v>
      </c>
      <c r="C2711" s="71" t="s">
        <v>55</v>
      </c>
      <c r="D2711" s="88">
        <v>46199.5570717593</v>
      </c>
      <c r="E2711" s="89">
        <v>46199</v>
      </c>
      <c r="F2711" s="71" t="s">
        <v>2612</v>
      </c>
      <c r="G2711" s="71">
        <f t="shared" si="84"/>
        <v>6</v>
      </c>
      <c r="H2711" s="71">
        <f t="shared" si="85"/>
        <v>45</v>
      </c>
    </row>
    <row r="2712" spans="1:8" x14ac:dyDescent="0.2">
      <c r="A2712" s="71" t="s">
        <v>262</v>
      </c>
      <c r="B2712" s="71" t="s">
        <v>263</v>
      </c>
      <c r="C2712" s="71" t="s">
        <v>55</v>
      </c>
      <c r="D2712" s="88">
        <v>46199.558287036998</v>
      </c>
      <c r="E2712" s="89">
        <v>46199</v>
      </c>
      <c r="F2712" s="71" t="s">
        <v>2613</v>
      </c>
      <c r="G2712" s="71">
        <f t="shared" si="84"/>
        <v>6</v>
      </c>
      <c r="H2712" s="71">
        <f t="shared" si="85"/>
        <v>47</v>
      </c>
    </row>
    <row r="2713" spans="1:8" x14ac:dyDescent="0.2">
      <c r="A2713" s="71" t="s">
        <v>262</v>
      </c>
      <c r="B2713" s="71" t="s">
        <v>263</v>
      </c>
      <c r="C2713" s="71" t="s">
        <v>55</v>
      </c>
      <c r="D2713" s="88">
        <v>46199.560324074097</v>
      </c>
      <c r="E2713" s="89">
        <v>46199</v>
      </c>
      <c r="F2713" s="71" t="s">
        <v>2614</v>
      </c>
      <c r="G2713" s="71">
        <f t="shared" si="84"/>
        <v>6</v>
      </c>
      <c r="H2713" s="71">
        <f t="shared" si="85"/>
        <v>46</v>
      </c>
    </row>
    <row r="2714" spans="1:8" x14ac:dyDescent="0.2">
      <c r="A2714" s="71" t="s">
        <v>262</v>
      </c>
      <c r="B2714" s="71" t="s">
        <v>263</v>
      </c>
      <c r="C2714" s="71" t="s">
        <v>55</v>
      </c>
      <c r="D2714" s="88">
        <v>46199.6557523148</v>
      </c>
      <c r="E2714" s="89">
        <v>46199</v>
      </c>
      <c r="F2714" s="71" t="s">
        <v>2615</v>
      </c>
      <c r="G2714" s="71">
        <f t="shared" si="84"/>
        <v>6</v>
      </c>
      <c r="H2714" s="71">
        <f t="shared" si="85"/>
        <v>46</v>
      </c>
    </row>
    <row r="2715" spans="1:8" x14ac:dyDescent="0.2">
      <c r="A2715" s="71" t="s">
        <v>262</v>
      </c>
      <c r="B2715" s="71" t="s">
        <v>263</v>
      </c>
      <c r="C2715" s="71" t="s">
        <v>55</v>
      </c>
      <c r="D2715" s="88">
        <v>46202.461157407401</v>
      </c>
      <c r="E2715" s="89">
        <v>46202</v>
      </c>
      <c r="F2715" s="71" t="s">
        <v>2616</v>
      </c>
      <c r="G2715" s="71">
        <f t="shared" si="84"/>
        <v>6</v>
      </c>
      <c r="H2715" s="71">
        <f t="shared" si="85"/>
        <v>45</v>
      </c>
    </row>
    <row r="2716" spans="1:8" x14ac:dyDescent="0.2">
      <c r="A2716" s="71" t="s">
        <v>262</v>
      </c>
      <c r="B2716" s="71" t="s">
        <v>263</v>
      </c>
      <c r="C2716" s="71" t="s">
        <v>55</v>
      </c>
      <c r="D2716" s="88">
        <v>46202.6356481482</v>
      </c>
      <c r="E2716" s="89">
        <v>46202</v>
      </c>
      <c r="F2716" s="71" t="s">
        <v>2617</v>
      </c>
      <c r="G2716" s="71">
        <f t="shared" si="84"/>
        <v>6</v>
      </c>
      <c r="H2716" s="71">
        <f t="shared" si="85"/>
        <v>46</v>
      </c>
    </row>
    <row r="2717" spans="1:8" x14ac:dyDescent="0.2">
      <c r="A2717" s="71" t="s">
        <v>262</v>
      </c>
      <c r="B2717" s="71" t="s">
        <v>263</v>
      </c>
      <c r="C2717" s="71" t="s">
        <v>55</v>
      </c>
      <c r="D2717" s="88">
        <v>46202.636886574102</v>
      </c>
      <c r="E2717" s="89">
        <v>46202</v>
      </c>
      <c r="F2717" s="71" t="s">
        <v>2618</v>
      </c>
      <c r="G2717" s="71">
        <f t="shared" si="84"/>
        <v>6</v>
      </c>
      <c r="H2717" s="71">
        <f t="shared" si="85"/>
        <v>46</v>
      </c>
    </row>
    <row r="2718" spans="1:8" x14ac:dyDescent="0.2">
      <c r="A2718" s="71" t="s">
        <v>262</v>
      </c>
      <c r="B2718" s="71" t="s">
        <v>263</v>
      </c>
      <c r="C2718" s="71" t="s">
        <v>55</v>
      </c>
      <c r="D2718" s="88">
        <v>46202.637893518498</v>
      </c>
      <c r="E2718" s="89">
        <v>46202</v>
      </c>
      <c r="F2718" s="71" t="s">
        <v>2619</v>
      </c>
      <c r="G2718" s="71">
        <f t="shared" si="84"/>
        <v>6</v>
      </c>
      <c r="H2718" s="71">
        <f t="shared" si="85"/>
        <v>50</v>
      </c>
    </row>
    <row r="2719" spans="1:8" x14ac:dyDescent="0.2">
      <c r="A2719" s="71" t="s">
        <v>262</v>
      </c>
      <c r="B2719" s="71" t="s">
        <v>263</v>
      </c>
      <c r="C2719" s="71" t="s">
        <v>55</v>
      </c>
      <c r="D2719" s="88">
        <v>46205.682256944398</v>
      </c>
      <c r="E2719" s="89">
        <v>46205</v>
      </c>
      <c r="F2719" s="71" t="s">
        <v>2620</v>
      </c>
      <c r="G2719" s="71">
        <f t="shared" si="84"/>
        <v>7</v>
      </c>
      <c r="H2719" s="71">
        <f t="shared" si="85"/>
        <v>41</v>
      </c>
    </row>
    <row r="2720" spans="1:8" x14ac:dyDescent="0.2">
      <c r="A2720" s="71" t="s">
        <v>262</v>
      </c>
      <c r="B2720" s="71" t="s">
        <v>263</v>
      </c>
      <c r="C2720" s="71" t="s">
        <v>55</v>
      </c>
      <c r="D2720" s="88">
        <v>46205.682615740698</v>
      </c>
      <c r="E2720" s="89">
        <v>46205</v>
      </c>
      <c r="F2720" s="71" t="s">
        <v>2621</v>
      </c>
      <c r="G2720" s="71">
        <f t="shared" si="84"/>
        <v>7</v>
      </c>
      <c r="H2720" s="71">
        <f t="shared" si="85"/>
        <v>50</v>
      </c>
    </row>
    <row r="2721" spans="1:8" x14ac:dyDescent="0.2">
      <c r="A2721" s="71" t="s">
        <v>262</v>
      </c>
      <c r="B2721" s="71" t="s">
        <v>263</v>
      </c>
      <c r="C2721" s="71" t="s">
        <v>55</v>
      </c>
      <c r="D2721" s="88">
        <v>46205.683043981502</v>
      </c>
      <c r="E2721" s="89">
        <v>46205</v>
      </c>
      <c r="F2721" s="71" t="s">
        <v>2622</v>
      </c>
      <c r="G2721" s="71">
        <f t="shared" si="84"/>
        <v>7</v>
      </c>
      <c r="H2721" s="71">
        <f t="shared" si="85"/>
        <v>47</v>
      </c>
    </row>
    <row r="2722" spans="1:8" x14ac:dyDescent="0.2">
      <c r="A2722" s="71" t="s">
        <v>262</v>
      </c>
      <c r="B2722" s="71" t="s">
        <v>263</v>
      </c>
      <c r="C2722" s="71" t="s">
        <v>55</v>
      </c>
      <c r="D2722" s="88">
        <v>46205.684513888897</v>
      </c>
      <c r="E2722" s="89">
        <v>46205</v>
      </c>
      <c r="F2722" s="71" t="s">
        <v>2623</v>
      </c>
      <c r="G2722" s="71">
        <f t="shared" si="84"/>
        <v>7</v>
      </c>
      <c r="H2722" s="71">
        <f t="shared" si="85"/>
        <v>54</v>
      </c>
    </row>
    <row r="2723" spans="1:8" x14ac:dyDescent="0.2">
      <c r="A2723" s="71" t="s">
        <v>262</v>
      </c>
      <c r="B2723" s="71" t="s">
        <v>263</v>
      </c>
      <c r="C2723" s="71" t="s">
        <v>55</v>
      </c>
      <c r="D2723" s="88">
        <v>46206.668344907397</v>
      </c>
      <c r="E2723" s="89">
        <v>46206</v>
      </c>
      <c r="F2723" s="71" t="s">
        <v>2599</v>
      </c>
      <c r="G2723" s="71">
        <f t="shared" si="84"/>
        <v>7</v>
      </c>
      <c r="H2723" s="71">
        <f t="shared" si="85"/>
        <v>66</v>
      </c>
    </row>
    <row r="2724" spans="1:8" x14ac:dyDescent="0.2">
      <c r="A2724" s="71" t="s">
        <v>262</v>
      </c>
      <c r="B2724" s="71" t="s">
        <v>263</v>
      </c>
      <c r="C2724" s="71" t="s">
        <v>55</v>
      </c>
      <c r="D2724" s="88">
        <v>46209.564942129597</v>
      </c>
      <c r="E2724" s="89">
        <v>46209</v>
      </c>
      <c r="F2724" s="71" t="s">
        <v>2624</v>
      </c>
      <c r="G2724" s="71">
        <f t="shared" si="84"/>
        <v>7</v>
      </c>
      <c r="H2724" s="71">
        <f t="shared" si="85"/>
        <v>66</v>
      </c>
    </row>
    <row r="2725" spans="1:8" x14ac:dyDescent="0.2">
      <c r="A2725" s="71" t="s">
        <v>262</v>
      </c>
      <c r="B2725" s="71" t="s">
        <v>263</v>
      </c>
      <c r="C2725" s="71" t="s">
        <v>55</v>
      </c>
      <c r="D2725" s="88">
        <v>46209.566180555601</v>
      </c>
      <c r="E2725" s="89">
        <v>46209</v>
      </c>
      <c r="F2725" s="71" t="s">
        <v>2599</v>
      </c>
      <c r="G2725" s="71">
        <f t="shared" si="84"/>
        <v>7</v>
      </c>
      <c r="H2725" s="71">
        <f t="shared" si="85"/>
        <v>66</v>
      </c>
    </row>
    <row r="2726" spans="1:8" x14ac:dyDescent="0.2">
      <c r="A2726" s="71" t="s">
        <v>262</v>
      </c>
      <c r="B2726" s="71" t="s">
        <v>263</v>
      </c>
      <c r="C2726" s="71" t="s">
        <v>55</v>
      </c>
      <c r="D2726" s="88">
        <v>46209.566944444399</v>
      </c>
      <c r="E2726" s="89">
        <v>46209</v>
      </c>
      <c r="F2726" s="71" t="s">
        <v>2625</v>
      </c>
      <c r="G2726" s="71">
        <f t="shared" si="84"/>
        <v>7</v>
      </c>
      <c r="H2726" s="71">
        <f t="shared" si="85"/>
        <v>15</v>
      </c>
    </row>
    <row r="2727" spans="1:8" x14ac:dyDescent="0.2">
      <c r="A2727" s="71" t="s">
        <v>262</v>
      </c>
      <c r="B2727" s="71" t="s">
        <v>263</v>
      </c>
      <c r="C2727" s="71" t="s">
        <v>55</v>
      </c>
      <c r="D2727" s="88">
        <v>46209.692094907397</v>
      </c>
      <c r="E2727" s="89">
        <v>46209</v>
      </c>
      <c r="F2727" s="71" t="s">
        <v>2626</v>
      </c>
      <c r="G2727" s="71">
        <f t="shared" si="84"/>
        <v>7</v>
      </c>
      <c r="H2727" s="71">
        <f t="shared" si="85"/>
        <v>46</v>
      </c>
    </row>
    <row r="2728" spans="1:8" x14ac:dyDescent="0.2">
      <c r="A2728" s="71" t="s">
        <v>262</v>
      </c>
      <c r="B2728" s="71" t="s">
        <v>263</v>
      </c>
      <c r="C2728" s="71" t="s">
        <v>55</v>
      </c>
      <c r="D2728" s="88">
        <v>46210.638287037</v>
      </c>
      <c r="E2728" s="89">
        <v>46210</v>
      </c>
      <c r="F2728" s="71" t="s">
        <v>2599</v>
      </c>
      <c r="G2728" s="71">
        <f t="shared" si="84"/>
        <v>7</v>
      </c>
      <c r="H2728" s="71">
        <f t="shared" si="85"/>
        <v>66</v>
      </c>
    </row>
    <row r="2729" spans="1:8" x14ac:dyDescent="0.2">
      <c r="A2729" s="71" t="s">
        <v>262</v>
      </c>
      <c r="B2729" s="71" t="s">
        <v>263</v>
      </c>
      <c r="C2729" s="71" t="s">
        <v>55</v>
      </c>
      <c r="D2729" s="88">
        <v>46210.639837962997</v>
      </c>
      <c r="E2729" s="89">
        <v>46210</v>
      </c>
      <c r="F2729" s="71" t="s">
        <v>2627</v>
      </c>
      <c r="G2729" s="71">
        <f t="shared" si="84"/>
        <v>7</v>
      </c>
      <c r="H2729" s="71">
        <f t="shared" si="85"/>
        <v>42</v>
      </c>
    </row>
    <row r="2730" spans="1:8" x14ac:dyDescent="0.2">
      <c r="A2730" s="71" t="s">
        <v>262</v>
      </c>
      <c r="B2730" s="71" t="s">
        <v>263</v>
      </c>
      <c r="C2730" s="71" t="s">
        <v>55</v>
      </c>
      <c r="D2730" s="88">
        <v>46212.738564814797</v>
      </c>
      <c r="E2730" s="89">
        <v>46212</v>
      </c>
      <c r="F2730" s="71" t="s">
        <v>2602</v>
      </c>
      <c r="G2730" s="71">
        <f t="shared" si="84"/>
        <v>7</v>
      </c>
      <c r="H2730" s="71">
        <f t="shared" si="85"/>
        <v>46</v>
      </c>
    </row>
    <row r="2731" spans="1:8" x14ac:dyDescent="0.2">
      <c r="A2731" s="71" t="s">
        <v>262</v>
      </c>
      <c r="B2731" s="71" t="s">
        <v>263</v>
      </c>
      <c r="C2731" s="71" t="s">
        <v>55</v>
      </c>
      <c r="D2731" s="88">
        <v>46212.741076388898</v>
      </c>
      <c r="E2731" s="89">
        <v>46212</v>
      </c>
      <c r="F2731" s="71" t="s">
        <v>2599</v>
      </c>
      <c r="G2731" s="71">
        <f t="shared" si="84"/>
        <v>7</v>
      </c>
      <c r="H2731" s="71">
        <f t="shared" si="85"/>
        <v>66</v>
      </c>
    </row>
    <row r="2732" spans="1:8" x14ac:dyDescent="0.2">
      <c r="A2732" s="71" t="s">
        <v>262</v>
      </c>
      <c r="B2732" s="71" t="s">
        <v>263</v>
      </c>
      <c r="C2732" s="71" t="s">
        <v>55</v>
      </c>
      <c r="D2732" s="88">
        <v>46212.741944444497</v>
      </c>
      <c r="E2732" s="89">
        <v>46212</v>
      </c>
      <c r="F2732" s="71" t="s">
        <v>2628</v>
      </c>
      <c r="G2732" s="71">
        <f t="shared" si="84"/>
        <v>7</v>
      </c>
      <c r="H2732" s="71">
        <f t="shared" si="85"/>
        <v>50</v>
      </c>
    </row>
    <row r="2733" spans="1:8" x14ac:dyDescent="0.2">
      <c r="A2733" s="71" t="s">
        <v>262</v>
      </c>
      <c r="B2733" s="71" t="s">
        <v>263</v>
      </c>
      <c r="C2733" s="71" t="s">
        <v>55</v>
      </c>
      <c r="D2733" s="88">
        <v>46213.620543981502</v>
      </c>
      <c r="E2733" s="89">
        <v>46213</v>
      </c>
      <c r="F2733" s="71" t="s">
        <v>2629</v>
      </c>
      <c r="G2733" s="71">
        <f t="shared" si="84"/>
        <v>7</v>
      </c>
      <c r="H2733" s="71">
        <f t="shared" si="85"/>
        <v>36</v>
      </c>
    </row>
    <row r="2734" spans="1:8" x14ac:dyDescent="0.2">
      <c r="A2734" s="71" t="s">
        <v>262</v>
      </c>
      <c r="B2734" s="71" t="s">
        <v>263</v>
      </c>
      <c r="C2734" s="71" t="s">
        <v>55</v>
      </c>
      <c r="D2734" s="88">
        <v>46213.6262152778</v>
      </c>
      <c r="E2734" s="89">
        <v>46213</v>
      </c>
      <c r="F2734" s="71" t="s">
        <v>2599</v>
      </c>
      <c r="G2734" s="71">
        <f t="shared" si="84"/>
        <v>7</v>
      </c>
      <c r="H2734" s="71">
        <f t="shared" si="85"/>
        <v>66</v>
      </c>
    </row>
    <row r="2735" spans="1:8" x14ac:dyDescent="0.2">
      <c r="A2735" s="71" t="s">
        <v>262</v>
      </c>
      <c r="B2735" s="71" t="s">
        <v>263</v>
      </c>
      <c r="C2735" s="71" t="s">
        <v>55</v>
      </c>
      <c r="D2735" s="88">
        <v>46217.667905092603</v>
      </c>
      <c r="E2735" s="89">
        <v>46217</v>
      </c>
      <c r="F2735" s="71" t="s">
        <v>2597</v>
      </c>
      <c r="G2735" s="71">
        <f t="shared" si="84"/>
        <v>7</v>
      </c>
      <c r="H2735" s="71">
        <f t="shared" si="85"/>
        <v>45</v>
      </c>
    </row>
    <row r="2736" spans="1:8" x14ac:dyDescent="0.2">
      <c r="A2736" s="71" t="s">
        <v>262</v>
      </c>
      <c r="B2736" s="71" t="s">
        <v>263</v>
      </c>
      <c r="C2736" s="71" t="s">
        <v>55</v>
      </c>
      <c r="D2736" s="88">
        <v>46217.669930555603</v>
      </c>
      <c r="E2736" s="89">
        <v>46217</v>
      </c>
      <c r="F2736" s="71" t="s">
        <v>2630</v>
      </c>
      <c r="G2736" s="71">
        <f t="shared" si="84"/>
        <v>7</v>
      </c>
      <c r="H2736" s="71">
        <f t="shared" si="85"/>
        <v>36</v>
      </c>
    </row>
    <row r="2737" spans="1:8" x14ac:dyDescent="0.2">
      <c r="A2737" s="71" t="s">
        <v>262</v>
      </c>
      <c r="B2737" s="71" t="s">
        <v>263</v>
      </c>
      <c r="C2737" s="71" t="s">
        <v>55</v>
      </c>
      <c r="D2737" s="88">
        <v>46217.672395833302</v>
      </c>
      <c r="E2737" s="89">
        <v>46217</v>
      </c>
      <c r="F2737" s="71" t="s">
        <v>2599</v>
      </c>
      <c r="G2737" s="71">
        <f t="shared" si="84"/>
        <v>7</v>
      </c>
      <c r="H2737" s="71">
        <f t="shared" si="85"/>
        <v>66</v>
      </c>
    </row>
    <row r="2738" spans="1:8" x14ac:dyDescent="0.2">
      <c r="A2738" s="71" t="s">
        <v>262</v>
      </c>
      <c r="B2738" s="71" t="s">
        <v>263</v>
      </c>
      <c r="C2738" s="71" t="s">
        <v>55</v>
      </c>
      <c r="D2738" s="88">
        <v>46218.494363425903</v>
      </c>
      <c r="E2738" s="89">
        <v>46218</v>
      </c>
      <c r="F2738" s="71" t="s">
        <v>2631</v>
      </c>
      <c r="G2738" s="71">
        <f t="shared" si="84"/>
        <v>7</v>
      </c>
      <c r="H2738" s="71">
        <f t="shared" si="85"/>
        <v>60</v>
      </c>
    </row>
    <row r="2739" spans="1:8" x14ac:dyDescent="0.2">
      <c r="A2739" s="71" t="s">
        <v>262</v>
      </c>
      <c r="B2739" s="71" t="s">
        <v>263</v>
      </c>
      <c r="C2739" s="71" t="s">
        <v>55</v>
      </c>
      <c r="D2739" s="88">
        <v>46218.495740740698</v>
      </c>
      <c r="E2739" s="89">
        <v>46218</v>
      </c>
      <c r="F2739" s="71" t="s">
        <v>2632</v>
      </c>
      <c r="G2739" s="71">
        <f t="shared" si="84"/>
        <v>7</v>
      </c>
      <c r="H2739" s="71">
        <f t="shared" si="85"/>
        <v>48</v>
      </c>
    </row>
    <row r="2740" spans="1:8" x14ac:dyDescent="0.2">
      <c r="A2740" s="71" t="s">
        <v>262</v>
      </c>
      <c r="B2740" s="71" t="s">
        <v>263</v>
      </c>
      <c r="C2740" s="71" t="s">
        <v>55</v>
      </c>
      <c r="D2740" s="88">
        <v>46218.496655092596</v>
      </c>
      <c r="E2740" s="89">
        <v>46218</v>
      </c>
      <c r="F2740" s="71" t="s">
        <v>2633</v>
      </c>
      <c r="G2740" s="71">
        <f t="shared" si="84"/>
        <v>7</v>
      </c>
      <c r="H2740" s="71">
        <f t="shared" si="85"/>
        <v>56</v>
      </c>
    </row>
    <row r="2741" spans="1:8" x14ac:dyDescent="0.2">
      <c r="A2741" s="71" t="s">
        <v>262</v>
      </c>
      <c r="B2741" s="71" t="s">
        <v>263</v>
      </c>
      <c r="C2741" s="71" t="s">
        <v>55</v>
      </c>
      <c r="D2741" s="88">
        <v>46218.4972569444</v>
      </c>
      <c r="E2741" s="89">
        <v>46218</v>
      </c>
      <c r="F2741" s="71" t="s">
        <v>2598</v>
      </c>
      <c r="G2741" s="71">
        <f t="shared" si="84"/>
        <v>7</v>
      </c>
      <c r="H2741" s="71">
        <f t="shared" si="85"/>
        <v>56</v>
      </c>
    </row>
    <row r="2742" spans="1:8" x14ac:dyDescent="0.2">
      <c r="A2742" s="71" t="s">
        <v>262</v>
      </c>
      <c r="B2742" s="71" t="s">
        <v>263</v>
      </c>
      <c r="C2742" s="71" t="s">
        <v>55</v>
      </c>
      <c r="D2742" s="88">
        <v>46219.638113425899</v>
      </c>
      <c r="E2742" s="89">
        <v>46219</v>
      </c>
      <c r="F2742" s="71" t="s">
        <v>2599</v>
      </c>
      <c r="G2742" s="71">
        <f t="shared" si="84"/>
        <v>7</v>
      </c>
      <c r="H2742" s="71">
        <f t="shared" si="85"/>
        <v>66</v>
      </c>
    </row>
    <row r="2743" spans="1:8" x14ac:dyDescent="0.2">
      <c r="A2743" s="71" t="s">
        <v>262</v>
      </c>
      <c r="B2743" s="71" t="s">
        <v>263</v>
      </c>
      <c r="C2743" s="71" t="s">
        <v>55</v>
      </c>
      <c r="D2743" s="88">
        <v>46220.688935185201</v>
      </c>
      <c r="E2743" s="89">
        <v>46220</v>
      </c>
      <c r="F2743" s="71" t="s">
        <v>2599</v>
      </c>
      <c r="G2743" s="71">
        <f t="shared" si="84"/>
        <v>7</v>
      </c>
      <c r="H2743" s="71">
        <f t="shared" si="85"/>
        <v>66</v>
      </c>
    </row>
    <row r="2744" spans="1:8" x14ac:dyDescent="0.2">
      <c r="A2744" s="71" t="s">
        <v>262</v>
      </c>
      <c r="B2744" s="71" t="s">
        <v>263</v>
      </c>
      <c r="C2744" s="71" t="s">
        <v>55</v>
      </c>
      <c r="D2744" s="88">
        <v>46223.684363425898</v>
      </c>
      <c r="E2744" s="89">
        <v>46223</v>
      </c>
      <c r="F2744" s="71" t="s">
        <v>2599</v>
      </c>
      <c r="G2744" s="71">
        <f t="shared" si="84"/>
        <v>7</v>
      </c>
      <c r="H2744" s="71">
        <f t="shared" si="85"/>
        <v>66</v>
      </c>
    </row>
    <row r="2745" spans="1:8" x14ac:dyDescent="0.2">
      <c r="A2745" s="71" t="s">
        <v>262</v>
      </c>
      <c r="B2745" s="71" t="s">
        <v>263</v>
      </c>
      <c r="C2745" s="71" t="s">
        <v>55</v>
      </c>
      <c r="D2745" s="88">
        <v>46224.687210648197</v>
      </c>
      <c r="E2745" s="89">
        <v>46224</v>
      </c>
      <c r="F2745" s="71" t="s">
        <v>2100</v>
      </c>
      <c r="G2745" s="71">
        <f t="shared" si="84"/>
        <v>7</v>
      </c>
      <c r="H2745" s="71">
        <f t="shared" si="85"/>
        <v>8</v>
      </c>
    </row>
    <row r="2746" spans="1:8" x14ac:dyDescent="0.2">
      <c r="A2746" s="71" t="s">
        <v>262</v>
      </c>
      <c r="B2746" s="71" t="s">
        <v>263</v>
      </c>
      <c r="C2746" s="71" t="s">
        <v>55</v>
      </c>
      <c r="D2746" s="88">
        <v>46224.688148148198</v>
      </c>
      <c r="E2746" s="89">
        <v>46224</v>
      </c>
      <c r="F2746" s="71" t="s">
        <v>2599</v>
      </c>
      <c r="G2746" s="71">
        <f t="shared" si="84"/>
        <v>7</v>
      </c>
      <c r="H2746" s="71">
        <f t="shared" si="85"/>
        <v>66</v>
      </c>
    </row>
    <row r="2747" spans="1:8" x14ac:dyDescent="0.2">
      <c r="A2747" s="71" t="s">
        <v>262</v>
      </c>
      <c r="B2747" s="71" t="s">
        <v>263</v>
      </c>
      <c r="C2747" s="71" t="s">
        <v>55</v>
      </c>
      <c r="D2747" s="88">
        <v>46226.675937499997</v>
      </c>
      <c r="E2747" s="89">
        <v>46226</v>
      </c>
      <c r="F2747" s="71" t="s">
        <v>2634</v>
      </c>
      <c r="G2747" s="71">
        <f t="shared" si="84"/>
        <v>7</v>
      </c>
      <c r="H2747" s="71">
        <f t="shared" si="85"/>
        <v>66</v>
      </c>
    </row>
    <row r="2748" spans="1:8" x14ac:dyDescent="0.2">
      <c r="A2748" s="71" t="s">
        <v>262</v>
      </c>
      <c r="B2748" s="71" t="s">
        <v>263</v>
      </c>
      <c r="C2748" s="71" t="s">
        <v>55</v>
      </c>
      <c r="D2748" s="88">
        <v>46226.727962962999</v>
      </c>
      <c r="E2748" s="89">
        <v>46226</v>
      </c>
      <c r="F2748" s="71" t="s">
        <v>2635</v>
      </c>
      <c r="G2748" s="71">
        <f t="shared" si="84"/>
        <v>7</v>
      </c>
      <c r="H2748" s="71">
        <f t="shared" si="85"/>
        <v>20</v>
      </c>
    </row>
    <row r="2749" spans="1:8" x14ac:dyDescent="0.2">
      <c r="A2749" s="71" t="s">
        <v>262</v>
      </c>
      <c r="B2749" s="71" t="s">
        <v>263</v>
      </c>
      <c r="C2749" s="71" t="s">
        <v>55</v>
      </c>
      <c r="D2749" s="88">
        <v>46227.687372685199</v>
      </c>
      <c r="E2749" s="89">
        <v>46227</v>
      </c>
      <c r="F2749" s="71" t="s">
        <v>2635</v>
      </c>
      <c r="G2749" s="71">
        <f t="shared" si="84"/>
        <v>7</v>
      </c>
      <c r="H2749" s="71">
        <f t="shared" si="85"/>
        <v>20</v>
      </c>
    </row>
    <row r="2750" spans="1:8" x14ac:dyDescent="0.2">
      <c r="A2750" s="71" t="s">
        <v>262</v>
      </c>
      <c r="B2750" s="71" t="s">
        <v>263</v>
      </c>
      <c r="C2750" s="71" t="s">
        <v>55</v>
      </c>
      <c r="D2750" s="88">
        <v>46227.688773148198</v>
      </c>
      <c r="E2750" s="89">
        <v>46227</v>
      </c>
      <c r="F2750" s="71" t="s">
        <v>2599</v>
      </c>
      <c r="G2750" s="71">
        <f t="shared" si="84"/>
        <v>7</v>
      </c>
      <c r="H2750" s="71">
        <f t="shared" si="85"/>
        <v>66</v>
      </c>
    </row>
    <row r="2751" spans="1:8" x14ac:dyDescent="0.2">
      <c r="A2751" s="71" t="s">
        <v>262</v>
      </c>
      <c r="B2751" s="71" t="s">
        <v>263</v>
      </c>
      <c r="C2751" s="71" t="s">
        <v>55</v>
      </c>
      <c r="D2751" s="88">
        <v>46230.775949074101</v>
      </c>
      <c r="E2751" s="89">
        <v>46230</v>
      </c>
      <c r="F2751" s="71" t="s">
        <v>2599</v>
      </c>
      <c r="G2751" s="71">
        <f t="shared" si="84"/>
        <v>7</v>
      </c>
      <c r="H2751" s="71">
        <f t="shared" si="85"/>
        <v>66</v>
      </c>
    </row>
    <row r="2752" spans="1:8" x14ac:dyDescent="0.2">
      <c r="A2752" s="71" t="s">
        <v>262</v>
      </c>
      <c r="B2752" s="71" t="s">
        <v>263</v>
      </c>
      <c r="C2752" s="71" t="s">
        <v>55</v>
      </c>
      <c r="D2752" s="88">
        <v>46231.688344907401</v>
      </c>
      <c r="E2752" s="89">
        <v>46231</v>
      </c>
      <c r="F2752" s="71" t="s">
        <v>2636</v>
      </c>
      <c r="G2752" s="71">
        <f t="shared" si="84"/>
        <v>7</v>
      </c>
      <c r="H2752" s="71">
        <f t="shared" si="85"/>
        <v>66</v>
      </c>
    </row>
    <row r="2753" spans="1:8" x14ac:dyDescent="0.2">
      <c r="A2753" s="71" t="s">
        <v>262</v>
      </c>
      <c r="B2753" s="71" t="s">
        <v>263</v>
      </c>
      <c r="C2753" s="71" t="s">
        <v>55</v>
      </c>
      <c r="D2753" s="88">
        <v>46231.689722222203</v>
      </c>
      <c r="E2753" s="89">
        <v>46231</v>
      </c>
      <c r="F2753" s="71" t="s">
        <v>2637</v>
      </c>
      <c r="G2753" s="71">
        <f t="shared" si="84"/>
        <v>7</v>
      </c>
      <c r="H2753" s="71">
        <f t="shared" si="85"/>
        <v>39</v>
      </c>
    </row>
    <row r="2754" spans="1:8" x14ac:dyDescent="0.2">
      <c r="A2754" s="71" t="s">
        <v>262</v>
      </c>
      <c r="B2754" s="71" t="s">
        <v>263</v>
      </c>
      <c r="C2754" s="71" t="s">
        <v>55</v>
      </c>
      <c r="D2754" s="88">
        <v>46233.6893865741</v>
      </c>
      <c r="E2754" s="89">
        <v>46233</v>
      </c>
      <c r="F2754" s="71" t="s">
        <v>2599</v>
      </c>
      <c r="G2754" s="71">
        <f t="shared" ref="G2754:G2817" si="86">MONTH(E2754)</f>
        <v>7</v>
      </c>
      <c r="H2754" s="71">
        <f t="shared" ref="H2754:H2817" si="87">LEN(F2754)</f>
        <v>66</v>
      </c>
    </row>
    <row r="2755" spans="1:8" x14ac:dyDescent="0.2">
      <c r="A2755" s="71" t="s">
        <v>262</v>
      </c>
      <c r="B2755" s="71" t="s">
        <v>263</v>
      </c>
      <c r="C2755" s="71" t="s">
        <v>55</v>
      </c>
      <c r="D2755" s="88">
        <v>46234.6871412037</v>
      </c>
      <c r="E2755" s="89">
        <v>46234</v>
      </c>
      <c r="F2755" s="71" t="s">
        <v>2638</v>
      </c>
      <c r="G2755" s="71">
        <f t="shared" si="86"/>
        <v>7</v>
      </c>
      <c r="H2755" s="71">
        <f t="shared" si="87"/>
        <v>64</v>
      </c>
    </row>
    <row r="2756" spans="1:8" x14ac:dyDescent="0.2">
      <c r="A2756" s="71" t="s">
        <v>262</v>
      </c>
      <c r="B2756" s="71" t="s">
        <v>263</v>
      </c>
      <c r="C2756" s="71" t="s">
        <v>55</v>
      </c>
      <c r="D2756" s="88">
        <v>46237.703055555598</v>
      </c>
      <c r="E2756" s="89">
        <v>46237</v>
      </c>
      <c r="F2756" s="71" t="s">
        <v>2638</v>
      </c>
      <c r="G2756" s="71">
        <f t="shared" si="86"/>
        <v>8</v>
      </c>
      <c r="H2756" s="71">
        <f t="shared" si="87"/>
        <v>64</v>
      </c>
    </row>
    <row r="2757" spans="1:8" x14ac:dyDescent="0.2">
      <c r="A2757" s="71" t="s">
        <v>262</v>
      </c>
      <c r="B2757" s="71" t="s">
        <v>263</v>
      </c>
      <c r="C2757" s="71" t="s">
        <v>55</v>
      </c>
      <c r="D2757" s="88">
        <v>46238.689363425903</v>
      </c>
      <c r="E2757" s="89">
        <v>46238</v>
      </c>
      <c r="F2757" s="71" t="s">
        <v>2639</v>
      </c>
      <c r="G2757" s="71">
        <f t="shared" si="86"/>
        <v>8</v>
      </c>
      <c r="H2757" s="71">
        <f t="shared" si="87"/>
        <v>64</v>
      </c>
    </row>
    <row r="2758" spans="1:8" x14ac:dyDescent="0.2">
      <c r="A2758" s="71" t="s">
        <v>262</v>
      </c>
      <c r="B2758" s="71" t="s">
        <v>263</v>
      </c>
      <c r="C2758" s="71" t="s">
        <v>55</v>
      </c>
      <c r="D2758" s="88">
        <v>46239.692291666703</v>
      </c>
      <c r="E2758" s="89">
        <v>46239</v>
      </c>
      <c r="F2758" s="71" t="s">
        <v>2640</v>
      </c>
      <c r="G2758" s="71">
        <f t="shared" si="86"/>
        <v>8</v>
      </c>
      <c r="H2758" s="71">
        <f t="shared" si="87"/>
        <v>64</v>
      </c>
    </row>
    <row r="2759" spans="1:8" x14ac:dyDescent="0.2">
      <c r="A2759" s="71" t="s">
        <v>262</v>
      </c>
      <c r="B2759" s="71" t="s">
        <v>263</v>
      </c>
      <c r="C2759" s="71" t="s">
        <v>55</v>
      </c>
      <c r="D2759" s="88">
        <v>46240.688449074099</v>
      </c>
      <c r="E2759" s="89">
        <v>46240</v>
      </c>
      <c r="F2759" s="71" t="s">
        <v>2638</v>
      </c>
      <c r="G2759" s="71">
        <f t="shared" si="86"/>
        <v>8</v>
      </c>
      <c r="H2759" s="71">
        <f t="shared" si="87"/>
        <v>64</v>
      </c>
    </row>
    <row r="2760" spans="1:8" x14ac:dyDescent="0.2">
      <c r="A2760" s="71" t="s">
        <v>262</v>
      </c>
      <c r="B2760" s="71" t="s">
        <v>263</v>
      </c>
      <c r="C2760" s="71" t="s">
        <v>55</v>
      </c>
      <c r="D2760" s="88">
        <v>46241.691145833298</v>
      </c>
      <c r="E2760" s="89">
        <v>46241</v>
      </c>
      <c r="F2760" s="71" t="s">
        <v>2638</v>
      </c>
      <c r="G2760" s="71">
        <f t="shared" si="86"/>
        <v>8</v>
      </c>
      <c r="H2760" s="71">
        <f t="shared" si="87"/>
        <v>64</v>
      </c>
    </row>
    <row r="2761" spans="1:8" x14ac:dyDescent="0.2">
      <c r="A2761" s="71" t="s">
        <v>262</v>
      </c>
      <c r="B2761" s="71" t="s">
        <v>263</v>
      </c>
      <c r="C2761" s="71" t="s">
        <v>55</v>
      </c>
      <c r="D2761" s="88">
        <v>46244.6881712963</v>
      </c>
      <c r="E2761" s="89">
        <v>46244</v>
      </c>
      <c r="F2761" s="71" t="s">
        <v>2638</v>
      </c>
      <c r="G2761" s="71">
        <f t="shared" si="86"/>
        <v>8</v>
      </c>
      <c r="H2761" s="71">
        <f t="shared" si="87"/>
        <v>64</v>
      </c>
    </row>
    <row r="2762" spans="1:8" x14ac:dyDescent="0.2">
      <c r="A2762" s="71" t="s">
        <v>262</v>
      </c>
      <c r="B2762" s="71" t="s">
        <v>263</v>
      </c>
      <c r="C2762" s="71" t="s">
        <v>55</v>
      </c>
      <c r="D2762" s="88">
        <v>46245.697893518503</v>
      </c>
      <c r="E2762" s="89">
        <v>46245</v>
      </c>
      <c r="F2762" s="71" t="s">
        <v>2638</v>
      </c>
      <c r="G2762" s="71">
        <f t="shared" si="86"/>
        <v>8</v>
      </c>
      <c r="H2762" s="71">
        <f t="shared" si="87"/>
        <v>64</v>
      </c>
    </row>
    <row r="2763" spans="1:8" x14ac:dyDescent="0.2">
      <c r="A2763" s="71" t="s">
        <v>262</v>
      </c>
      <c r="B2763" s="71" t="s">
        <v>263</v>
      </c>
      <c r="C2763" s="71" t="s">
        <v>55</v>
      </c>
      <c r="D2763" s="88">
        <v>46246.689490740697</v>
      </c>
      <c r="E2763" s="89">
        <v>46246</v>
      </c>
      <c r="F2763" s="71" t="s">
        <v>2638</v>
      </c>
      <c r="G2763" s="71">
        <f t="shared" si="86"/>
        <v>8</v>
      </c>
      <c r="H2763" s="71">
        <f t="shared" si="87"/>
        <v>64</v>
      </c>
    </row>
    <row r="2764" spans="1:8" x14ac:dyDescent="0.2">
      <c r="A2764" s="71" t="s">
        <v>262</v>
      </c>
      <c r="B2764" s="71" t="s">
        <v>263</v>
      </c>
      <c r="C2764" s="71" t="s">
        <v>55</v>
      </c>
      <c r="D2764" s="88">
        <v>46247.688888888901</v>
      </c>
      <c r="E2764" s="89">
        <v>46247</v>
      </c>
      <c r="F2764" s="71" t="s">
        <v>2638</v>
      </c>
      <c r="G2764" s="71">
        <f t="shared" si="86"/>
        <v>8</v>
      </c>
      <c r="H2764" s="71">
        <f t="shared" si="87"/>
        <v>64</v>
      </c>
    </row>
    <row r="2765" spans="1:8" x14ac:dyDescent="0.2">
      <c r="A2765" s="71" t="s">
        <v>262</v>
      </c>
      <c r="B2765" s="71" t="s">
        <v>263</v>
      </c>
      <c r="C2765" s="71" t="s">
        <v>55</v>
      </c>
      <c r="D2765" s="88">
        <v>46248.6922569444</v>
      </c>
      <c r="E2765" s="89">
        <v>46248</v>
      </c>
      <c r="F2765" s="71" t="s">
        <v>2638</v>
      </c>
      <c r="G2765" s="71">
        <f t="shared" si="86"/>
        <v>8</v>
      </c>
      <c r="H2765" s="71">
        <f t="shared" si="87"/>
        <v>64</v>
      </c>
    </row>
    <row r="2766" spans="1:8" x14ac:dyDescent="0.2">
      <c r="A2766" s="71" t="s">
        <v>262</v>
      </c>
      <c r="B2766" s="71" t="s">
        <v>263</v>
      </c>
      <c r="C2766" s="71" t="s">
        <v>55</v>
      </c>
      <c r="D2766" s="88">
        <v>46252.692939814799</v>
      </c>
      <c r="E2766" s="89">
        <v>46252</v>
      </c>
      <c r="F2766" s="71" t="s">
        <v>2638</v>
      </c>
      <c r="G2766" s="71">
        <f t="shared" si="86"/>
        <v>8</v>
      </c>
      <c r="H2766" s="71">
        <f t="shared" si="87"/>
        <v>64</v>
      </c>
    </row>
    <row r="2767" spans="1:8" x14ac:dyDescent="0.2">
      <c r="A2767" s="71" t="s">
        <v>262</v>
      </c>
      <c r="B2767" s="71" t="s">
        <v>263</v>
      </c>
      <c r="C2767" s="71" t="s">
        <v>55</v>
      </c>
      <c r="D2767" s="88">
        <v>46253.679513888899</v>
      </c>
      <c r="E2767" s="89">
        <v>46253</v>
      </c>
      <c r="F2767" s="71" t="s">
        <v>2641</v>
      </c>
      <c r="G2767" s="71">
        <f t="shared" si="86"/>
        <v>8</v>
      </c>
      <c r="H2767" s="71">
        <f t="shared" si="87"/>
        <v>62</v>
      </c>
    </row>
    <row r="2768" spans="1:8" x14ac:dyDescent="0.2">
      <c r="A2768" s="71" t="s">
        <v>262</v>
      </c>
      <c r="B2768" s="71" t="s">
        <v>263</v>
      </c>
      <c r="C2768" s="71" t="s">
        <v>55</v>
      </c>
      <c r="D2768" s="88">
        <v>46254.683182870402</v>
      </c>
      <c r="E2768" s="89">
        <v>46254</v>
      </c>
      <c r="F2768" s="71" t="s">
        <v>2642</v>
      </c>
      <c r="G2768" s="71">
        <f t="shared" si="86"/>
        <v>8</v>
      </c>
      <c r="H2768" s="71">
        <f t="shared" si="87"/>
        <v>64</v>
      </c>
    </row>
    <row r="2769" spans="1:8" x14ac:dyDescent="0.2">
      <c r="A2769" s="71" t="s">
        <v>262</v>
      </c>
      <c r="B2769" s="71" t="s">
        <v>263</v>
      </c>
      <c r="C2769" s="71" t="s">
        <v>55</v>
      </c>
      <c r="D2769" s="88">
        <v>46255.687118055597</v>
      </c>
      <c r="E2769" s="89">
        <v>46255</v>
      </c>
      <c r="F2769" s="71" t="s">
        <v>2638</v>
      </c>
      <c r="G2769" s="71">
        <f t="shared" si="86"/>
        <v>8</v>
      </c>
      <c r="H2769" s="71">
        <f t="shared" si="87"/>
        <v>64</v>
      </c>
    </row>
    <row r="2770" spans="1:8" x14ac:dyDescent="0.2">
      <c r="A2770" s="71" t="s">
        <v>262</v>
      </c>
      <c r="B2770" s="71" t="s">
        <v>263</v>
      </c>
      <c r="C2770" s="71" t="s">
        <v>55</v>
      </c>
      <c r="D2770" s="88">
        <v>46258.688842592601</v>
      </c>
      <c r="E2770" s="89">
        <v>46258</v>
      </c>
      <c r="F2770" s="71" t="s">
        <v>2638</v>
      </c>
      <c r="G2770" s="71">
        <f t="shared" si="86"/>
        <v>8</v>
      </c>
      <c r="H2770" s="71">
        <f t="shared" si="87"/>
        <v>64</v>
      </c>
    </row>
    <row r="2771" spans="1:8" x14ac:dyDescent="0.2">
      <c r="A2771" s="71" t="s">
        <v>262</v>
      </c>
      <c r="B2771" s="71" t="s">
        <v>263</v>
      </c>
      <c r="C2771" s="71" t="s">
        <v>55</v>
      </c>
      <c r="D2771" s="88">
        <v>46260.6883564815</v>
      </c>
      <c r="E2771" s="89">
        <v>46260</v>
      </c>
      <c r="F2771" s="71" t="s">
        <v>2638</v>
      </c>
      <c r="G2771" s="71">
        <f t="shared" si="86"/>
        <v>8</v>
      </c>
      <c r="H2771" s="71">
        <f t="shared" si="87"/>
        <v>64</v>
      </c>
    </row>
    <row r="2772" spans="1:8" x14ac:dyDescent="0.2">
      <c r="A2772" s="71" t="s">
        <v>262</v>
      </c>
      <c r="B2772" s="71" t="s">
        <v>263</v>
      </c>
      <c r="C2772" s="71" t="s">
        <v>55</v>
      </c>
      <c r="D2772" s="88">
        <v>46261.686296296299</v>
      </c>
      <c r="E2772" s="89">
        <v>46261</v>
      </c>
      <c r="F2772" s="71" t="s">
        <v>2638</v>
      </c>
      <c r="G2772" s="71">
        <f t="shared" si="86"/>
        <v>8</v>
      </c>
      <c r="H2772" s="71">
        <f t="shared" si="87"/>
        <v>64</v>
      </c>
    </row>
    <row r="2773" spans="1:8" x14ac:dyDescent="0.2">
      <c r="A2773" s="71" t="s">
        <v>262</v>
      </c>
      <c r="B2773" s="71" t="s">
        <v>263</v>
      </c>
      <c r="C2773" s="71" t="s">
        <v>55</v>
      </c>
      <c r="D2773" s="88">
        <v>46262.689097222203</v>
      </c>
      <c r="E2773" s="89">
        <v>46262</v>
      </c>
      <c r="F2773" s="71" t="s">
        <v>2638</v>
      </c>
      <c r="G2773" s="71">
        <f t="shared" si="86"/>
        <v>8</v>
      </c>
      <c r="H2773" s="71">
        <f t="shared" si="87"/>
        <v>64</v>
      </c>
    </row>
    <row r="2774" spans="1:8" x14ac:dyDescent="0.2">
      <c r="A2774" s="71" t="s">
        <v>262</v>
      </c>
      <c r="B2774" s="71" t="s">
        <v>263</v>
      </c>
      <c r="C2774" s="71" t="s">
        <v>55</v>
      </c>
      <c r="D2774" s="88">
        <v>46265.695532407401</v>
      </c>
      <c r="E2774" s="89">
        <v>46265</v>
      </c>
      <c r="F2774" s="71" t="s">
        <v>2638</v>
      </c>
      <c r="G2774" s="71">
        <f t="shared" si="86"/>
        <v>8</v>
      </c>
      <c r="H2774" s="71">
        <f t="shared" si="87"/>
        <v>64</v>
      </c>
    </row>
    <row r="2775" spans="1:8" x14ac:dyDescent="0.2">
      <c r="A2775" s="71" t="s">
        <v>262</v>
      </c>
      <c r="B2775" s="71" t="s">
        <v>263</v>
      </c>
      <c r="C2775" s="71" t="s">
        <v>55</v>
      </c>
      <c r="D2775" s="88">
        <v>46266.6929282407</v>
      </c>
      <c r="E2775" s="89">
        <v>46266</v>
      </c>
      <c r="F2775" s="71" t="s">
        <v>2638</v>
      </c>
      <c r="G2775" s="71">
        <f t="shared" si="86"/>
        <v>9</v>
      </c>
      <c r="H2775" s="71">
        <f t="shared" si="87"/>
        <v>64</v>
      </c>
    </row>
    <row r="2776" spans="1:8" x14ac:dyDescent="0.2">
      <c r="A2776" s="71" t="s">
        <v>262</v>
      </c>
      <c r="B2776" s="71" t="s">
        <v>263</v>
      </c>
      <c r="C2776" s="71" t="s">
        <v>55</v>
      </c>
      <c r="D2776" s="88">
        <v>46267.680266203701</v>
      </c>
      <c r="E2776" s="89">
        <v>46267</v>
      </c>
      <c r="F2776" s="71" t="s">
        <v>2638</v>
      </c>
      <c r="G2776" s="71">
        <f t="shared" si="86"/>
        <v>9</v>
      </c>
      <c r="H2776" s="71">
        <f t="shared" si="87"/>
        <v>64</v>
      </c>
    </row>
    <row r="2777" spans="1:8" x14ac:dyDescent="0.2">
      <c r="A2777" s="71" t="s">
        <v>262</v>
      </c>
      <c r="B2777" s="71" t="s">
        <v>263</v>
      </c>
      <c r="C2777" s="71" t="s">
        <v>55</v>
      </c>
      <c r="D2777" s="88">
        <v>46268.690150463</v>
      </c>
      <c r="E2777" s="89">
        <v>46268</v>
      </c>
      <c r="F2777" s="71" t="s">
        <v>2638</v>
      </c>
      <c r="G2777" s="71">
        <f t="shared" si="86"/>
        <v>9</v>
      </c>
      <c r="H2777" s="71">
        <f t="shared" si="87"/>
        <v>64</v>
      </c>
    </row>
    <row r="2778" spans="1:8" x14ac:dyDescent="0.2">
      <c r="A2778" s="71" t="s">
        <v>262</v>
      </c>
      <c r="B2778" s="71" t="s">
        <v>263</v>
      </c>
      <c r="C2778" s="71" t="s">
        <v>55</v>
      </c>
      <c r="D2778" s="88">
        <v>46269.683391203696</v>
      </c>
      <c r="E2778" s="89">
        <v>46269</v>
      </c>
      <c r="F2778" s="71" t="s">
        <v>2638</v>
      </c>
      <c r="G2778" s="71">
        <f t="shared" si="86"/>
        <v>9</v>
      </c>
      <c r="H2778" s="71">
        <f t="shared" si="87"/>
        <v>64</v>
      </c>
    </row>
    <row r="2779" spans="1:8" x14ac:dyDescent="0.2">
      <c r="A2779" s="71" t="s">
        <v>262</v>
      </c>
      <c r="B2779" s="71" t="s">
        <v>263</v>
      </c>
      <c r="C2779" s="71" t="s">
        <v>55</v>
      </c>
      <c r="D2779" s="88">
        <v>46272.690706018497</v>
      </c>
      <c r="E2779" s="89">
        <v>46272</v>
      </c>
      <c r="F2779" s="71" t="s">
        <v>2638</v>
      </c>
      <c r="G2779" s="71">
        <f t="shared" si="86"/>
        <v>9</v>
      </c>
      <c r="H2779" s="71">
        <f t="shared" si="87"/>
        <v>64</v>
      </c>
    </row>
    <row r="2780" spans="1:8" x14ac:dyDescent="0.2">
      <c r="A2780" s="71" t="s">
        <v>262</v>
      </c>
      <c r="B2780" s="71" t="s">
        <v>263</v>
      </c>
      <c r="C2780" s="71" t="s">
        <v>55</v>
      </c>
      <c r="D2780" s="88">
        <v>46273.683680555601</v>
      </c>
      <c r="E2780" s="89">
        <v>46273</v>
      </c>
      <c r="F2780" s="71" t="s">
        <v>2638</v>
      </c>
      <c r="G2780" s="71">
        <f t="shared" si="86"/>
        <v>9</v>
      </c>
      <c r="H2780" s="71">
        <f t="shared" si="87"/>
        <v>64</v>
      </c>
    </row>
    <row r="2781" spans="1:8" x14ac:dyDescent="0.2">
      <c r="A2781" s="71" t="s">
        <v>262</v>
      </c>
      <c r="B2781" s="71" t="s">
        <v>263</v>
      </c>
      <c r="C2781" s="71" t="s">
        <v>55</v>
      </c>
      <c r="D2781" s="88">
        <v>46274.684004629598</v>
      </c>
      <c r="E2781" s="89">
        <v>46274</v>
      </c>
      <c r="F2781" s="71" t="s">
        <v>2643</v>
      </c>
      <c r="G2781" s="71">
        <f t="shared" si="86"/>
        <v>9</v>
      </c>
      <c r="H2781" s="71">
        <f t="shared" si="87"/>
        <v>64</v>
      </c>
    </row>
    <row r="2782" spans="1:8" x14ac:dyDescent="0.2">
      <c r="A2782" s="71" t="s">
        <v>262</v>
      </c>
      <c r="B2782" s="71" t="s">
        <v>263</v>
      </c>
      <c r="C2782" s="71" t="s">
        <v>55</v>
      </c>
      <c r="D2782" s="88">
        <v>46275.681030092601</v>
      </c>
      <c r="E2782" s="89">
        <v>46275</v>
      </c>
      <c r="F2782" s="71" t="s">
        <v>2638</v>
      </c>
      <c r="G2782" s="71">
        <f t="shared" si="86"/>
        <v>9</v>
      </c>
      <c r="H2782" s="71">
        <f t="shared" si="87"/>
        <v>64</v>
      </c>
    </row>
    <row r="2783" spans="1:8" x14ac:dyDescent="0.2">
      <c r="A2783" s="71" t="s">
        <v>262</v>
      </c>
      <c r="B2783" s="71" t="s">
        <v>263</v>
      </c>
      <c r="C2783" s="71" t="s">
        <v>55</v>
      </c>
      <c r="D2783" s="88">
        <v>46276.740763888898</v>
      </c>
      <c r="E2783" s="89">
        <v>46276</v>
      </c>
      <c r="F2783" s="71" t="s">
        <v>2638</v>
      </c>
      <c r="G2783" s="71">
        <f t="shared" si="86"/>
        <v>9</v>
      </c>
      <c r="H2783" s="71">
        <f t="shared" si="87"/>
        <v>64</v>
      </c>
    </row>
    <row r="2784" spans="1:8" x14ac:dyDescent="0.2">
      <c r="A2784" s="71" t="s">
        <v>262</v>
      </c>
      <c r="B2784" s="71" t="s">
        <v>263</v>
      </c>
      <c r="C2784" s="71" t="s">
        <v>55</v>
      </c>
      <c r="D2784" s="88">
        <v>46279.696180555598</v>
      </c>
      <c r="E2784" s="89">
        <v>46279</v>
      </c>
      <c r="F2784" s="71" t="s">
        <v>2638</v>
      </c>
      <c r="G2784" s="71">
        <f t="shared" si="86"/>
        <v>9</v>
      </c>
      <c r="H2784" s="71">
        <f t="shared" si="87"/>
        <v>64</v>
      </c>
    </row>
    <row r="2785" spans="1:8" x14ac:dyDescent="0.2">
      <c r="A2785" s="71" t="s">
        <v>262</v>
      </c>
      <c r="B2785" s="71" t="s">
        <v>263</v>
      </c>
      <c r="C2785" s="71" t="s">
        <v>55</v>
      </c>
      <c r="D2785" s="88">
        <v>46280.847476851901</v>
      </c>
      <c r="E2785" s="89">
        <v>46280</v>
      </c>
      <c r="F2785" s="71" t="s">
        <v>2638</v>
      </c>
      <c r="G2785" s="71">
        <f t="shared" si="86"/>
        <v>9</v>
      </c>
      <c r="H2785" s="71">
        <f t="shared" si="87"/>
        <v>64</v>
      </c>
    </row>
    <row r="2786" spans="1:8" x14ac:dyDescent="0.2">
      <c r="A2786" s="71" t="s">
        <v>198</v>
      </c>
      <c r="B2786" s="71" t="s">
        <v>199</v>
      </c>
      <c r="C2786" s="71" t="s">
        <v>47</v>
      </c>
      <c r="D2786" s="88">
        <v>46178.713842592602</v>
      </c>
      <c r="E2786" s="89">
        <v>46178</v>
      </c>
      <c r="F2786" s="71" t="s">
        <v>2644</v>
      </c>
      <c r="G2786" s="71">
        <f t="shared" si="86"/>
        <v>6</v>
      </c>
      <c r="H2786" s="71">
        <f t="shared" si="87"/>
        <v>82</v>
      </c>
    </row>
    <row r="2787" spans="1:8" x14ac:dyDescent="0.2">
      <c r="A2787" s="71" t="s">
        <v>198</v>
      </c>
      <c r="B2787" s="71" t="s">
        <v>199</v>
      </c>
      <c r="C2787" s="71" t="s">
        <v>47</v>
      </c>
      <c r="D2787" s="88">
        <v>46178.715775463003</v>
      </c>
      <c r="E2787" s="89">
        <v>46178</v>
      </c>
      <c r="F2787" s="71" t="s">
        <v>2645</v>
      </c>
      <c r="G2787" s="71">
        <f t="shared" si="86"/>
        <v>6</v>
      </c>
      <c r="H2787" s="71">
        <f t="shared" si="87"/>
        <v>55</v>
      </c>
    </row>
    <row r="2788" spans="1:8" x14ac:dyDescent="0.2">
      <c r="A2788" s="71" t="s">
        <v>198</v>
      </c>
      <c r="B2788" s="71" t="s">
        <v>199</v>
      </c>
      <c r="C2788" s="71" t="s">
        <v>47</v>
      </c>
      <c r="D2788" s="88">
        <v>46178.7166319444</v>
      </c>
      <c r="E2788" s="89">
        <v>46178</v>
      </c>
      <c r="F2788" s="71" t="s">
        <v>2646</v>
      </c>
      <c r="G2788" s="71">
        <f t="shared" si="86"/>
        <v>6</v>
      </c>
      <c r="H2788" s="71">
        <f t="shared" si="87"/>
        <v>40</v>
      </c>
    </row>
    <row r="2789" spans="1:8" x14ac:dyDescent="0.2">
      <c r="A2789" s="71" t="s">
        <v>198</v>
      </c>
      <c r="B2789" s="71" t="s">
        <v>199</v>
      </c>
      <c r="C2789" s="71" t="s">
        <v>47</v>
      </c>
      <c r="D2789" s="88">
        <v>46181.611018518503</v>
      </c>
      <c r="E2789" s="89">
        <v>46181</v>
      </c>
      <c r="F2789" s="71" t="s">
        <v>2647</v>
      </c>
      <c r="G2789" s="71">
        <f t="shared" si="86"/>
        <v>6</v>
      </c>
      <c r="H2789" s="71">
        <f t="shared" si="87"/>
        <v>68</v>
      </c>
    </row>
    <row r="2790" spans="1:8" x14ac:dyDescent="0.2">
      <c r="A2790" s="71" t="s">
        <v>198</v>
      </c>
      <c r="B2790" s="71" t="s">
        <v>199</v>
      </c>
      <c r="C2790" s="71" t="s">
        <v>47</v>
      </c>
      <c r="D2790" s="88">
        <v>46181.612083333297</v>
      </c>
      <c r="E2790" s="89">
        <v>46181</v>
      </c>
      <c r="F2790" s="71" t="s">
        <v>2648</v>
      </c>
      <c r="G2790" s="71">
        <f t="shared" si="86"/>
        <v>6</v>
      </c>
      <c r="H2790" s="71">
        <f t="shared" si="87"/>
        <v>78</v>
      </c>
    </row>
    <row r="2791" spans="1:8" x14ac:dyDescent="0.2">
      <c r="A2791" s="71" t="s">
        <v>198</v>
      </c>
      <c r="B2791" s="71" t="s">
        <v>199</v>
      </c>
      <c r="C2791" s="71" t="s">
        <v>47</v>
      </c>
      <c r="D2791" s="88">
        <v>46181.612777777802</v>
      </c>
      <c r="E2791" s="89">
        <v>46181</v>
      </c>
      <c r="F2791" s="71" t="s">
        <v>2649</v>
      </c>
      <c r="G2791" s="71">
        <f t="shared" si="86"/>
        <v>6</v>
      </c>
      <c r="H2791" s="71">
        <f t="shared" si="87"/>
        <v>29</v>
      </c>
    </row>
    <row r="2792" spans="1:8" x14ac:dyDescent="0.2">
      <c r="A2792" s="71" t="s">
        <v>198</v>
      </c>
      <c r="B2792" s="71" t="s">
        <v>199</v>
      </c>
      <c r="C2792" s="71" t="s">
        <v>47</v>
      </c>
      <c r="D2792" s="88">
        <v>46182.625590277799</v>
      </c>
      <c r="E2792" s="89">
        <v>46182</v>
      </c>
      <c r="F2792" s="71" t="s">
        <v>2650</v>
      </c>
      <c r="G2792" s="71">
        <f t="shared" si="86"/>
        <v>6</v>
      </c>
      <c r="H2792" s="71">
        <f t="shared" si="87"/>
        <v>53</v>
      </c>
    </row>
    <row r="2793" spans="1:8" x14ac:dyDescent="0.2">
      <c r="A2793" s="71" t="s">
        <v>198</v>
      </c>
      <c r="B2793" s="71" t="s">
        <v>199</v>
      </c>
      <c r="C2793" s="71" t="s">
        <v>47</v>
      </c>
      <c r="D2793" s="88">
        <v>46182.626423611102</v>
      </c>
      <c r="E2793" s="89">
        <v>46182</v>
      </c>
      <c r="F2793" s="71" t="s">
        <v>2651</v>
      </c>
      <c r="G2793" s="71">
        <f t="shared" si="86"/>
        <v>6</v>
      </c>
      <c r="H2793" s="71">
        <f t="shared" si="87"/>
        <v>62</v>
      </c>
    </row>
    <row r="2794" spans="1:8" x14ac:dyDescent="0.2">
      <c r="A2794" s="71" t="s">
        <v>198</v>
      </c>
      <c r="B2794" s="71" t="s">
        <v>199</v>
      </c>
      <c r="C2794" s="71" t="s">
        <v>47</v>
      </c>
      <c r="D2794" s="88">
        <v>46182.661099536999</v>
      </c>
      <c r="E2794" s="89">
        <v>46182</v>
      </c>
      <c r="F2794" s="71" t="s">
        <v>2652</v>
      </c>
      <c r="G2794" s="71">
        <f t="shared" si="86"/>
        <v>6</v>
      </c>
      <c r="H2794" s="71">
        <f t="shared" si="87"/>
        <v>51</v>
      </c>
    </row>
    <row r="2795" spans="1:8" x14ac:dyDescent="0.2">
      <c r="A2795" s="71" t="s">
        <v>198</v>
      </c>
      <c r="B2795" s="71" t="s">
        <v>199</v>
      </c>
      <c r="C2795" s="71" t="s">
        <v>47</v>
      </c>
      <c r="D2795" s="88">
        <v>46183.698182870401</v>
      </c>
      <c r="E2795" s="89">
        <v>46183</v>
      </c>
      <c r="F2795" s="71" t="s">
        <v>2653</v>
      </c>
      <c r="G2795" s="71">
        <f t="shared" si="86"/>
        <v>6</v>
      </c>
      <c r="H2795" s="71">
        <f t="shared" si="87"/>
        <v>37</v>
      </c>
    </row>
    <row r="2796" spans="1:8" x14ac:dyDescent="0.2">
      <c r="A2796" s="71" t="s">
        <v>198</v>
      </c>
      <c r="B2796" s="71" t="s">
        <v>199</v>
      </c>
      <c r="C2796" s="71" t="s">
        <v>47</v>
      </c>
      <c r="D2796" s="88">
        <v>46183.700277777803</v>
      </c>
      <c r="E2796" s="89">
        <v>46183</v>
      </c>
      <c r="F2796" s="71" t="s">
        <v>2654</v>
      </c>
      <c r="G2796" s="71">
        <f t="shared" si="86"/>
        <v>6</v>
      </c>
      <c r="H2796" s="71">
        <f t="shared" si="87"/>
        <v>45</v>
      </c>
    </row>
    <row r="2797" spans="1:8" x14ac:dyDescent="0.2">
      <c r="A2797" s="71" t="s">
        <v>198</v>
      </c>
      <c r="B2797" s="71" t="s">
        <v>199</v>
      </c>
      <c r="C2797" s="71" t="s">
        <v>47</v>
      </c>
      <c r="D2797" s="88">
        <v>46184.411921296298</v>
      </c>
      <c r="E2797" s="89">
        <v>46184</v>
      </c>
      <c r="F2797" s="71" t="s">
        <v>2655</v>
      </c>
      <c r="G2797" s="71">
        <f t="shared" si="86"/>
        <v>6</v>
      </c>
      <c r="H2797" s="71">
        <f t="shared" si="87"/>
        <v>50</v>
      </c>
    </row>
    <row r="2798" spans="1:8" x14ac:dyDescent="0.2">
      <c r="A2798" s="71" t="s">
        <v>198</v>
      </c>
      <c r="B2798" s="71" t="s">
        <v>199</v>
      </c>
      <c r="C2798" s="71" t="s">
        <v>47</v>
      </c>
      <c r="D2798" s="88">
        <v>46184.412731481498</v>
      </c>
      <c r="E2798" s="89">
        <v>46184</v>
      </c>
      <c r="F2798" s="71" t="s">
        <v>2656</v>
      </c>
      <c r="G2798" s="71">
        <f t="shared" si="86"/>
        <v>6</v>
      </c>
      <c r="H2798" s="71">
        <f t="shared" si="87"/>
        <v>48</v>
      </c>
    </row>
    <row r="2799" spans="1:8" x14ac:dyDescent="0.2">
      <c r="A2799" s="71" t="s">
        <v>198</v>
      </c>
      <c r="B2799" s="71" t="s">
        <v>199</v>
      </c>
      <c r="C2799" s="71" t="s">
        <v>47</v>
      </c>
      <c r="D2799" s="88">
        <v>46184.629120370402</v>
      </c>
      <c r="E2799" s="89">
        <v>46184</v>
      </c>
      <c r="F2799" s="71" t="s">
        <v>2657</v>
      </c>
      <c r="G2799" s="71">
        <f t="shared" si="86"/>
        <v>6</v>
      </c>
      <c r="H2799" s="71">
        <f t="shared" si="87"/>
        <v>59</v>
      </c>
    </row>
    <row r="2800" spans="1:8" x14ac:dyDescent="0.2">
      <c r="A2800" s="71" t="s">
        <v>198</v>
      </c>
      <c r="B2800" s="71" t="s">
        <v>199</v>
      </c>
      <c r="C2800" s="71" t="s">
        <v>47</v>
      </c>
      <c r="D2800" s="88">
        <v>46185.585706018501</v>
      </c>
      <c r="E2800" s="89">
        <v>46185</v>
      </c>
      <c r="F2800" s="71" t="s">
        <v>2658</v>
      </c>
      <c r="G2800" s="71">
        <f t="shared" si="86"/>
        <v>6</v>
      </c>
      <c r="H2800" s="71">
        <f t="shared" si="87"/>
        <v>50</v>
      </c>
    </row>
    <row r="2801" spans="1:8" x14ac:dyDescent="0.2">
      <c r="A2801" s="71" t="s">
        <v>198</v>
      </c>
      <c r="B2801" s="71" t="s">
        <v>199</v>
      </c>
      <c r="C2801" s="71" t="s">
        <v>47</v>
      </c>
      <c r="D2801" s="88">
        <v>46185.5864351852</v>
      </c>
      <c r="E2801" s="89">
        <v>46185</v>
      </c>
      <c r="F2801" s="71" t="s">
        <v>2659</v>
      </c>
      <c r="G2801" s="71">
        <f t="shared" si="86"/>
        <v>6</v>
      </c>
      <c r="H2801" s="71">
        <f t="shared" si="87"/>
        <v>62</v>
      </c>
    </row>
    <row r="2802" spans="1:8" x14ac:dyDescent="0.2">
      <c r="A2802" s="71" t="s">
        <v>198</v>
      </c>
      <c r="B2802" s="71" t="s">
        <v>199</v>
      </c>
      <c r="C2802" s="71" t="s">
        <v>47</v>
      </c>
      <c r="D2802" s="88">
        <v>46185.620393518497</v>
      </c>
      <c r="E2802" s="89">
        <v>46185</v>
      </c>
      <c r="F2802" s="71" t="s">
        <v>2660</v>
      </c>
      <c r="G2802" s="71">
        <f t="shared" si="86"/>
        <v>6</v>
      </c>
      <c r="H2802" s="71">
        <f t="shared" si="87"/>
        <v>70</v>
      </c>
    </row>
    <row r="2803" spans="1:8" x14ac:dyDescent="0.2">
      <c r="A2803" s="71" t="s">
        <v>198</v>
      </c>
      <c r="B2803" s="71" t="s">
        <v>199</v>
      </c>
      <c r="C2803" s="71" t="s">
        <v>47</v>
      </c>
      <c r="D2803" s="88">
        <v>46188.682303240697</v>
      </c>
      <c r="E2803" s="89">
        <v>46188</v>
      </c>
      <c r="F2803" s="71" t="s">
        <v>2661</v>
      </c>
      <c r="G2803" s="71">
        <f t="shared" si="86"/>
        <v>6</v>
      </c>
      <c r="H2803" s="71">
        <f t="shared" si="87"/>
        <v>54</v>
      </c>
    </row>
    <row r="2804" spans="1:8" x14ac:dyDescent="0.2">
      <c r="A2804" s="71" t="s">
        <v>198</v>
      </c>
      <c r="B2804" s="71" t="s">
        <v>199</v>
      </c>
      <c r="C2804" s="71" t="s">
        <v>47</v>
      </c>
      <c r="D2804" s="88">
        <v>46188.685150463003</v>
      </c>
      <c r="E2804" s="89">
        <v>46188</v>
      </c>
      <c r="F2804" s="71" t="s">
        <v>2662</v>
      </c>
      <c r="G2804" s="71">
        <f t="shared" si="86"/>
        <v>6</v>
      </c>
      <c r="H2804" s="71">
        <f t="shared" si="87"/>
        <v>70</v>
      </c>
    </row>
    <row r="2805" spans="1:8" x14ac:dyDescent="0.2">
      <c r="A2805" s="71" t="s">
        <v>198</v>
      </c>
      <c r="B2805" s="71" t="s">
        <v>199</v>
      </c>
      <c r="C2805" s="71" t="s">
        <v>47</v>
      </c>
      <c r="D2805" s="88">
        <v>46190.6429166667</v>
      </c>
      <c r="E2805" s="89">
        <v>46190</v>
      </c>
      <c r="F2805" s="71" t="s">
        <v>2663</v>
      </c>
      <c r="G2805" s="71">
        <f t="shared" si="86"/>
        <v>6</v>
      </c>
      <c r="H2805" s="71">
        <f t="shared" si="87"/>
        <v>54</v>
      </c>
    </row>
    <row r="2806" spans="1:8" x14ac:dyDescent="0.2">
      <c r="A2806" s="71" t="s">
        <v>198</v>
      </c>
      <c r="B2806" s="71" t="s">
        <v>199</v>
      </c>
      <c r="C2806" s="71" t="s">
        <v>47</v>
      </c>
      <c r="D2806" s="88">
        <v>46191.693541666697</v>
      </c>
      <c r="E2806" s="89">
        <v>46191</v>
      </c>
      <c r="F2806" s="71" t="s">
        <v>2664</v>
      </c>
      <c r="G2806" s="71">
        <f t="shared" si="86"/>
        <v>6</v>
      </c>
      <c r="H2806" s="71">
        <f t="shared" si="87"/>
        <v>47</v>
      </c>
    </row>
    <row r="2807" spans="1:8" x14ac:dyDescent="0.2">
      <c r="A2807" s="71" t="s">
        <v>198</v>
      </c>
      <c r="B2807" s="71" t="s">
        <v>199</v>
      </c>
      <c r="C2807" s="71" t="s">
        <v>47</v>
      </c>
      <c r="D2807" s="88">
        <v>46191.6940509259</v>
      </c>
      <c r="E2807" s="89">
        <v>46191</v>
      </c>
      <c r="F2807" s="71" t="s">
        <v>2665</v>
      </c>
      <c r="G2807" s="71">
        <f t="shared" si="86"/>
        <v>6</v>
      </c>
      <c r="H2807" s="71">
        <f t="shared" si="87"/>
        <v>54</v>
      </c>
    </row>
    <row r="2808" spans="1:8" x14ac:dyDescent="0.2">
      <c r="A2808" s="71" t="s">
        <v>198</v>
      </c>
      <c r="B2808" s="71" t="s">
        <v>199</v>
      </c>
      <c r="C2808" s="71" t="s">
        <v>47</v>
      </c>
      <c r="D2808" s="88">
        <v>46192.398148148197</v>
      </c>
      <c r="E2808" s="89">
        <v>46192</v>
      </c>
      <c r="F2808" s="71" t="s">
        <v>2666</v>
      </c>
      <c r="G2808" s="71">
        <f t="shared" si="86"/>
        <v>6</v>
      </c>
      <c r="H2808" s="71">
        <f t="shared" si="87"/>
        <v>53</v>
      </c>
    </row>
    <row r="2809" spans="1:8" x14ac:dyDescent="0.2">
      <c r="A2809" s="71" t="s">
        <v>198</v>
      </c>
      <c r="B2809" s="71" t="s">
        <v>199</v>
      </c>
      <c r="C2809" s="71" t="s">
        <v>47</v>
      </c>
      <c r="D2809" s="88">
        <v>46192.398773148198</v>
      </c>
      <c r="E2809" s="89">
        <v>46192</v>
      </c>
      <c r="F2809" s="71" t="s">
        <v>2667</v>
      </c>
      <c r="G2809" s="71">
        <f t="shared" si="86"/>
        <v>6</v>
      </c>
      <c r="H2809" s="71">
        <f t="shared" si="87"/>
        <v>63</v>
      </c>
    </row>
    <row r="2810" spans="1:8" x14ac:dyDescent="0.2">
      <c r="A2810" s="71" t="s">
        <v>198</v>
      </c>
      <c r="B2810" s="71" t="s">
        <v>199</v>
      </c>
      <c r="C2810" s="71" t="s">
        <v>47</v>
      </c>
      <c r="D2810" s="88">
        <v>46192.657928240696</v>
      </c>
      <c r="E2810" s="89">
        <v>46192</v>
      </c>
      <c r="F2810" s="71" t="s">
        <v>2668</v>
      </c>
      <c r="G2810" s="71">
        <f t="shared" si="86"/>
        <v>6</v>
      </c>
      <c r="H2810" s="71">
        <f t="shared" si="87"/>
        <v>34</v>
      </c>
    </row>
    <row r="2811" spans="1:8" x14ac:dyDescent="0.2">
      <c r="A2811" s="71" t="s">
        <v>198</v>
      </c>
      <c r="B2811" s="71" t="s">
        <v>199</v>
      </c>
      <c r="C2811" s="71" t="s">
        <v>47</v>
      </c>
      <c r="D2811" s="88">
        <v>46195.675381944398</v>
      </c>
      <c r="E2811" s="89">
        <v>46195</v>
      </c>
      <c r="F2811" s="71" t="s">
        <v>2669</v>
      </c>
      <c r="G2811" s="71">
        <f t="shared" si="86"/>
        <v>6</v>
      </c>
      <c r="H2811" s="71">
        <f t="shared" si="87"/>
        <v>60</v>
      </c>
    </row>
    <row r="2812" spans="1:8" x14ac:dyDescent="0.2">
      <c r="A2812" s="71" t="s">
        <v>198</v>
      </c>
      <c r="B2812" s="71" t="s">
        <v>199</v>
      </c>
      <c r="C2812" s="71" t="s">
        <v>47</v>
      </c>
      <c r="D2812" s="88">
        <v>46195.676678240699</v>
      </c>
      <c r="E2812" s="89">
        <v>46195</v>
      </c>
      <c r="F2812" s="71" t="s">
        <v>2670</v>
      </c>
      <c r="G2812" s="71">
        <f t="shared" si="86"/>
        <v>6</v>
      </c>
      <c r="H2812" s="71">
        <f t="shared" si="87"/>
        <v>54</v>
      </c>
    </row>
    <row r="2813" spans="1:8" x14ac:dyDescent="0.2">
      <c r="A2813" s="71" t="s">
        <v>198</v>
      </c>
      <c r="B2813" s="71" t="s">
        <v>199</v>
      </c>
      <c r="C2813" s="71" t="s">
        <v>47</v>
      </c>
      <c r="D2813" s="88">
        <v>46195.677534722199</v>
      </c>
      <c r="E2813" s="89">
        <v>46195</v>
      </c>
      <c r="F2813" s="71" t="s">
        <v>2671</v>
      </c>
      <c r="G2813" s="71">
        <f t="shared" si="86"/>
        <v>6</v>
      </c>
      <c r="H2813" s="71">
        <f t="shared" si="87"/>
        <v>69</v>
      </c>
    </row>
    <row r="2814" spans="1:8" x14ac:dyDescent="0.2">
      <c r="A2814" s="71" t="s">
        <v>198</v>
      </c>
      <c r="B2814" s="71" t="s">
        <v>199</v>
      </c>
      <c r="C2814" s="71" t="s">
        <v>47</v>
      </c>
      <c r="D2814" s="88">
        <v>46195.678391203699</v>
      </c>
      <c r="E2814" s="89">
        <v>46195</v>
      </c>
      <c r="F2814" s="71" t="s">
        <v>2672</v>
      </c>
      <c r="G2814" s="71">
        <f t="shared" si="86"/>
        <v>6</v>
      </c>
      <c r="H2814" s="71">
        <f t="shared" si="87"/>
        <v>37</v>
      </c>
    </row>
    <row r="2815" spans="1:8" x14ac:dyDescent="0.2">
      <c r="A2815" s="71" t="s">
        <v>198</v>
      </c>
      <c r="B2815" s="71" t="s">
        <v>199</v>
      </c>
      <c r="C2815" s="71" t="s">
        <v>47</v>
      </c>
      <c r="D2815" s="88">
        <v>46196.631527777798</v>
      </c>
      <c r="E2815" s="89">
        <v>46196</v>
      </c>
      <c r="F2815" s="71" t="s">
        <v>2673</v>
      </c>
      <c r="G2815" s="71">
        <f t="shared" si="86"/>
        <v>6</v>
      </c>
      <c r="H2815" s="71">
        <f t="shared" si="87"/>
        <v>58</v>
      </c>
    </row>
    <row r="2816" spans="1:8" x14ac:dyDescent="0.2">
      <c r="A2816" s="71" t="s">
        <v>198</v>
      </c>
      <c r="B2816" s="71" t="s">
        <v>199</v>
      </c>
      <c r="C2816" s="71" t="s">
        <v>47</v>
      </c>
      <c r="D2816" s="88">
        <v>46196.632442129601</v>
      </c>
      <c r="E2816" s="89">
        <v>46196</v>
      </c>
      <c r="F2816" s="71" t="s">
        <v>2674</v>
      </c>
      <c r="G2816" s="71">
        <f t="shared" si="86"/>
        <v>6</v>
      </c>
      <c r="H2816" s="71">
        <f t="shared" si="87"/>
        <v>56</v>
      </c>
    </row>
    <row r="2817" spans="1:8" x14ac:dyDescent="0.2">
      <c r="A2817" s="71" t="s">
        <v>198</v>
      </c>
      <c r="B2817" s="71" t="s">
        <v>199</v>
      </c>
      <c r="C2817" s="71" t="s">
        <v>47</v>
      </c>
      <c r="D2817" s="88">
        <v>46196.6332638889</v>
      </c>
      <c r="E2817" s="89">
        <v>46196</v>
      </c>
      <c r="F2817" s="71" t="s">
        <v>2675</v>
      </c>
      <c r="G2817" s="71">
        <f t="shared" si="86"/>
        <v>6</v>
      </c>
      <c r="H2817" s="71">
        <f t="shared" si="87"/>
        <v>50</v>
      </c>
    </row>
    <row r="2818" spans="1:8" x14ac:dyDescent="0.2">
      <c r="A2818" s="71" t="s">
        <v>198</v>
      </c>
      <c r="B2818" s="71" t="s">
        <v>199</v>
      </c>
      <c r="C2818" s="71" t="s">
        <v>47</v>
      </c>
      <c r="D2818" s="88">
        <v>46197.657789351899</v>
      </c>
      <c r="E2818" s="89">
        <v>46197</v>
      </c>
      <c r="F2818" s="71" t="s">
        <v>2676</v>
      </c>
      <c r="G2818" s="71">
        <f t="shared" ref="G2818:G2881" si="88">MONTH(E2818)</f>
        <v>6</v>
      </c>
      <c r="H2818" s="71">
        <f t="shared" ref="H2818:H2881" si="89">LEN(F2818)</f>
        <v>66</v>
      </c>
    </row>
    <row r="2819" spans="1:8" x14ac:dyDescent="0.2">
      <c r="A2819" s="71" t="s">
        <v>198</v>
      </c>
      <c r="B2819" s="71" t="s">
        <v>199</v>
      </c>
      <c r="C2819" s="71" t="s">
        <v>47</v>
      </c>
      <c r="D2819" s="88">
        <v>46197.6583217593</v>
      </c>
      <c r="E2819" s="89">
        <v>46197</v>
      </c>
      <c r="F2819" s="71" t="s">
        <v>2677</v>
      </c>
      <c r="G2819" s="71">
        <f t="shared" si="88"/>
        <v>6</v>
      </c>
      <c r="H2819" s="71">
        <f t="shared" si="89"/>
        <v>51</v>
      </c>
    </row>
    <row r="2820" spans="1:8" x14ac:dyDescent="0.2">
      <c r="A2820" s="71" t="s">
        <v>198</v>
      </c>
      <c r="B2820" s="71" t="s">
        <v>199</v>
      </c>
      <c r="C2820" s="71" t="s">
        <v>47</v>
      </c>
      <c r="D2820" s="88">
        <v>46197.658969907403</v>
      </c>
      <c r="E2820" s="89">
        <v>46197</v>
      </c>
      <c r="F2820" s="71" t="s">
        <v>2678</v>
      </c>
      <c r="G2820" s="71">
        <f t="shared" si="88"/>
        <v>6</v>
      </c>
      <c r="H2820" s="71">
        <f t="shared" si="89"/>
        <v>66</v>
      </c>
    </row>
    <row r="2821" spans="1:8" x14ac:dyDescent="0.2">
      <c r="A2821" s="71" t="s">
        <v>198</v>
      </c>
      <c r="B2821" s="71" t="s">
        <v>199</v>
      </c>
      <c r="C2821" s="71" t="s">
        <v>47</v>
      </c>
      <c r="D2821" s="88">
        <v>46198.479178240697</v>
      </c>
      <c r="E2821" s="89">
        <v>46198</v>
      </c>
      <c r="F2821" s="71" t="s">
        <v>2679</v>
      </c>
      <c r="G2821" s="71">
        <f t="shared" si="88"/>
        <v>6</v>
      </c>
      <c r="H2821" s="71">
        <f t="shared" si="89"/>
        <v>36</v>
      </c>
    </row>
    <row r="2822" spans="1:8" x14ac:dyDescent="0.2">
      <c r="A2822" s="71" t="s">
        <v>198</v>
      </c>
      <c r="B2822" s="71" t="s">
        <v>199</v>
      </c>
      <c r="C2822" s="71" t="s">
        <v>47</v>
      </c>
      <c r="D2822" s="88">
        <v>46198.479606481502</v>
      </c>
      <c r="E2822" s="89">
        <v>46198</v>
      </c>
      <c r="F2822" s="71" t="s">
        <v>2680</v>
      </c>
      <c r="G2822" s="71">
        <f t="shared" si="88"/>
        <v>6</v>
      </c>
      <c r="H2822" s="71">
        <f t="shared" si="89"/>
        <v>73</v>
      </c>
    </row>
    <row r="2823" spans="1:8" x14ac:dyDescent="0.2">
      <c r="A2823" s="71" t="s">
        <v>198</v>
      </c>
      <c r="B2823" s="71" t="s">
        <v>199</v>
      </c>
      <c r="C2823" s="71" t="s">
        <v>47</v>
      </c>
      <c r="D2823" s="88">
        <v>46199.580891203703</v>
      </c>
      <c r="E2823" s="89">
        <v>46199</v>
      </c>
      <c r="F2823" s="71" t="s">
        <v>2681</v>
      </c>
      <c r="G2823" s="71">
        <f t="shared" si="88"/>
        <v>6</v>
      </c>
      <c r="H2823" s="71">
        <f t="shared" si="89"/>
        <v>48</v>
      </c>
    </row>
    <row r="2824" spans="1:8" x14ac:dyDescent="0.2">
      <c r="A2824" s="71" t="s">
        <v>198</v>
      </c>
      <c r="B2824" s="71" t="s">
        <v>199</v>
      </c>
      <c r="C2824" s="71" t="s">
        <v>47</v>
      </c>
      <c r="D2824" s="88">
        <v>46199.581516203703</v>
      </c>
      <c r="E2824" s="89">
        <v>46199</v>
      </c>
      <c r="F2824" s="71" t="s">
        <v>2682</v>
      </c>
      <c r="G2824" s="71">
        <f t="shared" si="88"/>
        <v>6</v>
      </c>
      <c r="H2824" s="71">
        <f t="shared" si="89"/>
        <v>58</v>
      </c>
    </row>
    <row r="2825" spans="1:8" x14ac:dyDescent="0.2">
      <c r="A2825" s="71" t="s">
        <v>198</v>
      </c>
      <c r="B2825" s="71" t="s">
        <v>199</v>
      </c>
      <c r="C2825" s="71" t="s">
        <v>47</v>
      </c>
      <c r="D2825" s="88">
        <v>46199.582094907397</v>
      </c>
      <c r="E2825" s="89">
        <v>46199</v>
      </c>
      <c r="F2825" s="71" t="s">
        <v>2683</v>
      </c>
      <c r="G2825" s="71">
        <f t="shared" si="88"/>
        <v>6</v>
      </c>
      <c r="H2825" s="71">
        <f t="shared" si="89"/>
        <v>48</v>
      </c>
    </row>
    <row r="2826" spans="1:8" x14ac:dyDescent="0.2">
      <c r="A2826" s="71" t="s">
        <v>198</v>
      </c>
      <c r="B2826" s="71" t="s">
        <v>199</v>
      </c>
      <c r="C2826" s="71" t="s">
        <v>47</v>
      </c>
      <c r="D2826" s="88">
        <v>46202.4991898148</v>
      </c>
      <c r="E2826" s="89">
        <v>46202</v>
      </c>
      <c r="F2826" s="71" t="s">
        <v>2684</v>
      </c>
      <c r="G2826" s="71">
        <f t="shared" si="88"/>
        <v>6</v>
      </c>
      <c r="H2826" s="71">
        <f t="shared" si="89"/>
        <v>47</v>
      </c>
    </row>
    <row r="2827" spans="1:8" x14ac:dyDescent="0.2">
      <c r="A2827" s="71" t="s">
        <v>198</v>
      </c>
      <c r="B2827" s="71" t="s">
        <v>199</v>
      </c>
      <c r="C2827" s="71" t="s">
        <v>47</v>
      </c>
      <c r="D2827" s="88">
        <v>46202.499837962998</v>
      </c>
      <c r="E2827" s="89">
        <v>46202</v>
      </c>
      <c r="F2827" s="71" t="s">
        <v>2685</v>
      </c>
      <c r="G2827" s="71">
        <f t="shared" si="88"/>
        <v>6</v>
      </c>
      <c r="H2827" s="71">
        <f t="shared" si="89"/>
        <v>61</v>
      </c>
    </row>
    <row r="2828" spans="1:8" x14ac:dyDescent="0.2">
      <c r="A2828" s="71" t="s">
        <v>198</v>
      </c>
      <c r="B2828" s="71" t="s">
        <v>199</v>
      </c>
      <c r="C2828" s="71" t="s">
        <v>47</v>
      </c>
      <c r="D2828" s="88">
        <v>46202.500393518501</v>
      </c>
      <c r="E2828" s="89">
        <v>46202</v>
      </c>
      <c r="F2828" s="71" t="s">
        <v>2686</v>
      </c>
      <c r="G2828" s="71">
        <f t="shared" si="88"/>
        <v>6</v>
      </c>
      <c r="H2828" s="71">
        <f t="shared" si="89"/>
        <v>52</v>
      </c>
    </row>
    <row r="2829" spans="1:8" x14ac:dyDescent="0.2">
      <c r="A2829" s="71" t="s">
        <v>198</v>
      </c>
      <c r="B2829" s="71" t="s">
        <v>199</v>
      </c>
      <c r="C2829" s="71" t="s">
        <v>47</v>
      </c>
      <c r="D2829" s="88">
        <v>46202.682083333297</v>
      </c>
      <c r="E2829" s="89">
        <v>46202</v>
      </c>
      <c r="F2829" s="71" t="s">
        <v>2687</v>
      </c>
      <c r="G2829" s="71">
        <f t="shared" si="88"/>
        <v>6</v>
      </c>
      <c r="H2829" s="71">
        <f t="shared" si="89"/>
        <v>55</v>
      </c>
    </row>
    <row r="2830" spans="1:8" x14ac:dyDescent="0.2">
      <c r="A2830" s="71" t="s">
        <v>198</v>
      </c>
      <c r="B2830" s="71" t="s">
        <v>199</v>
      </c>
      <c r="C2830" s="71" t="s">
        <v>47</v>
      </c>
      <c r="D2830" s="88">
        <v>46204.607627314799</v>
      </c>
      <c r="E2830" s="89">
        <v>46204</v>
      </c>
      <c r="F2830" s="71" t="s">
        <v>2688</v>
      </c>
      <c r="G2830" s="71">
        <f t="shared" si="88"/>
        <v>7</v>
      </c>
      <c r="H2830" s="71">
        <f t="shared" si="89"/>
        <v>47</v>
      </c>
    </row>
    <row r="2831" spans="1:8" x14ac:dyDescent="0.2">
      <c r="A2831" s="71" t="s">
        <v>198</v>
      </c>
      <c r="B2831" s="71" t="s">
        <v>199</v>
      </c>
      <c r="C2831" s="71" t="s">
        <v>47</v>
      </c>
      <c r="D2831" s="88">
        <v>46205.473935185197</v>
      </c>
      <c r="E2831" s="89">
        <v>46205</v>
      </c>
      <c r="F2831" s="71" t="s">
        <v>2689</v>
      </c>
      <c r="G2831" s="71">
        <f t="shared" si="88"/>
        <v>7</v>
      </c>
      <c r="H2831" s="71">
        <f t="shared" si="89"/>
        <v>46</v>
      </c>
    </row>
    <row r="2832" spans="1:8" x14ac:dyDescent="0.2">
      <c r="A2832" s="71" t="s">
        <v>198</v>
      </c>
      <c r="B2832" s="71" t="s">
        <v>199</v>
      </c>
      <c r="C2832" s="71" t="s">
        <v>47</v>
      </c>
      <c r="D2832" s="88">
        <v>46205.474884259304</v>
      </c>
      <c r="E2832" s="89">
        <v>46205</v>
      </c>
      <c r="F2832" s="71" t="s">
        <v>2690</v>
      </c>
      <c r="G2832" s="71">
        <f t="shared" si="88"/>
        <v>7</v>
      </c>
      <c r="H2832" s="71">
        <f t="shared" si="89"/>
        <v>56</v>
      </c>
    </row>
    <row r="2833" spans="1:8" x14ac:dyDescent="0.2">
      <c r="A2833" s="71" t="s">
        <v>198</v>
      </c>
      <c r="B2833" s="71" t="s">
        <v>199</v>
      </c>
      <c r="C2833" s="71" t="s">
        <v>47</v>
      </c>
      <c r="D2833" s="88">
        <v>46206.555717592601</v>
      </c>
      <c r="E2833" s="89">
        <v>46206</v>
      </c>
      <c r="F2833" s="71" t="s">
        <v>2691</v>
      </c>
      <c r="G2833" s="71">
        <f t="shared" si="88"/>
        <v>7</v>
      </c>
      <c r="H2833" s="71">
        <f t="shared" si="89"/>
        <v>46</v>
      </c>
    </row>
    <row r="2834" spans="1:8" x14ac:dyDescent="0.2">
      <c r="A2834" s="71" t="s">
        <v>198</v>
      </c>
      <c r="B2834" s="71" t="s">
        <v>199</v>
      </c>
      <c r="C2834" s="71" t="s">
        <v>47</v>
      </c>
      <c r="D2834" s="88">
        <v>46206.556284722203</v>
      </c>
      <c r="E2834" s="89">
        <v>46206</v>
      </c>
      <c r="F2834" s="71" t="s">
        <v>2692</v>
      </c>
      <c r="G2834" s="71">
        <f t="shared" si="88"/>
        <v>7</v>
      </c>
      <c r="H2834" s="71">
        <f t="shared" si="89"/>
        <v>78</v>
      </c>
    </row>
    <row r="2835" spans="1:8" x14ac:dyDescent="0.2">
      <c r="A2835" s="71" t="s">
        <v>198</v>
      </c>
      <c r="B2835" s="71" t="s">
        <v>199</v>
      </c>
      <c r="C2835" s="71" t="s">
        <v>47</v>
      </c>
      <c r="D2835" s="88">
        <v>46206.6106828704</v>
      </c>
      <c r="E2835" s="89">
        <v>46206</v>
      </c>
      <c r="F2835" s="71" t="s">
        <v>2693</v>
      </c>
      <c r="G2835" s="71">
        <f t="shared" si="88"/>
        <v>7</v>
      </c>
      <c r="H2835" s="71">
        <f t="shared" si="89"/>
        <v>56</v>
      </c>
    </row>
    <row r="2836" spans="1:8" x14ac:dyDescent="0.2">
      <c r="A2836" s="71" t="s">
        <v>198</v>
      </c>
      <c r="B2836" s="71" t="s">
        <v>199</v>
      </c>
      <c r="C2836" s="71" t="s">
        <v>47</v>
      </c>
      <c r="D2836" s="88">
        <v>46209.662060185197</v>
      </c>
      <c r="E2836" s="89">
        <v>46209</v>
      </c>
      <c r="F2836" s="71" t="s">
        <v>2694</v>
      </c>
      <c r="G2836" s="71">
        <f t="shared" si="88"/>
        <v>7</v>
      </c>
      <c r="H2836" s="71">
        <f t="shared" si="89"/>
        <v>51</v>
      </c>
    </row>
    <row r="2837" spans="1:8" x14ac:dyDescent="0.2">
      <c r="A2837" s="71" t="s">
        <v>198</v>
      </c>
      <c r="B2837" s="71" t="s">
        <v>199</v>
      </c>
      <c r="C2837" s="71" t="s">
        <v>47</v>
      </c>
      <c r="D2837" s="88">
        <v>46209.6627546296</v>
      </c>
      <c r="E2837" s="89">
        <v>46209</v>
      </c>
      <c r="F2837" s="71" t="s">
        <v>2695</v>
      </c>
      <c r="G2837" s="71">
        <f t="shared" si="88"/>
        <v>7</v>
      </c>
      <c r="H2837" s="71">
        <f t="shared" si="89"/>
        <v>61</v>
      </c>
    </row>
    <row r="2838" spans="1:8" x14ac:dyDescent="0.2">
      <c r="A2838" s="71" t="s">
        <v>198</v>
      </c>
      <c r="B2838" s="71" t="s">
        <v>199</v>
      </c>
      <c r="C2838" s="71" t="s">
        <v>47</v>
      </c>
      <c r="D2838" s="88">
        <v>46209.664305555598</v>
      </c>
      <c r="E2838" s="89">
        <v>46209</v>
      </c>
      <c r="F2838" s="71" t="s">
        <v>2696</v>
      </c>
      <c r="G2838" s="71">
        <f t="shared" si="88"/>
        <v>7</v>
      </c>
      <c r="H2838" s="71">
        <f t="shared" si="89"/>
        <v>53</v>
      </c>
    </row>
    <row r="2839" spans="1:8" x14ac:dyDescent="0.2">
      <c r="A2839" s="71" t="s">
        <v>198</v>
      </c>
      <c r="B2839" s="71" t="s">
        <v>199</v>
      </c>
      <c r="C2839" s="71" t="s">
        <v>47</v>
      </c>
      <c r="D2839" s="88">
        <v>46210.439953703702</v>
      </c>
      <c r="E2839" s="89">
        <v>46210</v>
      </c>
      <c r="F2839" s="71" t="s">
        <v>2697</v>
      </c>
      <c r="G2839" s="71">
        <f t="shared" si="88"/>
        <v>7</v>
      </c>
      <c r="H2839" s="71">
        <f t="shared" si="89"/>
        <v>62</v>
      </c>
    </row>
    <row r="2840" spans="1:8" x14ac:dyDescent="0.2">
      <c r="A2840" s="71" t="s">
        <v>198</v>
      </c>
      <c r="B2840" s="71" t="s">
        <v>199</v>
      </c>
      <c r="C2840" s="71" t="s">
        <v>47</v>
      </c>
      <c r="D2840" s="88">
        <v>46210.475416666697</v>
      </c>
      <c r="E2840" s="89">
        <v>46210</v>
      </c>
      <c r="F2840" s="71" t="s">
        <v>2698</v>
      </c>
      <c r="G2840" s="71">
        <f t="shared" si="88"/>
        <v>7</v>
      </c>
      <c r="H2840" s="71">
        <f t="shared" si="89"/>
        <v>52</v>
      </c>
    </row>
    <row r="2841" spans="1:8" x14ac:dyDescent="0.2">
      <c r="A2841" s="71" t="s">
        <v>198</v>
      </c>
      <c r="B2841" s="71" t="s">
        <v>199</v>
      </c>
      <c r="C2841" s="71" t="s">
        <v>47</v>
      </c>
      <c r="D2841" s="88">
        <v>46210.588958333297</v>
      </c>
      <c r="E2841" s="89">
        <v>46210</v>
      </c>
      <c r="F2841" s="71" t="s">
        <v>2699</v>
      </c>
      <c r="G2841" s="71">
        <f t="shared" si="88"/>
        <v>7</v>
      </c>
      <c r="H2841" s="71">
        <f t="shared" si="89"/>
        <v>64</v>
      </c>
    </row>
    <row r="2842" spans="1:8" x14ac:dyDescent="0.2">
      <c r="A2842" s="71" t="s">
        <v>198</v>
      </c>
      <c r="B2842" s="71" t="s">
        <v>199</v>
      </c>
      <c r="C2842" s="71" t="s">
        <v>47</v>
      </c>
      <c r="D2842" s="88">
        <v>46211.769502314797</v>
      </c>
      <c r="E2842" s="89">
        <v>46211</v>
      </c>
      <c r="F2842" s="71" t="s">
        <v>2700</v>
      </c>
      <c r="G2842" s="71">
        <f t="shared" si="88"/>
        <v>7</v>
      </c>
      <c r="H2842" s="71">
        <f t="shared" si="89"/>
        <v>56</v>
      </c>
    </row>
    <row r="2843" spans="1:8" x14ac:dyDescent="0.2">
      <c r="A2843" s="71" t="s">
        <v>198</v>
      </c>
      <c r="B2843" s="71" t="s">
        <v>199</v>
      </c>
      <c r="C2843" s="71" t="s">
        <v>47</v>
      </c>
      <c r="D2843" s="88">
        <v>46212.692013888904</v>
      </c>
      <c r="E2843" s="89">
        <v>46212</v>
      </c>
      <c r="F2843" s="71" t="s">
        <v>2701</v>
      </c>
      <c r="G2843" s="71">
        <f t="shared" si="88"/>
        <v>7</v>
      </c>
      <c r="H2843" s="71">
        <f t="shared" si="89"/>
        <v>54</v>
      </c>
    </row>
    <row r="2844" spans="1:8" x14ac:dyDescent="0.2">
      <c r="A2844" s="71" t="s">
        <v>198</v>
      </c>
      <c r="B2844" s="71" t="s">
        <v>199</v>
      </c>
      <c r="C2844" s="71" t="s">
        <v>47</v>
      </c>
      <c r="D2844" s="88">
        <v>46212.692743055602</v>
      </c>
      <c r="E2844" s="89">
        <v>46212</v>
      </c>
      <c r="F2844" s="71" t="s">
        <v>2702</v>
      </c>
      <c r="G2844" s="71">
        <f t="shared" si="88"/>
        <v>7</v>
      </c>
      <c r="H2844" s="71">
        <f t="shared" si="89"/>
        <v>56</v>
      </c>
    </row>
    <row r="2845" spans="1:8" x14ac:dyDescent="0.2">
      <c r="A2845" s="71" t="s">
        <v>198</v>
      </c>
      <c r="B2845" s="71" t="s">
        <v>199</v>
      </c>
      <c r="C2845" s="71" t="s">
        <v>47</v>
      </c>
      <c r="D2845" s="88">
        <v>46213.856388888897</v>
      </c>
      <c r="E2845" s="89">
        <v>46213</v>
      </c>
      <c r="F2845" s="71" t="s">
        <v>2703</v>
      </c>
      <c r="G2845" s="71">
        <f t="shared" si="88"/>
        <v>7</v>
      </c>
      <c r="H2845" s="71">
        <f t="shared" si="89"/>
        <v>79</v>
      </c>
    </row>
    <row r="2846" spans="1:8" x14ac:dyDescent="0.2">
      <c r="A2846" s="71" t="s">
        <v>198</v>
      </c>
      <c r="B2846" s="71" t="s">
        <v>199</v>
      </c>
      <c r="C2846" s="71" t="s">
        <v>47</v>
      </c>
      <c r="D2846" s="88">
        <v>46213.858217592599</v>
      </c>
      <c r="E2846" s="89">
        <v>46213</v>
      </c>
      <c r="F2846" s="71" t="s">
        <v>2704</v>
      </c>
      <c r="G2846" s="71">
        <f t="shared" si="88"/>
        <v>7</v>
      </c>
      <c r="H2846" s="71">
        <f t="shared" si="89"/>
        <v>70</v>
      </c>
    </row>
    <row r="2847" spans="1:8" x14ac:dyDescent="0.2">
      <c r="A2847" s="71" t="s">
        <v>198</v>
      </c>
      <c r="B2847" s="71" t="s">
        <v>199</v>
      </c>
      <c r="C2847" s="71" t="s">
        <v>47</v>
      </c>
      <c r="D2847" s="88">
        <v>46213.860671296301</v>
      </c>
      <c r="E2847" s="89">
        <v>46213</v>
      </c>
      <c r="F2847" s="71" t="s">
        <v>2705</v>
      </c>
      <c r="G2847" s="71">
        <f t="shared" si="88"/>
        <v>7</v>
      </c>
      <c r="H2847" s="71">
        <f t="shared" si="89"/>
        <v>52</v>
      </c>
    </row>
    <row r="2848" spans="1:8" x14ac:dyDescent="0.2">
      <c r="A2848" s="71" t="s">
        <v>198</v>
      </c>
      <c r="B2848" s="71" t="s">
        <v>199</v>
      </c>
      <c r="C2848" s="71" t="s">
        <v>47</v>
      </c>
      <c r="D2848" s="88">
        <v>46218.381840277798</v>
      </c>
      <c r="E2848" s="89">
        <v>46218</v>
      </c>
      <c r="F2848" s="71" t="s">
        <v>2706</v>
      </c>
      <c r="G2848" s="71">
        <f t="shared" si="88"/>
        <v>7</v>
      </c>
      <c r="H2848" s="71">
        <f t="shared" si="89"/>
        <v>61</v>
      </c>
    </row>
    <row r="2849" spans="1:8" x14ac:dyDescent="0.2">
      <c r="A2849" s="71" t="s">
        <v>198</v>
      </c>
      <c r="B2849" s="71" t="s">
        <v>199</v>
      </c>
      <c r="C2849" s="71" t="s">
        <v>47</v>
      </c>
      <c r="D2849" s="88">
        <v>46219.488333333298</v>
      </c>
      <c r="E2849" s="89">
        <v>46219</v>
      </c>
      <c r="F2849" s="71" t="s">
        <v>2707</v>
      </c>
      <c r="G2849" s="71">
        <f t="shared" si="88"/>
        <v>7</v>
      </c>
      <c r="H2849" s="71">
        <f t="shared" si="89"/>
        <v>82</v>
      </c>
    </row>
    <row r="2850" spans="1:8" x14ac:dyDescent="0.2">
      <c r="A2850" s="71" t="s">
        <v>198</v>
      </c>
      <c r="B2850" s="71" t="s">
        <v>199</v>
      </c>
      <c r="C2850" s="71" t="s">
        <v>47</v>
      </c>
      <c r="D2850" s="88">
        <v>46219.493599537003</v>
      </c>
      <c r="E2850" s="89">
        <v>46219</v>
      </c>
      <c r="F2850" s="71" t="s">
        <v>2708</v>
      </c>
      <c r="G2850" s="71">
        <f t="shared" si="88"/>
        <v>7</v>
      </c>
      <c r="H2850" s="71">
        <f t="shared" si="89"/>
        <v>76</v>
      </c>
    </row>
    <row r="2851" spans="1:8" x14ac:dyDescent="0.2">
      <c r="A2851" s="71" t="s">
        <v>198</v>
      </c>
      <c r="B2851" s="71" t="s">
        <v>199</v>
      </c>
      <c r="C2851" s="71" t="s">
        <v>47</v>
      </c>
      <c r="D2851" s="88">
        <v>46219.675671296303</v>
      </c>
      <c r="E2851" s="89">
        <v>46219</v>
      </c>
      <c r="F2851" s="71" t="s">
        <v>2709</v>
      </c>
      <c r="G2851" s="71">
        <f t="shared" si="88"/>
        <v>7</v>
      </c>
      <c r="H2851" s="71">
        <f t="shared" si="89"/>
        <v>58</v>
      </c>
    </row>
    <row r="2852" spans="1:8" x14ac:dyDescent="0.2">
      <c r="A2852" s="71" t="s">
        <v>198</v>
      </c>
      <c r="B2852" s="71" t="s">
        <v>199</v>
      </c>
      <c r="C2852" s="71" t="s">
        <v>47</v>
      </c>
      <c r="D2852" s="88">
        <v>46219.689664351899</v>
      </c>
      <c r="E2852" s="89">
        <v>46219</v>
      </c>
      <c r="F2852" s="71" t="s">
        <v>2710</v>
      </c>
      <c r="G2852" s="71">
        <f t="shared" si="88"/>
        <v>7</v>
      </c>
      <c r="H2852" s="71">
        <f t="shared" si="89"/>
        <v>67</v>
      </c>
    </row>
    <row r="2853" spans="1:8" x14ac:dyDescent="0.2">
      <c r="A2853" s="71" t="s">
        <v>198</v>
      </c>
      <c r="B2853" s="71" t="s">
        <v>199</v>
      </c>
      <c r="C2853" s="71" t="s">
        <v>47</v>
      </c>
      <c r="D2853" s="88">
        <v>46220.432997685202</v>
      </c>
      <c r="E2853" s="89">
        <v>46220</v>
      </c>
      <c r="F2853" s="71" t="s">
        <v>2711</v>
      </c>
      <c r="G2853" s="71">
        <f t="shared" si="88"/>
        <v>7</v>
      </c>
      <c r="H2853" s="71">
        <f t="shared" si="89"/>
        <v>59</v>
      </c>
    </row>
    <row r="2854" spans="1:8" x14ac:dyDescent="0.2">
      <c r="A2854" s="71" t="s">
        <v>198</v>
      </c>
      <c r="B2854" s="71" t="s">
        <v>199</v>
      </c>
      <c r="C2854" s="71" t="s">
        <v>47</v>
      </c>
      <c r="D2854" s="88">
        <v>46220.433634259301</v>
      </c>
      <c r="E2854" s="89">
        <v>46220</v>
      </c>
      <c r="F2854" s="71" t="s">
        <v>2712</v>
      </c>
      <c r="G2854" s="71">
        <f t="shared" si="88"/>
        <v>7</v>
      </c>
      <c r="H2854" s="71">
        <f t="shared" si="89"/>
        <v>80</v>
      </c>
    </row>
    <row r="2855" spans="1:8" x14ac:dyDescent="0.2">
      <c r="A2855" s="71" t="s">
        <v>198</v>
      </c>
      <c r="B2855" s="71" t="s">
        <v>199</v>
      </c>
      <c r="C2855" s="71" t="s">
        <v>47</v>
      </c>
      <c r="D2855" s="88">
        <v>46220.575324074103</v>
      </c>
      <c r="E2855" s="89">
        <v>46220</v>
      </c>
      <c r="F2855" s="71" t="s">
        <v>2713</v>
      </c>
      <c r="G2855" s="71">
        <f t="shared" si="88"/>
        <v>7</v>
      </c>
      <c r="H2855" s="71">
        <f t="shared" si="89"/>
        <v>77</v>
      </c>
    </row>
    <row r="2856" spans="1:8" x14ac:dyDescent="0.2">
      <c r="A2856" s="71" t="s">
        <v>198</v>
      </c>
      <c r="B2856" s="71" t="s">
        <v>199</v>
      </c>
      <c r="C2856" s="71" t="s">
        <v>47</v>
      </c>
      <c r="D2856" s="88">
        <v>46223.680879629603</v>
      </c>
      <c r="E2856" s="89">
        <v>46223</v>
      </c>
      <c r="F2856" s="71" t="s">
        <v>2714</v>
      </c>
      <c r="G2856" s="71">
        <f t="shared" si="88"/>
        <v>7</v>
      </c>
      <c r="H2856" s="71">
        <f t="shared" si="89"/>
        <v>58</v>
      </c>
    </row>
    <row r="2857" spans="1:8" x14ac:dyDescent="0.2">
      <c r="A2857" s="71" t="s">
        <v>198</v>
      </c>
      <c r="B2857" s="71" t="s">
        <v>199</v>
      </c>
      <c r="C2857" s="71" t="s">
        <v>47</v>
      </c>
      <c r="D2857" s="88">
        <v>46223.682002314803</v>
      </c>
      <c r="E2857" s="89">
        <v>46223</v>
      </c>
      <c r="F2857" s="71" t="s">
        <v>2715</v>
      </c>
      <c r="G2857" s="71">
        <f t="shared" si="88"/>
        <v>7</v>
      </c>
      <c r="H2857" s="71">
        <f t="shared" si="89"/>
        <v>62</v>
      </c>
    </row>
    <row r="2858" spans="1:8" x14ac:dyDescent="0.2">
      <c r="A2858" s="71" t="s">
        <v>198</v>
      </c>
      <c r="B2858" s="71" t="s">
        <v>199</v>
      </c>
      <c r="C2858" s="71" t="s">
        <v>47</v>
      </c>
      <c r="D2858" s="88">
        <v>46223.690150463</v>
      </c>
      <c r="E2858" s="89">
        <v>46223</v>
      </c>
      <c r="F2858" s="71" t="s">
        <v>2716</v>
      </c>
      <c r="G2858" s="71">
        <f t="shared" si="88"/>
        <v>7</v>
      </c>
      <c r="H2858" s="71">
        <f t="shared" si="89"/>
        <v>54</v>
      </c>
    </row>
    <row r="2859" spans="1:8" x14ac:dyDescent="0.2">
      <c r="A2859" s="71" t="s">
        <v>198</v>
      </c>
      <c r="B2859" s="71" t="s">
        <v>199</v>
      </c>
      <c r="C2859" s="71" t="s">
        <v>47</v>
      </c>
      <c r="D2859" s="88">
        <v>46223.690972222197</v>
      </c>
      <c r="E2859" s="89">
        <v>46223</v>
      </c>
      <c r="F2859" s="71" t="s">
        <v>2717</v>
      </c>
      <c r="G2859" s="71">
        <f t="shared" si="88"/>
        <v>7</v>
      </c>
      <c r="H2859" s="71">
        <f t="shared" si="89"/>
        <v>41</v>
      </c>
    </row>
    <row r="2860" spans="1:8" x14ac:dyDescent="0.2">
      <c r="A2860" s="71" t="s">
        <v>198</v>
      </c>
      <c r="B2860" s="71" t="s">
        <v>199</v>
      </c>
      <c r="C2860" s="71" t="s">
        <v>47</v>
      </c>
      <c r="D2860" s="88">
        <v>46224.483842592599</v>
      </c>
      <c r="E2860" s="89">
        <v>46224</v>
      </c>
      <c r="F2860" s="71" t="s">
        <v>2718</v>
      </c>
      <c r="G2860" s="71">
        <f t="shared" si="88"/>
        <v>7</v>
      </c>
      <c r="H2860" s="71">
        <f t="shared" si="89"/>
        <v>88</v>
      </c>
    </row>
    <row r="2861" spans="1:8" x14ac:dyDescent="0.2">
      <c r="A2861" s="71" t="s">
        <v>198</v>
      </c>
      <c r="B2861" s="71" t="s">
        <v>199</v>
      </c>
      <c r="C2861" s="71" t="s">
        <v>47</v>
      </c>
      <c r="D2861" s="88">
        <v>46224.484675925902</v>
      </c>
      <c r="E2861" s="89">
        <v>46224</v>
      </c>
      <c r="F2861" s="71" t="s">
        <v>2719</v>
      </c>
      <c r="G2861" s="71">
        <f t="shared" si="88"/>
        <v>7</v>
      </c>
      <c r="H2861" s="71">
        <f t="shared" si="89"/>
        <v>47</v>
      </c>
    </row>
    <row r="2862" spans="1:8" x14ac:dyDescent="0.2">
      <c r="A2862" s="71" t="s">
        <v>198</v>
      </c>
      <c r="B2862" s="71" t="s">
        <v>199</v>
      </c>
      <c r="C2862" s="71" t="s">
        <v>47</v>
      </c>
      <c r="D2862" s="88">
        <v>46224.673171296301</v>
      </c>
      <c r="E2862" s="89">
        <v>46224</v>
      </c>
      <c r="F2862" s="71" t="s">
        <v>2720</v>
      </c>
      <c r="G2862" s="71">
        <f t="shared" si="88"/>
        <v>7</v>
      </c>
      <c r="H2862" s="71">
        <f t="shared" si="89"/>
        <v>51</v>
      </c>
    </row>
    <row r="2863" spans="1:8" x14ac:dyDescent="0.2">
      <c r="A2863" s="71" t="s">
        <v>198</v>
      </c>
      <c r="B2863" s="71" t="s">
        <v>199</v>
      </c>
      <c r="C2863" s="71" t="s">
        <v>47</v>
      </c>
      <c r="D2863" s="88">
        <v>46225.615046296298</v>
      </c>
      <c r="E2863" s="89">
        <v>46225</v>
      </c>
      <c r="F2863" s="71" t="s">
        <v>2721</v>
      </c>
      <c r="G2863" s="71">
        <f t="shared" si="88"/>
        <v>7</v>
      </c>
      <c r="H2863" s="71">
        <f t="shared" si="89"/>
        <v>61</v>
      </c>
    </row>
    <row r="2864" spans="1:8" x14ac:dyDescent="0.2">
      <c r="A2864" s="71" t="s">
        <v>198</v>
      </c>
      <c r="B2864" s="71" t="s">
        <v>199</v>
      </c>
      <c r="C2864" s="71" t="s">
        <v>47</v>
      </c>
      <c r="D2864" s="88">
        <v>46225.616412037001</v>
      </c>
      <c r="E2864" s="89">
        <v>46225</v>
      </c>
      <c r="F2864" s="71" t="s">
        <v>2722</v>
      </c>
      <c r="G2864" s="71">
        <f t="shared" si="88"/>
        <v>7</v>
      </c>
      <c r="H2864" s="71">
        <f t="shared" si="89"/>
        <v>70</v>
      </c>
    </row>
    <row r="2865" spans="1:8" x14ac:dyDescent="0.2">
      <c r="A2865" s="71" t="s">
        <v>198</v>
      </c>
      <c r="B2865" s="71" t="s">
        <v>199</v>
      </c>
      <c r="C2865" s="71" t="s">
        <v>47</v>
      </c>
      <c r="D2865" s="88">
        <v>46225.617002314801</v>
      </c>
      <c r="E2865" s="89">
        <v>46225</v>
      </c>
      <c r="F2865" s="71" t="s">
        <v>2723</v>
      </c>
      <c r="G2865" s="71">
        <f t="shared" si="88"/>
        <v>7</v>
      </c>
      <c r="H2865" s="71">
        <f t="shared" si="89"/>
        <v>56</v>
      </c>
    </row>
    <row r="2866" spans="1:8" x14ac:dyDescent="0.2">
      <c r="A2866" s="71" t="s">
        <v>198</v>
      </c>
      <c r="B2866" s="71" t="s">
        <v>199</v>
      </c>
      <c r="C2866" s="71" t="s">
        <v>47</v>
      </c>
      <c r="D2866" s="88">
        <v>46226.634062500001</v>
      </c>
      <c r="E2866" s="89">
        <v>46226</v>
      </c>
      <c r="F2866" s="71" t="s">
        <v>2724</v>
      </c>
      <c r="G2866" s="71">
        <f t="shared" si="88"/>
        <v>7</v>
      </c>
      <c r="H2866" s="71">
        <f t="shared" si="89"/>
        <v>64</v>
      </c>
    </row>
    <row r="2867" spans="1:8" x14ac:dyDescent="0.2">
      <c r="A2867" s="71" t="s">
        <v>198</v>
      </c>
      <c r="B2867" s="71" t="s">
        <v>199</v>
      </c>
      <c r="C2867" s="71" t="s">
        <v>47</v>
      </c>
      <c r="D2867" s="88">
        <v>46226.638090277796</v>
      </c>
      <c r="E2867" s="89">
        <v>46226</v>
      </c>
      <c r="F2867" s="71" t="s">
        <v>2725</v>
      </c>
      <c r="G2867" s="71">
        <f t="shared" si="88"/>
        <v>7</v>
      </c>
      <c r="H2867" s="71">
        <f t="shared" si="89"/>
        <v>63</v>
      </c>
    </row>
    <row r="2868" spans="1:8" x14ac:dyDescent="0.2">
      <c r="A2868" s="71" t="s">
        <v>198</v>
      </c>
      <c r="B2868" s="71" t="s">
        <v>199</v>
      </c>
      <c r="C2868" s="71" t="s">
        <v>47</v>
      </c>
      <c r="D2868" s="88">
        <v>46226.640092592599</v>
      </c>
      <c r="E2868" s="89">
        <v>46226</v>
      </c>
      <c r="F2868" s="71" t="s">
        <v>2726</v>
      </c>
      <c r="G2868" s="71">
        <f t="shared" si="88"/>
        <v>7</v>
      </c>
      <c r="H2868" s="71">
        <f t="shared" si="89"/>
        <v>56</v>
      </c>
    </row>
    <row r="2869" spans="1:8" x14ac:dyDescent="0.2">
      <c r="A2869" s="71" t="s">
        <v>198</v>
      </c>
      <c r="B2869" s="71" t="s">
        <v>199</v>
      </c>
      <c r="C2869" s="71" t="s">
        <v>47</v>
      </c>
      <c r="D2869" s="88">
        <v>46227.600671296299</v>
      </c>
      <c r="E2869" s="89">
        <v>46227</v>
      </c>
      <c r="F2869" s="71" t="s">
        <v>2727</v>
      </c>
      <c r="G2869" s="71">
        <f t="shared" si="88"/>
        <v>7</v>
      </c>
      <c r="H2869" s="71">
        <f t="shared" si="89"/>
        <v>60</v>
      </c>
    </row>
    <row r="2870" spans="1:8" x14ac:dyDescent="0.2">
      <c r="A2870" s="71" t="s">
        <v>198</v>
      </c>
      <c r="B2870" s="71" t="s">
        <v>199</v>
      </c>
      <c r="C2870" s="71" t="s">
        <v>47</v>
      </c>
      <c r="D2870" s="88">
        <v>46227.601979166699</v>
      </c>
      <c r="E2870" s="89">
        <v>46227</v>
      </c>
      <c r="F2870" s="71" t="s">
        <v>2728</v>
      </c>
      <c r="G2870" s="71">
        <f t="shared" si="88"/>
        <v>7</v>
      </c>
      <c r="H2870" s="71">
        <f t="shared" si="89"/>
        <v>71</v>
      </c>
    </row>
    <row r="2871" spans="1:8" x14ac:dyDescent="0.2">
      <c r="A2871" s="71" t="s">
        <v>198</v>
      </c>
      <c r="B2871" s="71" t="s">
        <v>199</v>
      </c>
      <c r="C2871" s="71" t="s">
        <v>47</v>
      </c>
      <c r="D2871" s="88">
        <v>46230.489641203698</v>
      </c>
      <c r="E2871" s="89">
        <v>46230</v>
      </c>
      <c r="F2871" s="71" t="s">
        <v>2729</v>
      </c>
      <c r="G2871" s="71">
        <f t="shared" si="88"/>
        <v>7</v>
      </c>
      <c r="H2871" s="71">
        <f t="shared" si="89"/>
        <v>68</v>
      </c>
    </row>
    <row r="2872" spans="1:8" x14ac:dyDescent="0.2">
      <c r="A2872" s="71" t="s">
        <v>198</v>
      </c>
      <c r="B2872" s="71" t="s">
        <v>199</v>
      </c>
      <c r="C2872" s="71" t="s">
        <v>47</v>
      </c>
      <c r="D2872" s="88">
        <v>46230.490555555603</v>
      </c>
      <c r="E2872" s="89">
        <v>46230</v>
      </c>
      <c r="F2872" s="71" t="s">
        <v>2730</v>
      </c>
      <c r="G2872" s="71">
        <f t="shared" si="88"/>
        <v>7</v>
      </c>
      <c r="H2872" s="71">
        <f t="shared" si="89"/>
        <v>83</v>
      </c>
    </row>
    <row r="2873" spans="1:8" x14ac:dyDescent="0.2">
      <c r="A2873" s="71" t="s">
        <v>198</v>
      </c>
      <c r="B2873" s="71" t="s">
        <v>199</v>
      </c>
      <c r="C2873" s="71" t="s">
        <v>47</v>
      </c>
      <c r="D2873" s="88">
        <v>46230.492083333302</v>
      </c>
      <c r="E2873" s="89">
        <v>46230</v>
      </c>
      <c r="F2873" s="71" t="s">
        <v>2731</v>
      </c>
      <c r="G2873" s="71">
        <f t="shared" si="88"/>
        <v>7</v>
      </c>
      <c r="H2873" s="71">
        <f t="shared" si="89"/>
        <v>73</v>
      </c>
    </row>
    <row r="2874" spans="1:8" x14ac:dyDescent="0.2">
      <c r="A2874" s="71" t="s">
        <v>198</v>
      </c>
      <c r="B2874" s="71" t="s">
        <v>199</v>
      </c>
      <c r="C2874" s="71" t="s">
        <v>47</v>
      </c>
      <c r="D2874" s="88">
        <v>46231.450648148202</v>
      </c>
      <c r="E2874" s="89">
        <v>46231</v>
      </c>
      <c r="F2874" s="71" t="s">
        <v>2732</v>
      </c>
      <c r="G2874" s="71">
        <f t="shared" si="88"/>
        <v>7</v>
      </c>
      <c r="H2874" s="71">
        <f t="shared" si="89"/>
        <v>66</v>
      </c>
    </row>
    <row r="2875" spans="1:8" x14ac:dyDescent="0.2">
      <c r="A2875" s="71" t="s">
        <v>198</v>
      </c>
      <c r="B2875" s="71" t="s">
        <v>199</v>
      </c>
      <c r="C2875" s="71" t="s">
        <v>47</v>
      </c>
      <c r="D2875" s="88">
        <v>46231.450972222199</v>
      </c>
      <c r="E2875" s="89">
        <v>46231</v>
      </c>
      <c r="F2875" s="71" t="s">
        <v>2733</v>
      </c>
      <c r="G2875" s="71">
        <f t="shared" si="88"/>
        <v>7</v>
      </c>
      <c r="H2875" s="71">
        <f t="shared" si="89"/>
        <v>81</v>
      </c>
    </row>
    <row r="2876" spans="1:8" x14ac:dyDescent="0.2">
      <c r="A2876" s="71" t="s">
        <v>198</v>
      </c>
      <c r="B2876" s="71" t="s">
        <v>199</v>
      </c>
      <c r="C2876" s="71" t="s">
        <v>47</v>
      </c>
      <c r="D2876" s="88">
        <v>46232.762592592597</v>
      </c>
      <c r="E2876" s="89">
        <v>46232</v>
      </c>
      <c r="F2876" s="71" t="s">
        <v>2734</v>
      </c>
      <c r="G2876" s="71">
        <f t="shared" si="88"/>
        <v>7</v>
      </c>
      <c r="H2876" s="71">
        <f t="shared" si="89"/>
        <v>69</v>
      </c>
    </row>
    <row r="2877" spans="1:8" x14ac:dyDescent="0.2">
      <c r="A2877" s="71" t="s">
        <v>198</v>
      </c>
      <c r="B2877" s="71" t="s">
        <v>199</v>
      </c>
      <c r="C2877" s="71" t="s">
        <v>47</v>
      </c>
      <c r="D2877" s="88">
        <v>46232.763449074097</v>
      </c>
      <c r="E2877" s="89">
        <v>46232</v>
      </c>
      <c r="F2877" s="71" t="s">
        <v>2735</v>
      </c>
      <c r="G2877" s="71">
        <f t="shared" si="88"/>
        <v>7</v>
      </c>
      <c r="H2877" s="71">
        <f t="shared" si="89"/>
        <v>55</v>
      </c>
    </row>
    <row r="2878" spans="1:8" x14ac:dyDescent="0.2">
      <c r="A2878" s="71" t="s">
        <v>198</v>
      </c>
      <c r="B2878" s="71" t="s">
        <v>199</v>
      </c>
      <c r="C2878" s="71" t="s">
        <v>47</v>
      </c>
      <c r="D2878" s="88">
        <v>46232.7640509259</v>
      </c>
      <c r="E2878" s="89">
        <v>46232</v>
      </c>
      <c r="F2878" s="71" t="s">
        <v>2736</v>
      </c>
      <c r="G2878" s="71">
        <f t="shared" si="88"/>
        <v>7</v>
      </c>
      <c r="H2878" s="71">
        <f t="shared" si="89"/>
        <v>77</v>
      </c>
    </row>
    <row r="2879" spans="1:8" x14ac:dyDescent="0.2">
      <c r="A2879" s="71" t="s">
        <v>198</v>
      </c>
      <c r="B2879" s="71" t="s">
        <v>199</v>
      </c>
      <c r="C2879" s="71" t="s">
        <v>47</v>
      </c>
      <c r="D2879" s="88">
        <v>46233.687025462998</v>
      </c>
      <c r="E2879" s="89">
        <v>46233</v>
      </c>
      <c r="F2879" s="71" t="s">
        <v>2737</v>
      </c>
      <c r="G2879" s="71">
        <f t="shared" si="88"/>
        <v>7</v>
      </c>
      <c r="H2879" s="71">
        <f t="shared" si="89"/>
        <v>53</v>
      </c>
    </row>
    <row r="2880" spans="1:8" x14ac:dyDescent="0.2">
      <c r="A2880" s="71" t="s">
        <v>198</v>
      </c>
      <c r="B2880" s="71" t="s">
        <v>199</v>
      </c>
      <c r="C2880" s="71" t="s">
        <v>47</v>
      </c>
      <c r="D2880" s="88">
        <v>46233.6878587963</v>
      </c>
      <c r="E2880" s="89">
        <v>46233</v>
      </c>
      <c r="F2880" s="71" t="s">
        <v>2738</v>
      </c>
      <c r="G2880" s="71">
        <f t="shared" si="88"/>
        <v>7</v>
      </c>
      <c r="H2880" s="71">
        <f t="shared" si="89"/>
        <v>105</v>
      </c>
    </row>
    <row r="2881" spans="1:8" x14ac:dyDescent="0.2">
      <c r="A2881" s="71" t="s">
        <v>198</v>
      </c>
      <c r="B2881" s="71" t="s">
        <v>199</v>
      </c>
      <c r="C2881" s="71" t="s">
        <v>47</v>
      </c>
      <c r="D2881" s="88">
        <v>46233.688553240703</v>
      </c>
      <c r="E2881" s="89">
        <v>46233</v>
      </c>
      <c r="F2881" s="71" t="s">
        <v>2739</v>
      </c>
      <c r="G2881" s="71">
        <f t="shared" si="88"/>
        <v>7</v>
      </c>
      <c r="H2881" s="71">
        <f t="shared" si="89"/>
        <v>56</v>
      </c>
    </row>
    <row r="2882" spans="1:8" x14ac:dyDescent="0.2">
      <c r="A2882" s="71" t="s">
        <v>198</v>
      </c>
      <c r="B2882" s="71" t="s">
        <v>199</v>
      </c>
      <c r="C2882" s="71" t="s">
        <v>47</v>
      </c>
      <c r="D2882" s="88">
        <v>46234.691562499997</v>
      </c>
      <c r="E2882" s="89">
        <v>46234</v>
      </c>
      <c r="F2882" s="71" t="s">
        <v>2740</v>
      </c>
      <c r="G2882" s="71">
        <f t="shared" ref="G2882:G2945" si="90">MONTH(E2882)</f>
        <v>7</v>
      </c>
      <c r="H2882" s="71">
        <f t="shared" ref="H2882:H2945" si="91">LEN(F2882)</f>
        <v>86</v>
      </c>
    </row>
    <row r="2883" spans="1:8" x14ac:dyDescent="0.2">
      <c r="A2883" s="71" t="s">
        <v>198</v>
      </c>
      <c r="B2883" s="71" t="s">
        <v>199</v>
      </c>
      <c r="C2883" s="71" t="s">
        <v>47</v>
      </c>
      <c r="D2883" s="88">
        <v>46234.691898148201</v>
      </c>
      <c r="E2883" s="89">
        <v>46234</v>
      </c>
      <c r="F2883" s="71" t="s">
        <v>2741</v>
      </c>
      <c r="G2883" s="71">
        <f t="shared" si="90"/>
        <v>7</v>
      </c>
      <c r="H2883" s="71">
        <f t="shared" si="91"/>
        <v>57</v>
      </c>
    </row>
    <row r="2884" spans="1:8" x14ac:dyDescent="0.2">
      <c r="A2884" s="71" t="s">
        <v>198</v>
      </c>
      <c r="B2884" s="71" t="s">
        <v>199</v>
      </c>
      <c r="C2884" s="71" t="s">
        <v>47</v>
      </c>
      <c r="D2884" s="88">
        <v>46237.567118055602</v>
      </c>
      <c r="E2884" s="89">
        <v>46237</v>
      </c>
      <c r="F2884" s="71" t="s">
        <v>2742</v>
      </c>
      <c r="G2884" s="71">
        <f t="shared" si="90"/>
        <v>8</v>
      </c>
      <c r="H2884" s="71">
        <f t="shared" si="91"/>
        <v>59</v>
      </c>
    </row>
    <row r="2885" spans="1:8" x14ac:dyDescent="0.2">
      <c r="A2885" s="71" t="s">
        <v>198</v>
      </c>
      <c r="B2885" s="71" t="s">
        <v>199</v>
      </c>
      <c r="C2885" s="71" t="s">
        <v>47</v>
      </c>
      <c r="D2885" s="88">
        <v>46237.567708333299</v>
      </c>
      <c r="E2885" s="89">
        <v>46237</v>
      </c>
      <c r="F2885" s="71" t="s">
        <v>2743</v>
      </c>
      <c r="G2885" s="71">
        <f t="shared" si="90"/>
        <v>8</v>
      </c>
      <c r="H2885" s="71">
        <f t="shared" si="91"/>
        <v>82</v>
      </c>
    </row>
    <row r="2886" spans="1:8" x14ac:dyDescent="0.2">
      <c r="A2886" s="71" t="s">
        <v>198</v>
      </c>
      <c r="B2886" s="71" t="s">
        <v>199</v>
      </c>
      <c r="C2886" s="71" t="s">
        <v>47</v>
      </c>
      <c r="D2886" s="88">
        <v>46237.568287037</v>
      </c>
      <c r="E2886" s="89">
        <v>46237</v>
      </c>
      <c r="F2886" s="71" t="s">
        <v>2744</v>
      </c>
      <c r="G2886" s="71">
        <f t="shared" si="90"/>
        <v>8</v>
      </c>
      <c r="H2886" s="71">
        <f t="shared" si="91"/>
        <v>49</v>
      </c>
    </row>
    <row r="2887" spans="1:8" x14ac:dyDescent="0.2">
      <c r="A2887" s="71" t="s">
        <v>198</v>
      </c>
      <c r="B2887" s="71" t="s">
        <v>199</v>
      </c>
      <c r="C2887" s="71" t="s">
        <v>47</v>
      </c>
      <c r="D2887" s="88">
        <v>46238.566967592596</v>
      </c>
      <c r="E2887" s="89">
        <v>46238</v>
      </c>
      <c r="F2887" s="71" t="s">
        <v>2745</v>
      </c>
      <c r="G2887" s="71">
        <f t="shared" si="90"/>
        <v>8</v>
      </c>
      <c r="H2887" s="71">
        <f t="shared" si="91"/>
        <v>83</v>
      </c>
    </row>
    <row r="2888" spans="1:8" x14ac:dyDescent="0.2">
      <c r="A2888" s="71" t="s">
        <v>198</v>
      </c>
      <c r="B2888" s="71" t="s">
        <v>199</v>
      </c>
      <c r="C2888" s="71" t="s">
        <v>47</v>
      </c>
      <c r="D2888" s="88">
        <v>46238.597662036998</v>
      </c>
      <c r="E2888" s="89">
        <v>46238</v>
      </c>
      <c r="F2888" s="71" t="s">
        <v>2746</v>
      </c>
      <c r="G2888" s="71">
        <f t="shared" si="90"/>
        <v>8</v>
      </c>
      <c r="H2888" s="71">
        <f t="shared" si="91"/>
        <v>78</v>
      </c>
    </row>
    <row r="2889" spans="1:8" x14ac:dyDescent="0.2">
      <c r="A2889" s="71" t="s">
        <v>198</v>
      </c>
      <c r="B2889" s="71" t="s">
        <v>199</v>
      </c>
      <c r="C2889" s="71" t="s">
        <v>47</v>
      </c>
      <c r="D2889" s="88">
        <v>46238.667384259301</v>
      </c>
      <c r="E2889" s="89">
        <v>46238</v>
      </c>
      <c r="F2889" s="71" t="s">
        <v>2747</v>
      </c>
      <c r="G2889" s="71">
        <f t="shared" si="90"/>
        <v>8</v>
      </c>
      <c r="H2889" s="71">
        <f t="shared" si="91"/>
        <v>58</v>
      </c>
    </row>
    <row r="2890" spans="1:8" x14ac:dyDescent="0.2">
      <c r="A2890" s="71" t="s">
        <v>198</v>
      </c>
      <c r="B2890" s="71" t="s">
        <v>199</v>
      </c>
      <c r="C2890" s="71" t="s">
        <v>47</v>
      </c>
      <c r="D2890" s="88">
        <v>46239.445925925902</v>
      </c>
      <c r="E2890" s="89">
        <v>46239</v>
      </c>
      <c r="F2890" s="71" t="s">
        <v>2748</v>
      </c>
      <c r="G2890" s="71">
        <f t="shared" si="90"/>
        <v>8</v>
      </c>
      <c r="H2890" s="71">
        <f t="shared" si="91"/>
        <v>66</v>
      </c>
    </row>
    <row r="2891" spans="1:8" x14ac:dyDescent="0.2">
      <c r="A2891" s="71" t="s">
        <v>198</v>
      </c>
      <c r="B2891" s="71" t="s">
        <v>199</v>
      </c>
      <c r="C2891" s="71" t="s">
        <v>47</v>
      </c>
      <c r="D2891" s="88">
        <v>46239.685821759304</v>
      </c>
      <c r="E2891" s="89">
        <v>46239</v>
      </c>
      <c r="F2891" s="71" t="s">
        <v>2749</v>
      </c>
      <c r="G2891" s="71">
        <f t="shared" si="90"/>
        <v>8</v>
      </c>
      <c r="H2891" s="71">
        <f t="shared" si="91"/>
        <v>52</v>
      </c>
    </row>
    <row r="2892" spans="1:8" x14ac:dyDescent="0.2">
      <c r="A2892" s="71" t="s">
        <v>198</v>
      </c>
      <c r="B2892" s="71" t="s">
        <v>199</v>
      </c>
      <c r="C2892" s="71" t="s">
        <v>47</v>
      </c>
      <c r="D2892" s="88">
        <v>46239.687511574099</v>
      </c>
      <c r="E2892" s="89">
        <v>46239</v>
      </c>
      <c r="F2892" s="71" t="s">
        <v>2750</v>
      </c>
      <c r="G2892" s="71">
        <f t="shared" si="90"/>
        <v>8</v>
      </c>
      <c r="H2892" s="71">
        <f t="shared" si="91"/>
        <v>74</v>
      </c>
    </row>
    <row r="2893" spans="1:8" x14ac:dyDescent="0.2">
      <c r="A2893" s="71" t="s">
        <v>198</v>
      </c>
      <c r="B2893" s="71" t="s">
        <v>199</v>
      </c>
      <c r="C2893" s="71" t="s">
        <v>47</v>
      </c>
      <c r="D2893" s="88">
        <v>46240.689583333296</v>
      </c>
      <c r="E2893" s="89">
        <v>46240</v>
      </c>
      <c r="F2893" s="71" t="s">
        <v>2751</v>
      </c>
      <c r="G2893" s="71">
        <f t="shared" si="90"/>
        <v>8</v>
      </c>
      <c r="H2893" s="71">
        <f t="shared" si="91"/>
        <v>27</v>
      </c>
    </row>
    <row r="2894" spans="1:8" x14ac:dyDescent="0.2">
      <c r="A2894" s="71" t="s">
        <v>198</v>
      </c>
      <c r="B2894" s="71" t="s">
        <v>199</v>
      </c>
      <c r="C2894" s="71" t="s">
        <v>47</v>
      </c>
      <c r="D2894" s="88">
        <v>46240.690717592603</v>
      </c>
      <c r="E2894" s="89">
        <v>46240</v>
      </c>
      <c r="F2894" s="71" t="s">
        <v>2752</v>
      </c>
      <c r="G2894" s="71">
        <f t="shared" si="90"/>
        <v>8</v>
      </c>
      <c r="H2894" s="71">
        <f t="shared" si="91"/>
        <v>50</v>
      </c>
    </row>
    <row r="2895" spans="1:8" x14ac:dyDescent="0.2">
      <c r="A2895" s="71" t="s">
        <v>198</v>
      </c>
      <c r="B2895" s="71" t="s">
        <v>199</v>
      </c>
      <c r="C2895" s="71" t="s">
        <v>47</v>
      </c>
      <c r="D2895" s="88">
        <v>46240.691273148201</v>
      </c>
      <c r="E2895" s="89">
        <v>46240</v>
      </c>
      <c r="F2895" s="71" t="s">
        <v>2753</v>
      </c>
      <c r="G2895" s="71">
        <f t="shared" si="90"/>
        <v>8</v>
      </c>
      <c r="H2895" s="71">
        <f t="shared" si="91"/>
        <v>49</v>
      </c>
    </row>
    <row r="2896" spans="1:8" x14ac:dyDescent="0.2">
      <c r="A2896" s="71" t="s">
        <v>198</v>
      </c>
      <c r="B2896" s="71" t="s">
        <v>199</v>
      </c>
      <c r="C2896" s="71" t="s">
        <v>47</v>
      </c>
      <c r="D2896" s="88">
        <v>46241.676782407398</v>
      </c>
      <c r="E2896" s="89">
        <v>46241</v>
      </c>
      <c r="F2896" s="71" t="s">
        <v>2754</v>
      </c>
      <c r="G2896" s="71">
        <f t="shared" si="90"/>
        <v>8</v>
      </c>
      <c r="H2896" s="71">
        <f t="shared" si="91"/>
        <v>43</v>
      </c>
    </row>
    <row r="2897" spans="1:8" x14ac:dyDescent="0.2">
      <c r="A2897" s="71" t="s">
        <v>198</v>
      </c>
      <c r="B2897" s="71" t="s">
        <v>199</v>
      </c>
      <c r="C2897" s="71" t="s">
        <v>47</v>
      </c>
      <c r="D2897" s="88">
        <v>46241.678391203699</v>
      </c>
      <c r="E2897" s="89">
        <v>46241</v>
      </c>
      <c r="F2897" s="71" t="s">
        <v>2755</v>
      </c>
      <c r="G2897" s="71">
        <f t="shared" si="90"/>
        <v>8</v>
      </c>
      <c r="H2897" s="71">
        <f t="shared" si="91"/>
        <v>40</v>
      </c>
    </row>
    <row r="2898" spans="1:8" x14ac:dyDescent="0.2">
      <c r="A2898" s="71" t="s">
        <v>198</v>
      </c>
      <c r="B2898" s="71" t="s">
        <v>199</v>
      </c>
      <c r="C2898" s="71" t="s">
        <v>47</v>
      </c>
      <c r="D2898" s="88">
        <v>46241.679814814801</v>
      </c>
      <c r="E2898" s="89">
        <v>46241</v>
      </c>
      <c r="F2898" s="71" t="s">
        <v>2756</v>
      </c>
      <c r="G2898" s="71">
        <f t="shared" si="90"/>
        <v>8</v>
      </c>
      <c r="H2898" s="71">
        <f t="shared" si="91"/>
        <v>52</v>
      </c>
    </row>
    <row r="2899" spans="1:8" x14ac:dyDescent="0.2">
      <c r="A2899" s="71" t="s">
        <v>198</v>
      </c>
      <c r="B2899" s="71" t="s">
        <v>199</v>
      </c>
      <c r="C2899" s="71" t="s">
        <v>47</v>
      </c>
      <c r="D2899" s="88">
        <v>46244.687199074098</v>
      </c>
      <c r="E2899" s="89">
        <v>46244</v>
      </c>
      <c r="F2899" s="71" t="s">
        <v>2757</v>
      </c>
      <c r="G2899" s="71">
        <f t="shared" si="90"/>
        <v>8</v>
      </c>
      <c r="H2899" s="71">
        <f t="shared" si="91"/>
        <v>69</v>
      </c>
    </row>
    <row r="2900" spans="1:8" x14ac:dyDescent="0.2">
      <c r="A2900" s="71" t="s">
        <v>198</v>
      </c>
      <c r="B2900" s="71" t="s">
        <v>199</v>
      </c>
      <c r="C2900" s="71" t="s">
        <v>47</v>
      </c>
      <c r="D2900" s="88">
        <v>46245.700034722198</v>
      </c>
      <c r="E2900" s="89">
        <v>46245</v>
      </c>
      <c r="F2900" s="71" t="s">
        <v>2758</v>
      </c>
      <c r="G2900" s="71">
        <f t="shared" si="90"/>
        <v>8</v>
      </c>
      <c r="H2900" s="71">
        <f t="shared" si="91"/>
        <v>76</v>
      </c>
    </row>
    <row r="2901" spans="1:8" x14ac:dyDescent="0.2">
      <c r="A2901" s="71" t="s">
        <v>198</v>
      </c>
      <c r="B2901" s="71" t="s">
        <v>199</v>
      </c>
      <c r="C2901" s="71" t="s">
        <v>47</v>
      </c>
      <c r="D2901" s="88">
        <v>46245.701122685197</v>
      </c>
      <c r="E2901" s="89">
        <v>46245</v>
      </c>
      <c r="F2901" s="71" t="s">
        <v>2759</v>
      </c>
      <c r="G2901" s="71">
        <f t="shared" si="90"/>
        <v>8</v>
      </c>
      <c r="H2901" s="71">
        <f t="shared" si="91"/>
        <v>60</v>
      </c>
    </row>
    <row r="2902" spans="1:8" x14ac:dyDescent="0.2">
      <c r="A2902" s="71" t="s">
        <v>198</v>
      </c>
      <c r="B2902" s="71" t="s">
        <v>199</v>
      </c>
      <c r="C2902" s="71" t="s">
        <v>47</v>
      </c>
      <c r="D2902" s="88">
        <v>46247.720173611102</v>
      </c>
      <c r="E2902" s="89">
        <v>46247</v>
      </c>
      <c r="F2902" s="71" t="s">
        <v>2760</v>
      </c>
      <c r="G2902" s="71">
        <f t="shared" si="90"/>
        <v>8</v>
      </c>
      <c r="H2902" s="71">
        <f t="shared" si="91"/>
        <v>56</v>
      </c>
    </row>
    <row r="2903" spans="1:8" x14ac:dyDescent="0.2">
      <c r="A2903" s="71" t="s">
        <v>198</v>
      </c>
      <c r="B2903" s="71" t="s">
        <v>199</v>
      </c>
      <c r="C2903" s="71" t="s">
        <v>47</v>
      </c>
      <c r="D2903" s="88">
        <v>46247.7208217593</v>
      </c>
      <c r="E2903" s="89">
        <v>46247</v>
      </c>
      <c r="F2903" s="71" t="s">
        <v>2761</v>
      </c>
      <c r="G2903" s="71">
        <f t="shared" si="90"/>
        <v>8</v>
      </c>
      <c r="H2903" s="71">
        <f t="shared" si="91"/>
        <v>38</v>
      </c>
    </row>
    <row r="2904" spans="1:8" x14ac:dyDescent="0.2">
      <c r="A2904" s="71" t="s">
        <v>198</v>
      </c>
      <c r="B2904" s="71" t="s">
        <v>199</v>
      </c>
      <c r="C2904" s="71" t="s">
        <v>47</v>
      </c>
      <c r="D2904" s="88">
        <v>46247.7212731482</v>
      </c>
      <c r="E2904" s="89">
        <v>46247</v>
      </c>
      <c r="F2904" s="71" t="s">
        <v>2762</v>
      </c>
      <c r="G2904" s="71">
        <f t="shared" si="90"/>
        <v>8</v>
      </c>
      <c r="H2904" s="71">
        <f t="shared" si="91"/>
        <v>71</v>
      </c>
    </row>
    <row r="2905" spans="1:8" x14ac:dyDescent="0.2">
      <c r="A2905" s="71" t="s">
        <v>198</v>
      </c>
      <c r="B2905" s="71" t="s">
        <v>199</v>
      </c>
      <c r="C2905" s="71" t="s">
        <v>47</v>
      </c>
      <c r="D2905" s="88">
        <v>46248.688182870399</v>
      </c>
      <c r="E2905" s="89">
        <v>46248</v>
      </c>
      <c r="F2905" s="71" t="s">
        <v>2763</v>
      </c>
      <c r="G2905" s="71">
        <f t="shared" si="90"/>
        <v>8</v>
      </c>
      <c r="H2905" s="71">
        <f t="shared" si="91"/>
        <v>57</v>
      </c>
    </row>
    <row r="2906" spans="1:8" x14ac:dyDescent="0.2">
      <c r="A2906" s="71" t="s">
        <v>198</v>
      </c>
      <c r="B2906" s="71" t="s">
        <v>199</v>
      </c>
      <c r="C2906" s="71" t="s">
        <v>47</v>
      </c>
      <c r="D2906" s="88">
        <v>46248.689363425903</v>
      </c>
      <c r="E2906" s="89">
        <v>46248</v>
      </c>
      <c r="F2906" s="71" t="s">
        <v>2764</v>
      </c>
      <c r="G2906" s="71">
        <f t="shared" si="90"/>
        <v>8</v>
      </c>
      <c r="H2906" s="71">
        <f t="shared" si="91"/>
        <v>64</v>
      </c>
    </row>
    <row r="2907" spans="1:8" x14ac:dyDescent="0.2">
      <c r="A2907" s="71" t="s">
        <v>198</v>
      </c>
      <c r="B2907" s="71" t="s">
        <v>199</v>
      </c>
      <c r="C2907" s="71" t="s">
        <v>47</v>
      </c>
      <c r="D2907" s="88">
        <v>46248.6897916667</v>
      </c>
      <c r="E2907" s="89">
        <v>46248</v>
      </c>
      <c r="F2907" s="71" t="s">
        <v>2765</v>
      </c>
      <c r="G2907" s="71">
        <f t="shared" si="90"/>
        <v>8</v>
      </c>
      <c r="H2907" s="71">
        <f t="shared" si="91"/>
        <v>45</v>
      </c>
    </row>
    <row r="2908" spans="1:8" x14ac:dyDescent="0.2">
      <c r="A2908" s="71" t="s">
        <v>198</v>
      </c>
      <c r="B2908" s="71" t="s">
        <v>199</v>
      </c>
      <c r="C2908" s="71" t="s">
        <v>47</v>
      </c>
      <c r="D2908" s="88">
        <v>46253.310671296298</v>
      </c>
      <c r="E2908" s="89">
        <v>46253</v>
      </c>
      <c r="F2908" s="71" t="s">
        <v>2766</v>
      </c>
      <c r="G2908" s="71">
        <f t="shared" si="90"/>
        <v>8</v>
      </c>
      <c r="H2908" s="71">
        <f t="shared" si="91"/>
        <v>88</v>
      </c>
    </row>
    <row r="2909" spans="1:8" x14ac:dyDescent="0.2">
      <c r="A2909" s="71" t="s">
        <v>198</v>
      </c>
      <c r="B2909" s="71" t="s">
        <v>199</v>
      </c>
      <c r="C2909" s="71" t="s">
        <v>47</v>
      </c>
      <c r="D2909" s="88">
        <v>46253.311273148203</v>
      </c>
      <c r="E2909" s="89">
        <v>46253</v>
      </c>
      <c r="F2909" s="71" t="s">
        <v>2767</v>
      </c>
      <c r="G2909" s="71">
        <f t="shared" si="90"/>
        <v>8</v>
      </c>
      <c r="H2909" s="71">
        <f t="shared" si="91"/>
        <v>50</v>
      </c>
    </row>
    <row r="2910" spans="1:8" x14ac:dyDescent="0.2">
      <c r="A2910" s="71" t="s">
        <v>198</v>
      </c>
      <c r="B2910" s="71" t="s">
        <v>199</v>
      </c>
      <c r="C2910" s="71" t="s">
        <v>47</v>
      </c>
      <c r="D2910" s="88">
        <v>46253.311909722201</v>
      </c>
      <c r="E2910" s="89">
        <v>46253</v>
      </c>
      <c r="F2910" s="71" t="s">
        <v>2768</v>
      </c>
      <c r="G2910" s="71">
        <f t="shared" si="90"/>
        <v>8</v>
      </c>
      <c r="H2910" s="71">
        <f t="shared" si="91"/>
        <v>68</v>
      </c>
    </row>
    <row r="2911" spans="1:8" x14ac:dyDescent="0.2">
      <c r="A2911" s="71" t="s">
        <v>198</v>
      </c>
      <c r="B2911" s="71" t="s">
        <v>199</v>
      </c>
      <c r="C2911" s="71" t="s">
        <v>47</v>
      </c>
      <c r="D2911" s="88">
        <v>46253.686481481498</v>
      </c>
      <c r="E2911" s="89">
        <v>46253</v>
      </c>
      <c r="F2911" s="71" t="s">
        <v>2769</v>
      </c>
      <c r="G2911" s="71">
        <f t="shared" si="90"/>
        <v>8</v>
      </c>
      <c r="H2911" s="71">
        <f t="shared" si="91"/>
        <v>46</v>
      </c>
    </row>
    <row r="2912" spans="1:8" x14ac:dyDescent="0.2">
      <c r="A2912" s="71" t="s">
        <v>198</v>
      </c>
      <c r="B2912" s="71" t="s">
        <v>199</v>
      </c>
      <c r="C2912" s="71" t="s">
        <v>47</v>
      </c>
      <c r="D2912" s="88">
        <v>46253.687465277799</v>
      </c>
      <c r="E2912" s="89">
        <v>46253</v>
      </c>
      <c r="F2912" s="71" t="s">
        <v>2770</v>
      </c>
      <c r="G2912" s="71">
        <f t="shared" si="90"/>
        <v>8</v>
      </c>
      <c r="H2912" s="71">
        <f t="shared" si="91"/>
        <v>66</v>
      </c>
    </row>
    <row r="2913" spans="1:8" x14ac:dyDescent="0.2">
      <c r="A2913" s="71" t="s">
        <v>198</v>
      </c>
      <c r="B2913" s="71" t="s">
        <v>199</v>
      </c>
      <c r="C2913" s="71" t="s">
        <v>47</v>
      </c>
      <c r="D2913" s="88">
        <v>46253.688252314802</v>
      </c>
      <c r="E2913" s="89">
        <v>46253</v>
      </c>
      <c r="F2913" s="71" t="s">
        <v>2771</v>
      </c>
      <c r="G2913" s="71">
        <f t="shared" si="90"/>
        <v>8</v>
      </c>
      <c r="H2913" s="71">
        <f t="shared" si="91"/>
        <v>93</v>
      </c>
    </row>
    <row r="2914" spans="1:8" x14ac:dyDescent="0.2">
      <c r="A2914" s="71" t="s">
        <v>198</v>
      </c>
      <c r="B2914" s="71" t="s">
        <v>199</v>
      </c>
      <c r="C2914" s="71" t="s">
        <v>47</v>
      </c>
      <c r="D2914" s="88">
        <v>46254.468807870398</v>
      </c>
      <c r="E2914" s="89">
        <v>46254</v>
      </c>
      <c r="F2914" s="71" t="s">
        <v>2772</v>
      </c>
      <c r="G2914" s="71">
        <f t="shared" si="90"/>
        <v>8</v>
      </c>
      <c r="H2914" s="71">
        <f t="shared" si="91"/>
        <v>59</v>
      </c>
    </row>
    <row r="2915" spans="1:8" x14ac:dyDescent="0.2">
      <c r="A2915" s="71" t="s">
        <v>198</v>
      </c>
      <c r="B2915" s="71" t="s">
        <v>199</v>
      </c>
      <c r="C2915" s="71" t="s">
        <v>47</v>
      </c>
      <c r="D2915" s="88">
        <v>46254.469409722202</v>
      </c>
      <c r="E2915" s="89">
        <v>46254</v>
      </c>
      <c r="F2915" s="71" t="s">
        <v>2773</v>
      </c>
      <c r="G2915" s="71">
        <f t="shared" si="90"/>
        <v>8</v>
      </c>
      <c r="H2915" s="71">
        <f t="shared" si="91"/>
        <v>53</v>
      </c>
    </row>
    <row r="2916" spans="1:8" x14ac:dyDescent="0.2">
      <c r="A2916" s="71" t="s">
        <v>198</v>
      </c>
      <c r="B2916" s="71" t="s">
        <v>199</v>
      </c>
      <c r="C2916" s="71" t="s">
        <v>47</v>
      </c>
      <c r="D2916" s="88">
        <v>46254.641412037003</v>
      </c>
      <c r="E2916" s="89">
        <v>46254</v>
      </c>
      <c r="F2916" s="71" t="s">
        <v>2774</v>
      </c>
      <c r="G2916" s="71">
        <f t="shared" si="90"/>
        <v>8</v>
      </c>
      <c r="H2916" s="71">
        <f t="shared" si="91"/>
        <v>46</v>
      </c>
    </row>
    <row r="2917" spans="1:8" x14ac:dyDescent="0.2">
      <c r="A2917" s="71" t="s">
        <v>198</v>
      </c>
      <c r="B2917" s="71" t="s">
        <v>199</v>
      </c>
      <c r="C2917" s="71" t="s">
        <v>47</v>
      </c>
      <c r="D2917" s="88">
        <v>46254.649664351899</v>
      </c>
      <c r="E2917" s="89">
        <v>46254</v>
      </c>
      <c r="F2917" s="71" t="s">
        <v>2775</v>
      </c>
      <c r="G2917" s="71">
        <f t="shared" si="90"/>
        <v>8</v>
      </c>
      <c r="H2917" s="71">
        <f t="shared" si="91"/>
        <v>66</v>
      </c>
    </row>
    <row r="2918" spans="1:8" x14ac:dyDescent="0.2">
      <c r="A2918" s="71" t="s">
        <v>198</v>
      </c>
      <c r="B2918" s="71" t="s">
        <v>199</v>
      </c>
      <c r="C2918" s="71" t="s">
        <v>47</v>
      </c>
      <c r="D2918" s="88">
        <v>46255.674074074101</v>
      </c>
      <c r="E2918" s="89">
        <v>46255</v>
      </c>
      <c r="F2918" s="71" t="s">
        <v>2776</v>
      </c>
      <c r="G2918" s="71">
        <f t="shared" si="90"/>
        <v>8</v>
      </c>
      <c r="H2918" s="71">
        <f t="shared" si="91"/>
        <v>51</v>
      </c>
    </row>
    <row r="2919" spans="1:8" x14ac:dyDescent="0.2">
      <c r="A2919" s="71" t="s">
        <v>198</v>
      </c>
      <c r="B2919" s="71" t="s">
        <v>199</v>
      </c>
      <c r="C2919" s="71" t="s">
        <v>47</v>
      </c>
      <c r="D2919" s="88">
        <v>46255.675543981502</v>
      </c>
      <c r="E2919" s="89">
        <v>46255</v>
      </c>
      <c r="F2919" s="71" t="s">
        <v>2777</v>
      </c>
      <c r="G2919" s="71">
        <f t="shared" si="90"/>
        <v>8</v>
      </c>
      <c r="H2919" s="71">
        <f t="shared" si="91"/>
        <v>62</v>
      </c>
    </row>
    <row r="2920" spans="1:8" x14ac:dyDescent="0.2">
      <c r="A2920" s="71" t="s">
        <v>198</v>
      </c>
      <c r="B2920" s="71" t="s">
        <v>199</v>
      </c>
      <c r="C2920" s="71" t="s">
        <v>47</v>
      </c>
      <c r="D2920" s="88">
        <v>46255.676041666702</v>
      </c>
      <c r="E2920" s="89">
        <v>46255</v>
      </c>
      <c r="F2920" s="71" t="s">
        <v>2778</v>
      </c>
      <c r="G2920" s="71">
        <f t="shared" si="90"/>
        <v>8</v>
      </c>
      <c r="H2920" s="71">
        <f t="shared" si="91"/>
        <v>30</v>
      </c>
    </row>
    <row r="2921" spans="1:8" x14ac:dyDescent="0.2">
      <c r="A2921" s="71" t="s">
        <v>198</v>
      </c>
      <c r="B2921" s="71" t="s">
        <v>199</v>
      </c>
      <c r="C2921" s="71" t="s">
        <v>47</v>
      </c>
      <c r="D2921" s="88">
        <v>46258.48</v>
      </c>
      <c r="E2921" s="89">
        <v>46258</v>
      </c>
      <c r="F2921" s="71" t="s">
        <v>2779</v>
      </c>
      <c r="G2921" s="71">
        <f t="shared" si="90"/>
        <v>8</v>
      </c>
      <c r="H2921" s="71">
        <f t="shared" si="91"/>
        <v>76</v>
      </c>
    </row>
    <row r="2922" spans="1:8" x14ac:dyDescent="0.2">
      <c r="A2922" s="71" t="s">
        <v>198</v>
      </c>
      <c r="B2922" s="71" t="s">
        <v>199</v>
      </c>
      <c r="C2922" s="71" t="s">
        <v>47</v>
      </c>
      <c r="D2922" s="88">
        <v>46258.480983796297</v>
      </c>
      <c r="E2922" s="89">
        <v>46258</v>
      </c>
      <c r="F2922" s="71" t="s">
        <v>2780</v>
      </c>
      <c r="G2922" s="71">
        <f t="shared" si="90"/>
        <v>8</v>
      </c>
      <c r="H2922" s="71">
        <f t="shared" si="91"/>
        <v>45</v>
      </c>
    </row>
    <row r="2923" spans="1:8" x14ac:dyDescent="0.2">
      <c r="A2923" s="71" t="s">
        <v>198</v>
      </c>
      <c r="B2923" s="71" t="s">
        <v>199</v>
      </c>
      <c r="C2923" s="71" t="s">
        <v>47</v>
      </c>
      <c r="D2923" s="88">
        <v>46260.412291666697</v>
      </c>
      <c r="E2923" s="89">
        <v>46260</v>
      </c>
      <c r="F2923" s="71" t="s">
        <v>2781</v>
      </c>
      <c r="G2923" s="71">
        <f t="shared" si="90"/>
        <v>8</v>
      </c>
      <c r="H2923" s="71">
        <f t="shared" si="91"/>
        <v>64</v>
      </c>
    </row>
    <row r="2924" spans="1:8" x14ac:dyDescent="0.2">
      <c r="A2924" s="71" t="s">
        <v>198</v>
      </c>
      <c r="B2924" s="71" t="s">
        <v>199</v>
      </c>
      <c r="C2924" s="71" t="s">
        <v>47</v>
      </c>
      <c r="D2924" s="88">
        <v>46260.419120370403</v>
      </c>
      <c r="E2924" s="89">
        <v>46260</v>
      </c>
      <c r="F2924" s="71" t="s">
        <v>2782</v>
      </c>
      <c r="G2924" s="71">
        <f t="shared" si="90"/>
        <v>8</v>
      </c>
      <c r="H2924" s="71">
        <f t="shared" si="91"/>
        <v>56</v>
      </c>
    </row>
    <row r="2925" spans="1:8" x14ac:dyDescent="0.2">
      <c r="A2925" s="71" t="s">
        <v>198</v>
      </c>
      <c r="B2925" s="71" t="s">
        <v>199</v>
      </c>
      <c r="C2925" s="71" t="s">
        <v>47</v>
      </c>
      <c r="D2925" s="88">
        <v>46260.5608796296</v>
      </c>
      <c r="E2925" s="89">
        <v>46260</v>
      </c>
      <c r="F2925" s="71" t="s">
        <v>2783</v>
      </c>
      <c r="G2925" s="71">
        <f t="shared" si="90"/>
        <v>8</v>
      </c>
      <c r="H2925" s="71">
        <f t="shared" si="91"/>
        <v>68</v>
      </c>
    </row>
    <row r="2926" spans="1:8" x14ac:dyDescent="0.2">
      <c r="A2926" s="71" t="s">
        <v>198</v>
      </c>
      <c r="B2926" s="71" t="s">
        <v>199</v>
      </c>
      <c r="C2926" s="71" t="s">
        <v>47</v>
      </c>
      <c r="D2926" s="88">
        <v>46261.571643518502</v>
      </c>
      <c r="E2926" s="89">
        <v>46261</v>
      </c>
      <c r="F2926" s="71" t="s">
        <v>2784</v>
      </c>
      <c r="G2926" s="71">
        <f t="shared" si="90"/>
        <v>8</v>
      </c>
      <c r="H2926" s="71">
        <f t="shared" si="91"/>
        <v>87</v>
      </c>
    </row>
    <row r="2927" spans="1:8" x14ac:dyDescent="0.2">
      <c r="A2927" s="71" t="s">
        <v>198</v>
      </c>
      <c r="B2927" s="71" t="s">
        <v>199</v>
      </c>
      <c r="C2927" s="71" t="s">
        <v>47</v>
      </c>
      <c r="D2927" s="88">
        <v>46261.572025463</v>
      </c>
      <c r="E2927" s="89">
        <v>46261</v>
      </c>
      <c r="F2927" s="71" t="s">
        <v>2785</v>
      </c>
      <c r="G2927" s="71">
        <f t="shared" si="90"/>
        <v>8</v>
      </c>
      <c r="H2927" s="71">
        <f t="shared" si="91"/>
        <v>46</v>
      </c>
    </row>
    <row r="2928" spans="1:8" x14ac:dyDescent="0.2">
      <c r="A2928" s="71" t="s">
        <v>198</v>
      </c>
      <c r="B2928" s="71" t="s">
        <v>199</v>
      </c>
      <c r="C2928" s="71" t="s">
        <v>47</v>
      </c>
      <c r="D2928" s="88">
        <v>46261.572858796302</v>
      </c>
      <c r="E2928" s="89">
        <v>46261</v>
      </c>
      <c r="F2928" s="71" t="s">
        <v>2786</v>
      </c>
      <c r="G2928" s="71">
        <f t="shared" si="90"/>
        <v>8</v>
      </c>
      <c r="H2928" s="71">
        <f t="shared" si="91"/>
        <v>58</v>
      </c>
    </row>
    <row r="2929" spans="1:8" x14ac:dyDescent="0.2">
      <c r="A2929" s="71" t="s">
        <v>198</v>
      </c>
      <c r="B2929" s="71" t="s">
        <v>199</v>
      </c>
      <c r="C2929" s="71" t="s">
        <v>47</v>
      </c>
      <c r="D2929" s="88">
        <v>46262.840057870402</v>
      </c>
      <c r="E2929" s="89">
        <v>46262</v>
      </c>
      <c r="F2929" s="71" t="s">
        <v>2787</v>
      </c>
      <c r="G2929" s="71">
        <f t="shared" si="90"/>
        <v>8</v>
      </c>
      <c r="H2929" s="71">
        <f t="shared" si="91"/>
        <v>55</v>
      </c>
    </row>
    <row r="2930" spans="1:8" x14ac:dyDescent="0.2">
      <c r="A2930" s="71" t="s">
        <v>198</v>
      </c>
      <c r="B2930" s="71" t="s">
        <v>199</v>
      </c>
      <c r="C2930" s="71" t="s">
        <v>47</v>
      </c>
      <c r="D2930" s="88">
        <v>46265.378564814797</v>
      </c>
      <c r="E2930" s="89">
        <v>46265</v>
      </c>
      <c r="F2930" s="71" t="s">
        <v>2788</v>
      </c>
      <c r="G2930" s="71">
        <f t="shared" si="90"/>
        <v>8</v>
      </c>
      <c r="H2930" s="71">
        <f t="shared" si="91"/>
        <v>66</v>
      </c>
    </row>
    <row r="2931" spans="1:8" x14ac:dyDescent="0.2">
      <c r="A2931" s="71" t="s">
        <v>198</v>
      </c>
      <c r="B2931" s="71" t="s">
        <v>199</v>
      </c>
      <c r="C2931" s="71" t="s">
        <v>47</v>
      </c>
      <c r="D2931" s="88">
        <v>46266.7653125</v>
      </c>
      <c r="E2931" s="89">
        <v>46266</v>
      </c>
      <c r="F2931" s="71" t="s">
        <v>2789</v>
      </c>
      <c r="G2931" s="71">
        <f t="shared" si="90"/>
        <v>9</v>
      </c>
      <c r="H2931" s="71">
        <f t="shared" si="91"/>
        <v>43</v>
      </c>
    </row>
    <row r="2932" spans="1:8" x14ac:dyDescent="0.2">
      <c r="A2932" s="71" t="s">
        <v>198</v>
      </c>
      <c r="B2932" s="71" t="s">
        <v>199</v>
      </c>
      <c r="C2932" s="71" t="s">
        <v>47</v>
      </c>
      <c r="D2932" s="88">
        <v>46267.430682870399</v>
      </c>
      <c r="E2932" s="89">
        <v>46267</v>
      </c>
      <c r="F2932" s="71" t="s">
        <v>2790</v>
      </c>
      <c r="G2932" s="71">
        <f t="shared" si="90"/>
        <v>9</v>
      </c>
      <c r="H2932" s="71">
        <f t="shared" si="91"/>
        <v>58</v>
      </c>
    </row>
    <row r="2933" spans="1:8" x14ac:dyDescent="0.2">
      <c r="A2933" s="71" t="s">
        <v>198</v>
      </c>
      <c r="B2933" s="71" t="s">
        <v>199</v>
      </c>
      <c r="C2933" s="71" t="s">
        <v>47</v>
      </c>
      <c r="D2933" s="88">
        <v>46268.585960648197</v>
      </c>
      <c r="E2933" s="89">
        <v>46268</v>
      </c>
      <c r="F2933" s="71" t="s">
        <v>2791</v>
      </c>
      <c r="G2933" s="71">
        <f t="shared" si="90"/>
        <v>9</v>
      </c>
      <c r="H2933" s="71">
        <f t="shared" si="91"/>
        <v>36</v>
      </c>
    </row>
    <row r="2934" spans="1:8" x14ac:dyDescent="0.2">
      <c r="A2934" s="71" t="s">
        <v>198</v>
      </c>
      <c r="B2934" s="71" t="s">
        <v>199</v>
      </c>
      <c r="C2934" s="71" t="s">
        <v>47</v>
      </c>
      <c r="D2934" s="88">
        <v>46268.587083333303</v>
      </c>
      <c r="E2934" s="89">
        <v>46268</v>
      </c>
      <c r="F2934" s="71" t="s">
        <v>2792</v>
      </c>
      <c r="G2934" s="71">
        <f t="shared" si="90"/>
        <v>9</v>
      </c>
      <c r="H2934" s="71">
        <f t="shared" si="91"/>
        <v>69</v>
      </c>
    </row>
    <row r="2935" spans="1:8" x14ac:dyDescent="0.2">
      <c r="A2935" s="71" t="s">
        <v>198</v>
      </c>
      <c r="B2935" s="71" t="s">
        <v>199</v>
      </c>
      <c r="C2935" s="71" t="s">
        <v>47</v>
      </c>
      <c r="D2935" s="88">
        <v>46268.587743055599</v>
      </c>
      <c r="E2935" s="89">
        <v>46268</v>
      </c>
      <c r="F2935" s="71" t="s">
        <v>2793</v>
      </c>
      <c r="G2935" s="71">
        <f t="shared" si="90"/>
        <v>9</v>
      </c>
      <c r="H2935" s="71">
        <f t="shared" si="91"/>
        <v>86</v>
      </c>
    </row>
    <row r="2936" spans="1:8" x14ac:dyDescent="0.2">
      <c r="A2936" s="71" t="s">
        <v>198</v>
      </c>
      <c r="B2936" s="71" t="s">
        <v>199</v>
      </c>
      <c r="C2936" s="71" t="s">
        <v>47</v>
      </c>
      <c r="D2936" s="88">
        <v>46269.690972222197</v>
      </c>
      <c r="E2936" s="89">
        <v>46269</v>
      </c>
      <c r="F2936" s="71" t="s">
        <v>2794</v>
      </c>
      <c r="G2936" s="71">
        <f t="shared" si="90"/>
        <v>9</v>
      </c>
      <c r="H2936" s="71">
        <f t="shared" si="91"/>
        <v>45</v>
      </c>
    </row>
    <row r="2937" spans="1:8" x14ac:dyDescent="0.2">
      <c r="A2937" s="71" t="s">
        <v>198</v>
      </c>
      <c r="B2937" s="71" t="s">
        <v>199</v>
      </c>
      <c r="C2937" s="71" t="s">
        <v>47</v>
      </c>
      <c r="D2937" s="88">
        <v>46272.679699074099</v>
      </c>
      <c r="E2937" s="89">
        <v>46272</v>
      </c>
      <c r="F2937" s="71" t="s">
        <v>2795</v>
      </c>
      <c r="G2937" s="71">
        <f t="shared" si="90"/>
        <v>9</v>
      </c>
      <c r="H2937" s="71">
        <f t="shared" si="91"/>
        <v>51</v>
      </c>
    </row>
    <row r="2938" spans="1:8" x14ac:dyDescent="0.2">
      <c r="A2938" s="71" t="s">
        <v>198</v>
      </c>
      <c r="B2938" s="71" t="s">
        <v>199</v>
      </c>
      <c r="C2938" s="71" t="s">
        <v>47</v>
      </c>
      <c r="D2938" s="88">
        <v>46272.681423611102</v>
      </c>
      <c r="E2938" s="89">
        <v>46272</v>
      </c>
      <c r="F2938" s="71" t="s">
        <v>2796</v>
      </c>
      <c r="G2938" s="71">
        <f t="shared" si="90"/>
        <v>9</v>
      </c>
      <c r="H2938" s="71">
        <f t="shared" si="91"/>
        <v>55</v>
      </c>
    </row>
    <row r="2939" spans="1:8" x14ac:dyDescent="0.2">
      <c r="A2939" s="71" t="s">
        <v>198</v>
      </c>
      <c r="B2939" s="71" t="s">
        <v>199</v>
      </c>
      <c r="C2939" s="71" t="s">
        <v>47</v>
      </c>
      <c r="D2939" s="88">
        <v>46272.682546296302</v>
      </c>
      <c r="E2939" s="89">
        <v>46272</v>
      </c>
      <c r="F2939" s="71" t="s">
        <v>2797</v>
      </c>
      <c r="G2939" s="71">
        <f t="shared" si="90"/>
        <v>9</v>
      </c>
      <c r="H2939" s="71">
        <f t="shared" si="91"/>
        <v>49</v>
      </c>
    </row>
    <row r="2940" spans="1:8" x14ac:dyDescent="0.2">
      <c r="A2940" s="71" t="s">
        <v>198</v>
      </c>
      <c r="B2940" s="71" t="s">
        <v>199</v>
      </c>
      <c r="C2940" s="71" t="s">
        <v>47</v>
      </c>
      <c r="D2940" s="88">
        <v>46273.687835648198</v>
      </c>
      <c r="E2940" s="89">
        <v>46273</v>
      </c>
      <c r="F2940" s="71" t="s">
        <v>2798</v>
      </c>
      <c r="G2940" s="71">
        <f t="shared" si="90"/>
        <v>9</v>
      </c>
      <c r="H2940" s="71">
        <f t="shared" si="91"/>
        <v>43</v>
      </c>
    </row>
    <row r="2941" spans="1:8" x14ac:dyDescent="0.2">
      <c r="A2941" s="71" t="s">
        <v>198</v>
      </c>
      <c r="B2941" s="71" t="s">
        <v>199</v>
      </c>
      <c r="C2941" s="71" t="s">
        <v>47</v>
      </c>
      <c r="D2941" s="88">
        <v>46273.688657407401</v>
      </c>
      <c r="E2941" s="89">
        <v>46273</v>
      </c>
      <c r="F2941" s="71" t="s">
        <v>2799</v>
      </c>
      <c r="G2941" s="71">
        <f t="shared" si="90"/>
        <v>9</v>
      </c>
      <c r="H2941" s="71">
        <f t="shared" si="91"/>
        <v>67</v>
      </c>
    </row>
    <row r="2942" spans="1:8" x14ac:dyDescent="0.2">
      <c r="A2942" s="71" t="s">
        <v>198</v>
      </c>
      <c r="B2942" s="71" t="s">
        <v>199</v>
      </c>
      <c r="C2942" s="71" t="s">
        <v>47</v>
      </c>
      <c r="D2942" s="88">
        <v>46274.602025462998</v>
      </c>
      <c r="E2942" s="89">
        <v>46274</v>
      </c>
      <c r="F2942" s="71" t="s">
        <v>2800</v>
      </c>
      <c r="G2942" s="71">
        <f t="shared" si="90"/>
        <v>9</v>
      </c>
      <c r="H2942" s="71">
        <f t="shared" si="91"/>
        <v>110</v>
      </c>
    </row>
    <row r="2943" spans="1:8" x14ac:dyDescent="0.2">
      <c r="A2943" s="71" t="s">
        <v>198</v>
      </c>
      <c r="B2943" s="71" t="s">
        <v>199</v>
      </c>
      <c r="C2943" s="71" t="s">
        <v>47</v>
      </c>
      <c r="D2943" s="88">
        <v>46274.602835648198</v>
      </c>
      <c r="E2943" s="89">
        <v>46274</v>
      </c>
      <c r="F2943" s="71" t="s">
        <v>2801</v>
      </c>
      <c r="G2943" s="71">
        <f t="shared" si="90"/>
        <v>9</v>
      </c>
      <c r="H2943" s="71">
        <f t="shared" si="91"/>
        <v>44</v>
      </c>
    </row>
    <row r="2944" spans="1:8" x14ac:dyDescent="0.2">
      <c r="A2944" s="71" t="s">
        <v>198</v>
      </c>
      <c r="B2944" s="71" t="s">
        <v>199</v>
      </c>
      <c r="C2944" s="71" t="s">
        <v>47</v>
      </c>
      <c r="D2944" s="88">
        <v>46275.560914351903</v>
      </c>
      <c r="E2944" s="89">
        <v>46275</v>
      </c>
      <c r="F2944" s="71" t="s">
        <v>2802</v>
      </c>
      <c r="G2944" s="71">
        <f t="shared" si="90"/>
        <v>9</v>
      </c>
      <c r="H2944" s="71">
        <f t="shared" si="91"/>
        <v>50</v>
      </c>
    </row>
    <row r="2945" spans="1:8" x14ac:dyDescent="0.2">
      <c r="A2945" s="71" t="s">
        <v>198</v>
      </c>
      <c r="B2945" s="71" t="s">
        <v>199</v>
      </c>
      <c r="C2945" s="71" t="s">
        <v>47</v>
      </c>
      <c r="D2945" s="88">
        <v>46275.5613773148</v>
      </c>
      <c r="E2945" s="89">
        <v>46275</v>
      </c>
      <c r="F2945" s="71" t="s">
        <v>2803</v>
      </c>
      <c r="G2945" s="71">
        <f t="shared" si="90"/>
        <v>9</v>
      </c>
      <c r="H2945" s="71">
        <f t="shared" si="91"/>
        <v>95</v>
      </c>
    </row>
    <row r="2946" spans="1:8" x14ac:dyDescent="0.2">
      <c r="A2946" s="71" t="s">
        <v>198</v>
      </c>
      <c r="B2946" s="71" t="s">
        <v>199</v>
      </c>
      <c r="C2946" s="71" t="s">
        <v>47</v>
      </c>
      <c r="D2946" s="88">
        <v>46275.562569444497</v>
      </c>
      <c r="E2946" s="89">
        <v>46275</v>
      </c>
      <c r="F2946" s="71" t="s">
        <v>2804</v>
      </c>
      <c r="G2946" s="71">
        <f t="shared" ref="G2946:G3009" si="92">MONTH(E2946)</f>
        <v>9</v>
      </c>
      <c r="H2946" s="71">
        <f t="shared" ref="H2946:H3009" si="93">LEN(F2946)</f>
        <v>39</v>
      </c>
    </row>
    <row r="2947" spans="1:8" x14ac:dyDescent="0.2">
      <c r="A2947" s="71" t="s">
        <v>198</v>
      </c>
      <c r="B2947" s="71" t="s">
        <v>199</v>
      </c>
      <c r="C2947" s="71" t="s">
        <v>47</v>
      </c>
      <c r="D2947" s="88">
        <v>46276.619560185201</v>
      </c>
      <c r="E2947" s="89">
        <v>46276</v>
      </c>
      <c r="F2947" s="71" t="s">
        <v>2805</v>
      </c>
      <c r="G2947" s="71">
        <f t="shared" si="92"/>
        <v>9</v>
      </c>
      <c r="H2947" s="71">
        <f t="shared" si="93"/>
        <v>52</v>
      </c>
    </row>
    <row r="2948" spans="1:8" x14ac:dyDescent="0.2">
      <c r="A2948" s="71" t="s">
        <v>198</v>
      </c>
      <c r="B2948" s="71" t="s">
        <v>199</v>
      </c>
      <c r="C2948" s="71" t="s">
        <v>47</v>
      </c>
      <c r="D2948" s="88">
        <v>46276.620254629597</v>
      </c>
      <c r="E2948" s="89">
        <v>46276</v>
      </c>
      <c r="F2948" s="71" t="s">
        <v>2806</v>
      </c>
      <c r="G2948" s="71">
        <f t="shared" si="92"/>
        <v>9</v>
      </c>
      <c r="H2948" s="71">
        <f t="shared" si="93"/>
        <v>44</v>
      </c>
    </row>
    <row r="2949" spans="1:8" x14ac:dyDescent="0.2">
      <c r="A2949" s="71" t="s">
        <v>198</v>
      </c>
      <c r="B2949" s="71" t="s">
        <v>199</v>
      </c>
      <c r="C2949" s="71" t="s">
        <v>47</v>
      </c>
      <c r="D2949" s="88">
        <v>46279.4594560185</v>
      </c>
      <c r="E2949" s="89">
        <v>46279</v>
      </c>
      <c r="F2949" s="71" t="s">
        <v>2807</v>
      </c>
      <c r="G2949" s="71">
        <f t="shared" si="92"/>
        <v>9</v>
      </c>
      <c r="H2949" s="71">
        <f t="shared" si="93"/>
        <v>40</v>
      </c>
    </row>
    <row r="2950" spans="1:8" x14ac:dyDescent="0.2">
      <c r="A2950" s="71" t="s">
        <v>198</v>
      </c>
      <c r="B2950" s="71" t="s">
        <v>199</v>
      </c>
      <c r="C2950" s="71" t="s">
        <v>47</v>
      </c>
      <c r="D2950" s="88">
        <v>46279.674421296302</v>
      </c>
      <c r="E2950" s="89">
        <v>46279</v>
      </c>
      <c r="F2950" s="71" t="s">
        <v>2808</v>
      </c>
      <c r="G2950" s="71">
        <f t="shared" si="92"/>
        <v>9</v>
      </c>
      <c r="H2950" s="71">
        <f t="shared" si="93"/>
        <v>66</v>
      </c>
    </row>
    <row r="2951" spans="1:8" x14ac:dyDescent="0.2">
      <c r="A2951" s="71" t="s">
        <v>198</v>
      </c>
      <c r="B2951" s="71" t="s">
        <v>199</v>
      </c>
      <c r="C2951" s="71" t="s">
        <v>47</v>
      </c>
      <c r="D2951" s="88">
        <v>46280.451319444401</v>
      </c>
      <c r="E2951" s="89">
        <v>46280</v>
      </c>
      <c r="F2951" s="71" t="s">
        <v>2809</v>
      </c>
      <c r="G2951" s="71">
        <f t="shared" si="92"/>
        <v>9</v>
      </c>
      <c r="H2951" s="71">
        <f t="shared" si="93"/>
        <v>69</v>
      </c>
    </row>
    <row r="2952" spans="1:8" x14ac:dyDescent="0.2">
      <c r="A2952" s="71" t="s">
        <v>198</v>
      </c>
      <c r="B2952" s="71" t="s">
        <v>199</v>
      </c>
      <c r="C2952" s="71" t="s">
        <v>47</v>
      </c>
      <c r="D2952" s="88">
        <v>46280.453333333302</v>
      </c>
      <c r="E2952" s="89">
        <v>46280</v>
      </c>
      <c r="F2952" s="71" t="s">
        <v>2810</v>
      </c>
      <c r="G2952" s="71">
        <f t="shared" si="92"/>
        <v>9</v>
      </c>
      <c r="H2952" s="71">
        <f t="shared" si="93"/>
        <v>55</v>
      </c>
    </row>
    <row r="2953" spans="1:8" x14ac:dyDescent="0.2">
      <c r="A2953" s="71" t="s">
        <v>198</v>
      </c>
      <c r="B2953" s="71" t="s">
        <v>199</v>
      </c>
      <c r="C2953" s="71" t="s">
        <v>47</v>
      </c>
      <c r="D2953" s="88">
        <v>46281.678587962997</v>
      </c>
      <c r="E2953" s="89">
        <v>46281</v>
      </c>
      <c r="F2953" s="71" t="s">
        <v>2811</v>
      </c>
      <c r="G2953" s="71">
        <f t="shared" si="92"/>
        <v>9</v>
      </c>
      <c r="H2953" s="71">
        <f t="shared" si="93"/>
        <v>26</v>
      </c>
    </row>
    <row r="2954" spans="1:8" x14ac:dyDescent="0.2">
      <c r="A2954" s="71" t="s">
        <v>198</v>
      </c>
      <c r="B2954" s="71" t="s">
        <v>199</v>
      </c>
      <c r="C2954" s="71" t="s">
        <v>47</v>
      </c>
      <c r="D2954" s="88">
        <v>46281.679652777799</v>
      </c>
      <c r="E2954" s="89">
        <v>46281</v>
      </c>
      <c r="F2954" s="71" t="s">
        <v>2812</v>
      </c>
      <c r="G2954" s="71">
        <f t="shared" si="92"/>
        <v>9</v>
      </c>
      <c r="H2954" s="71">
        <f t="shared" si="93"/>
        <v>80</v>
      </c>
    </row>
    <row r="2955" spans="1:8" x14ac:dyDescent="0.2">
      <c r="A2955" s="71" t="s">
        <v>198</v>
      </c>
      <c r="B2955" s="71" t="s">
        <v>199</v>
      </c>
      <c r="C2955" s="71" t="s">
        <v>47</v>
      </c>
      <c r="D2955" s="88">
        <v>46281.680034722202</v>
      </c>
      <c r="E2955" s="89">
        <v>46281</v>
      </c>
      <c r="F2955" s="71" t="s">
        <v>2813</v>
      </c>
      <c r="G2955" s="71">
        <f t="shared" si="92"/>
        <v>9</v>
      </c>
      <c r="H2955" s="71">
        <f t="shared" si="93"/>
        <v>52</v>
      </c>
    </row>
    <row r="2956" spans="1:8" x14ac:dyDescent="0.2">
      <c r="A2956" s="71" t="s">
        <v>198</v>
      </c>
      <c r="B2956" s="71" t="s">
        <v>199</v>
      </c>
      <c r="C2956" s="71" t="s">
        <v>47</v>
      </c>
      <c r="D2956" s="88">
        <v>46282.6312384259</v>
      </c>
      <c r="E2956" s="89">
        <v>46282</v>
      </c>
      <c r="F2956" s="71" t="s">
        <v>2814</v>
      </c>
      <c r="G2956" s="71">
        <f t="shared" si="92"/>
        <v>9</v>
      </c>
      <c r="H2956" s="71">
        <f t="shared" si="93"/>
        <v>50</v>
      </c>
    </row>
    <row r="2957" spans="1:8" x14ac:dyDescent="0.2">
      <c r="A2957" s="71" t="s">
        <v>198</v>
      </c>
      <c r="B2957" s="71" t="s">
        <v>199</v>
      </c>
      <c r="C2957" s="71" t="s">
        <v>47</v>
      </c>
      <c r="D2957" s="88">
        <v>46282.632233796299</v>
      </c>
      <c r="E2957" s="89">
        <v>46282</v>
      </c>
      <c r="F2957" s="71" t="s">
        <v>2815</v>
      </c>
      <c r="G2957" s="71">
        <f t="shared" si="92"/>
        <v>9</v>
      </c>
      <c r="H2957" s="71">
        <f t="shared" si="93"/>
        <v>59</v>
      </c>
    </row>
    <row r="2958" spans="1:8" x14ac:dyDescent="0.2">
      <c r="A2958" s="71" t="s">
        <v>198</v>
      </c>
      <c r="B2958" s="71" t="s">
        <v>199</v>
      </c>
      <c r="C2958" s="71" t="s">
        <v>47</v>
      </c>
      <c r="D2958" s="88">
        <v>46283.558854166702</v>
      </c>
      <c r="E2958" s="89">
        <v>46283</v>
      </c>
      <c r="F2958" s="71" t="s">
        <v>2816</v>
      </c>
      <c r="G2958" s="71">
        <f t="shared" si="92"/>
        <v>9</v>
      </c>
      <c r="H2958" s="71">
        <f t="shared" si="93"/>
        <v>59</v>
      </c>
    </row>
    <row r="2959" spans="1:8" x14ac:dyDescent="0.2">
      <c r="A2959" s="71" t="s">
        <v>198</v>
      </c>
      <c r="B2959" s="71" t="s">
        <v>199</v>
      </c>
      <c r="C2959" s="71" t="s">
        <v>47</v>
      </c>
      <c r="D2959" s="88">
        <v>46283.723368055602</v>
      </c>
      <c r="E2959" s="89">
        <v>46283</v>
      </c>
      <c r="F2959" s="71" t="s">
        <v>2817</v>
      </c>
      <c r="G2959" s="71">
        <f t="shared" si="92"/>
        <v>9</v>
      </c>
      <c r="H2959" s="71">
        <f t="shared" si="93"/>
        <v>46</v>
      </c>
    </row>
    <row r="2960" spans="1:8" x14ac:dyDescent="0.2">
      <c r="A2960" s="71" t="s">
        <v>198</v>
      </c>
      <c r="B2960" s="71" t="s">
        <v>199</v>
      </c>
      <c r="C2960" s="71" t="s">
        <v>47</v>
      </c>
      <c r="D2960" s="88">
        <v>46286.682175925896</v>
      </c>
      <c r="E2960" s="89">
        <v>46286</v>
      </c>
      <c r="F2960" s="71" t="s">
        <v>2818</v>
      </c>
      <c r="G2960" s="71">
        <f t="shared" si="92"/>
        <v>9</v>
      </c>
      <c r="H2960" s="71">
        <f t="shared" si="93"/>
        <v>38</v>
      </c>
    </row>
    <row r="2961" spans="1:8" x14ac:dyDescent="0.2">
      <c r="A2961" s="71" t="s">
        <v>198</v>
      </c>
      <c r="B2961" s="71" t="s">
        <v>199</v>
      </c>
      <c r="C2961" s="71" t="s">
        <v>47</v>
      </c>
      <c r="D2961" s="88">
        <v>46286.684212963002</v>
      </c>
      <c r="E2961" s="89">
        <v>46286</v>
      </c>
      <c r="F2961" s="71" t="s">
        <v>2819</v>
      </c>
      <c r="G2961" s="71">
        <f t="shared" si="92"/>
        <v>9</v>
      </c>
      <c r="H2961" s="71">
        <f t="shared" si="93"/>
        <v>58</v>
      </c>
    </row>
    <row r="2962" spans="1:8" x14ac:dyDescent="0.2">
      <c r="A2962" s="71" t="s">
        <v>198</v>
      </c>
      <c r="B2962" s="71" t="s">
        <v>199</v>
      </c>
      <c r="C2962" s="71" t="s">
        <v>47</v>
      </c>
      <c r="D2962" s="88">
        <v>46287.676319444399</v>
      </c>
      <c r="E2962" s="89">
        <v>46287</v>
      </c>
      <c r="F2962" s="71" t="s">
        <v>2820</v>
      </c>
      <c r="G2962" s="71">
        <f t="shared" si="92"/>
        <v>9</v>
      </c>
      <c r="H2962" s="71">
        <f t="shared" si="93"/>
        <v>59</v>
      </c>
    </row>
    <row r="2963" spans="1:8" x14ac:dyDescent="0.2">
      <c r="A2963" s="71" t="s">
        <v>198</v>
      </c>
      <c r="B2963" s="71" t="s">
        <v>199</v>
      </c>
      <c r="C2963" s="71" t="s">
        <v>47</v>
      </c>
      <c r="D2963" s="88">
        <v>46287.676782407398</v>
      </c>
      <c r="E2963" s="89">
        <v>46287</v>
      </c>
      <c r="F2963" s="71" t="s">
        <v>2821</v>
      </c>
      <c r="G2963" s="71">
        <f t="shared" si="92"/>
        <v>9</v>
      </c>
      <c r="H2963" s="71">
        <f t="shared" si="93"/>
        <v>67</v>
      </c>
    </row>
    <row r="2964" spans="1:8" x14ac:dyDescent="0.2">
      <c r="A2964" s="71" t="s">
        <v>198</v>
      </c>
      <c r="B2964" s="71" t="s">
        <v>199</v>
      </c>
      <c r="C2964" s="71" t="s">
        <v>47</v>
      </c>
      <c r="D2964" s="88">
        <v>46287.677638888897</v>
      </c>
      <c r="E2964" s="89">
        <v>46287</v>
      </c>
      <c r="F2964" s="71" t="s">
        <v>2822</v>
      </c>
      <c r="G2964" s="71">
        <f t="shared" si="92"/>
        <v>9</v>
      </c>
      <c r="H2964" s="71">
        <f t="shared" si="93"/>
        <v>97</v>
      </c>
    </row>
    <row r="2965" spans="1:8" x14ac:dyDescent="0.2">
      <c r="A2965" s="71" t="s">
        <v>198</v>
      </c>
      <c r="B2965" s="71" t="s">
        <v>199</v>
      </c>
      <c r="C2965" s="71" t="s">
        <v>47</v>
      </c>
      <c r="D2965" s="88">
        <v>46288.672905092601</v>
      </c>
      <c r="E2965" s="89">
        <v>46288</v>
      </c>
      <c r="F2965" s="71" t="s">
        <v>2823</v>
      </c>
      <c r="G2965" s="71">
        <f t="shared" si="92"/>
        <v>9</v>
      </c>
      <c r="H2965" s="71">
        <f t="shared" si="93"/>
        <v>36</v>
      </c>
    </row>
    <row r="2966" spans="1:8" x14ac:dyDescent="0.2">
      <c r="A2966" s="71" t="s">
        <v>198</v>
      </c>
      <c r="B2966" s="71" t="s">
        <v>199</v>
      </c>
      <c r="C2966" s="71" t="s">
        <v>47</v>
      </c>
      <c r="D2966" s="88">
        <v>46288.673587963</v>
      </c>
      <c r="E2966" s="89">
        <v>46288</v>
      </c>
      <c r="F2966" s="71" t="s">
        <v>2824</v>
      </c>
      <c r="G2966" s="71">
        <f t="shared" si="92"/>
        <v>9</v>
      </c>
      <c r="H2966" s="71">
        <f t="shared" si="93"/>
        <v>45</v>
      </c>
    </row>
    <row r="2967" spans="1:8" x14ac:dyDescent="0.2">
      <c r="A2967" s="71" t="s">
        <v>198</v>
      </c>
      <c r="B2967" s="71" t="s">
        <v>199</v>
      </c>
      <c r="C2967" s="71" t="s">
        <v>47</v>
      </c>
      <c r="D2967" s="88">
        <v>46289.914039351897</v>
      </c>
      <c r="E2967" s="89">
        <v>46289</v>
      </c>
      <c r="F2967" s="71" t="s">
        <v>2825</v>
      </c>
      <c r="G2967" s="71">
        <f t="shared" si="92"/>
        <v>9</v>
      </c>
      <c r="H2967" s="71">
        <f t="shared" si="93"/>
        <v>33</v>
      </c>
    </row>
    <row r="2968" spans="1:8" x14ac:dyDescent="0.2">
      <c r="A2968" s="71" t="s">
        <v>198</v>
      </c>
      <c r="B2968" s="71" t="s">
        <v>199</v>
      </c>
      <c r="C2968" s="71" t="s">
        <v>47</v>
      </c>
      <c r="D2968" s="88">
        <v>46289.915266203701</v>
      </c>
      <c r="E2968" s="89">
        <v>46289</v>
      </c>
      <c r="F2968" s="71" t="s">
        <v>2826</v>
      </c>
      <c r="G2968" s="71">
        <f t="shared" si="92"/>
        <v>9</v>
      </c>
      <c r="H2968" s="71">
        <f t="shared" si="93"/>
        <v>40</v>
      </c>
    </row>
    <row r="2969" spans="1:8" x14ac:dyDescent="0.2">
      <c r="A2969" s="71" t="s">
        <v>198</v>
      </c>
      <c r="B2969" s="71" t="s">
        <v>199</v>
      </c>
      <c r="C2969" s="71" t="s">
        <v>47</v>
      </c>
      <c r="D2969" s="88">
        <v>46290.557453703703</v>
      </c>
      <c r="E2969" s="89">
        <v>46290</v>
      </c>
      <c r="F2969" s="71" t="s">
        <v>2827</v>
      </c>
      <c r="G2969" s="71">
        <f t="shared" si="92"/>
        <v>9</v>
      </c>
      <c r="H2969" s="71">
        <f t="shared" si="93"/>
        <v>36</v>
      </c>
    </row>
    <row r="2970" spans="1:8" x14ac:dyDescent="0.2">
      <c r="A2970" s="71" t="s">
        <v>198</v>
      </c>
      <c r="B2970" s="71" t="s">
        <v>199</v>
      </c>
      <c r="C2970" s="71" t="s">
        <v>47</v>
      </c>
      <c r="D2970" s="88">
        <v>46290.913715277798</v>
      </c>
      <c r="E2970" s="89">
        <v>46290</v>
      </c>
      <c r="F2970" s="71" t="s">
        <v>2828</v>
      </c>
      <c r="G2970" s="71">
        <f t="shared" si="92"/>
        <v>9</v>
      </c>
      <c r="H2970" s="71">
        <f t="shared" si="93"/>
        <v>25</v>
      </c>
    </row>
    <row r="2971" spans="1:8" x14ac:dyDescent="0.2">
      <c r="A2971" s="71" t="s">
        <v>198</v>
      </c>
      <c r="B2971" s="71" t="s">
        <v>199</v>
      </c>
      <c r="C2971" s="71" t="s">
        <v>47</v>
      </c>
      <c r="D2971" s="88">
        <v>46293.605011574102</v>
      </c>
      <c r="E2971" s="89">
        <v>46293</v>
      </c>
      <c r="F2971" s="71" t="s">
        <v>2829</v>
      </c>
      <c r="G2971" s="71">
        <f t="shared" si="92"/>
        <v>9</v>
      </c>
      <c r="H2971" s="71">
        <f t="shared" si="93"/>
        <v>58</v>
      </c>
    </row>
    <row r="2972" spans="1:8" x14ac:dyDescent="0.2">
      <c r="A2972" s="71" t="s">
        <v>198</v>
      </c>
      <c r="B2972" s="71" t="s">
        <v>199</v>
      </c>
      <c r="C2972" s="71" t="s">
        <v>47</v>
      </c>
      <c r="D2972" s="88">
        <v>46293.605729166702</v>
      </c>
      <c r="E2972" s="89">
        <v>46293</v>
      </c>
      <c r="F2972" s="71" t="s">
        <v>2830</v>
      </c>
      <c r="G2972" s="71">
        <f t="shared" si="92"/>
        <v>9</v>
      </c>
      <c r="H2972" s="71">
        <f t="shared" si="93"/>
        <v>44</v>
      </c>
    </row>
    <row r="2973" spans="1:8" x14ac:dyDescent="0.2">
      <c r="A2973" s="71" t="s">
        <v>198</v>
      </c>
      <c r="B2973" s="71" t="s">
        <v>199</v>
      </c>
      <c r="C2973" s="71" t="s">
        <v>47</v>
      </c>
      <c r="D2973" s="88">
        <v>46294.641944444498</v>
      </c>
      <c r="E2973" s="89">
        <v>46294</v>
      </c>
      <c r="F2973" s="71" t="s">
        <v>2831</v>
      </c>
      <c r="G2973" s="71">
        <f t="shared" si="92"/>
        <v>9</v>
      </c>
      <c r="H2973" s="71">
        <f t="shared" si="93"/>
        <v>91</v>
      </c>
    </row>
    <row r="2974" spans="1:8" x14ac:dyDescent="0.2">
      <c r="A2974" s="71" t="s">
        <v>198</v>
      </c>
      <c r="B2974" s="71" t="s">
        <v>199</v>
      </c>
      <c r="C2974" s="71" t="s">
        <v>47</v>
      </c>
      <c r="D2974" s="88">
        <v>46294.642754629604</v>
      </c>
      <c r="E2974" s="89">
        <v>46294</v>
      </c>
      <c r="F2974" s="71" t="s">
        <v>2832</v>
      </c>
      <c r="G2974" s="71">
        <f t="shared" si="92"/>
        <v>9</v>
      </c>
      <c r="H2974" s="71">
        <f t="shared" si="93"/>
        <v>44</v>
      </c>
    </row>
    <row r="2975" spans="1:8" x14ac:dyDescent="0.2">
      <c r="A2975" s="71" t="s">
        <v>198</v>
      </c>
      <c r="B2975" s="71" t="s">
        <v>199</v>
      </c>
      <c r="C2975" s="71" t="s">
        <v>47</v>
      </c>
      <c r="D2975" s="88">
        <v>46295.654074074097</v>
      </c>
      <c r="E2975" s="89">
        <v>46295</v>
      </c>
      <c r="F2975" s="71" t="s">
        <v>2833</v>
      </c>
      <c r="G2975" s="71">
        <f t="shared" si="92"/>
        <v>9</v>
      </c>
      <c r="H2975" s="71">
        <f t="shared" si="93"/>
        <v>61</v>
      </c>
    </row>
    <row r="2976" spans="1:8" x14ac:dyDescent="0.2">
      <c r="A2976" s="71" t="s">
        <v>198</v>
      </c>
      <c r="B2976" s="71" t="s">
        <v>199</v>
      </c>
      <c r="C2976" s="71" t="s">
        <v>47</v>
      </c>
      <c r="D2976" s="88">
        <v>46295.654618055603</v>
      </c>
      <c r="E2976" s="89">
        <v>46295</v>
      </c>
      <c r="F2976" s="71" t="s">
        <v>2834</v>
      </c>
      <c r="G2976" s="71">
        <f t="shared" si="92"/>
        <v>9</v>
      </c>
      <c r="H2976" s="71">
        <f t="shared" si="93"/>
        <v>68</v>
      </c>
    </row>
    <row r="2977" spans="1:8" x14ac:dyDescent="0.2">
      <c r="A2977" s="71" t="s">
        <v>198</v>
      </c>
      <c r="B2977" s="71" t="s">
        <v>199</v>
      </c>
      <c r="C2977" s="71" t="s">
        <v>47</v>
      </c>
      <c r="D2977" s="88">
        <v>46295.655381944503</v>
      </c>
      <c r="E2977" s="89">
        <v>46295</v>
      </c>
      <c r="F2977" s="71" t="s">
        <v>2835</v>
      </c>
      <c r="G2977" s="71">
        <f t="shared" si="92"/>
        <v>9</v>
      </c>
      <c r="H2977" s="71">
        <f t="shared" si="93"/>
        <v>49</v>
      </c>
    </row>
    <row r="2978" spans="1:8" x14ac:dyDescent="0.2">
      <c r="A2978" s="71" t="s">
        <v>200</v>
      </c>
      <c r="B2978" s="71" t="s">
        <v>201</v>
      </c>
      <c r="C2978" s="71" t="s">
        <v>47</v>
      </c>
      <c r="D2978" s="88">
        <v>46178.465254629598</v>
      </c>
      <c r="E2978" s="89">
        <v>46178</v>
      </c>
      <c r="F2978" s="71" t="s">
        <v>2836</v>
      </c>
      <c r="G2978" s="71">
        <f t="shared" si="92"/>
        <v>6</v>
      </c>
      <c r="H2978" s="71">
        <f t="shared" si="93"/>
        <v>12</v>
      </c>
    </row>
    <row r="2979" spans="1:8" x14ac:dyDescent="0.2">
      <c r="A2979" s="71" t="s">
        <v>200</v>
      </c>
      <c r="B2979" s="71" t="s">
        <v>201</v>
      </c>
      <c r="C2979" s="71" t="s">
        <v>47</v>
      </c>
      <c r="D2979" s="88">
        <v>46182.7762268519</v>
      </c>
      <c r="E2979" s="89">
        <v>46182</v>
      </c>
      <c r="F2979" s="71" t="s">
        <v>2837</v>
      </c>
      <c r="G2979" s="71">
        <f t="shared" si="92"/>
        <v>6</v>
      </c>
      <c r="H2979" s="71">
        <f t="shared" si="93"/>
        <v>11</v>
      </c>
    </row>
    <row r="2980" spans="1:8" x14ac:dyDescent="0.2">
      <c r="A2980" s="71" t="s">
        <v>200</v>
      </c>
      <c r="B2980" s="71" t="s">
        <v>201</v>
      </c>
      <c r="C2980" s="71" t="s">
        <v>47</v>
      </c>
      <c r="D2980" s="88">
        <v>46184.767210648199</v>
      </c>
      <c r="E2980" s="89">
        <v>46184</v>
      </c>
      <c r="F2980" s="71" t="s">
        <v>2838</v>
      </c>
      <c r="G2980" s="71">
        <f t="shared" si="92"/>
        <v>6</v>
      </c>
      <c r="H2980" s="71">
        <f t="shared" si="93"/>
        <v>10</v>
      </c>
    </row>
    <row r="2981" spans="1:8" x14ac:dyDescent="0.2">
      <c r="A2981" s="71" t="s">
        <v>200</v>
      </c>
      <c r="B2981" s="71" t="s">
        <v>201</v>
      </c>
      <c r="C2981" s="71" t="s">
        <v>47</v>
      </c>
      <c r="D2981" s="88">
        <v>46185.753483796303</v>
      </c>
      <c r="E2981" s="89">
        <v>46185</v>
      </c>
      <c r="F2981" s="71" t="s">
        <v>2839</v>
      </c>
      <c r="G2981" s="71">
        <f t="shared" si="92"/>
        <v>6</v>
      </c>
      <c r="H2981" s="71">
        <f t="shared" si="93"/>
        <v>13</v>
      </c>
    </row>
    <row r="2982" spans="1:8" x14ac:dyDescent="0.2">
      <c r="A2982" s="71" t="s">
        <v>200</v>
      </c>
      <c r="B2982" s="71" t="s">
        <v>201</v>
      </c>
      <c r="C2982" s="71" t="s">
        <v>47</v>
      </c>
      <c r="D2982" s="88">
        <v>46188.775208333303</v>
      </c>
      <c r="E2982" s="89">
        <v>46188</v>
      </c>
      <c r="F2982" s="71" t="s">
        <v>2838</v>
      </c>
      <c r="G2982" s="71">
        <f t="shared" si="92"/>
        <v>6</v>
      </c>
      <c r="H2982" s="71">
        <f t="shared" si="93"/>
        <v>10</v>
      </c>
    </row>
    <row r="2983" spans="1:8" x14ac:dyDescent="0.2">
      <c r="A2983" s="71" t="s">
        <v>200</v>
      </c>
      <c r="B2983" s="71" t="s">
        <v>201</v>
      </c>
      <c r="C2983" s="71" t="s">
        <v>47</v>
      </c>
      <c r="D2983" s="88">
        <v>46191.591932870397</v>
      </c>
      <c r="E2983" s="89">
        <v>46191</v>
      </c>
      <c r="F2983" s="71" t="s">
        <v>1134</v>
      </c>
      <c r="G2983" s="71">
        <f t="shared" si="92"/>
        <v>6</v>
      </c>
      <c r="H2983" s="71">
        <f t="shared" si="93"/>
        <v>14</v>
      </c>
    </row>
    <row r="2984" spans="1:8" x14ac:dyDescent="0.2">
      <c r="A2984" s="71" t="s">
        <v>200</v>
      </c>
      <c r="B2984" s="71" t="s">
        <v>201</v>
      </c>
      <c r="C2984" s="71" t="s">
        <v>47</v>
      </c>
      <c r="D2984" s="88">
        <v>46192.660532407397</v>
      </c>
      <c r="E2984" s="89">
        <v>46192</v>
      </c>
      <c r="F2984" s="71" t="s">
        <v>1071</v>
      </c>
      <c r="G2984" s="71">
        <f t="shared" si="92"/>
        <v>6</v>
      </c>
      <c r="H2984" s="71">
        <f t="shared" si="93"/>
        <v>11</v>
      </c>
    </row>
    <row r="2985" spans="1:8" x14ac:dyDescent="0.2">
      <c r="A2985" s="71" t="s">
        <v>200</v>
      </c>
      <c r="B2985" s="71" t="s">
        <v>201</v>
      </c>
      <c r="C2985" s="71" t="s">
        <v>47</v>
      </c>
      <c r="D2985" s="88">
        <v>46195.722384259301</v>
      </c>
      <c r="E2985" s="89">
        <v>46195</v>
      </c>
      <c r="F2985" s="71" t="s">
        <v>2840</v>
      </c>
      <c r="G2985" s="71">
        <f t="shared" si="92"/>
        <v>6</v>
      </c>
      <c r="H2985" s="71">
        <f t="shared" si="93"/>
        <v>10</v>
      </c>
    </row>
    <row r="2986" spans="1:8" x14ac:dyDescent="0.2">
      <c r="A2986" s="71" t="s">
        <v>200</v>
      </c>
      <c r="B2986" s="71" t="s">
        <v>201</v>
      </c>
      <c r="C2986" s="71" t="s">
        <v>47</v>
      </c>
      <c r="D2986" s="88">
        <v>46196.744733796302</v>
      </c>
      <c r="E2986" s="89">
        <v>46196</v>
      </c>
      <c r="F2986" s="71" t="s">
        <v>2838</v>
      </c>
      <c r="G2986" s="71">
        <f t="shared" si="92"/>
        <v>6</v>
      </c>
      <c r="H2986" s="71">
        <f t="shared" si="93"/>
        <v>10</v>
      </c>
    </row>
    <row r="2987" spans="1:8" x14ac:dyDescent="0.2">
      <c r="A2987" s="71" t="s">
        <v>200</v>
      </c>
      <c r="B2987" s="71" t="s">
        <v>201</v>
      </c>
      <c r="C2987" s="71" t="s">
        <v>47</v>
      </c>
      <c r="D2987" s="88">
        <v>46198.619282407402</v>
      </c>
      <c r="E2987" s="89">
        <v>46198</v>
      </c>
      <c r="F2987" s="71" t="s">
        <v>2841</v>
      </c>
      <c r="G2987" s="71">
        <f t="shared" si="92"/>
        <v>6</v>
      </c>
      <c r="H2987" s="71">
        <f t="shared" si="93"/>
        <v>12</v>
      </c>
    </row>
    <row r="2988" spans="1:8" x14ac:dyDescent="0.2">
      <c r="A2988" s="71" t="s">
        <v>200</v>
      </c>
      <c r="B2988" s="71" t="s">
        <v>201</v>
      </c>
      <c r="C2988" s="71" t="s">
        <v>47</v>
      </c>
      <c r="D2988" s="88">
        <v>46202.718865740702</v>
      </c>
      <c r="E2988" s="89">
        <v>46202</v>
      </c>
      <c r="F2988" s="71" t="s">
        <v>2842</v>
      </c>
      <c r="G2988" s="71">
        <f t="shared" si="92"/>
        <v>6</v>
      </c>
      <c r="H2988" s="71">
        <f t="shared" si="93"/>
        <v>22</v>
      </c>
    </row>
    <row r="2989" spans="1:8" x14ac:dyDescent="0.2">
      <c r="A2989" s="71" t="s">
        <v>200</v>
      </c>
      <c r="B2989" s="71" t="s">
        <v>201</v>
      </c>
      <c r="C2989" s="71" t="s">
        <v>47</v>
      </c>
      <c r="D2989" s="88">
        <v>46204.691678240699</v>
      </c>
      <c r="E2989" s="89">
        <v>46204</v>
      </c>
      <c r="F2989" s="71" t="s">
        <v>2843</v>
      </c>
      <c r="G2989" s="71">
        <f t="shared" si="92"/>
        <v>7</v>
      </c>
      <c r="H2989" s="71">
        <f t="shared" si="93"/>
        <v>12</v>
      </c>
    </row>
    <row r="2990" spans="1:8" x14ac:dyDescent="0.2">
      <c r="A2990" s="71" t="s">
        <v>200</v>
      </c>
      <c r="B2990" s="71" t="s">
        <v>201</v>
      </c>
      <c r="C2990" s="71" t="s">
        <v>47</v>
      </c>
      <c r="D2990" s="88">
        <v>46206.7665277778</v>
      </c>
      <c r="E2990" s="89">
        <v>46206</v>
      </c>
      <c r="F2990" s="71" t="s">
        <v>2844</v>
      </c>
      <c r="G2990" s="71">
        <f t="shared" si="92"/>
        <v>7</v>
      </c>
      <c r="H2990" s="71">
        <f t="shared" si="93"/>
        <v>28</v>
      </c>
    </row>
    <row r="2991" spans="1:8" x14ac:dyDescent="0.2">
      <c r="A2991" s="71" t="s">
        <v>200</v>
      </c>
      <c r="B2991" s="71" t="s">
        <v>201</v>
      </c>
      <c r="C2991" s="71" t="s">
        <v>47</v>
      </c>
      <c r="D2991" s="88">
        <v>46212.738993055602</v>
      </c>
      <c r="E2991" s="89">
        <v>46212</v>
      </c>
      <c r="F2991" s="71" t="s">
        <v>2838</v>
      </c>
      <c r="G2991" s="71">
        <f t="shared" si="92"/>
        <v>7</v>
      </c>
      <c r="H2991" s="71">
        <f t="shared" si="93"/>
        <v>10</v>
      </c>
    </row>
    <row r="2992" spans="1:8" x14ac:dyDescent="0.2">
      <c r="A2992" s="71" t="s">
        <v>200</v>
      </c>
      <c r="B2992" s="71" t="s">
        <v>201</v>
      </c>
      <c r="C2992" s="71" t="s">
        <v>47</v>
      </c>
      <c r="D2992" s="88">
        <v>46216.377199074101</v>
      </c>
      <c r="E2992" s="89">
        <v>46216</v>
      </c>
      <c r="F2992" s="71" t="s">
        <v>2840</v>
      </c>
      <c r="G2992" s="71">
        <f t="shared" si="92"/>
        <v>7</v>
      </c>
      <c r="H2992" s="71">
        <f t="shared" si="93"/>
        <v>10</v>
      </c>
    </row>
    <row r="2993" spans="1:8" x14ac:dyDescent="0.2">
      <c r="A2993" s="71" t="s">
        <v>200</v>
      </c>
      <c r="B2993" s="71" t="s">
        <v>201</v>
      </c>
      <c r="C2993" s="71" t="s">
        <v>47</v>
      </c>
      <c r="D2993" s="88">
        <v>46217.666562500002</v>
      </c>
      <c r="E2993" s="89">
        <v>46217</v>
      </c>
      <c r="F2993" s="71" t="s">
        <v>2845</v>
      </c>
      <c r="G2993" s="71">
        <f t="shared" si="92"/>
        <v>7</v>
      </c>
      <c r="H2993" s="71">
        <f t="shared" si="93"/>
        <v>5</v>
      </c>
    </row>
    <row r="2994" spans="1:8" x14ac:dyDescent="0.2">
      <c r="A2994" s="71" t="s">
        <v>200</v>
      </c>
      <c r="B2994" s="71" t="s">
        <v>201</v>
      </c>
      <c r="C2994" s="71" t="s">
        <v>47</v>
      </c>
      <c r="D2994" s="88">
        <v>46219.628969907397</v>
      </c>
      <c r="E2994" s="89">
        <v>46219</v>
      </c>
      <c r="F2994" s="71" t="s">
        <v>2843</v>
      </c>
      <c r="G2994" s="71">
        <f t="shared" si="92"/>
        <v>7</v>
      </c>
      <c r="H2994" s="71">
        <f t="shared" si="93"/>
        <v>12</v>
      </c>
    </row>
    <row r="2995" spans="1:8" x14ac:dyDescent="0.2">
      <c r="A2995" s="71" t="s">
        <v>200</v>
      </c>
      <c r="B2995" s="71" t="s">
        <v>201</v>
      </c>
      <c r="C2995" s="71" t="s">
        <v>47</v>
      </c>
      <c r="D2995" s="88">
        <v>46220.723437499997</v>
      </c>
      <c r="E2995" s="89">
        <v>46220</v>
      </c>
      <c r="F2995" s="71" t="s">
        <v>2840</v>
      </c>
      <c r="G2995" s="71">
        <f t="shared" si="92"/>
        <v>7</v>
      </c>
      <c r="H2995" s="71">
        <f t="shared" si="93"/>
        <v>10</v>
      </c>
    </row>
    <row r="2996" spans="1:8" x14ac:dyDescent="0.2">
      <c r="A2996" s="71" t="s">
        <v>200</v>
      </c>
      <c r="B2996" s="71" t="s">
        <v>201</v>
      </c>
      <c r="C2996" s="71" t="s">
        <v>47</v>
      </c>
      <c r="D2996" s="88">
        <v>46223.7280902778</v>
      </c>
      <c r="E2996" s="89">
        <v>46223</v>
      </c>
      <c r="F2996" s="71" t="s">
        <v>2846</v>
      </c>
      <c r="G2996" s="71">
        <f t="shared" si="92"/>
        <v>7</v>
      </c>
      <c r="H2996" s="71">
        <f t="shared" si="93"/>
        <v>10</v>
      </c>
    </row>
    <row r="2997" spans="1:8" x14ac:dyDescent="0.2">
      <c r="A2997" s="71" t="s">
        <v>200</v>
      </c>
      <c r="B2997" s="71" t="s">
        <v>201</v>
      </c>
      <c r="C2997" s="71" t="s">
        <v>47</v>
      </c>
      <c r="D2997" s="88">
        <v>46224.7598842593</v>
      </c>
      <c r="E2997" s="89">
        <v>46224</v>
      </c>
      <c r="F2997" s="71" t="s">
        <v>2838</v>
      </c>
      <c r="G2997" s="71">
        <f t="shared" si="92"/>
        <v>7</v>
      </c>
      <c r="H2997" s="71">
        <f t="shared" si="93"/>
        <v>10</v>
      </c>
    </row>
    <row r="2998" spans="1:8" x14ac:dyDescent="0.2">
      <c r="A2998" s="71" t="s">
        <v>200</v>
      </c>
      <c r="B2998" s="71" t="s">
        <v>201</v>
      </c>
      <c r="C2998" s="71" t="s">
        <v>47</v>
      </c>
      <c r="D2998" s="88">
        <v>46226.6639699074</v>
      </c>
      <c r="E2998" s="89">
        <v>46226</v>
      </c>
      <c r="F2998" s="71" t="s">
        <v>2838</v>
      </c>
      <c r="G2998" s="71">
        <f t="shared" si="92"/>
        <v>7</v>
      </c>
      <c r="H2998" s="71">
        <f t="shared" si="93"/>
        <v>10</v>
      </c>
    </row>
    <row r="2999" spans="1:8" x14ac:dyDescent="0.2">
      <c r="A2999" s="71" t="s">
        <v>200</v>
      </c>
      <c r="B2999" s="71" t="s">
        <v>201</v>
      </c>
      <c r="C2999" s="71" t="s">
        <v>47</v>
      </c>
      <c r="D2999" s="88">
        <v>46227.573356481502</v>
      </c>
      <c r="E2999" s="89">
        <v>46227</v>
      </c>
      <c r="F2999" s="71" t="s">
        <v>2838</v>
      </c>
      <c r="G2999" s="71">
        <f t="shared" si="92"/>
        <v>7</v>
      </c>
      <c r="H2999" s="71">
        <f t="shared" si="93"/>
        <v>10</v>
      </c>
    </row>
    <row r="3000" spans="1:8" x14ac:dyDescent="0.2">
      <c r="A3000" s="71" t="s">
        <v>200</v>
      </c>
      <c r="B3000" s="71" t="s">
        <v>201</v>
      </c>
      <c r="C3000" s="71" t="s">
        <v>47</v>
      </c>
      <c r="D3000" s="88">
        <v>46230.718599537002</v>
      </c>
      <c r="E3000" s="89">
        <v>46230</v>
      </c>
      <c r="F3000" s="71" t="s">
        <v>2840</v>
      </c>
      <c r="G3000" s="71">
        <f t="shared" si="92"/>
        <v>7</v>
      </c>
      <c r="H3000" s="71">
        <f t="shared" si="93"/>
        <v>10</v>
      </c>
    </row>
    <row r="3001" spans="1:8" x14ac:dyDescent="0.2">
      <c r="A3001" s="71" t="s">
        <v>200</v>
      </c>
      <c r="B3001" s="71" t="s">
        <v>201</v>
      </c>
      <c r="C3001" s="71" t="s">
        <v>47</v>
      </c>
      <c r="D3001" s="88">
        <v>46231.4846875</v>
      </c>
      <c r="E3001" s="89">
        <v>46231</v>
      </c>
      <c r="F3001" s="71" t="s">
        <v>2838</v>
      </c>
      <c r="G3001" s="71">
        <f t="shared" si="92"/>
        <v>7</v>
      </c>
      <c r="H3001" s="71">
        <f t="shared" si="93"/>
        <v>10</v>
      </c>
    </row>
    <row r="3002" spans="1:8" x14ac:dyDescent="0.2">
      <c r="A3002" s="71" t="s">
        <v>200</v>
      </c>
      <c r="B3002" s="71" t="s">
        <v>201</v>
      </c>
      <c r="C3002" s="71" t="s">
        <v>47</v>
      </c>
      <c r="D3002" s="88">
        <v>46233.726851851898</v>
      </c>
      <c r="E3002" s="89">
        <v>46233</v>
      </c>
      <c r="F3002" s="71" t="s">
        <v>2838</v>
      </c>
      <c r="G3002" s="71">
        <f t="shared" si="92"/>
        <v>7</v>
      </c>
      <c r="H3002" s="71">
        <f t="shared" si="93"/>
        <v>10</v>
      </c>
    </row>
    <row r="3003" spans="1:8" x14ac:dyDescent="0.2">
      <c r="A3003" s="71" t="s">
        <v>200</v>
      </c>
      <c r="B3003" s="71" t="s">
        <v>201</v>
      </c>
      <c r="C3003" s="71" t="s">
        <v>47</v>
      </c>
      <c r="D3003" s="88">
        <v>46234.721944444398</v>
      </c>
      <c r="E3003" s="89">
        <v>46234</v>
      </c>
      <c r="F3003" s="71" t="s">
        <v>2847</v>
      </c>
      <c r="G3003" s="71">
        <f t="shared" si="92"/>
        <v>7</v>
      </c>
      <c r="H3003" s="71">
        <f t="shared" si="93"/>
        <v>10</v>
      </c>
    </row>
    <row r="3004" spans="1:8" x14ac:dyDescent="0.2">
      <c r="A3004" s="71" t="s">
        <v>200</v>
      </c>
      <c r="B3004" s="71" t="s">
        <v>201</v>
      </c>
      <c r="C3004" s="71" t="s">
        <v>47</v>
      </c>
      <c r="D3004" s="88">
        <v>46237.815138888902</v>
      </c>
      <c r="E3004" s="89">
        <v>46237</v>
      </c>
      <c r="F3004" s="71" t="s">
        <v>2840</v>
      </c>
      <c r="G3004" s="71">
        <f t="shared" si="92"/>
        <v>8</v>
      </c>
      <c r="H3004" s="71">
        <f t="shared" si="93"/>
        <v>10</v>
      </c>
    </row>
    <row r="3005" spans="1:8" x14ac:dyDescent="0.2">
      <c r="A3005" s="71" t="s">
        <v>200</v>
      </c>
      <c r="B3005" s="71" t="s">
        <v>201</v>
      </c>
      <c r="C3005" s="71" t="s">
        <v>47</v>
      </c>
      <c r="D3005" s="88">
        <v>46238.780069444401</v>
      </c>
      <c r="E3005" s="89">
        <v>46238</v>
      </c>
      <c r="F3005" s="71" t="s">
        <v>2838</v>
      </c>
      <c r="G3005" s="71">
        <f t="shared" si="92"/>
        <v>8</v>
      </c>
      <c r="H3005" s="71">
        <f t="shared" si="93"/>
        <v>10</v>
      </c>
    </row>
    <row r="3006" spans="1:8" x14ac:dyDescent="0.2">
      <c r="A3006" s="71" t="s">
        <v>200</v>
      </c>
      <c r="B3006" s="71" t="s">
        <v>201</v>
      </c>
      <c r="C3006" s="71" t="s">
        <v>47</v>
      </c>
      <c r="D3006" s="88">
        <v>46239.723344907397</v>
      </c>
      <c r="E3006" s="89">
        <v>46239</v>
      </c>
      <c r="F3006" s="71" t="s">
        <v>2840</v>
      </c>
      <c r="G3006" s="71">
        <f t="shared" si="92"/>
        <v>8</v>
      </c>
      <c r="H3006" s="71">
        <f t="shared" si="93"/>
        <v>10</v>
      </c>
    </row>
    <row r="3007" spans="1:8" x14ac:dyDescent="0.2">
      <c r="A3007" s="71" t="s">
        <v>200</v>
      </c>
      <c r="B3007" s="71" t="s">
        <v>201</v>
      </c>
      <c r="C3007" s="71" t="s">
        <v>47</v>
      </c>
      <c r="D3007" s="88">
        <v>46240.4676736111</v>
      </c>
      <c r="E3007" s="89">
        <v>46240</v>
      </c>
      <c r="F3007" s="71" t="s">
        <v>2838</v>
      </c>
      <c r="G3007" s="71">
        <f t="shared" si="92"/>
        <v>8</v>
      </c>
      <c r="H3007" s="71">
        <f t="shared" si="93"/>
        <v>10</v>
      </c>
    </row>
    <row r="3008" spans="1:8" x14ac:dyDescent="0.2">
      <c r="A3008" s="71" t="s">
        <v>200</v>
      </c>
      <c r="B3008" s="71" t="s">
        <v>201</v>
      </c>
      <c r="C3008" s="71" t="s">
        <v>47</v>
      </c>
      <c r="D3008" s="88">
        <v>46241.739143518498</v>
      </c>
      <c r="E3008" s="89">
        <v>46241</v>
      </c>
      <c r="F3008" s="71" t="s">
        <v>2838</v>
      </c>
      <c r="G3008" s="71">
        <f t="shared" si="92"/>
        <v>8</v>
      </c>
      <c r="H3008" s="71">
        <f t="shared" si="93"/>
        <v>10</v>
      </c>
    </row>
    <row r="3009" spans="1:8" x14ac:dyDescent="0.2">
      <c r="A3009" s="71" t="s">
        <v>200</v>
      </c>
      <c r="B3009" s="71" t="s">
        <v>201</v>
      </c>
      <c r="C3009" s="71" t="s">
        <v>47</v>
      </c>
      <c r="D3009" s="88">
        <v>46244.471863425897</v>
      </c>
      <c r="E3009" s="89">
        <v>46244</v>
      </c>
      <c r="F3009" s="71" t="s">
        <v>2848</v>
      </c>
      <c r="G3009" s="71">
        <f t="shared" si="92"/>
        <v>8</v>
      </c>
      <c r="H3009" s="71">
        <f t="shared" si="93"/>
        <v>9</v>
      </c>
    </row>
    <row r="3010" spans="1:8" x14ac:dyDescent="0.2">
      <c r="A3010" s="71" t="s">
        <v>200</v>
      </c>
      <c r="B3010" s="71" t="s">
        <v>201</v>
      </c>
      <c r="C3010" s="71" t="s">
        <v>47</v>
      </c>
      <c r="D3010" s="88">
        <v>46245.7191087963</v>
      </c>
      <c r="E3010" s="89">
        <v>46245</v>
      </c>
      <c r="F3010" s="71" t="s">
        <v>2838</v>
      </c>
      <c r="G3010" s="71">
        <f t="shared" ref="G3010:G3052" si="94">MONTH(E3010)</f>
        <v>8</v>
      </c>
      <c r="H3010" s="71">
        <f t="shared" ref="H3010:H3052" si="95">LEN(F3010)</f>
        <v>10</v>
      </c>
    </row>
    <row r="3011" spans="1:8" x14ac:dyDescent="0.2">
      <c r="A3011" s="71" t="s">
        <v>200</v>
      </c>
      <c r="B3011" s="71" t="s">
        <v>201</v>
      </c>
      <c r="C3011" s="71" t="s">
        <v>47</v>
      </c>
      <c r="D3011" s="88">
        <v>46246.677592592598</v>
      </c>
      <c r="E3011" s="89">
        <v>46246</v>
      </c>
      <c r="F3011" s="71" t="s">
        <v>2849</v>
      </c>
      <c r="G3011" s="71">
        <f t="shared" si="94"/>
        <v>8</v>
      </c>
      <c r="H3011" s="71">
        <f t="shared" si="95"/>
        <v>12</v>
      </c>
    </row>
    <row r="3012" spans="1:8" x14ac:dyDescent="0.2">
      <c r="A3012" s="71" t="s">
        <v>200</v>
      </c>
      <c r="B3012" s="71" t="s">
        <v>201</v>
      </c>
      <c r="C3012" s="71" t="s">
        <v>47</v>
      </c>
      <c r="D3012" s="88">
        <v>46252.739004629599</v>
      </c>
      <c r="E3012" s="89">
        <v>46252</v>
      </c>
      <c r="F3012" s="71" t="s">
        <v>2850</v>
      </c>
      <c r="G3012" s="71">
        <f t="shared" si="94"/>
        <v>8</v>
      </c>
      <c r="H3012" s="71">
        <f t="shared" si="95"/>
        <v>7</v>
      </c>
    </row>
    <row r="3013" spans="1:8" x14ac:dyDescent="0.2">
      <c r="A3013" s="71" t="s">
        <v>200</v>
      </c>
      <c r="B3013" s="71" t="s">
        <v>201</v>
      </c>
      <c r="C3013" s="71" t="s">
        <v>47</v>
      </c>
      <c r="D3013" s="88">
        <v>46253.6086574074</v>
      </c>
      <c r="E3013" s="89">
        <v>46253</v>
      </c>
      <c r="F3013" s="71" t="s">
        <v>2840</v>
      </c>
      <c r="G3013" s="71">
        <f t="shared" si="94"/>
        <v>8</v>
      </c>
      <c r="H3013" s="71">
        <f t="shared" si="95"/>
        <v>10</v>
      </c>
    </row>
    <row r="3014" spans="1:8" x14ac:dyDescent="0.2">
      <c r="A3014" s="71" t="s">
        <v>200</v>
      </c>
      <c r="B3014" s="71" t="s">
        <v>201</v>
      </c>
      <c r="C3014" s="71" t="s">
        <v>47</v>
      </c>
      <c r="D3014" s="88">
        <v>46254.692812499998</v>
      </c>
      <c r="E3014" s="89">
        <v>46254</v>
      </c>
      <c r="F3014" s="71" t="s">
        <v>2851</v>
      </c>
      <c r="G3014" s="71">
        <f t="shared" si="94"/>
        <v>8</v>
      </c>
      <c r="H3014" s="71">
        <f t="shared" si="95"/>
        <v>4</v>
      </c>
    </row>
    <row r="3015" spans="1:8" x14ac:dyDescent="0.2">
      <c r="A3015" s="71" t="s">
        <v>200</v>
      </c>
      <c r="B3015" s="71" t="s">
        <v>201</v>
      </c>
      <c r="C3015" s="71" t="s">
        <v>47</v>
      </c>
      <c r="D3015" s="88">
        <v>46255.7521180556</v>
      </c>
      <c r="E3015" s="89">
        <v>46255</v>
      </c>
      <c r="F3015" s="71" t="s">
        <v>2851</v>
      </c>
      <c r="G3015" s="71">
        <f t="shared" si="94"/>
        <v>8</v>
      </c>
      <c r="H3015" s="71">
        <f t="shared" si="95"/>
        <v>4</v>
      </c>
    </row>
    <row r="3016" spans="1:8" x14ac:dyDescent="0.2">
      <c r="A3016" s="71" t="s">
        <v>200</v>
      </c>
      <c r="B3016" s="71" t="s">
        <v>201</v>
      </c>
      <c r="C3016" s="71" t="s">
        <v>47</v>
      </c>
      <c r="D3016" s="88">
        <v>46258.826284722199</v>
      </c>
      <c r="E3016" s="89">
        <v>46258</v>
      </c>
      <c r="F3016" s="71" t="s">
        <v>2848</v>
      </c>
      <c r="G3016" s="71">
        <f t="shared" si="94"/>
        <v>8</v>
      </c>
      <c r="H3016" s="71">
        <f t="shared" si="95"/>
        <v>9</v>
      </c>
    </row>
    <row r="3017" spans="1:8" x14ac:dyDescent="0.2">
      <c r="A3017" s="71" t="s">
        <v>200</v>
      </c>
      <c r="B3017" s="71" t="s">
        <v>201</v>
      </c>
      <c r="C3017" s="71" t="s">
        <v>47</v>
      </c>
      <c r="D3017" s="88">
        <v>46260.427268518499</v>
      </c>
      <c r="E3017" s="89">
        <v>46260</v>
      </c>
      <c r="F3017" s="71" t="s">
        <v>2848</v>
      </c>
      <c r="G3017" s="71">
        <f t="shared" si="94"/>
        <v>8</v>
      </c>
      <c r="H3017" s="71">
        <f t="shared" si="95"/>
        <v>9</v>
      </c>
    </row>
    <row r="3018" spans="1:8" x14ac:dyDescent="0.2">
      <c r="A3018" s="71" t="s">
        <v>200</v>
      </c>
      <c r="B3018" s="71" t="s">
        <v>201</v>
      </c>
      <c r="C3018" s="71" t="s">
        <v>47</v>
      </c>
      <c r="D3018" s="88">
        <v>46262.349293981497</v>
      </c>
      <c r="E3018" s="89">
        <v>46262</v>
      </c>
      <c r="F3018" s="71" t="s">
        <v>2852</v>
      </c>
      <c r="G3018" s="71">
        <f t="shared" si="94"/>
        <v>8</v>
      </c>
      <c r="H3018" s="71">
        <f t="shared" si="95"/>
        <v>19</v>
      </c>
    </row>
    <row r="3019" spans="1:8" x14ac:dyDescent="0.2">
      <c r="A3019" s="71" t="s">
        <v>200</v>
      </c>
      <c r="B3019" s="71" t="s">
        <v>201</v>
      </c>
      <c r="C3019" s="71" t="s">
        <v>47</v>
      </c>
      <c r="D3019" s="88">
        <v>46265.402511574102</v>
      </c>
      <c r="E3019" s="89">
        <v>46265</v>
      </c>
      <c r="F3019" s="71" t="s">
        <v>2840</v>
      </c>
      <c r="G3019" s="71">
        <f t="shared" si="94"/>
        <v>8</v>
      </c>
      <c r="H3019" s="71">
        <f t="shared" si="95"/>
        <v>10</v>
      </c>
    </row>
    <row r="3020" spans="1:8" x14ac:dyDescent="0.2">
      <c r="A3020" s="71" t="s">
        <v>200</v>
      </c>
      <c r="B3020" s="71" t="s">
        <v>201</v>
      </c>
      <c r="C3020" s="71" t="s">
        <v>47</v>
      </c>
      <c r="D3020" s="88">
        <v>46266.347534722197</v>
      </c>
      <c r="E3020" s="89">
        <v>46266</v>
      </c>
      <c r="F3020" s="71" t="s">
        <v>2848</v>
      </c>
      <c r="G3020" s="71">
        <f t="shared" si="94"/>
        <v>9</v>
      </c>
      <c r="H3020" s="71">
        <f t="shared" si="95"/>
        <v>9</v>
      </c>
    </row>
    <row r="3021" spans="1:8" x14ac:dyDescent="0.2">
      <c r="A3021" s="71" t="s">
        <v>200</v>
      </c>
      <c r="B3021" s="71" t="s">
        <v>201</v>
      </c>
      <c r="C3021" s="71" t="s">
        <v>47</v>
      </c>
      <c r="D3021" s="88">
        <v>46267.705729166701</v>
      </c>
      <c r="E3021" s="89">
        <v>46267</v>
      </c>
      <c r="F3021" s="71" t="s">
        <v>2848</v>
      </c>
      <c r="G3021" s="71">
        <f t="shared" si="94"/>
        <v>9</v>
      </c>
      <c r="H3021" s="71">
        <f t="shared" si="95"/>
        <v>9</v>
      </c>
    </row>
    <row r="3022" spans="1:8" x14ac:dyDescent="0.2">
      <c r="A3022" s="71" t="s">
        <v>200</v>
      </c>
      <c r="B3022" s="71" t="s">
        <v>201</v>
      </c>
      <c r="C3022" s="71" t="s">
        <v>47</v>
      </c>
      <c r="D3022" s="88">
        <v>46269.644259259301</v>
      </c>
      <c r="E3022" s="89">
        <v>46269</v>
      </c>
      <c r="F3022" s="71" t="s">
        <v>2853</v>
      </c>
      <c r="G3022" s="71">
        <f t="shared" si="94"/>
        <v>9</v>
      </c>
      <c r="H3022" s="71">
        <f t="shared" si="95"/>
        <v>12</v>
      </c>
    </row>
    <row r="3023" spans="1:8" x14ac:dyDescent="0.2">
      <c r="A3023" s="71" t="s">
        <v>200</v>
      </c>
      <c r="B3023" s="71" t="s">
        <v>201</v>
      </c>
      <c r="C3023" s="71" t="s">
        <v>47</v>
      </c>
      <c r="D3023" s="88">
        <v>46269.644490740699</v>
      </c>
      <c r="E3023" s="89">
        <v>46269</v>
      </c>
      <c r="F3023" s="71" t="s">
        <v>2854</v>
      </c>
      <c r="G3023" s="71">
        <f t="shared" si="94"/>
        <v>9</v>
      </c>
      <c r="H3023" s="71">
        <f t="shared" si="95"/>
        <v>12</v>
      </c>
    </row>
    <row r="3024" spans="1:8" x14ac:dyDescent="0.2">
      <c r="A3024" s="71" t="s">
        <v>200</v>
      </c>
      <c r="B3024" s="71" t="s">
        <v>201</v>
      </c>
      <c r="C3024" s="71" t="s">
        <v>47</v>
      </c>
      <c r="D3024" s="88">
        <v>46272.600497685198</v>
      </c>
      <c r="E3024" s="89">
        <v>46272</v>
      </c>
      <c r="F3024" s="71" t="s">
        <v>2848</v>
      </c>
      <c r="G3024" s="71">
        <f t="shared" si="94"/>
        <v>9</v>
      </c>
      <c r="H3024" s="71">
        <f t="shared" si="95"/>
        <v>9</v>
      </c>
    </row>
    <row r="3025" spans="1:8" x14ac:dyDescent="0.2">
      <c r="A3025" s="71" t="s">
        <v>200</v>
      </c>
      <c r="B3025" s="71" t="s">
        <v>201</v>
      </c>
      <c r="C3025" s="71" t="s">
        <v>47</v>
      </c>
      <c r="D3025" s="88">
        <v>46274.671226851897</v>
      </c>
      <c r="E3025" s="89">
        <v>46274</v>
      </c>
      <c r="F3025" s="71" t="s">
        <v>2838</v>
      </c>
      <c r="G3025" s="71">
        <f t="shared" si="94"/>
        <v>9</v>
      </c>
      <c r="H3025" s="71">
        <f t="shared" si="95"/>
        <v>10</v>
      </c>
    </row>
    <row r="3026" spans="1:8" x14ac:dyDescent="0.2">
      <c r="A3026" s="71" t="s">
        <v>200</v>
      </c>
      <c r="B3026" s="71" t="s">
        <v>201</v>
      </c>
      <c r="C3026" s="71" t="s">
        <v>47</v>
      </c>
      <c r="D3026" s="88">
        <v>46275.708113425899</v>
      </c>
      <c r="E3026" s="89">
        <v>46275</v>
      </c>
      <c r="F3026" s="71" t="s">
        <v>2851</v>
      </c>
      <c r="G3026" s="71">
        <f t="shared" si="94"/>
        <v>9</v>
      </c>
      <c r="H3026" s="71">
        <f t="shared" si="95"/>
        <v>4</v>
      </c>
    </row>
    <row r="3027" spans="1:8" x14ac:dyDescent="0.2">
      <c r="A3027" s="71" t="s">
        <v>200</v>
      </c>
      <c r="B3027" s="71" t="s">
        <v>201</v>
      </c>
      <c r="C3027" s="71" t="s">
        <v>47</v>
      </c>
      <c r="D3027" s="88">
        <v>46276.623969907399</v>
      </c>
      <c r="E3027" s="89">
        <v>46276</v>
      </c>
      <c r="F3027" s="71" t="s">
        <v>2838</v>
      </c>
      <c r="G3027" s="71">
        <f t="shared" si="94"/>
        <v>9</v>
      </c>
      <c r="H3027" s="71">
        <f t="shared" si="95"/>
        <v>10</v>
      </c>
    </row>
    <row r="3028" spans="1:8" x14ac:dyDescent="0.2">
      <c r="A3028" s="71" t="s">
        <v>200</v>
      </c>
      <c r="B3028" s="71" t="s">
        <v>201</v>
      </c>
      <c r="C3028" s="71" t="s">
        <v>47</v>
      </c>
      <c r="D3028" s="88">
        <v>46276.624409722201</v>
      </c>
      <c r="E3028" s="89">
        <v>46276</v>
      </c>
      <c r="F3028" s="71" t="s">
        <v>2840</v>
      </c>
      <c r="G3028" s="71">
        <f t="shared" si="94"/>
        <v>9</v>
      </c>
      <c r="H3028" s="71">
        <f t="shared" si="95"/>
        <v>10</v>
      </c>
    </row>
    <row r="3029" spans="1:8" x14ac:dyDescent="0.2">
      <c r="A3029" s="71" t="s">
        <v>200</v>
      </c>
      <c r="B3029" s="71" t="s">
        <v>201</v>
      </c>
      <c r="C3029" s="71" t="s">
        <v>47</v>
      </c>
      <c r="D3029" s="88">
        <v>46279.621747685203</v>
      </c>
      <c r="E3029" s="89">
        <v>46279</v>
      </c>
      <c r="F3029" s="71" t="s">
        <v>2838</v>
      </c>
      <c r="G3029" s="71">
        <f t="shared" si="94"/>
        <v>9</v>
      </c>
      <c r="H3029" s="71">
        <f t="shared" si="95"/>
        <v>10</v>
      </c>
    </row>
    <row r="3030" spans="1:8" x14ac:dyDescent="0.2">
      <c r="A3030" s="71" t="s">
        <v>200</v>
      </c>
      <c r="B3030" s="71" t="s">
        <v>201</v>
      </c>
      <c r="C3030" s="71" t="s">
        <v>47</v>
      </c>
      <c r="D3030" s="88">
        <v>46280.703750000001</v>
      </c>
      <c r="E3030" s="89">
        <v>46280</v>
      </c>
      <c r="F3030" s="71" t="s">
        <v>2838</v>
      </c>
      <c r="G3030" s="71">
        <f t="shared" si="94"/>
        <v>9</v>
      </c>
      <c r="H3030" s="71">
        <f t="shared" si="95"/>
        <v>10</v>
      </c>
    </row>
    <row r="3031" spans="1:8" x14ac:dyDescent="0.2">
      <c r="A3031" s="71" t="s">
        <v>200</v>
      </c>
      <c r="B3031" s="71" t="s">
        <v>201</v>
      </c>
      <c r="C3031" s="71" t="s">
        <v>47</v>
      </c>
      <c r="D3031" s="88">
        <v>46286.668877314798</v>
      </c>
      <c r="E3031" s="89">
        <v>46286</v>
      </c>
      <c r="F3031" s="71" t="s">
        <v>2848</v>
      </c>
      <c r="G3031" s="71">
        <f t="shared" si="94"/>
        <v>9</v>
      </c>
      <c r="H3031" s="71">
        <f t="shared" si="95"/>
        <v>9</v>
      </c>
    </row>
    <row r="3032" spans="1:8" x14ac:dyDescent="0.2">
      <c r="A3032" s="71" t="s">
        <v>200</v>
      </c>
      <c r="B3032" s="71" t="s">
        <v>201</v>
      </c>
      <c r="C3032" s="71" t="s">
        <v>47</v>
      </c>
      <c r="D3032" s="88">
        <v>46287.691655092603</v>
      </c>
      <c r="E3032" s="89">
        <v>46287</v>
      </c>
      <c r="F3032" s="71" t="s">
        <v>2848</v>
      </c>
      <c r="G3032" s="71">
        <f t="shared" si="94"/>
        <v>9</v>
      </c>
      <c r="H3032" s="71">
        <f t="shared" si="95"/>
        <v>9</v>
      </c>
    </row>
    <row r="3033" spans="1:8" x14ac:dyDescent="0.2">
      <c r="A3033" s="71" t="s">
        <v>200</v>
      </c>
      <c r="B3033" s="71" t="s">
        <v>201</v>
      </c>
      <c r="C3033" s="71" t="s">
        <v>47</v>
      </c>
      <c r="D3033" s="88">
        <v>46288.693009259303</v>
      </c>
      <c r="E3033" s="89">
        <v>46288</v>
      </c>
      <c r="F3033" s="71" t="s">
        <v>2845</v>
      </c>
      <c r="G3033" s="71">
        <f t="shared" si="94"/>
        <v>9</v>
      </c>
      <c r="H3033" s="71">
        <f t="shared" si="95"/>
        <v>5</v>
      </c>
    </row>
    <row r="3034" spans="1:8" x14ac:dyDescent="0.2">
      <c r="A3034" s="71" t="s">
        <v>200</v>
      </c>
      <c r="B3034" s="71" t="s">
        <v>201</v>
      </c>
      <c r="C3034" s="71" t="s">
        <v>47</v>
      </c>
      <c r="D3034" s="88">
        <v>46289.691516203697</v>
      </c>
      <c r="E3034" s="89">
        <v>46289</v>
      </c>
      <c r="F3034" s="71" t="s">
        <v>2855</v>
      </c>
      <c r="G3034" s="71">
        <f t="shared" si="94"/>
        <v>9</v>
      </c>
      <c r="H3034" s="71">
        <f t="shared" si="95"/>
        <v>13</v>
      </c>
    </row>
    <row r="3035" spans="1:8" x14ac:dyDescent="0.2">
      <c r="A3035" s="71" t="s">
        <v>200</v>
      </c>
      <c r="B3035" s="71" t="s">
        <v>201</v>
      </c>
      <c r="C3035" s="71" t="s">
        <v>47</v>
      </c>
      <c r="D3035" s="88">
        <v>46289.691770833299</v>
      </c>
      <c r="E3035" s="89">
        <v>46289</v>
      </c>
      <c r="F3035" s="71" t="s">
        <v>2856</v>
      </c>
      <c r="G3035" s="71">
        <f t="shared" si="94"/>
        <v>9</v>
      </c>
      <c r="H3035" s="71">
        <f t="shared" si="95"/>
        <v>14</v>
      </c>
    </row>
    <row r="3036" spans="1:8" x14ac:dyDescent="0.2">
      <c r="A3036" s="71" t="s">
        <v>200</v>
      </c>
      <c r="B3036" s="71" t="s">
        <v>201</v>
      </c>
      <c r="C3036" s="71" t="s">
        <v>47</v>
      </c>
      <c r="D3036" s="88">
        <v>46293.702152777798</v>
      </c>
      <c r="E3036" s="89">
        <v>46293</v>
      </c>
      <c r="F3036" s="71" t="s">
        <v>2840</v>
      </c>
      <c r="G3036" s="71">
        <f t="shared" si="94"/>
        <v>9</v>
      </c>
      <c r="H3036" s="71">
        <f t="shared" si="95"/>
        <v>10</v>
      </c>
    </row>
    <row r="3037" spans="1:8" x14ac:dyDescent="0.2">
      <c r="A3037" s="71" t="s">
        <v>200</v>
      </c>
      <c r="B3037" s="71" t="s">
        <v>201</v>
      </c>
      <c r="C3037" s="71" t="s">
        <v>47</v>
      </c>
      <c r="D3037" s="88">
        <v>46294.689178240696</v>
      </c>
      <c r="E3037" s="89">
        <v>46294</v>
      </c>
      <c r="F3037" s="71" t="s">
        <v>2838</v>
      </c>
      <c r="G3037" s="71">
        <f t="shared" si="94"/>
        <v>9</v>
      </c>
      <c r="H3037" s="71">
        <f t="shared" si="95"/>
        <v>10</v>
      </c>
    </row>
    <row r="3038" spans="1:8" x14ac:dyDescent="0.2">
      <c r="A3038" s="71" t="s">
        <v>200</v>
      </c>
      <c r="B3038" s="71" t="s">
        <v>201</v>
      </c>
      <c r="C3038" s="71" t="s">
        <v>47</v>
      </c>
      <c r="D3038" s="88">
        <v>46295.675578703696</v>
      </c>
      <c r="E3038" s="89">
        <v>46295</v>
      </c>
      <c r="F3038" s="71" t="s">
        <v>2857</v>
      </c>
      <c r="G3038" s="71">
        <f t="shared" si="94"/>
        <v>9</v>
      </c>
      <c r="H3038" s="71">
        <f t="shared" si="95"/>
        <v>10</v>
      </c>
    </row>
    <row r="3039" spans="1:8" x14ac:dyDescent="0.2">
      <c r="A3039" s="71" t="s">
        <v>200</v>
      </c>
      <c r="B3039" s="71" t="s">
        <v>201</v>
      </c>
      <c r="C3039" s="71" t="s">
        <v>47</v>
      </c>
      <c r="D3039" s="88">
        <v>46295.675740740699</v>
      </c>
      <c r="E3039" s="89">
        <v>46295</v>
      </c>
      <c r="F3039" s="71" t="s">
        <v>2838</v>
      </c>
      <c r="G3039" s="71">
        <f t="shared" si="94"/>
        <v>9</v>
      </c>
      <c r="H3039" s="71">
        <f t="shared" si="95"/>
        <v>10</v>
      </c>
    </row>
    <row r="3040" spans="1:8" x14ac:dyDescent="0.2">
      <c r="A3040" s="71" t="s">
        <v>264</v>
      </c>
      <c r="B3040" s="71" t="s">
        <v>265</v>
      </c>
      <c r="C3040" s="71" t="s">
        <v>55</v>
      </c>
      <c r="D3040" s="88">
        <v>46279.7883912037</v>
      </c>
      <c r="E3040" s="89">
        <v>46279</v>
      </c>
      <c r="F3040" s="71" t="s">
        <v>2858</v>
      </c>
      <c r="G3040" s="71">
        <f t="shared" si="94"/>
        <v>9</v>
      </c>
      <c r="H3040" s="71">
        <f t="shared" si="95"/>
        <v>65</v>
      </c>
    </row>
    <row r="3041" spans="1:8" x14ac:dyDescent="0.2">
      <c r="A3041" s="71" t="s">
        <v>264</v>
      </c>
      <c r="B3041" s="71" t="s">
        <v>265</v>
      </c>
      <c r="C3041" s="71" t="s">
        <v>55</v>
      </c>
      <c r="D3041" s="88">
        <v>46280.501516203702</v>
      </c>
      <c r="E3041" s="89">
        <v>46280</v>
      </c>
      <c r="F3041" s="71" t="s">
        <v>2859</v>
      </c>
      <c r="G3041" s="71">
        <f t="shared" si="94"/>
        <v>9</v>
      </c>
      <c r="H3041" s="71">
        <f t="shared" si="95"/>
        <v>65</v>
      </c>
    </row>
    <row r="3042" spans="1:8" x14ac:dyDescent="0.2">
      <c r="A3042" s="71" t="s">
        <v>264</v>
      </c>
      <c r="B3042" s="71" t="s">
        <v>265</v>
      </c>
      <c r="C3042" s="71" t="s">
        <v>55</v>
      </c>
      <c r="D3042" s="88">
        <v>46281.573865740698</v>
      </c>
      <c r="E3042" s="89">
        <v>46281</v>
      </c>
      <c r="F3042" s="71" t="s">
        <v>2860</v>
      </c>
      <c r="G3042" s="71">
        <f t="shared" si="94"/>
        <v>9</v>
      </c>
      <c r="H3042" s="71">
        <f t="shared" si="95"/>
        <v>96</v>
      </c>
    </row>
    <row r="3043" spans="1:8" x14ac:dyDescent="0.2">
      <c r="A3043" s="71" t="s">
        <v>264</v>
      </c>
      <c r="B3043" s="71" t="s">
        <v>265</v>
      </c>
      <c r="C3043" s="71" t="s">
        <v>55</v>
      </c>
      <c r="D3043" s="88">
        <v>46282.679606481499</v>
      </c>
      <c r="E3043" s="89">
        <v>46282</v>
      </c>
      <c r="F3043" s="71" t="s">
        <v>2861</v>
      </c>
      <c r="G3043" s="71">
        <f t="shared" si="94"/>
        <v>9</v>
      </c>
      <c r="H3043" s="71">
        <f t="shared" si="95"/>
        <v>140</v>
      </c>
    </row>
    <row r="3044" spans="1:8" x14ac:dyDescent="0.2">
      <c r="A3044" s="71" t="s">
        <v>264</v>
      </c>
      <c r="B3044" s="71" t="s">
        <v>265</v>
      </c>
      <c r="C3044" s="71" t="s">
        <v>55</v>
      </c>
      <c r="D3044" s="88">
        <v>46283.734259259298</v>
      </c>
      <c r="E3044" s="89">
        <v>46283</v>
      </c>
      <c r="F3044" s="71" t="s">
        <v>2862</v>
      </c>
      <c r="G3044" s="71">
        <f t="shared" si="94"/>
        <v>9</v>
      </c>
      <c r="H3044" s="71">
        <f t="shared" si="95"/>
        <v>140</v>
      </c>
    </row>
    <row r="3045" spans="1:8" x14ac:dyDescent="0.2">
      <c r="A3045" s="71" t="s">
        <v>264</v>
      </c>
      <c r="B3045" s="71" t="s">
        <v>265</v>
      </c>
      <c r="C3045" s="71" t="s">
        <v>55</v>
      </c>
      <c r="D3045" s="88">
        <v>46286.747395833299</v>
      </c>
      <c r="E3045" s="89">
        <v>46286</v>
      </c>
      <c r="F3045" s="71" t="s">
        <v>2863</v>
      </c>
      <c r="G3045" s="71">
        <f t="shared" si="94"/>
        <v>9</v>
      </c>
      <c r="H3045" s="71">
        <f t="shared" si="95"/>
        <v>126</v>
      </c>
    </row>
    <row r="3046" spans="1:8" x14ac:dyDescent="0.2">
      <c r="A3046" s="71" t="s">
        <v>264</v>
      </c>
      <c r="B3046" s="71" t="s">
        <v>265</v>
      </c>
      <c r="C3046" s="71" t="s">
        <v>55</v>
      </c>
      <c r="D3046" s="88">
        <v>46287.687650462998</v>
      </c>
      <c r="E3046" s="89">
        <v>46287</v>
      </c>
      <c r="F3046" s="71" t="s">
        <v>2864</v>
      </c>
      <c r="G3046" s="71">
        <f t="shared" si="94"/>
        <v>9</v>
      </c>
      <c r="H3046" s="71">
        <f t="shared" si="95"/>
        <v>87</v>
      </c>
    </row>
    <row r="3047" spans="1:8" x14ac:dyDescent="0.2">
      <c r="A3047" s="71" t="s">
        <v>264</v>
      </c>
      <c r="B3047" s="71" t="s">
        <v>265</v>
      </c>
      <c r="C3047" s="71" t="s">
        <v>55</v>
      </c>
      <c r="D3047" s="88">
        <v>46288.7366666667</v>
      </c>
      <c r="E3047" s="89">
        <v>46288</v>
      </c>
      <c r="F3047" s="71" t="s">
        <v>2865</v>
      </c>
      <c r="G3047" s="71">
        <f t="shared" si="94"/>
        <v>9</v>
      </c>
      <c r="H3047" s="71">
        <f t="shared" si="95"/>
        <v>122</v>
      </c>
    </row>
    <row r="3048" spans="1:8" x14ac:dyDescent="0.2">
      <c r="A3048" s="71" t="s">
        <v>264</v>
      </c>
      <c r="B3048" s="71" t="s">
        <v>265</v>
      </c>
      <c r="C3048" s="71" t="s">
        <v>55</v>
      </c>
      <c r="D3048" s="88">
        <v>46289.7342361111</v>
      </c>
      <c r="E3048" s="89">
        <v>46289</v>
      </c>
      <c r="F3048" s="71" t="s">
        <v>2866</v>
      </c>
      <c r="G3048" s="71">
        <f t="shared" si="94"/>
        <v>9</v>
      </c>
      <c r="H3048" s="71">
        <f t="shared" si="95"/>
        <v>157</v>
      </c>
    </row>
    <row r="3049" spans="1:8" x14ac:dyDescent="0.2">
      <c r="A3049" s="71" t="s">
        <v>264</v>
      </c>
      <c r="B3049" s="71" t="s">
        <v>265</v>
      </c>
      <c r="C3049" s="71" t="s">
        <v>55</v>
      </c>
      <c r="D3049" s="88">
        <v>46290.6960300926</v>
      </c>
      <c r="E3049" s="89">
        <v>46290</v>
      </c>
      <c r="F3049" s="71" t="s">
        <v>2867</v>
      </c>
      <c r="G3049" s="71">
        <f t="shared" si="94"/>
        <v>9</v>
      </c>
      <c r="H3049" s="71">
        <f t="shared" si="95"/>
        <v>119</v>
      </c>
    </row>
    <row r="3050" spans="1:8" x14ac:dyDescent="0.2">
      <c r="A3050" s="71" t="s">
        <v>264</v>
      </c>
      <c r="B3050" s="71" t="s">
        <v>265</v>
      </c>
      <c r="C3050" s="71" t="s">
        <v>55</v>
      </c>
      <c r="D3050" s="88">
        <v>46293.701446759304</v>
      </c>
      <c r="E3050" s="89">
        <v>46293</v>
      </c>
      <c r="F3050" s="71" t="s">
        <v>2868</v>
      </c>
      <c r="G3050" s="71">
        <f t="shared" si="94"/>
        <v>9</v>
      </c>
      <c r="H3050" s="71">
        <f t="shared" si="95"/>
        <v>112</v>
      </c>
    </row>
    <row r="3051" spans="1:8" x14ac:dyDescent="0.2">
      <c r="A3051" s="71" t="s">
        <v>264</v>
      </c>
      <c r="B3051" s="71" t="s">
        <v>265</v>
      </c>
      <c r="C3051" s="71" t="s">
        <v>55</v>
      </c>
      <c r="D3051" s="88">
        <v>46294.697546296302</v>
      </c>
      <c r="E3051" s="89">
        <v>46294</v>
      </c>
      <c r="F3051" s="71" t="s">
        <v>2869</v>
      </c>
      <c r="G3051" s="71">
        <f t="shared" si="94"/>
        <v>9</v>
      </c>
      <c r="H3051" s="71">
        <f t="shared" si="95"/>
        <v>145</v>
      </c>
    </row>
    <row r="3052" spans="1:8" x14ac:dyDescent="0.2">
      <c r="A3052" s="71" t="s">
        <v>264</v>
      </c>
      <c r="B3052" s="71" t="s">
        <v>265</v>
      </c>
      <c r="C3052" s="71" t="s">
        <v>55</v>
      </c>
      <c r="D3052" s="88">
        <v>46295.695833333302</v>
      </c>
      <c r="E3052" s="89">
        <v>46295</v>
      </c>
      <c r="F3052" s="71" t="s">
        <v>2870</v>
      </c>
      <c r="G3052" s="71">
        <f t="shared" si="94"/>
        <v>9</v>
      </c>
      <c r="H3052" s="71">
        <f t="shared" si="95"/>
        <v>252</v>
      </c>
    </row>
  </sheetData>
  <autoFilter ref="A1:H3052"/>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EVALUASI</vt:lpstr>
      <vt:lpstr>PRODUKTIVITAS</vt:lpstr>
      <vt:lpstr>SUMMARY</vt:lpstr>
      <vt:lpstr>TREN</vt:lpstr>
      <vt:lpstr>DETAIL</vt:lpstr>
      <vt:lpstr>KALENDER</vt:lpstr>
      <vt:lpstr>PEMAGANG</vt:lpstr>
      <vt:lpstr>ABSEN</vt:lpstr>
      <vt:lpstr>AKTIVITAS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GOIUHYG</cp:lastModifiedBy>
  <cp:revision>2</cp:revision>
  <dcterms:created xsi:type="dcterms:W3CDTF">2026-10-13T07:24:53Z</dcterms:created>
  <dcterms:modified xsi:type="dcterms:W3CDTF">2026-10-13T08:10:38Z</dcterms:modified>
  <dc:language>en-US</dc:language>
</cp:coreProperties>
</file>